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/>
  <bookViews>
    <workbookView xWindow="585" yWindow="60" windowWidth="13395" windowHeight="12015" activeTab="2"/>
  </bookViews>
  <sheets>
    <sheet name="New Tables 1-12" sheetId="1" r:id="rId1"/>
    <sheet name="Old 1-12" sheetId="24" r:id="rId2"/>
    <sheet name="Degree data" sheetId="4" r:id="rId3"/>
    <sheet name="Pivot Table for 1-11" sheetId="14" r:id="rId4"/>
    <sheet name="Pivot Table for 12" sheetId="18" r:id="rId5"/>
    <sheet name="Pivot Table for Trends" sheetId="19" r:id="rId6"/>
    <sheet name="Formats PT01" sheetId="20" r:id="rId7"/>
    <sheet name="Formats PT02" sheetId="21" r:id="rId8"/>
    <sheet name="Formats for PT03" sheetId="22" r:id="rId9"/>
  </sheets>
  <definedNames>
    <definedName name="a" localSheetId="1">#REF!</definedName>
    <definedName name="a">#REF!</definedName>
    <definedName name="APPHEAD" localSheetId="1">#REF!</definedName>
    <definedName name="APPHEAD" localSheetId="4">#REF!</definedName>
    <definedName name="APPHEAD" localSheetId="5">#REF!</definedName>
    <definedName name="APPHEAD">#REF!</definedName>
    <definedName name="CHHEAD" localSheetId="1">#REF!</definedName>
    <definedName name="CHHEAD" localSheetId="4">#REF!</definedName>
    <definedName name="CHHEAD" localSheetId="5">#REF!</definedName>
    <definedName name="CHHEAD">#REF!</definedName>
    <definedName name="d">#REF!</definedName>
    <definedName name="PAGE_17" localSheetId="1">#REF!</definedName>
    <definedName name="PAGE_17" localSheetId="4">#REF!</definedName>
    <definedName name="PAGE_17" localSheetId="5">#REF!</definedName>
    <definedName name="PAGE_17">#REF!</definedName>
    <definedName name="PAGE1" localSheetId="1">#REF!</definedName>
    <definedName name="PAGE1" localSheetId="4">#REF!</definedName>
    <definedName name="PAGE1" localSheetId="5">#REF!</definedName>
    <definedName name="PAGE1">#REF!</definedName>
    <definedName name="PAGE10" localSheetId="1">#REF!</definedName>
    <definedName name="PAGE10" localSheetId="4">#REF!</definedName>
    <definedName name="PAGE10" localSheetId="5">#REF!</definedName>
    <definedName name="PAGE10">#REF!</definedName>
    <definedName name="PAGE11" localSheetId="1">#REF!</definedName>
    <definedName name="PAGE11" localSheetId="4">#REF!</definedName>
    <definedName name="PAGE11" localSheetId="5">#REF!</definedName>
    <definedName name="PAGE11">#REF!</definedName>
    <definedName name="PAGE12" localSheetId="1">#REF!</definedName>
    <definedName name="PAGE12" localSheetId="4">#REF!</definedName>
    <definedName name="PAGE12" localSheetId="5">#REF!</definedName>
    <definedName name="PAGE12">#REF!</definedName>
    <definedName name="PAGE13" localSheetId="1">#REF!</definedName>
    <definedName name="PAGE13" localSheetId="4">#REF!</definedName>
    <definedName name="PAGE13" localSheetId="5">#REF!</definedName>
    <definedName name="PAGE13">#REF!</definedName>
    <definedName name="PAGE14" localSheetId="1">#REF!</definedName>
    <definedName name="PAGE14" localSheetId="4">#REF!</definedName>
    <definedName name="PAGE14" localSheetId="5">#REF!</definedName>
    <definedName name="PAGE14">#REF!</definedName>
    <definedName name="PAGE15" localSheetId="1">#REF!</definedName>
    <definedName name="PAGE15" localSheetId="4">#REF!</definedName>
    <definedName name="PAGE15" localSheetId="5">#REF!</definedName>
    <definedName name="PAGE15">#REF!</definedName>
    <definedName name="PAGE16" localSheetId="1">#REF!</definedName>
    <definedName name="PAGE16" localSheetId="4">#REF!</definedName>
    <definedName name="PAGE16" localSheetId="5">#REF!</definedName>
    <definedName name="PAGE16">#REF!</definedName>
    <definedName name="PAGE17" localSheetId="1">#REF!</definedName>
    <definedName name="PAGE17" localSheetId="4">#REF!</definedName>
    <definedName name="PAGE17" localSheetId="5">#REF!</definedName>
    <definedName name="PAGE17">#REF!</definedName>
    <definedName name="PAGE18" localSheetId="1">#REF!</definedName>
    <definedName name="PAGE18" localSheetId="4">#REF!</definedName>
    <definedName name="PAGE18" localSheetId="5">#REF!</definedName>
    <definedName name="PAGE18">#REF!</definedName>
    <definedName name="PAGE19" localSheetId="1">#REF!</definedName>
    <definedName name="PAGE19" localSheetId="4">#REF!</definedName>
    <definedName name="PAGE19" localSheetId="5">#REF!</definedName>
    <definedName name="PAGE19">#REF!</definedName>
    <definedName name="PAGE2" localSheetId="1">'Degree data'!#REF!</definedName>
    <definedName name="PAGE2" localSheetId="4">'Degree data'!#REF!</definedName>
    <definedName name="PAGE2" localSheetId="5">'Degree data'!#REF!</definedName>
    <definedName name="PAGE2">'Degree data'!#REF!</definedName>
    <definedName name="PAGE20" localSheetId="1">#REF!</definedName>
    <definedName name="PAGE20" localSheetId="4">#REF!</definedName>
    <definedName name="PAGE20" localSheetId="5">#REF!</definedName>
    <definedName name="PAGE20">#REF!</definedName>
    <definedName name="PAGE3" localSheetId="1">'Degree data'!#REF!</definedName>
    <definedName name="PAGE3" localSheetId="4">'Degree data'!#REF!</definedName>
    <definedName name="PAGE3" localSheetId="5">'Degree data'!#REF!</definedName>
    <definedName name="PAGE3">'Degree data'!#REF!</definedName>
    <definedName name="PAGE4" localSheetId="1">'Degree data'!#REF!</definedName>
    <definedName name="PAGE4" localSheetId="4">'Degree data'!#REF!</definedName>
    <definedName name="PAGE4" localSheetId="5">'Degree data'!#REF!</definedName>
    <definedName name="PAGE4">'Degree data'!#REF!</definedName>
    <definedName name="PAGE5" localSheetId="1">'Degree data'!#REF!</definedName>
    <definedName name="PAGE5" localSheetId="4">'Degree data'!#REF!</definedName>
    <definedName name="PAGE5" localSheetId="5">'Degree data'!#REF!</definedName>
    <definedName name="PAGE5">'Degree data'!#REF!</definedName>
    <definedName name="PAGE6" localSheetId="1">#REF!</definedName>
    <definedName name="PAGE6" localSheetId="4">#REF!</definedName>
    <definedName name="PAGE6" localSheetId="5">#REF!</definedName>
    <definedName name="PAGE6">#REF!</definedName>
    <definedName name="PAGE7" localSheetId="1">#REF!</definedName>
    <definedName name="PAGE7" localSheetId="4">#REF!</definedName>
    <definedName name="PAGE7" localSheetId="5">#REF!</definedName>
    <definedName name="PAGE7">#REF!</definedName>
    <definedName name="PAGE8" localSheetId="1">#REF!</definedName>
    <definedName name="PAGE8" localSheetId="4">#REF!</definedName>
    <definedName name="PAGE8" localSheetId="5">#REF!</definedName>
    <definedName name="PAGE8">#REF!</definedName>
    <definedName name="PAGE9" localSheetId="1">#REF!</definedName>
    <definedName name="PAGE9" localSheetId="4">#REF!</definedName>
    <definedName name="PAGE9" localSheetId="5">#REF!</definedName>
    <definedName name="PAGE9">#REF!</definedName>
    <definedName name="PART1" localSheetId="1">'Degree data'!#REF!</definedName>
    <definedName name="PART1" localSheetId="4">'Degree data'!#REF!</definedName>
    <definedName name="PART1" localSheetId="5">'Degree data'!#REF!</definedName>
    <definedName name="PART1">'Degree data'!#REF!</definedName>
    <definedName name="PART2" localSheetId="1">#REF!</definedName>
    <definedName name="PART2" localSheetId="4">#REF!</definedName>
    <definedName name="PART2" localSheetId="5">#REF!</definedName>
    <definedName name="PART2">#REF!</definedName>
    <definedName name="PART3" localSheetId="1">#REF!</definedName>
    <definedName name="PART3" localSheetId="4">#REF!</definedName>
    <definedName name="PART3" localSheetId="5">#REF!</definedName>
    <definedName name="PART3">#REF!</definedName>
    <definedName name="PART4A" localSheetId="1">#REF!</definedName>
    <definedName name="PART4A" localSheetId="4">#REF!</definedName>
    <definedName name="PART4A" localSheetId="5">#REF!</definedName>
    <definedName name="PART4A">#REF!</definedName>
    <definedName name="PART4B" localSheetId="1">#REF!</definedName>
    <definedName name="PART4B" localSheetId="4">#REF!</definedName>
    <definedName name="PART4B" localSheetId="5">#REF!</definedName>
    <definedName name="PART4B">#REF!</definedName>
    <definedName name="PART5" localSheetId="1">#REF!</definedName>
    <definedName name="PART5" localSheetId="4">#REF!</definedName>
    <definedName name="PART5" localSheetId="5">#REF!</definedName>
    <definedName name="PART5">#REF!</definedName>
    <definedName name="PART6A" localSheetId="1">#REF!</definedName>
    <definedName name="PART6A" localSheetId="4">#REF!</definedName>
    <definedName name="PART6A" localSheetId="5">#REF!</definedName>
    <definedName name="PART6A">#REF!</definedName>
    <definedName name="PART6B" localSheetId="1">#REF!</definedName>
    <definedName name="PART6B" localSheetId="4">#REF!</definedName>
    <definedName name="PART6B" localSheetId="5">#REF!</definedName>
    <definedName name="PART6B">#REF!</definedName>
    <definedName name="PART6C" localSheetId="1">#REF!</definedName>
    <definedName name="PART6C" localSheetId="4">#REF!</definedName>
    <definedName name="PART6C" localSheetId="5">#REF!</definedName>
    <definedName name="PART6C">#REF!</definedName>
    <definedName name="PART7B" localSheetId="1">#REF!</definedName>
    <definedName name="PART7B" localSheetId="4">#REF!</definedName>
    <definedName name="PART7B" localSheetId="5">#REF!</definedName>
    <definedName name="PART7B">#REF!</definedName>
    <definedName name="PART7C" localSheetId="1">#REF!</definedName>
    <definedName name="PART7C" localSheetId="4">#REF!</definedName>
    <definedName name="PART7C" localSheetId="5">#REF!</definedName>
    <definedName name="PART7C">#REF!</definedName>
    <definedName name="PART8" localSheetId="1">#REF!</definedName>
    <definedName name="PART8" localSheetId="4">#REF!</definedName>
    <definedName name="PART8" localSheetId="5">#REF!</definedName>
    <definedName name="PART8">#REF!</definedName>
    <definedName name="_xlnm.Print_Area" localSheetId="0">'New Tables 1-12'!$A$1:$P$372</definedName>
    <definedName name="_xlnm.Print_Area" localSheetId="1">'Old 1-12'!$A$1:$P$373</definedName>
    <definedName name="_xlnm.Print_Area" localSheetId="4">#REF!</definedName>
    <definedName name="_xlnm.Print_Area" localSheetId="5">#REF!</definedName>
    <definedName name="_xlnm.Print_Area">#REF!</definedName>
    <definedName name="RATIONALE" localSheetId="1">#REF!</definedName>
    <definedName name="RATIONALE" localSheetId="4">#REF!</definedName>
    <definedName name="RATIONALE" localSheetId="5">#REF!</definedName>
    <definedName name="RATIONALE">#REF!</definedName>
    <definedName name="RATIONALE2" localSheetId="1">#REF!</definedName>
    <definedName name="RATIONALE2" localSheetId="4">#REF!</definedName>
    <definedName name="RATIONALE2" localSheetId="5">#REF!</definedName>
    <definedName name="RATIONALE2">#REF!</definedName>
    <definedName name="SALHEAD" localSheetId="1">#REF!</definedName>
    <definedName name="SALHEAD" localSheetId="4">#REF!</definedName>
    <definedName name="SALHEAD" localSheetId="5">#REF!</definedName>
    <definedName name="SALHEAD">#REF!</definedName>
  </definedNames>
  <calcPr calcId="125725"/>
  <pivotCaches>
    <pivotCache cacheId="2" r:id="rId10"/>
  </pivotCaches>
</workbook>
</file>

<file path=xl/calcChain.xml><?xml version="1.0" encoding="utf-8"?>
<calcChain xmlns="http://schemas.openxmlformats.org/spreadsheetml/2006/main">
  <c r="W258" i="1"/>
  <c r="W263"/>
  <c r="W268"/>
  <c r="W273"/>
  <c r="V258"/>
  <c r="V263"/>
  <c r="V268"/>
  <c r="V273"/>
  <c r="U258"/>
  <c r="X258" s="1"/>
  <c r="U263"/>
  <c r="X263" s="1"/>
  <c r="U268"/>
  <c r="X268" s="1"/>
  <c r="U273"/>
  <c r="X273" s="1"/>
  <c r="R289"/>
  <c r="R294"/>
  <c r="R299"/>
  <c r="R304"/>
  <c r="J259"/>
  <c r="F259"/>
  <c r="K259"/>
  <c r="G259"/>
  <c r="L259"/>
  <c r="H259"/>
  <c r="M259"/>
  <c r="I259"/>
  <c r="E259"/>
  <c r="U259" l="1"/>
  <c r="W259"/>
  <c r="V259"/>
  <c r="Q289"/>
  <c r="S289" s="1"/>
  <c r="Q294"/>
  <c r="S294" s="1"/>
  <c r="Q299"/>
  <c r="S299" s="1"/>
  <c r="Q304"/>
  <c r="S304" s="1"/>
  <c r="X259" l="1"/>
  <c r="P330" i="24"/>
  <c r="P232"/>
  <c r="P201"/>
  <c r="P170"/>
  <c r="P139"/>
  <c r="P113"/>
  <c r="P108"/>
  <c r="FL739" i="4"/>
  <c r="FK739"/>
  <c r="EM739"/>
  <c r="EL739"/>
  <c r="EN739" s="1"/>
  <c r="EJ739"/>
  <c r="EI739"/>
  <c r="EK739" s="1"/>
  <c r="CR739"/>
  <c r="CQ739"/>
  <c r="EP739" s="1"/>
  <c r="CP739"/>
  <c r="CO739"/>
  <c r="EO739" s="1"/>
  <c r="FM739" s="1"/>
  <c r="AR739" s="1"/>
  <c r="AS739"/>
  <c r="V739"/>
  <c r="AQ739"/>
  <c r="Q739"/>
  <c r="L739"/>
  <c r="K739"/>
  <c r="FL738"/>
  <c r="FK738"/>
  <c r="EM738"/>
  <c r="EL738"/>
  <c r="EN738" s="1"/>
  <c r="EJ738"/>
  <c r="EI738"/>
  <c r="EK738" s="1"/>
  <c r="CR738"/>
  <c r="CQ738"/>
  <c r="EP738" s="1"/>
  <c r="CP738"/>
  <c r="CO738"/>
  <c r="EO738" s="1"/>
  <c r="FM738" s="1"/>
  <c r="AR738" s="1"/>
  <c r="AS738"/>
  <c r="V738"/>
  <c r="AQ738"/>
  <c r="Q738"/>
  <c r="L738"/>
  <c r="K738"/>
  <c r="FL737"/>
  <c r="FK737"/>
  <c r="EM737"/>
  <c r="EL737"/>
  <c r="EN737" s="1"/>
  <c r="EJ737"/>
  <c r="EI737"/>
  <c r="EK737" s="1"/>
  <c r="CR737"/>
  <c r="CQ737"/>
  <c r="EP737" s="1"/>
  <c r="CP737"/>
  <c r="CO737"/>
  <c r="EO737" s="1"/>
  <c r="FM737" s="1"/>
  <c r="AR737" s="1"/>
  <c r="AS737"/>
  <c r="V737"/>
  <c r="AQ737"/>
  <c r="Q737"/>
  <c r="L737"/>
  <c r="K737"/>
  <c r="FL736"/>
  <c r="FK736"/>
  <c r="EM736"/>
  <c r="EL736"/>
  <c r="EN736" s="1"/>
  <c r="EJ736"/>
  <c r="EI736"/>
  <c r="EK736" s="1"/>
  <c r="CR736"/>
  <c r="CQ736"/>
  <c r="EP736" s="1"/>
  <c r="CP736"/>
  <c r="CO736"/>
  <c r="EO736" s="1"/>
  <c r="FM736" s="1"/>
  <c r="AR736" s="1"/>
  <c r="AS736"/>
  <c r="V736"/>
  <c r="AQ736"/>
  <c r="Q736"/>
  <c r="L736"/>
  <c r="K736"/>
  <c r="FL735"/>
  <c r="FK735"/>
  <c r="EM735"/>
  <c r="EL735"/>
  <c r="EN735" s="1"/>
  <c r="EJ735"/>
  <c r="EI735"/>
  <c r="EK735" s="1"/>
  <c r="CR735"/>
  <c r="CQ735"/>
  <c r="EP735" s="1"/>
  <c r="CP735"/>
  <c r="CO735"/>
  <c r="EO735" s="1"/>
  <c r="FM735" s="1"/>
  <c r="AR735" s="1"/>
  <c r="AS735"/>
  <c r="V735"/>
  <c r="AQ735"/>
  <c r="Q735"/>
  <c r="L735"/>
  <c r="K735"/>
  <c r="FL734"/>
  <c r="FK734"/>
  <c r="EM734"/>
  <c r="EL734"/>
  <c r="EN734" s="1"/>
  <c r="EJ734"/>
  <c r="EI734"/>
  <c r="EK734" s="1"/>
  <c r="CR734"/>
  <c r="CQ734"/>
  <c r="EP734" s="1"/>
  <c r="CP734"/>
  <c r="CO734"/>
  <c r="EO734" s="1"/>
  <c r="FM734" s="1"/>
  <c r="AR734" s="1"/>
  <c r="AS734"/>
  <c r="V734"/>
  <c r="AQ734"/>
  <c r="Q734"/>
  <c r="L734"/>
  <c r="K734"/>
  <c r="FL733"/>
  <c r="FK733"/>
  <c r="EM733"/>
  <c r="EL733"/>
  <c r="EN733" s="1"/>
  <c r="EJ733"/>
  <c r="EI733"/>
  <c r="EK733" s="1"/>
  <c r="CR733"/>
  <c r="CQ733"/>
  <c r="EP733" s="1"/>
  <c r="CP733"/>
  <c r="CO733"/>
  <c r="EO733" s="1"/>
  <c r="FM733" s="1"/>
  <c r="AR733" s="1"/>
  <c r="AS733"/>
  <c r="V733"/>
  <c r="AQ733"/>
  <c r="Q733"/>
  <c r="L733"/>
  <c r="K733"/>
  <c r="FL732"/>
  <c r="FK732"/>
  <c r="EM732"/>
  <c r="EL732"/>
  <c r="EN732" s="1"/>
  <c r="EJ732"/>
  <c r="EI732"/>
  <c r="EK732" s="1"/>
  <c r="CR732"/>
  <c r="CQ732"/>
  <c r="EP732" s="1"/>
  <c r="CP732"/>
  <c r="CO732"/>
  <c r="EO732" s="1"/>
  <c r="FM732" s="1"/>
  <c r="AR732" s="1"/>
  <c r="AS732"/>
  <c r="V732"/>
  <c r="AQ732"/>
  <c r="Q732"/>
  <c r="L732"/>
  <c r="K732"/>
  <c r="FL731"/>
  <c r="FK731"/>
  <c r="EM731"/>
  <c r="EL731"/>
  <c r="EN731" s="1"/>
  <c r="EJ731"/>
  <c r="EI731"/>
  <c r="EK731" s="1"/>
  <c r="CR731"/>
  <c r="CQ731"/>
  <c r="EP731" s="1"/>
  <c r="CP731"/>
  <c r="CO731"/>
  <c r="EO731" s="1"/>
  <c r="FM731" s="1"/>
  <c r="AR731" s="1"/>
  <c r="AS731"/>
  <c r="V731"/>
  <c r="AQ731"/>
  <c r="Q731"/>
  <c r="L731"/>
  <c r="K731"/>
  <c r="FL730"/>
  <c r="FK730"/>
  <c r="EM730"/>
  <c r="EL730"/>
  <c r="EN730" s="1"/>
  <c r="EJ730"/>
  <c r="EI730"/>
  <c r="EK730" s="1"/>
  <c r="CR730"/>
  <c r="CQ730"/>
  <c r="EP730" s="1"/>
  <c r="CP730"/>
  <c r="CO730"/>
  <c r="EO730" s="1"/>
  <c r="FM730" s="1"/>
  <c r="AR730" s="1"/>
  <c r="AS730"/>
  <c r="V730"/>
  <c r="AQ730"/>
  <c r="Q730"/>
  <c r="L730"/>
  <c r="K730"/>
  <c r="FL729"/>
  <c r="FK729"/>
  <c r="EM729"/>
  <c r="EL729"/>
  <c r="EN729" s="1"/>
  <c r="EJ729"/>
  <c r="EI729"/>
  <c r="EK729" s="1"/>
  <c r="CR729"/>
  <c r="CQ729"/>
  <c r="EP729" s="1"/>
  <c r="CP729"/>
  <c r="CO729"/>
  <c r="EO729" s="1"/>
  <c r="FM729" s="1"/>
  <c r="AR729" s="1"/>
  <c r="AS729"/>
  <c r="V729"/>
  <c r="AQ729"/>
  <c r="Q729"/>
  <c r="L729"/>
  <c r="K729"/>
  <c r="FL728"/>
  <c r="FK728"/>
  <c r="EM728"/>
  <c r="EL728"/>
  <c r="EN728" s="1"/>
  <c r="EJ728"/>
  <c r="EI728"/>
  <c r="EK728" s="1"/>
  <c r="CR728"/>
  <c r="CQ728"/>
  <c r="EP728" s="1"/>
  <c r="CP728"/>
  <c r="CO728"/>
  <c r="EO728" s="1"/>
  <c r="FM728" s="1"/>
  <c r="AR728" s="1"/>
  <c r="AS728"/>
  <c r="V728"/>
  <c r="AQ728"/>
  <c r="Q728"/>
  <c r="L728"/>
  <c r="K728"/>
  <c r="FL727"/>
  <c r="FK727"/>
  <c r="EM727"/>
  <c r="EL727"/>
  <c r="EN727" s="1"/>
  <c r="EJ727"/>
  <c r="EI727"/>
  <c r="EK727" s="1"/>
  <c r="CR727"/>
  <c r="CQ727"/>
  <c r="EP727" s="1"/>
  <c r="CP727"/>
  <c r="CO727"/>
  <c r="EO727" s="1"/>
  <c r="FM727" s="1"/>
  <c r="AR727" s="1"/>
  <c r="AS727"/>
  <c r="V727"/>
  <c r="AQ727"/>
  <c r="Q727"/>
  <c r="L727"/>
  <c r="K727"/>
  <c r="FL726"/>
  <c r="FK726"/>
  <c r="EM726"/>
  <c r="EL726"/>
  <c r="EN726" s="1"/>
  <c r="EJ726"/>
  <c r="EI726"/>
  <c r="EK726" s="1"/>
  <c r="CR726"/>
  <c r="CQ726"/>
  <c r="EP726" s="1"/>
  <c r="CP726"/>
  <c r="CO726"/>
  <c r="EO726" s="1"/>
  <c r="FM726" s="1"/>
  <c r="AR726" s="1"/>
  <c r="AS726"/>
  <c r="V726"/>
  <c r="AQ726"/>
  <c r="Q726"/>
  <c r="L726"/>
  <c r="K726"/>
  <c r="FL725"/>
  <c r="FK725"/>
  <c r="EM725"/>
  <c r="EL725"/>
  <c r="EN725" s="1"/>
  <c r="EJ725"/>
  <c r="EI725"/>
  <c r="EK725" s="1"/>
  <c r="CR725"/>
  <c r="CQ725"/>
  <c r="EP725" s="1"/>
  <c r="CP725"/>
  <c r="CO725"/>
  <c r="EO725" s="1"/>
  <c r="FM725" s="1"/>
  <c r="AR725" s="1"/>
  <c r="AS725"/>
  <c r="V725"/>
  <c r="AQ725"/>
  <c r="Q725"/>
  <c r="L725"/>
  <c r="K725"/>
  <c r="FL724"/>
  <c r="FK724"/>
  <c r="EM724"/>
  <c r="EL724"/>
  <c r="EN724" s="1"/>
  <c r="EJ724"/>
  <c r="EI724"/>
  <c r="EK724" s="1"/>
  <c r="CR724"/>
  <c r="CQ724"/>
  <c r="EP724" s="1"/>
  <c r="CP724"/>
  <c r="CO724"/>
  <c r="EO724" s="1"/>
  <c r="FM724" s="1"/>
  <c r="AR724" s="1"/>
  <c r="AS724"/>
  <c r="V724"/>
  <c r="AQ724"/>
  <c r="Q724"/>
  <c r="L724"/>
  <c r="K724"/>
  <c r="FL723"/>
  <c r="FK723"/>
  <c r="EM723"/>
  <c r="EL723"/>
  <c r="EN723" s="1"/>
  <c r="EJ723"/>
  <c r="EI723"/>
  <c r="EK723" s="1"/>
  <c r="CR723"/>
  <c r="CQ723"/>
  <c r="EP723" s="1"/>
  <c r="CP723"/>
  <c r="CO723"/>
  <c r="EO723" s="1"/>
  <c r="FM723" s="1"/>
  <c r="AR723" s="1"/>
  <c r="AS723"/>
  <c r="V723"/>
  <c r="AQ723"/>
  <c r="Q723"/>
  <c r="L723"/>
  <c r="K723"/>
  <c r="FL722"/>
  <c r="FK722"/>
  <c r="EM722"/>
  <c r="EL722"/>
  <c r="EN722" s="1"/>
  <c r="EJ722"/>
  <c r="EI722"/>
  <c r="EK722" s="1"/>
  <c r="CR722"/>
  <c r="CQ722"/>
  <c r="EP722" s="1"/>
  <c r="CP722"/>
  <c r="CO722"/>
  <c r="EO722" s="1"/>
  <c r="FM722" s="1"/>
  <c r="AR722" s="1"/>
  <c r="AS722"/>
  <c r="V722"/>
  <c r="AQ722"/>
  <c r="Q722"/>
  <c r="L722"/>
  <c r="K722"/>
  <c r="FL721"/>
  <c r="FK721"/>
  <c r="EM721"/>
  <c r="EL721"/>
  <c r="EN721" s="1"/>
  <c r="EJ721"/>
  <c r="EI721"/>
  <c r="EK721" s="1"/>
  <c r="CR721"/>
  <c r="CQ721"/>
  <c r="EP721" s="1"/>
  <c r="CP721"/>
  <c r="CO721"/>
  <c r="EO721" s="1"/>
  <c r="FM721" s="1"/>
  <c r="AR721" s="1"/>
  <c r="AS721"/>
  <c r="V721"/>
  <c r="AQ721"/>
  <c r="Q721"/>
  <c r="L721"/>
  <c r="K721"/>
  <c r="FL720"/>
  <c r="FK720"/>
  <c r="EM720"/>
  <c r="EL720"/>
  <c r="EN720" s="1"/>
  <c r="EJ720"/>
  <c r="EI720"/>
  <c r="EK720" s="1"/>
  <c r="CR720"/>
  <c r="CQ720"/>
  <c r="EP720" s="1"/>
  <c r="CP720"/>
  <c r="CO720"/>
  <c r="EO720" s="1"/>
  <c r="FM720" s="1"/>
  <c r="AR720" s="1"/>
  <c r="AS720"/>
  <c r="V720"/>
  <c r="AQ720"/>
  <c r="Q720"/>
  <c r="L720"/>
  <c r="K720"/>
  <c r="FL719"/>
  <c r="FK719"/>
  <c r="EM719"/>
  <c r="EL719"/>
  <c r="EN719" s="1"/>
  <c r="EJ719"/>
  <c r="EI719"/>
  <c r="EK719" s="1"/>
  <c r="CR719"/>
  <c r="CQ719"/>
  <c r="EP719" s="1"/>
  <c r="CP719"/>
  <c r="CO719"/>
  <c r="EO719" s="1"/>
  <c r="FM719" s="1"/>
  <c r="AR719" s="1"/>
  <c r="AS719"/>
  <c r="V719"/>
  <c r="AQ719"/>
  <c r="Q719"/>
  <c r="L719"/>
  <c r="K719"/>
  <c r="FL718"/>
  <c r="FK718"/>
  <c r="EM718"/>
  <c r="EL718"/>
  <c r="EN718" s="1"/>
  <c r="EJ718"/>
  <c r="EI718"/>
  <c r="EK718" s="1"/>
  <c r="CR718"/>
  <c r="CQ718"/>
  <c r="EP718" s="1"/>
  <c r="CP718"/>
  <c r="CO718"/>
  <c r="EO718" s="1"/>
  <c r="FM718" s="1"/>
  <c r="AR718" s="1"/>
  <c r="AS718"/>
  <c r="V718"/>
  <c r="AQ718"/>
  <c r="Q718"/>
  <c r="L718"/>
  <c r="K718"/>
  <c r="FL717"/>
  <c r="FK717"/>
  <c r="EM717"/>
  <c r="EL717"/>
  <c r="EN717" s="1"/>
  <c r="EJ717"/>
  <c r="EI717"/>
  <c r="EK717" s="1"/>
  <c r="CR717"/>
  <c r="CQ717"/>
  <c r="EP717" s="1"/>
  <c r="CP717"/>
  <c r="CO717"/>
  <c r="EO717" s="1"/>
  <c r="FM717" s="1"/>
  <c r="AR717" s="1"/>
  <c r="AS717"/>
  <c r="V717"/>
  <c r="AQ717"/>
  <c r="Q717"/>
  <c r="L717"/>
  <c r="K717"/>
  <c r="FL716"/>
  <c r="FK716"/>
  <c r="EM716"/>
  <c r="EL716"/>
  <c r="EN716" s="1"/>
  <c r="EJ716"/>
  <c r="EI716"/>
  <c r="EK716" s="1"/>
  <c r="CR716"/>
  <c r="CQ716"/>
  <c r="EP716" s="1"/>
  <c r="CP716"/>
  <c r="CO716"/>
  <c r="EO716" s="1"/>
  <c r="FM716" s="1"/>
  <c r="AR716" s="1"/>
  <c r="AS716"/>
  <c r="V716"/>
  <c r="AQ716"/>
  <c r="Q716"/>
  <c r="L716"/>
  <c r="K716"/>
  <c r="FL715"/>
  <c r="FK715"/>
  <c r="EM715"/>
  <c r="EL715"/>
  <c r="EJ715"/>
  <c r="EI715"/>
  <c r="EK715" s="1"/>
  <c r="CR715"/>
  <c r="CQ715"/>
  <c r="CP715"/>
  <c r="CO715"/>
  <c r="EO715" s="1"/>
  <c r="FM715" s="1"/>
  <c r="AR715" s="1"/>
  <c r="AS715"/>
  <c r="V715"/>
  <c r="AQ715"/>
  <c r="Q715"/>
  <c r="L715"/>
  <c r="K715"/>
  <c r="FL714"/>
  <c r="FK714"/>
  <c r="EM714"/>
  <c r="EL714"/>
  <c r="EJ714"/>
  <c r="EI714"/>
  <c r="EK714" s="1"/>
  <c r="CR714"/>
  <c r="CQ714"/>
  <c r="CP714"/>
  <c r="CO714"/>
  <c r="EO714" s="1"/>
  <c r="FM714" s="1"/>
  <c r="AR714" s="1"/>
  <c r="AS714"/>
  <c r="V714"/>
  <c r="AQ714"/>
  <c r="Q714"/>
  <c r="L714"/>
  <c r="K714"/>
  <c r="FL713"/>
  <c r="FK713"/>
  <c r="EM713"/>
  <c r="EL713"/>
  <c r="EJ713"/>
  <c r="EI713"/>
  <c r="EK713" s="1"/>
  <c r="CR713"/>
  <c r="CQ713"/>
  <c r="CP713"/>
  <c r="CO713"/>
  <c r="EO713" s="1"/>
  <c r="FM713" s="1"/>
  <c r="AR713" s="1"/>
  <c r="AS713"/>
  <c r="V713"/>
  <c r="AQ713"/>
  <c r="Q713"/>
  <c r="L713"/>
  <c r="K713"/>
  <c r="FL712"/>
  <c r="FK712"/>
  <c r="EM712"/>
  <c r="EL712"/>
  <c r="EJ712"/>
  <c r="EI712"/>
  <c r="EK712" s="1"/>
  <c r="CR712"/>
  <c r="CQ712"/>
  <c r="CP712"/>
  <c r="CO712"/>
  <c r="EO712" s="1"/>
  <c r="FM712" s="1"/>
  <c r="AR712" s="1"/>
  <c r="AS712"/>
  <c r="V712"/>
  <c r="AQ712"/>
  <c r="Q712"/>
  <c r="L712"/>
  <c r="K712"/>
  <c r="FL711"/>
  <c r="FK711"/>
  <c r="EM711"/>
  <c r="EL711"/>
  <c r="EJ711"/>
  <c r="EI711"/>
  <c r="EK711" s="1"/>
  <c r="CR711"/>
  <c r="CQ711"/>
  <c r="CP711"/>
  <c r="CO711"/>
  <c r="EO711" s="1"/>
  <c r="FM711" s="1"/>
  <c r="AR711" s="1"/>
  <c r="AS711"/>
  <c r="V711"/>
  <c r="AQ711"/>
  <c r="Q711"/>
  <c r="L711"/>
  <c r="K711"/>
  <c r="FL710"/>
  <c r="FK710"/>
  <c r="EM710"/>
  <c r="EL710"/>
  <c r="EJ710"/>
  <c r="EI710"/>
  <c r="EK710" s="1"/>
  <c r="CR710"/>
  <c r="CQ710"/>
  <c r="CP710"/>
  <c r="CO710"/>
  <c r="EO710" s="1"/>
  <c r="FM710" s="1"/>
  <c r="AR710" s="1"/>
  <c r="AS710"/>
  <c r="V710"/>
  <c r="AQ710"/>
  <c r="Q710"/>
  <c r="L710"/>
  <c r="K710"/>
  <c r="FL709"/>
  <c r="FK709"/>
  <c r="EM709"/>
  <c r="EL709"/>
  <c r="EJ709"/>
  <c r="EI709"/>
  <c r="EK709" s="1"/>
  <c r="CR709"/>
  <c r="CQ709"/>
  <c r="CP709"/>
  <c r="CO709"/>
  <c r="EO709" s="1"/>
  <c r="FM709" s="1"/>
  <c r="AR709" s="1"/>
  <c r="AS709"/>
  <c r="V709"/>
  <c r="AQ709"/>
  <c r="Q709"/>
  <c r="L709"/>
  <c r="K709"/>
  <c r="FL708"/>
  <c r="FK708"/>
  <c r="EM708"/>
  <c r="EL708"/>
  <c r="EJ708"/>
  <c r="EI708"/>
  <c r="EK708" s="1"/>
  <c r="CR708"/>
  <c r="CQ708"/>
  <c r="CP708"/>
  <c r="CO708"/>
  <c r="EO708" s="1"/>
  <c r="FM708" s="1"/>
  <c r="AR708" s="1"/>
  <c r="AS708"/>
  <c r="V708"/>
  <c r="AQ708"/>
  <c r="Q708"/>
  <c r="L708"/>
  <c r="K708"/>
  <c r="FL707"/>
  <c r="FK707"/>
  <c r="EM707"/>
  <c r="EL707"/>
  <c r="EJ707"/>
  <c r="EI707"/>
  <c r="EK707" s="1"/>
  <c r="CR707"/>
  <c r="CQ707"/>
  <c r="CP707"/>
  <c r="CO707"/>
  <c r="EO707" s="1"/>
  <c r="FM707" s="1"/>
  <c r="AR707" s="1"/>
  <c r="AS707"/>
  <c r="V707"/>
  <c r="AQ707"/>
  <c r="Q707"/>
  <c r="L707"/>
  <c r="K707"/>
  <c r="FL706"/>
  <c r="FK706"/>
  <c r="EM706"/>
  <c r="EL706"/>
  <c r="EJ706"/>
  <c r="EI706"/>
  <c r="EK706" s="1"/>
  <c r="CR706"/>
  <c r="CQ706"/>
  <c r="CP706"/>
  <c r="CO706"/>
  <c r="EO706" s="1"/>
  <c r="FM706" s="1"/>
  <c r="AR706" s="1"/>
  <c r="AS706"/>
  <c r="V706"/>
  <c r="AQ706"/>
  <c r="Q706"/>
  <c r="L706"/>
  <c r="K706"/>
  <c r="FL705"/>
  <c r="FK705"/>
  <c r="EM705"/>
  <c r="EL705"/>
  <c r="EJ705"/>
  <c r="EI705"/>
  <c r="EK705" s="1"/>
  <c r="CR705"/>
  <c r="CQ705"/>
  <c r="CP705"/>
  <c r="CO705"/>
  <c r="EO705" s="1"/>
  <c r="FM705" s="1"/>
  <c r="AR705" s="1"/>
  <c r="AS705"/>
  <c r="V705"/>
  <c r="AQ705"/>
  <c r="Q705"/>
  <c r="L705"/>
  <c r="K705"/>
  <c r="FL704"/>
  <c r="FK704"/>
  <c r="EM704"/>
  <c r="EL704"/>
  <c r="EJ704"/>
  <c r="EI704"/>
  <c r="EK704" s="1"/>
  <c r="CR704"/>
  <c r="CQ704"/>
  <c r="CP704"/>
  <c r="CO704"/>
  <c r="EO704" s="1"/>
  <c r="FM704" s="1"/>
  <c r="AR704" s="1"/>
  <c r="AS704"/>
  <c r="V704"/>
  <c r="AQ704"/>
  <c r="Q704"/>
  <c r="L704"/>
  <c r="K704"/>
  <c r="FL703"/>
  <c r="FK703"/>
  <c r="EM703"/>
  <c r="EL703"/>
  <c r="EJ703"/>
  <c r="EI703"/>
  <c r="EK703" s="1"/>
  <c r="CR703"/>
  <c r="CQ703"/>
  <c r="CP703"/>
  <c r="CO703"/>
  <c r="EO703" s="1"/>
  <c r="FM703" s="1"/>
  <c r="AR703" s="1"/>
  <c r="AS703"/>
  <c r="V703"/>
  <c r="AQ703"/>
  <c r="Q703"/>
  <c r="L703"/>
  <c r="K703"/>
  <c r="FL702"/>
  <c r="FK702"/>
  <c r="EM702"/>
  <c r="EL702"/>
  <c r="EJ702"/>
  <c r="EI702"/>
  <c r="EK702" s="1"/>
  <c r="CR702"/>
  <c r="CQ702"/>
  <c r="CP702"/>
  <c r="CO702"/>
  <c r="EO702" s="1"/>
  <c r="FM702" s="1"/>
  <c r="AR702" s="1"/>
  <c r="AS702"/>
  <c r="V702"/>
  <c r="AQ702"/>
  <c r="Q702"/>
  <c r="L702"/>
  <c r="K702"/>
  <c r="FL701"/>
  <c r="FK701"/>
  <c r="EM701"/>
  <c r="EL701"/>
  <c r="EJ701"/>
  <c r="EI701"/>
  <c r="EK701" s="1"/>
  <c r="CR701"/>
  <c r="CQ701"/>
  <c r="CP701"/>
  <c r="CO701"/>
  <c r="EO701" s="1"/>
  <c r="FM701" s="1"/>
  <c r="AR701" s="1"/>
  <c r="AS701"/>
  <c r="V701"/>
  <c r="AQ701"/>
  <c r="Q701"/>
  <c r="L701"/>
  <c r="K701"/>
  <c r="FL700"/>
  <c r="FK700"/>
  <c r="EM700"/>
  <c r="EL700"/>
  <c r="EJ700"/>
  <c r="EI700"/>
  <c r="EK700" s="1"/>
  <c r="CR700"/>
  <c r="CQ700"/>
  <c r="CP700"/>
  <c r="CO700"/>
  <c r="EO700" s="1"/>
  <c r="FM700" s="1"/>
  <c r="AR700" s="1"/>
  <c r="AS700"/>
  <c r="V700"/>
  <c r="AQ700"/>
  <c r="Q700"/>
  <c r="L700"/>
  <c r="K700"/>
  <c r="FL699"/>
  <c r="FK699"/>
  <c r="EM699"/>
  <c r="EL699"/>
  <c r="EJ699"/>
  <c r="EI699"/>
  <c r="EK699" s="1"/>
  <c r="CR699"/>
  <c r="CQ699"/>
  <c r="CP699"/>
  <c r="CO699"/>
  <c r="AS699"/>
  <c r="V699"/>
  <c r="AQ699"/>
  <c r="Q699"/>
  <c r="L699"/>
  <c r="K699"/>
  <c r="FL698"/>
  <c r="FK698"/>
  <c r="EM698"/>
  <c r="EL698"/>
  <c r="EJ698"/>
  <c r="EI698"/>
  <c r="EK698" s="1"/>
  <c r="CR698"/>
  <c r="CQ698"/>
  <c r="CP698"/>
  <c r="CO698"/>
  <c r="EO698" s="1"/>
  <c r="FM698" s="1"/>
  <c r="AR698" s="1"/>
  <c r="AS698"/>
  <c r="V698"/>
  <c r="AQ698"/>
  <c r="Q698"/>
  <c r="L698"/>
  <c r="K698"/>
  <c r="FL697"/>
  <c r="FK697"/>
  <c r="EM697"/>
  <c r="EL697"/>
  <c r="EJ697"/>
  <c r="EI697"/>
  <c r="EK697" s="1"/>
  <c r="CR697"/>
  <c r="CQ697"/>
  <c r="CP697"/>
  <c r="CO697"/>
  <c r="EO697" s="1"/>
  <c r="FM697" s="1"/>
  <c r="AR697" s="1"/>
  <c r="AS697"/>
  <c r="V697"/>
  <c r="AQ697"/>
  <c r="Q697"/>
  <c r="L697"/>
  <c r="K697"/>
  <c r="FL696"/>
  <c r="FK696"/>
  <c r="EM696"/>
  <c r="EL696"/>
  <c r="EJ696"/>
  <c r="EI696"/>
  <c r="EK696" s="1"/>
  <c r="CR696"/>
  <c r="CQ696"/>
  <c r="CP696"/>
  <c r="CO696"/>
  <c r="EO696" s="1"/>
  <c r="FM696" s="1"/>
  <c r="AR696" s="1"/>
  <c r="AS696"/>
  <c r="V696"/>
  <c r="AQ696"/>
  <c r="Q696"/>
  <c r="L696"/>
  <c r="K696"/>
  <c r="FL695"/>
  <c r="FK695"/>
  <c r="EM695"/>
  <c r="EL695"/>
  <c r="EJ695"/>
  <c r="EI695"/>
  <c r="EK695" s="1"/>
  <c r="CR695"/>
  <c r="CQ695"/>
  <c r="CP695"/>
  <c r="CO695"/>
  <c r="EO695" s="1"/>
  <c r="FM695" s="1"/>
  <c r="AR695" s="1"/>
  <c r="AS695"/>
  <c r="V695"/>
  <c r="AQ695"/>
  <c r="Q695"/>
  <c r="L695"/>
  <c r="K695"/>
  <c r="FL694"/>
  <c r="FK694"/>
  <c r="EM694"/>
  <c r="EL694"/>
  <c r="EJ694"/>
  <c r="EI694"/>
  <c r="EK694" s="1"/>
  <c r="CR694"/>
  <c r="CQ694"/>
  <c r="CP694"/>
  <c r="CO694"/>
  <c r="EO694" s="1"/>
  <c r="FM694" s="1"/>
  <c r="AR694" s="1"/>
  <c r="AS694"/>
  <c r="V694"/>
  <c r="AQ694"/>
  <c r="Q694"/>
  <c r="L694"/>
  <c r="K694"/>
  <c r="FL693"/>
  <c r="FK693"/>
  <c r="EM693"/>
  <c r="EL693"/>
  <c r="EJ693"/>
  <c r="EI693"/>
  <c r="EK693" s="1"/>
  <c r="CR693"/>
  <c r="CQ693"/>
  <c r="CP693"/>
  <c r="CO693"/>
  <c r="EO693" s="1"/>
  <c r="FM693" s="1"/>
  <c r="AR693" s="1"/>
  <c r="AS693"/>
  <c r="V693"/>
  <c r="AQ693"/>
  <c r="Q693"/>
  <c r="L693"/>
  <c r="K693"/>
  <c r="FL692"/>
  <c r="FK692"/>
  <c r="EM692"/>
  <c r="EL692"/>
  <c r="EJ692"/>
  <c r="EI692"/>
  <c r="EK692" s="1"/>
  <c r="CR692"/>
  <c r="CQ692"/>
  <c r="CP692"/>
  <c r="CO692"/>
  <c r="EO692" s="1"/>
  <c r="FM692" s="1"/>
  <c r="AR692" s="1"/>
  <c r="AS692"/>
  <c r="V692"/>
  <c r="AQ692"/>
  <c r="Q692"/>
  <c r="L692"/>
  <c r="K692"/>
  <c r="FL691"/>
  <c r="FK691"/>
  <c r="EM691"/>
  <c r="EL691"/>
  <c r="EJ691"/>
  <c r="EI691"/>
  <c r="EK691" s="1"/>
  <c r="CR691"/>
  <c r="CQ691"/>
  <c r="CP691"/>
  <c r="CO691"/>
  <c r="EO691" s="1"/>
  <c r="FM691" s="1"/>
  <c r="AR691" s="1"/>
  <c r="AS691"/>
  <c r="V691"/>
  <c r="AQ691"/>
  <c r="Q691"/>
  <c r="L691"/>
  <c r="K691"/>
  <c r="FL690"/>
  <c r="FK690"/>
  <c r="EM690"/>
  <c r="EL690"/>
  <c r="EJ690"/>
  <c r="EI690"/>
  <c r="EK690" s="1"/>
  <c r="CR690"/>
  <c r="CQ690"/>
  <c r="CP690"/>
  <c r="CO690"/>
  <c r="EO690" s="1"/>
  <c r="FM690" s="1"/>
  <c r="AR690" s="1"/>
  <c r="AS690"/>
  <c r="V690"/>
  <c r="AQ690"/>
  <c r="Q690"/>
  <c r="L690"/>
  <c r="K690"/>
  <c r="FL688"/>
  <c r="FK688"/>
  <c r="EM688"/>
  <c r="EL688"/>
  <c r="EJ688"/>
  <c r="EI688"/>
  <c r="EK688" s="1"/>
  <c r="CR688"/>
  <c r="CQ688"/>
  <c r="CP688"/>
  <c r="CO688"/>
  <c r="EO688" s="1"/>
  <c r="FM688" s="1"/>
  <c r="AR688" s="1"/>
  <c r="AS688"/>
  <c r="V688"/>
  <c r="AQ688"/>
  <c r="Q688"/>
  <c r="L688"/>
  <c r="K688"/>
  <c r="FL686"/>
  <c r="FK686"/>
  <c r="EM686"/>
  <c r="EL686"/>
  <c r="EJ686"/>
  <c r="EI686"/>
  <c r="EK686" s="1"/>
  <c r="CR686"/>
  <c r="CQ686"/>
  <c r="CP686"/>
  <c r="CO686"/>
  <c r="EO686" s="1"/>
  <c r="FM686" s="1"/>
  <c r="AR686" s="1"/>
  <c r="AS686"/>
  <c r="V686"/>
  <c r="AQ686"/>
  <c r="Q686"/>
  <c r="L686"/>
  <c r="K686"/>
  <c r="FL689"/>
  <c r="FK689"/>
  <c r="EM689"/>
  <c r="EL689"/>
  <c r="EJ689"/>
  <c r="EI689"/>
  <c r="EK689" s="1"/>
  <c r="CR689"/>
  <c r="CQ689"/>
  <c r="CP689"/>
  <c r="CO689"/>
  <c r="EO689" s="1"/>
  <c r="FM689" s="1"/>
  <c r="AR689" s="1"/>
  <c r="AS689"/>
  <c r="V689"/>
  <c r="AQ689"/>
  <c r="Q689"/>
  <c r="L689"/>
  <c r="K689"/>
  <c r="FL687"/>
  <c r="FK687"/>
  <c r="EM687"/>
  <c r="EL687"/>
  <c r="EJ687"/>
  <c r="EI687"/>
  <c r="EK687" s="1"/>
  <c r="CR687"/>
  <c r="CQ687"/>
  <c r="CP687"/>
  <c r="CO687"/>
  <c r="EO687" s="1"/>
  <c r="FM687" s="1"/>
  <c r="AR687" s="1"/>
  <c r="AS687"/>
  <c r="V687"/>
  <c r="AQ687"/>
  <c r="Q687"/>
  <c r="L687"/>
  <c r="K687"/>
  <c r="FL685"/>
  <c r="FK685"/>
  <c r="EM685"/>
  <c r="EL685"/>
  <c r="EJ685"/>
  <c r="EI685"/>
  <c r="EK685" s="1"/>
  <c r="CR685"/>
  <c r="CQ685"/>
  <c r="CP685"/>
  <c r="CO685"/>
  <c r="EO685" s="1"/>
  <c r="FM685" s="1"/>
  <c r="AR685" s="1"/>
  <c r="AS685"/>
  <c r="V685"/>
  <c r="AQ685"/>
  <c r="Q685"/>
  <c r="L685"/>
  <c r="K685"/>
  <c r="FL684"/>
  <c r="FK684"/>
  <c r="EM684"/>
  <c r="EL684"/>
  <c r="EJ684"/>
  <c r="EI684"/>
  <c r="EK684" s="1"/>
  <c r="CR684"/>
  <c r="CQ684"/>
  <c r="CP684"/>
  <c r="CO684"/>
  <c r="EO684" s="1"/>
  <c r="FM684" s="1"/>
  <c r="AR684" s="1"/>
  <c r="AS684"/>
  <c r="V684"/>
  <c r="AQ684"/>
  <c r="Q684"/>
  <c r="L684"/>
  <c r="K684"/>
  <c r="FL680"/>
  <c r="FK680"/>
  <c r="EM680"/>
  <c r="EL680"/>
  <c r="EJ680"/>
  <c r="EI680"/>
  <c r="EK680" s="1"/>
  <c r="CR680"/>
  <c r="CQ680"/>
  <c r="CP680"/>
  <c r="CO680"/>
  <c r="EO680" s="1"/>
  <c r="FM680" s="1"/>
  <c r="AR680" s="1"/>
  <c r="AS680"/>
  <c r="V680"/>
  <c r="AQ680"/>
  <c r="Q680"/>
  <c r="L680"/>
  <c r="K680"/>
  <c r="FL683"/>
  <c r="FK683"/>
  <c r="EM683"/>
  <c r="EL683"/>
  <c r="EJ683"/>
  <c r="EI683"/>
  <c r="EK683" s="1"/>
  <c r="CR683"/>
  <c r="CQ683"/>
  <c r="CP683"/>
  <c r="CO683"/>
  <c r="EO683" s="1"/>
  <c r="FM683" s="1"/>
  <c r="AR683" s="1"/>
  <c r="AS683"/>
  <c r="V683"/>
  <c r="AQ683"/>
  <c r="Q683"/>
  <c r="L683"/>
  <c r="K683"/>
  <c r="FL682"/>
  <c r="FK682"/>
  <c r="EM682"/>
  <c r="EL682"/>
  <c r="EJ682"/>
  <c r="EI682"/>
  <c r="EK682" s="1"/>
  <c r="CR682"/>
  <c r="CQ682"/>
  <c r="CP682"/>
  <c r="CO682"/>
  <c r="EO682" s="1"/>
  <c r="FM682" s="1"/>
  <c r="AR682" s="1"/>
  <c r="AS682"/>
  <c r="V682"/>
  <c r="AQ682"/>
  <c r="Q682"/>
  <c r="L682"/>
  <c r="K682"/>
  <c r="FL681"/>
  <c r="FK681"/>
  <c r="EM681"/>
  <c r="EL681"/>
  <c r="EJ681"/>
  <c r="EI681"/>
  <c r="EK681" s="1"/>
  <c r="CR681"/>
  <c r="CQ681"/>
  <c r="CP681"/>
  <c r="CO681"/>
  <c r="EO681" s="1"/>
  <c r="FM681" s="1"/>
  <c r="AR681" s="1"/>
  <c r="AS681"/>
  <c r="V681"/>
  <c r="AQ681"/>
  <c r="Q681"/>
  <c r="L681"/>
  <c r="K681"/>
  <c r="FL679"/>
  <c r="FK679"/>
  <c r="EM679"/>
  <c r="EL679"/>
  <c r="EJ679"/>
  <c r="EI679"/>
  <c r="EK679" s="1"/>
  <c r="CR679"/>
  <c r="CQ679"/>
  <c r="CP679"/>
  <c r="CO679"/>
  <c r="EO679" s="1"/>
  <c r="FM679" s="1"/>
  <c r="AR679" s="1"/>
  <c r="AS679"/>
  <c r="V679"/>
  <c r="AQ679"/>
  <c r="Q679"/>
  <c r="L679"/>
  <c r="K679"/>
  <c r="CM281"/>
  <c r="FN716" l="1"/>
  <c r="AT716" s="1"/>
  <c r="FN717"/>
  <c r="AT717" s="1"/>
  <c r="FN718"/>
  <c r="AT718" s="1"/>
  <c r="FN719"/>
  <c r="AT719" s="1"/>
  <c r="FN720"/>
  <c r="AT720" s="1"/>
  <c r="FN721"/>
  <c r="AT721" s="1"/>
  <c r="FN722"/>
  <c r="AT722" s="1"/>
  <c r="FN723"/>
  <c r="AT723" s="1"/>
  <c r="FN724"/>
  <c r="AT724" s="1"/>
  <c r="FN725"/>
  <c r="AT725" s="1"/>
  <c r="FN726"/>
  <c r="AT726" s="1"/>
  <c r="FN727"/>
  <c r="AT727" s="1"/>
  <c r="FN728"/>
  <c r="AT728" s="1"/>
  <c r="FN729"/>
  <c r="AT729" s="1"/>
  <c r="FN730"/>
  <c r="AT730" s="1"/>
  <c r="FN731"/>
  <c r="AT731" s="1"/>
  <c r="FN732"/>
  <c r="AT732" s="1"/>
  <c r="FN733"/>
  <c r="AT733" s="1"/>
  <c r="FN734"/>
  <c r="AT734" s="1"/>
  <c r="FN735"/>
  <c r="AT735" s="1"/>
  <c r="FN736"/>
  <c r="AT736" s="1"/>
  <c r="FN737"/>
  <c r="AT737" s="1"/>
  <c r="FN738"/>
  <c r="AT738" s="1"/>
  <c r="FN739"/>
  <c r="AT739" s="1"/>
  <c r="EO699"/>
  <c r="FM699" s="1"/>
  <c r="AR699" s="1"/>
  <c r="EP679"/>
  <c r="FN679" s="1"/>
  <c r="AT679" s="1"/>
  <c r="EP681"/>
  <c r="FN681" s="1"/>
  <c r="AT681" s="1"/>
  <c r="EP682"/>
  <c r="FN682" s="1"/>
  <c r="AT682" s="1"/>
  <c r="EP683"/>
  <c r="FN683" s="1"/>
  <c r="AT683" s="1"/>
  <c r="EP680"/>
  <c r="FN680" s="1"/>
  <c r="AT680" s="1"/>
  <c r="EP684"/>
  <c r="FN684" s="1"/>
  <c r="AT684" s="1"/>
  <c r="EP685"/>
  <c r="FN685" s="1"/>
  <c r="AT685" s="1"/>
  <c r="EP687"/>
  <c r="FN687" s="1"/>
  <c r="AT687" s="1"/>
  <c r="EP689"/>
  <c r="FN689" s="1"/>
  <c r="AT689" s="1"/>
  <c r="EP686"/>
  <c r="FN686" s="1"/>
  <c r="AT686" s="1"/>
  <c r="EP688"/>
  <c r="FN688" s="1"/>
  <c r="AT688" s="1"/>
  <c r="EP690"/>
  <c r="FN690" s="1"/>
  <c r="AT690" s="1"/>
  <c r="EP691"/>
  <c r="FN691" s="1"/>
  <c r="AT691" s="1"/>
  <c r="EP692"/>
  <c r="FN692" s="1"/>
  <c r="AT692" s="1"/>
  <c r="EP693"/>
  <c r="FN693" s="1"/>
  <c r="AT693" s="1"/>
  <c r="EP694"/>
  <c r="FN694" s="1"/>
  <c r="AT694" s="1"/>
  <c r="EP695"/>
  <c r="FN695" s="1"/>
  <c r="AT695" s="1"/>
  <c r="EP696"/>
  <c r="FN696" s="1"/>
  <c r="AT696" s="1"/>
  <c r="EP697"/>
  <c r="FN697" s="1"/>
  <c r="AT697" s="1"/>
  <c r="EP698"/>
  <c r="FN698" s="1"/>
  <c r="AT698" s="1"/>
  <c r="EP699"/>
  <c r="FN699" s="1"/>
  <c r="AT699" s="1"/>
  <c r="EP700"/>
  <c r="FN700" s="1"/>
  <c r="AT700" s="1"/>
  <c r="EP701"/>
  <c r="FN701" s="1"/>
  <c r="AT701" s="1"/>
  <c r="EP702"/>
  <c r="FN702" s="1"/>
  <c r="AT702" s="1"/>
  <c r="EP703"/>
  <c r="FN703" s="1"/>
  <c r="AT703" s="1"/>
  <c r="EP704"/>
  <c r="FN704" s="1"/>
  <c r="AT704" s="1"/>
  <c r="EP705"/>
  <c r="FN705" s="1"/>
  <c r="AT705" s="1"/>
  <c r="EP706"/>
  <c r="FN706" s="1"/>
  <c r="AT706" s="1"/>
  <c r="EP707"/>
  <c r="FN707" s="1"/>
  <c r="AT707" s="1"/>
  <c r="EP708"/>
  <c r="FN708" s="1"/>
  <c r="AT708" s="1"/>
  <c r="EP709"/>
  <c r="FN709" s="1"/>
  <c r="AT709" s="1"/>
  <c r="EP710"/>
  <c r="FN710" s="1"/>
  <c r="AT710" s="1"/>
  <c r="EP711"/>
  <c r="FN711" s="1"/>
  <c r="AT711" s="1"/>
  <c r="EP712"/>
  <c r="FN712" s="1"/>
  <c r="AT712" s="1"/>
  <c r="EP713"/>
  <c r="FN713" s="1"/>
  <c r="AT713" s="1"/>
  <c r="EP714"/>
  <c r="FN714" s="1"/>
  <c r="AT714" s="1"/>
  <c r="EP715"/>
  <c r="FN715" s="1"/>
  <c r="AT715" s="1"/>
  <c r="EN679"/>
  <c r="EN681"/>
  <c r="EN682"/>
  <c r="EN683"/>
  <c r="EN680"/>
  <c r="EN684"/>
  <c r="EN685"/>
  <c r="EN687"/>
  <c r="EN689"/>
  <c r="EN686"/>
  <c r="EN688"/>
  <c r="EN690"/>
  <c r="EN691"/>
  <c r="EN692"/>
  <c r="EN693"/>
  <c r="EN694"/>
  <c r="EN695"/>
  <c r="EN696"/>
  <c r="EN697"/>
  <c r="EN698"/>
  <c r="EN699"/>
  <c r="EN700"/>
  <c r="EN701"/>
  <c r="EN702"/>
  <c r="EN703"/>
  <c r="EN704"/>
  <c r="EN705"/>
  <c r="EN706"/>
  <c r="EN707"/>
  <c r="EN708"/>
  <c r="EN709"/>
  <c r="EN710"/>
  <c r="EN711"/>
  <c r="EN712"/>
  <c r="EN713"/>
  <c r="EN714"/>
  <c r="EN715"/>
  <c r="FL678"/>
  <c r="FK678"/>
  <c r="FL677"/>
  <c r="FK677"/>
  <c r="FL676"/>
  <c r="FK676"/>
  <c r="FL675"/>
  <c r="FK675"/>
  <c r="FL674"/>
  <c r="FK674"/>
  <c r="FL673"/>
  <c r="FK673"/>
  <c r="FL672"/>
  <c r="FK672"/>
  <c r="FL671"/>
  <c r="FK671"/>
  <c r="FL670"/>
  <c r="FK670"/>
  <c r="FL669"/>
  <c r="FK669"/>
  <c r="FL668"/>
  <c r="FK668"/>
  <c r="FL667"/>
  <c r="FK667"/>
  <c r="FL666"/>
  <c r="FK666"/>
  <c r="FL665"/>
  <c r="FK665"/>
  <c r="FL664"/>
  <c r="FK664"/>
  <c r="FL663"/>
  <c r="FK663"/>
  <c r="FL662"/>
  <c r="FK662"/>
  <c r="FL661"/>
  <c r="FK661"/>
  <c r="FL660"/>
  <c r="FK660"/>
  <c r="FL659"/>
  <c r="FK659"/>
  <c r="FL658"/>
  <c r="FK658"/>
  <c r="FL657"/>
  <c r="FK657"/>
  <c r="FL656"/>
  <c r="FK656"/>
  <c r="FL655"/>
  <c r="FK655"/>
  <c r="FL654"/>
  <c r="FK654"/>
  <c r="FL653"/>
  <c r="FK653"/>
  <c r="FL652"/>
  <c r="FK652"/>
  <c r="FL651"/>
  <c r="FK651"/>
  <c r="FL650"/>
  <c r="FK650"/>
  <c r="FL649"/>
  <c r="FK649"/>
  <c r="FL648"/>
  <c r="FK648"/>
  <c r="FL647"/>
  <c r="FK647"/>
  <c r="FL646"/>
  <c r="FK646"/>
  <c r="FL645"/>
  <c r="FK645"/>
  <c r="FL644"/>
  <c r="FK644"/>
  <c r="FL643"/>
  <c r="FK643"/>
  <c r="FL642"/>
  <c r="FK642"/>
  <c r="FL641"/>
  <c r="FK641"/>
  <c r="FL640"/>
  <c r="FK640"/>
  <c r="FL639"/>
  <c r="FK639"/>
  <c r="FL638"/>
  <c r="FK638"/>
  <c r="FL637"/>
  <c r="FK637"/>
  <c r="FL636"/>
  <c r="FK636"/>
  <c r="FL635"/>
  <c r="FK635"/>
  <c r="FL634"/>
  <c r="FK634"/>
  <c r="FL633"/>
  <c r="FK633"/>
  <c r="FL632"/>
  <c r="FK632"/>
  <c r="FL631"/>
  <c r="FK631"/>
  <c r="FL630"/>
  <c r="FK630"/>
  <c r="FL629"/>
  <c r="FK629"/>
  <c r="FL628"/>
  <c r="FK628"/>
  <c r="FL627"/>
  <c r="FK627"/>
  <c r="FL626"/>
  <c r="FK626"/>
  <c r="FL625"/>
  <c r="FK625"/>
  <c r="FL624"/>
  <c r="FK624"/>
  <c r="FL623"/>
  <c r="FK623"/>
  <c r="FL622"/>
  <c r="FK622"/>
  <c r="FL621"/>
  <c r="FK621"/>
  <c r="FL620"/>
  <c r="FK620"/>
  <c r="FL619"/>
  <c r="FK619"/>
  <c r="FL618"/>
  <c r="FK618"/>
  <c r="FL617"/>
  <c r="FK617"/>
  <c r="FL616"/>
  <c r="FK616"/>
  <c r="FL615"/>
  <c r="FK615"/>
  <c r="FL614"/>
  <c r="FK614"/>
  <c r="FL613"/>
  <c r="FK613"/>
  <c r="FL612"/>
  <c r="FK612"/>
  <c r="FL611"/>
  <c r="FK611"/>
  <c r="FL610"/>
  <c r="FK610"/>
  <c r="FL609"/>
  <c r="FK609"/>
  <c r="FL608"/>
  <c r="FK608"/>
  <c r="FL607"/>
  <c r="FK607"/>
  <c r="FL606"/>
  <c r="FK606"/>
  <c r="FL605"/>
  <c r="FK605"/>
  <c r="FL604"/>
  <c r="FK604"/>
  <c r="FL603"/>
  <c r="FK603"/>
  <c r="FL602"/>
  <c r="FK602"/>
  <c r="FL601"/>
  <c r="FK601"/>
  <c r="FL600"/>
  <c r="FK600"/>
  <c r="FL599"/>
  <c r="FK599"/>
  <c r="FL598"/>
  <c r="FK598"/>
  <c r="FL597"/>
  <c r="FK597"/>
  <c r="FL596"/>
  <c r="FK596"/>
  <c r="FL595"/>
  <c r="FK595"/>
  <c r="FL594"/>
  <c r="FK594"/>
  <c r="FL593"/>
  <c r="FK593"/>
  <c r="FL592"/>
  <c r="FK592"/>
  <c r="FL591"/>
  <c r="FK591"/>
  <c r="FL590"/>
  <c r="FK590"/>
  <c r="FL589"/>
  <c r="FK589"/>
  <c r="FL588"/>
  <c r="FK588"/>
  <c r="FL587"/>
  <c r="FK587"/>
  <c r="FL586"/>
  <c r="FK586"/>
  <c r="FL585"/>
  <c r="FL584"/>
  <c r="FL583"/>
  <c r="FK583"/>
  <c r="FL574"/>
  <c r="FK574"/>
  <c r="FL567"/>
  <c r="FK567"/>
  <c r="FL566"/>
  <c r="FK566"/>
  <c r="FL565"/>
  <c r="FK565"/>
  <c r="FL564"/>
  <c r="FK564"/>
  <c r="FL563"/>
  <c r="FK563"/>
  <c r="FL562"/>
  <c r="FK562"/>
  <c r="FL561"/>
  <c r="FK561"/>
  <c r="FL560"/>
  <c r="FK560"/>
  <c r="FL559"/>
  <c r="FK559"/>
  <c r="FL558"/>
  <c r="FK558"/>
  <c r="FL557"/>
  <c r="FK557"/>
  <c r="FL556"/>
  <c r="FK556"/>
  <c r="FL555"/>
  <c r="FK555"/>
  <c r="FL554"/>
  <c r="FK554"/>
  <c r="FL553"/>
  <c r="FK553"/>
  <c r="FL552"/>
  <c r="FK552"/>
  <c r="FL551"/>
  <c r="FK551"/>
  <c r="FL550"/>
  <c r="FK550"/>
  <c r="FL549"/>
  <c r="FK549"/>
  <c r="FL548"/>
  <c r="FK548"/>
  <c r="FL547"/>
  <c r="FK547"/>
  <c r="FL546"/>
  <c r="FK546"/>
  <c r="FL545"/>
  <c r="FK545"/>
  <c r="FL544"/>
  <c r="FK544"/>
  <c r="FL543"/>
  <c r="FK543"/>
  <c r="FL542"/>
  <c r="FK542"/>
  <c r="FL541"/>
  <c r="FK541"/>
  <c r="FL540"/>
  <c r="FK540"/>
  <c r="FL539"/>
  <c r="FK539"/>
  <c r="FL538"/>
  <c r="FK538"/>
  <c r="FL537"/>
  <c r="FK537"/>
  <c r="FL536"/>
  <c r="FK536"/>
  <c r="FL535"/>
  <c r="FK535"/>
  <c r="FL534"/>
  <c r="FK534"/>
  <c r="FL533"/>
  <c r="FK533"/>
  <c r="FL532"/>
  <c r="FK532"/>
  <c r="FL531"/>
  <c r="FK531"/>
  <c r="FL530"/>
  <c r="FK530"/>
  <c r="FL529"/>
  <c r="FK529"/>
  <c r="FL528"/>
  <c r="FK528"/>
  <c r="FL527"/>
  <c r="FK527"/>
  <c r="FL526"/>
  <c r="FK526"/>
  <c r="FL525"/>
  <c r="FK525"/>
  <c r="FL524"/>
  <c r="FK524"/>
  <c r="FL523"/>
  <c r="FK523"/>
  <c r="FL522"/>
  <c r="FK522"/>
  <c r="FL521"/>
  <c r="FK521"/>
  <c r="FL520"/>
  <c r="FK520"/>
  <c r="FL519"/>
  <c r="FK519"/>
  <c r="FL518"/>
  <c r="FK518"/>
  <c r="FL517"/>
  <c r="FK517"/>
  <c r="FL516"/>
  <c r="FK516"/>
  <c r="FL515"/>
  <c r="FK515"/>
  <c r="FL514"/>
  <c r="FK514"/>
  <c r="FL513"/>
  <c r="FK513"/>
  <c r="FL512"/>
  <c r="FK512"/>
  <c r="FL511"/>
  <c r="FK511"/>
  <c r="FL510"/>
  <c r="FK510"/>
  <c r="FL509"/>
  <c r="FK509"/>
  <c r="FL508"/>
  <c r="FK508"/>
  <c r="FL507"/>
  <c r="FK507"/>
  <c r="FL506"/>
  <c r="FK506"/>
  <c r="FL505"/>
  <c r="FK505"/>
  <c r="FL504"/>
  <c r="FK504"/>
  <c r="FL503"/>
  <c r="FK503"/>
  <c r="FL502"/>
  <c r="FK502"/>
  <c r="FL501"/>
  <c r="FK501"/>
  <c r="FL500"/>
  <c r="FK500"/>
  <c r="FL499"/>
  <c r="FK499"/>
  <c r="FL498"/>
  <c r="FK498"/>
  <c r="FL497"/>
  <c r="FK497"/>
  <c r="FL496"/>
  <c r="FK496"/>
  <c r="FL495"/>
  <c r="FK495"/>
  <c r="FL494"/>
  <c r="FK494"/>
  <c r="FL493"/>
  <c r="FK493"/>
  <c r="FL492"/>
  <c r="FK492"/>
  <c r="FL491"/>
  <c r="FK491"/>
  <c r="FL490"/>
  <c r="FK490"/>
  <c r="FL489"/>
  <c r="FK489"/>
  <c r="FL488"/>
  <c r="FK488"/>
  <c r="FL487"/>
  <c r="FK487"/>
  <c r="FL486"/>
  <c r="FK486"/>
  <c r="FL485"/>
  <c r="FK485"/>
  <c r="FL484"/>
  <c r="FK484"/>
  <c r="FL483"/>
  <c r="FK483"/>
  <c r="FL482"/>
  <c r="FK482"/>
  <c r="FL481"/>
  <c r="FK481"/>
  <c r="FL480"/>
  <c r="FK480"/>
  <c r="FL479"/>
  <c r="FK479"/>
  <c r="FL478"/>
  <c r="FK478"/>
  <c r="FL477"/>
  <c r="FK477"/>
  <c r="FL476"/>
  <c r="FK476"/>
  <c r="FL475"/>
  <c r="FK475"/>
  <c r="FL474"/>
  <c r="FK474"/>
  <c r="FL473"/>
  <c r="FK473"/>
  <c r="FL472"/>
  <c r="FK472"/>
  <c r="FL471"/>
  <c r="FK471"/>
  <c r="FL470"/>
  <c r="FK470"/>
  <c r="FL469"/>
  <c r="FK469"/>
  <c r="FL468"/>
  <c r="FK468"/>
  <c r="FL467"/>
  <c r="FK467"/>
  <c r="FL466"/>
  <c r="FK466"/>
  <c r="FL465"/>
  <c r="FK465"/>
  <c r="FL464"/>
  <c r="FK464"/>
  <c r="FL463"/>
  <c r="FK463"/>
  <c r="FL462"/>
  <c r="FK462"/>
  <c r="FL461"/>
  <c r="FK461"/>
  <c r="FL460"/>
  <c r="FK460"/>
  <c r="FL459"/>
  <c r="FK459"/>
  <c r="FL458"/>
  <c r="FK458"/>
  <c r="FL457"/>
  <c r="FK457"/>
  <c r="FL456"/>
  <c r="FK456"/>
  <c r="FL455"/>
  <c r="FK455"/>
  <c r="FL454"/>
  <c r="FK454"/>
  <c r="FL453"/>
  <c r="FK453"/>
  <c r="FL452"/>
  <c r="FK452"/>
  <c r="FL451"/>
  <c r="FK451"/>
  <c r="FL450"/>
  <c r="FK450"/>
  <c r="FL449"/>
  <c r="FK449"/>
  <c r="FL448"/>
  <c r="FK448"/>
  <c r="FL447"/>
  <c r="FK447"/>
  <c r="FL446"/>
  <c r="FK446"/>
  <c r="FL445"/>
  <c r="FK445"/>
  <c r="FL444"/>
  <c r="FK444"/>
  <c r="FL443"/>
  <c r="FK443"/>
  <c r="FL442"/>
  <c r="FK442"/>
  <c r="FL441"/>
  <c r="FK441"/>
  <c r="FL440"/>
  <c r="FK440"/>
  <c r="FL439"/>
  <c r="FK439"/>
  <c r="FL438"/>
  <c r="FK438"/>
  <c r="FL437"/>
  <c r="FK437"/>
  <c r="FL436"/>
  <c r="FK436"/>
  <c r="FL435"/>
  <c r="FK435"/>
  <c r="FL434"/>
  <c r="FK434"/>
  <c r="FL433"/>
  <c r="FK433"/>
  <c r="FL432"/>
  <c r="FK432"/>
  <c r="FL431"/>
  <c r="FK431"/>
  <c r="FL430"/>
  <c r="FK430"/>
  <c r="FL429"/>
  <c r="FK429"/>
  <c r="FL428"/>
  <c r="FK428"/>
  <c r="FL427"/>
  <c r="FK427"/>
  <c r="FL426"/>
  <c r="FK426"/>
  <c r="FL425"/>
  <c r="FK425"/>
  <c r="FL424"/>
  <c r="FK424"/>
  <c r="FL423"/>
  <c r="FK423"/>
  <c r="FL422"/>
  <c r="FK422"/>
  <c r="FL421"/>
  <c r="FK421"/>
  <c r="FL420"/>
  <c r="FK420"/>
  <c r="FL419"/>
  <c r="FK419"/>
  <c r="FL418"/>
  <c r="FK418"/>
  <c r="FL417"/>
  <c r="FK417"/>
  <c r="FL416"/>
  <c r="FK416"/>
  <c r="FL415"/>
  <c r="FK415"/>
  <c r="FL414"/>
  <c r="FK414"/>
  <c r="FL413"/>
  <c r="FK413"/>
  <c r="FL412"/>
  <c r="FK412"/>
  <c r="FL411"/>
  <c r="FK411"/>
  <c r="FL410"/>
  <c r="FK410"/>
  <c r="FL409"/>
  <c r="FK409"/>
  <c r="FL408"/>
  <c r="FK408"/>
  <c r="FL407"/>
  <c r="FK407"/>
  <c r="FL406"/>
  <c r="FK406"/>
  <c r="FL405"/>
  <c r="FK405"/>
  <c r="FL404"/>
  <c r="FK404"/>
  <c r="FL403"/>
  <c r="FK403"/>
  <c r="FL402"/>
  <c r="FK402"/>
  <c r="FL401"/>
  <c r="FK401"/>
  <c r="FL400"/>
  <c r="FK400"/>
  <c r="FL399"/>
  <c r="FK399"/>
  <c r="FL398"/>
  <c r="FK398"/>
  <c r="FL397"/>
  <c r="FK397"/>
  <c r="FL396"/>
  <c r="FK396"/>
  <c r="FL395"/>
  <c r="FK395"/>
  <c r="FL394"/>
  <c r="FK394"/>
  <c r="FL393"/>
  <c r="FK393"/>
  <c r="FL392"/>
  <c r="FK392"/>
  <c r="FL391"/>
  <c r="FK391"/>
  <c r="FL390"/>
  <c r="FK390"/>
  <c r="FL389"/>
  <c r="FK389"/>
  <c r="FL388"/>
  <c r="FK388"/>
  <c r="FL387"/>
  <c r="FK387"/>
  <c r="FL386"/>
  <c r="FK386"/>
  <c r="FL385"/>
  <c r="FK385"/>
  <c r="FL384"/>
  <c r="FK384"/>
  <c r="FL383"/>
  <c r="FK383"/>
  <c r="FL382"/>
  <c r="FK382"/>
  <c r="FL381"/>
  <c r="FK381"/>
  <c r="FL380"/>
  <c r="FK380"/>
  <c r="FL379"/>
  <c r="FK379"/>
  <c r="FL378"/>
  <c r="FK378"/>
  <c r="FL377"/>
  <c r="FK377"/>
  <c r="FL376"/>
  <c r="FK376"/>
  <c r="FL375"/>
  <c r="FK375"/>
  <c r="FL374"/>
  <c r="FK374"/>
  <c r="FL373"/>
  <c r="FK373"/>
  <c r="FL372"/>
  <c r="FK372"/>
  <c r="FL371"/>
  <c r="FK371"/>
  <c r="FL370"/>
  <c r="FK370"/>
  <c r="FL369"/>
  <c r="FK369"/>
  <c r="FL368"/>
  <c r="FK368"/>
  <c r="FL367"/>
  <c r="FK367"/>
  <c r="FL366"/>
  <c r="FK366"/>
  <c r="FL365"/>
  <c r="FK365"/>
  <c r="FL364"/>
  <c r="FK364"/>
  <c r="FL363"/>
  <c r="FK363"/>
  <c r="FL362"/>
  <c r="FK362"/>
  <c r="FL361"/>
  <c r="FK361"/>
  <c r="FL360"/>
  <c r="FK360"/>
  <c r="FL359"/>
  <c r="FK359"/>
  <c r="FL358"/>
  <c r="FK358"/>
  <c r="FL357"/>
  <c r="FK357"/>
  <c r="FL356"/>
  <c r="FK356"/>
  <c r="FL355"/>
  <c r="FK355"/>
  <c r="FL354"/>
  <c r="FK354"/>
  <c r="FL353"/>
  <c r="FK353"/>
  <c r="FL352"/>
  <c r="FK352"/>
  <c r="FL351"/>
  <c r="FK351"/>
  <c r="FL350"/>
  <c r="FK350"/>
  <c r="FL349"/>
  <c r="FK349"/>
  <c r="FL348"/>
  <c r="FK348"/>
  <c r="FL347"/>
  <c r="FK347"/>
  <c r="FL346"/>
  <c r="FK346"/>
  <c r="FL345"/>
  <c r="FK345"/>
  <c r="FL344"/>
  <c r="FK344"/>
  <c r="FL343"/>
  <c r="FK343"/>
  <c r="FL342"/>
  <c r="FK342"/>
  <c r="FL341"/>
  <c r="FK341"/>
  <c r="FL340"/>
  <c r="FK340"/>
  <c r="FL339"/>
  <c r="FK339"/>
  <c r="FL338"/>
  <c r="FK338"/>
  <c r="FL337"/>
  <c r="FK337"/>
  <c r="FL336"/>
  <c r="FK336"/>
  <c r="FL335"/>
  <c r="FK335"/>
  <c r="FL334"/>
  <c r="FK334"/>
  <c r="FL333"/>
  <c r="FK333"/>
  <c r="FL332"/>
  <c r="FK332"/>
  <c r="FL331"/>
  <c r="FK331"/>
  <c r="FL330"/>
  <c r="FK330"/>
  <c r="FL329"/>
  <c r="FK329"/>
  <c r="FL328"/>
  <c r="FK328"/>
  <c r="FL327"/>
  <c r="FK327"/>
  <c r="FL326"/>
  <c r="FK326"/>
  <c r="FL325"/>
  <c r="FK325"/>
  <c r="FL324"/>
  <c r="FK324"/>
  <c r="FL323"/>
  <c r="FK323"/>
  <c r="FL322"/>
  <c r="FK322"/>
  <c r="FL321"/>
  <c r="FK321"/>
  <c r="FL320"/>
  <c r="FK320"/>
  <c r="FL319"/>
  <c r="FK319"/>
  <c r="FL318"/>
  <c r="FK318"/>
  <c r="FL316"/>
  <c r="FK316"/>
  <c r="FL317"/>
  <c r="FK317"/>
  <c r="FL315"/>
  <c r="FK315"/>
  <c r="FL314"/>
  <c r="FK314"/>
  <c r="FL313"/>
  <c r="FK313"/>
  <c r="FL312"/>
  <c r="FK312"/>
  <c r="FL311"/>
  <c r="FK311"/>
  <c r="FL310"/>
  <c r="FK310"/>
  <c r="FL309"/>
  <c r="FK309"/>
  <c r="FL308"/>
  <c r="FK308"/>
  <c r="FL307"/>
  <c r="FK307"/>
  <c r="FL306"/>
  <c r="FK306"/>
  <c r="FL305"/>
  <c r="FK305"/>
  <c r="FL304"/>
  <c r="FK304"/>
  <c r="FL303"/>
  <c r="FK303"/>
  <c r="FL302"/>
  <c r="FK302"/>
  <c r="FL301"/>
  <c r="FK301"/>
  <c r="FL300"/>
  <c r="FK300"/>
  <c r="FL299"/>
  <c r="FK299"/>
  <c r="FL298"/>
  <c r="FK298"/>
  <c r="FL297"/>
  <c r="FK297"/>
  <c r="FL296"/>
  <c r="FK296"/>
  <c r="FL295"/>
  <c r="FK295"/>
  <c r="FL294"/>
  <c r="FK294"/>
  <c r="FL293"/>
  <c r="FK293"/>
  <c r="FL292"/>
  <c r="FK292"/>
  <c r="FL291"/>
  <c r="FK291"/>
  <c r="FL290"/>
  <c r="FK290"/>
  <c r="FL289"/>
  <c r="FK289"/>
  <c r="FL288"/>
  <c r="FK288"/>
  <c r="FL287"/>
  <c r="FK287"/>
  <c r="FL286"/>
  <c r="FK286"/>
  <c r="FL285"/>
  <c r="FK285"/>
  <c r="FL284"/>
  <c r="FK284"/>
  <c r="FL283"/>
  <c r="FK283"/>
  <c r="FL282"/>
  <c r="FK282"/>
  <c r="FL281"/>
  <c r="FK281"/>
  <c r="FL280"/>
  <c r="FK280"/>
  <c r="FL279"/>
  <c r="FK279"/>
  <c r="FL278"/>
  <c r="FK278"/>
  <c r="FL277"/>
  <c r="FK277"/>
  <c r="FL276"/>
  <c r="FK276"/>
  <c r="FL275"/>
  <c r="FK275"/>
  <c r="FL274"/>
  <c r="FK274"/>
  <c r="FL273"/>
  <c r="FK273"/>
  <c r="FL272"/>
  <c r="FK272"/>
  <c r="FL271"/>
  <c r="FK271"/>
  <c r="FL270"/>
  <c r="FK270"/>
  <c r="FL269"/>
  <c r="FK269"/>
  <c r="FL268"/>
  <c r="FK268"/>
  <c r="FL267"/>
  <c r="FK267"/>
  <c r="FL266"/>
  <c r="FK266"/>
  <c r="FL265"/>
  <c r="FK265"/>
  <c r="FL264"/>
  <c r="FK264"/>
  <c r="FL263"/>
  <c r="FK263"/>
  <c r="FL262"/>
  <c r="FK262"/>
  <c r="FL261"/>
  <c r="FK261"/>
  <c r="FL260"/>
  <c r="FK260"/>
  <c r="FL259"/>
  <c r="FK259"/>
  <c r="FL258"/>
  <c r="FK258"/>
  <c r="FL257"/>
  <c r="FK257"/>
  <c r="FL256"/>
  <c r="FK256"/>
  <c r="FL255"/>
  <c r="FK255"/>
  <c r="FL254"/>
  <c r="FK254"/>
  <c r="FL253"/>
  <c r="FK253"/>
  <c r="FL252"/>
  <c r="FK252"/>
  <c r="FL251"/>
  <c r="FK251"/>
  <c r="FL250"/>
  <c r="FK250"/>
  <c r="FL249"/>
  <c r="FK249"/>
  <c r="FL248"/>
  <c r="FK248"/>
  <c r="FL247"/>
  <c r="FK247"/>
  <c r="FL246"/>
  <c r="FK246"/>
  <c r="FL245"/>
  <c r="FK245"/>
  <c r="FL244"/>
  <c r="FK244"/>
  <c r="FL243"/>
  <c r="FK243"/>
  <c r="FL242"/>
  <c r="FK242"/>
  <c r="FL241"/>
  <c r="FK241"/>
  <c r="FL240"/>
  <c r="FK240"/>
  <c r="FL239"/>
  <c r="FK239"/>
  <c r="FL238"/>
  <c r="FK238"/>
  <c r="FL237"/>
  <c r="FK237"/>
  <c r="FL236"/>
  <c r="FK236"/>
  <c r="FL235"/>
  <c r="FK235"/>
  <c r="FL234"/>
  <c r="FK234"/>
  <c r="FL233"/>
  <c r="FK233"/>
  <c r="FL232"/>
  <c r="FK232"/>
  <c r="FL231"/>
  <c r="FK231"/>
  <c r="FL230"/>
  <c r="FK230"/>
  <c r="FL229"/>
  <c r="FK229"/>
  <c r="FL228"/>
  <c r="FK228"/>
  <c r="FL227"/>
  <c r="FK227"/>
  <c r="FL226"/>
  <c r="FK226"/>
  <c r="FL225"/>
  <c r="FK225"/>
  <c r="FL224"/>
  <c r="FK224"/>
  <c r="FL223"/>
  <c r="FK223"/>
  <c r="FL222"/>
  <c r="FK222"/>
  <c r="FL221"/>
  <c r="FK221"/>
  <c r="FL220"/>
  <c r="FK220"/>
  <c r="FL219"/>
  <c r="FK219"/>
  <c r="FL218"/>
  <c r="FK218"/>
  <c r="FL217"/>
  <c r="FK217"/>
  <c r="FL216"/>
  <c r="FK216"/>
  <c r="FL215"/>
  <c r="FK215"/>
  <c r="FL214"/>
  <c r="FK214"/>
  <c r="FL213"/>
  <c r="FK213"/>
  <c r="FL212"/>
  <c r="FK212"/>
  <c r="FL211"/>
  <c r="FK211"/>
  <c r="FL210"/>
  <c r="FK210"/>
  <c r="FL209"/>
  <c r="FK209"/>
  <c r="FL208"/>
  <c r="FK208"/>
  <c r="FL207"/>
  <c r="FK207"/>
  <c r="FL206"/>
  <c r="FK206"/>
  <c r="FL205"/>
  <c r="FK205"/>
  <c r="FL204"/>
  <c r="FK204"/>
  <c r="FL203"/>
  <c r="FK203"/>
  <c r="FL202"/>
  <c r="FK202"/>
  <c r="FL201"/>
  <c r="FK201"/>
  <c r="FL200"/>
  <c r="FK200"/>
  <c r="FL199"/>
  <c r="FK199"/>
  <c r="FL198"/>
  <c r="FK198"/>
  <c r="FL197"/>
  <c r="FK197"/>
  <c r="FL196"/>
  <c r="FK196"/>
  <c r="FL195"/>
  <c r="FK195"/>
  <c r="FL194"/>
  <c r="FK194"/>
  <c r="FL193"/>
  <c r="FK193"/>
  <c r="FL192"/>
  <c r="FK192"/>
  <c r="FL191"/>
  <c r="FK191"/>
  <c r="FL190"/>
  <c r="FK190"/>
  <c r="FL189"/>
  <c r="FK189"/>
  <c r="FL188"/>
  <c r="FK188"/>
  <c r="FL187"/>
  <c r="FK187"/>
  <c r="FL186"/>
  <c r="FK186"/>
  <c r="FL185"/>
  <c r="FK185"/>
  <c r="FL184"/>
  <c r="FK184"/>
  <c r="FL183"/>
  <c r="FK183"/>
  <c r="FL182"/>
  <c r="FK182"/>
  <c r="FL181"/>
  <c r="FK181"/>
  <c r="FL180"/>
  <c r="FK180"/>
  <c r="FL179"/>
  <c r="FK179"/>
  <c r="FL178"/>
  <c r="FK178"/>
  <c r="FL177"/>
  <c r="FK177"/>
  <c r="FL176"/>
  <c r="FK176"/>
  <c r="FL175"/>
  <c r="FK175"/>
  <c r="FL174"/>
  <c r="FK174"/>
  <c r="FL173"/>
  <c r="FK173"/>
  <c r="FL172"/>
  <c r="FK172"/>
  <c r="FL171"/>
  <c r="FK171"/>
  <c r="FL170"/>
  <c r="FK170"/>
  <c r="FL169"/>
  <c r="FK169"/>
  <c r="FL168"/>
  <c r="FK168"/>
  <c r="FL167"/>
  <c r="FK167"/>
  <c r="FL166"/>
  <c r="FK166"/>
  <c r="FL165"/>
  <c r="FK165"/>
  <c r="FL164"/>
  <c r="FK164"/>
  <c r="FL163"/>
  <c r="FK163"/>
  <c r="FL162"/>
  <c r="FK162"/>
  <c r="FL161"/>
  <c r="FK161"/>
  <c r="FL160"/>
  <c r="FK160"/>
  <c r="FL159"/>
  <c r="FK159"/>
  <c r="FL158"/>
  <c r="FK158"/>
  <c r="FL157"/>
  <c r="FK157"/>
  <c r="FL156"/>
  <c r="FK156"/>
  <c r="FL155"/>
  <c r="FK155"/>
  <c r="FL154"/>
  <c r="FK154"/>
  <c r="FL153"/>
  <c r="FK153"/>
  <c r="FL152"/>
  <c r="FK152"/>
  <c r="FL151"/>
  <c r="FK151"/>
  <c r="FL150"/>
  <c r="FK150"/>
  <c r="FL149"/>
  <c r="FK149"/>
  <c r="FL148"/>
  <c r="FK148"/>
  <c r="FL147"/>
  <c r="FK147"/>
  <c r="FL146"/>
  <c r="FK146"/>
  <c r="FL145"/>
  <c r="FK145"/>
  <c r="FL144"/>
  <c r="FK144"/>
  <c r="FL143"/>
  <c r="FK143"/>
  <c r="FL142"/>
  <c r="FK142"/>
  <c r="FL141"/>
  <c r="FK141"/>
  <c r="FL140"/>
  <c r="FK140"/>
  <c r="FL139"/>
  <c r="FK139"/>
  <c r="FL138"/>
  <c r="FK138"/>
  <c r="FL137"/>
  <c r="FK137"/>
  <c r="FL136"/>
  <c r="FK136"/>
  <c r="FL135"/>
  <c r="FK135"/>
  <c r="FL134"/>
  <c r="FK134"/>
  <c r="FL133"/>
  <c r="FK133"/>
  <c r="FL132"/>
  <c r="FK132"/>
  <c r="FL131"/>
  <c r="FK131"/>
  <c r="FL130"/>
  <c r="FK130"/>
  <c r="FL129"/>
  <c r="FK129"/>
  <c r="FL128"/>
  <c r="FK128"/>
  <c r="FL127"/>
  <c r="FK127"/>
  <c r="FL126"/>
  <c r="FK126"/>
  <c r="FL125"/>
  <c r="FK125"/>
  <c r="FL124"/>
  <c r="FK124"/>
  <c r="FL123"/>
  <c r="FK123"/>
  <c r="FL122"/>
  <c r="FK122"/>
  <c r="FL121"/>
  <c r="FK121"/>
  <c r="FL120"/>
  <c r="FK120"/>
  <c r="FL119"/>
  <c r="FK119"/>
  <c r="FL118"/>
  <c r="FK118"/>
  <c r="FL117"/>
  <c r="FK117"/>
  <c r="FL116"/>
  <c r="FK116"/>
  <c r="FL115"/>
  <c r="FK115"/>
  <c r="FL114"/>
  <c r="FK114"/>
  <c r="FL113"/>
  <c r="FK113"/>
  <c r="FL112"/>
  <c r="FK112"/>
  <c r="FL111"/>
  <c r="FK111"/>
  <c r="FL110"/>
  <c r="FK110"/>
  <c r="FL109"/>
  <c r="FK109"/>
  <c r="FL108"/>
  <c r="FK108"/>
  <c r="FL107"/>
  <c r="FK107"/>
  <c r="FL106"/>
  <c r="FK106"/>
  <c r="FL105"/>
  <c r="FK105"/>
  <c r="FL104"/>
  <c r="FK104"/>
  <c r="FL103"/>
  <c r="FK103"/>
  <c r="FL102"/>
  <c r="FK102"/>
  <c r="FL101"/>
  <c r="FK101"/>
  <c r="FL100"/>
  <c r="FK100"/>
  <c r="FL99"/>
  <c r="FK99"/>
  <c r="FL98"/>
  <c r="FK98"/>
  <c r="FL97"/>
  <c r="FK97"/>
  <c r="FL96"/>
  <c r="FK96"/>
  <c r="FL95"/>
  <c r="FK95"/>
  <c r="FL94"/>
  <c r="FK94"/>
  <c r="FL93"/>
  <c r="FK93"/>
  <c r="FL92"/>
  <c r="FK92"/>
  <c r="FL91"/>
  <c r="FK91"/>
  <c r="FL90"/>
  <c r="FK90"/>
  <c r="FL89"/>
  <c r="FK89"/>
  <c r="FL88"/>
  <c r="FK88"/>
  <c r="FL87"/>
  <c r="FK87"/>
  <c r="FL86"/>
  <c r="FK86"/>
  <c r="FL85"/>
  <c r="FK85"/>
  <c r="FL84"/>
  <c r="FK84"/>
  <c r="FL83"/>
  <c r="FK83"/>
  <c r="FL82"/>
  <c r="FK82"/>
  <c r="FL81"/>
  <c r="FK81"/>
  <c r="FL80"/>
  <c r="FK80"/>
  <c r="FL79"/>
  <c r="FK79"/>
  <c r="FL78"/>
  <c r="FK78"/>
  <c r="FL77"/>
  <c r="FK77"/>
  <c r="FL76"/>
  <c r="FK76"/>
  <c r="FL75"/>
  <c r="FK75"/>
  <c r="FL74"/>
  <c r="FK74"/>
  <c r="FL73"/>
  <c r="FK73"/>
  <c r="FL72"/>
  <c r="FK72"/>
  <c r="FL71"/>
  <c r="FK71"/>
  <c r="FL70"/>
  <c r="FK70"/>
  <c r="FL69"/>
  <c r="FK69"/>
  <c r="FL68"/>
  <c r="FK68"/>
  <c r="FL67"/>
  <c r="FK67"/>
  <c r="FL66"/>
  <c r="FK66"/>
  <c r="FL65"/>
  <c r="FK65"/>
  <c r="FL64"/>
  <c r="FK64"/>
  <c r="FL63"/>
  <c r="FK63"/>
  <c r="FL62"/>
  <c r="FK62"/>
  <c r="FL61"/>
  <c r="FK61"/>
  <c r="FL60"/>
  <c r="FK60"/>
  <c r="FL59"/>
  <c r="FK59"/>
  <c r="FL58"/>
  <c r="FK58"/>
  <c r="FL57"/>
  <c r="FK57"/>
  <c r="FL56"/>
  <c r="FK56"/>
  <c r="FL55"/>
  <c r="FK55"/>
  <c r="FL54"/>
  <c r="FK54"/>
  <c r="FL53"/>
  <c r="FK53"/>
  <c r="FL52"/>
  <c r="FK52"/>
  <c r="FL51"/>
  <c r="FK51"/>
  <c r="FL50"/>
  <c r="FK50"/>
  <c r="FL49"/>
  <c r="FK49"/>
  <c r="FL48"/>
  <c r="FK48"/>
  <c r="FL47"/>
  <c r="FK47"/>
  <c r="FL46"/>
  <c r="FK46"/>
  <c r="FL45"/>
  <c r="FK45"/>
  <c r="FL44"/>
  <c r="FK44"/>
  <c r="FL43"/>
  <c r="FK43"/>
  <c r="FL42"/>
  <c r="FK42"/>
  <c r="FL41"/>
  <c r="FK41"/>
  <c r="FL40"/>
  <c r="FK40"/>
  <c r="FL39"/>
  <c r="FK39"/>
  <c r="FL38"/>
  <c r="FK38"/>
  <c r="FL37"/>
  <c r="FK37"/>
  <c r="FL36"/>
  <c r="FK36"/>
  <c r="FL35"/>
  <c r="FK35"/>
  <c r="FL34"/>
  <c r="FK34"/>
  <c r="FL33"/>
  <c r="FK33"/>
  <c r="FL32"/>
  <c r="FK32"/>
  <c r="FL31"/>
  <c r="FK31"/>
  <c r="FL30"/>
  <c r="FK30"/>
  <c r="FL29"/>
  <c r="FK29"/>
  <c r="FL28"/>
  <c r="FK28"/>
  <c r="FL27"/>
  <c r="FK27"/>
  <c r="FL26"/>
  <c r="FK26"/>
  <c r="FL25"/>
  <c r="FK25"/>
  <c r="FL24"/>
  <c r="FK24"/>
  <c r="FL23"/>
  <c r="FK23"/>
  <c r="FL22"/>
  <c r="FK22"/>
  <c r="FL21"/>
  <c r="FK21"/>
  <c r="FL20"/>
  <c r="FK20"/>
  <c r="FL19"/>
  <c r="FK19"/>
  <c r="FL18"/>
  <c r="FK18"/>
  <c r="FL17"/>
  <c r="FK17"/>
  <c r="FL16"/>
  <c r="FK16"/>
  <c r="FL15"/>
  <c r="FK15"/>
  <c r="FL14"/>
  <c r="FK14"/>
  <c r="FL13"/>
  <c r="FK13"/>
  <c r="FL12"/>
  <c r="FK12"/>
  <c r="FL11"/>
  <c r="FK11"/>
  <c r="EM678"/>
  <c r="EL678"/>
  <c r="EJ678"/>
  <c r="EI678"/>
  <c r="EM677"/>
  <c r="EL677"/>
  <c r="EJ677"/>
  <c r="EI677"/>
  <c r="EM676"/>
  <c r="EL676"/>
  <c r="EJ676"/>
  <c r="EI676"/>
  <c r="EM675"/>
  <c r="EL675"/>
  <c r="EJ675"/>
  <c r="EI675"/>
  <c r="EM674"/>
  <c r="EL674"/>
  <c r="EJ674"/>
  <c r="EI674"/>
  <c r="EM673"/>
  <c r="EL673"/>
  <c r="EJ673"/>
  <c r="EI673"/>
  <c r="EM672"/>
  <c r="EL672"/>
  <c r="EJ672"/>
  <c r="EI672"/>
  <c r="EM671"/>
  <c r="EL671"/>
  <c r="EJ671"/>
  <c r="EI671"/>
  <c r="EM670"/>
  <c r="EL670"/>
  <c r="EJ670"/>
  <c r="EI670"/>
  <c r="EM669"/>
  <c r="EL669"/>
  <c r="EJ669"/>
  <c r="EI669"/>
  <c r="EM668"/>
  <c r="EL668"/>
  <c r="EJ668"/>
  <c r="EI668"/>
  <c r="EM667"/>
  <c r="EL667"/>
  <c r="EJ667"/>
  <c r="EI667"/>
  <c r="EM666"/>
  <c r="EL666"/>
  <c r="EJ666"/>
  <c r="EI666"/>
  <c r="EM665"/>
  <c r="EL665"/>
  <c r="EJ665"/>
  <c r="EI665"/>
  <c r="EM664"/>
  <c r="EL664"/>
  <c r="EJ664"/>
  <c r="EI664"/>
  <c r="EM663"/>
  <c r="EL663"/>
  <c r="EJ663"/>
  <c r="EI663"/>
  <c r="EM662"/>
  <c r="EL662"/>
  <c r="EJ662"/>
  <c r="EI662"/>
  <c r="EM661"/>
  <c r="EL661"/>
  <c r="EJ661"/>
  <c r="EI661"/>
  <c r="EM660"/>
  <c r="EL660"/>
  <c r="EJ660"/>
  <c r="EI660"/>
  <c r="EM659"/>
  <c r="EL659"/>
  <c r="EJ659"/>
  <c r="EI659"/>
  <c r="EM658"/>
  <c r="EL658"/>
  <c r="EJ658"/>
  <c r="EI658"/>
  <c r="EM657"/>
  <c r="EL657"/>
  <c r="EJ657"/>
  <c r="EI657"/>
  <c r="EM656"/>
  <c r="EL656"/>
  <c r="EJ656"/>
  <c r="EI656"/>
  <c r="EM655"/>
  <c r="EL655"/>
  <c r="EJ655"/>
  <c r="EI655"/>
  <c r="EM654"/>
  <c r="EL654"/>
  <c r="EJ654"/>
  <c r="EI654"/>
  <c r="EM653"/>
  <c r="EL653"/>
  <c r="EJ653"/>
  <c r="EI653"/>
  <c r="EM652"/>
  <c r="EL652"/>
  <c r="EJ652"/>
  <c r="EI652"/>
  <c r="EM651"/>
  <c r="EL651"/>
  <c r="EJ651"/>
  <c r="EI651"/>
  <c r="EM650"/>
  <c r="EL650"/>
  <c r="EJ650"/>
  <c r="EI650"/>
  <c r="EM649"/>
  <c r="EL649"/>
  <c r="EJ649"/>
  <c r="EI649"/>
  <c r="EM648"/>
  <c r="EL648"/>
  <c r="EJ648"/>
  <c r="EI648"/>
  <c r="EM647"/>
  <c r="EL647"/>
  <c r="EJ647"/>
  <c r="EI647"/>
  <c r="EM646"/>
  <c r="EL646"/>
  <c r="EJ646"/>
  <c r="EI646"/>
  <c r="EM645"/>
  <c r="EL645"/>
  <c r="EJ645"/>
  <c r="EI645"/>
  <c r="EM644"/>
  <c r="EL644"/>
  <c r="EJ644"/>
  <c r="EI644"/>
  <c r="EM643"/>
  <c r="EL643"/>
  <c r="EJ643"/>
  <c r="EI643"/>
  <c r="EM642"/>
  <c r="EL642"/>
  <c r="EJ642"/>
  <c r="EI642"/>
  <c r="EM641"/>
  <c r="EL641"/>
  <c r="EJ641"/>
  <c r="EI641"/>
  <c r="EM640"/>
  <c r="EL640"/>
  <c r="EJ640"/>
  <c r="EI640"/>
  <c r="EM639"/>
  <c r="EL639"/>
  <c r="EJ639"/>
  <c r="EI639"/>
  <c r="EM638"/>
  <c r="EL638"/>
  <c r="EJ638"/>
  <c r="EI638"/>
  <c r="EM637"/>
  <c r="EL637"/>
  <c r="EJ637"/>
  <c r="EI637"/>
  <c r="EM636"/>
  <c r="EL636"/>
  <c r="EJ636"/>
  <c r="EI636"/>
  <c r="EM635"/>
  <c r="EL635"/>
  <c r="EJ635"/>
  <c r="EI635"/>
  <c r="EM634"/>
  <c r="EL634"/>
  <c r="EJ634"/>
  <c r="EI634"/>
  <c r="EM633"/>
  <c r="EL633"/>
  <c r="EJ633"/>
  <c r="EI633"/>
  <c r="EM632"/>
  <c r="EL632"/>
  <c r="EJ632"/>
  <c r="EI632"/>
  <c r="EM631"/>
  <c r="EL631"/>
  <c r="EJ631"/>
  <c r="EI631"/>
  <c r="EM630"/>
  <c r="EL630"/>
  <c r="EJ630"/>
  <c r="EI630"/>
  <c r="EM629"/>
  <c r="EL629"/>
  <c r="EJ629"/>
  <c r="EI629"/>
  <c r="EM628"/>
  <c r="EL628"/>
  <c r="EJ628"/>
  <c r="EI628"/>
  <c r="EM627"/>
  <c r="EL627"/>
  <c r="EJ627"/>
  <c r="EI627"/>
  <c r="EM626"/>
  <c r="EL626"/>
  <c r="EJ626"/>
  <c r="EI626"/>
  <c r="EM625"/>
  <c r="EL625"/>
  <c r="EJ625"/>
  <c r="EI625"/>
  <c r="EM624"/>
  <c r="EL624"/>
  <c r="EJ624"/>
  <c r="EI624"/>
  <c r="EM623"/>
  <c r="EL623"/>
  <c r="EJ623"/>
  <c r="EI623"/>
  <c r="EM622"/>
  <c r="EL622"/>
  <c r="EJ622"/>
  <c r="EI622"/>
  <c r="EM621"/>
  <c r="EL621"/>
  <c r="EJ621"/>
  <c r="EI621"/>
  <c r="EM620"/>
  <c r="EL620"/>
  <c r="EJ620"/>
  <c r="EI620"/>
  <c r="EM619"/>
  <c r="EL619"/>
  <c r="EJ619"/>
  <c r="EI619"/>
  <c r="EM618"/>
  <c r="EL618"/>
  <c r="EJ618"/>
  <c r="EI618"/>
  <c r="EM617"/>
  <c r="EL617"/>
  <c r="EJ617"/>
  <c r="EI617"/>
  <c r="EM616"/>
  <c r="EL616"/>
  <c r="EJ616"/>
  <c r="EI616"/>
  <c r="EM615"/>
  <c r="EL615"/>
  <c r="EJ615"/>
  <c r="EI615"/>
  <c r="EM614"/>
  <c r="EL614"/>
  <c r="EJ614"/>
  <c r="EI614"/>
  <c r="EM613"/>
  <c r="EL613"/>
  <c r="EJ613"/>
  <c r="EI613"/>
  <c r="EM612"/>
  <c r="EL612"/>
  <c r="EJ612"/>
  <c r="EI612"/>
  <c r="EM611"/>
  <c r="EL611"/>
  <c r="EJ611"/>
  <c r="EI611"/>
  <c r="EM610"/>
  <c r="EL610"/>
  <c r="EJ610"/>
  <c r="EI610"/>
  <c r="EM609"/>
  <c r="EL609"/>
  <c r="EJ609"/>
  <c r="EI609"/>
  <c r="EM608"/>
  <c r="EL608"/>
  <c r="EJ608"/>
  <c r="EI608"/>
  <c r="EM607"/>
  <c r="EL607"/>
  <c r="EJ607"/>
  <c r="EI607"/>
  <c r="EM606"/>
  <c r="EL606"/>
  <c r="EJ606"/>
  <c r="EI606"/>
  <c r="EM605"/>
  <c r="EL605"/>
  <c r="EJ605"/>
  <c r="EI605"/>
  <c r="EM604"/>
  <c r="EL604"/>
  <c r="EJ604"/>
  <c r="EI604"/>
  <c r="EM603"/>
  <c r="EL603"/>
  <c r="EJ603"/>
  <c r="EI603"/>
  <c r="EM602"/>
  <c r="EL602"/>
  <c r="EJ602"/>
  <c r="EI602"/>
  <c r="EM601"/>
  <c r="EL601"/>
  <c r="EJ601"/>
  <c r="EI601"/>
  <c r="EM600"/>
  <c r="EL600"/>
  <c r="EJ600"/>
  <c r="EI600"/>
  <c r="EM599"/>
  <c r="EL599"/>
  <c r="EJ599"/>
  <c r="EI599"/>
  <c r="EM598"/>
  <c r="EL598"/>
  <c r="EJ598"/>
  <c r="EI598"/>
  <c r="EM597"/>
  <c r="EL597"/>
  <c r="EJ597"/>
  <c r="EI597"/>
  <c r="EM596"/>
  <c r="EL596"/>
  <c r="EJ596"/>
  <c r="EI596"/>
  <c r="EM595"/>
  <c r="EL595"/>
  <c r="EJ595"/>
  <c r="EI595"/>
  <c r="EM594"/>
  <c r="EL594"/>
  <c r="EJ594"/>
  <c r="EI594"/>
  <c r="EM593"/>
  <c r="EL593"/>
  <c r="EJ593"/>
  <c r="EI593"/>
  <c r="EM592"/>
  <c r="EL592"/>
  <c r="EJ592"/>
  <c r="EI592"/>
  <c r="EM591"/>
  <c r="EL591"/>
  <c r="EJ591"/>
  <c r="EI591"/>
  <c r="EM590"/>
  <c r="EL590"/>
  <c r="EJ590"/>
  <c r="EI590"/>
  <c r="EM589"/>
  <c r="EL589"/>
  <c r="EJ589"/>
  <c r="EI589"/>
  <c r="EM588"/>
  <c r="EL588"/>
  <c r="EJ588"/>
  <c r="EI588"/>
  <c r="EM587"/>
  <c r="EL587"/>
  <c r="EJ587"/>
  <c r="EI587"/>
  <c r="EM586"/>
  <c r="EL586"/>
  <c r="EJ586"/>
  <c r="EI586"/>
  <c r="EM585"/>
  <c r="EL585"/>
  <c r="EJ585"/>
  <c r="EI585"/>
  <c r="EM584"/>
  <c r="EL584"/>
  <c r="EJ584"/>
  <c r="EI584"/>
  <c r="EM583"/>
  <c r="EL583"/>
  <c r="EJ583"/>
  <c r="EI583"/>
  <c r="EM582"/>
  <c r="EL582"/>
  <c r="EJ582"/>
  <c r="EI582"/>
  <c r="EM581"/>
  <c r="EL581"/>
  <c r="EJ581"/>
  <c r="EI581"/>
  <c r="EM580"/>
  <c r="EL580"/>
  <c r="EJ580"/>
  <c r="EI580"/>
  <c r="EM579"/>
  <c r="EL579"/>
  <c r="EJ579"/>
  <c r="EI579"/>
  <c r="EM578"/>
  <c r="EL578"/>
  <c r="EJ578"/>
  <c r="EI578"/>
  <c r="EM577"/>
  <c r="EL577"/>
  <c r="EJ577"/>
  <c r="EI577"/>
  <c r="EM576"/>
  <c r="EL576"/>
  <c r="EJ576"/>
  <c r="EI576"/>
  <c r="EM575"/>
  <c r="EL575"/>
  <c r="EJ575"/>
  <c r="EI575"/>
  <c r="EM574"/>
  <c r="EL574"/>
  <c r="EJ574"/>
  <c r="EI574"/>
  <c r="EM573"/>
  <c r="EL573"/>
  <c r="EN573" s="1"/>
  <c r="EJ573"/>
  <c r="EI573"/>
  <c r="EM572"/>
  <c r="EL572"/>
  <c r="EJ572"/>
  <c r="EI572"/>
  <c r="EM571"/>
  <c r="EL571"/>
  <c r="EJ571"/>
  <c r="EI571"/>
  <c r="EM570"/>
  <c r="EL570"/>
  <c r="EJ570"/>
  <c r="EI570"/>
  <c r="EM569"/>
  <c r="EL569"/>
  <c r="EJ569"/>
  <c r="EI569"/>
  <c r="EM568"/>
  <c r="EL568"/>
  <c r="EJ568"/>
  <c r="EI568"/>
  <c r="EM567"/>
  <c r="EL567"/>
  <c r="EJ567"/>
  <c r="EI567"/>
  <c r="EM566"/>
  <c r="EL566"/>
  <c r="EJ566"/>
  <c r="EI566"/>
  <c r="EM565"/>
  <c r="EL565"/>
  <c r="EJ565"/>
  <c r="EI565"/>
  <c r="EM564"/>
  <c r="EL564"/>
  <c r="EJ564"/>
  <c r="EI564"/>
  <c r="EM563"/>
  <c r="EL563"/>
  <c r="EJ563"/>
  <c r="EI563"/>
  <c r="EM562"/>
  <c r="EL562"/>
  <c r="EJ562"/>
  <c r="EI562"/>
  <c r="EM561"/>
  <c r="EL561"/>
  <c r="EJ561"/>
  <c r="EI561"/>
  <c r="EM560"/>
  <c r="EL560"/>
  <c r="EJ560"/>
  <c r="EI560"/>
  <c r="EM559"/>
  <c r="EL559"/>
  <c r="EJ559"/>
  <c r="EI559"/>
  <c r="EM558"/>
  <c r="EL558"/>
  <c r="EJ558"/>
  <c r="EI558"/>
  <c r="EM557"/>
  <c r="EL557"/>
  <c r="EJ557"/>
  <c r="EI557"/>
  <c r="EM556"/>
  <c r="EL556"/>
  <c r="EJ556"/>
  <c r="EI556"/>
  <c r="EM555"/>
  <c r="EL555"/>
  <c r="EJ555"/>
  <c r="EI555"/>
  <c r="EM554"/>
  <c r="EL554"/>
  <c r="EJ554"/>
  <c r="EI554"/>
  <c r="EM553"/>
  <c r="EL553"/>
  <c r="EJ553"/>
  <c r="EI553"/>
  <c r="EM552"/>
  <c r="EL552"/>
  <c r="EJ552"/>
  <c r="EI552"/>
  <c r="EM551"/>
  <c r="EL551"/>
  <c r="EJ551"/>
  <c r="EI551"/>
  <c r="EM550"/>
  <c r="EL550"/>
  <c r="EJ550"/>
  <c r="EI550"/>
  <c r="EM549"/>
  <c r="EL549"/>
  <c r="EJ549"/>
  <c r="EI549"/>
  <c r="EM548"/>
  <c r="EL548"/>
  <c r="EJ548"/>
  <c r="EI548"/>
  <c r="EM547"/>
  <c r="EL547"/>
  <c r="EJ547"/>
  <c r="EI547"/>
  <c r="EM546"/>
  <c r="EL546"/>
  <c r="EJ546"/>
  <c r="EI546"/>
  <c r="EM545"/>
  <c r="EL545"/>
  <c r="EJ545"/>
  <c r="EI545"/>
  <c r="EM544"/>
  <c r="EL544"/>
  <c r="EJ544"/>
  <c r="EI544"/>
  <c r="EM543"/>
  <c r="EL543"/>
  <c r="EJ543"/>
  <c r="EI543"/>
  <c r="EM542"/>
  <c r="EL542"/>
  <c r="EJ542"/>
  <c r="EI542"/>
  <c r="EM541"/>
  <c r="EL541"/>
  <c r="EJ541"/>
  <c r="EI541"/>
  <c r="EM540"/>
  <c r="EL540"/>
  <c r="EJ540"/>
  <c r="EI540"/>
  <c r="EM539"/>
  <c r="EL539"/>
  <c r="EJ539"/>
  <c r="EI539"/>
  <c r="EM538"/>
  <c r="EL538"/>
  <c r="EJ538"/>
  <c r="EI538"/>
  <c r="EM537"/>
  <c r="EL537"/>
  <c r="EJ537"/>
  <c r="EI537"/>
  <c r="EM536"/>
  <c r="EL536"/>
  <c r="EJ536"/>
  <c r="EI536"/>
  <c r="EM535"/>
  <c r="EL535"/>
  <c r="EJ535"/>
  <c r="EI535"/>
  <c r="EM534"/>
  <c r="EL534"/>
  <c r="EJ534"/>
  <c r="EI534"/>
  <c r="EM533"/>
  <c r="EL533"/>
  <c r="EJ533"/>
  <c r="EI533"/>
  <c r="EM532"/>
  <c r="EL532"/>
  <c r="EJ532"/>
  <c r="EI532"/>
  <c r="EM531"/>
  <c r="EL531"/>
  <c r="EJ531"/>
  <c r="EI531"/>
  <c r="EM530"/>
  <c r="EL530"/>
  <c r="EJ530"/>
  <c r="EI530"/>
  <c r="EM529"/>
  <c r="EL529"/>
  <c r="EJ529"/>
  <c r="EI529"/>
  <c r="EM528"/>
  <c r="EL528"/>
  <c r="EJ528"/>
  <c r="EI528"/>
  <c r="EM527"/>
  <c r="EL527"/>
  <c r="EJ527"/>
  <c r="EI527"/>
  <c r="EM526"/>
  <c r="EL526"/>
  <c r="EJ526"/>
  <c r="EI526"/>
  <c r="EM525"/>
  <c r="EL525"/>
  <c r="EJ525"/>
  <c r="EI525"/>
  <c r="EM524"/>
  <c r="EL524"/>
  <c r="EJ524"/>
  <c r="EI524"/>
  <c r="EM523"/>
  <c r="EL523"/>
  <c r="EJ523"/>
  <c r="EI523"/>
  <c r="EM522"/>
  <c r="EL522"/>
  <c r="EJ522"/>
  <c r="EI522"/>
  <c r="EM521"/>
  <c r="EL521"/>
  <c r="EJ521"/>
  <c r="EI521"/>
  <c r="EM520"/>
  <c r="EL520"/>
  <c r="EJ520"/>
  <c r="EI520"/>
  <c r="EM519"/>
  <c r="EL519"/>
  <c r="EJ519"/>
  <c r="EI519"/>
  <c r="EM518"/>
  <c r="EL518"/>
  <c r="EJ518"/>
  <c r="EI518"/>
  <c r="EM517"/>
  <c r="EL517"/>
  <c r="EJ517"/>
  <c r="EI517"/>
  <c r="EM516"/>
  <c r="EL516"/>
  <c r="EJ516"/>
  <c r="EI516"/>
  <c r="EM515"/>
  <c r="EL515"/>
  <c r="EJ515"/>
  <c r="EI515"/>
  <c r="EM514"/>
  <c r="EL514"/>
  <c r="EJ514"/>
  <c r="EI514"/>
  <c r="EM513"/>
  <c r="EL513"/>
  <c r="EJ513"/>
  <c r="EI513"/>
  <c r="EM512"/>
  <c r="EL512"/>
  <c r="EJ512"/>
  <c r="EI512"/>
  <c r="EM511"/>
  <c r="EL511"/>
  <c r="EJ511"/>
  <c r="EI511"/>
  <c r="EM510"/>
  <c r="EL510"/>
  <c r="EJ510"/>
  <c r="EI510"/>
  <c r="EM509"/>
  <c r="EL509"/>
  <c r="EJ509"/>
  <c r="EI509"/>
  <c r="EM508"/>
  <c r="EL508"/>
  <c r="EJ508"/>
  <c r="EI508"/>
  <c r="EM507"/>
  <c r="EL507"/>
  <c r="EJ507"/>
  <c r="EI507"/>
  <c r="EM506"/>
  <c r="EL506"/>
  <c r="EJ506"/>
  <c r="EI506"/>
  <c r="EM505"/>
  <c r="EL505"/>
  <c r="EJ505"/>
  <c r="EI505"/>
  <c r="EM504"/>
  <c r="EL504"/>
  <c r="EJ504"/>
  <c r="EI504"/>
  <c r="EM503"/>
  <c r="EL503"/>
  <c r="EJ503"/>
  <c r="EI503"/>
  <c r="EM502"/>
  <c r="EL502"/>
  <c r="EJ502"/>
  <c r="EI502"/>
  <c r="EM501"/>
  <c r="EL501"/>
  <c r="EJ501"/>
  <c r="EI501"/>
  <c r="EM500"/>
  <c r="EL500"/>
  <c r="EJ500"/>
  <c r="EI500"/>
  <c r="EM499"/>
  <c r="EL499"/>
  <c r="EJ499"/>
  <c r="EI499"/>
  <c r="EM498"/>
  <c r="EL498"/>
  <c r="EJ498"/>
  <c r="EI498"/>
  <c r="EM497"/>
  <c r="EL497"/>
  <c r="EJ497"/>
  <c r="EI497"/>
  <c r="EM496"/>
  <c r="EL496"/>
  <c r="EJ496"/>
  <c r="EI496"/>
  <c r="EM495"/>
  <c r="EL495"/>
  <c r="EJ495"/>
  <c r="EI495"/>
  <c r="EM494"/>
  <c r="EL494"/>
  <c r="EJ494"/>
  <c r="EI494"/>
  <c r="EM493"/>
  <c r="EL493"/>
  <c r="EJ493"/>
  <c r="EI493"/>
  <c r="EM492"/>
  <c r="EL492"/>
  <c r="EJ492"/>
  <c r="EI492"/>
  <c r="EM491"/>
  <c r="EL491"/>
  <c r="EJ491"/>
  <c r="EI491"/>
  <c r="EM490"/>
  <c r="EL490"/>
  <c r="EJ490"/>
  <c r="EI490"/>
  <c r="EM489"/>
  <c r="EL489"/>
  <c r="EJ489"/>
  <c r="EI489"/>
  <c r="EM488"/>
  <c r="EL488"/>
  <c r="EJ488"/>
  <c r="EI488"/>
  <c r="EM487"/>
  <c r="EL487"/>
  <c r="EJ487"/>
  <c r="EI487"/>
  <c r="EM486"/>
  <c r="EL486"/>
  <c r="EJ486"/>
  <c r="EI486"/>
  <c r="EM485"/>
  <c r="EL485"/>
  <c r="EJ485"/>
  <c r="EI485"/>
  <c r="EM484"/>
  <c r="EL484"/>
  <c r="EJ484"/>
  <c r="EI484"/>
  <c r="EM483"/>
  <c r="EL483"/>
  <c r="EJ483"/>
  <c r="EI483"/>
  <c r="EM482"/>
  <c r="EL482"/>
  <c r="EJ482"/>
  <c r="EI482"/>
  <c r="EM481"/>
  <c r="EL481"/>
  <c r="EJ481"/>
  <c r="EI481"/>
  <c r="EM480"/>
  <c r="EL480"/>
  <c r="EJ480"/>
  <c r="EI480"/>
  <c r="EM479"/>
  <c r="EL479"/>
  <c r="EJ479"/>
  <c r="EI479"/>
  <c r="EM478"/>
  <c r="EL478"/>
  <c r="EJ478"/>
  <c r="EI478"/>
  <c r="EM477"/>
  <c r="EL477"/>
  <c r="EJ477"/>
  <c r="EI477"/>
  <c r="EM476"/>
  <c r="EL476"/>
  <c r="EJ476"/>
  <c r="EI476"/>
  <c r="EM475"/>
  <c r="EL475"/>
  <c r="EJ475"/>
  <c r="EI475"/>
  <c r="EM474"/>
  <c r="EL474"/>
  <c r="EJ474"/>
  <c r="EI474"/>
  <c r="EM473"/>
  <c r="EL473"/>
  <c r="EJ473"/>
  <c r="EI473"/>
  <c r="EM472"/>
  <c r="EL472"/>
  <c r="EJ472"/>
  <c r="EI472"/>
  <c r="EM471"/>
  <c r="EL471"/>
  <c r="EJ471"/>
  <c r="EI471"/>
  <c r="EK471" s="1"/>
  <c r="EM470"/>
  <c r="EL470"/>
  <c r="EJ470"/>
  <c r="EI470"/>
  <c r="EK470" s="1"/>
  <c r="EM469"/>
  <c r="EL469"/>
  <c r="EJ469"/>
  <c r="EI469"/>
  <c r="EK469" s="1"/>
  <c r="EM468"/>
  <c r="EL468"/>
  <c r="EJ468"/>
  <c r="EI468"/>
  <c r="EK468" s="1"/>
  <c r="EM467"/>
  <c r="EL467"/>
  <c r="EJ467"/>
  <c r="EI467"/>
  <c r="EK467" s="1"/>
  <c r="EM466"/>
  <c r="EL466"/>
  <c r="EJ466"/>
  <c r="EI466"/>
  <c r="EK466" s="1"/>
  <c r="EM465"/>
  <c r="EL465"/>
  <c r="EJ465"/>
  <c r="EI465"/>
  <c r="EK465" s="1"/>
  <c r="EM464"/>
  <c r="EL464"/>
  <c r="EJ464"/>
  <c r="EI464"/>
  <c r="EK464" s="1"/>
  <c r="EM463"/>
  <c r="EL463"/>
  <c r="EJ463"/>
  <c r="EI463"/>
  <c r="EK463" s="1"/>
  <c r="EM462"/>
  <c r="EL462"/>
  <c r="EJ462"/>
  <c r="EI462"/>
  <c r="EK462" s="1"/>
  <c r="EM461"/>
  <c r="EL461"/>
  <c r="EJ461"/>
  <c r="EI461"/>
  <c r="EK461" s="1"/>
  <c r="EM460"/>
  <c r="EL460"/>
  <c r="EJ460"/>
  <c r="EI460"/>
  <c r="EK460" s="1"/>
  <c r="EM459"/>
  <c r="EL459"/>
  <c r="EJ459"/>
  <c r="EI459"/>
  <c r="EK459" s="1"/>
  <c r="EM458"/>
  <c r="EL458"/>
  <c r="EJ458"/>
  <c r="EI458"/>
  <c r="EK458" s="1"/>
  <c r="EM457"/>
  <c r="EL457"/>
  <c r="EJ457"/>
  <c r="EI457"/>
  <c r="EK457" s="1"/>
  <c r="EM456"/>
  <c r="EL456"/>
  <c r="EJ456"/>
  <c r="EI456"/>
  <c r="EK456" s="1"/>
  <c r="EM455"/>
  <c r="EL455"/>
  <c r="EJ455"/>
  <c r="EI455"/>
  <c r="EK455" s="1"/>
  <c r="EM454"/>
  <c r="EL454"/>
  <c r="EJ454"/>
  <c r="EI454"/>
  <c r="EK454" s="1"/>
  <c r="EM453"/>
  <c r="EL453"/>
  <c r="EJ453"/>
  <c r="EI453"/>
  <c r="EK453" s="1"/>
  <c r="EM452"/>
  <c r="EL452"/>
  <c r="EJ452"/>
  <c r="EI452"/>
  <c r="EK452" s="1"/>
  <c r="EM451"/>
  <c r="EL451"/>
  <c r="EJ451"/>
  <c r="EI451"/>
  <c r="EK451" s="1"/>
  <c r="EM450"/>
  <c r="EL450"/>
  <c r="EJ450"/>
  <c r="EI450"/>
  <c r="EK450" s="1"/>
  <c r="EM449"/>
  <c r="EL449"/>
  <c r="EJ449"/>
  <c r="EI449"/>
  <c r="EK449" s="1"/>
  <c r="EM448"/>
  <c r="EL448"/>
  <c r="EJ448"/>
  <c r="EI448"/>
  <c r="EK448" s="1"/>
  <c r="EM447"/>
  <c r="EL447"/>
  <c r="EJ447"/>
  <c r="EI447"/>
  <c r="EK447" s="1"/>
  <c r="EM446"/>
  <c r="EL446"/>
  <c r="EJ446"/>
  <c r="EI446"/>
  <c r="EK446" s="1"/>
  <c r="EM445"/>
  <c r="EL445"/>
  <c r="EJ445"/>
  <c r="EI445"/>
  <c r="EM444"/>
  <c r="EL444"/>
  <c r="EJ444"/>
  <c r="EI444"/>
  <c r="EM443"/>
  <c r="EL443"/>
  <c r="EJ443"/>
  <c r="EI443"/>
  <c r="EM442"/>
  <c r="EL442"/>
  <c r="EJ442"/>
  <c r="EI442"/>
  <c r="EM441"/>
  <c r="EL441"/>
  <c r="EJ441"/>
  <c r="EI441"/>
  <c r="EM440"/>
  <c r="EL440"/>
  <c r="EJ440"/>
  <c r="EI440"/>
  <c r="EM439"/>
  <c r="EL439"/>
  <c r="EJ439"/>
  <c r="EI439"/>
  <c r="EM438"/>
  <c r="EL438"/>
  <c r="EJ438"/>
  <c r="EI438"/>
  <c r="EM437"/>
  <c r="EL437"/>
  <c r="EJ437"/>
  <c r="EI437"/>
  <c r="EM436"/>
  <c r="EL436"/>
  <c r="EJ436"/>
  <c r="EI436"/>
  <c r="EM435"/>
  <c r="EL435"/>
  <c r="EJ435"/>
  <c r="EI435"/>
  <c r="EM434"/>
  <c r="EL434"/>
  <c r="EJ434"/>
  <c r="EI434"/>
  <c r="EM433"/>
  <c r="EL433"/>
  <c r="EJ433"/>
  <c r="EI433"/>
  <c r="EM432"/>
  <c r="EL432"/>
  <c r="EJ432"/>
  <c r="EI432"/>
  <c r="EM431"/>
  <c r="EL431"/>
  <c r="EJ431"/>
  <c r="EI431"/>
  <c r="EM430"/>
  <c r="EL430"/>
  <c r="EJ430"/>
  <c r="EI430"/>
  <c r="EM429"/>
  <c r="EL429"/>
  <c r="EJ429"/>
  <c r="EI429"/>
  <c r="EM428"/>
  <c r="EL428"/>
  <c r="EJ428"/>
  <c r="EI428"/>
  <c r="EM427"/>
  <c r="EL427"/>
  <c r="EJ427"/>
  <c r="EI427"/>
  <c r="EM426"/>
  <c r="EL426"/>
  <c r="EJ426"/>
  <c r="EI426"/>
  <c r="EM425"/>
  <c r="EL425"/>
  <c r="EJ425"/>
  <c r="EI425"/>
  <c r="EM424"/>
  <c r="EL424"/>
  <c r="EJ424"/>
  <c r="EI424"/>
  <c r="EM423"/>
  <c r="EL423"/>
  <c r="EJ423"/>
  <c r="EI423"/>
  <c r="EM422"/>
  <c r="EL422"/>
  <c r="EJ422"/>
  <c r="EI422"/>
  <c r="EM421"/>
  <c r="EL421"/>
  <c r="EJ421"/>
  <c r="EI421"/>
  <c r="EM420"/>
  <c r="EL420"/>
  <c r="EJ420"/>
  <c r="EI420"/>
  <c r="EM419"/>
  <c r="EL419"/>
  <c r="EJ419"/>
  <c r="EI419"/>
  <c r="EM418"/>
  <c r="EL418"/>
  <c r="EJ418"/>
  <c r="EI418"/>
  <c r="EM417"/>
  <c r="EL417"/>
  <c r="EJ417"/>
  <c r="EI417"/>
  <c r="EM416"/>
  <c r="EL416"/>
  <c r="EJ416"/>
  <c r="EI416"/>
  <c r="EM415"/>
  <c r="EL415"/>
  <c r="EJ415"/>
  <c r="EI415"/>
  <c r="EM414"/>
  <c r="EL414"/>
  <c r="EJ414"/>
  <c r="EI414"/>
  <c r="EM413"/>
  <c r="EL413"/>
  <c r="EJ413"/>
  <c r="EI413"/>
  <c r="EM412"/>
  <c r="EL412"/>
  <c r="EJ412"/>
  <c r="EI412"/>
  <c r="EM411"/>
  <c r="EL411"/>
  <c r="EJ411"/>
  <c r="EI411"/>
  <c r="EM410"/>
  <c r="EL410"/>
  <c r="EJ410"/>
  <c r="EI410"/>
  <c r="EM409"/>
  <c r="EL409"/>
  <c r="EJ409"/>
  <c r="EI409"/>
  <c r="EM408"/>
  <c r="EL408"/>
  <c r="EJ408"/>
  <c r="EI408"/>
  <c r="EM407"/>
  <c r="EL407"/>
  <c r="EJ407"/>
  <c r="EI407"/>
  <c r="EM406"/>
  <c r="EL406"/>
  <c r="EJ406"/>
  <c r="EI406"/>
  <c r="EM405"/>
  <c r="EL405"/>
  <c r="EJ405"/>
  <c r="EI405"/>
  <c r="EM404"/>
  <c r="EL404"/>
  <c r="EJ404"/>
  <c r="EI404"/>
  <c r="EM403"/>
  <c r="EL403"/>
  <c r="EJ403"/>
  <c r="EI403"/>
  <c r="EM402"/>
  <c r="EL402"/>
  <c r="EJ402"/>
  <c r="EI402"/>
  <c r="EM401"/>
  <c r="EL401"/>
  <c r="EJ401"/>
  <c r="EI401"/>
  <c r="EM400"/>
  <c r="EL400"/>
  <c r="EJ400"/>
  <c r="EI400"/>
  <c r="EM399"/>
  <c r="EL399"/>
  <c r="EJ399"/>
  <c r="EI399"/>
  <c r="EM398"/>
  <c r="EL398"/>
  <c r="EJ398"/>
  <c r="EI398"/>
  <c r="EM397"/>
  <c r="EL397"/>
  <c r="EJ397"/>
  <c r="EI397"/>
  <c r="EM396"/>
  <c r="EL396"/>
  <c r="EJ396"/>
  <c r="EI396"/>
  <c r="EM395"/>
  <c r="EL395"/>
  <c r="EJ395"/>
  <c r="EI395"/>
  <c r="EM394"/>
  <c r="EL394"/>
  <c r="EJ394"/>
  <c r="EI394"/>
  <c r="EM393"/>
  <c r="EL393"/>
  <c r="EJ393"/>
  <c r="EI393"/>
  <c r="EM392"/>
  <c r="EL392"/>
  <c r="EJ392"/>
  <c r="EI392"/>
  <c r="EM391"/>
  <c r="EL391"/>
  <c r="EJ391"/>
  <c r="EI391"/>
  <c r="EM390"/>
  <c r="EL390"/>
  <c r="EJ390"/>
  <c r="EI390"/>
  <c r="EM389"/>
  <c r="EL389"/>
  <c r="EJ389"/>
  <c r="EI389"/>
  <c r="EM388"/>
  <c r="EL388"/>
  <c r="EJ388"/>
  <c r="EI388"/>
  <c r="EM387"/>
  <c r="EL387"/>
  <c r="EJ387"/>
  <c r="EI387"/>
  <c r="EM386"/>
  <c r="EL386"/>
  <c r="EJ386"/>
  <c r="EI386"/>
  <c r="EM385"/>
  <c r="EL385"/>
  <c r="EJ385"/>
  <c r="EI385"/>
  <c r="EM384"/>
  <c r="EL384"/>
  <c r="EJ384"/>
  <c r="EI384"/>
  <c r="EM383"/>
  <c r="EL383"/>
  <c r="EJ383"/>
  <c r="EI383"/>
  <c r="EM382"/>
  <c r="EL382"/>
  <c r="EJ382"/>
  <c r="EI382"/>
  <c r="EM381"/>
  <c r="EL381"/>
  <c r="EJ381"/>
  <c r="EI381"/>
  <c r="EM380"/>
  <c r="EL380"/>
  <c r="EJ380"/>
  <c r="EI380"/>
  <c r="EM379"/>
  <c r="EL379"/>
  <c r="EJ379"/>
  <c r="EI379"/>
  <c r="EM378"/>
  <c r="EL378"/>
  <c r="EJ378"/>
  <c r="EI378"/>
  <c r="EM377"/>
  <c r="EL377"/>
  <c r="EJ377"/>
  <c r="EI377"/>
  <c r="EM376"/>
  <c r="EL376"/>
  <c r="EJ376"/>
  <c r="EI376"/>
  <c r="EM375"/>
  <c r="EL375"/>
  <c r="EJ375"/>
  <c r="EI375"/>
  <c r="EM374"/>
  <c r="EL374"/>
  <c r="EJ374"/>
  <c r="EI374"/>
  <c r="EM373"/>
  <c r="EL373"/>
  <c r="EJ373"/>
  <c r="EI373"/>
  <c r="EM372"/>
  <c r="EL372"/>
  <c r="EJ372"/>
  <c r="EI372"/>
  <c r="EM371"/>
  <c r="EL371"/>
  <c r="EJ371"/>
  <c r="EI371"/>
  <c r="EM370"/>
  <c r="EL370"/>
  <c r="EJ370"/>
  <c r="EI370"/>
  <c r="EM369"/>
  <c r="EL369"/>
  <c r="EJ369"/>
  <c r="EI369"/>
  <c r="EM368"/>
  <c r="EL368"/>
  <c r="EJ368"/>
  <c r="EI368"/>
  <c r="EM367"/>
  <c r="EL367"/>
  <c r="EJ367"/>
  <c r="EI367"/>
  <c r="EM366"/>
  <c r="EL366"/>
  <c r="EJ366"/>
  <c r="EI366"/>
  <c r="EM365"/>
  <c r="EL365"/>
  <c r="EJ365"/>
  <c r="EI365"/>
  <c r="EM364"/>
  <c r="EL364"/>
  <c r="EJ364"/>
  <c r="EI364"/>
  <c r="EM363"/>
  <c r="EL363"/>
  <c r="EJ363"/>
  <c r="EI363"/>
  <c r="EM362"/>
  <c r="EL362"/>
  <c r="EJ362"/>
  <c r="EI362"/>
  <c r="EM361"/>
  <c r="EL361"/>
  <c r="EJ361"/>
  <c r="EI361"/>
  <c r="EM360"/>
  <c r="EL360"/>
  <c r="EJ360"/>
  <c r="EI360"/>
  <c r="EM359"/>
  <c r="EL359"/>
  <c r="EJ359"/>
  <c r="EI359"/>
  <c r="EM358"/>
  <c r="EL358"/>
  <c r="EJ358"/>
  <c r="EI358"/>
  <c r="EM357"/>
  <c r="EL357"/>
  <c r="EJ357"/>
  <c r="EI357"/>
  <c r="EM356"/>
  <c r="EL356"/>
  <c r="EJ356"/>
  <c r="EI356"/>
  <c r="EM355"/>
  <c r="EL355"/>
  <c r="EJ355"/>
  <c r="EI355"/>
  <c r="EM354"/>
  <c r="EL354"/>
  <c r="EJ354"/>
  <c r="EI354"/>
  <c r="EM353"/>
  <c r="EL353"/>
  <c r="EJ353"/>
  <c r="EI353"/>
  <c r="EM352"/>
  <c r="EL352"/>
  <c r="EJ352"/>
  <c r="EI352"/>
  <c r="EM351"/>
  <c r="EL351"/>
  <c r="EJ351"/>
  <c r="EI351"/>
  <c r="EM350"/>
  <c r="EL350"/>
  <c r="EJ350"/>
  <c r="EI350"/>
  <c r="EM349"/>
  <c r="EL349"/>
  <c r="EJ349"/>
  <c r="EI349"/>
  <c r="EM348"/>
  <c r="EL348"/>
  <c r="EJ348"/>
  <c r="EI348"/>
  <c r="EM347"/>
  <c r="EL347"/>
  <c r="EJ347"/>
  <c r="EI347"/>
  <c r="EM346"/>
  <c r="EL346"/>
  <c r="EJ346"/>
  <c r="EI346"/>
  <c r="EM345"/>
  <c r="EL345"/>
  <c r="EJ345"/>
  <c r="EI345"/>
  <c r="EM344"/>
  <c r="EL344"/>
  <c r="EJ344"/>
  <c r="EI344"/>
  <c r="EM343"/>
  <c r="EL343"/>
  <c r="EJ343"/>
  <c r="EI343"/>
  <c r="EM342"/>
  <c r="EL342"/>
  <c r="EJ342"/>
  <c r="EI342"/>
  <c r="EM341"/>
  <c r="EL341"/>
  <c r="EJ341"/>
  <c r="EI341"/>
  <c r="EM340"/>
  <c r="EL340"/>
  <c r="EJ340"/>
  <c r="EI340"/>
  <c r="EM339"/>
  <c r="EL339"/>
  <c r="EJ339"/>
  <c r="EI339"/>
  <c r="EM338"/>
  <c r="EL338"/>
  <c r="EJ338"/>
  <c r="EI338"/>
  <c r="EM337"/>
  <c r="EL337"/>
  <c r="EJ337"/>
  <c r="EI337"/>
  <c r="EM336"/>
  <c r="EL336"/>
  <c r="EJ336"/>
  <c r="EI336"/>
  <c r="EM335"/>
  <c r="EL335"/>
  <c r="EJ335"/>
  <c r="EI335"/>
  <c r="EM334"/>
  <c r="EL334"/>
  <c r="EJ334"/>
  <c r="EI334"/>
  <c r="EM333"/>
  <c r="EL333"/>
  <c r="EJ333"/>
  <c r="EI333"/>
  <c r="EM332"/>
  <c r="EL332"/>
  <c r="EJ332"/>
  <c r="EI332"/>
  <c r="EM331"/>
  <c r="EL331"/>
  <c r="EJ331"/>
  <c r="EI331"/>
  <c r="EM330"/>
  <c r="EL330"/>
  <c r="EJ330"/>
  <c r="EI330"/>
  <c r="EM329"/>
  <c r="EL329"/>
  <c r="EJ329"/>
  <c r="EI329"/>
  <c r="EM328"/>
  <c r="EL328"/>
  <c r="EJ328"/>
  <c r="EI328"/>
  <c r="EM327"/>
  <c r="EL327"/>
  <c r="EJ327"/>
  <c r="EI327"/>
  <c r="EM326"/>
  <c r="EL326"/>
  <c r="EJ326"/>
  <c r="EI326"/>
  <c r="EM325"/>
  <c r="EL325"/>
  <c r="EJ325"/>
  <c r="EI325"/>
  <c r="EM324"/>
  <c r="EL324"/>
  <c r="EJ324"/>
  <c r="EI324"/>
  <c r="EM323"/>
  <c r="EL323"/>
  <c r="EJ323"/>
  <c r="EI323"/>
  <c r="EM322"/>
  <c r="EL322"/>
  <c r="EJ322"/>
  <c r="EI322"/>
  <c r="EM321"/>
  <c r="EL321"/>
  <c r="EJ321"/>
  <c r="EI321"/>
  <c r="EM320"/>
  <c r="EL320"/>
  <c r="EJ320"/>
  <c r="EI320"/>
  <c r="EM319"/>
  <c r="EL319"/>
  <c r="EJ319"/>
  <c r="EI319"/>
  <c r="EM318"/>
  <c r="EL318"/>
  <c r="EJ318"/>
  <c r="EI318"/>
  <c r="EM316"/>
  <c r="EL316"/>
  <c r="EJ316"/>
  <c r="EI316"/>
  <c r="EM317"/>
  <c r="EL317"/>
  <c r="EJ317"/>
  <c r="EI317"/>
  <c r="EM315"/>
  <c r="EL315"/>
  <c r="EJ315"/>
  <c r="EI315"/>
  <c r="EM314"/>
  <c r="EL314"/>
  <c r="EJ314"/>
  <c r="EI314"/>
  <c r="EM313"/>
  <c r="EL313"/>
  <c r="EJ313"/>
  <c r="EI313"/>
  <c r="EM312"/>
  <c r="EL312"/>
  <c r="EJ312"/>
  <c r="EI312"/>
  <c r="EM311"/>
  <c r="EL311"/>
  <c r="EJ311"/>
  <c r="EI311"/>
  <c r="EM310"/>
  <c r="EL310"/>
  <c r="EJ310"/>
  <c r="EI310"/>
  <c r="EM309"/>
  <c r="EL309"/>
  <c r="EJ309"/>
  <c r="EI309"/>
  <c r="EM308"/>
  <c r="EL308"/>
  <c r="EJ308"/>
  <c r="EI308"/>
  <c r="EM307"/>
  <c r="EL307"/>
  <c r="EJ307"/>
  <c r="EI307"/>
  <c r="EM306"/>
  <c r="EL306"/>
  <c r="EJ306"/>
  <c r="EI306"/>
  <c r="EM305"/>
  <c r="EL305"/>
  <c r="EJ305"/>
  <c r="EI305"/>
  <c r="EM304"/>
  <c r="EL304"/>
  <c r="EJ304"/>
  <c r="EI304"/>
  <c r="EM303"/>
  <c r="EL303"/>
  <c r="EJ303"/>
  <c r="EI303"/>
  <c r="EM302"/>
  <c r="EL302"/>
  <c r="EJ302"/>
  <c r="EI302"/>
  <c r="EM301"/>
  <c r="EL301"/>
  <c r="EJ301"/>
  <c r="EI301"/>
  <c r="EM300"/>
  <c r="EL300"/>
  <c r="EJ300"/>
  <c r="EI300"/>
  <c r="EM299"/>
  <c r="EL299"/>
  <c r="EJ299"/>
  <c r="EI299"/>
  <c r="EM298"/>
  <c r="EL298"/>
  <c r="EJ298"/>
  <c r="EI298"/>
  <c r="EM297"/>
  <c r="EL297"/>
  <c r="EJ297"/>
  <c r="EI297"/>
  <c r="EM296"/>
  <c r="EL296"/>
  <c r="EJ296"/>
  <c r="EI296"/>
  <c r="EM295"/>
  <c r="EL295"/>
  <c r="EJ295"/>
  <c r="EI295"/>
  <c r="EM294"/>
  <c r="EL294"/>
  <c r="EJ294"/>
  <c r="EI294"/>
  <c r="EM293"/>
  <c r="EL293"/>
  <c r="EJ293"/>
  <c r="EI293"/>
  <c r="EM292"/>
  <c r="EL292"/>
  <c r="EJ292"/>
  <c r="EI292"/>
  <c r="EM291"/>
  <c r="EL291"/>
  <c r="EJ291"/>
  <c r="EI291"/>
  <c r="EM290"/>
  <c r="EL290"/>
  <c r="EJ290"/>
  <c r="EI290"/>
  <c r="EM289"/>
  <c r="EL289"/>
  <c r="EJ289"/>
  <c r="EI289"/>
  <c r="EM288"/>
  <c r="EL288"/>
  <c r="EJ288"/>
  <c r="EI288"/>
  <c r="EM287"/>
  <c r="EL287"/>
  <c r="EJ287"/>
  <c r="EI287"/>
  <c r="EM286"/>
  <c r="EL286"/>
  <c r="EJ286"/>
  <c r="EI286"/>
  <c r="EM285"/>
  <c r="EL285"/>
  <c r="EJ285"/>
  <c r="EI285"/>
  <c r="EM284"/>
  <c r="EL284"/>
  <c r="EJ284"/>
  <c r="EI284"/>
  <c r="EM283"/>
  <c r="EL283"/>
  <c r="EJ283"/>
  <c r="EI283"/>
  <c r="EM282"/>
  <c r="EL282"/>
  <c r="EJ282"/>
  <c r="EI282"/>
  <c r="EM281"/>
  <c r="EL281"/>
  <c r="EJ281"/>
  <c r="EI281"/>
  <c r="EM280"/>
  <c r="EL280"/>
  <c r="EJ280"/>
  <c r="EI280"/>
  <c r="EM279"/>
  <c r="EL279"/>
  <c r="EJ279"/>
  <c r="EI279"/>
  <c r="EM278"/>
  <c r="EL278"/>
  <c r="EJ278"/>
  <c r="EI278"/>
  <c r="EM277"/>
  <c r="EL277"/>
  <c r="EJ277"/>
  <c r="EI277"/>
  <c r="EM276"/>
  <c r="EL276"/>
  <c r="EJ276"/>
  <c r="EI276"/>
  <c r="EM275"/>
  <c r="EL275"/>
  <c r="EJ275"/>
  <c r="EI275"/>
  <c r="EM274"/>
  <c r="EL274"/>
  <c r="EJ274"/>
  <c r="EI274"/>
  <c r="EM273"/>
  <c r="EL273"/>
  <c r="EJ273"/>
  <c r="EI273"/>
  <c r="EM272"/>
  <c r="EL272"/>
  <c r="EJ272"/>
  <c r="EI272"/>
  <c r="EM271"/>
  <c r="EL271"/>
  <c r="EJ271"/>
  <c r="EI271"/>
  <c r="EM270"/>
  <c r="EL270"/>
  <c r="EJ270"/>
  <c r="EI270"/>
  <c r="EM269"/>
  <c r="EL269"/>
  <c r="EJ269"/>
  <c r="EI269"/>
  <c r="EM268"/>
  <c r="EL268"/>
  <c r="EJ268"/>
  <c r="EI268"/>
  <c r="EM267"/>
  <c r="EL267"/>
  <c r="EJ267"/>
  <c r="EI267"/>
  <c r="EM266"/>
  <c r="EL266"/>
  <c r="EJ266"/>
  <c r="EI266"/>
  <c r="EM265"/>
  <c r="EL265"/>
  <c r="EJ265"/>
  <c r="EI265"/>
  <c r="EM264"/>
  <c r="EL264"/>
  <c r="EJ264"/>
  <c r="EI264"/>
  <c r="EM263"/>
  <c r="EL263"/>
  <c r="EJ263"/>
  <c r="EI263"/>
  <c r="EM262"/>
  <c r="EL262"/>
  <c r="EJ262"/>
  <c r="EI262"/>
  <c r="EM261"/>
  <c r="EL261"/>
  <c r="EJ261"/>
  <c r="EI261"/>
  <c r="EM260"/>
  <c r="EL260"/>
  <c r="EJ260"/>
  <c r="EI260"/>
  <c r="EM259"/>
  <c r="EL259"/>
  <c r="EJ259"/>
  <c r="EI259"/>
  <c r="EM258"/>
  <c r="EL258"/>
  <c r="EJ258"/>
  <c r="EI258"/>
  <c r="EM257"/>
  <c r="EL257"/>
  <c r="EJ257"/>
  <c r="EI257"/>
  <c r="EM256"/>
  <c r="EL256"/>
  <c r="EJ256"/>
  <c r="EI256"/>
  <c r="EM255"/>
  <c r="EL255"/>
  <c r="EJ255"/>
  <c r="EI255"/>
  <c r="EM254"/>
  <c r="EL254"/>
  <c r="EJ254"/>
  <c r="EI254"/>
  <c r="EM253"/>
  <c r="EL253"/>
  <c r="EJ253"/>
  <c r="EI253"/>
  <c r="EM252"/>
  <c r="EL252"/>
  <c r="EJ252"/>
  <c r="EI252"/>
  <c r="EM251"/>
  <c r="EL251"/>
  <c r="EJ251"/>
  <c r="EI251"/>
  <c r="EM250"/>
  <c r="EL250"/>
  <c r="EJ250"/>
  <c r="EI250"/>
  <c r="EM249"/>
  <c r="EL249"/>
  <c r="EJ249"/>
  <c r="EI249"/>
  <c r="EM248"/>
  <c r="EL248"/>
  <c r="EJ248"/>
  <c r="EI248"/>
  <c r="EM247"/>
  <c r="EL247"/>
  <c r="EJ247"/>
  <c r="EI247"/>
  <c r="EM246"/>
  <c r="EL246"/>
  <c r="EJ246"/>
  <c r="EI246"/>
  <c r="EM245"/>
  <c r="EL245"/>
  <c r="EJ245"/>
  <c r="EI245"/>
  <c r="EM244"/>
  <c r="EL244"/>
  <c r="EJ244"/>
  <c r="EI244"/>
  <c r="EM243"/>
  <c r="EL243"/>
  <c r="EJ243"/>
  <c r="EI243"/>
  <c r="EM242"/>
  <c r="EL242"/>
  <c r="EJ242"/>
  <c r="EI242"/>
  <c r="EM241"/>
  <c r="EL241"/>
  <c r="EJ241"/>
  <c r="EI241"/>
  <c r="EM240"/>
  <c r="EL240"/>
  <c r="EJ240"/>
  <c r="EI240"/>
  <c r="EM239"/>
  <c r="EL239"/>
  <c r="EJ239"/>
  <c r="EI239"/>
  <c r="EM238"/>
  <c r="EL238"/>
  <c r="EJ238"/>
  <c r="EI238"/>
  <c r="EM237"/>
  <c r="EL237"/>
  <c r="EJ237"/>
  <c r="EI237"/>
  <c r="EM236"/>
  <c r="EL236"/>
  <c r="EJ236"/>
  <c r="EI236"/>
  <c r="EM235"/>
  <c r="EL235"/>
  <c r="EJ235"/>
  <c r="EI235"/>
  <c r="EM234"/>
  <c r="EL234"/>
  <c r="EJ234"/>
  <c r="EI234"/>
  <c r="EM233"/>
  <c r="EL233"/>
  <c r="EJ233"/>
  <c r="EI233"/>
  <c r="EM232"/>
  <c r="EL232"/>
  <c r="EJ232"/>
  <c r="EI232"/>
  <c r="EM231"/>
  <c r="EL231"/>
  <c r="EJ231"/>
  <c r="EI231"/>
  <c r="EM230"/>
  <c r="EL230"/>
  <c r="EJ230"/>
  <c r="EI230"/>
  <c r="EM229"/>
  <c r="EL229"/>
  <c r="EJ229"/>
  <c r="EI229"/>
  <c r="EM228"/>
  <c r="EL228"/>
  <c r="EJ228"/>
  <c r="EI228"/>
  <c r="EM227"/>
  <c r="EL227"/>
  <c r="EJ227"/>
  <c r="EI227"/>
  <c r="EM226"/>
  <c r="EL226"/>
  <c r="EJ226"/>
  <c r="EI226"/>
  <c r="EM225"/>
  <c r="EL225"/>
  <c r="EJ225"/>
  <c r="EI225"/>
  <c r="EM224"/>
  <c r="EL224"/>
  <c r="EJ224"/>
  <c r="EI224"/>
  <c r="EM223"/>
  <c r="EL223"/>
  <c r="EJ223"/>
  <c r="EI223"/>
  <c r="EM222"/>
  <c r="EL222"/>
  <c r="EJ222"/>
  <c r="EI222"/>
  <c r="EM221"/>
  <c r="EL221"/>
  <c r="EJ221"/>
  <c r="EI221"/>
  <c r="EM220"/>
  <c r="EL220"/>
  <c r="EJ220"/>
  <c r="EI220"/>
  <c r="EM219"/>
  <c r="EL219"/>
  <c r="EJ219"/>
  <c r="EI219"/>
  <c r="EM218"/>
  <c r="EL218"/>
  <c r="EJ218"/>
  <c r="EI218"/>
  <c r="EM217"/>
  <c r="EL217"/>
  <c r="EJ217"/>
  <c r="EI217"/>
  <c r="EM216"/>
  <c r="EL216"/>
  <c r="EJ216"/>
  <c r="EI216"/>
  <c r="EM215"/>
  <c r="EL215"/>
  <c r="EJ215"/>
  <c r="EI215"/>
  <c r="EM214"/>
  <c r="EL214"/>
  <c r="EJ214"/>
  <c r="EI214"/>
  <c r="EM213"/>
  <c r="EL213"/>
  <c r="EJ213"/>
  <c r="EI213"/>
  <c r="EM212"/>
  <c r="EL212"/>
  <c r="EJ212"/>
  <c r="EI212"/>
  <c r="EM211"/>
  <c r="EL211"/>
  <c r="EJ211"/>
  <c r="EI211"/>
  <c r="EM210"/>
  <c r="EL210"/>
  <c r="EJ210"/>
  <c r="EI210"/>
  <c r="EM209"/>
  <c r="EL209"/>
  <c r="EJ209"/>
  <c r="EI209"/>
  <c r="EM208"/>
  <c r="EL208"/>
  <c r="EJ208"/>
  <c r="EI208"/>
  <c r="EM207"/>
  <c r="EL207"/>
  <c r="EJ207"/>
  <c r="EI207"/>
  <c r="EM206"/>
  <c r="EL206"/>
  <c r="EJ206"/>
  <c r="EI206"/>
  <c r="EM205"/>
  <c r="EL205"/>
  <c r="EJ205"/>
  <c r="EI205"/>
  <c r="EM204"/>
  <c r="EL204"/>
  <c r="EJ204"/>
  <c r="EI204"/>
  <c r="EM203"/>
  <c r="EL203"/>
  <c r="EJ203"/>
  <c r="EI203"/>
  <c r="EM202"/>
  <c r="EL202"/>
  <c r="EN202" s="1"/>
  <c r="EJ202"/>
  <c r="EI202"/>
  <c r="EM201"/>
  <c r="EL201"/>
  <c r="EN201" s="1"/>
  <c r="EJ201"/>
  <c r="EI201"/>
  <c r="EM200"/>
  <c r="EL200"/>
  <c r="EN200" s="1"/>
  <c r="EJ200"/>
  <c r="EI200"/>
  <c r="EM199"/>
  <c r="EL199"/>
  <c r="EN199" s="1"/>
  <c r="EJ199"/>
  <c r="EI199"/>
  <c r="EM198"/>
  <c r="EL198"/>
  <c r="EN198" s="1"/>
  <c r="EJ198"/>
  <c r="EI198"/>
  <c r="EM197"/>
  <c r="EL197"/>
  <c r="EN197" s="1"/>
  <c r="EJ197"/>
  <c r="EI197"/>
  <c r="EM196"/>
  <c r="EL196"/>
  <c r="EN196" s="1"/>
  <c r="EJ196"/>
  <c r="EI196"/>
  <c r="EM195"/>
  <c r="EL195"/>
  <c r="EJ195"/>
  <c r="EI195"/>
  <c r="EM194"/>
  <c r="EL194"/>
  <c r="EJ194"/>
  <c r="EI194"/>
  <c r="EM193"/>
  <c r="EL193"/>
  <c r="EJ193"/>
  <c r="EI193"/>
  <c r="EM192"/>
  <c r="EL192"/>
  <c r="EJ192"/>
  <c r="EI192"/>
  <c r="EM191"/>
  <c r="EL191"/>
  <c r="EJ191"/>
  <c r="EI191"/>
  <c r="EM190"/>
  <c r="EL190"/>
  <c r="EJ190"/>
  <c r="EI190"/>
  <c r="EM189"/>
  <c r="EL189"/>
  <c r="EJ189"/>
  <c r="EI189"/>
  <c r="EM188"/>
  <c r="EL188"/>
  <c r="EJ188"/>
  <c r="EI188"/>
  <c r="EM187"/>
  <c r="EL187"/>
  <c r="EJ187"/>
  <c r="EI187"/>
  <c r="EM186"/>
  <c r="EL186"/>
  <c r="EJ186"/>
  <c r="EI186"/>
  <c r="EM185"/>
  <c r="EL185"/>
  <c r="EJ185"/>
  <c r="EI185"/>
  <c r="EM184"/>
  <c r="EL184"/>
  <c r="EJ184"/>
  <c r="EI184"/>
  <c r="EM183"/>
  <c r="EL183"/>
  <c r="EJ183"/>
  <c r="EI183"/>
  <c r="EM182"/>
  <c r="EL182"/>
  <c r="EJ182"/>
  <c r="EI182"/>
  <c r="EM181"/>
  <c r="EL181"/>
  <c r="EJ181"/>
  <c r="EI181"/>
  <c r="EM180"/>
  <c r="EL180"/>
  <c r="EJ180"/>
  <c r="EI180"/>
  <c r="EM179"/>
  <c r="EL179"/>
  <c r="EJ179"/>
  <c r="EI179"/>
  <c r="EM178"/>
  <c r="EL178"/>
  <c r="EJ178"/>
  <c r="EI178"/>
  <c r="EM177"/>
  <c r="EL177"/>
  <c r="EJ177"/>
  <c r="EI177"/>
  <c r="EM176"/>
  <c r="EL176"/>
  <c r="EJ176"/>
  <c r="EI176"/>
  <c r="EM175"/>
  <c r="EL175"/>
  <c r="EJ175"/>
  <c r="EI175"/>
  <c r="EM174"/>
  <c r="EL174"/>
  <c r="EJ174"/>
  <c r="EI174"/>
  <c r="EM173"/>
  <c r="EL173"/>
  <c r="EJ173"/>
  <c r="EI173"/>
  <c r="EM172"/>
  <c r="EL172"/>
  <c r="EJ172"/>
  <c r="EI172"/>
  <c r="EM171"/>
  <c r="EL171"/>
  <c r="EJ171"/>
  <c r="EI171"/>
  <c r="EM170"/>
  <c r="EL170"/>
  <c r="EJ170"/>
  <c r="EI170"/>
  <c r="EM169"/>
  <c r="EL169"/>
  <c r="EJ169"/>
  <c r="EI169"/>
  <c r="EM168"/>
  <c r="EL168"/>
  <c r="EJ168"/>
  <c r="EI168"/>
  <c r="EM167"/>
  <c r="EL167"/>
  <c r="EJ167"/>
  <c r="EI167"/>
  <c r="EM166"/>
  <c r="EL166"/>
  <c r="EJ166"/>
  <c r="EI166"/>
  <c r="EM165"/>
  <c r="EL165"/>
  <c r="EJ165"/>
  <c r="EI165"/>
  <c r="EM164"/>
  <c r="EL164"/>
  <c r="EJ164"/>
  <c r="EI164"/>
  <c r="EM163"/>
  <c r="EL163"/>
  <c r="EJ163"/>
  <c r="EI163"/>
  <c r="EM162"/>
  <c r="EL162"/>
  <c r="EJ162"/>
  <c r="EI162"/>
  <c r="EM161"/>
  <c r="EL161"/>
  <c r="EJ161"/>
  <c r="EI161"/>
  <c r="EM160"/>
  <c r="EL160"/>
  <c r="EJ160"/>
  <c r="EI160"/>
  <c r="EM159"/>
  <c r="EL159"/>
  <c r="EJ159"/>
  <c r="EI159"/>
  <c r="EM158"/>
  <c r="EL158"/>
  <c r="EJ158"/>
  <c r="EI158"/>
  <c r="EM157"/>
  <c r="EL157"/>
  <c r="EJ157"/>
  <c r="EI157"/>
  <c r="EM156"/>
  <c r="EL156"/>
  <c r="EJ156"/>
  <c r="EI156"/>
  <c r="EM155"/>
  <c r="EL155"/>
  <c r="EJ155"/>
  <c r="EI155"/>
  <c r="EM154"/>
  <c r="EL154"/>
  <c r="EJ154"/>
  <c r="EI154"/>
  <c r="EM153"/>
  <c r="EL153"/>
  <c r="EJ153"/>
  <c r="EI153"/>
  <c r="EM152"/>
  <c r="EL152"/>
  <c r="EJ152"/>
  <c r="EI152"/>
  <c r="EM151"/>
  <c r="EL151"/>
  <c r="EJ151"/>
  <c r="EI151"/>
  <c r="EM150"/>
  <c r="EL150"/>
  <c r="EJ150"/>
  <c r="EI150"/>
  <c r="EM149"/>
  <c r="EL149"/>
  <c r="EJ149"/>
  <c r="EI149"/>
  <c r="EM148"/>
  <c r="EL148"/>
  <c r="EJ148"/>
  <c r="EI148"/>
  <c r="EM147"/>
  <c r="EL147"/>
  <c r="EJ147"/>
  <c r="EI147"/>
  <c r="EM146"/>
  <c r="EL146"/>
  <c r="EJ146"/>
  <c r="EI146"/>
  <c r="EM145"/>
  <c r="EL145"/>
  <c r="EJ145"/>
  <c r="EI145"/>
  <c r="EM144"/>
  <c r="EL144"/>
  <c r="EJ144"/>
  <c r="EI144"/>
  <c r="EM143"/>
  <c r="EL143"/>
  <c r="EJ143"/>
  <c r="EI143"/>
  <c r="EM142"/>
  <c r="EL142"/>
  <c r="EJ142"/>
  <c r="EI142"/>
  <c r="EM141"/>
  <c r="EL141"/>
  <c r="EJ141"/>
  <c r="EI141"/>
  <c r="EM140"/>
  <c r="EL140"/>
  <c r="EJ140"/>
  <c r="EI140"/>
  <c r="EM139"/>
  <c r="EL139"/>
  <c r="EJ139"/>
  <c r="EI139"/>
  <c r="EM138"/>
  <c r="EL138"/>
  <c r="EJ138"/>
  <c r="EI138"/>
  <c r="EM137"/>
  <c r="EL137"/>
  <c r="EJ137"/>
  <c r="EI137"/>
  <c r="EM136"/>
  <c r="EL136"/>
  <c r="EJ136"/>
  <c r="EI136"/>
  <c r="EM135"/>
  <c r="EL135"/>
  <c r="EJ135"/>
  <c r="EI135"/>
  <c r="EM134"/>
  <c r="EL134"/>
  <c r="EJ134"/>
  <c r="EI134"/>
  <c r="EM133"/>
  <c r="EL133"/>
  <c r="EJ133"/>
  <c r="EI133"/>
  <c r="EM132"/>
  <c r="EL132"/>
  <c r="EJ132"/>
  <c r="EI132"/>
  <c r="EM131"/>
  <c r="EL131"/>
  <c r="EJ131"/>
  <c r="EI131"/>
  <c r="EM130"/>
  <c r="EL130"/>
  <c r="EJ130"/>
  <c r="EI130"/>
  <c r="EM129"/>
  <c r="EL129"/>
  <c r="EJ129"/>
  <c r="EI129"/>
  <c r="EM128"/>
  <c r="EL128"/>
  <c r="EJ128"/>
  <c r="EI128"/>
  <c r="EM127"/>
  <c r="EL127"/>
  <c r="EJ127"/>
  <c r="EI127"/>
  <c r="EM126"/>
  <c r="EL126"/>
  <c r="EJ126"/>
  <c r="EI126"/>
  <c r="EM125"/>
  <c r="EL125"/>
  <c r="EJ125"/>
  <c r="EI125"/>
  <c r="EM124"/>
  <c r="EL124"/>
  <c r="EJ124"/>
  <c r="EI124"/>
  <c r="EM123"/>
  <c r="EL123"/>
  <c r="EJ123"/>
  <c r="EI123"/>
  <c r="EM122"/>
  <c r="EL122"/>
  <c r="EJ122"/>
  <c r="EI122"/>
  <c r="EM121"/>
  <c r="EL121"/>
  <c r="EJ121"/>
  <c r="EI121"/>
  <c r="EM120"/>
  <c r="EL120"/>
  <c r="EJ120"/>
  <c r="EI120"/>
  <c r="EM119"/>
  <c r="EL119"/>
  <c r="EJ119"/>
  <c r="EI119"/>
  <c r="EM118"/>
  <c r="EL118"/>
  <c r="EJ118"/>
  <c r="EI118"/>
  <c r="EM117"/>
  <c r="EL117"/>
  <c r="EJ117"/>
  <c r="EI117"/>
  <c r="EM116"/>
  <c r="EL116"/>
  <c r="EJ116"/>
  <c r="EI116"/>
  <c r="EM115"/>
  <c r="EL115"/>
  <c r="EJ115"/>
  <c r="EI115"/>
  <c r="EM114"/>
  <c r="EL114"/>
  <c r="EJ114"/>
  <c r="EI114"/>
  <c r="EM113"/>
  <c r="EL113"/>
  <c r="EJ113"/>
  <c r="EI113"/>
  <c r="EM112"/>
  <c r="EL112"/>
  <c r="EJ112"/>
  <c r="EI112"/>
  <c r="EM111"/>
  <c r="EL111"/>
  <c r="EJ111"/>
  <c r="EI111"/>
  <c r="EM110"/>
  <c r="EL110"/>
  <c r="EJ110"/>
  <c r="EI110"/>
  <c r="EM109"/>
  <c r="EL109"/>
  <c r="EJ109"/>
  <c r="EI109"/>
  <c r="EM108"/>
  <c r="EL108"/>
  <c r="EJ108"/>
  <c r="EI108"/>
  <c r="EM107"/>
  <c r="EL107"/>
  <c r="EJ107"/>
  <c r="EI107"/>
  <c r="EM106"/>
  <c r="EL106"/>
  <c r="EJ106"/>
  <c r="EI106"/>
  <c r="EM105"/>
  <c r="EL105"/>
  <c r="EJ105"/>
  <c r="EI105"/>
  <c r="EM104"/>
  <c r="EL104"/>
  <c r="EJ104"/>
  <c r="EI104"/>
  <c r="EM103"/>
  <c r="EL103"/>
  <c r="EJ103"/>
  <c r="EI103"/>
  <c r="EM102"/>
  <c r="EL102"/>
  <c r="EJ102"/>
  <c r="EI102"/>
  <c r="EM101"/>
  <c r="EL101"/>
  <c r="EJ101"/>
  <c r="EI101"/>
  <c r="EM100"/>
  <c r="EL100"/>
  <c r="EJ100"/>
  <c r="EI100"/>
  <c r="EM99"/>
  <c r="EL99"/>
  <c r="EJ99"/>
  <c r="EI99"/>
  <c r="EM98"/>
  <c r="EL98"/>
  <c r="EJ98"/>
  <c r="EI98"/>
  <c r="EM97"/>
  <c r="EL97"/>
  <c r="EJ97"/>
  <c r="EI97"/>
  <c r="EM96"/>
  <c r="EL96"/>
  <c r="EJ96"/>
  <c r="EI96"/>
  <c r="EM95"/>
  <c r="EL95"/>
  <c r="EJ95"/>
  <c r="EI95"/>
  <c r="EM94"/>
  <c r="EL94"/>
  <c r="EJ94"/>
  <c r="EI94"/>
  <c r="EM93"/>
  <c r="EL93"/>
  <c r="EJ93"/>
  <c r="EI93"/>
  <c r="EM92"/>
  <c r="EL92"/>
  <c r="EJ92"/>
  <c r="EI92"/>
  <c r="EM91"/>
  <c r="EL91"/>
  <c r="EJ91"/>
  <c r="EI91"/>
  <c r="EM90"/>
  <c r="EL90"/>
  <c r="EJ90"/>
  <c r="EI90"/>
  <c r="EM89"/>
  <c r="EL89"/>
  <c r="EJ89"/>
  <c r="EI89"/>
  <c r="EM88"/>
  <c r="EL88"/>
  <c r="EJ88"/>
  <c r="EI88"/>
  <c r="EM87"/>
  <c r="EL87"/>
  <c r="EJ87"/>
  <c r="EI87"/>
  <c r="EM86"/>
  <c r="EL86"/>
  <c r="EJ86"/>
  <c r="EI86"/>
  <c r="EM85"/>
  <c r="EL85"/>
  <c r="EJ85"/>
  <c r="EI85"/>
  <c r="EM84"/>
  <c r="EL84"/>
  <c r="EJ84"/>
  <c r="EI84"/>
  <c r="EM83"/>
  <c r="EL83"/>
  <c r="EJ83"/>
  <c r="EI83"/>
  <c r="EM82"/>
  <c r="EL82"/>
  <c r="EJ82"/>
  <c r="EI82"/>
  <c r="EM81"/>
  <c r="EL81"/>
  <c r="EJ81"/>
  <c r="EI81"/>
  <c r="EM80"/>
  <c r="EL80"/>
  <c r="EJ80"/>
  <c r="EI80"/>
  <c r="EM79"/>
  <c r="EL79"/>
  <c r="EJ79"/>
  <c r="EI79"/>
  <c r="EM78"/>
  <c r="EL78"/>
  <c r="EJ78"/>
  <c r="EI78"/>
  <c r="EM77"/>
  <c r="EL77"/>
  <c r="EJ77"/>
  <c r="EI77"/>
  <c r="EM76"/>
  <c r="EL76"/>
  <c r="EJ76"/>
  <c r="EI76"/>
  <c r="EM75"/>
  <c r="EL75"/>
  <c r="EJ75"/>
  <c r="EI75"/>
  <c r="EM74"/>
  <c r="EL74"/>
  <c r="EJ74"/>
  <c r="EI74"/>
  <c r="EM73"/>
  <c r="EL73"/>
  <c r="EJ73"/>
  <c r="EI73"/>
  <c r="EM72"/>
  <c r="EL72"/>
  <c r="EJ72"/>
  <c r="EI72"/>
  <c r="EM71"/>
  <c r="EL71"/>
  <c r="EJ71"/>
  <c r="EI71"/>
  <c r="EM70"/>
  <c r="EL70"/>
  <c r="EJ70"/>
  <c r="EI70"/>
  <c r="EM69"/>
  <c r="EL69"/>
  <c r="EJ69"/>
  <c r="EI69"/>
  <c r="EM68"/>
  <c r="EL68"/>
  <c r="EJ68"/>
  <c r="EI68"/>
  <c r="EM67"/>
  <c r="EL67"/>
  <c r="EJ67"/>
  <c r="EI67"/>
  <c r="EM66"/>
  <c r="EL66"/>
  <c r="EJ66"/>
  <c r="EI66"/>
  <c r="EM65"/>
  <c r="EL65"/>
  <c r="EJ65"/>
  <c r="EI65"/>
  <c r="EM64"/>
  <c r="EL64"/>
  <c r="EJ64"/>
  <c r="EI64"/>
  <c r="EM63"/>
  <c r="EL63"/>
  <c r="EJ63"/>
  <c r="EI63"/>
  <c r="EM62"/>
  <c r="EL62"/>
  <c r="EJ62"/>
  <c r="EI62"/>
  <c r="EM61"/>
  <c r="EL61"/>
  <c r="EJ61"/>
  <c r="EI61"/>
  <c r="EM60"/>
  <c r="EL60"/>
  <c r="EJ60"/>
  <c r="EI60"/>
  <c r="EM59"/>
  <c r="EL59"/>
  <c r="EJ59"/>
  <c r="EI59"/>
  <c r="EM58"/>
  <c r="EL58"/>
  <c r="EJ58"/>
  <c r="EI58"/>
  <c r="EM57"/>
  <c r="EL57"/>
  <c r="EJ57"/>
  <c r="EI57"/>
  <c r="EM56"/>
  <c r="EL56"/>
  <c r="EJ56"/>
  <c r="EI56"/>
  <c r="EM55"/>
  <c r="EL55"/>
  <c r="EJ55"/>
  <c r="EI55"/>
  <c r="EM54"/>
  <c r="EL54"/>
  <c r="EJ54"/>
  <c r="EI54"/>
  <c r="EM53"/>
  <c r="EL53"/>
  <c r="EJ53"/>
  <c r="EI53"/>
  <c r="EM52"/>
  <c r="EL52"/>
  <c r="EJ52"/>
  <c r="EI52"/>
  <c r="EM51"/>
  <c r="EL51"/>
  <c r="EJ51"/>
  <c r="EI51"/>
  <c r="EM50"/>
  <c r="EL50"/>
  <c r="EJ50"/>
  <c r="EI50"/>
  <c r="EM49"/>
  <c r="EL49"/>
  <c r="EJ49"/>
  <c r="EI49"/>
  <c r="EM48"/>
  <c r="EL48"/>
  <c r="EJ48"/>
  <c r="EI48"/>
  <c r="EM47"/>
  <c r="EL47"/>
  <c r="EJ47"/>
  <c r="EI47"/>
  <c r="EM46"/>
  <c r="EL46"/>
  <c r="EJ46"/>
  <c r="EI46"/>
  <c r="EM45"/>
  <c r="EL45"/>
  <c r="EJ45"/>
  <c r="EI45"/>
  <c r="EM44"/>
  <c r="EL44"/>
  <c r="EJ44"/>
  <c r="EI44"/>
  <c r="EM43"/>
  <c r="EL43"/>
  <c r="EJ43"/>
  <c r="EI43"/>
  <c r="EM42"/>
  <c r="EL42"/>
  <c r="EJ42"/>
  <c r="EI42"/>
  <c r="EM41"/>
  <c r="EL41"/>
  <c r="EJ41"/>
  <c r="EI41"/>
  <c r="EM40"/>
  <c r="EL40"/>
  <c r="EJ40"/>
  <c r="EI40"/>
  <c r="EM39"/>
  <c r="EL39"/>
  <c r="EJ39"/>
  <c r="EI39"/>
  <c r="EM38"/>
  <c r="EL38"/>
  <c r="EJ38"/>
  <c r="EI38"/>
  <c r="EM37"/>
  <c r="EL37"/>
  <c r="EJ37"/>
  <c r="EI37"/>
  <c r="EM36"/>
  <c r="EL36"/>
  <c r="EJ36"/>
  <c r="EI36"/>
  <c r="EM35"/>
  <c r="EL35"/>
  <c r="EJ35"/>
  <c r="EI35"/>
  <c r="EM34"/>
  <c r="EL34"/>
  <c r="EJ34"/>
  <c r="EI34"/>
  <c r="EM33"/>
  <c r="EL33"/>
  <c r="EJ33"/>
  <c r="EI33"/>
  <c r="EM32"/>
  <c r="EL32"/>
  <c r="EJ32"/>
  <c r="EI32"/>
  <c r="EM31"/>
  <c r="EL31"/>
  <c r="EJ31"/>
  <c r="EI31"/>
  <c r="EM30"/>
  <c r="EL30"/>
  <c r="EJ30"/>
  <c r="EI30"/>
  <c r="EM29"/>
  <c r="EL29"/>
  <c r="EJ29"/>
  <c r="EI29"/>
  <c r="EM28"/>
  <c r="EL28"/>
  <c r="EJ28"/>
  <c r="EI28"/>
  <c r="EM27"/>
  <c r="EL27"/>
  <c r="EJ27"/>
  <c r="EI27"/>
  <c r="EM26"/>
  <c r="EL26"/>
  <c r="EJ26"/>
  <c r="EI26"/>
  <c r="EM25"/>
  <c r="EL25"/>
  <c r="EJ25"/>
  <c r="EI25"/>
  <c r="EM24"/>
  <c r="EL24"/>
  <c r="EJ24"/>
  <c r="EI24"/>
  <c r="EM23"/>
  <c r="EL23"/>
  <c r="EJ23"/>
  <c r="EI23"/>
  <c r="EM22"/>
  <c r="EL22"/>
  <c r="EJ22"/>
  <c r="EI22"/>
  <c r="EM21"/>
  <c r="EL21"/>
  <c r="EJ21"/>
  <c r="EI21"/>
  <c r="EM20"/>
  <c r="EL20"/>
  <c r="EJ20"/>
  <c r="EI20"/>
  <c r="EM19"/>
  <c r="EL19"/>
  <c r="EJ19"/>
  <c r="EI19"/>
  <c r="EM18"/>
  <c r="EL18"/>
  <c r="EJ18"/>
  <c r="EI18"/>
  <c r="EM17"/>
  <c r="EL17"/>
  <c r="EJ17"/>
  <c r="EI17"/>
  <c r="EM16"/>
  <c r="EL16"/>
  <c r="EJ16"/>
  <c r="EI16"/>
  <c r="EM15"/>
  <c r="EL15"/>
  <c r="EJ15"/>
  <c r="EI15"/>
  <c r="EM14"/>
  <c r="EL14"/>
  <c r="EJ14"/>
  <c r="EI14"/>
  <c r="EM13"/>
  <c r="EL13"/>
  <c r="EJ13"/>
  <c r="EI13"/>
  <c r="EM12"/>
  <c r="EL12"/>
  <c r="EJ12"/>
  <c r="EI12"/>
  <c r="EM11"/>
  <c r="EL11"/>
  <c r="EJ11"/>
  <c r="EI11"/>
  <c r="CR678"/>
  <c r="CQ678"/>
  <c r="CP678"/>
  <c r="CO678"/>
  <c r="CR677"/>
  <c r="CQ677"/>
  <c r="CP677"/>
  <c r="CO677"/>
  <c r="CR676"/>
  <c r="CQ676"/>
  <c r="CP676"/>
  <c r="CO676"/>
  <c r="CR675"/>
  <c r="CQ675"/>
  <c r="CP675"/>
  <c r="CO675"/>
  <c r="CR674"/>
  <c r="CQ674"/>
  <c r="CP674"/>
  <c r="CO674"/>
  <c r="CR673"/>
  <c r="CQ673"/>
  <c r="CP673"/>
  <c r="CO673"/>
  <c r="CR672"/>
  <c r="CQ672"/>
  <c r="CP672"/>
  <c r="CO672"/>
  <c r="CR671"/>
  <c r="CQ671"/>
  <c r="CP671"/>
  <c r="CO671"/>
  <c r="CR670"/>
  <c r="CQ670"/>
  <c r="CP670"/>
  <c r="CO670"/>
  <c r="CR669"/>
  <c r="CQ669"/>
  <c r="CP669"/>
  <c r="CO669"/>
  <c r="CR668"/>
  <c r="CQ668"/>
  <c r="CP668"/>
  <c r="CO668"/>
  <c r="CR667"/>
  <c r="CQ667"/>
  <c r="CP667"/>
  <c r="CO667"/>
  <c r="CR666"/>
  <c r="CQ666"/>
  <c r="CP666"/>
  <c r="CO666"/>
  <c r="CR665"/>
  <c r="CQ665"/>
  <c r="CP665"/>
  <c r="CO665"/>
  <c r="CR664"/>
  <c r="CQ664"/>
  <c r="CP664"/>
  <c r="CO664"/>
  <c r="CR663"/>
  <c r="CQ663"/>
  <c r="CP663"/>
  <c r="CO663"/>
  <c r="CR662"/>
  <c r="CQ662"/>
  <c r="CP662"/>
  <c r="CO662"/>
  <c r="CR661"/>
  <c r="CQ661"/>
  <c r="CP661"/>
  <c r="CO661"/>
  <c r="CR660"/>
  <c r="CQ660"/>
  <c r="CP660"/>
  <c r="CO660"/>
  <c r="CR659"/>
  <c r="CQ659"/>
  <c r="CP659"/>
  <c r="CO659"/>
  <c r="CR658"/>
  <c r="CQ658"/>
  <c r="CP658"/>
  <c r="CO658"/>
  <c r="CR657"/>
  <c r="CQ657"/>
  <c r="CP657"/>
  <c r="CO657"/>
  <c r="CR656"/>
  <c r="CQ656"/>
  <c r="CP656"/>
  <c r="CO656"/>
  <c r="CR655"/>
  <c r="CQ655"/>
  <c r="CP655"/>
  <c r="CO655"/>
  <c r="CR654"/>
  <c r="CQ654"/>
  <c r="CP654"/>
  <c r="CO654"/>
  <c r="CR653"/>
  <c r="CQ653"/>
  <c r="CP653"/>
  <c r="CO653"/>
  <c r="CR652"/>
  <c r="CQ652"/>
  <c r="CP652"/>
  <c r="CO652"/>
  <c r="CR651"/>
  <c r="CQ651"/>
  <c r="CP651"/>
  <c r="CO651"/>
  <c r="CR650"/>
  <c r="CQ650"/>
  <c r="CP650"/>
  <c r="CO650"/>
  <c r="CR649"/>
  <c r="CQ649"/>
  <c r="CP649"/>
  <c r="CO649"/>
  <c r="CR648"/>
  <c r="CQ648"/>
  <c r="CP648"/>
  <c r="CO648"/>
  <c r="CR647"/>
  <c r="CQ647"/>
  <c r="CP647"/>
  <c r="CO647"/>
  <c r="CR646"/>
  <c r="CQ646"/>
  <c r="CP646"/>
  <c r="CO646"/>
  <c r="CR645"/>
  <c r="CQ645"/>
  <c r="CP645"/>
  <c r="CO645"/>
  <c r="CR644"/>
  <c r="CQ644"/>
  <c r="CP644"/>
  <c r="CO644"/>
  <c r="CR643"/>
  <c r="CQ643"/>
  <c r="CP643"/>
  <c r="CO643"/>
  <c r="CR642"/>
  <c r="CQ642"/>
  <c r="CP642"/>
  <c r="CO642"/>
  <c r="CR641"/>
  <c r="CQ641"/>
  <c r="CP641"/>
  <c r="CO641"/>
  <c r="CR640"/>
  <c r="CQ640"/>
  <c r="CP640"/>
  <c r="CO640"/>
  <c r="CR639"/>
  <c r="CQ639"/>
  <c r="CP639"/>
  <c r="CO639"/>
  <c r="CR638"/>
  <c r="CQ638"/>
  <c r="CP638"/>
  <c r="CO638"/>
  <c r="CR637"/>
  <c r="CQ637"/>
  <c r="CP637"/>
  <c r="CO637"/>
  <c r="CR636"/>
  <c r="CQ636"/>
  <c r="CP636"/>
  <c r="CO636"/>
  <c r="CR635"/>
  <c r="CQ635"/>
  <c r="CP635"/>
  <c r="CO635"/>
  <c r="CR634"/>
  <c r="CQ634"/>
  <c r="CP634"/>
  <c r="CO634"/>
  <c r="CR633"/>
  <c r="CQ633"/>
  <c r="CP633"/>
  <c r="CO633"/>
  <c r="CR632"/>
  <c r="CQ632"/>
  <c r="CP632"/>
  <c r="CO632"/>
  <c r="CR631"/>
  <c r="CQ631"/>
  <c r="CP631"/>
  <c r="CO631"/>
  <c r="CR630"/>
  <c r="CQ630"/>
  <c r="CP630"/>
  <c r="CO630"/>
  <c r="CR629"/>
  <c r="CQ629"/>
  <c r="CP629"/>
  <c r="CO629"/>
  <c r="CR628"/>
  <c r="CQ628"/>
  <c r="CP628"/>
  <c r="CO628"/>
  <c r="CR627"/>
  <c r="CQ627"/>
  <c r="CP627"/>
  <c r="CO627"/>
  <c r="CR626"/>
  <c r="CQ626"/>
  <c r="CP626"/>
  <c r="CO626"/>
  <c r="CR625"/>
  <c r="CQ625"/>
  <c r="CP625"/>
  <c r="CO625"/>
  <c r="CR624"/>
  <c r="CQ624"/>
  <c r="CP624"/>
  <c r="CO624"/>
  <c r="CR623"/>
  <c r="CQ623"/>
  <c r="CP623"/>
  <c r="CO623"/>
  <c r="CR622"/>
  <c r="CQ622"/>
  <c r="CP622"/>
  <c r="CO622"/>
  <c r="CR621"/>
  <c r="CQ621"/>
  <c r="CP621"/>
  <c r="CO621"/>
  <c r="CR620"/>
  <c r="CQ620"/>
  <c r="CP620"/>
  <c r="CO620"/>
  <c r="CR619"/>
  <c r="CQ619"/>
  <c r="CP619"/>
  <c r="CO619"/>
  <c r="CR618"/>
  <c r="CQ618"/>
  <c r="CP618"/>
  <c r="CO618"/>
  <c r="CR617"/>
  <c r="CQ617"/>
  <c r="CP617"/>
  <c r="CO617"/>
  <c r="CR616"/>
  <c r="CQ616"/>
  <c r="CP616"/>
  <c r="CO616"/>
  <c r="CR615"/>
  <c r="CQ615"/>
  <c r="CP615"/>
  <c r="CO615"/>
  <c r="CR614"/>
  <c r="CQ614"/>
  <c r="CP614"/>
  <c r="CO614"/>
  <c r="CR613"/>
  <c r="CQ613"/>
  <c r="CP613"/>
  <c r="CO613"/>
  <c r="CR612"/>
  <c r="CQ612"/>
  <c r="CP612"/>
  <c r="CO612"/>
  <c r="CR611"/>
  <c r="CQ611"/>
  <c r="CP611"/>
  <c r="CO611"/>
  <c r="CR610"/>
  <c r="CQ610"/>
  <c r="CP610"/>
  <c r="CO610"/>
  <c r="CR609"/>
  <c r="CQ609"/>
  <c r="CP609"/>
  <c r="CO609"/>
  <c r="CR608"/>
  <c r="CQ608"/>
  <c r="CP608"/>
  <c r="CO608"/>
  <c r="CR607"/>
  <c r="CQ607"/>
  <c r="CP607"/>
  <c r="CO607"/>
  <c r="CR606"/>
  <c r="CQ606"/>
  <c r="CP606"/>
  <c r="CO606"/>
  <c r="CR605"/>
  <c r="CQ605"/>
  <c r="CP605"/>
  <c r="CO605"/>
  <c r="CR604"/>
  <c r="CQ604"/>
  <c r="CP604"/>
  <c r="CO604"/>
  <c r="CR603"/>
  <c r="CQ603"/>
  <c r="CP603"/>
  <c r="CO603"/>
  <c r="CR602"/>
  <c r="CQ602"/>
  <c r="CP602"/>
  <c r="CO602"/>
  <c r="CR601"/>
  <c r="CQ601"/>
  <c r="CP601"/>
  <c r="CO601"/>
  <c r="CR600"/>
  <c r="CQ600"/>
  <c r="CP600"/>
  <c r="CO600"/>
  <c r="CR599"/>
  <c r="CQ599"/>
  <c r="CP599"/>
  <c r="CO599"/>
  <c r="CR598"/>
  <c r="CQ598"/>
  <c r="CP598"/>
  <c r="CO598"/>
  <c r="CR597"/>
  <c r="CQ597"/>
  <c r="CP597"/>
  <c r="CO597"/>
  <c r="CR596"/>
  <c r="CQ596"/>
  <c r="CP596"/>
  <c r="CO596"/>
  <c r="CR595"/>
  <c r="CQ595"/>
  <c r="CP595"/>
  <c r="CO595"/>
  <c r="CR594"/>
  <c r="CQ594"/>
  <c r="CP594"/>
  <c r="CO594"/>
  <c r="CR593"/>
  <c r="CQ593"/>
  <c r="CP593"/>
  <c r="CO593"/>
  <c r="CR592"/>
  <c r="CQ592"/>
  <c r="CP592"/>
  <c r="CO592"/>
  <c r="CR591"/>
  <c r="CQ591"/>
  <c r="CP591"/>
  <c r="CO591"/>
  <c r="CR590"/>
  <c r="CQ590"/>
  <c r="CP590"/>
  <c r="CO590"/>
  <c r="CR589"/>
  <c r="CQ589"/>
  <c r="CP589"/>
  <c r="CO589"/>
  <c r="CR588"/>
  <c r="CQ588"/>
  <c r="CP588"/>
  <c r="CO588"/>
  <c r="CR587"/>
  <c r="CQ587"/>
  <c r="CP587"/>
  <c r="CO587"/>
  <c r="CR586"/>
  <c r="CQ586"/>
  <c r="CP586"/>
  <c r="CO586"/>
  <c r="CR585"/>
  <c r="CQ585"/>
  <c r="CP585"/>
  <c r="CO585"/>
  <c r="CR584"/>
  <c r="CQ584"/>
  <c r="CP584"/>
  <c r="CO584"/>
  <c r="CR583"/>
  <c r="CQ583"/>
  <c r="CP583"/>
  <c r="CO583"/>
  <c r="CR582"/>
  <c r="CQ582"/>
  <c r="CP582"/>
  <c r="CO582"/>
  <c r="CR581"/>
  <c r="CQ581"/>
  <c r="CP581"/>
  <c r="CO581"/>
  <c r="CR580"/>
  <c r="CQ580"/>
  <c r="CP580"/>
  <c r="CO580"/>
  <c r="CR579"/>
  <c r="CQ579"/>
  <c r="CP579"/>
  <c r="CO579"/>
  <c r="CR578"/>
  <c r="CQ578"/>
  <c r="CP578"/>
  <c r="CO578"/>
  <c r="CR577"/>
  <c r="CQ577"/>
  <c r="CP577"/>
  <c r="CO577"/>
  <c r="CR576"/>
  <c r="CQ576"/>
  <c r="CP576"/>
  <c r="CO576"/>
  <c r="CR575"/>
  <c r="CQ575"/>
  <c r="CP575"/>
  <c r="CO575"/>
  <c r="CR574"/>
  <c r="CQ574"/>
  <c r="CP574"/>
  <c r="CO574"/>
  <c r="CR573"/>
  <c r="CQ573"/>
  <c r="CP573"/>
  <c r="CO573"/>
  <c r="CR572"/>
  <c r="CQ572"/>
  <c r="CP572"/>
  <c r="CO572"/>
  <c r="CR571"/>
  <c r="CQ571"/>
  <c r="CP571"/>
  <c r="CO571"/>
  <c r="CR570"/>
  <c r="CQ570"/>
  <c r="CP570"/>
  <c r="CO570"/>
  <c r="CR569"/>
  <c r="CQ569"/>
  <c r="CP569"/>
  <c r="CO569"/>
  <c r="CR568"/>
  <c r="CQ568"/>
  <c r="CP568"/>
  <c r="CO568"/>
  <c r="CR567"/>
  <c r="CQ567"/>
  <c r="CP567"/>
  <c r="CO567"/>
  <c r="CR566"/>
  <c r="CQ566"/>
  <c r="CP566"/>
  <c r="CO566"/>
  <c r="CR565"/>
  <c r="CQ565"/>
  <c r="CP565"/>
  <c r="CO565"/>
  <c r="CR564"/>
  <c r="CQ564"/>
  <c r="CP564"/>
  <c r="CO564"/>
  <c r="CR563"/>
  <c r="CQ563"/>
  <c r="CP563"/>
  <c r="CO563"/>
  <c r="CR562"/>
  <c r="CQ562"/>
  <c r="CP562"/>
  <c r="CO562"/>
  <c r="CR561"/>
  <c r="CQ561"/>
  <c r="CP561"/>
  <c r="CO561"/>
  <c r="CR560"/>
  <c r="CQ560"/>
  <c r="CP560"/>
  <c r="CO560"/>
  <c r="CR559"/>
  <c r="CQ559"/>
  <c r="CP559"/>
  <c r="CO559"/>
  <c r="CR558"/>
  <c r="CQ558"/>
  <c r="CP558"/>
  <c r="CO558"/>
  <c r="CR557"/>
  <c r="CQ557"/>
  <c r="CP557"/>
  <c r="CO557"/>
  <c r="CR556"/>
  <c r="CQ556"/>
  <c r="CP556"/>
  <c r="CO556"/>
  <c r="CR555"/>
  <c r="CQ555"/>
  <c r="CP555"/>
  <c r="CO555"/>
  <c r="CR554"/>
  <c r="CQ554"/>
  <c r="CP554"/>
  <c r="CO554"/>
  <c r="CR553"/>
  <c r="CQ553"/>
  <c r="CP553"/>
  <c r="CO553"/>
  <c r="CR552"/>
  <c r="CQ552"/>
  <c r="CP552"/>
  <c r="CO552"/>
  <c r="CR551"/>
  <c r="CQ551"/>
  <c r="CP551"/>
  <c r="CO551"/>
  <c r="CR550"/>
  <c r="CQ550"/>
  <c r="CP550"/>
  <c r="CO550"/>
  <c r="CR549"/>
  <c r="CQ549"/>
  <c r="CP549"/>
  <c r="CO549"/>
  <c r="CR548"/>
  <c r="CQ548"/>
  <c r="CP548"/>
  <c r="CO548"/>
  <c r="CR547"/>
  <c r="CQ547"/>
  <c r="CP547"/>
  <c r="CO547"/>
  <c r="CR546"/>
  <c r="CQ546"/>
  <c r="CP546"/>
  <c r="CO546"/>
  <c r="CR545"/>
  <c r="CQ545"/>
  <c r="CP545"/>
  <c r="CO545"/>
  <c r="CR544"/>
  <c r="CQ544"/>
  <c r="CP544"/>
  <c r="CO544"/>
  <c r="CR543"/>
  <c r="CQ543"/>
  <c r="CP543"/>
  <c r="CO543"/>
  <c r="CR542"/>
  <c r="CQ542"/>
  <c r="CP542"/>
  <c r="CO542"/>
  <c r="CR541"/>
  <c r="CQ541"/>
  <c r="CP541"/>
  <c r="CO541"/>
  <c r="CR540"/>
  <c r="CQ540"/>
  <c r="CP540"/>
  <c r="CO540"/>
  <c r="CR539"/>
  <c r="CQ539"/>
  <c r="CP539"/>
  <c r="CO539"/>
  <c r="CR538"/>
  <c r="CQ538"/>
  <c r="CP538"/>
  <c r="CO538"/>
  <c r="CR537"/>
  <c r="CQ537"/>
  <c r="CP537"/>
  <c r="CO537"/>
  <c r="CR536"/>
  <c r="CQ536"/>
  <c r="CP536"/>
  <c r="CO536"/>
  <c r="CR535"/>
  <c r="CQ535"/>
  <c r="CP535"/>
  <c r="CO535"/>
  <c r="CR534"/>
  <c r="CQ534"/>
  <c r="CP534"/>
  <c r="CO534"/>
  <c r="CR533"/>
  <c r="CQ533"/>
  <c r="CP533"/>
  <c r="CO533"/>
  <c r="CR532"/>
  <c r="CQ532"/>
  <c r="CP532"/>
  <c r="CO532"/>
  <c r="CR531"/>
  <c r="CQ531"/>
  <c r="CP531"/>
  <c r="CO531"/>
  <c r="CR530"/>
  <c r="CQ530"/>
  <c r="CP530"/>
  <c r="CO530"/>
  <c r="CR529"/>
  <c r="CQ529"/>
  <c r="CP529"/>
  <c r="CO529"/>
  <c r="CR528"/>
  <c r="CQ528"/>
  <c r="CP528"/>
  <c r="CO528"/>
  <c r="CR527"/>
  <c r="CQ527"/>
  <c r="CP527"/>
  <c r="CO527"/>
  <c r="CR526"/>
  <c r="CQ526"/>
  <c r="CP526"/>
  <c r="CO526"/>
  <c r="CR525"/>
  <c r="CQ525"/>
  <c r="CP525"/>
  <c r="CO525"/>
  <c r="CR524"/>
  <c r="CQ524"/>
  <c r="CP524"/>
  <c r="CO524"/>
  <c r="CR523"/>
  <c r="CQ523"/>
  <c r="CP523"/>
  <c r="CO523"/>
  <c r="CR522"/>
  <c r="CQ522"/>
  <c r="CP522"/>
  <c r="CO522"/>
  <c r="CR521"/>
  <c r="CQ521"/>
  <c r="CP521"/>
  <c r="CO521"/>
  <c r="CR520"/>
  <c r="CQ520"/>
  <c r="CP520"/>
  <c r="CO520"/>
  <c r="CR519"/>
  <c r="CQ519"/>
  <c r="CP519"/>
  <c r="CO519"/>
  <c r="CR518"/>
  <c r="CQ518"/>
  <c r="CP518"/>
  <c r="CO518"/>
  <c r="CR517"/>
  <c r="CQ517"/>
  <c r="CP517"/>
  <c r="CO517"/>
  <c r="CR516"/>
  <c r="CQ516"/>
  <c r="CP516"/>
  <c r="CO516"/>
  <c r="CR515"/>
  <c r="CQ515"/>
  <c r="CP515"/>
  <c r="CO515"/>
  <c r="CR514"/>
  <c r="CQ514"/>
  <c r="CP514"/>
  <c r="CO514"/>
  <c r="CR513"/>
  <c r="CQ513"/>
  <c r="CP513"/>
  <c r="CO513"/>
  <c r="CR512"/>
  <c r="CQ512"/>
  <c r="CP512"/>
  <c r="CO512"/>
  <c r="CR511"/>
  <c r="CQ511"/>
  <c r="CP511"/>
  <c r="CO511"/>
  <c r="CR510"/>
  <c r="CQ510"/>
  <c r="CP510"/>
  <c r="CO510"/>
  <c r="CR509"/>
  <c r="CQ509"/>
  <c r="CP509"/>
  <c r="CO509"/>
  <c r="CR508"/>
  <c r="CQ508"/>
  <c r="CP508"/>
  <c r="CO508"/>
  <c r="CR507"/>
  <c r="CQ507"/>
  <c r="CP507"/>
  <c r="CO507"/>
  <c r="CR506"/>
  <c r="CQ506"/>
  <c r="CP506"/>
  <c r="CO506"/>
  <c r="CR505"/>
  <c r="CQ505"/>
  <c r="CP505"/>
  <c r="CO505"/>
  <c r="CR504"/>
  <c r="CQ504"/>
  <c r="CP504"/>
  <c r="CO504"/>
  <c r="CR503"/>
  <c r="CQ503"/>
  <c r="CP503"/>
  <c r="CO503"/>
  <c r="CR502"/>
  <c r="CQ502"/>
  <c r="CP502"/>
  <c r="CO502"/>
  <c r="CR501"/>
  <c r="CQ501"/>
  <c r="CP501"/>
  <c r="CO501"/>
  <c r="CR500"/>
  <c r="CQ500"/>
  <c r="CP500"/>
  <c r="CO500"/>
  <c r="CR499"/>
  <c r="CQ499"/>
  <c r="CP499"/>
  <c r="CO499"/>
  <c r="CR498"/>
  <c r="CQ498"/>
  <c r="CP498"/>
  <c r="CO498"/>
  <c r="CR497"/>
  <c r="CQ497"/>
  <c r="CP497"/>
  <c r="CO497"/>
  <c r="CR496"/>
  <c r="CQ496"/>
  <c r="CP496"/>
  <c r="CO496"/>
  <c r="CR495"/>
  <c r="CQ495"/>
  <c r="CP495"/>
  <c r="CO495"/>
  <c r="CR494"/>
  <c r="CQ494"/>
  <c r="CP494"/>
  <c r="CO494"/>
  <c r="CR493"/>
  <c r="CQ493"/>
  <c r="CP493"/>
  <c r="CO493"/>
  <c r="CR492"/>
  <c r="CQ492"/>
  <c r="CP492"/>
  <c r="CO492"/>
  <c r="CR491"/>
  <c r="CQ491"/>
  <c r="CP491"/>
  <c r="CO491"/>
  <c r="CR490"/>
  <c r="CQ490"/>
  <c r="CP490"/>
  <c r="CO490"/>
  <c r="CR489"/>
  <c r="CQ489"/>
  <c r="CP489"/>
  <c r="CO489"/>
  <c r="CR488"/>
  <c r="CQ488"/>
  <c r="CP488"/>
  <c r="CO488"/>
  <c r="CR487"/>
  <c r="CQ487"/>
  <c r="CP487"/>
  <c r="CO487"/>
  <c r="CR486"/>
  <c r="CQ486"/>
  <c r="CP486"/>
  <c r="CO486"/>
  <c r="CR485"/>
  <c r="CQ485"/>
  <c r="CP485"/>
  <c r="CO485"/>
  <c r="CR484"/>
  <c r="CQ484"/>
  <c r="CP484"/>
  <c r="CO484"/>
  <c r="CR483"/>
  <c r="CQ483"/>
  <c r="CP483"/>
  <c r="CO483"/>
  <c r="CR482"/>
  <c r="CQ482"/>
  <c r="CP482"/>
  <c r="CO482"/>
  <c r="CR481"/>
  <c r="CQ481"/>
  <c r="CP481"/>
  <c r="CO481"/>
  <c r="CR480"/>
  <c r="CQ480"/>
  <c r="CP480"/>
  <c r="CO480"/>
  <c r="CR479"/>
  <c r="CQ479"/>
  <c r="CP479"/>
  <c r="CO479"/>
  <c r="CR478"/>
  <c r="CQ478"/>
  <c r="CP478"/>
  <c r="CO478"/>
  <c r="CR477"/>
  <c r="CQ477"/>
  <c r="CP477"/>
  <c r="CO477"/>
  <c r="CR476"/>
  <c r="CQ476"/>
  <c r="CP476"/>
  <c r="CO476"/>
  <c r="CR475"/>
  <c r="CQ475"/>
  <c r="CP475"/>
  <c r="CO475"/>
  <c r="CR474"/>
  <c r="CQ474"/>
  <c r="CP474"/>
  <c r="CO474"/>
  <c r="CR473"/>
  <c r="CQ473"/>
  <c r="CP473"/>
  <c r="CO473"/>
  <c r="CR472"/>
  <c r="CQ472"/>
  <c r="CP472"/>
  <c r="CO472"/>
  <c r="CR471"/>
  <c r="CQ471"/>
  <c r="CP471"/>
  <c r="CO471"/>
  <c r="EO471" s="1"/>
  <c r="CR470"/>
  <c r="CQ470"/>
  <c r="CP470"/>
  <c r="CO470"/>
  <c r="EO470" s="1"/>
  <c r="CR469"/>
  <c r="CQ469"/>
  <c r="CP469"/>
  <c r="CO469"/>
  <c r="EO469" s="1"/>
  <c r="CR468"/>
  <c r="CQ468"/>
  <c r="CP468"/>
  <c r="CO468"/>
  <c r="EO468" s="1"/>
  <c r="CR467"/>
  <c r="CQ467"/>
  <c r="CP467"/>
  <c r="CO467"/>
  <c r="EO467" s="1"/>
  <c r="CR466"/>
  <c r="CQ466"/>
  <c r="CP466"/>
  <c r="CO466"/>
  <c r="EO466" s="1"/>
  <c r="CR465"/>
  <c r="CQ465"/>
  <c r="CP465"/>
  <c r="CO465"/>
  <c r="EO465" s="1"/>
  <c r="CR464"/>
  <c r="CQ464"/>
  <c r="CP464"/>
  <c r="CO464"/>
  <c r="EO464" s="1"/>
  <c r="CR463"/>
  <c r="CQ463"/>
  <c r="CP463"/>
  <c r="CO463"/>
  <c r="EO463" s="1"/>
  <c r="CR462"/>
  <c r="CQ462"/>
  <c r="CP462"/>
  <c r="CO462"/>
  <c r="EO462" s="1"/>
  <c r="CR461"/>
  <c r="CQ461"/>
  <c r="CP461"/>
  <c r="CO461"/>
  <c r="EO461" s="1"/>
  <c r="CR460"/>
  <c r="CQ460"/>
  <c r="CP460"/>
  <c r="CO460"/>
  <c r="EO460" s="1"/>
  <c r="CR459"/>
  <c r="CQ459"/>
  <c r="CP459"/>
  <c r="CO459"/>
  <c r="EO459" s="1"/>
  <c r="CR458"/>
  <c r="CQ458"/>
  <c r="CP458"/>
  <c r="CO458"/>
  <c r="EO458" s="1"/>
  <c r="CR457"/>
  <c r="CQ457"/>
  <c r="CP457"/>
  <c r="CO457"/>
  <c r="EO457" s="1"/>
  <c r="CR456"/>
  <c r="CQ456"/>
  <c r="CP456"/>
  <c r="CO456"/>
  <c r="EO456" s="1"/>
  <c r="CR455"/>
  <c r="CQ455"/>
  <c r="CP455"/>
  <c r="CO455"/>
  <c r="EO455" s="1"/>
  <c r="CR454"/>
  <c r="CQ454"/>
  <c r="CP454"/>
  <c r="CO454"/>
  <c r="EO454" s="1"/>
  <c r="CR453"/>
  <c r="CQ453"/>
  <c r="CP453"/>
  <c r="CO453"/>
  <c r="EO453" s="1"/>
  <c r="CR452"/>
  <c r="CQ452"/>
  <c r="CP452"/>
  <c r="CO452"/>
  <c r="EO452" s="1"/>
  <c r="CR451"/>
  <c r="CQ451"/>
  <c r="CP451"/>
  <c r="CO451"/>
  <c r="EO451" s="1"/>
  <c r="CR450"/>
  <c r="CQ450"/>
  <c r="CP450"/>
  <c r="CO450"/>
  <c r="EO450" s="1"/>
  <c r="CR449"/>
  <c r="CQ449"/>
  <c r="CP449"/>
  <c r="CO449"/>
  <c r="EO449" s="1"/>
  <c r="CR448"/>
  <c r="CQ448"/>
  <c r="CP448"/>
  <c r="CO448"/>
  <c r="EO448" s="1"/>
  <c r="CR447"/>
  <c r="CQ447"/>
  <c r="CP447"/>
  <c r="CO447"/>
  <c r="EO447" s="1"/>
  <c r="CR446"/>
  <c r="CQ446"/>
  <c r="CP446"/>
  <c r="CO446"/>
  <c r="EO446" s="1"/>
  <c r="CR445"/>
  <c r="CQ445"/>
  <c r="CP445"/>
  <c r="CO445"/>
  <c r="CR444"/>
  <c r="CQ444"/>
  <c r="CP444"/>
  <c r="CO444"/>
  <c r="CR443"/>
  <c r="CQ443"/>
  <c r="CP443"/>
  <c r="CO443"/>
  <c r="CR442"/>
  <c r="CQ442"/>
  <c r="CP442"/>
  <c r="CO442"/>
  <c r="CR441"/>
  <c r="CQ441"/>
  <c r="CP441"/>
  <c r="CO441"/>
  <c r="CR440"/>
  <c r="CQ440"/>
  <c r="CP440"/>
  <c r="CO440"/>
  <c r="CR439"/>
  <c r="CQ439"/>
  <c r="CP439"/>
  <c r="CO439"/>
  <c r="CR438"/>
  <c r="CQ438"/>
  <c r="CP438"/>
  <c r="CO438"/>
  <c r="CR437"/>
  <c r="CQ437"/>
  <c r="CP437"/>
  <c r="CO437"/>
  <c r="CR436"/>
  <c r="CQ436"/>
  <c r="CP436"/>
  <c r="CO436"/>
  <c r="CR435"/>
  <c r="CQ435"/>
  <c r="CP435"/>
  <c r="CO435"/>
  <c r="CR434"/>
  <c r="CQ434"/>
  <c r="CP434"/>
  <c r="CO434"/>
  <c r="CR433"/>
  <c r="CQ433"/>
  <c r="CP433"/>
  <c r="CO433"/>
  <c r="CR432"/>
  <c r="CQ432"/>
  <c r="CP432"/>
  <c r="CO432"/>
  <c r="CR431"/>
  <c r="CQ431"/>
  <c r="CP431"/>
  <c r="CO431"/>
  <c r="CR430"/>
  <c r="CQ430"/>
  <c r="CP430"/>
  <c r="CO430"/>
  <c r="CR429"/>
  <c r="CQ429"/>
  <c r="CP429"/>
  <c r="CO429"/>
  <c r="CR428"/>
  <c r="CQ428"/>
  <c r="CP428"/>
  <c r="CO428"/>
  <c r="CR427"/>
  <c r="CQ427"/>
  <c r="CP427"/>
  <c r="CO427"/>
  <c r="CR426"/>
  <c r="CQ426"/>
  <c r="CP426"/>
  <c r="CO426"/>
  <c r="CR425"/>
  <c r="CQ425"/>
  <c r="CP425"/>
  <c r="CO425"/>
  <c r="CR424"/>
  <c r="CQ424"/>
  <c r="CP424"/>
  <c r="CO424"/>
  <c r="CR423"/>
  <c r="CQ423"/>
  <c r="CP423"/>
  <c r="CO423"/>
  <c r="CR422"/>
  <c r="CQ422"/>
  <c r="CP422"/>
  <c r="CO422"/>
  <c r="CR421"/>
  <c r="CQ421"/>
  <c r="CP421"/>
  <c r="CO421"/>
  <c r="CR420"/>
  <c r="CQ420"/>
  <c r="CP420"/>
  <c r="CO420"/>
  <c r="CR419"/>
  <c r="CQ419"/>
  <c r="CP419"/>
  <c r="CO419"/>
  <c r="CR418"/>
  <c r="CQ418"/>
  <c r="CP418"/>
  <c r="CO418"/>
  <c r="CR417"/>
  <c r="CQ417"/>
  <c r="CP417"/>
  <c r="CO417"/>
  <c r="CR416"/>
  <c r="CQ416"/>
  <c r="CP416"/>
  <c r="CO416"/>
  <c r="CR415"/>
  <c r="CQ415"/>
  <c r="CP415"/>
  <c r="CO415"/>
  <c r="CR414"/>
  <c r="CQ414"/>
  <c r="CP414"/>
  <c r="CO414"/>
  <c r="CR413"/>
  <c r="CQ413"/>
  <c r="CP413"/>
  <c r="CO413"/>
  <c r="CR412"/>
  <c r="CQ412"/>
  <c r="CP412"/>
  <c r="CO412"/>
  <c r="CR411"/>
  <c r="CQ411"/>
  <c r="CP411"/>
  <c r="CO411"/>
  <c r="CR410"/>
  <c r="CQ410"/>
  <c r="CP410"/>
  <c r="CO410"/>
  <c r="CR409"/>
  <c r="CQ409"/>
  <c r="CP409"/>
  <c r="CO409"/>
  <c r="CR408"/>
  <c r="CP408"/>
  <c r="CO408"/>
  <c r="CR407"/>
  <c r="CQ407"/>
  <c r="CP407"/>
  <c r="CO407"/>
  <c r="CR406"/>
  <c r="CQ406"/>
  <c r="CP406"/>
  <c r="CO406"/>
  <c r="CR405"/>
  <c r="CQ405"/>
  <c r="CP405"/>
  <c r="CO405"/>
  <c r="CR404"/>
  <c r="CQ404"/>
  <c r="CP404"/>
  <c r="CO404"/>
  <c r="CR403"/>
  <c r="CQ403"/>
  <c r="CP403"/>
  <c r="CO403"/>
  <c r="CR402"/>
  <c r="CQ402"/>
  <c r="CP402"/>
  <c r="CO402"/>
  <c r="CR401"/>
  <c r="CQ401"/>
  <c r="CP401"/>
  <c r="CO401"/>
  <c r="CR400"/>
  <c r="CQ400"/>
  <c r="CP400"/>
  <c r="CO400"/>
  <c r="CR399"/>
  <c r="CQ399"/>
  <c r="CP399"/>
  <c r="CO399"/>
  <c r="CR398"/>
  <c r="CQ398"/>
  <c r="CP398"/>
  <c r="CO398"/>
  <c r="CR397"/>
  <c r="CQ397"/>
  <c r="CP397"/>
  <c r="CO397"/>
  <c r="CR396"/>
  <c r="CQ396"/>
  <c r="CP396"/>
  <c r="CO396"/>
  <c r="CR395"/>
  <c r="CQ395"/>
  <c r="CP395"/>
  <c r="CO395"/>
  <c r="CR394"/>
  <c r="CQ394"/>
  <c r="CP394"/>
  <c r="CO394"/>
  <c r="CR393"/>
  <c r="CQ393"/>
  <c r="CP393"/>
  <c r="CO393"/>
  <c r="CR392"/>
  <c r="CQ392"/>
  <c r="CP392"/>
  <c r="CO392"/>
  <c r="CR391"/>
  <c r="CQ391"/>
  <c r="CP391"/>
  <c r="CO391"/>
  <c r="CR390"/>
  <c r="CQ390"/>
  <c r="CP390"/>
  <c r="CO390"/>
  <c r="CR389"/>
  <c r="CQ389"/>
  <c r="CP389"/>
  <c r="CO389"/>
  <c r="CR388"/>
  <c r="CQ388"/>
  <c r="CP388"/>
  <c r="CO388"/>
  <c r="CR387"/>
  <c r="CQ387"/>
  <c r="CP387"/>
  <c r="CO387"/>
  <c r="CR386"/>
  <c r="CQ386"/>
  <c r="CP386"/>
  <c r="CO386"/>
  <c r="CR385"/>
  <c r="CQ385"/>
  <c r="CP385"/>
  <c r="CO385"/>
  <c r="CR384"/>
  <c r="CQ384"/>
  <c r="CP384"/>
  <c r="CO384"/>
  <c r="CR383"/>
  <c r="CQ383"/>
  <c r="CP383"/>
  <c r="CO383"/>
  <c r="CR382"/>
  <c r="CQ382"/>
  <c r="CP382"/>
  <c r="CO382"/>
  <c r="CR381"/>
  <c r="CQ381"/>
  <c r="CP381"/>
  <c r="CO381"/>
  <c r="CR380"/>
  <c r="CQ380"/>
  <c r="CP380"/>
  <c r="CO380"/>
  <c r="CR379"/>
  <c r="CQ379"/>
  <c r="CP379"/>
  <c r="CO379"/>
  <c r="CR378"/>
  <c r="CQ378"/>
  <c r="CP378"/>
  <c r="CO378"/>
  <c r="CR377"/>
  <c r="CQ377"/>
  <c r="CP377"/>
  <c r="CO377"/>
  <c r="CR376"/>
  <c r="CQ376"/>
  <c r="CP376"/>
  <c r="CO376"/>
  <c r="CR375"/>
  <c r="CQ375"/>
  <c r="CP375"/>
  <c r="CO375"/>
  <c r="CR374"/>
  <c r="CQ374"/>
  <c r="CP374"/>
  <c r="CO374"/>
  <c r="CR373"/>
  <c r="CQ373"/>
  <c r="CP373"/>
  <c r="CO373"/>
  <c r="CR372"/>
  <c r="CQ372"/>
  <c r="CP372"/>
  <c r="CO372"/>
  <c r="CR371"/>
  <c r="CQ371"/>
  <c r="CP371"/>
  <c r="CO371"/>
  <c r="CR370"/>
  <c r="CQ370"/>
  <c r="CP370"/>
  <c r="CO370"/>
  <c r="CR369"/>
  <c r="CQ369"/>
  <c r="CP369"/>
  <c r="CO369"/>
  <c r="CR368"/>
  <c r="CQ368"/>
  <c r="CP368"/>
  <c r="CO368"/>
  <c r="CR367"/>
  <c r="CQ367"/>
  <c r="CP367"/>
  <c r="CO367"/>
  <c r="CR366"/>
  <c r="CQ366"/>
  <c r="CP366"/>
  <c r="CO366"/>
  <c r="CR365"/>
  <c r="CQ365"/>
  <c r="CP365"/>
  <c r="CO365"/>
  <c r="CR364"/>
  <c r="CQ364"/>
  <c r="CP364"/>
  <c r="CO364"/>
  <c r="CR363"/>
  <c r="CQ363"/>
  <c r="CP363"/>
  <c r="CO363"/>
  <c r="CR362"/>
  <c r="CQ362"/>
  <c r="CP362"/>
  <c r="CO362"/>
  <c r="CR361"/>
  <c r="CQ361"/>
  <c r="CP361"/>
  <c r="CO361"/>
  <c r="CR360"/>
  <c r="CQ360"/>
  <c r="CP360"/>
  <c r="CO360"/>
  <c r="CR359"/>
  <c r="CQ359"/>
  <c r="CP359"/>
  <c r="CO359"/>
  <c r="CR358"/>
  <c r="CQ358"/>
  <c r="CP358"/>
  <c r="CO358"/>
  <c r="CR357"/>
  <c r="CQ357"/>
  <c r="CP357"/>
  <c r="CO357"/>
  <c r="CR356"/>
  <c r="CQ356"/>
  <c r="CP356"/>
  <c r="CO356"/>
  <c r="CR355"/>
  <c r="CQ355"/>
  <c r="CP355"/>
  <c r="CO355"/>
  <c r="CR354"/>
  <c r="CQ354"/>
  <c r="CP354"/>
  <c r="CO354"/>
  <c r="CR353"/>
  <c r="CQ353"/>
  <c r="CP353"/>
  <c r="CO353"/>
  <c r="CR352"/>
  <c r="CQ352"/>
  <c r="CP352"/>
  <c r="CO352"/>
  <c r="CR351"/>
  <c r="CQ351"/>
  <c r="CP351"/>
  <c r="CO351"/>
  <c r="CR350"/>
  <c r="CQ350"/>
  <c r="CP350"/>
  <c r="CO350"/>
  <c r="CR349"/>
  <c r="CQ349"/>
  <c r="CP349"/>
  <c r="CO349"/>
  <c r="CR348"/>
  <c r="CQ348"/>
  <c r="CP348"/>
  <c r="CO348"/>
  <c r="CR347"/>
  <c r="CQ347"/>
  <c r="CP347"/>
  <c r="CO347"/>
  <c r="CR346"/>
  <c r="CQ346"/>
  <c r="CP346"/>
  <c r="CO346"/>
  <c r="CR345"/>
  <c r="CQ345"/>
  <c r="CP345"/>
  <c r="CO345"/>
  <c r="CR344"/>
  <c r="CQ344"/>
  <c r="CP344"/>
  <c r="CO344"/>
  <c r="CR343"/>
  <c r="CQ343"/>
  <c r="CP343"/>
  <c r="CO343"/>
  <c r="CR342"/>
  <c r="CQ342"/>
  <c r="CP342"/>
  <c r="CO342"/>
  <c r="CR341"/>
  <c r="CQ341"/>
  <c r="CP341"/>
  <c r="CO341"/>
  <c r="CR340"/>
  <c r="CQ340"/>
  <c r="CP340"/>
  <c r="CO340"/>
  <c r="CR339"/>
  <c r="CQ339"/>
  <c r="CP339"/>
  <c r="CO339"/>
  <c r="CR338"/>
  <c r="CQ338"/>
  <c r="CP338"/>
  <c r="CO338"/>
  <c r="CR337"/>
  <c r="CQ337"/>
  <c r="CP337"/>
  <c r="CO337"/>
  <c r="CR336"/>
  <c r="CQ336"/>
  <c r="CP336"/>
  <c r="CO336"/>
  <c r="CR335"/>
  <c r="CQ335"/>
  <c r="CP335"/>
  <c r="CO335"/>
  <c r="CR334"/>
  <c r="CQ334"/>
  <c r="CP334"/>
  <c r="CO334"/>
  <c r="CR333"/>
  <c r="CQ333"/>
  <c r="CP333"/>
  <c r="CO333"/>
  <c r="CR332"/>
  <c r="CQ332"/>
  <c r="CP332"/>
  <c r="CO332"/>
  <c r="CR331"/>
  <c r="CQ331"/>
  <c r="CP331"/>
  <c r="CO331"/>
  <c r="CR330"/>
  <c r="CQ330"/>
  <c r="CP330"/>
  <c r="CO330"/>
  <c r="CR329"/>
  <c r="CQ329"/>
  <c r="CP329"/>
  <c r="CO329"/>
  <c r="CR328"/>
  <c r="CQ328"/>
  <c r="CP328"/>
  <c r="CO328"/>
  <c r="CR327"/>
  <c r="CQ327"/>
  <c r="CP327"/>
  <c r="CO327"/>
  <c r="CR326"/>
  <c r="CQ326"/>
  <c r="CP326"/>
  <c r="CO326"/>
  <c r="CR325"/>
  <c r="CQ325"/>
  <c r="CP325"/>
  <c r="CO325"/>
  <c r="CR324"/>
  <c r="CQ324"/>
  <c r="CP324"/>
  <c r="CO324"/>
  <c r="CR323"/>
  <c r="CQ323"/>
  <c r="CP323"/>
  <c r="CO323"/>
  <c r="CR322"/>
  <c r="CQ322"/>
  <c r="CP322"/>
  <c r="CO322"/>
  <c r="CR321"/>
  <c r="CQ321"/>
  <c r="CP321"/>
  <c r="CO321"/>
  <c r="CR320"/>
  <c r="CQ320"/>
  <c r="CP320"/>
  <c r="CO320"/>
  <c r="CR319"/>
  <c r="CQ319"/>
  <c r="CP319"/>
  <c r="CO319"/>
  <c r="CR318"/>
  <c r="CQ318"/>
  <c r="CP318"/>
  <c r="CO318"/>
  <c r="CR316"/>
  <c r="CQ316"/>
  <c r="CP316"/>
  <c r="CO316"/>
  <c r="CR317"/>
  <c r="CQ317"/>
  <c r="CP317"/>
  <c r="CO317"/>
  <c r="CR315"/>
  <c r="CQ315"/>
  <c r="CP315"/>
  <c r="CO315"/>
  <c r="CR314"/>
  <c r="CQ314"/>
  <c r="CP314"/>
  <c r="CO314"/>
  <c r="CR313"/>
  <c r="CQ313"/>
  <c r="CP313"/>
  <c r="CO313"/>
  <c r="CR312"/>
  <c r="CQ312"/>
  <c r="CP312"/>
  <c r="CO312"/>
  <c r="CR311"/>
  <c r="CQ311"/>
  <c r="CP311"/>
  <c r="CO311"/>
  <c r="CR310"/>
  <c r="CQ310"/>
  <c r="CP310"/>
  <c r="CO310"/>
  <c r="CR309"/>
  <c r="CQ309"/>
  <c r="CP309"/>
  <c r="CO309"/>
  <c r="CR308"/>
  <c r="CQ308"/>
  <c r="CP308"/>
  <c r="CO308"/>
  <c r="CR307"/>
  <c r="CQ307"/>
  <c r="CP307"/>
  <c r="CO307"/>
  <c r="CR306"/>
  <c r="CQ306"/>
  <c r="CP306"/>
  <c r="CO306"/>
  <c r="CR305"/>
  <c r="CQ305"/>
  <c r="CP305"/>
  <c r="CO305"/>
  <c r="CR304"/>
  <c r="CQ304"/>
  <c r="CP304"/>
  <c r="CO304"/>
  <c r="CR303"/>
  <c r="CQ303"/>
  <c r="CP303"/>
  <c r="CO303"/>
  <c r="CR302"/>
  <c r="CQ302"/>
  <c r="CP302"/>
  <c r="CO302"/>
  <c r="CR301"/>
  <c r="CQ301"/>
  <c r="CP301"/>
  <c r="CO301"/>
  <c r="CR300"/>
  <c r="CQ300"/>
  <c r="CP300"/>
  <c r="CO300"/>
  <c r="CR299"/>
  <c r="CQ299"/>
  <c r="CP299"/>
  <c r="CO299"/>
  <c r="CR298"/>
  <c r="CQ298"/>
  <c r="CP298"/>
  <c r="CO298"/>
  <c r="CR297"/>
  <c r="CQ297"/>
  <c r="CP297"/>
  <c r="CO297"/>
  <c r="CR296"/>
  <c r="CQ296"/>
  <c r="CP296"/>
  <c r="CO296"/>
  <c r="CR295"/>
  <c r="CQ295"/>
  <c r="CP295"/>
  <c r="CO295"/>
  <c r="CR294"/>
  <c r="CQ294"/>
  <c r="CP294"/>
  <c r="CO294"/>
  <c r="CR293"/>
  <c r="CQ293"/>
  <c r="CP293"/>
  <c r="CO293"/>
  <c r="CR292"/>
  <c r="CQ292"/>
  <c r="CP292"/>
  <c r="CO292"/>
  <c r="CR291"/>
  <c r="CQ291"/>
  <c r="CP291"/>
  <c r="CO291"/>
  <c r="CR290"/>
  <c r="CQ290"/>
  <c r="CP290"/>
  <c r="CO290"/>
  <c r="CR289"/>
  <c r="CQ289"/>
  <c r="CP289"/>
  <c r="CO289"/>
  <c r="CR288"/>
  <c r="CQ288"/>
  <c r="CP288"/>
  <c r="CO288"/>
  <c r="CR287"/>
  <c r="CQ287"/>
  <c r="CP287"/>
  <c r="CO287"/>
  <c r="CR286"/>
  <c r="CQ286"/>
  <c r="CP286"/>
  <c r="CO286"/>
  <c r="CR285"/>
  <c r="CQ285"/>
  <c r="CP285"/>
  <c r="CO285"/>
  <c r="CR284"/>
  <c r="CQ284"/>
  <c r="CP284"/>
  <c r="CO284"/>
  <c r="CR283"/>
  <c r="CQ283"/>
  <c r="CP283"/>
  <c r="CO283"/>
  <c r="CR282"/>
  <c r="CQ282"/>
  <c r="CP282"/>
  <c r="CO282"/>
  <c r="CR281"/>
  <c r="CQ281"/>
  <c r="CP281"/>
  <c r="CO281"/>
  <c r="CR280"/>
  <c r="CQ280"/>
  <c r="CP280"/>
  <c r="CO280"/>
  <c r="CR279"/>
  <c r="CQ279"/>
  <c r="CP279"/>
  <c r="CO279"/>
  <c r="CR278"/>
  <c r="CQ278"/>
  <c r="CP278"/>
  <c r="CO278"/>
  <c r="CR277"/>
  <c r="CQ277"/>
  <c r="CP277"/>
  <c r="CO277"/>
  <c r="CR276"/>
  <c r="CQ276"/>
  <c r="CP276"/>
  <c r="CO276"/>
  <c r="CR275"/>
  <c r="CQ275"/>
  <c r="CP275"/>
  <c r="CO275"/>
  <c r="CR274"/>
  <c r="CQ274"/>
  <c r="CP274"/>
  <c r="CO274"/>
  <c r="CR273"/>
  <c r="CQ273"/>
  <c r="CP273"/>
  <c r="CO273"/>
  <c r="CR272"/>
  <c r="CQ272"/>
  <c r="CP272"/>
  <c r="CO272"/>
  <c r="CR271"/>
  <c r="CQ271"/>
  <c r="CP271"/>
  <c r="CO271"/>
  <c r="CR270"/>
  <c r="CQ270"/>
  <c r="CP270"/>
  <c r="CO270"/>
  <c r="CR269"/>
  <c r="CQ269"/>
  <c r="CP269"/>
  <c r="CO269"/>
  <c r="CR268"/>
  <c r="CQ268"/>
  <c r="CP268"/>
  <c r="CO268"/>
  <c r="CR267"/>
  <c r="CQ267"/>
  <c r="CP267"/>
  <c r="CO267"/>
  <c r="CR266"/>
  <c r="CQ266"/>
  <c r="CP266"/>
  <c r="CO266"/>
  <c r="CR265"/>
  <c r="CQ265"/>
  <c r="CP265"/>
  <c r="CO265"/>
  <c r="CR264"/>
  <c r="CQ264"/>
  <c r="CP264"/>
  <c r="CO264"/>
  <c r="CR263"/>
  <c r="CQ263"/>
  <c r="CP263"/>
  <c r="CO263"/>
  <c r="CR262"/>
  <c r="CQ262"/>
  <c r="CP262"/>
  <c r="CO262"/>
  <c r="CR261"/>
  <c r="CQ261"/>
  <c r="CP261"/>
  <c r="CO261"/>
  <c r="CR260"/>
  <c r="CQ260"/>
  <c r="CP260"/>
  <c r="CO260"/>
  <c r="CR259"/>
  <c r="CQ259"/>
  <c r="CP259"/>
  <c r="CO259"/>
  <c r="CR258"/>
  <c r="CQ258"/>
  <c r="CP258"/>
  <c r="CO258"/>
  <c r="CR257"/>
  <c r="CQ257"/>
  <c r="CP257"/>
  <c r="CO257"/>
  <c r="CR256"/>
  <c r="CQ256"/>
  <c r="CP256"/>
  <c r="CO256"/>
  <c r="CR255"/>
  <c r="CQ255"/>
  <c r="CP255"/>
  <c r="CO255"/>
  <c r="CR254"/>
  <c r="CQ254"/>
  <c r="CP254"/>
  <c r="CO254"/>
  <c r="CR253"/>
  <c r="CQ253"/>
  <c r="CP253"/>
  <c r="CO253"/>
  <c r="CR252"/>
  <c r="CQ252"/>
  <c r="CP252"/>
  <c r="CO252"/>
  <c r="CR251"/>
  <c r="CQ251"/>
  <c r="CP251"/>
  <c r="CO251"/>
  <c r="CR250"/>
  <c r="CQ250"/>
  <c r="CP250"/>
  <c r="CO250"/>
  <c r="CR249"/>
  <c r="CQ249"/>
  <c r="CP249"/>
  <c r="CO249"/>
  <c r="CR248"/>
  <c r="CQ248"/>
  <c r="CP248"/>
  <c r="CO248"/>
  <c r="CR247"/>
  <c r="CQ247"/>
  <c r="CP247"/>
  <c r="CO247"/>
  <c r="CR246"/>
  <c r="CQ246"/>
  <c r="CP246"/>
  <c r="CO246"/>
  <c r="CR245"/>
  <c r="CQ245"/>
  <c r="CP245"/>
  <c r="CO245"/>
  <c r="CR244"/>
  <c r="CQ244"/>
  <c r="CP244"/>
  <c r="CO244"/>
  <c r="CR243"/>
  <c r="CQ243"/>
  <c r="CP243"/>
  <c r="CO243"/>
  <c r="CR242"/>
  <c r="CQ242"/>
  <c r="CP242"/>
  <c r="CO242"/>
  <c r="CR241"/>
  <c r="CQ241"/>
  <c r="CP241"/>
  <c r="CO241"/>
  <c r="CR240"/>
  <c r="CQ240"/>
  <c r="CP240"/>
  <c r="CO240"/>
  <c r="CR239"/>
  <c r="CQ239"/>
  <c r="CP239"/>
  <c r="CO239"/>
  <c r="CR238"/>
  <c r="CQ238"/>
  <c r="CP238"/>
  <c r="CO238"/>
  <c r="CR237"/>
  <c r="CQ237"/>
  <c r="CP237"/>
  <c r="CO237"/>
  <c r="CR236"/>
  <c r="CQ236"/>
  <c r="CP236"/>
  <c r="CO236"/>
  <c r="CR235"/>
  <c r="CQ235"/>
  <c r="CP235"/>
  <c r="CO235"/>
  <c r="CR234"/>
  <c r="CQ234"/>
  <c r="CP234"/>
  <c r="CO234"/>
  <c r="CR233"/>
  <c r="CQ233"/>
  <c r="CP233"/>
  <c r="CO233"/>
  <c r="CR232"/>
  <c r="CQ232"/>
  <c r="CP232"/>
  <c r="CO232"/>
  <c r="CR231"/>
  <c r="CQ231"/>
  <c r="CP231"/>
  <c r="CO231"/>
  <c r="CR230"/>
  <c r="CQ230"/>
  <c r="CP230"/>
  <c r="CO230"/>
  <c r="CR229"/>
  <c r="CQ229"/>
  <c r="CP229"/>
  <c r="CO229"/>
  <c r="CR228"/>
  <c r="CQ228"/>
  <c r="CP228"/>
  <c r="CO228"/>
  <c r="CR227"/>
  <c r="CQ227"/>
  <c r="CP227"/>
  <c r="CO227"/>
  <c r="CR226"/>
  <c r="CQ226"/>
  <c r="CP226"/>
  <c r="CO226"/>
  <c r="CR225"/>
  <c r="CQ225"/>
  <c r="CP225"/>
  <c r="CO225"/>
  <c r="CR224"/>
  <c r="CQ224"/>
  <c r="CP224"/>
  <c r="CO224"/>
  <c r="CR223"/>
  <c r="CQ223"/>
  <c r="CP223"/>
  <c r="CO223"/>
  <c r="CR222"/>
  <c r="CQ222"/>
  <c r="CP222"/>
  <c r="CO222"/>
  <c r="CR221"/>
  <c r="CQ221"/>
  <c r="CP221"/>
  <c r="CO221"/>
  <c r="CR220"/>
  <c r="CQ220"/>
  <c r="CP220"/>
  <c r="CO220"/>
  <c r="CR219"/>
  <c r="CQ219"/>
  <c r="CP219"/>
  <c r="CR218"/>
  <c r="CQ218"/>
  <c r="CP218"/>
  <c r="CO218"/>
  <c r="CR217"/>
  <c r="CQ217"/>
  <c r="CP217"/>
  <c r="CR216"/>
  <c r="CQ216"/>
  <c r="CP216"/>
  <c r="CR215"/>
  <c r="CQ215"/>
  <c r="CP215"/>
  <c r="CR214"/>
  <c r="CQ214"/>
  <c r="CP214"/>
  <c r="CR213"/>
  <c r="CQ213"/>
  <c r="CP213"/>
  <c r="CO213"/>
  <c r="CR212"/>
  <c r="CQ212"/>
  <c r="CP212"/>
  <c r="CO212"/>
  <c r="CR211"/>
  <c r="CQ211"/>
  <c r="CP211"/>
  <c r="CO211"/>
  <c r="CR210"/>
  <c r="CQ210"/>
  <c r="CP210"/>
  <c r="CO210"/>
  <c r="CR209"/>
  <c r="CQ209"/>
  <c r="CP209"/>
  <c r="CO209"/>
  <c r="CR208"/>
  <c r="CQ208"/>
  <c r="CP208"/>
  <c r="CO208"/>
  <c r="CR207"/>
  <c r="CQ207"/>
  <c r="CP207"/>
  <c r="CO207"/>
  <c r="CR206"/>
  <c r="CQ206"/>
  <c r="CP206"/>
  <c r="CO206"/>
  <c r="CR205"/>
  <c r="CQ205"/>
  <c r="CP205"/>
  <c r="CO205"/>
  <c r="CR204"/>
  <c r="CQ204"/>
  <c r="CP204"/>
  <c r="CO204"/>
  <c r="CR203"/>
  <c r="CQ203"/>
  <c r="CP203"/>
  <c r="CO203"/>
  <c r="CR202"/>
  <c r="CQ202"/>
  <c r="CP202"/>
  <c r="CO202"/>
  <c r="CR201"/>
  <c r="CQ201"/>
  <c r="CP201"/>
  <c r="CO201"/>
  <c r="CR200"/>
  <c r="CQ200"/>
  <c r="CP200"/>
  <c r="CO200"/>
  <c r="CR199"/>
  <c r="CQ199"/>
  <c r="CP199"/>
  <c r="CO199"/>
  <c r="CR198"/>
  <c r="CQ198"/>
  <c r="CP198"/>
  <c r="CO198"/>
  <c r="CR197"/>
  <c r="CQ197"/>
  <c r="CP197"/>
  <c r="CO197"/>
  <c r="CR196"/>
  <c r="CQ196"/>
  <c r="CP196"/>
  <c r="CO196"/>
  <c r="CR195"/>
  <c r="CQ195"/>
  <c r="CP195"/>
  <c r="CO195"/>
  <c r="CR194"/>
  <c r="CQ194"/>
  <c r="CP194"/>
  <c r="CO194"/>
  <c r="CR193"/>
  <c r="CQ193"/>
  <c r="CP193"/>
  <c r="CO193"/>
  <c r="CR192"/>
  <c r="CQ192"/>
  <c r="CP192"/>
  <c r="CO192"/>
  <c r="CR191"/>
  <c r="CQ191"/>
  <c r="CP191"/>
  <c r="CO191"/>
  <c r="CR190"/>
  <c r="CQ190"/>
  <c r="CP190"/>
  <c r="CO190"/>
  <c r="CR189"/>
  <c r="CQ189"/>
  <c r="CP189"/>
  <c r="CO189"/>
  <c r="CR188"/>
  <c r="CQ188"/>
  <c r="CP188"/>
  <c r="CO188"/>
  <c r="CR187"/>
  <c r="CQ187"/>
  <c r="CP187"/>
  <c r="CO187"/>
  <c r="CR186"/>
  <c r="CQ186"/>
  <c r="CP186"/>
  <c r="CO186"/>
  <c r="CR185"/>
  <c r="CQ185"/>
  <c r="CP185"/>
  <c r="CO185"/>
  <c r="CR184"/>
  <c r="CQ184"/>
  <c r="CP184"/>
  <c r="CO184"/>
  <c r="CR183"/>
  <c r="CQ183"/>
  <c r="CP183"/>
  <c r="CO183"/>
  <c r="CR182"/>
  <c r="CQ182"/>
  <c r="CP182"/>
  <c r="CO182"/>
  <c r="CR181"/>
  <c r="CQ181"/>
  <c r="CP181"/>
  <c r="CO181"/>
  <c r="CR180"/>
  <c r="CQ180"/>
  <c r="CP180"/>
  <c r="CO180"/>
  <c r="CR179"/>
  <c r="CQ179"/>
  <c r="CP179"/>
  <c r="CO179"/>
  <c r="CR178"/>
  <c r="CQ178"/>
  <c r="CP178"/>
  <c r="CO178"/>
  <c r="CR177"/>
  <c r="CQ177"/>
  <c r="CP177"/>
  <c r="CO177"/>
  <c r="CR176"/>
  <c r="CQ176"/>
  <c r="CP176"/>
  <c r="CO176"/>
  <c r="CR175"/>
  <c r="CQ175"/>
  <c r="CP175"/>
  <c r="CO175"/>
  <c r="CR174"/>
  <c r="CQ174"/>
  <c r="CP174"/>
  <c r="CO174"/>
  <c r="CR173"/>
  <c r="CQ173"/>
  <c r="CP173"/>
  <c r="CO173"/>
  <c r="CR172"/>
  <c r="CQ172"/>
  <c r="CP172"/>
  <c r="CO172"/>
  <c r="CR171"/>
  <c r="CQ171"/>
  <c r="CP171"/>
  <c r="CO171"/>
  <c r="CR170"/>
  <c r="CQ170"/>
  <c r="CP170"/>
  <c r="CO170"/>
  <c r="CR169"/>
  <c r="CQ169"/>
  <c r="CP169"/>
  <c r="CO169"/>
  <c r="CR168"/>
  <c r="CQ168"/>
  <c r="CP168"/>
  <c r="CO168"/>
  <c r="CR167"/>
  <c r="CQ167"/>
  <c r="CP167"/>
  <c r="CO167"/>
  <c r="CR166"/>
  <c r="CQ166"/>
  <c r="CP166"/>
  <c r="CO166"/>
  <c r="CR165"/>
  <c r="CQ165"/>
  <c r="CP165"/>
  <c r="CO165"/>
  <c r="CR164"/>
  <c r="CQ164"/>
  <c r="CP164"/>
  <c r="CO164"/>
  <c r="CR163"/>
  <c r="CQ163"/>
  <c r="CP163"/>
  <c r="CO163"/>
  <c r="CR162"/>
  <c r="CQ162"/>
  <c r="CP162"/>
  <c r="CO162"/>
  <c r="CR161"/>
  <c r="CQ161"/>
  <c r="CP161"/>
  <c r="CO161"/>
  <c r="CR160"/>
  <c r="CQ160"/>
  <c r="CP160"/>
  <c r="CO160"/>
  <c r="CR159"/>
  <c r="CQ159"/>
  <c r="CP159"/>
  <c r="CO159"/>
  <c r="CR158"/>
  <c r="CQ158"/>
  <c r="CP158"/>
  <c r="CO158"/>
  <c r="CR157"/>
  <c r="CQ157"/>
  <c r="CP157"/>
  <c r="CO157"/>
  <c r="CR156"/>
  <c r="CQ156"/>
  <c r="CP156"/>
  <c r="CO156"/>
  <c r="CR155"/>
  <c r="CQ155"/>
  <c r="CP155"/>
  <c r="CO155"/>
  <c r="CR154"/>
  <c r="CQ154"/>
  <c r="CP154"/>
  <c r="CO154"/>
  <c r="CR153"/>
  <c r="CQ153"/>
  <c r="CP153"/>
  <c r="CO153"/>
  <c r="CR152"/>
  <c r="CQ152"/>
  <c r="CP152"/>
  <c r="CO152"/>
  <c r="CR151"/>
  <c r="CQ151"/>
  <c r="CP151"/>
  <c r="CO151"/>
  <c r="CR150"/>
  <c r="CQ150"/>
  <c r="CP150"/>
  <c r="CO150"/>
  <c r="CR149"/>
  <c r="CQ149"/>
  <c r="CP149"/>
  <c r="CO149"/>
  <c r="CR148"/>
  <c r="CQ148"/>
  <c r="CP148"/>
  <c r="CO148"/>
  <c r="CR147"/>
  <c r="CQ147"/>
  <c r="CP147"/>
  <c r="CO147"/>
  <c r="CR146"/>
  <c r="CQ146"/>
  <c r="CP146"/>
  <c r="CO146"/>
  <c r="CR145"/>
  <c r="CQ145"/>
  <c r="CP145"/>
  <c r="CO145"/>
  <c r="CR144"/>
  <c r="CQ144"/>
  <c r="CP144"/>
  <c r="CO144"/>
  <c r="CR143"/>
  <c r="CQ143"/>
  <c r="CP143"/>
  <c r="CO143"/>
  <c r="CR142"/>
  <c r="CQ142"/>
  <c r="CP142"/>
  <c r="CO142"/>
  <c r="CR141"/>
  <c r="CQ141"/>
  <c r="CP141"/>
  <c r="CO141"/>
  <c r="CR140"/>
  <c r="CQ140"/>
  <c r="CP140"/>
  <c r="CO140"/>
  <c r="CR139"/>
  <c r="CQ139"/>
  <c r="CP139"/>
  <c r="CO139"/>
  <c r="CR138"/>
  <c r="CQ138"/>
  <c r="CP138"/>
  <c r="CO138"/>
  <c r="CR137"/>
  <c r="CQ137"/>
  <c r="CP137"/>
  <c r="CO137"/>
  <c r="CR136"/>
  <c r="CQ136"/>
  <c r="CP136"/>
  <c r="CO136"/>
  <c r="CR135"/>
  <c r="CQ135"/>
  <c r="CP135"/>
  <c r="CO135"/>
  <c r="CR134"/>
  <c r="CQ134"/>
  <c r="CP134"/>
  <c r="CO134"/>
  <c r="CR133"/>
  <c r="CQ133"/>
  <c r="CP133"/>
  <c r="CO133"/>
  <c r="CR132"/>
  <c r="CQ132"/>
  <c r="CP132"/>
  <c r="CO132"/>
  <c r="CR131"/>
  <c r="CQ131"/>
  <c r="CP131"/>
  <c r="CO131"/>
  <c r="CR130"/>
  <c r="CQ130"/>
  <c r="CP130"/>
  <c r="CO130"/>
  <c r="CR129"/>
  <c r="CQ129"/>
  <c r="CP129"/>
  <c r="CO129"/>
  <c r="CR128"/>
  <c r="CQ128"/>
  <c r="CP128"/>
  <c r="CO128"/>
  <c r="CR127"/>
  <c r="CQ127"/>
  <c r="CP127"/>
  <c r="CO127"/>
  <c r="CR126"/>
  <c r="CQ126"/>
  <c r="CP126"/>
  <c r="CO126"/>
  <c r="CR125"/>
  <c r="CQ125"/>
  <c r="CP125"/>
  <c r="CO125"/>
  <c r="CR124"/>
  <c r="CQ124"/>
  <c r="CP124"/>
  <c r="CO124"/>
  <c r="CR123"/>
  <c r="CQ123"/>
  <c r="CP123"/>
  <c r="CO123"/>
  <c r="CR122"/>
  <c r="CQ122"/>
  <c r="CP122"/>
  <c r="CO122"/>
  <c r="CR121"/>
  <c r="CQ121"/>
  <c r="CP121"/>
  <c r="CO121"/>
  <c r="CR120"/>
  <c r="CQ120"/>
  <c r="CP120"/>
  <c r="CO120"/>
  <c r="CR119"/>
  <c r="CQ119"/>
  <c r="CP119"/>
  <c r="CO119"/>
  <c r="CR118"/>
  <c r="CQ118"/>
  <c r="CP118"/>
  <c r="CO118"/>
  <c r="CR117"/>
  <c r="CQ117"/>
  <c r="CP117"/>
  <c r="CO117"/>
  <c r="CR116"/>
  <c r="CQ116"/>
  <c r="CP116"/>
  <c r="CO116"/>
  <c r="CR115"/>
  <c r="CQ115"/>
  <c r="CP115"/>
  <c r="CO115"/>
  <c r="CR114"/>
  <c r="CQ114"/>
  <c r="CP114"/>
  <c r="CO114"/>
  <c r="CR113"/>
  <c r="CQ113"/>
  <c r="CP113"/>
  <c r="CO113"/>
  <c r="CR112"/>
  <c r="CQ112"/>
  <c r="CP112"/>
  <c r="CO112"/>
  <c r="CR111"/>
  <c r="CQ111"/>
  <c r="CP111"/>
  <c r="CO111"/>
  <c r="CR110"/>
  <c r="CQ110"/>
  <c r="CP110"/>
  <c r="CO110"/>
  <c r="CR109"/>
  <c r="CQ109"/>
  <c r="CP109"/>
  <c r="CO109"/>
  <c r="CR108"/>
  <c r="CQ108"/>
  <c r="CP108"/>
  <c r="CO108"/>
  <c r="CR107"/>
  <c r="CQ107"/>
  <c r="CP107"/>
  <c r="CO107"/>
  <c r="CR106"/>
  <c r="CQ106"/>
  <c r="CP106"/>
  <c r="CO106"/>
  <c r="CR105"/>
  <c r="CQ105"/>
  <c r="CP105"/>
  <c r="CO105"/>
  <c r="CR104"/>
  <c r="CQ104"/>
  <c r="CP104"/>
  <c r="CO104"/>
  <c r="CR103"/>
  <c r="CQ103"/>
  <c r="CP103"/>
  <c r="CO103"/>
  <c r="CR102"/>
  <c r="CQ102"/>
  <c r="CP102"/>
  <c r="CO102"/>
  <c r="CR101"/>
  <c r="CQ101"/>
  <c r="CP101"/>
  <c r="CO101"/>
  <c r="CR100"/>
  <c r="CQ100"/>
  <c r="CP100"/>
  <c r="CO100"/>
  <c r="CR99"/>
  <c r="CQ99"/>
  <c r="CP99"/>
  <c r="CO99"/>
  <c r="CR98"/>
  <c r="CQ98"/>
  <c r="CP98"/>
  <c r="CO98"/>
  <c r="CR97"/>
  <c r="CQ97"/>
  <c r="CP97"/>
  <c r="CO97"/>
  <c r="CR96"/>
  <c r="CQ96"/>
  <c r="CP96"/>
  <c r="CO96"/>
  <c r="CR95"/>
  <c r="CQ95"/>
  <c r="CP95"/>
  <c r="CO95"/>
  <c r="CR94"/>
  <c r="CQ94"/>
  <c r="CP94"/>
  <c r="CO94"/>
  <c r="CR93"/>
  <c r="CQ93"/>
  <c r="CP93"/>
  <c r="CO93"/>
  <c r="CR92"/>
  <c r="CQ92"/>
  <c r="CP92"/>
  <c r="CO92"/>
  <c r="CR91"/>
  <c r="CQ91"/>
  <c r="CP91"/>
  <c r="CO91"/>
  <c r="CR90"/>
  <c r="CQ90"/>
  <c r="CP90"/>
  <c r="CO90"/>
  <c r="CR89"/>
  <c r="CQ89"/>
  <c r="CP89"/>
  <c r="CO89"/>
  <c r="CR88"/>
  <c r="CQ88"/>
  <c r="CP88"/>
  <c r="CO88"/>
  <c r="CR87"/>
  <c r="CQ87"/>
  <c r="CP87"/>
  <c r="CO87"/>
  <c r="CR86"/>
  <c r="CQ86"/>
  <c r="CP86"/>
  <c r="CO86"/>
  <c r="CR85"/>
  <c r="CQ85"/>
  <c r="CP85"/>
  <c r="CO85"/>
  <c r="CR84"/>
  <c r="CQ84"/>
  <c r="CP84"/>
  <c r="CO84"/>
  <c r="CR83"/>
  <c r="CQ83"/>
  <c r="CP83"/>
  <c r="CO83"/>
  <c r="CR82"/>
  <c r="CQ82"/>
  <c r="CP82"/>
  <c r="CO82"/>
  <c r="CR81"/>
  <c r="CQ81"/>
  <c r="CP81"/>
  <c r="CO81"/>
  <c r="CR80"/>
  <c r="CQ80"/>
  <c r="CP80"/>
  <c r="CO80"/>
  <c r="CR79"/>
  <c r="CQ79"/>
  <c r="CP79"/>
  <c r="CO79"/>
  <c r="CR78"/>
  <c r="CQ78"/>
  <c r="CP78"/>
  <c r="CO78"/>
  <c r="CR77"/>
  <c r="CQ77"/>
  <c r="CP77"/>
  <c r="CO77"/>
  <c r="CR76"/>
  <c r="CQ76"/>
  <c r="CP76"/>
  <c r="CO76"/>
  <c r="CR75"/>
  <c r="CQ75"/>
  <c r="CP75"/>
  <c r="CO75"/>
  <c r="CR74"/>
  <c r="CQ74"/>
  <c r="CP74"/>
  <c r="CO74"/>
  <c r="CR73"/>
  <c r="CQ73"/>
  <c r="CP73"/>
  <c r="CO73"/>
  <c r="CR72"/>
  <c r="CQ72"/>
  <c r="CP72"/>
  <c r="CO72"/>
  <c r="CR71"/>
  <c r="CQ71"/>
  <c r="CP71"/>
  <c r="CO71"/>
  <c r="CR70"/>
  <c r="CQ70"/>
  <c r="CP70"/>
  <c r="CO70"/>
  <c r="CR69"/>
  <c r="CQ69"/>
  <c r="CP69"/>
  <c r="CO69"/>
  <c r="CR68"/>
  <c r="CQ68"/>
  <c r="CP68"/>
  <c r="CO68"/>
  <c r="CR67"/>
  <c r="CQ67"/>
  <c r="CP67"/>
  <c r="CO67"/>
  <c r="CR66"/>
  <c r="CQ66"/>
  <c r="CP66"/>
  <c r="CO66"/>
  <c r="CR65"/>
  <c r="CQ65"/>
  <c r="CP65"/>
  <c r="CO65"/>
  <c r="CR64"/>
  <c r="CQ64"/>
  <c r="CP64"/>
  <c r="CO64"/>
  <c r="CR63"/>
  <c r="CQ63"/>
  <c r="CP63"/>
  <c r="CO63"/>
  <c r="CR62"/>
  <c r="CQ62"/>
  <c r="CP62"/>
  <c r="CO62"/>
  <c r="CR61"/>
  <c r="CQ61"/>
  <c r="CP61"/>
  <c r="CO61"/>
  <c r="CR60"/>
  <c r="CQ60"/>
  <c r="CP60"/>
  <c r="CO60"/>
  <c r="CR59"/>
  <c r="CQ59"/>
  <c r="CP59"/>
  <c r="CO59"/>
  <c r="CR58"/>
  <c r="CQ58"/>
  <c r="CP58"/>
  <c r="CO58"/>
  <c r="CR57"/>
  <c r="CQ57"/>
  <c r="CP57"/>
  <c r="CO57"/>
  <c r="CR56"/>
  <c r="CQ56"/>
  <c r="CP56"/>
  <c r="CO56"/>
  <c r="CR55"/>
  <c r="CQ55"/>
  <c r="CP55"/>
  <c r="CO55"/>
  <c r="CR54"/>
  <c r="CQ54"/>
  <c r="CP54"/>
  <c r="CO54"/>
  <c r="CR53"/>
  <c r="CQ53"/>
  <c r="CP53"/>
  <c r="CO53"/>
  <c r="CR52"/>
  <c r="CQ52"/>
  <c r="CP52"/>
  <c r="CO52"/>
  <c r="CR51"/>
  <c r="CQ51"/>
  <c r="CP51"/>
  <c r="CO51"/>
  <c r="CR50"/>
  <c r="CQ50"/>
  <c r="CP50"/>
  <c r="CO50"/>
  <c r="CR49"/>
  <c r="CQ49"/>
  <c r="CP49"/>
  <c r="CO49"/>
  <c r="CR48"/>
  <c r="CQ48"/>
  <c r="CP48"/>
  <c r="CO48"/>
  <c r="CR47"/>
  <c r="CQ47"/>
  <c r="CP47"/>
  <c r="CO47"/>
  <c r="CR46"/>
  <c r="CQ46"/>
  <c r="CP46"/>
  <c r="CO46"/>
  <c r="CR45"/>
  <c r="CQ45"/>
  <c r="CP45"/>
  <c r="CO45"/>
  <c r="CR44"/>
  <c r="CQ44"/>
  <c r="CP44"/>
  <c r="CO44"/>
  <c r="CR43"/>
  <c r="CQ43"/>
  <c r="CP43"/>
  <c r="CO43"/>
  <c r="CR42"/>
  <c r="CQ42"/>
  <c r="CP42"/>
  <c r="CO42"/>
  <c r="CR41"/>
  <c r="CQ41"/>
  <c r="CP41"/>
  <c r="CO41"/>
  <c r="CR40"/>
  <c r="CQ40"/>
  <c r="CP40"/>
  <c r="CO40"/>
  <c r="CR39"/>
  <c r="CQ39"/>
  <c r="CP39"/>
  <c r="CO39"/>
  <c r="CR38"/>
  <c r="CQ38"/>
  <c r="CP38"/>
  <c r="CO38"/>
  <c r="CR37"/>
  <c r="CQ37"/>
  <c r="CP37"/>
  <c r="CO37"/>
  <c r="CR36"/>
  <c r="CQ36"/>
  <c r="CP36"/>
  <c r="CO36"/>
  <c r="CR35"/>
  <c r="CQ35"/>
  <c r="CP35"/>
  <c r="CO35"/>
  <c r="CR34"/>
  <c r="CQ34"/>
  <c r="CP34"/>
  <c r="CO34"/>
  <c r="CR33"/>
  <c r="CQ33"/>
  <c r="CP33"/>
  <c r="CO33"/>
  <c r="CR32"/>
  <c r="CQ32"/>
  <c r="CP32"/>
  <c r="CO32"/>
  <c r="CR31"/>
  <c r="CQ31"/>
  <c r="CP31"/>
  <c r="CO31"/>
  <c r="CR30"/>
  <c r="CQ30"/>
  <c r="CP30"/>
  <c r="CO30"/>
  <c r="CR29"/>
  <c r="CQ29"/>
  <c r="CP29"/>
  <c r="CO29"/>
  <c r="CR28"/>
  <c r="CQ28"/>
  <c r="CP28"/>
  <c r="CO28"/>
  <c r="CR27"/>
  <c r="CQ27"/>
  <c r="CP27"/>
  <c r="CO27"/>
  <c r="CR26"/>
  <c r="CQ26"/>
  <c r="CP26"/>
  <c r="CO26"/>
  <c r="CR25"/>
  <c r="CQ25"/>
  <c r="CP25"/>
  <c r="CO25"/>
  <c r="CR24"/>
  <c r="CQ24"/>
  <c r="CP24"/>
  <c r="CO24"/>
  <c r="CR23"/>
  <c r="CQ23"/>
  <c r="CP23"/>
  <c r="CO23"/>
  <c r="CR22"/>
  <c r="CQ22"/>
  <c r="CP22"/>
  <c r="CO22"/>
  <c r="CR21"/>
  <c r="CQ21"/>
  <c r="CP21"/>
  <c r="CO21"/>
  <c r="CR20"/>
  <c r="CQ20"/>
  <c r="CP20"/>
  <c r="CO20"/>
  <c r="CR19"/>
  <c r="CQ19"/>
  <c r="CP19"/>
  <c r="CO19"/>
  <c r="CR18"/>
  <c r="CQ18"/>
  <c r="CP18"/>
  <c r="CO18"/>
  <c r="CR17"/>
  <c r="CQ17"/>
  <c r="CP17"/>
  <c r="CO17"/>
  <c r="CR16"/>
  <c r="CQ16"/>
  <c r="CP16"/>
  <c r="CO16"/>
  <c r="CR15"/>
  <c r="CQ15"/>
  <c r="CP15"/>
  <c r="CO15"/>
  <c r="CR14"/>
  <c r="CQ14"/>
  <c r="CP14"/>
  <c r="CO14"/>
  <c r="CR13"/>
  <c r="CQ13"/>
  <c r="CP13"/>
  <c r="CO13"/>
  <c r="CR12"/>
  <c r="CQ12"/>
  <c r="CP12"/>
  <c r="CO12"/>
  <c r="CR11"/>
  <c r="CQ11"/>
  <c r="CP11"/>
  <c r="CO11"/>
  <c r="AS678"/>
  <c r="V678"/>
  <c r="AS677"/>
  <c r="V677"/>
  <c r="AS676"/>
  <c r="V676"/>
  <c r="AS675"/>
  <c r="V675"/>
  <c r="AS674"/>
  <c r="V674"/>
  <c r="AS673"/>
  <c r="V673"/>
  <c r="AS672"/>
  <c r="V672"/>
  <c r="AS671"/>
  <c r="V671"/>
  <c r="AS670"/>
  <c r="V670"/>
  <c r="AS669"/>
  <c r="V669"/>
  <c r="AS668"/>
  <c r="V668"/>
  <c r="AS667"/>
  <c r="V667"/>
  <c r="AS666"/>
  <c r="V666"/>
  <c r="AS665"/>
  <c r="V665"/>
  <c r="AS664"/>
  <c r="V664"/>
  <c r="AS663"/>
  <c r="V663"/>
  <c r="AS662"/>
  <c r="V662"/>
  <c r="AS661"/>
  <c r="V661"/>
  <c r="AS660"/>
  <c r="V660"/>
  <c r="AS659"/>
  <c r="V659"/>
  <c r="AS658"/>
  <c r="V658"/>
  <c r="AS657"/>
  <c r="V657"/>
  <c r="AS656"/>
  <c r="V656"/>
  <c r="AS655"/>
  <c r="V655"/>
  <c r="AS654"/>
  <c r="V654"/>
  <c r="AS653"/>
  <c r="V653"/>
  <c r="AS652"/>
  <c r="V652"/>
  <c r="AS651"/>
  <c r="V651"/>
  <c r="AS650"/>
  <c r="V650"/>
  <c r="AS649"/>
  <c r="V649"/>
  <c r="AS648"/>
  <c r="V648"/>
  <c r="AS647"/>
  <c r="V647"/>
  <c r="AS646"/>
  <c r="V646"/>
  <c r="AS645"/>
  <c r="V645"/>
  <c r="AS644"/>
  <c r="V644"/>
  <c r="AS643"/>
  <c r="V643"/>
  <c r="AS642"/>
  <c r="V642"/>
  <c r="AS641"/>
  <c r="V641"/>
  <c r="AS640"/>
  <c r="V640"/>
  <c r="AS639"/>
  <c r="V639"/>
  <c r="AS638"/>
  <c r="V638"/>
  <c r="AS637"/>
  <c r="V637"/>
  <c r="AS636"/>
  <c r="V636"/>
  <c r="AS635"/>
  <c r="V635"/>
  <c r="AS634"/>
  <c r="V634"/>
  <c r="AS633"/>
  <c r="V633"/>
  <c r="AS632"/>
  <c r="V632"/>
  <c r="AS631"/>
  <c r="V631"/>
  <c r="AS630"/>
  <c r="V630"/>
  <c r="AS629"/>
  <c r="V629"/>
  <c r="AS628"/>
  <c r="V628"/>
  <c r="AS627"/>
  <c r="V627"/>
  <c r="AS626"/>
  <c r="V626"/>
  <c r="AS625"/>
  <c r="V625"/>
  <c r="AS624"/>
  <c r="V624"/>
  <c r="AS623"/>
  <c r="V623"/>
  <c r="AS622"/>
  <c r="V622"/>
  <c r="AS621"/>
  <c r="V621"/>
  <c r="AS620"/>
  <c r="V620"/>
  <c r="AS619"/>
  <c r="V619"/>
  <c r="AS618"/>
  <c r="V618"/>
  <c r="AS617"/>
  <c r="V617"/>
  <c r="AS616"/>
  <c r="V616"/>
  <c r="AS615"/>
  <c r="V615"/>
  <c r="AS614"/>
  <c r="V614"/>
  <c r="AS613"/>
  <c r="V613"/>
  <c r="AS612"/>
  <c r="V612"/>
  <c r="AS611"/>
  <c r="V611"/>
  <c r="AS610"/>
  <c r="V610"/>
  <c r="AS609"/>
  <c r="V609"/>
  <c r="AS608"/>
  <c r="V608"/>
  <c r="AS607"/>
  <c r="V607"/>
  <c r="AS606"/>
  <c r="V606"/>
  <c r="AS605"/>
  <c r="V605"/>
  <c r="AS604"/>
  <c r="V604"/>
  <c r="AS603"/>
  <c r="V603"/>
  <c r="AS602"/>
  <c r="V602"/>
  <c r="AS601"/>
  <c r="V601"/>
  <c r="AS600"/>
  <c r="V600"/>
  <c r="AS599"/>
  <c r="V599"/>
  <c r="AS598"/>
  <c r="V598"/>
  <c r="AS597"/>
  <c r="V597"/>
  <c r="AS596"/>
  <c r="V596"/>
  <c r="AS595"/>
  <c r="V595"/>
  <c r="AS594"/>
  <c r="V594"/>
  <c r="AS593"/>
  <c r="V593"/>
  <c r="AS592"/>
  <c r="V592"/>
  <c r="AS591"/>
  <c r="V591"/>
  <c r="AS590"/>
  <c r="V590"/>
  <c r="AS589"/>
  <c r="V589"/>
  <c r="AS588"/>
  <c r="V588"/>
  <c r="AS587"/>
  <c r="V587"/>
  <c r="AS586"/>
  <c r="V586"/>
  <c r="AS585"/>
  <c r="V585"/>
  <c r="AS584"/>
  <c r="V584"/>
  <c r="AS583"/>
  <c r="V583"/>
  <c r="AS582"/>
  <c r="V582"/>
  <c r="AS581"/>
  <c r="V581"/>
  <c r="AS580"/>
  <c r="V580"/>
  <c r="AS579"/>
  <c r="V579"/>
  <c r="AS578"/>
  <c r="V578"/>
  <c r="AS577"/>
  <c r="V577"/>
  <c r="AS576"/>
  <c r="V576"/>
  <c r="AS575"/>
  <c r="V575"/>
  <c r="AS574"/>
  <c r="V574"/>
  <c r="AS573"/>
  <c r="V573"/>
  <c r="AS572"/>
  <c r="V572"/>
  <c r="AS571"/>
  <c r="V571"/>
  <c r="AS570"/>
  <c r="V570"/>
  <c r="AS569"/>
  <c r="V569"/>
  <c r="AS568"/>
  <c r="V568"/>
  <c r="AS567"/>
  <c r="V567"/>
  <c r="AS566"/>
  <c r="V566"/>
  <c r="AS565"/>
  <c r="V565"/>
  <c r="AS564"/>
  <c r="V564"/>
  <c r="AS563"/>
  <c r="V563"/>
  <c r="AS562"/>
  <c r="V562"/>
  <c r="AS561"/>
  <c r="V561"/>
  <c r="AS560"/>
  <c r="V560"/>
  <c r="AS559"/>
  <c r="V559"/>
  <c r="AS558"/>
  <c r="V558"/>
  <c r="AS557"/>
  <c r="V557"/>
  <c r="AS556"/>
  <c r="V556"/>
  <c r="AS555"/>
  <c r="V555"/>
  <c r="AS554"/>
  <c r="V554"/>
  <c r="AS553"/>
  <c r="V553"/>
  <c r="AS552"/>
  <c r="V552"/>
  <c r="AS551"/>
  <c r="V551"/>
  <c r="AS550"/>
  <c r="V550"/>
  <c r="AS549"/>
  <c r="V549"/>
  <c r="AS548"/>
  <c r="V548"/>
  <c r="AS547"/>
  <c r="V547"/>
  <c r="AS546"/>
  <c r="V546"/>
  <c r="AS545"/>
  <c r="V545"/>
  <c r="AS544"/>
  <c r="V544"/>
  <c r="AS543"/>
  <c r="V543"/>
  <c r="AS542"/>
  <c r="V542"/>
  <c r="AS541"/>
  <c r="V541"/>
  <c r="AS540"/>
  <c r="V540"/>
  <c r="AS539"/>
  <c r="V539"/>
  <c r="AS538"/>
  <c r="V538"/>
  <c r="AS537"/>
  <c r="V537"/>
  <c r="AS536"/>
  <c r="V536"/>
  <c r="AS535"/>
  <c r="V535"/>
  <c r="AS534"/>
  <c r="V534"/>
  <c r="AS533"/>
  <c r="V533"/>
  <c r="AS532"/>
  <c r="V532"/>
  <c r="AS531"/>
  <c r="V531"/>
  <c r="AS530"/>
  <c r="V530"/>
  <c r="AS529"/>
  <c r="V529"/>
  <c r="AS528"/>
  <c r="V528"/>
  <c r="AS527"/>
  <c r="V527"/>
  <c r="AS526"/>
  <c r="V526"/>
  <c r="AS525"/>
  <c r="V525"/>
  <c r="AS524"/>
  <c r="V524"/>
  <c r="AS523"/>
  <c r="V523"/>
  <c r="AS522"/>
  <c r="V522"/>
  <c r="AS521"/>
  <c r="V521"/>
  <c r="AS520"/>
  <c r="V520"/>
  <c r="AS519"/>
  <c r="V519"/>
  <c r="AS518"/>
  <c r="V518"/>
  <c r="AS517"/>
  <c r="V517"/>
  <c r="AS516"/>
  <c r="V516"/>
  <c r="AS515"/>
  <c r="V515"/>
  <c r="AS514"/>
  <c r="V514"/>
  <c r="AS513"/>
  <c r="V513"/>
  <c r="AS512"/>
  <c r="V512"/>
  <c r="AS511"/>
  <c r="V511"/>
  <c r="AS510"/>
  <c r="V510"/>
  <c r="AS509"/>
  <c r="V509"/>
  <c r="AS508"/>
  <c r="V508"/>
  <c r="AS507"/>
  <c r="V507"/>
  <c r="AS506"/>
  <c r="V506"/>
  <c r="AS505"/>
  <c r="V505"/>
  <c r="AS504"/>
  <c r="V504"/>
  <c r="AS503"/>
  <c r="V503"/>
  <c r="AS502"/>
  <c r="V502"/>
  <c r="AS501"/>
  <c r="V501"/>
  <c r="AS500"/>
  <c r="V500"/>
  <c r="AS499"/>
  <c r="V499"/>
  <c r="AS498"/>
  <c r="V498"/>
  <c r="AS497"/>
  <c r="V497"/>
  <c r="AS496"/>
  <c r="V496"/>
  <c r="AS495"/>
  <c r="V495"/>
  <c r="AS494"/>
  <c r="V494"/>
  <c r="AS493"/>
  <c r="V493"/>
  <c r="AS492"/>
  <c r="V492"/>
  <c r="AS491"/>
  <c r="V491"/>
  <c r="AS490"/>
  <c r="V490"/>
  <c r="AS489"/>
  <c r="V489"/>
  <c r="AS488"/>
  <c r="V488"/>
  <c r="AS487"/>
  <c r="V487"/>
  <c r="AS486"/>
  <c r="V486"/>
  <c r="AS485"/>
  <c r="V485"/>
  <c r="AS484"/>
  <c r="V484"/>
  <c r="AS483"/>
  <c r="V483"/>
  <c r="AS482"/>
  <c r="V482"/>
  <c r="AS481"/>
  <c r="V481"/>
  <c r="AS480"/>
  <c r="V480"/>
  <c r="AS479"/>
  <c r="V479"/>
  <c r="AS478"/>
  <c r="V478"/>
  <c r="AS477"/>
  <c r="V477"/>
  <c r="AS476"/>
  <c r="V476"/>
  <c r="AS475"/>
  <c r="V475"/>
  <c r="AS474"/>
  <c r="V474"/>
  <c r="AS473"/>
  <c r="V473"/>
  <c r="AS472"/>
  <c r="V472"/>
  <c r="AS471"/>
  <c r="V471"/>
  <c r="AS470"/>
  <c r="V470"/>
  <c r="AS469"/>
  <c r="V469"/>
  <c r="AS468"/>
  <c r="V468"/>
  <c r="AS467"/>
  <c r="V467"/>
  <c r="AS466"/>
  <c r="V466"/>
  <c r="AS465"/>
  <c r="V465"/>
  <c r="AS464"/>
  <c r="V464"/>
  <c r="AS463"/>
  <c r="V463"/>
  <c r="AS462"/>
  <c r="V462"/>
  <c r="AS461"/>
  <c r="V461"/>
  <c r="AS460"/>
  <c r="V460"/>
  <c r="AS459"/>
  <c r="V459"/>
  <c r="AS458"/>
  <c r="V458"/>
  <c r="AS457"/>
  <c r="V457"/>
  <c r="AS456"/>
  <c r="V456"/>
  <c r="AS455"/>
  <c r="V455"/>
  <c r="AS454"/>
  <c r="V454"/>
  <c r="AS453"/>
  <c r="V453"/>
  <c r="AS452"/>
  <c r="V452"/>
  <c r="AS451"/>
  <c r="V451"/>
  <c r="AS450"/>
  <c r="V450"/>
  <c r="AS449"/>
  <c r="V449"/>
  <c r="AS448"/>
  <c r="V448"/>
  <c r="AS447"/>
  <c r="V447"/>
  <c r="AS446"/>
  <c r="V446"/>
  <c r="AS445"/>
  <c r="V445"/>
  <c r="AS444"/>
  <c r="V444"/>
  <c r="AS443"/>
  <c r="V443"/>
  <c r="AS442"/>
  <c r="V442"/>
  <c r="AS441"/>
  <c r="V441"/>
  <c r="AS440"/>
  <c r="V440"/>
  <c r="AS439"/>
  <c r="V439"/>
  <c r="AS438"/>
  <c r="V438"/>
  <c r="AS437"/>
  <c r="V437"/>
  <c r="AS436"/>
  <c r="V436"/>
  <c r="AS435"/>
  <c r="V435"/>
  <c r="AS434"/>
  <c r="V434"/>
  <c r="AS433"/>
  <c r="V433"/>
  <c r="AS432"/>
  <c r="V432"/>
  <c r="AS431"/>
  <c r="V431"/>
  <c r="AS430"/>
  <c r="V430"/>
  <c r="AS429"/>
  <c r="V429"/>
  <c r="AS428"/>
  <c r="V428"/>
  <c r="AS427"/>
  <c r="V427"/>
  <c r="AS426"/>
  <c r="V426"/>
  <c r="AS425"/>
  <c r="V425"/>
  <c r="AS424"/>
  <c r="V424"/>
  <c r="AS423"/>
  <c r="V423"/>
  <c r="AS422"/>
  <c r="V422"/>
  <c r="AS421"/>
  <c r="V421"/>
  <c r="AS420"/>
  <c r="V420"/>
  <c r="AS419"/>
  <c r="V419"/>
  <c r="AS418"/>
  <c r="V418"/>
  <c r="AS417"/>
  <c r="V417"/>
  <c r="AS416"/>
  <c r="V416"/>
  <c r="AS415"/>
  <c r="V415"/>
  <c r="AS414"/>
  <c r="V414"/>
  <c r="AS413"/>
  <c r="V413"/>
  <c r="AS412"/>
  <c r="V412"/>
  <c r="AS411"/>
  <c r="V411"/>
  <c r="AS410"/>
  <c r="V410"/>
  <c r="AS409"/>
  <c r="V409"/>
  <c r="AS408"/>
  <c r="V408"/>
  <c r="AS407"/>
  <c r="V407"/>
  <c r="AS406"/>
  <c r="V406"/>
  <c r="AS405"/>
  <c r="V405"/>
  <c r="AS404"/>
  <c r="V404"/>
  <c r="AS403"/>
  <c r="V403"/>
  <c r="AS402"/>
  <c r="V402"/>
  <c r="AS401"/>
  <c r="V401"/>
  <c r="AS400"/>
  <c r="V400"/>
  <c r="AS399"/>
  <c r="V399"/>
  <c r="AS398"/>
  <c r="V398"/>
  <c r="AS397"/>
  <c r="V397"/>
  <c r="AS396"/>
  <c r="V396"/>
  <c r="AS395"/>
  <c r="V395"/>
  <c r="AS394"/>
  <c r="V394"/>
  <c r="AS393"/>
  <c r="V393"/>
  <c r="AS392"/>
  <c r="V392"/>
  <c r="AS391"/>
  <c r="V391"/>
  <c r="AS390"/>
  <c r="V390"/>
  <c r="AS389"/>
  <c r="V389"/>
  <c r="AS388"/>
  <c r="V388"/>
  <c r="AS387"/>
  <c r="V387"/>
  <c r="AS386"/>
  <c r="V386"/>
  <c r="AS385"/>
  <c r="V385"/>
  <c r="AS384"/>
  <c r="V384"/>
  <c r="AS383"/>
  <c r="V383"/>
  <c r="AS382"/>
  <c r="V382"/>
  <c r="AS381"/>
  <c r="V381"/>
  <c r="AS380"/>
  <c r="V380"/>
  <c r="AS379"/>
  <c r="V379"/>
  <c r="AS378"/>
  <c r="V378"/>
  <c r="AS377"/>
  <c r="V377"/>
  <c r="AS376"/>
  <c r="V376"/>
  <c r="AS375"/>
  <c r="V375"/>
  <c r="AS374"/>
  <c r="V374"/>
  <c r="AS373"/>
  <c r="V373"/>
  <c r="AS372"/>
  <c r="V372"/>
  <c r="AS371"/>
  <c r="V371"/>
  <c r="AS370"/>
  <c r="V370"/>
  <c r="AS369"/>
  <c r="V369"/>
  <c r="AS368"/>
  <c r="V368"/>
  <c r="AS367"/>
  <c r="V367"/>
  <c r="AS366"/>
  <c r="V366"/>
  <c r="AS365"/>
  <c r="V365"/>
  <c r="AS364"/>
  <c r="V364"/>
  <c r="AS363"/>
  <c r="V363"/>
  <c r="AS362"/>
  <c r="V362"/>
  <c r="AS361"/>
  <c r="V361"/>
  <c r="AS360"/>
  <c r="V360"/>
  <c r="AS359"/>
  <c r="V359"/>
  <c r="AS358"/>
  <c r="V358"/>
  <c r="AS357"/>
  <c r="V357"/>
  <c r="AS356"/>
  <c r="V356"/>
  <c r="AS355"/>
  <c r="V355"/>
  <c r="AS354"/>
  <c r="V354"/>
  <c r="AS353"/>
  <c r="V353"/>
  <c r="AS352"/>
  <c r="V352"/>
  <c r="AS351"/>
  <c r="V351"/>
  <c r="AS350"/>
  <c r="V350"/>
  <c r="AS349"/>
  <c r="V349"/>
  <c r="AS348"/>
  <c r="V348"/>
  <c r="AS347"/>
  <c r="V347"/>
  <c r="AS346"/>
  <c r="V346"/>
  <c r="AS345"/>
  <c r="V345"/>
  <c r="AS344"/>
  <c r="V344"/>
  <c r="AS343"/>
  <c r="V343"/>
  <c r="AS342"/>
  <c r="V342"/>
  <c r="AS341"/>
  <c r="V341"/>
  <c r="AS340"/>
  <c r="V340"/>
  <c r="AS339"/>
  <c r="V339"/>
  <c r="AS338"/>
  <c r="V338"/>
  <c r="AS337"/>
  <c r="V337"/>
  <c r="AS336"/>
  <c r="V336"/>
  <c r="AS335"/>
  <c r="V335"/>
  <c r="AS334"/>
  <c r="V334"/>
  <c r="AS333"/>
  <c r="V333"/>
  <c r="AS332"/>
  <c r="V332"/>
  <c r="AS331"/>
  <c r="V331"/>
  <c r="AS330"/>
  <c r="V330"/>
  <c r="AS329"/>
  <c r="V329"/>
  <c r="AS328"/>
  <c r="V328"/>
  <c r="AS327"/>
  <c r="V327"/>
  <c r="AS326"/>
  <c r="V326"/>
  <c r="AS325"/>
  <c r="V325"/>
  <c r="AS324"/>
  <c r="V324"/>
  <c r="AS323"/>
  <c r="V323"/>
  <c r="AS322"/>
  <c r="V322"/>
  <c r="AS321"/>
  <c r="V321"/>
  <c r="AS320"/>
  <c r="V320"/>
  <c r="AS319"/>
  <c r="V319"/>
  <c r="AS318"/>
  <c r="V318"/>
  <c r="AS316"/>
  <c r="V316"/>
  <c r="AS317"/>
  <c r="V317"/>
  <c r="AS315"/>
  <c r="V315"/>
  <c r="AS314"/>
  <c r="V314"/>
  <c r="AS313"/>
  <c r="V313"/>
  <c r="AS312"/>
  <c r="V312"/>
  <c r="AS311"/>
  <c r="V311"/>
  <c r="AS310"/>
  <c r="V310"/>
  <c r="AS309"/>
  <c r="V309"/>
  <c r="AS308"/>
  <c r="V308"/>
  <c r="AS307"/>
  <c r="V307"/>
  <c r="AS306"/>
  <c r="V306"/>
  <c r="AS305"/>
  <c r="V305"/>
  <c r="AS304"/>
  <c r="V304"/>
  <c r="AS303"/>
  <c r="V303"/>
  <c r="AS302"/>
  <c r="V302"/>
  <c r="AS301"/>
  <c r="V301"/>
  <c r="AS300"/>
  <c r="V300"/>
  <c r="AS299"/>
  <c r="V299"/>
  <c r="AS298"/>
  <c r="V298"/>
  <c r="AS297"/>
  <c r="V297"/>
  <c r="AS296"/>
  <c r="V296"/>
  <c r="AS295"/>
  <c r="V295"/>
  <c r="AS294"/>
  <c r="V294"/>
  <c r="AS293"/>
  <c r="V293"/>
  <c r="AS292"/>
  <c r="V292"/>
  <c r="AS291"/>
  <c r="V291"/>
  <c r="AS290"/>
  <c r="V290"/>
  <c r="AS289"/>
  <c r="V289"/>
  <c r="AS288"/>
  <c r="V288"/>
  <c r="AS287"/>
  <c r="V287"/>
  <c r="AS286"/>
  <c r="V286"/>
  <c r="AS285"/>
  <c r="V285"/>
  <c r="AS284"/>
  <c r="V284"/>
  <c r="AS283"/>
  <c r="V283"/>
  <c r="AS282"/>
  <c r="V282"/>
  <c r="AS281"/>
  <c r="V281"/>
  <c r="AS280"/>
  <c r="V280"/>
  <c r="AS279"/>
  <c r="V279"/>
  <c r="AS278"/>
  <c r="V278"/>
  <c r="AS277"/>
  <c r="V277"/>
  <c r="AS276"/>
  <c r="V276"/>
  <c r="AS275"/>
  <c r="V275"/>
  <c r="AS274"/>
  <c r="V274"/>
  <c r="AS273"/>
  <c r="V273"/>
  <c r="AS272"/>
  <c r="V272"/>
  <c r="AS271"/>
  <c r="V271"/>
  <c r="AS270"/>
  <c r="V270"/>
  <c r="AS269"/>
  <c r="V269"/>
  <c r="AS268"/>
  <c r="V268"/>
  <c r="AS267"/>
  <c r="V267"/>
  <c r="AS266"/>
  <c r="V266"/>
  <c r="AS265"/>
  <c r="V265"/>
  <c r="AS264"/>
  <c r="V264"/>
  <c r="AS263"/>
  <c r="V263"/>
  <c r="AS262"/>
  <c r="V262"/>
  <c r="AS261"/>
  <c r="V261"/>
  <c r="AS260"/>
  <c r="V260"/>
  <c r="AS259"/>
  <c r="V259"/>
  <c r="AS258"/>
  <c r="V258"/>
  <c r="AS257"/>
  <c r="V257"/>
  <c r="AS256"/>
  <c r="V256"/>
  <c r="AS255"/>
  <c r="V255"/>
  <c r="AS254"/>
  <c r="V254"/>
  <c r="AS253"/>
  <c r="V253"/>
  <c r="AS252"/>
  <c r="V252"/>
  <c r="AS251"/>
  <c r="V251"/>
  <c r="AS250"/>
  <c r="V250"/>
  <c r="AS249"/>
  <c r="V249"/>
  <c r="AS248"/>
  <c r="V248"/>
  <c r="AS247"/>
  <c r="V247"/>
  <c r="AS246"/>
  <c r="V246"/>
  <c r="AS245"/>
  <c r="V245"/>
  <c r="AS244"/>
  <c r="V244"/>
  <c r="AS243"/>
  <c r="V243"/>
  <c r="AS242"/>
  <c r="V242"/>
  <c r="AS241"/>
  <c r="V241"/>
  <c r="AS240"/>
  <c r="V240"/>
  <c r="AS239"/>
  <c r="V239"/>
  <c r="AS238"/>
  <c r="V238"/>
  <c r="AS237"/>
  <c r="V237"/>
  <c r="AS236"/>
  <c r="V236"/>
  <c r="AS235"/>
  <c r="V235"/>
  <c r="AS234"/>
  <c r="V234"/>
  <c r="AS233"/>
  <c r="V233"/>
  <c r="AS232"/>
  <c r="V232"/>
  <c r="AS231"/>
  <c r="V231"/>
  <c r="AS230"/>
  <c r="V230"/>
  <c r="AS229"/>
  <c r="V229"/>
  <c r="AS228"/>
  <c r="V228"/>
  <c r="AS227"/>
  <c r="V227"/>
  <c r="AS226"/>
  <c r="V226"/>
  <c r="AS225"/>
  <c r="V225"/>
  <c r="AS224"/>
  <c r="V224"/>
  <c r="AS223"/>
  <c r="V223"/>
  <c r="AS222"/>
  <c r="V222"/>
  <c r="AS221"/>
  <c r="V221"/>
  <c r="AS220"/>
  <c r="V220"/>
  <c r="AS219"/>
  <c r="V219"/>
  <c r="AS218"/>
  <c r="V218"/>
  <c r="AS217"/>
  <c r="V217"/>
  <c r="AS216"/>
  <c r="V216"/>
  <c r="AS215"/>
  <c r="V215"/>
  <c r="AS214"/>
  <c r="V214"/>
  <c r="AS213"/>
  <c r="V213"/>
  <c r="AS212"/>
  <c r="V212"/>
  <c r="AS211"/>
  <c r="V211"/>
  <c r="AS210"/>
  <c r="V210"/>
  <c r="AS209"/>
  <c r="V209"/>
  <c r="AS208"/>
  <c r="V208"/>
  <c r="AS207"/>
  <c r="V207"/>
  <c r="AS206"/>
  <c r="V206"/>
  <c r="AS205"/>
  <c r="V205"/>
  <c r="AS204"/>
  <c r="V204"/>
  <c r="AS203"/>
  <c r="V203"/>
  <c r="AS202"/>
  <c r="V202"/>
  <c r="AS201"/>
  <c r="V201"/>
  <c r="AS200"/>
  <c r="V200"/>
  <c r="AS199"/>
  <c r="V199"/>
  <c r="AS198"/>
  <c r="V198"/>
  <c r="AS197"/>
  <c r="V197"/>
  <c r="AS196"/>
  <c r="V196"/>
  <c r="AS195"/>
  <c r="V195"/>
  <c r="AS194"/>
  <c r="V194"/>
  <c r="AS193"/>
  <c r="V193"/>
  <c r="AS192"/>
  <c r="V192"/>
  <c r="AS191"/>
  <c r="V191"/>
  <c r="AS190"/>
  <c r="V190"/>
  <c r="AS189"/>
  <c r="V189"/>
  <c r="AS188"/>
  <c r="V188"/>
  <c r="AS187"/>
  <c r="V187"/>
  <c r="AS186"/>
  <c r="V186"/>
  <c r="AS185"/>
  <c r="V185"/>
  <c r="AS184"/>
  <c r="V184"/>
  <c r="AS183"/>
  <c r="V183"/>
  <c r="AS182"/>
  <c r="V182"/>
  <c r="AS181"/>
  <c r="V181"/>
  <c r="AS180"/>
  <c r="V180"/>
  <c r="AS179"/>
  <c r="V179"/>
  <c r="AS178"/>
  <c r="V178"/>
  <c r="AS177"/>
  <c r="V177"/>
  <c r="AS176"/>
  <c r="V176"/>
  <c r="AS175"/>
  <c r="V175"/>
  <c r="AS174"/>
  <c r="V174"/>
  <c r="AS173"/>
  <c r="V173"/>
  <c r="AS172"/>
  <c r="V172"/>
  <c r="AS171"/>
  <c r="V171"/>
  <c r="AS170"/>
  <c r="V170"/>
  <c r="AS169"/>
  <c r="V169"/>
  <c r="AS168"/>
  <c r="V168"/>
  <c r="AS167"/>
  <c r="V167"/>
  <c r="AS166"/>
  <c r="V166"/>
  <c r="AS165"/>
  <c r="V165"/>
  <c r="AS164"/>
  <c r="V164"/>
  <c r="AS163"/>
  <c r="V163"/>
  <c r="AS162"/>
  <c r="V162"/>
  <c r="AS161"/>
  <c r="V161"/>
  <c r="AS160"/>
  <c r="V160"/>
  <c r="AS159"/>
  <c r="V159"/>
  <c r="AS158"/>
  <c r="V158"/>
  <c r="AS157"/>
  <c r="V157"/>
  <c r="AS156"/>
  <c r="V156"/>
  <c r="AS155"/>
  <c r="V155"/>
  <c r="AS154"/>
  <c r="V154"/>
  <c r="AS153"/>
  <c r="V153"/>
  <c r="AS152"/>
  <c r="V152"/>
  <c r="AS151"/>
  <c r="V151"/>
  <c r="AS150"/>
  <c r="V150"/>
  <c r="AS149"/>
  <c r="V149"/>
  <c r="AS148"/>
  <c r="V148"/>
  <c r="AS147"/>
  <c r="V147"/>
  <c r="AS146"/>
  <c r="V146"/>
  <c r="AS145"/>
  <c r="V145"/>
  <c r="AS144"/>
  <c r="V144"/>
  <c r="AS143"/>
  <c r="V143"/>
  <c r="AS142"/>
  <c r="V142"/>
  <c r="AS141"/>
  <c r="V141"/>
  <c r="AS140"/>
  <c r="V140"/>
  <c r="AS139"/>
  <c r="V139"/>
  <c r="AS138"/>
  <c r="V138"/>
  <c r="AS137"/>
  <c r="V137"/>
  <c r="AS136"/>
  <c r="V136"/>
  <c r="AS135"/>
  <c r="V135"/>
  <c r="AS134"/>
  <c r="V134"/>
  <c r="AS133"/>
  <c r="V133"/>
  <c r="AS132"/>
  <c r="V132"/>
  <c r="AS131"/>
  <c r="V131"/>
  <c r="AS130"/>
  <c r="V130"/>
  <c r="AS129"/>
  <c r="V129"/>
  <c r="AS128"/>
  <c r="V128"/>
  <c r="AS127"/>
  <c r="V127"/>
  <c r="AS126"/>
  <c r="V126"/>
  <c r="AS125"/>
  <c r="V125"/>
  <c r="AS124"/>
  <c r="V124"/>
  <c r="AS123"/>
  <c r="V123"/>
  <c r="AS122"/>
  <c r="V122"/>
  <c r="AS121"/>
  <c r="V121"/>
  <c r="AS120"/>
  <c r="V120"/>
  <c r="AS119"/>
  <c r="V119"/>
  <c r="AS118"/>
  <c r="V118"/>
  <c r="AS117"/>
  <c r="V117"/>
  <c r="AS116"/>
  <c r="V116"/>
  <c r="AS115"/>
  <c r="V115"/>
  <c r="AS114"/>
  <c r="V114"/>
  <c r="AS113"/>
  <c r="V113"/>
  <c r="AS112"/>
  <c r="V112"/>
  <c r="AS111"/>
  <c r="V111"/>
  <c r="AS110"/>
  <c r="V110"/>
  <c r="AS109"/>
  <c r="V109"/>
  <c r="AS108"/>
  <c r="V108"/>
  <c r="AS107"/>
  <c r="V107"/>
  <c r="AS106"/>
  <c r="V106"/>
  <c r="AS105"/>
  <c r="V105"/>
  <c r="AS104"/>
  <c r="V104"/>
  <c r="AS103"/>
  <c r="V103"/>
  <c r="AS102"/>
  <c r="V102"/>
  <c r="AS101"/>
  <c r="V101"/>
  <c r="AS100"/>
  <c r="V100"/>
  <c r="AS99"/>
  <c r="V99"/>
  <c r="AS98"/>
  <c r="V98"/>
  <c r="AS97"/>
  <c r="V97"/>
  <c r="AS96"/>
  <c r="V96"/>
  <c r="AS95"/>
  <c r="V95"/>
  <c r="AS94"/>
  <c r="V94"/>
  <c r="AS93"/>
  <c r="V93"/>
  <c r="AS92"/>
  <c r="V92"/>
  <c r="AS91"/>
  <c r="V91"/>
  <c r="AS90"/>
  <c r="V90"/>
  <c r="AS89"/>
  <c r="V89"/>
  <c r="AS88"/>
  <c r="V88"/>
  <c r="AS87"/>
  <c r="V87"/>
  <c r="AS86"/>
  <c r="V86"/>
  <c r="AS85"/>
  <c r="V85"/>
  <c r="AS84"/>
  <c r="V84"/>
  <c r="AS83"/>
  <c r="V83"/>
  <c r="AS82"/>
  <c r="V82"/>
  <c r="AS81"/>
  <c r="V81"/>
  <c r="AS80"/>
  <c r="V80"/>
  <c r="AS79"/>
  <c r="V79"/>
  <c r="AS78"/>
  <c r="V78"/>
  <c r="AS77"/>
  <c r="V77"/>
  <c r="AS76"/>
  <c r="V76"/>
  <c r="AS75"/>
  <c r="V75"/>
  <c r="AS74"/>
  <c r="V74"/>
  <c r="AS73"/>
  <c r="V73"/>
  <c r="AS72"/>
  <c r="V72"/>
  <c r="AS71"/>
  <c r="V71"/>
  <c r="AS70"/>
  <c r="V70"/>
  <c r="AS69"/>
  <c r="V69"/>
  <c r="AS68"/>
  <c r="V68"/>
  <c r="AS67"/>
  <c r="V67"/>
  <c r="AS66"/>
  <c r="V66"/>
  <c r="AS65"/>
  <c r="V65"/>
  <c r="AS64"/>
  <c r="V64"/>
  <c r="AS63"/>
  <c r="V63"/>
  <c r="AS62"/>
  <c r="V62"/>
  <c r="AS61"/>
  <c r="V61"/>
  <c r="AS60"/>
  <c r="V60"/>
  <c r="AS59"/>
  <c r="V59"/>
  <c r="AS58"/>
  <c r="V58"/>
  <c r="AS57"/>
  <c r="V57"/>
  <c r="AS56"/>
  <c r="V56"/>
  <c r="AS55"/>
  <c r="V55"/>
  <c r="AS54"/>
  <c r="V54"/>
  <c r="AS53"/>
  <c r="V53"/>
  <c r="AS52"/>
  <c r="V52"/>
  <c r="AS51"/>
  <c r="V51"/>
  <c r="AS50"/>
  <c r="V50"/>
  <c r="AS49"/>
  <c r="V49"/>
  <c r="AS48"/>
  <c r="V48"/>
  <c r="AS47"/>
  <c r="V47"/>
  <c r="AS46"/>
  <c r="V46"/>
  <c r="AS45"/>
  <c r="V45"/>
  <c r="AS44"/>
  <c r="V44"/>
  <c r="AS43"/>
  <c r="V43"/>
  <c r="AS42"/>
  <c r="V42"/>
  <c r="AS41"/>
  <c r="V41"/>
  <c r="AS40"/>
  <c r="V40"/>
  <c r="AS39"/>
  <c r="V39"/>
  <c r="AS38"/>
  <c r="V38"/>
  <c r="AS37"/>
  <c r="V37"/>
  <c r="AS36"/>
  <c r="V36"/>
  <c r="AS35"/>
  <c r="V35"/>
  <c r="AS34"/>
  <c r="V34"/>
  <c r="AS33"/>
  <c r="V33"/>
  <c r="AS32"/>
  <c r="V32"/>
  <c r="AS31"/>
  <c r="V31"/>
  <c r="AS30"/>
  <c r="V30"/>
  <c r="AS29"/>
  <c r="V29"/>
  <c r="AS28"/>
  <c r="V28"/>
  <c r="AS27"/>
  <c r="V27"/>
  <c r="AS26"/>
  <c r="V26"/>
  <c r="AS25"/>
  <c r="V25"/>
  <c r="AS24"/>
  <c r="V24"/>
  <c r="AS23"/>
  <c r="V23"/>
  <c r="AS22"/>
  <c r="V22"/>
  <c r="AS21"/>
  <c r="V21"/>
  <c r="AS20"/>
  <c r="V20"/>
  <c r="AS19"/>
  <c r="V19"/>
  <c r="AS18"/>
  <c r="V18"/>
  <c r="AS17"/>
  <c r="V17"/>
  <c r="AS16"/>
  <c r="V16"/>
  <c r="AS15"/>
  <c r="V15"/>
  <c r="AS14"/>
  <c r="V14"/>
  <c r="AS13"/>
  <c r="V13"/>
  <c r="AS12"/>
  <c r="V12"/>
  <c r="AS11"/>
  <c r="V11"/>
  <c r="AQ678"/>
  <c r="Q678"/>
  <c r="AQ677"/>
  <c r="Q677"/>
  <c r="AQ676"/>
  <c r="Q676"/>
  <c r="AQ675"/>
  <c r="Q675"/>
  <c r="AQ674"/>
  <c r="Q674"/>
  <c r="AQ673"/>
  <c r="Q673"/>
  <c r="AQ672"/>
  <c r="Q672"/>
  <c r="AQ671"/>
  <c r="Q671"/>
  <c r="AQ670"/>
  <c r="Q670"/>
  <c r="AQ669"/>
  <c r="Q669"/>
  <c r="AQ668"/>
  <c r="Q668"/>
  <c r="AQ667"/>
  <c r="Q667"/>
  <c r="AQ666"/>
  <c r="Q666"/>
  <c r="AQ665"/>
  <c r="Q665"/>
  <c r="AQ664"/>
  <c r="Q664"/>
  <c r="AQ663"/>
  <c r="Q663"/>
  <c r="AQ662"/>
  <c r="Q662"/>
  <c r="AQ661"/>
  <c r="Q661"/>
  <c r="AQ660"/>
  <c r="Q660"/>
  <c r="AQ659"/>
  <c r="Q659"/>
  <c r="AQ658"/>
  <c r="Q658"/>
  <c r="AQ657"/>
  <c r="Q657"/>
  <c r="AQ656"/>
  <c r="Q656"/>
  <c r="AQ655"/>
  <c r="Q655"/>
  <c r="AQ654"/>
  <c r="Q654"/>
  <c r="AQ653"/>
  <c r="Q653"/>
  <c r="AQ652"/>
  <c r="Q652"/>
  <c r="AQ651"/>
  <c r="Q651"/>
  <c r="AQ650"/>
  <c r="Q650"/>
  <c r="AQ649"/>
  <c r="Q649"/>
  <c r="AQ648"/>
  <c r="Q648"/>
  <c r="AQ647"/>
  <c r="Q647"/>
  <c r="AQ646"/>
  <c r="Q646"/>
  <c r="AQ645"/>
  <c r="Q645"/>
  <c r="AQ644"/>
  <c r="Q644"/>
  <c r="AQ643"/>
  <c r="Q643"/>
  <c r="AQ642"/>
  <c r="Q642"/>
  <c r="AQ641"/>
  <c r="Q641"/>
  <c r="AQ640"/>
  <c r="Q640"/>
  <c r="AQ639"/>
  <c r="Q639"/>
  <c r="AQ638"/>
  <c r="Q638"/>
  <c r="AQ637"/>
  <c r="Q637"/>
  <c r="AQ636"/>
  <c r="Q636"/>
  <c r="AQ635"/>
  <c r="Q635"/>
  <c r="AQ634"/>
  <c r="Q634"/>
  <c r="AQ633"/>
  <c r="Q633"/>
  <c r="AQ632"/>
  <c r="Q632"/>
  <c r="AQ631"/>
  <c r="Q631"/>
  <c r="AQ630"/>
  <c r="Q630"/>
  <c r="AQ629"/>
  <c r="Q629"/>
  <c r="AQ628"/>
  <c r="Q628"/>
  <c r="AQ627"/>
  <c r="Q627"/>
  <c r="AQ626"/>
  <c r="Q626"/>
  <c r="AQ625"/>
  <c r="Q625"/>
  <c r="AQ624"/>
  <c r="Q624"/>
  <c r="AQ623"/>
  <c r="Q623"/>
  <c r="AQ622"/>
  <c r="Q622"/>
  <c r="AQ621"/>
  <c r="Q621"/>
  <c r="AQ620"/>
  <c r="Q620"/>
  <c r="AQ619"/>
  <c r="Q619"/>
  <c r="AQ618"/>
  <c r="Q618"/>
  <c r="AQ617"/>
  <c r="Q617"/>
  <c r="AQ616"/>
  <c r="Q616"/>
  <c r="AQ615"/>
  <c r="Q615"/>
  <c r="AQ614"/>
  <c r="Q614"/>
  <c r="AQ613"/>
  <c r="Q613"/>
  <c r="AQ612"/>
  <c r="Q612"/>
  <c r="AQ611"/>
  <c r="Q611"/>
  <c r="AQ610"/>
  <c r="Q610"/>
  <c r="AQ609"/>
  <c r="Q609"/>
  <c r="AQ608"/>
  <c r="Q608"/>
  <c r="AQ607"/>
  <c r="Q607"/>
  <c r="AQ606"/>
  <c r="Q606"/>
  <c r="AQ605"/>
  <c r="Q605"/>
  <c r="AQ604"/>
  <c r="Q604"/>
  <c r="AQ603"/>
  <c r="Q603"/>
  <c r="AQ602"/>
  <c r="Q602"/>
  <c r="AQ601"/>
  <c r="Q601"/>
  <c r="AQ600"/>
  <c r="Q600"/>
  <c r="AQ599"/>
  <c r="Q599"/>
  <c r="AQ598"/>
  <c r="Q598"/>
  <c r="AQ597"/>
  <c r="Q597"/>
  <c r="AQ596"/>
  <c r="Q596"/>
  <c r="AQ595"/>
  <c r="Q595"/>
  <c r="AQ594"/>
  <c r="Q594"/>
  <c r="AQ593"/>
  <c r="Q593"/>
  <c r="AQ592"/>
  <c r="Q592"/>
  <c r="AQ591"/>
  <c r="Q591"/>
  <c r="AQ590"/>
  <c r="Q590"/>
  <c r="AQ589"/>
  <c r="Q589"/>
  <c r="AQ588"/>
  <c r="Q588"/>
  <c r="AQ587"/>
  <c r="Q587"/>
  <c r="AQ586"/>
  <c r="Q586"/>
  <c r="AQ585"/>
  <c r="Q585"/>
  <c r="AQ584"/>
  <c r="Q584"/>
  <c r="AQ583"/>
  <c r="Q583"/>
  <c r="AQ582"/>
  <c r="Q582"/>
  <c r="AQ581"/>
  <c r="Q581"/>
  <c r="AQ580"/>
  <c r="Q580"/>
  <c r="AQ579"/>
  <c r="Q579"/>
  <c r="AQ578"/>
  <c r="Q578"/>
  <c r="AQ577"/>
  <c r="Q577"/>
  <c r="AQ576"/>
  <c r="Q576"/>
  <c r="AQ575"/>
  <c r="Q575"/>
  <c r="AQ574"/>
  <c r="Q574"/>
  <c r="AQ573"/>
  <c r="Q573"/>
  <c r="AQ572"/>
  <c r="Q572"/>
  <c r="AQ571"/>
  <c r="Q571"/>
  <c r="AQ570"/>
  <c r="Q570"/>
  <c r="AQ569"/>
  <c r="Q569"/>
  <c r="AQ568"/>
  <c r="Q568"/>
  <c r="AQ567"/>
  <c r="Q567"/>
  <c r="AQ566"/>
  <c r="Q566"/>
  <c r="AQ565"/>
  <c r="Q565"/>
  <c r="AQ564"/>
  <c r="Q564"/>
  <c r="AQ563"/>
  <c r="Q563"/>
  <c r="AQ562"/>
  <c r="Q562"/>
  <c r="AQ561"/>
  <c r="Q561"/>
  <c r="AQ560"/>
  <c r="Q560"/>
  <c r="AQ559"/>
  <c r="Q559"/>
  <c r="AQ558"/>
  <c r="Q558"/>
  <c r="AQ557"/>
  <c r="Q557"/>
  <c r="AQ556"/>
  <c r="Q556"/>
  <c r="AQ555"/>
  <c r="Q555"/>
  <c r="AQ554"/>
  <c r="Q554"/>
  <c r="AQ553"/>
  <c r="Q553"/>
  <c r="AQ552"/>
  <c r="Q552"/>
  <c r="AQ551"/>
  <c r="Q551"/>
  <c r="AQ550"/>
  <c r="Q550"/>
  <c r="AQ549"/>
  <c r="Q549"/>
  <c r="AQ548"/>
  <c r="Q548"/>
  <c r="AQ547"/>
  <c r="Q547"/>
  <c r="AQ546"/>
  <c r="Q546"/>
  <c r="AQ545"/>
  <c r="Q545"/>
  <c r="AQ544"/>
  <c r="Q544"/>
  <c r="AQ543"/>
  <c r="Q543"/>
  <c r="AQ542"/>
  <c r="Q542"/>
  <c r="AQ541"/>
  <c r="Q541"/>
  <c r="AQ540"/>
  <c r="Q540"/>
  <c r="AQ539"/>
  <c r="Q539"/>
  <c r="AQ538"/>
  <c r="Q538"/>
  <c r="AQ537"/>
  <c r="Q537"/>
  <c r="AQ536"/>
  <c r="Q536"/>
  <c r="AQ535"/>
  <c r="Q535"/>
  <c r="AQ534"/>
  <c r="Q534"/>
  <c r="AQ533"/>
  <c r="Q533"/>
  <c r="AQ532"/>
  <c r="Q532"/>
  <c r="AQ531"/>
  <c r="Q531"/>
  <c r="AQ530"/>
  <c r="Q530"/>
  <c r="AQ529"/>
  <c r="Q529"/>
  <c r="AQ528"/>
  <c r="Q528"/>
  <c r="AQ527"/>
  <c r="Q527"/>
  <c r="AQ526"/>
  <c r="Q526"/>
  <c r="AQ525"/>
  <c r="Q525"/>
  <c r="AQ524"/>
  <c r="Q524"/>
  <c r="AQ523"/>
  <c r="Q523"/>
  <c r="AQ522"/>
  <c r="Q522"/>
  <c r="AQ521"/>
  <c r="Q521"/>
  <c r="AQ520"/>
  <c r="Q520"/>
  <c r="AQ519"/>
  <c r="Q519"/>
  <c r="AQ518"/>
  <c r="Q518"/>
  <c r="AQ517"/>
  <c r="Q517"/>
  <c r="AQ516"/>
  <c r="Q516"/>
  <c r="AQ515"/>
  <c r="Q515"/>
  <c r="AQ514"/>
  <c r="Q514"/>
  <c r="AQ513"/>
  <c r="Q513"/>
  <c r="AQ512"/>
  <c r="Q512"/>
  <c r="AQ511"/>
  <c r="Q511"/>
  <c r="AQ510"/>
  <c r="Q510"/>
  <c r="AQ509"/>
  <c r="Q509"/>
  <c r="AQ508"/>
  <c r="Q508"/>
  <c r="AQ507"/>
  <c r="Q507"/>
  <c r="AQ506"/>
  <c r="Q506"/>
  <c r="AQ505"/>
  <c r="Q505"/>
  <c r="AQ504"/>
  <c r="Q504"/>
  <c r="AQ503"/>
  <c r="Q503"/>
  <c r="AQ502"/>
  <c r="Q502"/>
  <c r="AQ501"/>
  <c r="Q501"/>
  <c r="AQ500"/>
  <c r="Q500"/>
  <c r="AQ499"/>
  <c r="Q499"/>
  <c r="AQ498"/>
  <c r="Q498"/>
  <c r="AQ497"/>
  <c r="Q497"/>
  <c r="AQ496"/>
  <c r="Q496"/>
  <c r="AQ495"/>
  <c r="Q495"/>
  <c r="AQ494"/>
  <c r="Q494"/>
  <c r="AQ493"/>
  <c r="Q493"/>
  <c r="AQ492"/>
  <c r="Q492"/>
  <c r="AQ491"/>
  <c r="Q491"/>
  <c r="AQ490"/>
  <c r="Q490"/>
  <c r="AQ489"/>
  <c r="Q489"/>
  <c r="AQ488"/>
  <c r="Q488"/>
  <c r="AQ487"/>
  <c r="Q487"/>
  <c r="AQ486"/>
  <c r="Q486"/>
  <c r="AQ485"/>
  <c r="Q485"/>
  <c r="AQ484"/>
  <c r="Q484"/>
  <c r="AQ483"/>
  <c r="Q483"/>
  <c r="AQ482"/>
  <c r="Q482"/>
  <c r="AQ481"/>
  <c r="Q481"/>
  <c r="AQ480"/>
  <c r="Q480"/>
  <c r="AQ479"/>
  <c r="Q479"/>
  <c r="AQ478"/>
  <c r="Q478"/>
  <c r="AQ477"/>
  <c r="Q477"/>
  <c r="AQ476"/>
  <c r="Q476"/>
  <c r="AQ475"/>
  <c r="Q475"/>
  <c r="AQ474"/>
  <c r="Q474"/>
  <c r="AQ473"/>
  <c r="Q473"/>
  <c r="AQ472"/>
  <c r="Q472"/>
  <c r="AQ471"/>
  <c r="Q471"/>
  <c r="AQ470"/>
  <c r="Q470"/>
  <c r="AQ469"/>
  <c r="Q469"/>
  <c r="AQ468"/>
  <c r="Q468"/>
  <c r="AQ467"/>
  <c r="Q467"/>
  <c r="AQ466"/>
  <c r="Q466"/>
  <c r="AQ465"/>
  <c r="Q465"/>
  <c r="AQ464"/>
  <c r="Q464"/>
  <c r="AQ463"/>
  <c r="Q463"/>
  <c r="AQ462"/>
  <c r="Q462"/>
  <c r="AQ461"/>
  <c r="Q461"/>
  <c r="AQ460"/>
  <c r="Q460"/>
  <c r="AQ459"/>
  <c r="Q459"/>
  <c r="AQ458"/>
  <c r="Q458"/>
  <c r="AQ457"/>
  <c r="Q457"/>
  <c r="AQ456"/>
  <c r="Q456"/>
  <c r="AQ455"/>
  <c r="Q455"/>
  <c r="AQ454"/>
  <c r="Q454"/>
  <c r="AQ453"/>
  <c r="Q453"/>
  <c r="AQ452"/>
  <c r="Q452"/>
  <c r="AQ451"/>
  <c r="Q451"/>
  <c r="AQ450"/>
  <c r="Q450"/>
  <c r="AQ449"/>
  <c r="Q449"/>
  <c r="AQ448"/>
  <c r="Q448"/>
  <c r="AQ447"/>
  <c r="Q447"/>
  <c r="AQ446"/>
  <c r="Q446"/>
  <c r="AQ445"/>
  <c r="Q445"/>
  <c r="AQ444"/>
  <c r="Q444"/>
  <c r="AQ443"/>
  <c r="Q443"/>
  <c r="AQ442"/>
  <c r="Q442"/>
  <c r="AQ441"/>
  <c r="Q441"/>
  <c r="AQ440"/>
  <c r="Q440"/>
  <c r="AQ439"/>
  <c r="Q439"/>
  <c r="AQ438"/>
  <c r="Q438"/>
  <c r="AQ437"/>
  <c r="Q437"/>
  <c r="AQ436"/>
  <c r="Q436"/>
  <c r="AQ435"/>
  <c r="Q435"/>
  <c r="AQ434"/>
  <c r="Q434"/>
  <c r="AQ433"/>
  <c r="Q433"/>
  <c r="AQ432"/>
  <c r="Q432"/>
  <c r="AQ431"/>
  <c r="Q431"/>
  <c r="AQ430"/>
  <c r="Q430"/>
  <c r="AQ429"/>
  <c r="Q429"/>
  <c r="AQ428"/>
  <c r="Q428"/>
  <c r="AQ427"/>
  <c r="Q427"/>
  <c r="AQ426"/>
  <c r="Q426"/>
  <c r="AQ425"/>
  <c r="Q425"/>
  <c r="AQ424"/>
  <c r="Q424"/>
  <c r="AQ423"/>
  <c r="Q423"/>
  <c r="AQ422"/>
  <c r="Q422"/>
  <c r="AQ421"/>
  <c r="Q421"/>
  <c r="AQ420"/>
  <c r="Q420"/>
  <c r="AQ419"/>
  <c r="Q419"/>
  <c r="AQ418"/>
  <c r="Q418"/>
  <c r="AQ417"/>
  <c r="Q417"/>
  <c r="AQ416"/>
  <c r="Q416"/>
  <c r="AQ415"/>
  <c r="Q415"/>
  <c r="AQ414"/>
  <c r="Q414"/>
  <c r="AQ413"/>
  <c r="Q413"/>
  <c r="AQ412"/>
  <c r="Q412"/>
  <c r="AQ411"/>
  <c r="Q411"/>
  <c r="AQ410"/>
  <c r="Q410"/>
  <c r="AQ409"/>
  <c r="Q409"/>
  <c r="AQ408"/>
  <c r="Q408"/>
  <c r="AQ407"/>
  <c r="Q407"/>
  <c r="AQ406"/>
  <c r="Q406"/>
  <c r="AQ405"/>
  <c r="Q405"/>
  <c r="AQ404"/>
  <c r="Q404"/>
  <c r="AQ403"/>
  <c r="Q403"/>
  <c r="AQ402"/>
  <c r="Q402"/>
  <c r="AQ401"/>
  <c r="Q401"/>
  <c r="AQ400"/>
  <c r="Q400"/>
  <c r="AQ399"/>
  <c r="Q399"/>
  <c r="AQ398"/>
  <c r="Q398"/>
  <c r="AQ397"/>
  <c r="Q397"/>
  <c r="AQ396"/>
  <c r="Q396"/>
  <c r="AQ395"/>
  <c r="Q395"/>
  <c r="AQ394"/>
  <c r="Q394"/>
  <c r="AQ393"/>
  <c r="Q393"/>
  <c r="AQ392"/>
  <c r="Q392"/>
  <c r="AQ391"/>
  <c r="Q391"/>
  <c r="AQ390"/>
  <c r="Q390"/>
  <c r="AQ389"/>
  <c r="Q389"/>
  <c r="AQ388"/>
  <c r="Q388"/>
  <c r="AQ387"/>
  <c r="Q387"/>
  <c r="AQ386"/>
  <c r="Q386"/>
  <c r="AQ385"/>
  <c r="Q385"/>
  <c r="AQ384"/>
  <c r="Q384"/>
  <c r="AQ383"/>
  <c r="Q383"/>
  <c r="AQ382"/>
  <c r="Q382"/>
  <c r="AQ381"/>
  <c r="Q381"/>
  <c r="AQ380"/>
  <c r="Q380"/>
  <c r="AQ379"/>
  <c r="Q379"/>
  <c r="AQ378"/>
  <c r="Q378"/>
  <c r="AQ377"/>
  <c r="Q377"/>
  <c r="AQ376"/>
  <c r="Q376"/>
  <c r="AQ375"/>
  <c r="Q375"/>
  <c r="AQ374"/>
  <c r="Q374"/>
  <c r="AQ373"/>
  <c r="Q373"/>
  <c r="AQ372"/>
  <c r="Q372"/>
  <c r="AQ371"/>
  <c r="Q371"/>
  <c r="AQ370"/>
  <c r="Q370"/>
  <c r="AQ369"/>
  <c r="Q369"/>
  <c r="AQ368"/>
  <c r="Q368"/>
  <c r="AQ367"/>
  <c r="Q367"/>
  <c r="AQ366"/>
  <c r="Q366"/>
  <c r="AQ365"/>
  <c r="Q365"/>
  <c r="AQ364"/>
  <c r="Q364"/>
  <c r="AQ363"/>
  <c r="Q363"/>
  <c r="AQ362"/>
  <c r="Q362"/>
  <c r="AQ361"/>
  <c r="Q361"/>
  <c r="AQ360"/>
  <c r="Q360"/>
  <c r="AQ359"/>
  <c r="Q359"/>
  <c r="AQ358"/>
  <c r="Q358"/>
  <c r="AQ357"/>
  <c r="Q357"/>
  <c r="AQ356"/>
  <c r="Q356"/>
  <c r="AQ355"/>
  <c r="Q355"/>
  <c r="AQ354"/>
  <c r="Q354"/>
  <c r="AQ353"/>
  <c r="Q353"/>
  <c r="AQ352"/>
  <c r="Q352"/>
  <c r="AQ351"/>
  <c r="Q351"/>
  <c r="AQ350"/>
  <c r="Q350"/>
  <c r="AQ349"/>
  <c r="Q349"/>
  <c r="AQ348"/>
  <c r="Q348"/>
  <c r="AQ347"/>
  <c r="Q347"/>
  <c r="AQ346"/>
  <c r="Q346"/>
  <c r="AQ345"/>
  <c r="Q345"/>
  <c r="AQ344"/>
  <c r="Q344"/>
  <c r="AQ343"/>
  <c r="Q343"/>
  <c r="AQ342"/>
  <c r="Q342"/>
  <c r="AQ341"/>
  <c r="Q341"/>
  <c r="AQ340"/>
  <c r="Q340"/>
  <c r="AQ339"/>
  <c r="Q339"/>
  <c r="AQ338"/>
  <c r="Q338"/>
  <c r="AQ337"/>
  <c r="Q337"/>
  <c r="AQ336"/>
  <c r="Q336"/>
  <c r="AQ335"/>
  <c r="Q335"/>
  <c r="AQ334"/>
  <c r="Q334"/>
  <c r="AQ333"/>
  <c r="Q333"/>
  <c r="AQ332"/>
  <c r="Q332"/>
  <c r="AQ331"/>
  <c r="Q331"/>
  <c r="AQ330"/>
  <c r="Q330"/>
  <c r="AQ329"/>
  <c r="Q329"/>
  <c r="AQ328"/>
  <c r="Q328"/>
  <c r="AQ327"/>
  <c r="Q327"/>
  <c r="AQ326"/>
  <c r="Q326"/>
  <c r="AQ325"/>
  <c r="Q325"/>
  <c r="AQ324"/>
  <c r="Q324"/>
  <c r="AQ323"/>
  <c r="Q323"/>
  <c r="AQ322"/>
  <c r="Q322"/>
  <c r="AQ321"/>
  <c r="Q321"/>
  <c r="AQ320"/>
  <c r="Q320"/>
  <c r="AQ319"/>
  <c r="Q319"/>
  <c r="AQ318"/>
  <c r="Q318"/>
  <c r="AQ316"/>
  <c r="Q316"/>
  <c r="AQ317"/>
  <c r="Q317"/>
  <c r="AQ315"/>
  <c r="Q315"/>
  <c r="AQ314"/>
  <c r="Q314"/>
  <c r="AQ313"/>
  <c r="Q313"/>
  <c r="AQ312"/>
  <c r="Q312"/>
  <c r="AQ311"/>
  <c r="Q311"/>
  <c r="AQ310"/>
  <c r="Q310"/>
  <c r="AQ309"/>
  <c r="Q309"/>
  <c r="AQ308"/>
  <c r="Q308"/>
  <c r="AQ307"/>
  <c r="Q307"/>
  <c r="AQ306"/>
  <c r="Q306"/>
  <c r="AQ305"/>
  <c r="Q305"/>
  <c r="AQ304"/>
  <c r="Q304"/>
  <c r="AQ303"/>
  <c r="Q303"/>
  <c r="AQ302"/>
  <c r="Q302"/>
  <c r="AQ301"/>
  <c r="Q301"/>
  <c r="AQ300"/>
  <c r="Q300"/>
  <c r="AQ299"/>
  <c r="Q299"/>
  <c r="AQ298"/>
  <c r="Q298"/>
  <c r="AQ297"/>
  <c r="Q297"/>
  <c r="AQ296"/>
  <c r="Q296"/>
  <c r="AQ295"/>
  <c r="Q295"/>
  <c r="AQ294"/>
  <c r="Q294"/>
  <c r="AQ293"/>
  <c r="Q293"/>
  <c r="AQ292"/>
  <c r="Q292"/>
  <c r="AQ291"/>
  <c r="Q291"/>
  <c r="AQ290"/>
  <c r="Q290"/>
  <c r="AQ289"/>
  <c r="Q289"/>
  <c r="AQ288"/>
  <c r="Q288"/>
  <c r="AQ287"/>
  <c r="Q287"/>
  <c r="AQ286"/>
  <c r="Q286"/>
  <c r="AQ285"/>
  <c r="Q285"/>
  <c r="AQ284"/>
  <c r="Q284"/>
  <c r="AQ283"/>
  <c r="Q283"/>
  <c r="AQ282"/>
  <c r="Q282"/>
  <c r="AQ281"/>
  <c r="Q281"/>
  <c r="AQ280"/>
  <c r="Q280"/>
  <c r="AQ279"/>
  <c r="Q279"/>
  <c r="AQ278"/>
  <c r="Q278"/>
  <c r="AQ277"/>
  <c r="Q277"/>
  <c r="AQ276"/>
  <c r="Q276"/>
  <c r="AQ275"/>
  <c r="Q275"/>
  <c r="AQ274"/>
  <c r="Q274"/>
  <c r="AQ273"/>
  <c r="Q273"/>
  <c r="AQ272"/>
  <c r="Q272"/>
  <c r="AQ271"/>
  <c r="Q271"/>
  <c r="AQ270"/>
  <c r="Q270"/>
  <c r="AQ269"/>
  <c r="Q269"/>
  <c r="AQ268"/>
  <c r="Q268"/>
  <c r="AQ267"/>
  <c r="Q267"/>
  <c r="AQ266"/>
  <c r="Q266"/>
  <c r="AQ265"/>
  <c r="Q265"/>
  <c r="AQ264"/>
  <c r="Q264"/>
  <c r="AQ263"/>
  <c r="Q263"/>
  <c r="AQ262"/>
  <c r="Q262"/>
  <c r="AQ261"/>
  <c r="Q261"/>
  <c r="AQ260"/>
  <c r="Q260"/>
  <c r="AQ259"/>
  <c r="Q259"/>
  <c r="AQ258"/>
  <c r="Q258"/>
  <c r="AQ257"/>
  <c r="Q257"/>
  <c r="AQ256"/>
  <c r="Q256"/>
  <c r="AQ255"/>
  <c r="Q255"/>
  <c r="AQ254"/>
  <c r="Q254"/>
  <c r="AQ253"/>
  <c r="Q253"/>
  <c r="AQ252"/>
  <c r="Q252"/>
  <c r="AQ251"/>
  <c r="Q251"/>
  <c r="AQ250"/>
  <c r="Q250"/>
  <c r="AQ249"/>
  <c r="Q249"/>
  <c r="AQ248"/>
  <c r="Q248"/>
  <c r="AQ247"/>
  <c r="Q247"/>
  <c r="AQ246"/>
  <c r="Q246"/>
  <c r="AQ245"/>
  <c r="Q245"/>
  <c r="AQ244"/>
  <c r="Q244"/>
  <c r="AQ243"/>
  <c r="Q243"/>
  <c r="AQ242"/>
  <c r="Q242"/>
  <c r="AQ241"/>
  <c r="Q241"/>
  <c r="AQ240"/>
  <c r="Q240"/>
  <c r="AQ239"/>
  <c r="Q239"/>
  <c r="AQ238"/>
  <c r="Q238"/>
  <c r="AQ237"/>
  <c r="Q237"/>
  <c r="AQ236"/>
  <c r="Q236"/>
  <c r="AQ235"/>
  <c r="Q235"/>
  <c r="AQ234"/>
  <c r="Q234"/>
  <c r="AQ233"/>
  <c r="Q233"/>
  <c r="AQ232"/>
  <c r="Q232"/>
  <c r="AQ231"/>
  <c r="Q231"/>
  <c r="AQ230"/>
  <c r="Q230"/>
  <c r="AQ229"/>
  <c r="Q229"/>
  <c r="AQ228"/>
  <c r="Q228"/>
  <c r="AQ227"/>
  <c r="Q227"/>
  <c r="AQ226"/>
  <c r="Q226"/>
  <c r="AQ225"/>
  <c r="Q225"/>
  <c r="AQ224"/>
  <c r="Q224"/>
  <c r="AQ223"/>
  <c r="Q223"/>
  <c r="AQ222"/>
  <c r="Q222"/>
  <c r="AQ221"/>
  <c r="Q221"/>
  <c r="AQ220"/>
  <c r="Q220"/>
  <c r="AQ219"/>
  <c r="Q219"/>
  <c r="AQ218"/>
  <c r="Q218"/>
  <c r="AQ217"/>
  <c r="Q217"/>
  <c r="AQ216"/>
  <c r="Q216"/>
  <c r="AQ215"/>
  <c r="Q215"/>
  <c r="AQ214"/>
  <c r="Q214"/>
  <c r="AQ213"/>
  <c r="Q213"/>
  <c r="AQ212"/>
  <c r="Q212"/>
  <c r="AQ211"/>
  <c r="Q211"/>
  <c r="AQ210"/>
  <c r="Q210"/>
  <c r="AQ209"/>
  <c r="Q209"/>
  <c r="AQ208"/>
  <c r="Q208"/>
  <c r="AQ207"/>
  <c r="Q207"/>
  <c r="AQ206"/>
  <c r="Q206"/>
  <c r="AQ205"/>
  <c r="Q205"/>
  <c r="AQ204"/>
  <c r="Q204"/>
  <c r="AQ203"/>
  <c r="Q203"/>
  <c r="AQ202"/>
  <c r="Q202"/>
  <c r="AQ201"/>
  <c r="Q201"/>
  <c r="AQ200"/>
  <c r="Q200"/>
  <c r="AQ199"/>
  <c r="Q199"/>
  <c r="AQ198"/>
  <c r="Q198"/>
  <c r="AQ197"/>
  <c r="Q197"/>
  <c r="AQ196"/>
  <c r="Q196"/>
  <c r="AQ195"/>
  <c r="Q195"/>
  <c r="AQ194"/>
  <c r="Q194"/>
  <c r="AQ193"/>
  <c r="Q193"/>
  <c r="AQ192"/>
  <c r="Q192"/>
  <c r="AQ191"/>
  <c r="Q191"/>
  <c r="AQ190"/>
  <c r="Q190"/>
  <c r="AQ189"/>
  <c r="Q189"/>
  <c r="AQ188"/>
  <c r="Q188"/>
  <c r="AQ187"/>
  <c r="Q187"/>
  <c r="AQ186"/>
  <c r="Q186"/>
  <c r="AQ185"/>
  <c r="Q185"/>
  <c r="AQ184"/>
  <c r="Q184"/>
  <c r="AQ183"/>
  <c r="Q183"/>
  <c r="AQ182"/>
  <c r="Q182"/>
  <c r="AQ181"/>
  <c r="Q181"/>
  <c r="AQ180"/>
  <c r="Q180"/>
  <c r="AQ179"/>
  <c r="Q179"/>
  <c r="AQ178"/>
  <c r="Q178"/>
  <c r="AQ177"/>
  <c r="Q177"/>
  <c r="AQ176"/>
  <c r="Q176"/>
  <c r="AQ175"/>
  <c r="Q175"/>
  <c r="AQ174"/>
  <c r="Q174"/>
  <c r="AQ173"/>
  <c r="Q173"/>
  <c r="AQ172"/>
  <c r="Q172"/>
  <c r="AQ171"/>
  <c r="Q171"/>
  <c r="AQ170"/>
  <c r="Q170"/>
  <c r="AQ169"/>
  <c r="Q169"/>
  <c r="AQ168"/>
  <c r="Q168"/>
  <c r="AQ167"/>
  <c r="Q167"/>
  <c r="AQ166"/>
  <c r="Q166"/>
  <c r="AQ165"/>
  <c r="Q165"/>
  <c r="AQ164"/>
  <c r="Q164"/>
  <c r="AQ163"/>
  <c r="Q163"/>
  <c r="AQ162"/>
  <c r="Q162"/>
  <c r="AQ161"/>
  <c r="Q161"/>
  <c r="AQ160"/>
  <c r="Q160"/>
  <c r="AQ159"/>
  <c r="Q159"/>
  <c r="AQ158"/>
  <c r="Q158"/>
  <c r="AQ157"/>
  <c r="Q157"/>
  <c r="AQ156"/>
  <c r="Q156"/>
  <c r="AQ155"/>
  <c r="Q155"/>
  <c r="AQ154"/>
  <c r="Q154"/>
  <c r="AQ153"/>
  <c r="Q153"/>
  <c r="AQ152"/>
  <c r="Q152"/>
  <c r="AQ151"/>
  <c r="Q151"/>
  <c r="AQ150"/>
  <c r="Q150"/>
  <c r="AQ149"/>
  <c r="Q149"/>
  <c r="AQ148"/>
  <c r="Q148"/>
  <c r="AQ147"/>
  <c r="Q147"/>
  <c r="AQ146"/>
  <c r="Q146"/>
  <c r="AQ145"/>
  <c r="Q145"/>
  <c r="AQ144"/>
  <c r="Q144"/>
  <c r="AQ143"/>
  <c r="Q143"/>
  <c r="AQ142"/>
  <c r="Q142"/>
  <c r="AQ141"/>
  <c r="Q141"/>
  <c r="AQ140"/>
  <c r="Q140"/>
  <c r="AQ139"/>
  <c r="Q139"/>
  <c r="AQ138"/>
  <c r="Q138"/>
  <c r="AQ137"/>
  <c r="Q137"/>
  <c r="AQ136"/>
  <c r="Q136"/>
  <c r="AQ135"/>
  <c r="Q135"/>
  <c r="AQ134"/>
  <c r="Q134"/>
  <c r="AQ133"/>
  <c r="Q133"/>
  <c r="AQ132"/>
  <c r="Q132"/>
  <c r="AQ131"/>
  <c r="Q131"/>
  <c r="AQ130"/>
  <c r="Q130"/>
  <c r="AQ129"/>
  <c r="Q129"/>
  <c r="AQ128"/>
  <c r="Q128"/>
  <c r="AQ127"/>
  <c r="Q127"/>
  <c r="AQ126"/>
  <c r="Q126"/>
  <c r="AQ125"/>
  <c r="Q125"/>
  <c r="AQ124"/>
  <c r="Q124"/>
  <c r="AQ123"/>
  <c r="Q123"/>
  <c r="AQ122"/>
  <c r="Q122"/>
  <c r="AQ121"/>
  <c r="Q121"/>
  <c r="AQ120"/>
  <c r="Q120"/>
  <c r="AQ119"/>
  <c r="Q119"/>
  <c r="AQ118"/>
  <c r="Q118"/>
  <c r="AQ117"/>
  <c r="Q117"/>
  <c r="AQ116"/>
  <c r="Q116"/>
  <c r="AQ115"/>
  <c r="Q115"/>
  <c r="AQ114"/>
  <c r="Q114"/>
  <c r="AQ113"/>
  <c r="Q113"/>
  <c r="AQ112"/>
  <c r="Q112"/>
  <c r="AQ111"/>
  <c r="Q111"/>
  <c r="AQ110"/>
  <c r="Q110"/>
  <c r="AQ109"/>
  <c r="Q109"/>
  <c r="AQ108"/>
  <c r="Q108"/>
  <c r="AQ107"/>
  <c r="Q107"/>
  <c r="AQ106"/>
  <c r="Q106"/>
  <c r="AQ105"/>
  <c r="Q105"/>
  <c r="AQ104"/>
  <c r="Q104"/>
  <c r="AQ103"/>
  <c r="Q103"/>
  <c r="AQ102"/>
  <c r="Q102"/>
  <c r="AQ101"/>
  <c r="Q101"/>
  <c r="AQ100"/>
  <c r="Q100"/>
  <c r="AQ99"/>
  <c r="Q99"/>
  <c r="AQ98"/>
  <c r="Q98"/>
  <c r="AQ97"/>
  <c r="Q97"/>
  <c r="AQ96"/>
  <c r="Q96"/>
  <c r="AQ95"/>
  <c r="Q95"/>
  <c r="AQ94"/>
  <c r="Q94"/>
  <c r="AQ93"/>
  <c r="Q93"/>
  <c r="AQ92"/>
  <c r="Q92"/>
  <c r="AQ91"/>
  <c r="Q91"/>
  <c r="AQ90"/>
  <c r="Q90"/>
  <c r="AQ89"/>
  <c r="Q89"/>
  <c r="AQ88"/>
  <c r="Q88"/>
  <c r="AQ87"/>
  <c r="Q87"/>
  <c r="AQ86"/>
  <c r="Q86"/>
  <c r="AQ85"/>
  <c r="Q85"/>
  <c r="AQ84"/>
  <c r="Q84"/>
  <c r="AQ83"/>
  <c r="Q83"/>
  <c r="AQ82"/>
  <c r="Q82"/>
  <c r="AQ81"/>
  <c r="Q81"/>
  <c r="AQ80"/>
  <c r="Q80"/>
  <c r="AQ79"/>
  <c r="Q79"/>
  <c r="AQ78"/>
  <c r="Q78"/>
  <c r="AQ77"/>
  <c r="Q77"/>
  <c r="AQ76"/>
  <c r="Q76"/>
  <c r="AQ75"/>
  <c r="Q75"/>
  <c r="AQ74"/>
  <c r="Q74"/>
  <c r="AQ73"/>
  <c r="Q73"/>
  <c r="AQ72"/>
  <c r="Q72"/>
  <c r="AQ71"/>
  <c r="Q71"/>
  <c r="AQ70"/>
  <c r="Q70"/>
  <c r="AQ69"/>
  <c r="Q69"/>
  <c r="AQ68"/>
  <c r="Q68"/>
  <c r="AQ67"/>
  <c r="Q67"/>
  <c r="AQ66"/>
  <c r="Q66"/>
  <c r="AQ65"/>
  <c r="Q65"/>
  <c r="AQ64"/>
  <c r="Q64"/>
  <c r="AQ63"/>
  <c r="Q63"/>
  <c r="AQ62"/>
  <c r="Q62"/>
  <c r="AQ61"/>
  <c r="Q61"/>
  <c r="AQ60"/>
  <c r="Q60"/>
  <c r="AQ59"/>
  <c r="Q59"/>
  <c r="AQ58"/>
  <c r="Q58"/>
  <c r="AQ57"/>
  <c r="Q57"/>
  <c r="AQ56"/>
  <c r="Q56"/>
  <c r="AQ55"/>
  <c r="Q55"/>
  <c r="AQ54"/>
  <c r="Q54"/>
  <c r="AQ53"/>
  <c r="Q53"/>
  <c r="AQ52"/>
  <c r="Q52"/>
  <c r="AQ51"/>
  <c r="Q51"/>
  <c r="AQ50"/>
  <c r="Q50"/>
  <c r="AQ49"/>
  <c r="Q49"/>
  <c r="AQ48"/>
  <c r="Q48"/>
  <c r="AQ47"/>
  <c r="Q47"/>
  <c r="AQ46"/>
  <c r="Q46"/>
  <c r="AQ45"/>
  <c r="Q45"/>
  <c r="AQ44"/>
  <c r="Q44"/>
  <c r="AQ43"/>
  <c r="Q43"/>
  <c r="AQ42"/>
  <c r="Q42"/>
  <c r="AQ41"/>
  <c r="Q41"/>
  <c r="AQ40"/>
  <c r="Q40"/>
  <c r="AQ39"/>
  <c r="Q39"/>
  <c r="AQ38"/>
  <c r="Q38"/>
  <c r="AQ37"/>
  <c r="Q37"/>
  <c r="AQ36"/>
  <c r="Q36"/>
  <c r="AQ35"/>
  <c r="Q35"/>
  <c r="AQ34"/>
  <c r="Q34"/>
  <c r="AQ33"/>
  <c r="Q33"/>
  <c r="AQ32"/>
  <c r="Q32"/>
  <c r="AQ31"/>
  <c r="Q31"/>
  <c r="AQ30"/>
  <c r="Q30"/>
  <c r="AQ29"/>
  <c r="Q29"/>
  <c r="AQ28"/>
  <c r="Q28"/>
  <c r="AQ27"/>
  <c r="Q27"/>
  <c r="AQ26"/>
  <c r="Q26"/>
  <c r="AQ25"/>
  <c r="Q25"/>
  <c r="AQ24"/>
  <c r="Q24"/>
  <c r="AQ23"/>
  <c r="Q23"/>
  <c r="AQ22"/>
  <c r="Q22"/>
  <c r="AQ21"/>
  <c r="Q21"/>
  <c r="AQ20"/>
  <c r="Q20"/>
  <c r="AQ19"/>
  <c r="Q19"/>
  <c r="AQ18"/>
  <c r="Q18"/>
  <c r="AQ17"/>
  <c r="Q17"/>
  <c r="AQ16"/>
  <c r="Q16"/>
  <c r="AQ15"/>
  <c r="Q15"/>
  <c r="AQ14"/>
  <c r="Q14"/>
  <c r="AQ13"/>
  <c r="Q13"/>
  <c r="AQ12"/>
  <c r="Q12"/>
  <c r="AQ11"/>
  <c r="Q11"/>
  <c r="L678"/>
  <c r="K678"/>
  <c r="L677"/>
  <c r="K677"/>
  <c r="L676"/>
  <c r="K676"/>
  <c r="L675"/>
  <c r="K675"/>
  <c r="L674"/>
  <c r="K674"/>
  <c r="L673"/>
  <c r="K673"/>
  <c r="L672"/>
  <c r="K672"/>
  <c r="L671"/>
  <c r="K671"/>
  <c r="L670"/>
  <c r="K670"/>
  <c r="L669"/>
  <c r="K669"/>
  <c r="L668"/>
  <c r="K668"/>
  <c r="L667"/>
  <c r="K667"/>
  <c r="L666"/>
  <c r="K666"/>
  <c r="L665"/>
  <c r="K665"/>
  <c r="L664"/>
  <c r="K664"/>
  <c r="L663"/>
  <c r="K663"/>
  <c r="L662"/>
  <c r="K662"/>
  <c r="L661"/>
  <c r="K661"/>
  <c r="L660"/>
  <c r="K660"/>
  <c r="L659"/>
  <c r="K659"/>
  <c r="L658"/>
  <c r="K658"/>
  <c r="L657"/>
  <c r="K657"/>
  <c r="L656"/>
  <c r="K656"/>
  <c r="L655"/>
  <c r="K655"/>
  <c r="L654"/>
  <c r="K654"/>
  <c r="L653"/>
  <c r="K653"/>
  <c r="L652"/>
  <c r="K652"/>
  <c r="L651"/>
  <c r="K651"/>
  <c r="L650"/>
  <c r="K650"/>
  <c r="L649"/>
  <c r="K649"/>
  <c r="L648"/>
  <c r="K648"/>
  <c r="L647"/>
  <c r="K647"/>
  <c r="L646"/>
  <c r="K646"/>
  <c r="L645"/>
  <c r="K645"/>
  <c r="L644"/>
  <c r="K644"/>
  <c r="L643"/>
  <c r="K643"/>
  <c r="L642"/>
  <c r="K642"/>
  <c r="L641"/>
  <c r="K641"/>
  <c r="L640"/>
  <c r="K640"/>
  <c r="L639"/>
  <c r="K639"/>
  <c r="L638"/>
  <c r="K638"/>
  <c r="L637"/>
  <c r="K637"/>
  <c r="L636"/>
  <c r="K636"/>
  <c r="L635"/>
  <c r="K635"/>
  <c r="L634"/>
  <c r="K634"/>
  <c r="L633"/>
  <c r="K633"/>
  <c r="L632"/>
  <c r="K632"/>
  <c r="L631"/>
  <c r="K631"/>
  <c r="L630"/>
  <c r="K630"/>
  <c r="L629"/>
  <c r="K629"/>
  <c r="L628"/>
  <c r="K628"/>
  <c r="L627"/>
  <c r="K627"/>
  <c r="L626"/>
  <c r="K626"/>
  <c r="L625"/>
  <c r="K625"/>
  <c r="L624"/>
  <c r="K624"/>
  <c r="L623"/>
  <c r="K623"/>
  <c r="L622"/>
  <c r="K622"/>
  <c r="L621"/>
  <c r="K621"/>
  <c r="L620"/>
  <c r="K620"/>
  <c r="L619"/>
  <c r="K619"/>
  <c r="L618"/>
  <c r="K618"/>
  <c r="L617"/>
  <c r="K617"/>
  <c r="L616"/>
  <c r="K616"/>
  <c r="L615"/>
  <c r="K615"/>
  <c r="L614"/>
  <c r="K614"/>
  <c r="L613"/>
  <c r="K613"/>
  <c r="L612"/>
  <c r="K612"/>
  <c r="L611"/>
  <c r="K611"/>
  <c r="L610"/>
  <c r="K610"/>
  <c r="L609"/>
  <c r="K609"/>
  <c r="L608"/>
  <c r="K608"/>
  <c r="L607"/>
  <c r="K607"/>
  <c r="L606"/>
  <c r="K606"/>
  <c r="L605"/>
  <c r="K605"/>
  <c r="L604"/>
  <c r="K604"/>
  <c r="L603"/>
  <c r="K603"/>
  <c r="L602"/>
  <c r="K602"/>
  <c r="L601"/>
  <c r="K601"/>
  <c r="L600"/>
  <c r="K600"/>
  <c r="L599"/>
  <c r="K599"/>
  <c r="L598"/>
  <c r="K598"/>
  <c r="L597"/>
  <c r="K597"/>
  <c r="L596"/>
  <c r="K596"/>
  <c r="L595"/>
  <c r="K595"/>
  <c r="L594"/>
  <c r="K594"/>
  <c r="L593"/>
  <c r="K593"/>
  <c r="L592"/>
  <c r="K592"/>
  <c r="L591"/>
  <c r="K591"/>
  <c r="L590"/>
  <c r="K590"/>
  <c r="L589"/>
  <c r="K589"/>
  <c r="L588"/>
  <c r="K588"/>
  <c r="L587"/>
  <c r="K587"/>
  <c r="L586"/>
  <c r="K586"/>
  <c r="L585"/>
  <c r="K585"/>
  <c r="L584"/>
  <c r="K584"/>
  <c r="L583"/>
  <c r="K583"/>
  <c r="L582"/>
  <c r="K582"/>
  <c r="L581"/>
  <c r="K581"/>
  <c r="L580"/>
  <c r="K580"/>
  <c r="L579"/>
  <c r="K579"/>
  <c r="L578"/>
  <c r="K578"/>
  <c r="L577"/>
  <c r="K577"/>
  <c r="L576"/>
  <c r="K576"/>
  <c r="L575"/>
  <c r="K575"/>
  <c r="L574"/>
  <c r="K574"/>
  <c r="L573"/>
  <c r="K573"/>
  <c r="L572"/>
  <c r="K572"/>
  <c r="L571"/>
  <c r="K571"/>
  <c r="L570"/>
  <c r="K570"/>
  <c r="L569"/>
  <c r="K569"/>
  <c r="L568"/>
  <c r="K568"/>
  <c r="L567"/>
  <c r="K567"/>
  <c r="L566"/>
  <c r="K566"/>
  <c r="L565"/>
  <c r="K565"/>
  <c r="L564"/>
  <c r="K564"/>
  <c r="L563"/>
  <c r="K563"/>
  <c r="L562"/>
  <c r="K562"/>
  <c r="L561"/>
  <c r="K561"/>
  <c r="L560"/>
  <c r="K560"/>
  <c r="L559"/>
  <c r="K559"/>
  <c r="L558"/>
  <c r="K558"/>
  <c r="L557"/>
  <c r="K557"/>
  <c r="L556"/>
  <c r="K556"/>
  <c r="L555"/>
  <c r="K555"/>
  <c r="L554"/>
  <c r="K554"/>
  <c r="L553"/>
  <c r="K553"/>
  <c r="L552"/>
  <c r="K552"/>
  <c r="L551"/>
  <c r="K551"/>
  <c r="L550"/>
  <c r="K550"/>
  <c r="L549"/>
  <c r="K549"/>
  <c r="L548"/>
  <c r="K548"/>
  <c r="L547"/>
  <c r="K547"/>
  <c r="L546"/>
  <c r="K546"/>
  <c r="L545"/>
  <c r="K545"/>
  <c r="L544"/>
  <c r="K544"/>
  <c r="L543"/>
  <c r="K543"/>
  <c r="L542"/>
  <c r="K542"/>
  <c r="L541"/>
  <c r="K541"/>
  <c r="L540"/>
  <c r="K540"/>
  <c r="L539"/>
  <c r="K539"/>
  <c r="L538"/>
  <c r="K538"/>
  <c r="L537"/>
  <c r="K537"/>
  <c r="L536"/>
  <c r="K536"/>
  <c r="L535"/>
  <c r="K535"/>
  <c r="L534"/>
  <c r="K534"/>
  <c r="L533"/>
  <c r="K533"/>
  <c r="L532"/>
  <c r="K532"/>
  <c r="L531"/>
  <c r="K531"/>
  <c r="L530"/>
  <c r="K530"/>
  <c r="L529"/>
  <c r="K529"/>
  <c r="L528"/>
  <c r="K528"/>
  <c r="L527"/>
  <c r="K527"/>
  <c r="L526"/>
  <c r="K526"/>
  <c r="L525"/>
  <c r="K525"/>
  <c r="L524"/>
  <c r="K524"/>
  <c r="L523"/>
  <c r="K523"/>
  <c r="L522"/>
  <c r="K522"/>
  <c r="L521"/>
  <c r="K521"/>
  <c r="L520"/>
  <c r="K520"/>
  <c r="L519"/>
  <c r="K519"/>
  <c r="L518"/>
  <c r="K518"/>
  <c r="L517"/>
  <c r="K517"/>
  <c r="L516"/>
  <c r="K516"/>
  <c r="L515"/>
  <c r="K515"/>
  <c r="L514"/>
  <c r="K514"/>
  <c r="L513"/>
  <c r="K513"/>
  <c r="L512"/>
  <c r="K512"/>
  <c r="L511"/>
  <c r="K511"/>
  <c r="L510"/>
  <c r="K510"/>
  <c r="L509"/>
  <c r="K509"/>
  <c r="L508"/>
  <c r="K508"/>
  <c r="L507"/>
  <c r="K507"/>
  <c r="L506"/>
  <c r="K506"/>
  <c r="L505"/>
  <c r="K505"/>
  <c r="L504"/>
  <c r="K504"/>
  <c r="L503"/>
  <c r="K503"/>
  <c r="L502"/>
  <c r="K502"/>
  <c r="L501"/>
  <c r="K501"/>
  <c r="L500"/>
  <c r="K500"/>
  <c r="L499"/>
  <c r="K499"/>
  <c r="L498"/>
  <c r="K498"/>
  <c r="L497"/>
  <c r="K497"/>
  <c r="L496"/>
  <c r="K496"/>
  <c r="L495"/>
  <c r="K495"/>
  <c r="L494"/>
  <c r="K494"/>
  <c r="L493"/>
  <c r="K493"/>
  <c r="L492"/>
  <c r="K492"/>
  <c r="L491"/>
  <c r="K491"/>
  <c r="L490"/>
  <c r="K490"/>
  <c r="L489"/>
  <c r="K489"/>
  <c r="L488"/>
  <c r="K488"/>
  <c r="L487"/>
  <c r="K487"/>
  <c r="L486"/>
  <c r="K486"/>
  <c r="L485"/>
  <c r="K485"/>
  <c r="L484"/>
  <c r="K484"/>
  <c r="L483"/>
  <c r="K483"/>
  <c r="L482"/>
  <c r="K482"/>
  <c r="L481"/>
  <c r="K481"/>
  <c r="L480"/>
  <c r="K480"/>
  <c r="L479"/>
  <c r="K479"/>
  <c r="L478"/>
  <c r="K478"/>
  <c r="L477"/>
  <c r="K477"/>
  <c r="L476"/>
  <c r="K476"/>
  <c r="L475"/>
  <c r="K475"/>
  <c r="L474"/>
  <c r="K474"/>
  <c r="L473"/>
  <c r="K473"/>
  <c r="L472"/>
  <c r="K472"/>
  <c r="L471"/>
  <c r="K471"/>
  <c r="L470"/>
  <c r="K470"/>
  <c r="L469"/>
  <c r="K469"/>
  <c r="L468"/>
  <c r="K468"/>
  <c r="L467"/>
  <c r="K467"/>
  <c r="L466"/>
  <c r="K466"/>
  <c r="L465"/>
  <c r="K465"/>
  <c r="L464"/>
  <c r="K464"/>
  <c r="L463"/>
  <c r="K463"/>
  <c r="L462"/>
  <c r="K462"/>
  <c r="L461"/>
  <c r="K461"/>
  <c r="L460"/>
  <c r="K460"/>
  <c r="L459"/>
  <c r="K459"/>
  <c r="L458"/>
  <c r="K458"/>
  <c r="L457"/>
  <c r="K457"/>
  <c r="L456"/>
  <c r="K456"/>
  <c r="L455"/>
  <c r="K455"/>
  <c r="L454"/>
  <c r="K454"/>
  <c r="L453"/>
  <c r="K453"/>
  <c r="L452"/>
  <c r="K452"/>
  <c r="L451"/>
  <c r="K451"/>
  <c r="L450"/>
  <c r="K450"/>
  <c r="L449"/>
  <c r="K449"/>
  <c r="L448"/>
  <c r="K448"/>
  <c r="L447"/>
  <c r="K447"/>
  <c r="L446"/>
  <c r="K446"/>
  <c r="L445"/>
  <c r="K445"/>
  <c r="L444"/>
  <c r="K444"/>
  <c r="L443"/>
  <c r="K443"/>
  <c r="L442"/>
  <c r="K442"/>
  <c r="L441"/>
  <c r="K441"/>
  <c r="L440"/>
  <c r="K440"/>
  <c r="L439"/>
  <c r="K439"/>
  <c r="L438"/>
  <c r="K438"/>
  <c r="L437"/>
  <c r="K437"/>
  <c r="L436"/>
  <c r="K436"/>
  <c r="L435"/>
  <c r="K435"/>
  <c r="L434"/>
  <c r="K434"/>
  <c r="L433"/>
  <c r="K433"/>
  <c r="L432"/>
  <c r="K432"/>
  <c r="L431"/>
  <c r="K431"/>
  <c r="L430"/>
  <c r="K430"/>
  <c r="L429"/>
  <c r="K429"/>
  <c r="L428"/>
  <c r="K428"/>
  <c r="L427"/>
  <c r="K427"/>
  <c r="L426"/>
  <c r="K426"/>
  <c r="L425"/>
  <c r="K425"/>
  <c r="L424"/>
  <c r="K424"/>
  <c r="L423"/>
  <c r="K423"/>
  <c r="L422"/>
  <c r="K422"/>
  <c r="L421"/>
  <c r="K421"/>
  <c r="L420"/>
  <c r="K420"/>
  <c r="L419"/>
  <c r="K419"/>
  <c r="L418"/>
  <c r="K418"/>
  <c r="L417"/>
  <c r="K417"/>
  <c r="L416"/>
  <c r="K416"/>
  <c r="L415"/>
  <c r="K415"/>
  <c r="L414"/>
  <c r="K414"/>
  <c r="L413"/>
  <c r="K413"/>
  <c r="L412"/>
  <c r="K412"/>
  <c r="L411"/>
  <c r="K411"/>
  <c r="L410"/>
  <c r="K410"/>
  <c r="K409"/>
  <c r="L408"/>
  <c r="K408"/>
  <c r="L407"/>
  <c r="K407"/>
  <c r="L406"/>
  <c r="K406"/>
  <c r="L405"/>
  <c r="K405"/>
  <c r="L404"/>
  <c r="K404"/>
  <c r="L403"/>
  <c r="K403"/>
  <c r="L402"/>
  <c r="K402"/>
  <c r="L401"/>
  <c r="K401"/>
  <c r="L400"/>
  <c r="K400"/>
  <c r="L399"/>
  <c r="K399"/>
  <c r="L398"/>
  <c r="K398"/>
  <c r="L397"/>
  <c r="K397"/>
  <c r="L396"/>
  <c r="K396"/>
  <c r="L395"/>
  <c r="K395"/>
  <c r="L394"/>
  <c r="K394"/>
  <c r="L393"/>
  <c r="K393"/>
  <c r="L392"/>
  <c r="K392"/>
  <c r="L391"/>
  <c r="K391"/>
  <c r="L390"/>
  <c r="K390"/>
  <c r="L389"/>
  <c r="K389"/>
  <c r="L388"/>
  <c r="K388"/>
  <c r="L387"/>
  <c r="K387"/>
  <c r="L386"/>
  <c r="K386"/>
  <c r="L385"/>
  <c r="K385"/>
  <c r="L384"/>
  <c r="K384"/>
  <c r="L383"/>
  <c r="K383"/>
  <c r="L382"/>
  <c r="K382"/>
  <c r="L381"/>
  <c r="K381"/>
  <c r="L380"/>
  <c r="K380"/>
  <c r="L379"/>
  <c r="K379"/>
  <c r="L378"/>
  <c r="K378"/>
  <c r="L377"/>
  <c r="K377"/>
  <c r="L376"/>
  <c r="K376"/>
  <c r="L375"/>
  <c r="K375"/>
  <c r="L374"/>
  <c r="K374"/>
  <c r="L373"/>
  <c r="K373"/>
  <c r="L372"/>
  <c r="K372"/>
  <c r="L371"/>
  <c r="K371"/>
  <c r="L370"/>
  <c r="K370"/>
  <c r="L369"/>
  <c r="K369"/>
  <c r="L368"/>
  <c r="K368"/>
  <c r="L367"/>
  <c r="K367"/>
  <c r="L366"/>
  <c r="K366"/>
  <c r="L365"/>
  <c r="K365"/>
  <c r="L364"/>
  <c r="K364"/>
  <c r="L363"/>
  <c r="K363"/>
  <c r="L362"/>
  <c r="K362"/>
  <c r="L361"/>
  <c r="K361"/>
  <c r="L360"/>
  <c r="K360"/>
  <c r="L359"/>
  <c r="K359"/>
  <c r="L358"/>
  <c r="K358"/>
  <c r="L357"/>
  <c r="K357"/>
  <c r="L356"/>
  <c r="K356"/>
  <c r="L355"/>
  <c r="K355"/>
  <c r="L354"/>
  <c r="K354"/>
  <c r="L353"/>
  <c r="K353"/>
  <c r="L352"/>
  <c r="K352"/>
  <c r="L351"/>
  <c r="K351"/>
  <c r="L350"/>
  <c r="K350"/>
  <c r="L349"/>
  <c r="K349"/>
  <c r="L348"/>
  <c r="K348"/>
  <c r="L347"/>
  <c r="K347"/>
  <c r="L346"/>
  <c r="K346"/>
  <c r="L345"/>
  <c r="K345"/>
  <c r="L344"/>
  <c r="K344"/>
  <c r="L343"/>
  <c r="K343"/>
  <c r="L342"/>
  <c r="K342"/>
  <c r="L341"/>
  <c r="K341"/>
  <c r="L340"/>
  <c r="K340"/>
  <c r="L339"/>
  <c r="K339"/>
  <c r="L338"/>
  <c r="K338"/>
  <c r="L337"/>
  <c r="K337"/>
  <c r="L336"/>
  <c r="K336"/>
  <c r="L335"/>
  <c r="K335"/>
  <c r="L334"/>
  <c r="K334"/>
  <c r="L333"/>
  <c r="K333"/>
  <c r="L332"/>
  <c r="K332"/>
  <c r="L331"/>
  <c r="K331"/>
  <c r="L330"/>
  <c r="K330"/>
  <c r="L329"/>
  <c r="K329"/>
  <c r="L328"/>
  <c r="K328"/>
  <c r="L327"/>
  <c r="K327"/>
  <c r="L326"/>
  <c r="K326"/>
  <c r="L325"/>
  <c r="K325"/>
  <c r="L324"/>
  <c r="K324"/>
  <c r="L323"/>
  <c r="K323"/>
  <c r="L322"/>
  <c r="K322"/>
  <c r="L321"/>
  <c r="K321"/>
  <c r="L320"/>
  <c r="K320"/>
  <c r="L319"/>
  <c r="K319"/>
  <c r="L318"/>
  <c r="K318"/>
  <c r="L316"/>
  <c r="K316"/>
  <c r="L317"/>
  <c r="K317"/>
  <c r="L315"/>
  <c r="K315"/>
  <c r="L314"/>
  <c r="K314"/>
  <c r="L313"/>
  <c r="K313"/>
  <c r="L312"/>
  <c r="K312"/>
  <c r="L311"/>
  <c r="K311"/>
  <c r="L310"/>
  <c r="K310"/>
  <c r="L309"/>
  <c r="K309"/>
  <c r="L308"/>
  <c r="K308"/>
  <c r="L307"/>
  <c r="K307"/>
  <c r="L306"/>
  <c r="K306"/>
  <c r="L305"/>
  <c r="K305"/>
  <c r="L304"/>
  <c r="K304"/>
  <c r="L303"/>
  <c r="K303"/>
  <c r="L302"/>
  <c r="K302"/>
  <c r="L301"/>
  <c r="K301"/>
  <c r="L300"/>
  <c r="K300"/>
  <c r="L299"/>
  <c r="K299"/>
  <c r="L298"/>
  <c r="K298"/>
  <c r="L297"/>
  <c r="K297"/>
  <c r="L296"/>
  <c r="K296"/>
  <c r="L295"/>
  <c r="K295"/>
  <c r="L294"/>
  <c r="K294"/>
  <c r="L293"/>
  <c r="K293"/>
  <c r="L292"/>
  <c r="K292"/>
  <c r="L291"/>
  <c r="K291"/>
  <c r="L290"/>
  <c r="K290"/>
  <c r="L289"/>
  <c r="K289"/>
  <c r="L288"/>
  <c r="K288"/>
  <c r="L287"/>
  <c r="K287"/>
  <c r="L286"/>
  <c r="K286"/>
  <c r="L285"/>
  <c r="K285"/>
  <c r="L284"/>
  <c r="K284"/>
  <c r="L283"/>
  <c r="K283"/>
  <c r="L282"/>
  <c r="K282"/>
  <c r="L281"/>
  <c r="K281"/>
  <c r="L280"/>
  <c r="K280"/>
  <c r="L279"/>
  <c r="K279"/>
  <c r="L278"/>
  <c r="K278"/>
  <c r="L277"/>
  <c r="K277"/>
  <c r="L276"/>
  <c r="K276"/>
  <c r="L275"/>
  <c r="K275"/>
  <c r="L274"/>
  <c r="K274"/>
  <c r="L273"/>
  <c r="K273"/>
  <c r="L272"/>
  <c r="K272"/>
  <c r="L271"/>
  <c r="K271"/>
  <c r="L270"/>
  <c r="K270"/>
  <c r="L269"/>
  <c r="K269"/>
  <c r="L268"/>
  <c r="K268"/>
  <c r="L267"/>
  <c r="K267"/>
  <c r="L266"/>
  <c r="K266"/>
  <c r="L265"/>
  <c r="K265"/>
  <c r="L264"/>
  <c r="K264"/>
  <c r="L263"/>
  <c r="K263"/>
  <c r="L262"/>
  <c r="K262"/>
  <c r="L261"/>
  <c r="K261"/>
  <c r="L260"/>
  <c r="K260"/>
  <c r="L259"/>
  <c r="K259"/>
  <c r="L258"/>
  <c r="K258"/>
  <c r="L257"/>
  <c r="K257"/>
  <c r="L256"/>
  <c r="K256"/>
  <c r="L255"/>
  <c r="K255"/>
  <c r="L254"/>
  <c r="K254"/>
  <c r="L253"/>
  <c r="K253"/>
  <c r="L252"/>
  <c r="K252"/>
  <c r="L251"/>
  <c r="K251"/>
  <c r="L250"/>
  <c r="K250"/>
  <c r="L249"/>
  <c r="K249"/>
  <c r="L248"/>
  <c r="K248"/>
  <c r="L247"/>
  <c r="K247"/>
  <c r="L246"/>
  <c r="K246"/>
  <c r="L245"/>
  <c r="K245"/>
  <c r="L244"/>
  <c r="K244"/>
  <c r="L243"/>
  <c r="K243"/>
  <c r="L242"/>
  <c r="K242"/>
  <c r="L241"/>
  <c r="K241"/>
  <c r="L240"/>
  <c r="K240"/>
  <c r="L239"/>
  <c r="K239"/>
  <c r="L238"/>
  <c r="K238"/>
  <c r="L237"/>
  <c r="K237"/>
  <c r="L236"/>
  <c r="K236"/>
  <c r="L235"/>
  <c r="K235"/>
  <c r="L234"/>
  <c r="K234"/>
  <c r="L233"/>
  <c r="K233"/>
  <c r="L232"/>
  <c r="K232"/>
  <c r="L231"/>
  <c r="K231"/>
  <c r="L230"/>
  <c r="K230"/>
  <c r="L229"/>
  <c r="K229"/>
  <c r="L228"/>
  <c r="K228"/>
  <c r="L227"/>
  <c r="K227"/>
  <c r="L226"/>
  <c r="K226"/>
  <c r="L225"/>
  <c r="K225"/>
  <c r="L224"/>
  <c r="K224"/>
  <c r="L223"/>
  <c r="K223"/>
  <c r="L222"/>
  <c r="K222"/>
  <c r="L221"/>
  <c r="K221"/>
  <c r="L220"/>
  <c r="K220"/>
  <c r="L219"/>
  <c r="K219"/>
  <c r="L218"/>
  <c r="K218"/>
  <c r="L217"/>
  <c r="K217"/>
  <c r="L216"/>
  <c r="K216"/>
  <c r="L215"/>
  <c r="K215"/>
  <c r="L214"/>
  <c r="K214"/>
  <c r="L213"/>
  <c r="K213"/>
  <c r="L212"/>
  <c r="K212"/>
  <c r="L211"/>
  <c r="K211"/>
  <c r="L210"/>
  <c r="K210"/>
  <c r="L209"/>
  <c r="K209"/>
  <c r="L208"/>
  <c r="K208"/>
  <c r="L207"/>
  <c r="K207"/>
  <c r="L206"/>
  <c r="K206"/>
  <c r="L205"/>
  <c r="K205"/>
  <c r="L204"/>
  <c r="K204"/>
  <c r="L203"/>
  <c r="K203"/>
  <c r="L202"/>
  <c r="K202"/>
  <c r="L201"/>
  <c r="K201"/>
  <c r="L200"/>
  <c r="K200"/>
  <c r="L199"/>
  <c r="K199"/>
  <c r="L198"/>
  <c r="K198"/>
  <c r="L197"/>
  <c r="K197"/>
  <c r="L196"/>
  <c r="K196"/>
  <c r="L195"/>
  <c r="K195"/>
  <c r="L194"/>
  <c r="K194"/>
  <c r="L193"/>
  <c r="K193"/>
  <c r="L192"/>
  <c r="K192"/>
  <c r="L191"/>
  <c r="K191"/>
  <c r="L190"/>
  <c r="K190"/>
  <c r="L189"/>
  <c r="K189"/>
  <c r="L188"/>
  <c r="K188"/>
  <c r="L187"/>
  <c r="K187"/>
  <c r="L186"/>
  <c r="K186"/>
  <c r="L185"/>
  <c r="K185"/>
  <c r="L184"/>
  <c r="K184"/>
  <c r="L183"/>
  <c r="K183"/>
  <c r="L182"/>
  <c r="K182"/>
  <c r="L181"/>
  <c r="K181"/>
  <c r="L180"/>
  <c r="K180"/>
  <c r="L179"/>
  <c r="K179"/>
  <c r="L178"/>
  <c r="K178"/>
  <c r="L177"/>
  <c r="K177"/>
  <c r="L176"/>
  <c r="K176"/>
  <c r="L175"/>
  <c r="K175"/>
  <c r="L174"/>
  <c r="K174"/>
  <c r="L173"/>
  <c r="K173"/>
  <c r="L172"/>
  <c r="K172"/>
  <c r="L171"/>
  <c r="K171"/>
  <c r="L170"/>
  <c r="K170"/>
  <c r="L169"/>
  <c r="K169"/>
  <c r="L168"/>
  <c r="K168"/>
  <c r="L167"/>
  <c r="K167"/>
  <c r="L166"/>
  <c r="K166"/>
  <c r="L165"/>
  <c r="K165"/>
  <c r="L164"/>
  <c r="K164"/>
  <c r="L163"/>
  <c r="K163"/>
  <c r="L162"/>
  <c r="K162"/>
  <c r="L161"/>
  <c r="K161"/>
  <c r="L160"/>
  <c r="K160"/>
  <c r="L159"/>
  <c r="K159"/>
  <c r="L158"/>
  <c r="K158"/>
  <c r="L157"/>
  <c r="K157"/>
  <c r="L156"/>
  <c r="K156"/>
  <c r="L155"/>
  <c r="K155"/>
  <c r="L154"/>
  <c r="K154"/>
  <c r="L153"/>
  <c r="K153"/>
  <c r="L152"/>
  <c r="K152"/>
  <c r="L151"/>
  <c r="K151"/>
  <c r="L150"/>
  <c r="K150"/>
  <c r="L149"/>
  <c r="K149"/>
  <c r="L148"/>
  <c r="K148"/>
  <c r="L147"/>
  <c r="K147"/>
  <c r="L146"/>
  <c r="K146"/>
  <c r="L145"/>
  <c r="K145"/>
  <c r="L144"/>
  <c r="K144"/>
  <c r="L143"/>
  <c r="K143"/>
  <c r="L142"/>
  <c r="K142"/>
  <c r="L141"/>
  <c r="K141"/>
  <c r="L140"/>
  <c r="K140"/>
  <c r="L139"/>
  <c r="K139"/>
  <c r="L138"/>
  <c r="K138"/>
  <c r="L137"/>
  <c r="K137"/>
  <c r="L136"/>
  <c r="K136"/>
  <c r="L135"/>
  <c r="K135"/>
  <c r="L134"/>
  <c r="K134"/>
  <c r="L133"/>
  <c r="K133"/>
  <c r="L132"/>
  <c r="K132"/>
  <c r="L131"/>
  <c r="K131"/>
  <c r="L130"/>
  <c r="K130"/>
  <c r="L129"/>
  <c r="K129"/>
  <c r="L128"/>
  <c r="K128"/>
  <c r="L127"/>
  <c r="K127"/>
  <c r="L126"/>
  <c r="K126"/>
  <c r="L125"/>
  <c r="K125"/>
  <c r="L124"/>
  <c r="K124"/>
  <c r="L123"/>
  <c r="K123"/>
  <c r="L122"/>
  <c r="K122"/>
  <c r="L121"/>
  <c r="K121"/>
  <c r="L120"/>
  <c r="K120"/>
  <c r="L119"/>
  <c r="K119"/>
  <c r="L118"/>
  <c r="K118"/>
  <c r="L117"/>
  <c r="K117"/>
  <c r="L116"/>
  <c r="K116"/>
  <c r="L115"/>
  <c r="K115"/>
  <c r="L114"/>
  <c r="K114"/>
  <c r="L113"/>
  <c r="K113"/>
  <c r="L112"/>
  <c r="K112"/>
  <c r="L111"/>
  <c r="K111"/>
  <c r="L110"/>
  <c r="K110"/>
  <c r="L109"/>
  <c r="K109"/>
  <c r="L108"/>
  <c r="K108"/>
  <c r="L107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K88"/>
  <c r="L87"/>
  <c r="K87"/>
  <c r="L86"/>
  <c r="K86"/>
  <c r="L85"/>
  <c r="K85"/>
  <c r="L84"/>
  <c r="K84"/>
  <c r="L83"/>
  <c r="K83"/>
  <c r="L82"/>
  <c r="K82"/>
  <c r="L81"/>
  <c r="K81"/>
  <c r="L80"/>
  <c r="K80"/>
  <c r="L79"/>
  <c r="K79"/>
  <c r="L78"/>
  <c r="K78"/>
  <c r="L77"/>
  <c r="K77"/>
  <c r="L76"/>
  <c r="K76"/>
  <c r="L75"/>
  <c r="K75"/>
  <c r="L74"/>
  <c r="K74"/>
  <c r="L73"/>
  <c r="K73"/>
  <c r="L72"/>
  <c r="K72"/>
  <c r="L71"/>
  <c r="K71"/>
  <c r="L70"/>
  <c r="K70"/>
  <c r="L69"/>
  <c r="K69"/>
  <c r="L68"/>
  <c r="K68"/>
  <c r="L67"/>
  <c r="K67"/>
  <c r="L66"/>
  <c r="K66"/>
  <c r="L65"/>
  <c r="K65"/>
  <c r="L64"/>
  <c r="K64"/>
  <c r="L63"/>
  <c r="K63"/>
  <c r="L62"/>
  <c r="K62"/>
  <c r="L61"/>
  <c r="K61"/>
  <c r="L60"/>
  <c r="K60"/>
  <c r="L59"/>
  <c r="K59"/>
  <c r="L58"/>
  <c r="K58"/>
  <c r="L57"/>
  <c r="K57"/>
  <c r="L56"/>
  <c r="K56"/>
  <c r="L55"/>
  <c r="K55"/>
  <c r="L54"/>
  <c r="K54"/>
  <c r="L53"/>
  <c r="K53"/>
  <c r="L52"/>
  <c r="K52"/>
  <c r="L51"/>
  <c r="K51"/>
  <c r="L50"/>
  <c r="K50"/>
  <c r="L49"/>
  <c r="K49"/>
  <c r="L48"/>
  <c r="K48"/>
  <c r="L47"/>
  <c r="K47"/>
  <c r="L46"/>
  <c r="K46"/>
  <c r="L45"/>
  <c r="K45"/>
  <c r="L44"/>
  <c r="K44"/>
  <c r="L43"/>
  <c r="K43"/>
  <c r="L42"/>
  <c r="K42"/>
  <c r="L41"/>
  <c r="K41"/>
  <c r="L40"/>
  <c r="K40"/>
  <c r="L39"/>
  <c r="K39"/>
  <c r="L38"/>
  <c r="K38"/>
  <c r="L37"/>
  <c r="K37"/>
  <c r="L36"/>
  <c r="K36"/>
  <c r="L35"/>
  <c r="K35"/>
  <c r="L34"/>
  <c r="K34"/>
  <c r="L33"/>
  <c r="K33"/>
  <c r="L32"/>
  <c r="K32"/>
  <c r="L31"/>
  <c r="K31"/>
  <c r="L30"/>
  <c r="K30"/>
  <c r="L29"/>
  <c r="K29"/>
  <c r="L28"/>
  <c r="K28"/>
  <c r="L27"/>
  <c r="K27"/>
  <c r="L26"/>
  <c r="K26"/>
  <c r="L25"/>
  <c r="K25"/>
  <c r="L24"/>
  <c r="K24"/>
  <c r="L23"/>
  <c r="K23"/>
  <c r="L22"/>
  <c r="K22"/>
  <c r="L21"/>
  <c r="K21"/>
  <c r="L20"/>
  <c r="K20"/>
  <c r="L19"/>
  <c r="K19"/>
  <c r="L18"/>
  <c r="K18"/>
  <c r="L17"/>
  <c r="K17"/>
  <c r="L16"/>
  <c r="K16"/>
  <c r="L15"/>
  <c r="K15"/>
  <c r="L14"/>
  <c r="K14"/>
  <c r="L13"/>
  <c r="K13"/>
  <c r="L12"/>
  <c r="K12"/>
  <c r="L11"/>
  <c r="K11"/>
  <c r="EO11" l="1"/>
  <c r="EP11"/>
  <c r="EO12"/>
  <c r="FM12" s="1"/>
  <c r="EP12"/>
  <c r="EO13"/>
  <c r="EP13"/>
  <c r="EO14"/>
  <c r="FM14" s="1"/>
  <c r="EP14"/>
  <c r="EO15"/>
  <c r="EP15"/>
  <c r="EO16"/>
  <c r="FM16" s="1"/>
  <c r="EP16"/>
  <c r="EO17"/>
  <c r="EP17"/>
  <c r="EO18"/>
  <c r="FM18" s="1"/>
  <c r="EP18"/>
  <c r="EO19"/>
  <c r="EP19"/>
  <c r="EO20"/>
  <c r="FM20" s="1"/>
  <c r="EP20"/>
  <c r="EO21"/>
  <c r="EP21"/>
  <c r="EO22"/>
  <c r="FM22" s="1"/>
  <c r="EP22"/>
  <c r="EO23"/>
  <c r="EP23"/>
  <c r="EO24"/>
  <c r="FM24" s="1"/>
  <c r="EP24"/>
  <c r="EO25"/>
  <c r="EP25"/>
  <c r="EO26"/>
  <c r="FM26" s="1"/>
  <c r="EP26"/>
  <c r="EO27"/>
  <c r="EP27"/>
  <c r="EO28"/>
  <c r="FM28" s="1"/>
  <c r="EP28"/>
  <c r="EO29"/>
  <c r="EP29"/>
  <c r="EO30"/>
  <c r="FM30" s="1"/>
  <c r="EP30"/>
  <c r="EO31"/>
  <c r="EP31"/>
  <c r="EO32"/>
  <c r="FM32" s="1"/>
  <c r="EP32"/>
  <c r="EO33"/>
  <c r="EP33"/>
  <c r="EO34"/>
  <c r="FM34" s="1"/>
  <c r="EP34"/>
  <c r="EO35"/>
  <c r="EP35"/>
  <c r="EO36"/>
  <c r="FM36" s="1"/>
  <c r="EP36"/>
  <c r="EO37"/>
  <c r="EP37"/>
  <c r="EO38"/>
  <c r="FM38" s="1"/>
  <c r="EP38"/>
  <c r="EO39"/>
  <c r="EP39"/>
  <c r="EO40"/>
  <c r="FM40" s="1"/>
  <c r="EP40"/>
  <c r="EO41"/>
  <c r="EP41"/>
  <c r="EO42"/>
  <c r="FM42" s="1"/>
  <c r="EP42"/>
  <c r="EO43"/>
  <c r="EP43"/>
  <c r="EO44"/>
  <c r="FM44" s="1"/>
  <c r="EP44"/>
  <c r="EO45"/>
  <c r="EP45"/>
  <c r="EO46"/>
  <c r="FM46" s="1"/>
  <c r="EP46"/>
  <c r="EO47"/>
  <c r="EP47"/>
  <c r="EO48"/>
  <c r="FM48" s="1"/>
  <c r="EP48"/>
  <c r="EO49"/>
  <c r="EP49"/>
  <c r="EO50"/>
  <c r="FM50" s="1"/>
  <c r="EP50"/>
  <c r="EO51"/>
  <c r="EP51"/>
  <c r="EO52"/>
  <c r="FM52" s="1"/>
  <c r="EP52"/>
  <c r="EO53"/>
  <c r="EP53"/>
  <c r="EO54"/>
  <c r="FM54" s="1"/>
  <c r="EP54"/>
  <c r="EO55"/>
  <c r="EP55"/>
  <c r="EO56"/>
  <c r="FM56" s="1"/>
  <c r="EP56"/>
  <c r="EO57"/>
  <c r="EP57"/>
  <c r="EO58"/>
  <c r="FM58" s="1"/>
  <c r="EP58"/>
  <c r="EO59"/>
  <c r="EP59"/>
  <c r="EO60"/>
  <c r="FM60" s="1"/>
  <c r="EP60"/>
  <c r="EO61"/>
  <c r="EP61"/>
  <c r="EO62"/>
  <c r="FM62" s="1"/>
  <c r="EP62"/>
  <c r="EO63"/>
  <c r="EP63"/>
  <c r="EO64"/>
  <c r="FM64" s="1"/>
  <c r="EP64"/>
  <c r="EO65"/>
  <c r="EP65"/>
  <c r="EO66"/>
  <c r="FM66" s="1"/>
  <c r="EP66"/>
  <c r="EO67"/>
  <c r="EP67"/>
  <c r="EO68"/>
  <c r="FM68" s="1"/>
  <c r="EP68"/>
  <c r="EO69"/>
  <c r="EP69"/>
  <c r="EO70"/>
  <c r="FM70" s="1"/>
  <c r="EP70"/>
  <c r="EO71"/>
  <c r="EP71"/>
  <c r="EO72"/>
  <c r="FM72" s="1"/>
  <c r="EP72"/>
  <c r="EO73"/>
  <c r="EP73"/>
  <c r="EO74"/>
  <c r="FM74" s="1"/>
  <c r="EP74"/>
  <c r="EO75"/>
  <c r="EP75"/>
  <c r="EO76"/>
  <c r="FM76" s="1"/>
  <c r="EP76"/>
  <c r="EO77"/>
  <c r="EP77"/>
  <c r="EO78"/>
  <c r="FM78" s="1"/>
  <c r="EP78"/>
  <c r="EO79"/>
  <c r="EP79"/>
  <c r="EO80"/>
  <c r="FM80" s="1"/>
  <c r="EP80"/>
  <c r="EO81"/>
  <c r="EP81"/>
  <c r="EO82"/>
  <c r="FM82" s="1"/>
  <c r="EP82"/>
  <c r="EO83"/>
  <c r="EP83"/>
  <c r="EO84"/>
  <c r="FM84" s="1"/>
  <c r="EP84"/>
  <c r="EO85"/>
  <c r="EP85"/>
  <c r="EO86"/>
  <c r="FM86" s="1"/>
  <c r="EP86"/>
  <c r="EO87"/>
  <c r="EP87"/>
  <c r="EO88"/>
  <c r="FM88" s="1"/>
  <c r="EP88"/>
  <c r="EO89"/>
  <c r="EP89"/>
  <c r="EO90"/>
  <c r="FM90" s="1"/>
  <c r="EP90"/>
  <c r="EO91"/>
  <c r="EP91"/>
  <c r="EO92"/>
  <c r="FM92" s="1"/>
  <c r="EP92"/>
  <c r="EO93"/>
  <c r="EP93"/>
  <c r="EO94"/>
  <c r="FM94" s="1"/>
  <c r="EP94"/>
  <c r="EO95"/>
  <c r="EP95"/>
  <c r="EO96"/>
  <c r="FM96" s="1"/>
  <c r="EP96"/>
  <c r="EO97"/>
  <c r="FM97" s="1"/>
  <c r="EP97"/>
  <c r="EO98"/>
  <c r="FM98" s="1"/>
  <c r="EP98"/>
  <c r="EO99"/>
  <c r="EP99"/>
  <c r="EO100"/>
  <c r="FM100" s="1"/>
  <c r="EP100"/>
  <c r="EO101"/>
  <c r="FM101" s="1"/>
  <c r="EP101"/>
  <c r="EO102"/>
  <c r="FM102" s="1"/>
  <c r="EP102"/>
  <c r="EO103"/>
  <c r="EP103"/>
  <c r="EO104"/>
  <c r="FM104" s="1"/>
  <c r="EP104"/>
  <c r="EO105"/>
  <c r="FM105" s="1"/>
  <c r="EP105"/>
  <c r="EO106"/>
  <c r="FM106" s="1"/>
  <c r="EP106"/>
  <c r="EO107"/>
  <c r="EP107"/>
  <c r="EO108"/>
  <c r="FM108" s="1"/>
  <c r="EP108"/>
  <c r="EO109"/>
  <c r="FM109" s="1"/>
  <c r="EP109"/>
  <c r="EO110"/>
  <c r="FM110" s="1"/>
  <c r="EP110"/>
  <c r="EO111"/>
  <c r="EP111"/>
  <c r="EO112"/>
  <c r="FM112" s="1"/>
  <c r="EP112"/>
  <c r="EO113"/>
  <c r="FM113" s="1"/>
  <c r="EP113"/>
  <c r="EO114"/>
  <c r="FM114" s="1"/>
  <c r="EP114"/>
  <c r="EO115"/>
  <c r="EP115"/>
  <c r="EO116"/>
  <c r="FM116" s="1"/>
  <c r="EP116"/>
  <c r="EO117"/>
  <c r="FM117" s="1"/>
  <c r="EP117"/>
  <c r="EO118"/>
  <c r="FM118" s="1"/>
  <c r="EP118"/>
  <c r="EO119"/>
  <c r="EP119"/>
  <c r="EO120"/>
  <c r="FM120" s="1"/>
  <c r="EP120"/>
  <c r="EO121"/>
  <c r="FM121" s="1"/>
  <c r="EP121"/>
  <c r="EO122"/>
  <c r="FM122" s="1"/>
  <c r="EP122"/>
  <c r="EO123"/>
  <c r="EP123"/>
  <c r="EO124"/>
  <c r="FM124" s="1"/>
  <c r="EP124"/>
  <c r="EO125"/>
  <c r="FM125" s="1"/>
  <c r="EP125"/>
  <c r="EO126"/>
  <c r="FM126" s="1"/>
  <c r="EP126"/>
  <c r="EO127"/>
  <c r="EP127"/>
  <c r="EO128"/>
  <c r="FM128" s="1"/>
  <c r="EP128"/>
  <c r="EO129"/>
  <c r="FM129" s="1"/>
  <c r="EP129"/>
  <c r="EO130"/>
  <c r="FM130" s="1"/>
  <c r="EP130"/>
  <c r="EO131"/>
  <c r="EP131"/>
  <c r="EO132"/>
  <c r="FM132" s="1"/>
  <c r="EP132"/>
  <c r="EO133"/>
  <c r="FM133" s="1"/>
  <c r="EP133"/>
  <c r="EO134"/>
  <c r="FM134" s="1"/>
  <c r="EP134"/>
  <c r="EO135"/>
  <c r="EP135"/>
  <c r="EO136"/>
  <c r="FM136" s="1"/>
  <c r="EP136"/>
  <c r="EO137"/>
  <c r="FM137" s="1"/>
  <c r="EP137"/>
  <c r="EO138"/>
  <c r="FM138" s="1"/>
  <c r="EP138"/>
  <c r="EO139"/>
  <c r="EP139"/>
  <c r="EO140"/>
  <c r="FM140" s="1"/>
  <c r="EP140"/>
  <c r="EO141"/>
  <c r="FM141" s="1"/>
  <c r="EP141"/>
  <c r="EO142"/>
  <c r="FM142" s="1"/>
  <c r="EP142"/>
  <c r="EO143"/>
  <c r="EP143"/>
  <c r="EO144"/>
  <c r="FM144" s="1"/>
  <c r="EP144"/>
  <c r="EO145"/>
  <c r="FM145" s="1"/>
  <c r="EP145"/>
  <c r="EO146"/>
  <c r="FM146" s="1"/>
  <c r="EP146"/>
  <c r="EO147"/>
  <c r="EP147"/>
  <c r="EO148"/>
  <c r="FM148" s="1"/>
  <c r="EP148"/>
  <c r="EO149"/>
  <c r="FM149" s="1"/>
  <c r="EP149"/>
  <c r="EO150"/>
  <c r="FM150" s="1"/>
  <c r="EP150"/>
  <c r="EO151"/>
  <c r="EP151"/>
  <c r="EO152"/>
  <c r="FM152" s="1"/>
  <c r="EP152"/>
  <c r="EO153"/>
  <c r="FM153" s="1"/>
  <c r="EP153"/>
  <c r="EO154"/>
  <c r="FM154" s="1"/>
  <c r="EP154"/>
  <c r="EO155"/>
  <c r="EP155"/>
  <c r="EO156"/>
  <c r="FM156" s="1"/>
  <c r="EP156"/>
  <c r="EO157"/>
  <c r="FM157" s="1"/>
  <c r="EP157"/>
  <c r="EO158"/>
  <c r="FM158" s="1"/>
  <c r="EP158"/>
  <c r="EO159"/>
  <c r="EP159"/>
  <c r="EO160"/>
  <c r="FM160" s="1"/>
  <c r="EO161"/>
  <c r="EP161"/>
  <c r="EO162"/>
  <c r="EP162"/>
  <c r="FN162" s="1"/>
  <c r="EO163"/>
  <c r="EP163"/>
  <c r="FN163" s="1"/>
  <c r="EO164"/>
  <c r="EP164"/>
  <c r="FN164" s="1"/>
  <c r="EO165"/>
  <c r="EP165"/>
  <c r="EO166"/>
  <c r="EP166"/>
  <c r="FN166" s="1"/>
  <c r="EO167"/>
  <c r="EP167"/>
  <c r="FN167" s="1"/>
  <c r="AT167" s="1"/>
  <c r="EO168"/>
  <c r="EP168"/>
  <c r="FN168" s="1"/>
  <c r="EO169"/>
  <c r="EP169"/>
  <c r="EO170"/>
  <c r="EP170"/>
  <c r="FN170" s="1"/>
  <c r="EO171"/>
  <c r="EP171"/>
  <c r="FN171" s="1"/>
  <c r="EO172"/>
  <c r="EP172"/>
  <c r="FN172" s="1"/>
  <c r="EO173"/>
  <c r="EP173"/>
  <c r="EO174"/>
  <c r="EP174"/>
  <c r="FN174" s="1"/>
  <c r="EO175"/>
  <c r="EP175"/>
  <c r="FN175" s="1"/>
  <c r="EO176"/>
  <c r="EP176"/>
  <c r="FN176" s="1"/>
  <c r="EO177"/>
  <c r="EP177"/>
  <c r="EO178"/>
  <c r="EP178"/>
  <c r="FN178" s="1"/>
  <c r="EO179"/>
  <c r="EP179"/>
  <c r="EO180"/>
  <c r="EP180"/>
  <c r="FN180" s="1"/>
  <c r="EO181"/>
  <c r="EP181"/>
  <c r="FN181" s="1"/>
  <c r="EO182"/>
  <c r="EP182"/>
  <c r="FN182" s="1"/>
  <c r="EO183"/>
  <c r="EP183"/>
  <c r="EO184"/>
  <c r="EP184"/>
  <c r="FN184" s="1"/>
  <c r="EO185"/>
  <c r="EP185"/>
  <c r="FN185" s="1"/>
  <c r="EO186"/>
  <c r="EP186"/>
  <c r="FN186" s="1"/>
  <c r="EO187"/>
  <c r="EP187"/>
  <c r="EO188"/>
  <c r="EP188"/>
  <c r="FN188" s="1"/>
  <c r="EO189"/>
  <c r="EP189"/>
  <c r="FN189" s="1"/>
  <c r="EO190"/>
  <c r="EP190"/>
  <c r="FN190" s="1"/>
  <c r="EO191"/>
  <c r="EP191"/>
  <c r="FN191" s="1"/>
  <c r="EO192"/>
  <c r="EP192"/>
  <c r="FN192" s="1"/>
  <c r="EO193"/>
  <c r="EP193"/>
  <c r="FN193" s="1"/>
  <c r="EO194"/>
  <c r="EP194"/>
  <c r="FN194" s="1"/>
  <c r="EO195"/>
  <c r="EP195"/>
  <c r="FN195" s="1"/>
  <c r="EO196"/>
  <c r="EO197"/>
  <c r="EO198"/>
  <c r="EO199"/>
  <c r="EO200"/>
  <c r="EO201"/>
  <c r="EO202"/>
  <c r="EO203"/>
  <c r="EO204"/>
  <c r="EP204"/>
  <c r="EO205"/>
  <c r="EP205"/>
  <c r="FN205" s="1"/>
  <c r="EO206"/>
  <c r="EP206"/>
  <c r="FN206" s="1"/>
  <c r="EO207"/>
  <c r="EP207"/>
  <c r="FN207" s="1"/>
  <c r="EO208"/>
  <c r="EP208"/>
  <c r="EO209"/>
  <c r="EP209"/>
  <c r="FN209" s="1"/>
  <c r="EO210"/>
  <c r="EP210"/>
  <c r="FN210" s="1"/>
  <c r="EO211"/>
  <c r="EP211"/>
  <c r="FN211" s="1"/>
  <c r="EO212"/>
  <c r="EP212"/>
  <c r="EO213"/>
  <c r="EP213"/>
  <c r="FN213" s="1"/>
  <c r="EP214"/>
  <c r="EP215"/>
  <c r="FN215" s="1"/>
  <c r="EP216"/>
  <c r="EP217"/>
  <c r="FN217" s="1"/>
  <c r="EO218"/>
  <c r="EP218"/>
  <c r="FN218" s="1"/>
  <c r="EP219"/>
  <c r="EO220"/>
  <c r="EP220"/>
  <c r="EO221"/>
  <c r="FM221" s="1"/>
  <c r="EP221"/>
  <c r="EO222"/>
  <c r="FM222" s="1"/>
  <c r="EP222"/>
  <c r="EO223"/>
  <c r="FM223" s="1"/>
  <c r="EP223"/>
  <c r="EO224"/>
  <c r="EP224"/>
  <c r="EO225"/>
  <c r="FM225" s="1"/>
  <c r="EP225"/>
  <c r="EO226"/>
  <c r="FM226" s="1"/>
  <c r="EP226"/>
  <c r="EO227"/>
  <c r="FM227" s="1"/>
  <c r="EP227"/>
  <c r="EO228"/>
  <c r="EP228"/>
  <c r="EO229"/>
  <c r="FM229" s="1"/>
  <c r="EP229"/>
  <c r="EO230"/>
  <c r="FM230" s="1"/>
  <c r="EP230"/>
  <c r="EO231"/>
  <c r="FM231" s="1"/>
  <c r="EP231"/>
  <c r="EO232"/>
  <c r="EP232"/>
  <c r="EO233"/>
  <c r="FM233" s="1"/>
  <c r="EP233"/>
  <c r="EO234"/>
  <c r="FM234" s="1"/>
  <c r="EP234"/>
  <c r="EO235"/>
  <c r="FM235" s="1"/>
  <c r="EP235"/>
  <c r="EO236"/>
  <c r="EP236"/>
  <c r="EO237"/>
  <c r="FM237" s="1"/>
  <c r="EP237"/>
  <c r="EO238"/>
  <c r="FM238" s="1"/>
  <c r="EP238"/>
  <c r="EO239"/>
  <c r="FM239" s="1"/>
  <c r="EP239"/>
  <c r="EO240"/>
  <c r="EP240"/>
  <c r="EO241"/>
  <c r="FM241" s="1"/>
  <c r="EP241"/>
  <c r="EO242"/>
  <c r="FM242" s="1"/>
  <c r="EP242"/>
  <c r="EO243"/>
  <c r="FM243" s="1"/>
  <c r="EP243"/>
  <c r="EO244"/>
  <c r="EP244"/>
  <c r="EO245"/>
  <c r="FM245" s="1"/>
  <c r="EP245"/>
  <c r="EO246"/>
  <c r="FM246" s="1"/>
  <c r="EP246"/>
  <c r="EO247"/>
  <c r="FM247" s="1"/>
  <c r="EP247"/>
  <c r="EO248"/>
  <c r="EP248"/>
  <c r="EO249"/>
  <c r="FM249" s="1"/>
  <c r="EP249"/>
  <c r="EO250"/>
  <c r="FM250" s="1"/>
  <c r="EP250"/>
  <c r="EO251"/>
  <c r="FM251" s="1"/>
  <c r="EP251"/>
  <c r="EO252"/>
  <c r="EP252"/>
  <c r="EO253"/>
  <c r="FM253" s="1"/>
  <c r="EP253"/>
  <c r="EO254"/>
  <c r="FM254" s="1"/>
  <c r="EP254"/>
  <c r="EO255"/>
  <c r="FM255" s="1"/>
  <c r="EP255"/>
  <c r="EO256"/>
  <c r="EP256"/>
  <c r="EO257"/>
  <c r="FM257" s="1"/>
  <c r="EP257"/>
  <c r="EO258"/>
  <c r="FM258" s="1"/>
  <c r="EP258"/>
  <c r="EO259"/>
  <c r="FM259" s="1"/>
  <c r="EP259"/>
  <c r="EO260"/>
  <c r="EP260"/>
  <c r="EO261"/>
  <c r="FM261" s="1"/>
  <c r="EP261"/>
  <c r="EO262"/>
  <c r="FM262" s="1"/>
  <c r="EP262"/>
  <c r="EO263"/>
  <c r="FM263" s="1"/>
  <c r="EP263"/>
  <c r="EO264"/>
  <c r="EP264"/>
  <c r="EO265"/>
  <c r="FM265" s="1"/>
  <c r="EP265"/>
  <c r="EO266"/>
  <c r="FM266" s="1"/>
  <c r="EP266"/>
  <c r="EP267"/>
  <c r="FN267" s="1"/>
  <c r="EP268"/>
  <c r="EP269"/>
  <c r="FN269" s="1"/>
  <c r="EP270"/>
  <c r="EP271"/>
  <c r="FN271" s="1"/>
  <c r="EP272"/>
  <c r="EP273"/>
  <c r="FN273" s="1"/>
  <c r="EP274"/>
  <c r="EP275"/>
  <c r="FN275" s="1"/>
  <c r="EP276"/>
  <c r="EP277"/>
  <c r="FN277" s="1"/>
  <c r="EP278"/>
  <c r="EP280"/>
  <c r="FN280" s="1"/>
  <c r="EP281"/>
  <c r="EP282"/>
  <c r="FN282" s="1"/>
  <c r="EP283"/>
  <c r="EP284"/>
  <c r="FN284" s="1"/>
  <c r="EP285"/>
  <c r="EP286"/>
  <c r="FN286" s="1"/>
  <c r="EP287"/>
  <c r="EP288"/>
  <c r="FN288" s="1"/>
  <c r="EP289"/>
  <c r="EP290"/>
  <c r="FN290" s="1"/>
  <c r="EP291"/>
  <c r="EP292"/>
  <c r="FN292" s="1"/>
  <c r="EP293"/>
  <c r="EP294"/>
  <c r="FN294" s="1"/>
  <c r="EP295"/>
  <c r="EP296"/>
  <c r="FN296" s="1"/>
  <c r="EP297"/>
  <c r="EP298"/>
  <c r="FN298" s="1"/>
  <c r="EP299"/>
  <c r="EP300"/>
  <c r="FN300" s="1"/>
  <c r="EP301"/>
  <c r="EP302"/>
  <c r="FN302" s="1"/>
  <c r="EP303"/>
  <c r="EP304"/>
  <c r="FN304" s="1"/>
  <c r="EP305"/>
  <c r="EP306"/>
  <c r="FN306" s="1"/>
  <c r="EP307"/>
  <c r="EP308"/>
  <c r="FN308" s="1"/>
  <c r="EP309"/>
  <c r="EP310"/>
  <c r="FN310" s="1"/>
  <c r="EP311"/>
  <c r="EP312"/>
  <c r="FN312" s="1"/>
  <c r="EP313"/>
  <c r="EP314"/>
  <c r="FN314" s="1"/>
  <c r="EP315"/>
  <c r="EP317"/>
  <c r="FN317" s="1"/>
  <c r="EP316"/>
  <c r="EP318"/>
  <c r="FN318" s="1"/>
  <c r="EP319"/>
  <c r="EP320"/>
  <c r="FN320" s="1"/>
  <c r="EP321"/>
  <c r="EP322"/>
  <c r="FN322" s="1"/>
  <c r="EP323"/>
  <c r="EP324"/>
  <c r="FN324" s="1"/>
  <c r="EP325"/>
  <c r="EP326"/>
  <c r="FN326" s="1"/>
  <c r="EP327"/>
  <c r="EP328"/>
  <c r="FN328" s="1"/>
  <c r="EP329"/>
  <c r="EP330"/>
  <c r="FN330" s="1"/>
  <c r="EO331"/>
  <c r="EP331"/>
  <c r="FN331" s="1"/>
  <c r="EO332"/>
  <c r="EP332"/>
  <c r="FN332" s="1"/>
  <c r="EO333"/>
  <c r="EP333"/>
  <c r="EO334"/>
  <c r="EP334"/>
  <c r="FN334" s="1"/>
  <c r="EO335"/>
  <c r="EP335"/>
  <c r="FN335" s="1"/>
  <c r="EO336"/>
  <c r="EP336"/>
  <c r="FN336" s="1"/>
  <c r="EO337"/>
  <c r="EP337"/>
  <c r="EO338"/>
  <c r="EP338"/>
  <c r="FN338" s="1"/>
  <c r="EO339"/>
  <c r="EP339"/>
  <c r="FN339" s="1"/>
  <c r="EO340"/>
  <c r="EP340"/>
  <c r="FN340" s="1"/>
  <c r="EO341"/>
  <c r="EP341"/>
  <c r="EO342"/>
  <c r="EP342"/>
  <c r="FN342" s="1"/>
  <c r="EO343"/>
  <c r="EP343"/>
  <c r="FN343" s="1"/>
  <c r="EO344"/>
  <c r="EP344"/>
  <c r="FN344" s="1"/>
  <c r="EO345"/>
  <c r="EP345"/>
  <c r="EO346"/>
  <c r="EP346"/>
  <c r="FN346" s="1"/>
  <c r="EO347"/>
  <c r="EP347"/>
  <c r="FN347" s="1"/>
  <c r="EO348"/>
  <c r="EP348"/>
  <c r="FN348" s="1"/>
  <c r="EO349"/>
  <c r="EP349"/>
  <c r="EO350"/>
  <c r="EP350"/>
  <c r="FN350" s="1"/>
  <c r="EO351"/>
  <c r="EP351"/>
  <c r="FN351" s="1"/>
  <c r="EO352"/>
  <c r="EP352"/>
  <c r="FN352" s="1"/>
  <c r="EO353"/>
  <c r="EP353"/>
  <c r="EO354"/>
  <c r="EP354"/>
  <c r="FN354" s="1"/>
  <c r="EO355"/>
  <c r="EP355"/>
  <c r="FN355" s="1"/>
  <c r="EO356"/>
  <c r="EP356"/>
  <c r="FN356" s="1"/>
  <c r="EO357"/>
  <c r="EP357"/>
  <c r="EO358"/>
  <c r="EP358"/>
  <c r="FN358" s="1"/>
  <c r="EO359"/>
  <c r="EP359"/>
  <c r="FN359" s="1"/>
  <c r="EO360"/>
  <c r="EP360"/>
  <c r="FN360" s="1"/>
  <c r="EO361"/>
  <c r="EP361"/>
  <c r="EO362"/>
  <c r="EP362"/>
  <c r="FN362" s="1"/>
  <c r="EO363"/>
  <c r="EP363"/>
  <c r="FN363" s="1"/>
  <c r="EO364"/>
  <c r="EP364"/>
  <c r="FN364" s="1"/>
  <c r="EO365"/>
  <c r="EP365"/>
  <c r="EO366"/>
  <c r="EP366"/>
  <c r="FN366" s="1"/>
  <c r="EO367"/>
  <c r="EP367"/>
  <c r="FN367" s="1"/>
  <c r="EO368"/>
  <c r="EP368"/>
  <c r="FN368" s="1"/>
  <c r="EO369"/>
  <c r="EP369"/>
  <c r="EO370"/>
  <c r="EP370"/>
  <c r="FN370" s="1"/>
  <c r="EO371"/>
  <c r="EP371"/>
  <c r="FN371" s="1"/>
  <c r="EO372"/>
  <c r="EP372"/>
  <c r="FN372" s="1"/>
  <c r="EO373"/>
  <c r="EP373"/>
  <c r="EO374"/>
  <c r="EP374"/>
  <c r="FN374" s="1"/>
  <c r="EO375"/>
  <c r="EP375"/>
  <c r="FN375" s="1"/>
  <c r="EO376"/>
  <c r="EP376"/>
  <c r="FN376" s="1"/>
  <c r="EO377"/>
  <c r="EP377"/>
  <c r="EO378"/>
  <c r="EP378"/>
  <c r="FN378" s="1"/>
  <c r="EO379"/>
  <c r="EP379"/>
  <c r="FN379" s="1"/>
  <c r="EO380"/>
  <c r="EP380"/>
  <c r="FN380" s="1"/>
  <c r="EO381"/>
  <c r="EP381"/>
  <c r="EO382"/>
  <c r="EP382"/>
  <c r="FN382" s="1"/>
  <c r="EO383"/>
  <c r="EP383"/>
  <c r="FN383" s="1"/>
  <c r="EO384"/>
  <c r="EP384"/>
  <c r="FN384" s="1"/>
  <c r="EO385"/>
  <c r="EP385"/>
  <c r="EO386"/>
  <c r="EP386"/>
  <c r="FN386" s="1"/>
  <c r="EO387"/>
  <c r="EP387"/>
  <c r="FN387" s="1"/>
  <c r="EO388"/>
  <c r="EP388"/>
  <c r="FN388" s="1"/>
  <c r="EO389"/>
  <c r="EP389"/>
  <c r="EO390"/>
  <c r="EP390"/>
  <c r="FN390" s="1"/>
  <c r="EO391"/>
  <c r="EP391"/>
  <c r="FN391" s="1"/>
  <c r="EO392"/>
  <c r="EP392"/>
  <c r="FN392" s="1"/>
  <c r="EO393"/>
  <c r="EP393"/>
  <c r="EO394"/>
  <c r="EP394"/>
  <c r="FN394" s="1"/>
  <c r="EO395"/>
  <c r="EP395"/>
  <c r="FN395" s="1"/>
  <c r="EO396"/>
  <c r="EP396"/>
  <c r="FN396" s="1"/>
  <c r="EO397"/>
  <c r="EP397"/>
  <c r="EO398"/>
  <c r="EP398"/>
  <c r="FN398" s="1"/>
  <c r="EO399"/>
  <c r="EP399"/>
  <c r="FN399" s="1"/>
  <c r="EO400"/>
  <c r="EP400"/>
  <c r="FN400" s="1"/>
  <c r="EO401"/>
  <c r="EP401"/>
  <c r="EO402"/>
  <c r="EP402"/>
  <c r="FN402" s="1"/>
  <c r="EO403"/>
  <c r="EP403"/>
  <c r="FN403" s="1"/>
  <c r="EO404"/>
  <c r="EP404"/>
  <c r="FN404" s="1"/>
  <c r="EO405"/>
  <c r="EP405"/>
  <c r="EO406"/>
  <c r="EP406"/>
  <c r="FN406" s="1"/>
  <c r="EO407"/>
  <c r="EP407"/>
  <c r="FN407" s="1"/>
  <c r="EO408"/>
  <c r="EO409"/>
  <c r="FM409" s="1"/>
  <c r="EP409"/>
  <c r="EO410"/>
  <c r="EP410"/>
  <c r="EO411"/>
  <c r="FM411" s="1"/>
  <c r="EP411"/>
  <c r="EO412"/>
  <c r="FM412" s="1"/>
  <c r="EP412"/>
  <c r="EO413"/>
  <c r="FM413" s="1"/>
  <c r="EP413"/>
  <c r="EO414"/>
  <c r="EP414"/>
  <c r="EO415"/>
  <c r="FM415" s="1"/>
  <c r="EP415"/>
  <c r="EO416"/>
  <c r="FM416" s="1"/>
  <c r="EP416"/>
  <c r="EO417"/>
  <c r="FM417" s="1"/>
  <c r="EP417"/>
  <c r="EO418"/>
  <c r="EP418"/>
  <c r="EO419"/>
  <c r="FM419" s="1"/>
  <c r="EP419"/>
  <c r="EO420"/>
  <c r="FM420" s="1"/>
  <c r="EP420"/>
  <c r="EO421"/>
  <c r="FM421" s="1"/>
  <c r="EP421"/>
  <c r="EO422"/>
  <c r="EP422"/>
  <c r="EO423"/>
  <c r="FM423" s="1"/>
  <c r="EP423"/>
  <c r="EO424"/>
  <c r="FM424" s="1"/>
  <c r="EP424"/>
  <c r="EO425"/>
  <c r="FM425" s="1"/>
  <c r="EP425"/>
  <c r="EO426"/>
  <c r="EP426"/>
  <c r="EO427"/>
  <c r="FM427" s="1"/>
  <c r="EP427"/>
  <c r="EO428"/>
  <c r="FM428" s="1"/>
  <c r="EP428"/>
  <c r="EO429"/>
  <c r="FM429" s="1"/>
  <c r="EP429"/>
  <c r="EO430"/>
  <c r="FM430" s="1"/>
  <c r="EP430"/>
  <c r="EO431"/>
  <c r="FM431" s="1"/>
  <c r="EP431"/>
  <c r="EO432"/>
  <c r="FM432" s="1"/>
  <c r="EP432"/>
  <c r="EO433"/>
  <c r="EP433"/>
  <c r="EO434"/>
  <c r="FM434" s="1"/>
  <c r="EP434"/>
  <c r="EO435"/>
  <c r="FM435" s="1"/>
  <c r="EP435"/>
  <c r="EO436"/>
  <c r="FM436" s="1"/>
  <c r="EP436"/>
  <c r="EO437"/>
  <c r="EP437"/>
  <c r="EO438"/>
  <c r="FM438" s="1"/>
  <c r="EP438"/>
  <c r="EO439"/>
  <c r="FM439" s="1"/>
  <c r="EP439"/>
  <c r="EO440"/>
  <c r="FM440" s="1"/>
  <c r="EP440"/>
  <c r="EO441"/>
  <c r="EP441"/>
  <c r="EO442"/>
  <c r="FM442" s="1"/>
  <c r="EP442"/>
  <c r="EO443"/>
  <c r="FM443" s="1"/>
  <c r="EP443"/>
  <c r="EO444"/>
  <c r="FM444" s="1"/>
  <c r="EP444"/>
  <c r="EO445"/>
  <c r="EP445"/>
  <c r="FN445" s="1"/>
  <c r="EP446"/>
  <c r="FN446" s="1"/>
  <c r="EP450"/>
  <c r="EP454"/>
  <c r="FN454" s="1"/>
  <c r="EP458"/>
  <c r="EP462"/>
  <c r="FN462" s="1"/>
  <c r="EP466"/>
  <c r="EP470"/>
  <c r="FN470" s="1"/>
  <c r="EP448"/>
  <c r="EP452"/>
  <c r="FN452" s="1"/>
  <c r="EP456"/>
  <c r="EP460"/>
  <c r="FN460" s="1"/>
  <c r="EP464"/>
  <c r="EP468"/>
  <c r="FN468" s="1"/>
  <c r="EO472"/>
  <c r="EP472"/>
  <c r="FN472" s="1"/>
  <c r="EO473"/>
  <c r="EP473"/>
  <c r="FN473" s="1"/>
  <c r="EO474"/>
  <c r="EP474"/>
  <c r="FN474" s="1"/>
  <c r="EO475"/>
  <c r="EP475"/>
  <c r="EO476"/>
  <c r="EP476"/>
  <c r="FN476" s="1"/>
  <c r="EO477"/>
  <c r="EP477"/>
  <c r="FN477" s="1"/>
  <c r="EO478"/>
  <c r="EP478"/>
  <c r="FN478" s="1"/>
  <c r="EO479"/>
  <c r="EP479"/>
  <c r="EO480"/>
  <c r="EP480"/>
  <c r="FN480" s="1"/>
  <c r="EO481"/>
  <c r="EP481"/>
  <c r="FN481" s="1"/>
  <c r="AT481" s="1"/>
  <c r="EO482"/>
  <c r="EP482"/>
  <c r="FN482" s="1"/>
  <c r="EO483"/>
  <c r="EP483"/>
  <c r="EO484"/>
  <c r="EP484"/>
  <c r="FN484" s="1"/>
  <c r="EO485"/>
  <c r="EP485"/>
  <c r="FN485" s="1"/>
  <c r="EO486"/>
  <c r="EP486"/>
  <c r="FN486" s="1"/>
  <c r="EO487"/>
  <c r="EP487"/>
  <c r="EO488"/>
  <c r="EP488"/>
  <c r="FN488" s="1"/>
  <c r="EO489"/>
  <c r="EP489"/>
  <c r="FN489" s="1"/>
  <c r="EO490"/>
  <c r="EP490"/>
  <c r="FN490" s="1"/>
  <c r="EO491"/>
  <c r="EP491"/>
  <c r="EO492"/>
  <c r="EP492"/>
  <c r="FN492" s="1"/>
  <c r="EO493"/>
  <c r="EP493"/>
  <c r="FN493" s="1"/>
  <c r="EO494"/>
  <c r="EP494"/>
  <c r="FN494" s="1"/>
  <c r="EO495"/>
  <c r="EP495"/>
  <c r="EO496"/>
  <c r="EP496"/>
  <c r="FN496" s="1"/>
  <c r="EO497"/>
  <c r="EP497"/>
  <c r="FN497" s="1"/>
  <c r="EO498"/>
  <c r="EP498"/>
  <c r="FN498" s="1"/>
  <c r="EO499"/>
  <c r="EP499"/>
  <c r="EO500"/>
  <c r="EP500"/>
  <c r="FN500" s="1"/>
  <c r="EO501"/>
  <c r="EP501"/>
  <c r="FN501" s="1"/>
  <c r="EO502"/>
  <c r="EP502"/>
  <c r="FN502" s="1"/>
  <c r="EO503"/>
  <c r="EP503"/>
  <c r="EO504"/>
  <c r="EP504"/>
  <c r="FN504" s="1"/>
  <c r="EO505"/>
  <c r="EP505"/>
  <c r="FN505" s="1"/>
  <c r="EO506"/>
  <c r="EP506"/>
  <c r="FN506" s="1"/>
  <c r="EO507"/>
  <c r="EP507"/>
  <c r="EO508"/>
  <c r="EP508"/>
  <c r="FN508" s="1"/>
  <c r="EO509"/>
  <c r="EP509"/>
  <c r="FN509" s="1"/>
  <c r="EO510"/>
  <c r="EP510"/>
  <c r="FN510" s="1"/>
  <c r="EO511"/>
  <c r="EP511"/>
  <c r="EO512"/>
  <c r="EP512"/>
  <c r="FN512" s="1"/>
  <c r="EO513"/>
  <c r="EP513"/>
  <c r="FN513" s="1"/>
  <c r="EO514"/>
  <c r="EP514"/>
  <c r="FN514" s="1"/>
  <c r="EO515"/>
  <c r="EP515"/>
  <c r="EO516"/>
  <c r="EP516"/>
  <c r="FN516" s="1"/>
  <c r="EO517"/>
  <c r="EP517"/>
  <c r="FN517" s="1"/>
  <c r="EO518"/>
  <c r="EP518"/>
  <c r="FN518" s="1"/>
  <c r="EO519"/>
  <c r="EP519"/>
  <c r="EO520"/>
  <c r="EP520"/>
  <c r="FN520" s="1"/>
  <c r="EO521"/>
  <c r="EP521"/>
  <c r="FN521" s="1"/>
  <c r="EO522"/>
  <c r="EP522"/>
  <c r="FN522" s="1"/>
  <c r="EO523"/>
  <c r="EP523"/>
  <c r="EO524"/>
  <c r="EP524"/>
  <c r="FN524" s="1"/>
  <c r="EO525"/>
  <c r="EP525"/>
  <c r="FN525" s="1"/>
  <c r="EO526"/>
  <c r="EP526"/>
  <c r="FN526" s="1"/>
  <c r="EO527"/>
  <c r="EP527"/>
  <c r="EO528"/>
  <c r="EP528"/>
  <c r="FN528" s="1"/>
  <c r="EO529"/>
  <c r="EP529"/>
  <c r="FN529" s="1"/>
  <c r="EO530"/>
  <c r="EP530"/>
  <c r="FN530" s="1"/>
  <c r="EO531"/>
  <c r="EP447"/>
  <c r="FN447" s="1"/>
  <c r="EP449"/>
  <c r="EP451"/>
  <c r="EP453"/>
  <c r="EP455"/>
  <c r="EP457"/>
  <c r="EP459"/>
  <c r="EP461"/>
  <c r="EP463"/>
  <c r="EP465"/>
  <c r="EP467"/>
  <c r="EP469"/>
  <c r="EP471"/>
  <c r="FN11"/>
  <c r="FN12"/>
  <c r="FN13"/>
  <c r="FN14"/>
  <c r="FN15"/>
  <c r="FN16"/>
  <c r="FN17"/>
  <c r="FN18"/>
  <c r="FN19"/>
  <c r="FN20"/>
  <c r="FN21"/>
  <c r="FN22"/>
  <c r="FN23"/>
  <c r="FN24"/>
  <c r="FN25"/>
  <c r="FN26"/>
  <c r="FN27"/>
  <c r="FN28"/>
  <c r="FN29"/>
  <c r="FN30"/>
  <c r="FN31"/>
  <c r="FN32"/>
  <c r="FN33"/>
  <c r="FN34"/>
  <c r="FN35"/>
  <c r="FN36"/>
  <c r="FN37"/>
  <c r="FN38"/>
  <c r="FN39"/>
  <c r="FN40"/>
  <c r="FN41"/>
  <c r="FN42"/>
  <c r="FN43"/>
  <c r="FN44"/>
  <c r="FN45"/>
  <c r="FN46"/>
  <c r="FN47"/>
  <c r="FN48"/>
  <c r="FN49"/>
  <c r="FN50"/>
  <c r="FN51"/>
  <c r="FN52"/>
  <c r="FN53"/>
  <c r="FN54"/>
  <c r="FN55"/>
  <c r="FN56"/>
  <c r="FN57"/>
  <c r="FN58"/>
  <c r="FN59"/>
  <c r="FN60"/>
  <c r="FN61"/>
  <c r="FN62"/>
  <c r="FN63"/>
  <c r="FN64"/>
  <c r="FN65"/>
  <c r="FN66"/>
  <c r="FN67"/>
  <c r="FN68"/>
  <c r="FN69"/>
  <c r="FN70"/>
  <c r="FN71"/>
  <c r="FN72"/>
  <c r="FN73"/>
  <c r="FN74"/>
  <c r="FN75"/>
  <c r="FN76"/>
  <c r="FN77"/>
  <c r="FN78"/>
  <c r="FN79"/>
  <c r="FN80"/>
  <c r="FN81"/>
  <c r="FN82"/>
  <c r="FN83"/>
  <c r="FN84"/>
  <c r="FN85"/>
  <c r="FN86"/>
  <c r="FN87"/>
  <c r="FN88"/>
  <c r="FN89"/>
  <c r="FN90"/>
  <c r="FN91"/>
  <c r="FN92"/>
  <c r="FN93"/>
  <c r="FN94"/>
  <c r="FN95"/>
  <c r="FN96"/>
  <c r="FN97"/>
  <c r="FN98"/>
  <c r="FN99"/>
  <c r="FN100"/>
  <c r="FN101"/>
  <c r="FN102"/>
  <c r="FN103"/>
  <c r="FN104"/>
  <c r="FN105"/>
  <c r="FN106"/>
  <c r="FN107"/>
  <c r="FN108"/>
  <c r="FN109"/>
  <c r="FN110"/>
  <c r="FN111"/>
  <c r="FN112"/>
  <c r="FN113"/>
  <c r="FN114"/>
  <c r="FN115"/>
  <c r="FN116"/>
  <c r="FN117"/>
  <c r="FN118"/>
  <c r="FN119"/>
  <c r="FN120"/>
  <c r="FN121"/>
  <c r="FN122"/>
  <c r="FN123"/>
  <c r="FN124"/>
  <c r="FN125"/>
  <c r="FN126"/>
  <c r="FN127"/>
  <c r="FN128"/>
  <c r="FN129"/>
  <c r="FN130"/>
  <c r="FN131"/>
  <c r="FN132"/>
  <c r="FN133"/>
  <c r="FN134"/>
  <c r="FN135"/>
  <c r="FN136"/>
  <c r="FN137"/>
  <c r="FN138"/>
  <c r="FN139"/>
  <c r="FN140"/>
  <c r="FN141"/>
  <c r="FN142"/>
  <c r="FN143"/>
  <c r="FN144"/>
  <c r="FN145"/>
  <c r="FN146"/>
  <c r="FN147"/>
  <c r="FN148"/>
  <c r="FN149"/>
  <c r="FN150"/>
  <c r="FN151"/>
  <c r="FN152"/>
  <c r="FN153"/>
  <c r="FN154"/>
  <c r="FN155"/>
  <c r="FN156"/>
  <c r="FN157"/>
  <c r="FN158"/>
  <c r="FN159"/>
  <c r="FN161"/>
  <c r="FN165"/>
  <c r="FN169"/>
  <c r="FN173"/>
  <c r="FN177"/>
  <c r="EP531"/>
  <c r="EO532"/>
  <c r="FM532" s="1"/>
  <c r="EP532"/>
  <c r="EO533"/>
  <c r="FM533" s="1"/>
  <c r="EP533"/>
  <c r="EO534"/>
  <c r="EP534"/>
  <c r="EO535"/>
  <c r="FM535" s="1"/>
  <c r="EP535"/>
  <c r="EO536"/>
  <c r="FM536" s="1"/>
  <c r="EP536"/>
  <c r="EO537"/>
  <c r="FM537" s="1"/>
  <c r="EP537"/>
  <c r="EO538"/>
  <c r="EP538"/>
  <c r="EO539"/>
  <c r="FM539" s="1"/>
  <c r="EP539"/>
  <c r="EO540"/>
  <c r="FM540" s="1"/>
  <c r="EP540"/>
  <c r="EO541"/>
  <c r="FM541" s="1"/>
  <c r="EP541"/>
  <c r="EO542"/>
  <c r="EP542"/>
  <c r="EO543"/>
  <c r="FM543" s="1"/>
  <c r="EP543"/>
  <c r="EO544"/>
  <c r="FM544" s="1"/>
  <c r="EP544"/>
  <c r="EO545"/>
  <c r="FM545" s="1"/>
  <c r="EP545"/>
  <c r="EO546"/>
  <c r="EP546"/>
  <c r="EO547"/>
  <c r="FM547" s="1"/>
  <c r="EP547"/>
  <c r="EO548"/>
  <c r="FM548" s="1"/>
  <c r="EP548"/>
  <c r="EO549"/>
  <c r="FM549" s="1"/>
  <c r="EP549"/>
  <c r="EO550"/>
  <c r="EP550"/>
  <c r="EO551"/>
  <c r="FM551" s="1"/>
  <c r="EP551"/>
  <c r="EO552"/>
  <c r="EP552"/>
  <c r="EO553"/>
  <c r="FM553" s="1"/>
  <c r="EP553"/>
  <c r="EO554"/>
  <c r="EP554"/>
  <c r="EO555"/>
  <c r="FM555" s="1"/>
  <c r="EP555"/>
  <c r="EO556"/>
  <c r="EP556"/>
  <c r="EO557"/>
  <c r="FM557" s="1"/>
  <c r="EP557"/>
  <c r="EO558"/>
  <c r="EP558"/>
  <c r="EO559"/>
  <c r="FM559" s="1"/>
  <c r="EP559"/>
  <c r="EO560"/>
  <c r="EP560"/>
  <c r="EO561"/>
  <c r="FM561" s="1"/>
  <c r="EP561"/>
  <c r="EO562"/>
  <c r="EP562"/>
  <c r="EO563"/>
  <c r="FM563" s="1"/>
  <c r="EP563"/>
  <c r="EO564"/>
  <c r="EP564"/>
  <c r="EO565"/>
  <c r="FM565" s="1"/>
  <c r="EP565"/>
  <c r="EO566"/>
  <c r="EP566"/>
  <c r="EO567"/>
  <c r="FM567" s="1"/>
  <c r="EP567"/>
  <c r="EO568"/>
  <c r="EP568"/>
  <c r="EO569"/>
  <c r="EP569"/>
  <c r="EO570"/>
  <c r="EP570"/>
  <c r="EO571"/>
  <c r="EP571"/>
  <c r="EO572"/>
  <c r="EP572"/>
  <c r="EO574"/>
  <c r="EP574"/>
  <c r="EO575"/>
  <c r="EP575"/>
  <c r="EO576"/>
  <c r="EP576"/>
  <c r="EO577"/>
  <c r="EP577"/>
  <c r="EO578"/>
  <c r="EP578"/>
  <c r="EO579"/>
  <c r="EP579"/>
  <c r="EO580"/>
  <c r="EP580"/>
  <c r="EO581"/>
  <c r="EP581"/>
  <c r="EO582"/>
  <c r="EP582"/>
  <c r="EO583"/>
  <c r="FM583" s="1"/>
  <c r="EP583"/>
  <c r="EO584"/>
  <c r="EP584"/>
  <c r="EO585"/>
  <c r="EP585"/>
  <c r="EO586"/>
  <c r="FM586" s="1"/>
  <c r="EP586"/>
  <c r="EO587"/>
  <c r="EP587"/>
  <c r="EO588"/>
  <c r="FM588" s="1"/>
  <c r="EP588"/>
  <c r="EO589"/>
  <c r="EP589"/>
  <c r="EO590"/>
  <c r="FM590" s="1"/>
  <c r="EP590"/>
  <c r="EO591"/>
  <c r="EP591"/>
  <c r="EO592"/>
  <c r="FM592" s="1"/>
  <c r="EP592"/>
  <c r="EO593"/>
  <c r="EP593"/>
  <c r="EO594"/>
  <c r="FM594" s="1"/>
  <c r="EP594"/>
  <c r="EO595"/>
  <c r="EP595"/>
  <c r="EO596"/>
  <c r="FM596" s="1"/>
  <c r="EP596"/>
  <c r="EO597"/>
  <c r="EP597"/>
  <c r="EO598"/>
  <c r="FM598" s="1"/>
  <c r="EP598"/>
  <c r="EO599"/>
  <c r="EP599"/>
  <c r="EO600"/>
  <c r="FM600" s="1"/>
  <c r="EP600"/>
  <c r="EO601"/>
  <c r="EP601"/>
  <c r="EO602"/>
  <c r="FM602" s="1"/>
  <c r="EP602"/>
  <c r="EO603"/>
  <c r="EP603"/>
  <c r="EO604"/>
  <c r="FM604" s="1"/>
  <c r="EP604"/>
  <c r="EO605"/>
  <c r="EP605"/>
  <c r="EO606"/>
  <c r="FM606" s="1"/>
  <c r="EP606"/>
  <c r="EO607"/>
  <c r="EP607"/>
  <c r="EO608"/>
  <c r="FM608" s="1"/>
  <c r="EP608"/>
  <c r="EO609"/>
  <c r="EP609"/>
  <c r="EO610"/>
  <c r="FM610" s="1"/>
  <c r="EP610"/>
  <c r="EO611"/>
  <c r="EP611"/>
  <c r="EO612"/>
  <c r="FM612" s="1"/>
  <c r="EP612"/>
  <c r="EO613"/>
  <c r="EP613"/>
  <c r="EO614"/>
  <c r="FM614" s="1"/>
  <c r="EP614"/>
  <c r="EO615"/>
  <c r="EP615"/>
  <c r="EO616"/>
  <c r="FM616" s="1"/>
  <c r="EP616"/>
  <c r="EO617"/>
  <c r="EP617"/>
  <c r="EO618"/>
  <c r="FM618" s="1"/>
  <c r="EP618"/>
  <c r="EO619"/>
  <c r="EP619"/>
  <c r="EO620"/>
  <c r="FM620" s="1"/>
  <c r="EP620"/>
  <c r="EO621"/>
  <c r="EP621"/>
  <c r="EO622"/>
  <c r="FM622" s="1"/>
  <c r="EP622"/>
  <c r="EO623"/>
  <c r="EP623"/>
  <c r="EO624"/>
  <c r="FM624" s="1"/>
  <c r="EP624"/>
  <c r="EO625"/>
  <c r="EP625"/>
  <c r="EO626"/>
  <c r="FM626" s="1"/>
  <c r="EP626"/>
  <c r="EO627"/>
  <c r="EP627"/>
  <c r="EO628"/>
  <c r="FM628" s="1"/>
  <c r="EP628"/>
  <c r="EO629"/>
  <c r="EP629"/>
  <c r="EO630"/>
  <c r="FM630" s="1"/>
  <c r="EP630"/>
  <c r="EO631"/>
  <c r="EP631"/>
  <c r="EO632"/>
  <c r="FM632" s="1"/>
  <c r="EP632"/>
  <c r="EO633"/>
  <c r="EP633"/>
  <c r="EO634"/>
  <c r="FM634" s="1"/>
  <c r="EP634"/>
  <c r="EO635"/>
  <c r="EP635"/>
  <c r="EO636"/>
  <c r="FM636" s="1"/>
  <c r="EP636"/>
  <c r="EO637"/>
  <c r="EP637"/>
  <c r="EO638"/>
  <c r="FM638" s="1"/>
  <c r="EP638"/>
  <c r="EO639"/>
  <c r="EP639"/>
  <c r="EO640"/>
  <c r="FM640" s="1"/>
  <c r="EP640"/>
  <c r="EO641"/>
  <c r="EP641"/>
  <c r="EO642"/>
  <c r="FM642" s="1"/>
  <c r="EP642"/>
  <c r="EO643"/>
  <c r="EP643"/>
  <c r="EO644"/>
  <c r="FM644" s="1"/>
  <c r="EP644"/>
  <c r="EO645"/>
  <c r="EP645"/>
  <c r="EO646"/>
  <c r="FM646" s="1"/>
  <c r="EP646"/>
  <c r="EO647"/>
  <c r="EP647"/>
  <c r="EO648"/>
  <c r="FM648" s="1"/>
  <c r="EP648"/>
  <c r="EO649"/>
  <c r="EP649"/>
  <c r="EO650"/>
  <c r="FM650" s="1"/>
  <c r="EP650"/>
  <c r="EO651"/>
  <c r="EP651"/>
  <c r="EO652"/>
  <c r="FM652" s="1"/>
  <c r="EP652"/>
  <c r="EO653"/>
  <c r="EP653"/>
  <c r="EO654"/>
  <c r="FM654" s="1"/>
  <c r="EP654"/>
  <c r="EO655"/>
  <c r="EP655"/>
  <c r="EO656"/>
  <c r="FM656" s="1"/>
  <c r="EP656"/>
  <c r="EO657"/>
  <c r="EP657"/>
  <c r="EO658"/>
  <c r="FM658" s="1"/>
  <c r="EP658"/>
  <c r="EO659"/>
  <c r="EP659"/>
  <c r="EO660"/>
  <c r="FM660" s="1"/>
  <c r="EP660"/>
  <c r="EO661"/>
  <c r="EP661"/>
  <c r="EO662"/>
  <c r="FM662" s="1"/>
  <c r="EP662"/>
  <c r="EO663"/>
  <c r="EP663"/>
  <c r="EO664"/>
  <c r="FM664" s="1"/>
  <c r="EP664"/>
  <c r="EO665"/>
  <c r="EP665"/>
  <c r="EO666"/>
  <c r="FM666" s="1"/>
  <c r="EP666"/>
  <c r="EO667"/>
  <c r="EP667"/>
  <c r="EO668"/>
  <c r="FM668" s="1"/>
  <c r="EP668"/>
  <c r="EO669"/>
  <c r="EP669"/>
  <c r="EO670"/>
  <c r="FM670" s="1"/>
  <c r="EP670"/>
  <c r="EO671"/>
  <c r="EP671"/>
  <c r="EO672"/>
  <c r="FM672" s="1"/>
  <c r="EP672"/>
  <c r="EO673"/>
  <c r="EP673"/>
  <c r="EO674"/>
  <c r="FM674" s="1"/>
  <c r="EP674"/>
  <c r="EO675"/>
  <c r="EP675"/>
  <c r="EO676"/>
  <c r="FM676" s="1"/>
  <c r="EP676"/>
  <c r="EO677"/>
  <c r="EP677"/>
  <c r="EO678"/>
  <c r="FM678" s="1"/>
  <c r="EP678"/>
  <c r="FM11"/>
  <c r="FM13"/>
  <c r="FM15"/>
  <c r="FM17"/>
  <c r="FM19"/>
  <c r="FM21"/>
  <c r="FM23"/>
  <c r="FM25"/>
  <c r="FM27"/>
  <c r="FM29"/>
  <c r="FM31"/>
  <c r="FM33"/>
  <c r="FM35"/>
  <c r="FM37"/>
  <c r="FM39"/>
  <c r="FM41"/>
  <c r="FM43"/>
  <c r="FM45"/>
  <c r="FM47"/>
  <c r="FM49"/>
  <c r="FM51"/>
  <c r="FM53"/>
  <c r="FM55"/>
  <c r="FM57"/>
  <c r="FM59"/>
  <c r="FM61"/>
  <c r="FM63"/>
  <c r="FM65"/>
  <c r="FM67"/>
  <c r="FM69"/>
  <c r="FM71"/>
  <c r="FM73"/>
  <c r="FM75"/>
  <c r="FM77"/>
  <c r="FM79"/>
  <c r="FM81"/>
  <c r="FM83"/>
  <c r="FM85"/>
  <c r="FM87"/>
  <c r="FM89"/>
  <c r="FM91"/>
  <c r="FM93"/>
  <c r="FM95"/>
  <c r="FM99"/>
  <c r="FM103"/>
  <c r="FM107"/>
  <c r="FM111"/>
  <c r="FM115"/>
  <c r="FM119"/>
  <c r="FM123"/>
  <c r="FM127"/>
  <c r="FM131"/>
  <c r="FM135"/>
  <c r="FM139"/>
  <c r="FM143"/>
  <c r="FM147"/>
  <c r="FM151"/>
  <c r="FM155"/>
  <c r="FM159"/>
  <c r="FM161"/>
  <c r="FM162"/>
  <c r="FM163"/>
  <c r="FM164"/>
  <c r="FM165"/>
  <c r="FM166"/>
  <c r="FM167"/>
  <c r="AR167" s="1"/>
  <c r="FM168"/>
  <c r="FM169"/>
  <c r="FM170"/>
  <c r="FM171"/>
  <c r="FM172"/>
  <c r="FM173"/>
  <c r="FM174"/>
  <c r="FM175"/>
  <c r="FM176"/>
  <c r="FM177"/>
  <c r="FM178"/>
  <c r="FM179"/>
  <c r="FM180"/>
  <c r="FM181"/>
  <c r="FM182"/>
  <c r="FM183"/>
  <c r="FM184"/>
  <c r="FM185"/>
  <c r="FM186"/>
  <c r="FM187"/>
  <c r="FM188"/>
  <c r="FM189"/>
  <c r="FM190"/>
  <c r="FM193"/>
  <c r="FM194"/>
  <c r="FN204"/>
  <c r="FN208"/>
  <c r="FN212"/>
  <c r="FN214"/>
  <c r="FN216"/>
  <c r="FN219"/>
  <c r="FN220"/>
  <c r="FN221"/>
  <c r="FN222"/>
  <c r="FN223"/>
  <c r="FN224"/>
  <c r="FN225"/>
  <c r="FN226"/>
  <c r="FN227"/>
  <c r="FN228"/>
  <c r="FN229"/>
  <c r="FN230"/>
  <c r="FN231"/>
  <c r="FN232"/>
  <c r="FN233"/>
  <c r="FN234"/>
  <c r="FN235"/>
  <c r="FN236"/>
  <c r="FN237"/>
  <c r="FN238"/>
  <c r="FN239"/>
  <c r="FN240"/>
  <c r="FN241"/>
  <c r="FN242"/>
  <c r="FN243"/>
  <c r="FN244"/>
  <c r="FN245"/>
  <c r="FN246"/>
  <c r="FN247"/>
  <c r="FN248"/>
  <c r="FN249"/>
  <c r="FN250"/>
  <c r="FN251"/>
  <c r="FN252"/>
  <c r="FN253"/>
  <c r="FN254"/>
  <c r="FN255"/>
  <c r="FN256"/>
  <c r="FN257"/>
  <c r="FN258"/>
  <c r="FN259"/>
  <c r="FN260"/>
  <c r="FN261"/>
  <c r="FN262"/>
  <c r="FN263"/>
  <c r="FN264"/>
  <c r="FN265"/>
  <c r="FN266"/>
  <c r="FN268"/>
  <c r="FN270"/>
  <c r="FN272"/>
  <c r="FN274"/>
  <c r="FN276"/>
  <c r="FN278"/>
  <c r="FN281"/>
  <c r="FN283"/>
  <c r="FN285"/>
  <c r="FN287"/>
  <c r="FN289"/>
  <c r="FN291"/>
  <c r="FN293"/>
  <c r="FN295"/>
  <c r="FN297"/>
  <c r="FN299"/>
  <c r="FN301"/>
  <c r="FN303"/>
  <c r="FN305"/>
  <c r="FN307"/>
  <c r="FN309"/>
  <c r="FN311"/>
  <c r="FN313"/>
  <c r="FN315"/>
  <c r="FN316"/>
  <c r="FN319"/>
  <c r="FN321"/>
  <c r="FN323"/>
  <c r="FN325"/>
  <c r="FN327"/>
  <c r="FN329"/>
  <c r="FN333"/>
  <c r="FN337"/>
  <c r="FN341"/>
  <c r="FN345"/>
  <c r="FN349"/>
  <c r="FN353"/>
  <c r="FN357"/>
  <c r="FN361"/>
  <c r="FN365"/>
  <c r="FN369"/>
  <c r="FN373"/>
  <c r="FN377"/>
  <c r="FN381"/>
  <c r="FN385"/>
  <c r="FN389"/>
  <c r="FN393"/>
  <c r="FN397"/>
  <c r="FN401"/>
  <c r="FN405"/>
  <c r="FN410"/>
  <c r="FN411"/>
  <c r="FN412"/>
  <c r="FN413"/>
  <c r="FN414"/>
  <c r="FN415"/>
  <c r="FN416"/>
  <c r="FN417"/>
  <c r="FN418"/>
  <c r="FN419"/>
  <c r="FN420"/>
  <c r="FN421"/>
  <c r="FN422"/>
  <c r="FN423"/>
  <c r="FN424"/>
  <c r="FN425"/>
  <c r="FN426"/>
  <c r="FN427"/>
  <c r="FN428"/>
  <c r="FN429"/>
  <c r="FN430"/>
  <c r="FN431"/>
  <c r="FN432"/>
  <c r="FN433"/>
  <c r="FN434"/>
  <c r="FN435"/>
  <c r="FN436"/>
  <c r="FN437"/>
  <c r="FN438"/>
  <c r="FN439"/>
  <c r="FN440"/>
  <c r="FN441"/>
  <c r="FN179"/>
  <c r="FN183"/>
  <c r="FN187"/>
  <c r="FM191"/>
  <c r="FM192"/>
  <c r="FM195"/>
  <c r="FM196"/>
  <c r="FM197"/>
  <c r="FM198"/>
  <c r="FM199"/>
  <c r="FM200"/>
  <c r="FM201"/>
  <c r="FM202"/>
  <c r="FM203"/>
  <c r="FM204"/>
  <c r="FM205"/>
  <c r="FM206"/>
  <c r="FM207"/>
  <c r="FM208"/>
  <c r="FM209"/>
  <c r="FM210"/>
  <c r="FM211"/>
  <c r="FM212"/>
  <c r="FM213"/>
  <c r="FM218"/>
  <c r="FM220"/>
  <c r="FM224"/>
  <c r="FM228"/>
  <c r="FM232"/>
  <c r="FM236"/>
  <c r="FM240"/>
  <c r="FM244"/>
  <c r="FM248"/>
  <c r="FM252"/>
  <c r="FM256"/>
  <c r="FM260"/>
  <c r="FM264"/>
  <c r="FM331"/>
  <c r="FM332"/>
  <c r="FM333"/>
  <c r="FM334"/>
  <c r="FM335"/>
  <c r="FM336"/>
  <c r="FM337"/>
  <c r="FM338"/>
  <c r="FM339"/>
  <c r="FM340"/>
  <c r="FM341"/>
  <c r="FM342"/>
  <c r="FM343"/>
  <c r="FM344"/>
  <c r="FM345"/>
  <c r="FM346"/>
  <c r="FM347"/>
  <c r="FM348"/>
  <c r="FM349"/>
  <c r="FM350"/>
  <c r="FM351"/>
  <c r="FM352"/>
  <c r="FM353"/>
  <c r="FM354"/>
  <c r="FM355"/>
  <c r="FM356"/>
  <c r="FM357"/>
  <c r="FM358"/>
  <c r="FM359"/>
  <c r="FM360"/>
  <c r="FM361"/>
  <c r="FM362"/>
  <c r="FM363"/>
  <c r="FM364"/>
  <c r="FM365"/>
  <c r="FM366"/>
  <c r="FM367"/>
  <c r="FM368"/>
  <c r="FM369"/>
  <c r="FM370"/>
  <c r="FM371"/>
  <c r="FM372"/>
  <c r="FM373"/>
  <c r="FM374"/>
  <c r="FM375"/>
  <c r="FM376"/>
  <c r="FM377"/>
  <c r="FM378"/>
  <c r="FM379"/>
  <c r="FM380"/>
  <c r="FM381"/>
  <c r="FM382"/>
  <c r="FM383"/>
  <c r="FM384"/>
  <c r="FM385"/>
  <c r="FM386"/>
  <c r="FM387"/>
  <c r="FM388"/>
  <c r="FM389"/>
  <c r="FM390"/>
  <c r="FM391"/>
  <c r="FM392"/>
  <c r="FM393"/>
  <c r="FM394"/>
  <c r="FM395"/>
  <c r="FM396"/>
  <c r="FM397"/>
  <c r="FM398"/>
  <c r="FM399"/>
  <c r="FM400"/>
  <c r="FM401"/>
  <c r="FM402"/>
  <c r="FM403"/>
  <c r="FM404"/>
  <c r="FM405"/>
  <c r="FM406"/>
  <c r="FM407"/>
  <c r="FM408"/>
  <c r="FM410"/>
  <c r="FM414"/>
  <c r="FM418"/>
  <c r="FM422"/>
  <c r="FM426"/>
  <c r="FN442"/>
  <c r="FN443"/>
  <c r="FN444"/>
  <c r="FM446"/>
  <c r="FM447"/>
  <c r="FN448"/>
  <c r="FN449"/>
  <c r="FN450"/>
  <c r="FN451"/>
  <c r="FN453"/>
  <c r="FN455"/>
  <c r="FN456"/>
  <c r="FN457"/>
  <c r="FN458"/>
  <c r="FN459"/>
  <c r="FN461"/>
  <c r="FN463"/>
  <c r="FN464"/>
  <c r="FN465"/>
  <c r="FN466"/>
  <c r="FN467"/>
  <c r="FN469"/>
  <c r="FN471"/>
  <c r="FN475"/>
  <c r="FN479"/>
  <c r="FN483"/>
  <c r="FN487"/>
  <c r="FN491"/>
  <c r="FN495"/>
  <c r="FN499"/>
  <c r="FN503"/>
  <c r="FN507"/>
  <c r="FN511"/>
  <c r="FN515"/>
  <c r="FN519"/>
  <c r="FN523"/>
  <c r="FN527"/>
  <c r="FN531"/>
  <c r="FN532"/>
  <c r="FN533"/>
  <c r="FN534"/>
  <c r="FN535"/>
  <c r="FN536"/>
  <c r="FN537"/>
  <c r="FN538"/>
  <c r="FN539"/>
  <c r="FN540"/>
  <c r="FN541"/>
  <c r="FN542"/>
  <c r="FN543"/>
  <c r="FN544"/>
  <c r="FN545"/>
  <c r="FN546"/>
  <c r="FN547"/>
  <c r="FN548"/>
  <c r="FN549"/>
  <c r="FN550"/>
  <c r="FN551"/>
  <c r="FN552"/>
  <c r="FN553"/>
  <c r="FN554"/>
  <c r="FN555"/>
  <c r="FN556"/>
  <c r="FN557"/>
  <c r="FN558"/>
  <c r="FN559"/>
  <c r="FN560"/>
  <c r="FN561"/>
  <c r="FN562"/>
  <c r="FN563"/>
  <c r="FN564"/>
  <c r="FN565"/>
  <c r="FN566"/>
  <c r="FN567"/>
  <c r="FN574"/>
  <c r="FN583"/>
  <c r="FN585"/>
  <c r="FN586"/>
  <c r="FN587"/>
  <c r="FN588"/>
  <c r="FN589"/>
  <c r="FN590"/>
  <c r="FN591"/>
  <c r="FN592"/>
  <c r="FN593"/>
  <c r="FN594"/>
  <c r="FN595"/>
  <c r="FN596"/>
  <c r="FN597"/>
  <c r="FN598"/>
  <c r="FN599"/>
  <c r="FN600"/>
  <c r="FN601"/>
  <c r="FN602"/>
  <c r="FN603"/>
  <c r="FN604"/>
  <c r="FN605"/>
  <c r="FN606"/>
  <c r="FN607"/>
  <c r="FN608"/>
  <c r="FN609"/>
  <c r="FN610"/>
  <c r="FN611"/>
  <c r="FN612"/>
  <c r="FN613"/>
  <c r="FN614"/>
  <c r="FN615"/>
  <c r="FN616"/>
  <c r="FN617"/>
  <c r="FN618"/>
  <c r="FN619"/>
  <c r="FN620"/>
  <c r="FN621"/>
  <c r="FN622"/>
  <c r="FN623"/>
  <c r="FN624"/>
  <c r="FN625"/>
  <c r="FN626"/>
  <c r="FN627"/>
  <c r="FN628"/>
  <c r="FN629"/>
  <c r="FN630"/>
  <c r="FN631"/>
  <c r="FN632"/>
  <c r="FN633"/>
  <c r="FN634"/>
  <c r="FN635"/>
  <c r="FN636"/>
  <c r="FN637"/>
  <c r="FN638"/>
  <c r="FN639"/>
  <c r="FN640"/>
  <c r="FN641"/>
  <c r="FN642"/>
  <c r="FN643"/>
  <c r="FN644"/>
  <c r="FN645"/>
  <c r="FN646"/>
  <c r="FN647"/>
  <c r="FN648"/>
  <c r="FN649"/>
  <c r="FN650"/>
  <c r="FN651"/>
  <c r="FN652"/>
  <c r="FN653"/>
  <c r="FN654"/>
  <c r="FN655"/>
  <c r="FN656"/>
  <c r="FN657"/>
  <c r="FN658"/>
  <c r="FN659"/>
  <c r="FN660"/>
  <c r="FN661"/>
  <c r="FN662"/>
  <c r="FN663"/>
  <c r="FN664"/>
  <c r="FN665"/>
  <c r="FN666"/>
  <c r="FN667"/>
  <c r="FN668"/>
  <c r="FN669"/>
  <c r="FN670"/>
  <c r="FN671"/>
  <c r="FN672"/>
  <c r="FN673"/>
  <c r="FN674"/>
  <c r="FN675"/>
  <c r="FN676"/>
  <c r="FN677"/>
  <c r="FN678"/>
  <c r="FM433"/>
  <c r="FM437"/>
  <c r="FM441"/>
  <c r="FM445"/>
  <c r="FM448"/>
  <c r="FM449"/>
  <c r="FM450"/>
  <c r="FM451"/>
  <c r="FM452"/>
  <c r="FM453"/>
  <c r="FM454"/>
  <c r="FM455"/>
  <c r="FM456"/>
  <c r="FM457"/>
  <c r="FM458"/>
  <c r="FM459"/>
  <c r="FM460"/>
  <c r="FM461"/>
  <c r="FM462"/>
  <c r="FM463"/>
  <c r="FM464"/>
  <c r="FM465"/>
  <c r="FM466"/>
  <c r="FM467"/>
  <c r="FM468"/>
  <c r="FM469"/>
  <c r="FM470"/>
  <c r="FM471"/>
  <c r="FM472"/>
  <c r="FM473"/>
  <c r="FM474"/>
  <c r="FM475"/>
  <c r="FM476"/>
  <c r="FM477"/>
  <c r="FM478"/>
  <c r="FM479"/>
  <c r="FM480"/>
  <c r="FM481"/>
  <c r="AR481" s="1"/>
  <c r="FM482"/>
  <c r="FM483"/>
  <c r="FM484"/>
  <c r="FM485"/>
  <c r="FM486"/>
  <c r="FM487"/>
  <c r="FM488"/>
  <c r="FM489"/>
  <c r="FM490"/>
  <c r="FM491"/>
  <c r="FM492"/>
  <c r="FM493"/>
  <c r="FM494"/>
  <c r="FM495"/>
  <c r="FM496"/>
  <c r="FM497"/>
  <c r="FM498"/>
  <c r="FM499"/>
  <c r="FM500"/>
  <c r="FM501"/>
  <c r="FM502"/>
  <c r="FM503"/>
  <c r="FM504"/>
  <c r="FM505"/>
  <c r="FM506"/>
  <c r="FM507"/>
  <c r="FM508"/>
  <c r="FM509"/>
  <c r="FM510"/>
  <c r="FM511"/>
  <c r="FM512"/>
  <c r="FM513"/>
  <c r="FM514"/>
  <c r="FM515"/>
  <c r="FM516"/>
  <c r="FM517"/>
  <c r="FM518"/>
  <c r="FM519"/>
  <c r="FM520"/>
  <c r="FM521"/>
  <c r="FM522"/>
  <c r="FM523"/>
  <c r="FM524"/>
  <c r="FM525"/>
  <c r="FM526"/>
  <c r="FM527"/>
  <c r="FM528"/>
  <c r="FM529"/>
  <c r="FM530"/>
  <c r="FM531"/>
  <c r="FM534"/>
  <c r="FM538"/>
  <c r="FM542"/>
  <c r="FM546"/>
  <c r="FM550"/>
  <c r="FM552"/>
  <c r="FM554"/>
  <c r="FM556"/>
  <c r="FM558"/>
  <c r="FM560"/>
  <c r="FM562"/>
  <c r="FM564"/>
  <c r="FM566"/>
  <c r="FM574"/>
  <c r="FN584"/>
  <c r="FM587"/>
  <c r="FM589"/>
  <c r="FM591"/>
  <c r="FM593"/>
  <c r="FM595"/>
  <c r="FM597"/>
  <c r="FM599"/>
  <c r="FM601"/>
  <c r="FM603"/>
  <c r="FM605"/>
  <c r="FM607"/>
  <c r="FM609"/>
  <c r="FM611"/>
  <c r="FM613"/>
  <c r="FM615"/>
  <c r="FM617"/>
  <c r="FM619"/>
  <c r="FM621"/>
  <c r="FM623"/>
  <c r="FM625"/>
  <c r="FM627"/>
  <c r="FM629"/>
  <c r="FM631"/>
  <c r="FM633"/>
  <c r="FM635"/>
  <c r="FM637"/>
  <c r="FM639"/>
  <c r="FM641"/>
  <c r="FM643"/>
  <c r="FM645"/>
  <c r="FM647"/>
  <c r="FM649"/>
  <c r="FM651"/>
  <c r="FM653"/>
  <c r="FM655"/>
  <c r="FM657"/>
  <c r="FM659"/>
  <c r="FM661"/>
  <c r="FM663"/>
  <c r="FM665"/>
  <c r="FM667"/>
  <c r="FM669"/>
  <c r="FM671"/>
  <c r="FM673"/>
  <c r="FM675"/>
  <c r="FM677"/>
  <c r="EO267"/>
  <c r="EO268"/>
  <c r="EO269"/>
  <c r="EO270"/>
  <c r="EO271"/>
  <c r="EO272"/>
  <c r="EO273"/>
  <c r="EO274"/>
  <c r="EO275"/>
  <c r="EO276"/>
  <c r="EO277"/>
  <c r="EO278"/>
  <c r="EO280"/>
  <c r="EO282"/>
  <c r="EO283"/>
  <c r="EO284"/>
  <c r="EO285"/>
  <c r="EO286"/>
  <c r="EO287"/>
  <c r="EO288"/>
  <c r="EO289"/>
  <c r="EO290"/>
  <c r="EO291"/>
  <c r="EO292"/>
  <c r="EO293"/>
  <c r="EO294"/>
  <c r="EO295"/>
  <c r="EO296"/>
  <c r="EO297"/>
  <c r="EO298"/>
  <c r="EO299"/>
  <c r="EO300"/>
  <c r="EO301"/>
  <c r="EO302"/>
  <c r="EO303"/>
  <c r="EO304"/>
  <c r="EO305"/>
  <c r="EO306"/>
  <c r="EO307"/>
  <c r="EO308"/>
  <c r="EO309"/>
  <c r="EO310"/>
  <c r="EO311"/>
  <c r="EO312"/>
  <c r="EO313"/>
  <c r="EO314"/>
  <c r="EO315"/>
  <c r="EO317"/>
  <c r="EO316"/>
  <c r="EO318"/>
  <c r="EO319"/>
  <c r="EO320"/>
  <c r="EO321"/>
  <c r="EO322"/>
  <c r="EO323"/>
  <c r="EO324"/>
  <c r="EO325"/>
  <c r="EO326"/>
  <c r="EO327"/>
  <c r="EO328"/>
  <c r="EO329"/>
  <c r="EO330"/>
  <c r="FM267"/>
  <c r="FM268"/>
  <c r="FM269"/>
  <c r="FM270"/>
  <c r="FM271"/>
  <c r="FM272"/>
  <c r="FM273"/>
  <c r="FM274"/>
  <c r="FM275"/>
  <c r="FM276"/>
  <c r="FM277"/>
  <c r="FM278"/>
  <c r="FM280"/>
  <c r="FM282"/>
  <c r="FM283"/>
  <c r="FM284"/>
  <c r="FM285"/>
  <c r="FM286"/>
  <c r="FM287"/>
  <c r="FM288"/>
  <c r="FM289"/>
  <c r="FM290"/>
  <c r="FM291"/>
  <c r="FM292"/>
  <c r="FM293"/>
  <c r="FM294"/>
  <c r="FM295"/>
  <c r="FM296"/>
  <c r="FM297"/>
  <c r="FM298"/>
  <c r="FM299"/>
  <c r="FM300"/>
  <c r="FM301"/>
  <c r="FM302"/>
  <c r="FM303"/>
  <c r="FM304"/>
  <c r="FM305"/>
  <c r="FM306"/>
  <c r="FM307"/>
  <c r="FM308"/>
  <c r="FM309"/>
  <c r="FM310"/>
  <c r="FM311"/>
  <c r="FM312"/>
  <c r="FM313"/>
  <c r="FM314"/>
  <c r="FM315"/>
  <c r="FM317"/>
  <c r="FM316"/>
  <c r="FM318"/>
  <c r="FM319"/>
  <c r="FM320"/>
  <c r="FM321"/>
  <c r="FM322"/>
  <c r="FM323"/>
  <c r="FM324"/>
  <c r="FM325"/>
  <c r="FM326"/>
  <c r="FM327"/>
  <c r="FM328"/>
  <c r="FM329"/>
  <c r="FM330"/>
  <c r="EO281"/>
  <c r="FM281" s="1"/>
  <c r="EO279"/>
  <c r="EP279"/>
  <c r="FN279" s="1"/>
  <c r="FM279"/>
  <c r="EP160"/>
  <c r="FN160" s="1"/>
  <c r="EN11"/>
  <c r="EN12"/>
  <c r="EN13"/>
  <c r="EN14"/>
  <c r="EN15"/>
  <c r="EN16"/>
  <c r="EN17"/>
  <c r="EN18"/>
  <c r="EN19"/>
  <c r="EN20"/>
  <c r="EN21"/>
  <c r="EN22"/>
  <c r="EN23"/>
  <c r="EN24"/>
  <c r="EN25"/>
  <c r="EN26"/>
  <c r="EN27"/>
  <c r="EN28"/>
  <c r="EN29"/>
  <c r="EN30"/>
  <c r="EN31"/>
  <c r="EN32"/>
  <c r="EN33"/>
  <c r="EN34"/>
  <c r="EN35"/>
  <c r="EN36"/>
  <c r="EN37"/>
  <c r="EN38"/>
  <c r="EN39"/>
  <c r="EN40"/>
  <c r="EN41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N66"/>
  <c r="EN67"/>
  <c r="EN68"/>
  <c r="EN69"/>
  <c r="EN70"/>
  <c r="EN71"/>
  <c r="EN72"/>
  <c r="EN73"/>
  <c r="EN74"/>
  <c r="EN75"/>
  <c r="EN76"/>
  <c r="EN77"/>
  <c r="EN78"/>
  <c r="EN79"/>
  <c r="EN80"/>
  <c r="EN81"/>
  <c r="EN82"/>
  <c r="EN83"/>
  <c r="EN84"/>
  <c r="EN85"/>
  <c r="EN86"/>
  <c r="EN87"/>
  <c r="EN88"/>
  <c r="EN89"/>
  <c r="EN90"/>
  <c r="EN91"/>
  <c r="EN92"/>
  <c r="EN93"/>
  <c r="EN94"/>
  <c r="EN95"/>
  <c r="EN96"/>
  <c r="EN97"/>
  <c r="EN98"/>
  <c r="EN99"/>
  <c r="EN100"/>
  <c r="EN101"/>
  <c r="EN102"/>
  <c r="EN103"/>
  <c r="EN104"/>
  <c r="EN105"/>
  <c r="EN106"/>
  <c r="EN107"/>
  <c r="EN108"/>
  <c r="EN109"/>
  <c r="EN110"/>
  <c r="EN111"/>
  <c r="EN112"/>
  <c r="EN113"/>
  <c r="EN114"/>
  <c r="EN115"/>
  <c r="EN116"/>
  <c r="EN117"/>
  <c r="EN118"/>
  <c r="EN119"/>
  <c r="EN120"/>
  <c r="EN121"/>
  <c r="EN122"/>
  <c r="EN123"/>
  <c r="EN124"/>
  <c r="EN125"/>
  <c r="EN126"/>
  <c r="EN127"/>
  <c r="EN128"/>
  <c r="EN129"/>
  <c r="EN130"/>
  <c r="EN131"/>
  <c r="EN132"/>
  <c r="EN133"/>
  <c r="EN134"/>
  <c r="EN135"/>
  <c r="EN136"/>
  <c r="EN137"/>
  <c r="EN138"/>
  <c r="EN139"/>
  <c r="EN140"/>
  <c r="EN141"/>
  <c r="EN142"/>
  <c r="EN143"/>
  <c r="EN144"/>
  <c r="EN145"/>
  <c r="EN146"/>
  <c r="EN147"/>
  <c r="EN148"/>
  <c r="EN149"/>
  <c r="EN150"/>
  <c r="EN151"/>
  <c r="EN152"/>
  <c r="EN153"/>
  <c r="EN154"/>
  <c r="EN155"/>
  <c r="EN156"/>
  <c r="EN157"/>
  <c r="EN158"/>
  <c r="EN159"/>
  <c r="EN160"/>
  <c r="EN161"/>
  <c r="EN162"/>
  <c r="EN163"/>
  <c r="EN164"/>
  <c r="EN165"/>
  <c r="EN166"/>
  <c r="EN167"/>
  <c r="EN168"/>
  <c r="EN169"/>
  <c r="EN170"/>
  <c r="EN171"/>
  <c r="EN172"/>
  <c r="EN173"/>
  <c r="EN174"/>
  <c r="EN175"/>
  <c r="EN176"/>
  <c r="EN177"/>
  <c r="EN178"/>
  <c r="EN179"/>
  <c r="EN180"/>
  <c r="EN181"/>
  <c r="EN182"/>
  <c r="EN183"/>
  <c r="EN184"/>
  <c r="EN185"/>
  <c r="EN186"/>
  <c r="EN187"/>
  <c r="EN188"/>
  <c r="EN189"/>
  <c r="EN190"/>
  <c r="EN191"/>
  <c r="EN192"/>
  <c r="EN193"/>
  <c r="EN194"/>
  <c r="EN195"/>
  <c r="EP196"/>
  <c r="FN196" s="1"/>
  <c r="EP197"/>
  <c r="FN197" s="1"/>
  <c r="EP198"/>
  <c r="FN198" s="1"/>
  <c r="EP199"/>
  <c r="FN199" s="1"/>
  <c r="EP200"/>
  <c r="FN200" s="1"/>
  <c r="EP201"/>
  <c r="FN201" s="1"/>
  <c r="EP202"/>
  <c r="FN202" s="1"/>
  <c r="EP203"/>
  <c r="FN203" s="1"/>
  <c r="EN203"/>
  <c r="EK11"/>
  <c r="EK12"/>
  <c r="EK13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K85"/>
  <c r="EK86"/>
  <c r="EK87"/>
  <c r="EK88"/>
  <c r="EK89"/>
  <c r="EK90"/>
  <c r="EK91"/>
  <c r="EK92"/>
  <c r="EK93"/>
  <c r="EK94"/>
  <c r="EK95"/>
  <c r="EK96"/>
  <c r="EK97"/>
  <c r="EK98"/>
  <c r="EK99"/>
  <c r="EK100"/>
  <c r="EK101"/>
  <c r="EK102"/>
  <c r="EK103"/>
  <c r="EK104"/>
  <c r="EK105"/>
  <c r="EK106"/>
  <c r="EK107"/>
  <c r="EK108"/>
  <c r="EK109"/>
  <c r="EK110"/>
  <c r="EK111"/>
  <c r="EK112"/>
  <c r="EK113"/>
  <c r="EK114"/>
  <c r="EK115"/>
  <c r="EK116"/>
  <c r="EK117"/>
  <c r="EK118"/>
  <c r="EK119"/>
  <c r="EK120"/>
  <c r="EK121"/>
  <c r="EK122"/>
  <c r="EK123"/>
  <c r="EK124"/>
  <c r="EK125"/>
  <c r="EK126"/>
  <c r="EK127"/>
  <c r="EK128"/>
  <c r="EK129"/>
  <c r="EK130"/>
  <c r="EK131"/>
  <c r="EK132"/>
  <c r="EK133"/>
  <c r="EK134"/>
  <c r="EK135"/>
  <c r="EK136"/>
  <c r="EK137"/>
  <c r="EK138"/>
  <c r="EK139"/>
  <c r="EK140"/>
  <c r="EK141"/>
  <c r="EK142"/>
  <c r="EK143"/>
  <c r="EK144"/>
  <c r="EK145"/>
  <c r="EK146"/>
  <c r="EK147"/>
  <c r="EK148"/>
  <c r="EK149"/>
  <c r="EK150"/>
  <c r="EK151"/>
  <c r="EK152"/>
  <c r="EK153"/>
  <c r="EK154"/>
  <c r="EK155"/>
  <c r="EK156"/>
  <c r="EK157"/>
  <c r="EK158"/>
  <c r="EK159"/>
  <c r="EK160"/>
  <c r="EK161"/>
  <c r="EK162"/>
  <c r="EK163"/>
  <c r="EK164"/>
  <c r="EK165"/>
  <c r="EK166"/>
  <c r="EK167"/>
  <c r="EK168"/>
  <c r="EK169"/>
  <c r="EK170"/>
  <c r="EK171"/>
  <c r="EK172"/>
  <c r="EK173"/>
  <c r="EK174"/>
  <c r="EK175"/>
  <c r="EK176"/>
  <c r="EK177"/>
  <c r="EK178"/>
  <c r="EK179"/>
  <c r="EK180"/>
  <c r="EK181"/>
  <c r="EK182"/>
  <c r="EK183"/>
  <c r="EK184"/>
  <c r="EK185"/>
  <c r="EK186"/>
  <c r="EK187"/>
  <c r="EK188"/>
  <c r="EK189"/>
  <c r="EK190"/>
  <c r="EK191"/>
  <c r="EK192"/>
  <c r="EK193"/>
  <c r="EK194"/>
  <c r="EK195"/>
  <c r="EN204"/>
  <c r="EN205"/>
  <c r="EN206"/>
  <c r="EN207"/>
  <c r="EN208"/>
  <c r="EN209"/>
  <c r="EN210"/>
  <c r="EN211"/>
  <c r="EN212"/>
  <c r="EN213"/>
  <c r="EN214"/>
  <c r="EN215"/>
  <c r="EN216"/>
  <c r="EN217"/>
  <c r="EN218"/>
  <c r="EN219"/>
  <c r="EN220"/>
  <c r="EN221"/>
  <c r="EN222"/>
  <c r="EN223"/>
  <c r="EN224"/>
  <c r="EN225"/>
  <c r="EN226"/>
  <c r="EN227"/>
  <c r="EN228"/>
  <c r="EN229"/>
  <c r="EN230"/>
  <c r="EN231"/>
  <c r="EN232"/>
  <c r="EN233"/>
  <c r="EN234"/>
  <c r="EN235"/>
  <c r="EN236"/>
  <c r="EN237"/>
  <c r="EN238"/>
  <c r="EN239"/>
  <c r="EN240"/>
  <c r="EN241"/>
  <c r="EN242"/>
  <c r="EN243"/>
  <c r="EN244"/>
  <c r="EN245"/>
  <c r="EN246"/>
  <c r="EN247"/>
  <c r="EN248"/>
  <c r="EN249"/>
  <c r="EN250"/>
  <c r="EN251"/>
  <c r="EN252"/>
  <c r="EN253"/>
  <c r="EN254"/>
  <c r="EN255"/>
  <c r="EN256"/>
  <c r="EN257"/>
  <c r="EN258"/>
  <c r="EN259"/>
  <c r="EN260"/>
  <c r="EN261"/>
  <c r="EN262"/>
  <c r="EN263"/>
  <c r="EN264"/>
  <c r="EN265"/>
  <c r="EN266"/>
  <c r="EN267"/>
  <c r="EN268"/>
  <c r="EN269"/>
  <c r="EN270"/>
  <c r="EN271"/>
  <c r="EN272"/>
  <c r="EN273"/>
  <c r="EN274"/>
  <c r="EN275"/>
  <c r="EN276"/>
  <c r="EN277"/>
  <c r="EN278"/>
  <c r="EN279"/>
  <c r="EN280"/>
  <c r="EN281"/>
  <c r="EN282"/>
  <c r="EN283"/>
  <c r="EN284"/>
  <c r="EN285"/>
  <c r="EN286"/>
  <c r="EN287"/>
  <c r="EN288"/>
  <c r="EN289"/>
  <c r="EN290"/>
  <c r="EN291"/>
  <c r="EN292"/>
  <c r="EN293"/>
  <c r="EN294"/>
  <c r="EN295"/>
  <c r="EN296"/>
  <c r="EN297"/>
  <c r="EN298"/>
  <c r="EN299"/>
  <c r="EN300"/>
  <c r="EN301"/>
  <c r="EN302"/>
  <c r="EN303"/>
  <c r="EN304"/>
  <c r="EN305"/>
  <c r="EN306"/>
  <c r="EN307"/>
  <c r="EN308"/>
  <c r="EN309"/>
  <c r="EN310"/>
  <c r="EN311"/>
  <c r="EN312"/>
  <c r="EN313"/>
  <c r="EN314"/>
  <c r="EN315"/>
  <c r="EN317"/>
  <c r="EN316"/>
  <c r="EN318"/>
  <c r="EN319"/>
  <c r="EN320"/>
  <c r="EN321"/>
  <c r="EN322"/>
  <c r="EN323"/>
  <c r="EN324"/>
  <c r="EN325"/>
  <c r="EN326"/>
  <c r="EN327"/>
  <c r="EN328"/>
  <c r="EN329"/>
  <c r="EN330"/>
  <c r="EN331"/>
  <c r="EN332"/>
  <c r="EN333"/>
  <c r="EN334"/>
  <c r="EN335"/>
  <c r="EN336"/>
  <c r="EN337"/>
  <c r="EN338"/>
  <c r="EN339"/>
  <c r="EN340"/>
  <c r="EN341"/>
  <c r="EN342"/>
  <c r="EN343"/>
  <c r="EN344"/>
  <c r="EN345"/>
  <c r="EN346"/>
  <c r="EN347"/>
  <c r="EN348"/>
  <c r="EN349"/>
  <c r="EN350"/>
  <c r="EN351"/>
  <c r="EN352"/>
  <c r="EN353"/>
  <c r="EN354"/>
  <c r="EN355"/>
  <c r="EN356"/>
  <c r="EN357"/>
  <c r="EN358"/>
  <c r="EN359"/>
  <c r="EN360"/>
  <c r="EN361"/>
  <c r="EN362"/>
  <c r="EN363"/>
  <c r="EN364"/>
  <c r="EN365"/>
  <c r="EN366"/>
  <c r="EN367"/>
  <c r="EN368"/>
  <c r="EN369"/>
  <c r="EN370"/>
  <c r="EN371"/>
  <c r="EN372"/>
  <c r="EN373"/>
  <c r="EN374"/>
  <c r="EN375"/>
  <c r="EN376"/>
  <c r="EN377"/>
  <c r="EN378"/>
  <c r="EN379"/>
  <c r="EN380"/>
  <c r="EN381"/>
  <c r="EN382"/>
  <c r="EN383"/>
  <c r="EN384"/>
  <c r="EN385"/>
  <c r="EN386"/>
  <c r="EN387"/>
  <c r="EN388"/>
  <c r="EN389"/>
  <c r="EN390"/>
  <c r="EN391"/>
  <c r="EN392"/>
  <c r="EN393"/>
  <c r="EN394"/>
  <c r="EN395"/>
  <c r="EN396"/>
  <c r="EN397"/>
  <c r="EN398"/>
  <c r="EN399"/>
  <c r="EN400"/>
  <c r="EN401"/>
  <c r="EN402"/>
  <c r="EN403"/>
  <c r="EN404"/>
  <c r="EN405"/>
  <c r="EN406"/>
  <c r="EN407"/>
  <c r="EN408"/>
  <c r="EN409"/>
  <c r="EN410"/>
  <c r="EN411"/>
  <c r="EN412"/>
  <c r="EN413"/>
  <c r="EN414"/>
  <c r="EN415"/>
  <c r="EN416"/>
  <c r="EN417"/>
  <c r="EN418"/>
  <c r="EN419"/>
  <c r="EN420"/>
  <c r="EN421"/>
  <c r="EN422"/>
  <c r="EN423"/>
  <c r="EN424"/>
  <c r="EN425"/>
  <c r="EN426"/>
  <c r="EN427"/>
  <c r="EN428"/>
  <c r="EN429"/>
  <c r="EN430"/>
  <c r="EN431"/>
  <c r="EN432"/>
  <c r="EN433"/>
  <c r="EN434"/>
  <c r="EN435"/>
  <c r="EN436"/>
  <c r="EN437"/>
  <c r="EN438"/>
  <c r="EN439"/>
  <c r="EN440"/>
  <c r="EN441"/>
  <c r="EN442"/>
  <c r="EN443"/>
  <c r="EN444"/>
  <c r="EN445"/>
  <c r="EK472"/>
  <c r="EK196"/>
  <c r="EK197"/>
  <c r="EK198"/>
  <c r="EK199"/>
  <c r="EK200"/>
  <c r="EK201"/>
  <c r="EK202"/>
  <c r="EK203"/>
  <c r="EK204"/>
  <c r="EK205"/>
  <c r="EK206"/>
  <c r="EK207"/>
  <c r="EK208"/>
  <c r="EK209"/>
  <c r="EK210"/>
  <c r="EK211"/>
  <c r="EK212"/>
  <c r="EK213"/>
  <c r="EK214"/>
  <c r="EK215"/>
  <c r="EK216"/>
  <c r="EK217"/>
  <c r="EK218"/>
  <c r="EK219"/>
  <c r="EK220"/>
  <c r="EK221"/>
  <c r="EK222"/>
  <c r="EK223"/>
  <c r="EK224"/>
  <c r="EK225"/>
  <c r="EK226"/>
  <c r="EK227"/>
  <c r="EK228"/>
  <c r="EK229"/>
  <c r="EK230"/>
  <c r="EK231"/>
  <c r="EK232"/>
  <c r="EK233"/>
  <c r="EK234"/>
  <c r="EK235"/>
  <c r="EK236"/>
  <c r="EK237"/>
  <c r="EK238"/>
  <c r="EK239"/>
  <c r="EK240"/>
  <c r="EK241"/>
  <c r="EK242"/>
  <c r="EK243"/>
  <c r="EK244"/>
  <c r="EK245"/>
  <c r="EK246"/>
  <c r="EK247"/>
  <c r="EK248"/>
  <c r="EK249"/>
  <c r="EK250"/>
  <c r="EK251"/>
  <c r="EK252"/>
  <c r="EK253"/>
  <c r="EK254"/>
  <c r="EK255"/>
  <c r="EK256"/>
  <c r="EK257"/>
  <c r="EK258"/>
  <c r="EK259"/>
  <c r="EK260"/>
  <c r="EK261"/>
  <c r="EK262"/>
  <c r="EK263"/>
  <c r="EK264"/>
  <c r="EK265"/>
  <c r="EK266"/>
  <c r="EK267"/>
  <c r="EK268"/>
  <c r="EK269"/>
  <c r="EK270"/>
  <c r="EK271"/>
  <c r="EK272"/>
  <c r="EK273"/>
  <c r="EK274"/>
  <c r="EK275"/>
  <c r="EK276"/>
  <c r="EK277"/>
  <c r="EK278"/>
  <c r="EK279"/>
  <c r="EK280"/>
  <c r="EK281"/>
  <c r="EK282"/>
  <c r="EK283"/>
  <c r="EK284"/>
  <c r="EK285"/>
  <c r="EK286"/>
  <c r="EK287"/>
  <c r="EK288"/>
  <c r="EK289"/>
  <c r="EK290"/>
  <c r="EK291"/>
  <c r="EK292"/>
  <c r="EK293"/>
  <c r="EK294"/>
  <c r="EK295"/>
  <c r="EK296"/>
  <c r="EK297"/>
  <c r="EK298"/>
  <c r="EK299"/>
  <c r="EK300"/>
  <c r="EK301"/>
  <c r="EK302"/>
  <c r="EK303"/>
  <c r="EK304"/>
  <c r="EK305"/>
  <c r="EK306"/>
  <c r="EK307"/>
  <c r="EK308"/>
  <c r="EK309"/>
  <c r="EK310"/>
  <c r="EK311"/>
  <c r="EK312"/>
  <c r="EK313"/>
  <c r="EK314"/>
  <c r="EK315"/>
  <c r="EK317"/>
  <c r="EK316"/>
  <c r="EK318"/>
  <c r="EK319"/>
  <c r="EK320"/>
  <c r="EK321"/>
  <c r="EK322"/>
  <c r="EK323"/>
  <c r="EK324"/>
  <c r="EK325"/>
  <c r="EK326"/>
  <c r="EK327"/>
  <c r="EK328"/>
  <c r="EK329"/>
  <c r="EK330"/>
  <c r="EK331"/>
  <c r="EK332"/>
  <c r="EK333"/>
  <c r="EK334"/>
  <c r="EK335"/>
  <c r="EK336"/>
  <c r="EK337"/>
  <c r="EK338"/>
  <c r="EK339"/>
  <c r="EK340"/>
  <c r="EK341"/>
  <c r="EK342"/>
  <c r="EK343"/>
  <c r="EK344"/>
  <c r="EK345"/>
  <c r="EK346"/>
  <c r="EK347"/>
  <c r="EK348"/>
  <c r="EK349"/>
  <c r="EK350"/>
  <c r="EK351"/>
  <c r="EK352"/>
  <c r="EK353"/>
  <c r="EK354"/>
  <c r="EK355"/>
  <c r="EK356"/>
  <c r="EK357"/>
  <c r="EK358"/>
  <c r="EK359"/>
  <c r="EK360"/>
  <c r="EK361"/>
  <c r="EK362"/>
  <c r="EK363"/>
  <c r="EK364"/>
  <c r="EK365"/>
  <c r="EK366"/>
  <c r="EK367"/>
  <c r="EK368"/>
  <c r="EK369"/>
  <c r="EK370"/>
  <c r="EK371"/>
  <c r="EK372"/>
  <c r="EK373"/>
  <c r="EK374"/>
  <c r="EK375"/>
  <c r="EK376"/>
  <c r="EK377"/>
  <c r="EK378"/>
  <c r="EK379"/>
  <c r="EK380"/>
  <c r="EK381"/>
  <c r="EK382"/>
  <c r="EK383"/>
  <c r="EK384"/>
  <c r="EK385"/>
  <c r="EK386"/>
  <c r="EK387"/>
  <c r="EK388"/>
  <c r="EK389"/>
  <c r="EK390"/>
  <c r="EK391"/>
  <c r="EK392"/>
  <c r="EK393"/>
  <c r="EK394"/>
  <c r="EK395"/>
  <c r="EK396"/>
  <c r="EK397"/>
  <c r="EK398"/>
  <c r="EK399"/>
  <c r="EK400"/>
  <c r="EK401"/>
  <c r="EK402"/>
  <c r="EK403"/>
  <c r="EK404"/>
  <c r="EK405"/>
  <c r="EK406"/>
  <c r="EK407"/>
  <c r="EK408"/>
  <c r="EK409"/>
  <c r="EK410"/>
  <c r="EK411"/>
  <c r="EK412"/>
  <c r="EK413"/>
  <c r="EK414"/>
  <c r="EK415"/>
  <c r="EK416"/>
  <c r="EK417"/>
  <c r="EK418"/>
  <c r="EK419"/>
  <c r="EK420"/>
  <c r="EK421"/>
  <c r="EK422"/>
  <c r="EK423"/>
  <c r="EK424"/>
  <c r="EK425"/>
  <c r="EK426"/>
  <c r="EK427"/>
  <c r="EK428"/>
  <c r="EK429"/>
  <c r="EK430"/>
  <c r="EK431"/>
  <c r="EK432"/>
  <c r="EK433"/>
  <c r="EK434"/>
  <c r="EK435"/>
  <c r="EK436"/>
  <c r="EK437"/>
  <c r="EK438"/>
  <c r="EK439"/>
  <c r="EK440"/>
  <c r="EK441"/>
  <c r="EK442"/>
  <c r="EK443"/>
  <c r="EK444"/>
  <c r="EK445"/>
  <c r="EN446"/>
  <c r="EN447"/>
  <c r="EN448"/>
  <c r="EN449"/>
  <c r="EN450"/>
  <c r="EN451"/>
  <c r="EN452"/>
  <c r="EN453"/>
  <c r="EN454"/>
  <c r="EN455"/>
  <c r="EN456"/>
  <c r="EN457"/>
  <c r="EN458"/>
  <c r="EN459"/>
  <c r="EN460"/>
  <c r="EN461"/>
  <c r="EN462"/>
  <c r="EN463"/>
  <c r="EN464"/>
  <c r="EN465"/>
  <c r="EN466"/>
  <c r="EN467"/>
  <c r="EN468"/>
  <c r="EN469"/>
  <c r="EN470"/>
  <c r="EN471"/>
  <c r="EN472"/>
  <c r="EN473"/>
  <c r="EN474"/>
  <c r="EN475"/>
  <c r="EN476"/>
  <c r="EN477"/>
  <c r="EN478"/>
  <c r="EN479"/>
  <c r="EN480"/>
  <c r="EN481"/>
  <c r="EN482"/>
  <c r="EN483"/>
  <c r="EN484"/>
  <c r="EN485"/>
  <c r="EN486"/>
  <c r="EN487"/>
  <c r="EN488"/>
  <c r="EN489"/>
  <c r="EN490"/>
  <c r="EN491"/>
  <c r="EN492"/>
  <c r="EN493"/>
  <c r="EN494"/>
  <c r="EN495"/>
  <c r="EN496"/>
  <c r="EN497"/>
  <c r="EN498"/>
  <c r="EN499"/>
  <c r="EN500"/>
  <c r="EN501"/>
  <c r="EN502"/>
  <c r="EN503"/>
  <c r="EN504"/>
  <c r="EN505"/>
  <c r="EN506"/>
  <c r="EN507"/>
  <c r="EN508"/>
  <c r="EN509"/>
  <c r="EN510"/>
  <c r="EN511"/>
  <c r="EN512"/>
  <c r="EN513"/>
  <c r="EN514"/>
  <c r="EN515"/>
  <c r="EN516"/>
  <c r="EN517"/>
  <c r="EN518"/>
  <c r="EN519"/>
  <c r="EN520"/>
  <c r="EN521"/>
  <c r="EN522"/>
  <c r="EN523"/>
  <c r="EN524"/>
  <c r="EN525"/>
  <c r="EN526"/>
  <c r="EN527"/>
  <c r="EN528"/>
  <c r="EN529"/>
  <c r="EN530"/>
  <c r="EN531"/>
  <c r="EN532"/>
  <c r="EN533"/>
  <c r="EN534"/>
  <c r="EN535"/>
  <c r="EN536"/>
  <c r="EN537"/>
  <c r="EN538"/>
  <c r="EN539"/>
  <c r="EN540"/>
  <c r="EN541"/>
  <c r="EN542"/>
  <c r="EN543"/>
  <c r="EN544"/>
  <c r="EN545"/>
  <c r="EN546"/>
  <c r="EN547"/>
  <c r="EN548"/>
  <c r="EN549"/>
  <c r="EN550"/>
  <c r="EN551"/>
  <c r="EN552"/>
  <c r="EN553"/>
  <c r="EN554"/>
  <c r="EN555"/>
  <c r="EN556"/>
  <c r="EN557"/>
  <c r="EN558"/>
  <c r="EN559"/>
  <c r="EN560"/>
  <c r="EN561"/>
  <c r="EN562"/>
  <c r="EN563"/>
  <c r="EN564"/>
  <c r="EN565"/>
  <c r="EN566"/>
  <c r="EN567"/>
  <c r="EN568"/>
  <c r="EN569"/>
  <c r="EN570"/>
  <c r="EN571"/>
  <c r="EN572"/>
  <c r="EP573"/>
  <c r="EO573"/>
  <c r="EK573"/>
  <c r="EK473"/>
  <c r="EK474"/>
  <c r="EK475"/>
  <c r="EK476"/>
  <c r="EK477"/>
  <c r="EK478"/>
  <c r="EK479"/>
  <c r="EK480"/>
  <c r="EK481"/>
  <c r="EK482"/>
  <c r="EK483"/>
  <c r="EK484"/>
  <c r="EK485"/>
  <c r="EK486"/>
  <c r="EK487"/>
  <c r="EK488"/>
  <c r="EK489"/>
  <c r="EK490"/>
  <c r="EK491"/>
  <c r="EK492"/>
  <c r="EK493"/>
  <c r="EK494"/>
  <c r="EK495"/>
  <c r="EK496"/>
  <c r="EK497"/>
  <c r="EK498"/>
  <c r="EK499"/>
  <c r="EK500"/>
  <c r="EK501"/>
  <c r="EK502"/>
  <c r="EK503"/>
  <c r="EK504"/>
  <c r="EK505"/>
  <c r="EK506"/>
  <c r="EK507"/>
  <c r="EK508"/>
  <c r="EK509"/>
  <c r="EK510"/>
  <c r="EK511"/>
  <c r="EK512"/>
  <c r="EK513"/>
  <c r="EK514"/>
  <c r="EK515"/>
  <c r="EK516"/>
  <c r="EK517"/>
  <c r="EK518"/>
  <c r="EK519"/>
  <c r="EK520"/>
  <c r="EK521"/>
  <c r="EK522"/>
  <c r="EK523"/>
  <c r="EK524"/>
  <c r="EK525"/>
  <c r="EK526"/>
  <c r="EK527"/>
  <c r="EK528"/>
  <c r="EK529"/>
  <c r="EK530"/>
  <c r="EK531"/>
  <c r="EK532"/>
  <c r="EK533"/>
  <c r="EK534"/>
  <c r="EK535"/>
  <c r="EK536"/>
  <c r="EK537"/>
  <c r="EK538"/>
  <c r="EK539"/>
  <c r="EK540"/>
  <c r="EK541"/>
  <c r="EK542"/>
  <c r="EK543"/>
  <c r="EK544"/>
  <c r="EK545"/>
  <c r="EK546"/>
  <c r="EK547"/>
  <c r="EK548"/>
  <c r="EK549"/>
  <c r="EK550"/>
  <c r="EK551"/>
  <c r="EK552"/>
  <c r="EK553"/>
  <c r="EK554"/>
  <c r="EK555"/>
  <c r="EK556"/>
  <c r="EK557"/>
  <c r="EK558"/>
  <c r="EK559"/>
  <c r="EK560"/>
  <c r="EK561"/>
  <c r="EK562"/>
  <c r="EK563"/>
  <c r="EK564"/>
  <c r="EK565"/>
  <c r="EK566"/>
  <c r="EK567"/>
  <c r="EK568"/>
  <c r="EK569"/>
  <c r="EK570"/>
  <c r="EK571"/>
  <c r="EK572"/>
  <c r="EN574"/>
  <c r="EN575"/>
  <c r="EN576"/>
  <c r="EN577"/>
  <c r="EN578"/>
  <c r="EN579"/>
  <c r="EN580"/>
  <c r="EN581"/>
  <c r="EN582"/>
  <c r="EN583"/>
  <c r="EN584"/>
  <c r="EN585"/>
  <c r="EN586"/>
  <c r="EN587"/>
  <c r="EN588"/>
  <c r="EN589"/>
  <c r="EN590"/>
  <c r="EN591"/>
  <c r="EN592"/>
  <c r="EN593"/>
  <c r="EN594"/>
  <c r="EN595"/>
  <c r="EN596"/>
  <c r="EN597"/>
  <c r="EN598"/>
  <c r="EN599"/>
  <c r="EN600"/>
  <c r="EN601"/>
  <c r="EN602"/>
  <c r="EN603"/>
  <c r="EN604"/>
  <c r="EN605"/>
  <c r="EN606"/>
  <c r="EN607"/>
  <c r="EN608"/>
  <c r="EN609"/>
  <c r="EN610"/>
  <c r="EN611"/>
  <c r="EN612"/>
  <c r="EN613"/>
  <c r="EN614"/>
  <c r="EN615"/>
  <c r="EN616"/>
  <c r="EN617"/>
  <c r="EN618"/>
  <c r="EN619"/>
  <c r="EN620"/>
  <c r="EN621"/>
  <c r="EN622"/>
  <c r="EN623"/>
  <c r="EN624"/>
  <c r="EN625"/>
  <c r="EN626"/>
  <c r="EN627"/>
  <c r="EN628"/>
  <c r="EN629"/>
  <c r="EN630"/>
  <c r="EN631"/>
  <c r="EN632"/>
  <c r="EN633"/>
  <c r="EN634"/>
  <c r="EN635"/>
  <c r="EN636"/>
  <c r="EN637"/>
  <c r="EN638"/>
  <c r="EN639"/>
  <c r="EN640"/>
  <c r="EN641"/>
  <c r="EN642"/>
  <c r="EN643"/>
  <c r="EN644"/>
  <c r="EN645"/>
  <c r="EN646"/>
  <c r="EN647"/>
  <c r="EN648"/>
  <c r="EN649"/>
  <c r="EN650"/>
  <c r="EN651"/>
  <c r="EN652"/>
  <c r="EN653"/>
  <c r="EN654"/>
  <c r="EN655"/>
  <c r="EN656"/>
  <c r="EN657"/>
  <c r="EN658"/>
  <c r="EN659"/>
  <c r="EN660"/>
  <c r="EN661"/>
  <c r="EN662"/>
  <c r="EN663"/>
  <c r="EN664"/>
  <c r="EN665"/>
  <c r="EN666"/>
  <c r="EN667"/>
  <c r="EN668"/>
  <c r="EN669"/>
  <c r="EN670"/>
  <c r="EN671"/>
  <c r="EN672"/>
  <c r="EN673"/>
  <c r="EN674"/>
  <c r="EN675"/>
  <c r="EN676"/>
  <c r="EN677"/>
  <c r="EN678"/>
  <c r="EK574"/>
  <c r="EK575"/>
  <c r="EK576"/>
  <c r="EK577"/>
  <c r="EK578"/>
  <c r="EK579"/>
  <c r="EK580"/>
  <c r="EK581"/>
  <c r="EK582"/>
  <c r="EK583"/>
  <c r="EK584"/>
  <c r="EK585"/>
  <c r="EK586"/>
  <c r="EK587"/>
  <c r="EK588"/>
  <c r="EK589"/>
  <c r="EK590"/>
  <c r="EK591"/>
  <c r="EK592"/>
  <c r="EK593"/>
  <c r="EK594"/>
  <c r="EK595"/>
  <c r="EK596"/>
  <c r="EK597"/>
  <c r="EK598"/>
  <c r="EK599"/>
  <c r="EK600"/>
  <c r="EK601"/>
  <c r="EK602"/>
  <c r="EK603"/>
  <c r="EK604"/>
  <c r="EK605"/>
  <c r="EK606"/>
  <c r="EK607"/>
  <c r="EK608"/>
  <c r="EK609"/>
  <c r="EK610"/>
  <c r="EK611"/>
  <c r="EK612"/>
  <c r="EK613"/>
  <c r="EK614"/>
  <c r="EK615"/>
  <c r="EK616"/>
  <c r="EK617"/>
  <c r="EK618"/>
  <c r="EK619"/>
  <c r="EK620"/>
  <c r="EK621"/>
  <c r="EK622"/>
  <c r="EK623"/>
  <c r="EK624"/>
  <c r="EK625"/>
  <c r="EK626"/>
  <c r="EK627"/>
  <c r="EK628"/>
  <c r="EK629"/>
  <c r="EK630"/>
  <c r="EK631"/>
  <c r="EK632"/>
  <c r="EK633"/>
  <c r="EK634"/>
  <c r="EK635"/>
  <c r="EK636"/>
  <c r="EK637"/>
  <c r="EK638"/>
  <c r="EK639"/>
  <c r="EK640"/>
  <c r="EK641"/>
  <c r="EK642"/>
  <c r="EK643"/>
  <c r="EK644"/>
  <c r="EK645"/>
  <c r="EK646"/>
  <c r="EK647"/>
  <c r="EK648"/>
  <c r="EK649"/>
  <c r="EK650"/>
  <c r="EK651"/>
  <c r="EK652"/>
  <c r="EK653"/>
  <c r="EK654"/>
  <c r="EK655"/>
  <c r="EK656"/>
  <c r="EK657"/>
  <c r="EK658"/>
  <c r="EK659"/>
  <c r="EK660"/>
  <c r="EK661"/>
  <c r="EK662"/>
  <c r="EK663"/>
  <c r="EK664"/>
  <c r="EK665"/>
  <c r="EK666"/>
  <c r="EK667"/>
  <c r="EK668"/>
  <c r="EK669"/>
  <c r="EK670"/>
  <c r="EK671"/>
  <c r="EK672"/>
  <c r="EK673"/>
  <c r="EK674"/>
  <c r="EK675"/>
  <c r="EK676"/>
  <c r="EK677"/>
  <c r="EK678"/>
  <c r="AT678" l="1"/>
  <c r="AR678"/>
  <c r="AT677"/>
  <c r="AR677"/>
  <c r="AT676"/>
  <c r="AR676"/>
  <c r="AT675"/>
  <c r="AR675"/>
  <c r="AT674"/>
  <c r="AR674"/>
  <c r="AT673"/>
  <c r="AR673"/>
  <c r="AT672"/>
  <c r="AR672"/>
  <c r="AT671"/>
  <c r="AR671"/>
  <c r="AT670"/>
  <c r="AR670"/>
  <c r="AT669"/>
  <c r="AR669"/>
  <c r="AT668"/>
  <c r="AR668"/>
  <c r="AT667"/>
  <c r="AR667"/>
  <c r="AT666"/>
  <c r="AR666"/>
  <c r="AT665"/>
  <c r="AR665"/>
  <c r="AT664"/>
  <c r="AR664"/>
  <c r="AT663"/>
  <c r="AR663"/>
  <c r="AT662"/>
  <c r="AR662"/>
  <c r="AT661"/>
  <c r="AR661"/>
  <c r="AT660"/>
  <c r="AR660"/>
  <c r="AT659"/>
  <c r="AR659"/>
  <c r="AT658"/>
  <c r="AR658"/>
  <c r="AT657"/>
  <c r="AR657"/>
  <c r="AT656"/>
  <c r="AR656"/>
  <c r="AT655"/>
  <c r="AR655"/>
  <c r="AT654"/>
  <c r="AR654"/>
  <c r="AT653"/>
  <c r="AR653"/>
  <c r="AT652"/>
  <c r="AR652"/>
  <c r="AT651"/>
  <c r="AR651"/>
  <c r="AT650"/>
  <c r="AR650"/>
  <c r="AT649"/>
  <c r="AR649"/>
  <c r="AT648"/>
  <c r="AR648"/>
  <c r="AT647"/>
  <c r="AR647"/>
  <c r="AT646"/>
  <c r="AR646"/>
  <c r="AT645"/>
  <c r="AR645"/>
  <c r="AT644"/>
  <c r="AR644"/>
  <c r="AT643"/>
  <c r="AR643"/>
  <c r="AT642"/>
  <c r="AR642"/>
  <c r="AT641"/>
  <c r="AR641"/>
  <c r="AT640"/>
  <c r="AR640"/>
  <c r="AT639"/>
  <c r="AR639"/>
  <c r="AT638"/>
  <c r="AR638"/>
  <c r="AT637"/>
  <c r="AR637"/>
  <c r="AR636"/>
  <c r="AR635"/>
  <c r="AR634"/>
  <c r="AR633"/>
  <c r="AR632"/>
  <c r="AR631"/>
  <c r="AR630"/>
  <c r="AR629"/>
  <c r="AR628"/>
  <c r="AR627"/>
  <c r="AR626"/>
  <c r="AR625"/>
  <c r="AR624"/>
  <c r="AR623"/>
  <c r="AR622"/>
  <c r="AR621"/>
  <c r="AR620"/>
  <c r="AR619"/>
  <c r="AR618"/>
  <c r="AR617"/>
  <c r="AR616"/>
  <c r="AR615"/>
  <c r="AR614"/>
  <c r="AR613"/>
  <c r="AR612"/>
  <c r="AR611"/>
  <c r="AR610"/>
  <c r="AR609"/>
  <c r="AR608"/>
  <c r="AR607"/>
  <c r="AR606"/>
  <c r="AR605"/>
  <c r="AR604"/>
  <c r="AR603"/>
  <c r="AR602"/>
  <c r="AR601"/>
  <c r="AR600"/>
  <c r="AR599"/>
  <c r="AR598"/>
  <c r="AR597"/>
  <c r="AR596"/>
  <c r="AR595"/>
  <c r="AR594"/>
  <c r="AR593"/>
  <c r="AR592"/>
  <c r="AR591"/>
  <c r="AR590"/>
  <c r="AR589"/>
  <c r="AR588"/>
  <c r="AR587"/>
  <c r="AR586"/>
  <c r="FI585"/>
  <c r="FK585" s="1"/>
  <c r="FM585" s="1"/>
  <c r="AT585"/>
  <c r="AR585"/>
  <c r="FI584"/>
  <c r="FK584" s="1"/>
  <c r="FM584" s="1"/>
  <c r="AT584"/>
  <c r="AR583"/>
  <c r="FJ582"/>
  <c r="FL582" s="1"/>
  <c r="FN582" s="1"/>
  <c r="FI582"/>
  <c r="FK582" s="1"/>
  <c r="FM582" s="1"/>
  <c r="AR582" s="1"/>
  <c r="FJ581"/>
  <c r="FL581" s="1"/>
  <c r="FN581" s="1"/>
  <c r="FI581"/>
  <c r="FK581" s="1"/>
  <c r="FM581" s="1"/>
  <c r="AR581" s="1"/>
  <c r="FJ580"/>
  <c r="FL580" s="1"/>
  <c r="FN580" s="1"/>
  <c r="FI580"/>
  <c r="FK580" s="1"/>
  <c r="FM580" s="1"/>
  <c r="AR580" s="1"/>
  <c r="FJ579"/>
  <c r="FL579" s="1"/>
  <c r="FN579" s="1"/>
  <c r="FI579"/>
  <c r="FK579" s="1"/>
  <c r="FM579" s="1"/>
  <c r="AR579" s="1"/>
  <c r="FJ578"/>
  <c r="FL578" s="1"/>
  <c r="FN578" s="1"/>
  <c r="FI578"/>
  <c r="FK578" s="1"/>
  <c r="FM578" s="1"/>
  <c r="AR578" s="1"/>
  <c r="FJ577"/>
  <c r="FL577" s="1"/>
  <c r="FN577" s="1"/>
  <c r="FI577"/>
  <c r="FK577" s="1"/>
  <c r="FM577" s="1"/>
  <c r="AR577" s="1"/>
  <c r="FJ576"/>
  <c r="FL576" s="1"/>
  <c r="FN576" s="1"/>
  <c r="FI576"/>
  <c r="FK576" s="1"/>
  <c r="FM576" s="1"/>
  <c r="AR576" s="1"/>
  <c r="FJ575"/>
  <c r="FL575" s="1"/>
  <c r="FN575" s="1"/>
  <c r="FI575"/>
  <c r="FK575" s="1"/>
  <c r="FM575" s="1"/>
  <c r="AR575" s="1"/>
  <c r="FJ573"/>
  <c r="FL573" s="1"/>
  <c r="FN573" s="1"/>
  <c r="FI573"/>
  <c r="FK573" s="1"/>
  <c r="FM573" s="1"/>
  <c r="AR573" s="1"/>
  <c r="FJ572"/>
  <c r="FL572" s="1"/>
  <c r="FN572" s="1"/>
  <c r="FI572"/>
  <c r="FK572" s="1"/>
  <c r="FM572" s="1"/>
  <c r="AT572"/>
  <c r="FJ571"/>
  <c r="FL571" s="1"/>
  <c r="FN571" s="1"/>
  <c r="FI571"/>
  <c r="FK571" s="1"/>
  <c r="FM571" s="1"/>
  <c r="AR571" s="1"/>
  <c r="FJ570"/>
  <c r="FL570" s="1"/>
  <c r="FN570" s="1"/>
  <c r="FI570"/>
  <c r="FK570" s="1"/>
  <c r="FM570" s="1"/>
  <c r="FJ569"/>
  <c r="FL569" s="1"/>
  <c r="FN569" s="1"/>
  <c r="FI569"/>
  <c r="FK569" s="1"/>
  <c r="FM569" s="1"/>
  <c r="AR569" s="1"/>
  <c r="FJ568"/>
  <c r="FL568" s="1"/>
  <c r="FN568" s="1"/>
  <c r="FI568"/>
  <c r="FK568" s="1"/>
  <c r="FM568" s="1"/>
  <c r="AR567"/>
  <c r="AR565"/>
  <c r="AR563"/>
  <c r="AR562"/>
  <c r="AR561"/>
  <c r="AR560"/>
  <c r="AR559"/>
  <c r="AR558"/>
  <c r="AR557"/>
  <c r="AR556"/>
  <c r="AR555"/>
  <c r="AR554"/>
  <c r="AR553"/>
  <c r="AR552"/>
  <c r="AR551"/>
  <c r="AR550"/>
  <c r="AR549"/>
  <c r="AR548"/>
  <c r="AR547"/>
  <c r="AR546"/>
  <c r="AR545"/>
  <c r="AR544"/>
  <c r="AR543"/>
  <c r="AR542"/>
  <c r="AR541"/>
  <c r="AR540"/>
  <c r="AR539"/>
  <c r="AR538"/>
  <c r="AR537"/>
  <c r="AR536"/>
  <c r="AR535"/>
  <c r="AR534"/>
  <c r="AR533"/>
  <c r="AR532"/>
  <c r="AR531"/>
  <c r="AR530"/>
  <c r="AR529"/>
  <c r="AR528"/>
  <c r="AR527"/>
  <c r="AR526"/>
  <c r="AR525"/>
  <c r="AR524"/>
  <c r="AR523"/>
  <c r="AR522"/>
  <c r="AR521"/>
  <c r="AR520"/>
  <c r="AR519"/>
  <c r="AR518"/>
  <c r="AR517"/>
  <c r="AR516"/>
  <c r="AR515"/>
  <c r="AR514"/>
  <c r="AR513"/>
  <c r="AR512"/>
  <c r="AR511"/>
  <c r="AR510"/>
  <c r="AR509"/>
  <c r="AR508"/>
  <c r="AR507"/>
  <c r="AR506"/>
  <c r="AR505"/>
  <c r="AR504"/>
  <c r="AR503"/>
  <c r="AR502"/>
  <c r="AR501"/>
  <c r="AR500"/>
  <c r="AR499"/>
  <c r="AR498"/>
  <c r="AR497"/>
  <c r="AR496"/>
  <c r="AR495"/>
  <c r="AR494"/>
  <c r="AR493"/>
  <c r="AR492"/>
  <c r="AR491"/>
  <c r="AR490"/>
  <c r="AR489"/>
  <c r="AR488"/>
  <c r="AR487"/>
  <c r="AR486"/>
  <c r="AR485"/>
  <c r="AR484"/>
  <c r="AR483"/>
  <c r="AR482"/>
  <c r="AR480"/>
  <c r="AR479"/>
  <c r="AR478"/>
  <c r="AR477"/>
  <c r="AR476"/>
  <c r="AR475"/>
  <c r="AR474"/>
  <c r="AR473"/>
  <c r="AR472"/>
  <c r="AR471"/>
  <c r="AR470"/>
  <c r="AR468"/>
  <c r="AR466"/>
  <c r="AR464"/>
  <c r="AR462"/>
  <c r="AR460"/>
  <c r="AR458"/>
  <c r="AR456"/>
  <c r="AR455"/>
  <c r="AR454"/>
  <c r="AR453"/>
  <c r="AR452"/>
  <c r="AR451"/>
  <c r="AR450"/>
  <c r="AR449"/>
  <c r="AR448"/>
  <c r="AR447"/>
  <c r="AR446"/>
  <c r="AR445"/>
  <c r="AR444"/>
  <c r="AR443"/>
  <c r="AR442"/>
  <c r="AR441"/>
  <c r="AR440"/>
  <c r="AR439"/>
  <c r="AR438"/>
  <c r="AR437"/>
  <c r="AR436"/>
  <c r="AR435"/>
  <c r="AR434"/>
  <c r="AR433"/>
  <c r="AR432"/>
  <c r="AR431"/>
  <c r="AR430"/>
  <c r="AR429"/>
  <c r="AR428"/>
  <c r="AR427"/>
  <c r="AR426"/>
  <c r="AR425"/>
  <c r="AR424"/>
  <c r="AR423"/>
  <c r="AR422"/>
  <c r="AR421"/>
  <c r="AR420"/>
  <c r="AR419"/>
  <c r="AR418"/>
  <c r="AR417"/>
  <c r="AR416"/>
  <c r="AR415"/>
  <c r="AR414"/>
  <c r="AR413"/>
  <c r="AR412"/>
  <c r="AR411"/>
  <c r="AR410"/>
  <c r="AR409"/>
  <c r="R409"/>
  <c r="BT408"/>
  <c r="BH408"/>
  <c r="BD408"/>
  <c r="AZ408"/>
  <c r="AR407"/>
  <c r="AR406"/>
  <c r="AR405"/>
  <c r="AR404"/>
  <c r="AR403"/>
  <c r="AR402"/>
  <c r="AR401"/>
  <c r="AR400"/>
  <c r="AR399"/>
  <c r="AR398"/>
  <c r="AR397"/>
  <c r="AR396"/>
  <c r="AR395"/>
  <c r="AR394"/>
  <c r="AR393"/>
  <c r="AR392"/>
  <c r="AR391"/>
  <c r="AR390"/>
  <c r="AR389"/>
  <c r="AR388"/>
  <c r="AR387"/>
  <c r="AR386"/>
  <c r="AR385"/>
  <c r="AR384"/>
  <c r="AR383"/>
  <c r="AR382"/>
  <c r="AR381"/>
  <c r="AR380"/>
  <c r="AR379"/>
  <c r="AR378"/>
  <c r="AR377"/>
  <c r="AR376"/>
  <c r="AR375"/>
  <c r="AR374"/>
  <c r="AR373"/>
  <c r="AR372"/>
  <c r="AR371"/>
  <c r="AR370"/>
  <c r="AR369"/>
  <c r="AR368"/>
  <c r="AR367"/>
  <c r="AR366"/>
  <c r="AR365"/>
  <c r="AR364"/>
  <c r="AR363"/>
  <c r="AR362"/>
  <c r="AR361"/>
  <c r="AR360"/>
  <c r="AR359"/>
  <c r="AR358"/>
  <c r="AR357"/>
  <c r="AR356"/>
  <c r="AR355"/>
  <c r="AR354"/>
  <c r="AR353"/>
  <c r="AR352"/>
  <c r="AR351"/>
  <c r="AR350"/>
  <c r="AR349"/>
  <c r="AR348"/>
  <c r="AR347"/>
  <c r="AR346"/>
  <c r="AR345"/>
  <c r="AR344"/>
  <c r="AR343"/>
  <c r="AR342"/>
  <c r="AR341"/>
  <c r="AR340"/>
  <c r="AR339"/>
  <c r="AR338"/>
  <c r="AR337"/>
  <c r="AR336"/>
  <c r="AR335"/>
  <c r="AR334"/>
  <c r="AR333"/>
  <c r="AR332"/>
  <c r="AR331"/>
  <c r="AR330"/>
  <c r="AR329"/>
  <c r="AR328"/>
  <c r="AR327"/>
  <c r="AR326"/>
  <c r="AR325"/>
  <c r="AR324"/>
  <c r="AR323"/>
  <c r="AR322"/>
  <c r="AR321"/>
  <c r="AR320"/>
  <c r="AR319"/>
  <c r="AR318"/>
  <c r="AR316"/>
  <c r="AR317"/>
  <c r="AR315"/>
  <c r="AR314"/>
  <c r="AR313"/>
  <c r="AR312"/>
  <c r="AR311"/>
  <c r="AR310"/>
  <c r="AR309"/>
  <c r="AR308"/>
  <c r="AR307"/>
  <c r="AR306"/>
  <c r="AR305"/>
  <c r="AR304"/>
  <c r="AR303"/>
  <c r="AR302"/>
  <c r="AR301"/>
  <c r="AR300"/>
  <c r="AR299"/>
  <c r="AR298"/>
  <c r="AR297"/>
  <c r="AR296"/>
  <c r="AR295"/>
  <c r="AR294"/>
  <c r="AR293"/>
  <c r="AR292"/>
  <c r="AR291"/>
  <c r="AR290"/>
  <c r="AR289"/>
  <c r="AR288"/>
  <c r="AR287"/>
  <c r="AR286"/>
  <c r="AR285"/>
  <c r="AR284"/>
  <c r="AR283"/>
  <c r="AR282"/>
  <c r="AR281"/>
  <c r="AR280"/>
  <c r="AR279"/>
  <c r="AR278"/>
  <c r="AR277"/>
  <c r="AR276"/>
  <c r="AR275"/>
  <c r="AR274"/>
  <c r="AR273"/>
  <c r="AR272"/>
  <c r="AR271"/>
  <c r="AR270"/>
  <c r="AR269"/>
  <c r="AR268"/>
  <c r="AR267"/>
  <c r="AR266"/>
  <c r="AT265"/>
  <c r="AR265"/>
  <c r="AT264"/>
  <c r="AR264"/>
  <c r="AT263"/>
  <c r="AR263"/>
  <c r="AT262"/>
  <c r="AR262"/>
  <c r="AT261"/>
  <c r="AR261"/>
  <c r="AT260"/>
  <c r="AR260"/>
  <c r="AT259"/>
  <c r="AR259"/>
  <c r="AT258"/>
  <c r="AR258"/>
  <c r="AT257"/>
  <c r="AR257"/>
  <c r="AT256"/>
  <c r="AR256"/>
  <c r="AT255"/>
  <c r="AR255"/>
  <c r="AT254"/>
  <c r="AR254"/>
  <c r="AT253"/>
  <c r="AR253"/>
  <c r="AT252"/>
  <c r="AR252"/>
  <c r="AT251"/>
  <c r="AR251"/>
  <c r="AT250"/>
  <c r="AR250"/>
  <c r="AT249"/>
  <c r="AR249"/>
  <c r="AT248"/>
  <c r="AR248"/>
  <c r="AT247"/>
  <c r="AR247"/>
  <c r="AT246"/>
  <c r="AR246"/>
  <c r="AT245"/>
  <c r="AR245"/>
  <c r="AT244"/>
  <c r="AR244"/>
  <c r="AT243"/>
  <c r="AR243"/>
  <c r="AT242"/>
  <c r="AR242"/>
  <c r="AT241"/>
  <c r="AR241"/>
  <c r="AT240"/>
  <c r="AR240"/>
  <c r="AT239"/>
  <c r="AR239"/>
  <c r="AT238"/>
  <c r="AR238"/>
  <c r="AT237"/>
  <c r="AR237"/>
  <c r="AT236"/>
  <c r="AR236"/>
  <c r="AT235"/>
  <c r="AR235"/>
  <c r="AT234"/>
  <c r="AR234"/>
  <c r="AT233"/>
  <c r="AR233"/>
  <c r="AT232"/>
  <c r="AR232"/>
  <c r="AT231"/>
  <c r="AR231"/>
  <c r="AT230"/>
  <c r="AR230"/>
  <c r="AT229"/>
  <c r="AR229"/>
  <c r="AT228"/>
  <c r="AR228"/>
  <c r="AT227"/>
  <c r="AR227"/>
  <c r="AT226"/>
  <c r="AR226"/>
  <c r="AT225"/>
  <c r="AR225"/>
  <c r="AT224"/>
  <c r="AR224"/>
  <c r="AT223"/>
  <c r="AR223"/>
  <c r="AT222"/>
  <c r="AR222"/>
  <c r="AT221"/>
  <c r="AR221"/>
  <c r="AT220"/>
  <c r="AR220"/>
  <c r="AT219"/>
  <c r="CM219"/>
  <c r="CO219" s="1"/>
  <c r="EO219" s="1"/>
  <c r="FM219" s="1"/>
  <c r="AR219" s="1"/>
  <c r="AR218"/>
  <c r="CM217"/>
  <c r="CM216"/>
  <c r="CM215"/>
  <c r="CM214"/>
  <c r="AR213"/>
  <c r="AR212"/>
  <c r="AR211"/>
  <c r="AR210"/>
  <c r="AR209"/>
  <c r="AR208"/>
  <c r="AR207"/>
  <c r="AR206"/>
  <c r="AR205"/>
  <c r="AR204"/>
  <c r="AR203"/>
  <c r="AR202"/>
  <c r="AR201"/>
  <c r="AR200"/>
  <c r="AR199"/>
  <c r="AR198"/>
  <c r="AR197"/>
  <c r="AR196"/>
  <c r="AR195"/>
  <c r="AR194"/>
  <c r="AR193"/>
  <c r="AR192"/>
  <c r="AR191"/>
  <c r="AR190"/>
  <c r="AR189"/>
  <c r="AR188"/>
  <c r="AR187"/>
  <c r="AT186"/>
  <c r="AR186"/>
  <c r="AR185"/>
  <c r="AR184"/>
  <c r="AT183"/>
  <c r="AR183"/>
  <c r="AR182"/>
  <c r="AR181"/>
  <c r="AR180"/>
  <c r="AR179"/>
  <c r="AR178"/>
  <c r="AR177"/>
  <c r="AR176"/>
  <c r="AR175"/>
  <c r="AR174"/>
  <c r="AR173"/>
  <c r="AR172"/>
  <c r="AR171"/>
  <c r="AR170"/>
  <c r="AT169"/>
  <c r="AR169"/>
  <c r="AR168"/>
  <c r="AR166"/>
  <c r="AR165"/>
  <c r="AR164"/>
  <c r="AR163"/>
  <c r="AR162"/>
  <c r="AR161"/>
  <c r="AR160"/>
  <c r="AR159"/>
  <c r="AR158"/>
  <c r="AR157"/>
  <c r="AR156"/>
  <c r="AR155"/>
  <c r="AR154"/>
  <c r="AR153"/>
  <c r="AR152"/>
  <c r="AR151"/>
  <c r="AR150"/>
  <c r="AR149"/>
  <c r="AR148"/>
  <c r="AR147"/>
  <c r="AR146"/>
  <c r="AR145"/>
  <c r="AR144"/>
  <c r="AR143"/>
  <c r="AR142"/>
  <c r="AR141"/>
  <c r="AR140"/>
  <c r="AR139"/>
  <c r="AR138"/>
  <c r="AR137"/>
  <c r="AR136"/>
  <c r="AR135"/>
  <c r="AR134"/>
  <c r="AR133"/>
  <c r="AR132"/>
  <c r="AR131"/>
  <c r="AR130"/>
  <c r="AR129"/>
  <c r="AR128"/>
  <c r="AR127"/>
  <c r="AR126"/>
  <c r="AR125"/>
  <c r="AR124"/>
  <c r="AR123"/>
  <c r="AR122"/>
  <c r="AR121"/>
  <c r="AR120"/>
  <c r="AR119"/>
  <c r="AR118"/>
  <c r="AR117"/>
  <c r="AR116"/>
  <c r="AR115"/>
  <c r="AR114"/>
  <c r="AR113"/>
  <c r="AR112"/>
  <c r="AR111"/>
  <c r="AR110"/>
  <c r="AR109"/>
  <c r="AR108"/>
  <c r="AR107"/>
  <c r="AR106"/>
  <c r="AR105"/>
  <c r="AR104"/>
  <c r="AR103"/>
  <c r="AR102"/>
  <c r="AT101"/>
  <c r="AR101"/>
  <c r="AT100"/>
  <c r="AR100"/>
  <c r="AT99"/>
  <c r="AR99"/>
  <c r="AT98"/>
  <c r="AR98"/>
  <c r="AT97"/>
  <c r="AR97"/>
  <c r="AT96"/>
  <c r="AR96"/>
  <c r="AT95"/>
  <c r="AR95"/>
  <c r="AT94"/>
  <c r="AR94"/>
  <c r="AT93"/>
  <c r="AR93"/>
  <c r="AT92"/>
  <c r="AR92"/>
  <c r="AT91"/>
  <c r="AR91"/>
  <c r="AT90"/>
  <c r="AR90"/>
  <c r="AT89"/>
  <c r="AR89"/>
  <c r="AT88"/>
  <c r="AR88"/>
  <c r="AT87"/>
  <c r="AR87"/>
  <c r="AT86"/>
  <c r="AR86"/>
  <c r="AT85"/>
  <c r="AR85"/>
  <c r="AT84"/>
  <c r="AR84"/>
  <c r="AT83"/>
  <c r="AR83"/>
  <c r="AT82"/>
  <c r="AR82"/>
  <c r="AT81"/>
  <c r="AR81"/>
  <c r="AT80"/>
  <c r="AR80"/>
  <c r="AT79"/>
  <c r="AR79"/>
  <c r="AT78"/>
  <c r="AR78"/>
  <c r="AT77"/>
  <c r="AR77"/>
  <c r="AT76"/>
  <c r="AR76"/>
  <c r="AT75"/>
  <c r="AR75"/>
  <c r="AT74"/>
  <c r="AR74"/>
  <c r="AT73"/>
  <c r="AR73"/>
  <c r="AT72"/>
  <c r="AR72"/>
  <c r="AT71"/>
  <c r="AR71"/>
  <c r="AT70"/>
  <c r="AR70"/>
  <c r="AT69"/>
  <c r="AR69"/>
  <c r="AT68"/>
  <c r="AR68"/>
  <c r="AT67"/>
  <c r="AR67"/>
  <c r="AT66"/>
  <c r="AR66"/>
  <c r="AT65"/>
  <c r="AR65"/>
  <c r="AT64"/>
  <c r="AR64"/>
  <c r="AT63"/>
  <c r="AR63"/>
  <c r="AT62"/>
  <c r="AR62"/>
  <c r="AT61"/>
  <c r="AR61"/>
  <c r="AT60"/>
  <c r="AR60"/>
  <c r="AT59"/>
  <c r="AR59"/>
  <c r="AT58"/>
  <c r="AR58"/>
  <c r="AT57"/>
  <c r="AR57"/>
  <c r="AT56"/>
  <c r="AR56"/>
  <c r="AT55"/>
  <c r="AR55"/>
  <c r="AT54"/>
  <c r="AR54"/>
  <c r="AT53"/>
  <c r="AR53"/>
  <c r="AT52"/>
  <c r="AR52"/>
  <c r="AT51"/>
  <c r="AR51"/>
  <c r="AT50"/>
  <c r="AR50"/>
  <c r="AT49"/>
  <c r="AR49"/>
  <c r="AT48"/>
  <c r="AR48"/>
  <c r="AT47"/>
  <c r="AR47"/>
  <c r="AT46"/>
  <c r="AR46"/>
  <c r="AT45"/>
  <c r="AR45"/>
  <c r="AT44"/>
  <c r="AR44"/>
  <c r="AT43"/>
  <c r="AR43"/>
  <c r="AT42"/>
  <c r="AR42"/>
  <c r="AT41"/>
  <c r="AR41"/>
  <c r="AT40"/>
  <c r="AR40"/>
  <c r="AT39"/>
  <c r="AR39"/>
  <c r="AT38"/>
  <c r="AR38"/>
  <c r="AT37"/>
  <c r="AR37"/>
  <c r="AT36"/>
  <c r="AR36"/>
  <c r="AT35"/>
  <c r="AR35"/>
  <c r="AT34"/>
  <c r="AR34"/>
  <c r="AT33"/>
  <c r="AR33"/>
  <c r="AT32"/>
  <c r="AR32"/>
  <c r="AT31"/>
  <c r="AR31"/>
  <c r="AT30"/>
  <c r="AR30"/>
  <c r="AT29"/>
  <c r="AR29"/>
  <c r="AT28"/>
  <c r="AR28"/>
  <c r="AT27"/>
  <c r="AR27"/>
  <c r="AT26"/>
  <c r="AR26"/>
  <c r="AT25"/>
  <c r="AR25"/>
  <c r="AT24"/>
  <c r="AR24"/>
  <c r="AT23"/>
  <c r="AR23"/>
  <c r="AT22"/>
  <c r="AR22"/>
  <c r="AT21"/>
  <c r="AR21"/>
  <c r="AT20"/>
  <c r="AR20"/>
  <c r="AT19"/>
  <c r="AR19"/>
  <c r="AT18"/>
  <c r="AR18"/>
  <c r="AT17"/>
  <c r="AR17"/>
  <c r="AT16"/>
  <c r="AR16"/>
  <c r="AT15"/>
  <c r="AR15"/>
  <c r="AT14"/>
  <c r="AR14"/>
  <c r="AT13"/>
  <c r="AR13"/>
  <c r="AT12"/>
  <c r="AR12"/>
  <c r="AT11"/>
  <c r="AR11"/>
  <c r="FL10"/>
  <c r="FK10"/>
  <c r="EM10"/>
  <c r="EL10"/>
  <c r="EN10" s="1"/>
  <c r="EJ10"/>
  <c r="EI10"/>
  <c r="EK10" s="1"/>
  <c r="CR10"/>
  <c r="CQ10"/>
  <c r="EP10" s="1"/>
  <c r="CP10"/>
  <c r="CO10"/>
  <c r="EO10" s="1"/>
  <c r="FM10" s="1"/>
  <c r="AR10" s="1"/>
  <c r="AS10"/>
  <c r="V10"/>
  <c r="AQ10"/>
  <c r="Q10"/>
  <c r="L10"/>
  <c r="K10"/>
  <c r="E370" i="24"/>
  <c r="C363"/>
  <c r="F354"/>
  <c r="D368"/>
  <c r="B360"/>
  <c r="E352"/>
  <c r="C370"/>
  <c r="F362"/>
  <c r="D354"/>
  <c r="B368"/>
  <c r="E359"/>
  <c r="C352"/>
  <c r="B364"/>
  <c r="E355"/>
  <c r="C369"/>
  <c r="F360"/>
  <c r="D353"/>
  <c r="C355"/>
  <c r="D360"/>
  <c r="F364"/>
  <c r="D357"/>
  <c r="B370"/>
  <c r="E362"/>
  <c r="C354"/>
  <c r="D364"/>
  <c r="B357"/>
  <c r="E369"/>
  <c r="C362"/>
  <c r="F353"/>
  <c r="D367"/>
  <c r="B359"/>
  <c r="E350"/>
  <c r="C364"/>
  <c r="F355"/>
  <c r="B367"/>
  <c r="E358"/>
  <c r="C350"/>
  <c r="F363"/>
  <c r="D355"/>
  <c r="C368"/>
  <c r="F359"/>
  <c r="D352"/>
  <c r="B365"/>
  <c r="E357"/>
  <c r="E363"/>
  <c r="F368"/>
  <c r="B353"/>
  <c r="B369"/>
  <c r="E360"/>
  <c r="C353"/>
  <c r="F365"/>
  <c r="D358"/>
  <c r="B350"/>
  <c r="E368"/>
  <c r="C360"/>
  <c r="F352"/>
  <c r="D365"/>
  <c r="B358"/>
  <c r="F369"/>
  <c r="D362"/>
  <c r="B354"/>
  <c r="E367"/>
  <c r="C359"/>
  <c r="F367"/>
  <c r="C357"/>
  <c r="C358"/>
  <c r="D363"/>
  <c r="F357"/>
  <c r="B363"/>
  <c r="B355"/>
  <c r="D359"/>
  <c r="D369"/>
  <c r="E353"/>
  <c r="F358"/>
  <c r="E365"/>
  <c r="F370"/>
  <c r="F350"/>
  <c r="B352"/>
  <c r="C365"/>
  <c r="D370"/>
  <c r="E354"/>
  <c r="E364"/>
  <c r="B362"/>
  <c r="C367"/>
  <c r="D350"/>
  <c r="F338"/>
  <c r="L332"/>
  <c r="D327"/>
  <c r="J321"/>
  <c r="C337"/>
  <c r="I331"/>
  <c r="O324"/>
  <c r="G319"/>
  <c r="F300"/>
  <c r="F290"/>
  <c r="G301"/>
  <c r="G291"/>
  <c r="F274"/>
  <c r="D338"/>
  <c r="J332"/>
  <c r="B327"/>
  <c r="H321"/>
  <c r="F336"/>
  <c r="L329"/>
  <c r="D324"/>
  <c r="K339"/>
  <c r="C334"/>
  <c r="I328"/>
  <c r="O322"/>
  <c r="B306"/>
  <c r="B296"/>
  <c r="C307"/>
  <c r="C297"/>
  <c r="F277"/>
  <c r="B271"/>
  <c r="H338"/>
  <c r="F327"/>
  <c r="C338"/>
  <c r="I332"/>
  <c r="O326"/>
  <c r="G321"/>
  <c r="N338"/>
  <c r="F333"/>
  <c r="L327"/>
  <c r="D322"/>
  <c r="K337"/>
  <c r="C332"/>
  <c r="I326"/>
  <c r="O319"/>
  <c r="F301"/>
  <c r="F291"/>
  <c r="G302"/>
  <c r="G292"/>
  <c r="B275"/>
  <c r="J267"/>
  <c r="L338"/>
  <c r="D333"/>
  <c r="H339"/>
  <c r="N333"/>
  <c r="F328"/>
  <c r="L322"/>
  <c r="E338"/>
  <c r="K332"/>
  <c r="C327"/>
  <c r="I321"/>
  <c r="F302"/>
  <c r="F292"/>
  <c r="G303"/>
  <c r="G293"/>
  <c r="J275"/>
  <c r="F269"/>
  <c r="F339"/>
  <c r="L333"/>
  <c r="D328"/>
  <c r="J322"/>
  <c r="H337"/>
  <c r="N331"/>
  <c r="F326"/>
  <c r="L319"/>
  <c r="E336"/>
  <c r="K329"/>
  <c r="C324"/>
  <c r="B308"/>
  <c r="B298"/>
  <c r="B288"/>
  <c r="C300"/>
  <c r="C290"/>
  <c r="F272"/>
  <c r="J329"/>
  <c r="I339"/>
  <c r="K333"/>
  <c r="C328"/>
  <c r="I322"/>
  <c r="L337"/>
  <c r="D332"/>
  <c r="J326"/>
  <c r="B321"/>
  <c r="I336"/>
  <c r="O329"/>
  <c r="G324"/>
  <c r="F308"/>
  <c r="F298"/>
  <c r="F288"/>
  <c r="G300"/>
  <c r="G290"/>
  <c r="J272"/>
  <c r="J337"/>
  <c r="B332"/>
  <c r="H326"/>
  <c r="N319"/>
  <c r="H332"/>
  <c r="F321"/>
  <c r="E331"/>
  <c r="C319"/>
  <c r="B290"/>
  <c r="C291"/>
  <c r="L331"/>
  <c r="E334"/>
  <c r="C323"/>
  <c r="D303"/>
  <c r="D293"/>
  <c r="E305"/>
  <c r="E295"/>
  <c r="H275"/>
  <c r="B265"/>
  <c r="J257"/>
  <c r="G272"/>
  <c r="C266"/>
  <c r="K259"/>
  <c r="B322"/>
  <c r="J323"/>
  <c r="G322"/>
  <c r="C296"/>
  <c r="F337"/>
  <c r="G326"/>
  <c r="D296"/>
  <c r="E297"/>
  <c r="F266"/>
  <c r="K274"/>
  <c r="C261"/>
  <c r="N243"/>
  <c r="F238"/>
  <c r="L231"/>
  <c r="D226"/>
  <c r="K241"/>
  <c r="C236"/>
  <c r="I230"/>
  <c r="N214"/>
  <c r="H276"/>
  <c r="H265"/>
  <c r="D259"/>
  <c r="M272"/>
  <c r="I266"/>
  <c r="E260"/>
  <c r="F244"/>
  <c r="L238"/>
  <c r="D233"/>
  <c r="J226"/>
  <c r="C243"/>
  <c r="I236"/>
  <c r="O230"/>
  <c r="F215"/>
  <c r="L209"/>
  <c r="E204"/>
  <c r="H333"/>
  <c r="F322"/>
  <c r="C336"/>
  <c r="I329"/>
  <c r="O323"/>
  <c r="H307"/>
  <c r="F331"/>
  <c r="D319"/>
  <c r="C329"/>
  <c r="B307"/>
  <c r="C308"/>
  <c r="C288"/>
  <c r="H328"/>
  <c r="C333"/>
  <c r="O321"/>
  <c r="D302"/>
  <c r="D292"/>
  <c r="E303"/>
  <c r="E293"/>
  <c r="D274"/>
  <c r="F264"/>
  <c r="B257"/>
  <c r="K271"/>
  <c r="G265"/>
  <c r="C259"/>
  <c r="F243"/>
  <c r="L236"/>
  <c r="D231"/>
  <c r="K246"/>
  <c r="C241"/>
  <c r="I235"/>
  <c r="O229"/>
  <c r="F214"/>
  <c r="D275"/>
  <c r="L264"/>
  <c r="H257"/>
  <c r="E272"/>
  <c r="M265"/>
  <c r="I259"/>
  <c r="L243"/>
  <c r="D238"/>
  <c r="J231"/>
  <c r="B226"/>
  <c r="I241"/>
  <c r="O235"/>
  <c r="G230"/>
  <c r="L214"/>
  <c r="D209"/>
  <c r="F332"/>
  <c r="D321"/>
  <c r="I334"/>
  <c r="O328"/>
  <c r="G323"/>
  <c r="H306"/>
  <c r="H296"/>
  <c r="I307"/>
  <c r="I297"/>
  <c r="L277"/>
  <c r="J266"/>
  <c r="F260"/>
  <c r="C275"/>
  <c r="K267"/>
  <c r="G261"/>
  <c r="F245"/>
  <c r="L239"/>
  <c r="D234"/>
  <c r="H295"/>
  <c r="I296"/>
  <c r="B266"/>
  <c r="G274"/>
  <c r="K260"/>
  <c r="D239"/>
  <c r="J228"/>
  <c r="C244"/>
  <c r="I238"/>
  <c r="O231"/>
  <c r="G226"/>
  <c r="L210"/>
  <c r="D267"/>
  <c r="L260"/>
  <c r="I275"/>
  <c r="E269"/>
  <c r="F324"/>
  <c r="C339"/>
  <c r="B305"/>
  <c r="J276"/>
  <c r="D326"/>
  <c r="M319"/>
  <c r="D291"/>
  <c r="E292"/>
  <c r="J262"/>
  <c r="C271"/>
  <c r="G257"/>
  <c r="L241"/>
  <c r="D236"/>
  <c r="J230"/>
  <c r="C246"/>
  <c r="B336"/>
  <c r="H329"/>
  <c r="N323"/>
  <c r="G339"/>
  <c r="M333"/>
  <c r="E328"/>
  <c r="K322"/>
  <c r="F305"/>
  <c r="F295"/>
  <c r="G306"/>
  <c r="G296"/>
  <c r="B277"/>
  <c r="J270"/>
  <c r="N334"/>
  <c r="F329"/>
  <c r="L323"/>
  <c r="E339"/>
  <c r="J338"/>
  <c r="B333"/>
  <c r="H327"/>
  <c r="N321"/>
  <c r="G337"/>
  <c r="M331"/>
  <c r="E326"/>
  <c r="K319"/>
  <c r="B301"/>
  <c r="B291"/>
  <c r="C302"/>
  <c r="C292"/>
  <c r="J274"/>
  <c r="F267"/>
  <c r="N332"/>
  <c r="L321"/>
  <c r="M334"/>
  <c r="E329"/>
  <c r="K323"/>
  <c r="J336"/>
  <c r="B331"/>
  <c r="H324"/>
  <c r="O339"/>
  <c r="G334"/>
  <c r="M328"/>
  <c r="E323"/>
  <c r="F306"/>
  <c r="F296"/>
  <c r="G307"/>
  <c r="G297"/>
  <c r="J277"/>
  <c r="F271"/>
  <c r="H336"/>
  <c r="D337"/>
  <c r="J331"/>
  <c r="B326"/>
  <c r="H319"/>
  <c r="O334"/>
  <c r="G329"/>
  <c r="M323"/>
  <c r="F307"/>
  <c r="F297"/>
  <c r="G308"/>
  <c r="G298"/>
  <c r="G288"/>
  <c r="B272"/>
  <c r="B337"/>
  <c r="H331"/>
  <c r="N324"/>
  <c r="F319"/>
  <c r="L339"/>
  <c r="D334"/>
  <c r="J328"/>
  <c r="B323"/>
  <c r="I338"/>
  <c r="O332"/>
  <c r="G327"/>
  <c r="M321"/>
  <c r="B303"/>
  <c r="B293"/>
  <c r="C305"/>
  <c r="C295"/>
  <c r="B276"/>
  <c r="J269"/>
  <c r="D336"/>
  <c r="B324"/>
  <c r="O336"/>
  <c r="G331"/>
  <c r="M324"/>
  <c r="V806" i="14"/>
  <c r="H334" i="24"/>
  <c r="N328"/>
  <c r="F323"/>
  <c r="M338"/>
  <c r="E333"/>
  <c r="K327"/>
  <c r="C322"/>
  <c r="F303"/>
  <c r="F293"/>
  <c r="G305"/>
  <c r="G295"/>
  <c r="F276"/>
  <c r="B270"/>
  <c r="N339"/>
  <c r="F334"/>
  <c r="L328"/>
  <c r="D323"/>
  <c r="V807" i="14"/>
  <c r="B338" i="24"/>
  <c r="N326"/>
  <c r="M336"/>
  <c r="K324"/>
  <c r="B300"/>
  <c r="C301"/>
  <c r="B274"/>
  <c r="J319"/>
  <c r="K328"/>
  <c r="D308"/>
  <c r="D298"/>
  <c r="D288"/>
  <c r="E300"/>
  <c r="E290"/>
  <c r="D269"/>
  <c r="F261"/>
  <c r="C276"/>
  <c r="K269"/>
  <c r="G262"/>
  <c r="J327"/>
  <c r="L334"/>
  <c r="I333"/>
  <c r="B295"/>
  <c r="F270"/>
  <c r="I337"/>
  <c r="D306"/>
  <c r="E307"/>
  <c r="H277"/>
  <c r="B260"/>
  <c r="G267"/>
  <c r="D246"/>
  <c r="J240"/>
  <c r="B235"/>
  <c r="H229"/>
  <c r="O244"/>
  <c r="G239"/>
  <c r="M233"/>
  <c r="E228"/>
  <c r="J212"/>
  <c r="D270"/>
  <c r="L261"/>
  <c r="I276"/>
  <c r="E270"/>
  <c r="M262"/>
  <c r="J246"/>
  <c r="B241"/>
  <c r="H235"/>
  <c r="N229"/>
  <c r="G245"/>
  <c r="M239"/>
  <c r="E234"/>
  <c r="K228"/>
  <c r="B213"/>
  <c r="H207"/>
  <c r="B339"/>
  <c r="N327"/>
  <c r="G338"/>
  <c r="M332"/>
  <c r="E327"/>
  <c r="K321"/>
  <c r="H302"/>
  <c r="N336"/>
  <c r="L324"/>
  <c r="K334"/>
  <c r="I323"/>
  <c r="B297"/>
  <c r="C298"/>
  <c r="J271"/>
  <c r="J339"/>
  <c r="K338"/>
  <c r="I327"/>
  <c r="D307"/>
  <c r="D297"/>
  <c r="E308"/>
  <c r="E298"/>
  <c r="E288"/>
  <c r="B267"/>
  <c r="J260"/>
  <c r="G275"/>
  <c r="C269"/>
  <c r="K261"/>
  <c r="J245"/>
  <c r="B240"/>
  <c r="H234"/>
  <c r="N228"/>
  <c r="G244"/>
  <c r="M238"/>
  <c r="E233"/>
  <c r="K226"/>
  <c r="B212"/>
  <c r="L267"/>
  <c r="D261"/>
  <c r="M275"/>
  <c r="I269"/>
  <c r="E262"/>
  <c r="B246"/>
  <c r="H240"/>
  <c r="N234"/>
  <c r="F229"/>
  <c r="M244"/>
  <c r="K233"/>
  <c r="H212"/>
  <c r="L326"/>
  <c r="E332"/>
  <c r="C321"/>
  <c r="H291"/>
  <c r="I292"/>
  <c r="B264"/>
  <c r="G271"/>
  <c r="K257"/>
  <c r="H236"/>
  <c r="I306"/>
  <c r="J259"/>
  <c r="L244"/>
  <c r="G246"/>
  <c r="E235"/>
  <c r="B214"/>
  <c r="H264"/>
  <c r="M271"/>
  <c r="M339"/>
  <c r="D329"/>
  <c r="C306"/>
  <c r="O331"/>
  <c r="E302"/>
  <c r="G277"/>
  <c r="B245"/>
  <c r="N233"/>
  <c r="M243"/>
  <c r="E238"/>
  <c r="K231"/>
  <c r="C226"/>
  <c r="H210"/>
  <c r="L266"/>
  <c r="H260"/>
  <c r="E275"/>
  <c r="M267"/>
  <c r="I261"/>
  <c r="H245"/>
  <c r="N239"/>
  <c r="F234"/>
  <c r="L228"/>
  <c r="E244"/>
  <c r="K238"/>
  <c r="C233"/>
  <c r="I226"/>
  <c r="N210"/>
  <c r="G205"/>
  <c r="L336"/>
  <c r="J324"/>
  <c r="E337"/>
  <c r="K331"/>
  <c r="C326"/>
  <c r="I319"/>
  <c r="H300"/>
  <c r="J333"/>
  <c r="H322"/>
  <c r="G332"/>
  <c r="E321"/>
  <c r="B292"/>
  <c r="C293"/>
  <c r="B269"/>
  <c r="B334"/>
  <c r="G336"/>
  <c r="E324"/>
  <c r="D305"/>
  <c r="D295"/>
  <c r="E306"/>
  <c r="E296"/>
  <c r="L276"/>
  <c r="J265"/>
  <c r="F259"/>
  <c r="C274"/>
  <c r="K266"/>
  <c r="G260"/>
  <c r="H244"/>
  <c r="N238"/>
  <c r="F233"/>
  <c r="L226"/>
  <c r="E243"/>
  <c r="K236"/>
  <c r="C231"/>
  <c r="H215"/>
  <c r="N209"/>
  <c r="D266"/>
  <c r="L259"/>
  <c r="I274"/>
  <c r="E267"/>
  <c r="M260"/>
  <c r="N244"/>
  <c r="F239"/>
  <c r="L233"/>
  <c r="D228"/>
  <c r="K243"/>
  <c r="C238"/>
  <c r="I231"/>
  <c r="N215"/>
  <c r="F210"/>
  <c r="M204"/>
  <c r="J334"/>
  <c r="H323"/>
  <c r="K336"/>
  <c r="C331"/>
  <c r="I324"/>
  <c r="H308"/>
  <c r="H298"/>
  <c r="H288"/>
  <c r="I300"/>
  <c r="I290"/>
  <c r="L269"/>
  <c r="J261"/>
  <c r="G276"/>
  <c r="C270"/>
  <c r="K262"/>
  <c r="H246"/>
  <c r="N240"/>
  <c r="F235"/>
  <c r="L229"/>
  <c r="I301"/>
  <c r="D271"/>
  <c r="C277"/>
  <c r="G264"/>
  <c r="H241"/>
  <c r="F230"/>
  <c r="E245"/>
  <c r="K239"/>
  <c r="C234"/>
  <c r="I228"/>
  <c r="N212"/>
  <c r="L270"/>
  <c r="D262"/>
  <c r="M276"/>
  <c r="I270"/>
  <c r="E264"/>
  <c r="N246"/>
  <c r="F241"/>
  <c r="L230"/>
  <c r="K240"/>
  <c r="I229"/>
  <c r="F208"/>
  <c r="C200"/>
  <c r="M200"/>
  <c r="E215"/>
  <c r="K209"/>
  <c r="D204"/>
  <c r="J198"/>
  <c r="M182"/>
  <c r="D177"/>
  <c r="K171"/>
  <c r="C166"/>
  <c r="E181"/>
  <c r="L174"/>
  <c r="D169"/>
  <c r="J153"/>
  <c r="C148"/>
  <c r="J142"/>
  <c r="B137"/>
  <c r="I152"/>
  <c r="B147"/>
  <c r="I141"/>
  <c r="O135"/>
  <c r="F120"/>
  <c r="N114"/>
  <c r="G109"/>
  <c r="M102"/>
  <c r="E119"/>
  <c r="L245"/>
  <c r="H228"/>
  <c r="E226"/>
  <c r="O198"/>
  <c r="C214"/>
  <c r="B203"/>
  <c r="J181"/>
  <c r="I169"/>
  <c r="C179"/>
  <c r="B168"/>
  <c r="O146"/>
  <c r="N135"/>
  <c r="N145"/>
  <c r="M133"/>
  <c r="M112"/>
  <c r="K122"/>
  <c r="O114"/>
  <c r="H109"/>
  <c r="J207"/>
  <c r="K197"/>
  <c r="C213"/>
  <c r="I207"/>
  <c r="B202"/>
  <c r="H195"/>
  <c r="J179"/>
  <c r="C174"/>
  <c r="I168"/>
  <c r="M183"/>
  <c r="C178"/>
  <c r="J172"/>
  <c r="B167"/>
  <c r="H151"/>
  <c r="O145"/>
  <c r="H140"/>
  <c r="N133"/>
  <c r="G150"/>
  <c r="O143"/>
  <c r="G138"/>
  <c r="L122"/>
  <c r="F117"/>
  <c r="M111"/>
  <c r="E239"/>
  <c r="C228"/>
  <c r="O205"/>
  <c r="N337"/>
  <c r="M337"/>
  <c r="K326"/>
  <c r="H301"/>
  <c r="I302"/>
  <c r="H272"/>
  <c r="K277"/>
  <c r="C265"/>
  <c r="B243"/>
  <c r="N230"/>
  <c r="D277"/>
  <c r="C267"/>
  <c r="J233"/>
  <c r="M240"/>
  <c r="K229"/>
  <c r="H274"/>
  <c r="D257"/>
  <c r="N329"/>
  <c r="O327"/>
  <c r="D301"/>
  <c r="L271"/>
  <c r="K264"/>
  <c r="H239"/>
  <c r="F228"/>
  <c r="I240"/>
  <c r="O234"/>
  <c r="G229"/>
  <c r="L213"/>
  <c r="L272"/>
  <c r="D264"/>
  <c r="M277"/>
  <c r="I271"/>
  <c r="E265"/>
  <c r="M257"/>
  <c r="D243"/>
  <c r="J236"/>
  <c r="B231"/>
  <c r="I246"/>
  <c r="O240"/>
  <c r="G235"/>
  <c r="M229"/>
  <c r="D214"/>
  <c r="J208"/>
  <c r="D331"/>
  <c r="B319"/>
  <c r="O333"/>
  <c r="G328"/>
  <c r="M322"/>
  <c r="H305"/>
  <c r="D339"/>
  <c r="B328"/>
  <c r="O337"/>
  <c r="M326"/>
  <c r="B302"/>
  <c r="C303"/>
  <c r="F275"/>
  <c r="N322"/>
  <c r="M329"/>
  <c r="E319"/>
  <c r="D300"/>
  <c r="D290"/>
  <c r="E301"/>
  <c r="E291"/>
  <c r="H270"/>
  <c r="B262"/>
  <c r="K276"/>
  <c r="G270"/>
  <c r="C264"/>
  <c r="L246"/>
  <c r="D241"/>
  <c r="J235"/>
  <c r="B230"/>
  <c r="I245"/>
  <c r="O239"/>
  <c r="G234"/>
  <c r="M228"/>
  <c r="D213"/>
  <c r="H271"/>
  <c r="H262"/>
  <c r="E277"/>
  <c r="M270"/>
  <c r="I264"/>
  <c r="E257"/>
  <c r="J241"/>
  <c r="B236"/>
  <c r="H230"/>
  <c r="O245"/>
  <c r="G240"/>
  <c r="M234"/>
  <c r="E229"/>
  <c r="J213"/>
  <c r="B208"/>
  <c r="B329"/>
  <c r="O338"/>
  <c r="G333"/>
  <c r="M327"/>
  <c r="E322"/>
  <c r="H303"/>
  <c r="H293"/>
  <c r="I305"/>
  <c r="I295"/>
  <c r="D276"/>
  <c r="F265"/>
  <c r="B259"/>
  <c r="K272"/>
  <c r="G266"/>
  <c r="C260"/>
  <c r="D244"/>
  <c r="J238"/>
  <c r="B233"/>
  <c r="H290"/>
  <c r="I291"/>
  <c r="F262"/>
  <c r="K270"/>
  <c r="C257"/>
  <c r="N235"/>
  <c r="H226"/>
  <c r="O241"/>
  <c r="G236"/>
  <c r="M230"/>
  <c r="D215"/>
  <c r="J209"/>
  <c r="L265"/>
  <c r="H259"/>
  <c r="E274"/>
  <c r="M266"/>
  <c r="I260"/>
  <c r="J244"/>
  <c r="F236"/>
  <c r="E246"/>
  <c r="C235"/>
  <c r="N213"/>
  <c r="G203"/>
  <c r="F207"/>
  <c r="I197"/>
  <c r="O212"/>
  <c r="G207"/>
  <c r="N200"/>
  <c r="F195"/>
  <c r="H179"/>
  <c r="O173"/>
  <c r="G168"/>
  <c r="K183"/>
  <c r="O177"/>
  <c r="H172"/>
  <c r="N166"/>
  <c r="F151"/>
  <c r="M145"/>
  <c r="F140"/>
  <c r="L133"/>
  <c r="E150"/>
  <c r="M143"/>
  <c r="E138"/>
  <c r="J122"/>
  <c r="D117"/>
  <c r="K111"/>
  <c r="C106"/>
  <c r="I121"/>
  <c r="M261"/>
  <c r="J239"/>
  <c r="G238"/>
  <c r="C205"/>
  <c r="K198"/>
  <c r="I208"/>
  <c r="H197"/>
  <c r="B176"/>
  <c r="N184"/>
  <c r="J173"/>
  <c r="H152"/>
  <c r="H141"/>
  <c r="G151"/>
  <c r="G140"/>
  <c r="D119"/>
  <c r="E107"/>
  <c r="E117"/>
  <c r="L111"/>
  <c r="D106"/>
  <c r="C202"/>
  <c r="G215"/>
  <c r="M209"/>
  <c r="F204"/>
  <c r="L198"/>
  <c r="B183"/>
  <c r="F177"/>
  <c r="M171"/>
  <c r="E166"/>
  <c r="G181"/>
  <c r="N174"/>
  <c r="F169"/>
  <c r="L153"/>
  <c r="E148"/>
  <c r="L142"/>
  <c r="D137"/>
  <c r="K152"/>
  <c r="D147"/>
  <c r="K141"/>
  <c r="C136"/>
  <c r="H120"/>
  <c r="B115"/>
  <c r="I109"/>
  <c r="O102"/>
  <c r="G119"/>
  <c r="B113"/>
  <c r="H107"/>
  <c r="N91"/>
  <c r="H86"/>
  <c r="O80"/>
  <c r="N236"/>
  <c r="M246"/>
  <c r="K235"/>
  <c r="H214"/>
  <c r="K203"/>
  <c r="N207"/>
  <c r="M197"/>
  <c r="E213"/>
  <c r="K207"/>
  <c r="D202"/>
  <c r="J195"/>
  <c r="L179"/>
  <c r="E174"/>
  <c r="K168"/>
  <c r="B184"/>
  <c r="E178"/>
  <c r="L172"/>
  <c r="D167"/>
  <c r="J151"/>
  <c r="C146"/>
  <c r="J140"/>
  <c r="B135"/>
  <c r="I150"/>
  <c r="B145"/>
  <c r="I138"/>
  <c r="N122"/>
  <c r="H117"/>
  <c r="O111"/>
  <c r="G106"/>
  <c r="M121"/>
  <c r="G116"/>
  <c r="N110"/>
  <c r="F105"/>
  <c r="G199"/>
  <c r="I308"/>
  <c r="I288"/>
  <c r="B261"/>
  <c r="G269"/>
  <c r="N245"/>
  <c r="L234"/>
  <c r="O246"/>
  <c r="G241"/>
  <c r="M235"/>
  <c r="E230"/>
  <c r="J214"/>
  <c r="L275"/>
  <c r="K121"/>
  <c r="L110"/>
  <c r="J89"/>
  <c r="K78"/>
  <c r="E241"/>
  <c r="N208"/>
  <c r="G202"/>
  <c r="O209"/>
  <c r="N198"/>
  <c r="H177"/>
  <c r="G166"/>
  <c r="B175"/>
  <c r="N153"/>
  <c r="N142"/>
  <c r="M152"/>
  <c r="M141"/>
  <c r="J120"/>
  <c r="K109"/>
  <c r="I119"/>
  <c r="J107"/>
  <c r="H297"/>
  <c r="H267"/>
  <c r="C262"/>
  <c r="D229"/>
  <c r="C239"/>
  <c r="O226"/>
  <c r="H269"/>
  <c r="H261"/>
  <c r="E276"/>
  <c r="M269"/>
  <c r="I262"/>
  <c r="F246"/>
  <c r="L240"/>
  <c r="J229"/>
  <c r="I239"/>
  <c r="G228"/>
  <c r="D207"/>
  <c r="I199"/>
  <c r="K199"/>
  <c r="K214"/>
  <c r="C209"/>
  <c r="J203"/>
  <c r="B198"/>
  <c r="E182"/>
  <c r="J176"/>
  <c r="C171"/>
  <c r="I164"/>
  <c r="K179"/>
  <c r="D174"/>
  <c r="J168"/>
  <c r="B153"/>
  <c r="I147"/>
  <c r="B142"/>
  <c r="H136"/>
  <c r="O151"/>
  <c r="H146"/>
  <c r="O140"/>
  <c r="G135"/>
  <c r="L119"/>
  <c r="F114"/>
  <c r="M107"/>
  <c r="E102"/>
  <c r="M117"/>
  <c r="F112"/>
  <c r="L106"/>
  <c r="E203"/>
  <c r="O215"/>
  <c r="G210"/>
  <c r="N204"/>
  <c r="F199"/>
  <c r="J183"/>
  <c r="N177"/>
  <c r="G172"/>
  <c r="M166"/>
  <c r="B182"/>
  <c r="G176"/>
  <c r="N169"/>
  <c r="F164"/>
  <c r="M148"/>
  <c r="F143"/>
  <c r="L137"/>
  <c r="E153"/>
  <c r="L147"/>
  <c r="E142"/>
  <c r="K136"/>
  <c r="B121"/>
  <c r="J115"/>
  <c r="C110"/>
  <c r="I104"/>
  <c r="O119"/>
  <c r="I114"/>
  <c r="B109"/>
  <c r="H102"/>
  <c r="B87"/>
  <c r="I81"/>
  <c r="B239"/>
  <c r="N226"/>
  <c r="M236"/>
  <c r="J215"/>
  <c r="I204"/>
  <c r="B209"/>
  <c r="G198"/>
  <c r="M213"/>
  <c r="E208"/>
  <c r="L202"/>
  <c r="D197"/>
  <c r="F181"/>
  <c r="M174"/>
  <c r="E169"/>
  <c r="J184"/>
  <c r="M178"/>
  <c r="F173"/>
  <c r="L167"/>
  <c r="D152"/>
  <c r="K146"/>
  <c r="D141"/>
  <c r="J135"/>
  <c r="C151"/>
  <c r="J145"/>
  <c r="C140"/>
  <c r="I133"/>
  <c r="B118"/>
  <c r="I112"/>
  <c r="O106"/>
  <c r="G122"/>
  <c r="O116"/>
  <c r="H111"/>
  <c r="N105"/>
  <c r="I200"/>
  <c r="C215"/>
  <c r="I209"/>
  <c r="B204"/>
  <c r="H198"/>
  <c r="K182"/>
  <c r="B177"/>
  <c r="I171"/>
  <c r="O164"/>
  <c r="C181"/>
  <c r="J174"/>
  <c r="B169"/>
  <c r="H153"/>
  <c r="O147"/>
  <c r="K215"/>
  <c r="J204"/>
  <c r="F183"/>
  <c r="C172"/>
  <c r="K181"/>
  <c r="J169"/>
  <c r="I148"/>
  <c r="L140"/>
  <c r="D135"/>
  <c r="K150"/>
  <c r="D145"/>
  <c r="K138"/>
  <c r="C133"/>
  <c r="J117"/>
  <c r="C112"/>
  <c r="I106"/>
  <c r="O121"/>
  <c r="I116"/>
  <c r="B111"/>
  <c r="H105"/>
  <c r="N89"/>
  <c r="H84"/>
  <c r="O78"/>
  <c r="G73"/>
  <c r="G91"/>
  <c r="F88"/>
  <c r="G76"/>
  <c r="G88"/>
  <c r="B82"/>
  <c r="H76"/>
  <c r="N59"/>
  <c r="F54"/>
  <c r="L48"/>
  <c r="D43"/>
  <c r="K58"/>
  <c r="C53"/>
  <c r="I47"/>
  <c r="O41"/>
  <c r="F26"/>
  <c r="H20"/>
  <c r="K26"/>
  <c r="E259"/>
  <c r="B234"/>
  <c r="M231"/>
  <c r="E202"/>
  <c r="G195"/>
  <c r="F205"/>
  <c r="C184"/>
  <c r="M172"/>
  <c r="H182"/>
  <c r="F171"/>
  <c r="D150"/>
  <c r="D138"/>
  <c r="D148"/>
  <c r="C137"/>
  <c r="B116"/>
  <c r="O104"/>
  <c r="C116"/>
  <c r="J110"/>
  <c r="B105"/>
  <c r="M198"/>
  <c r="E214"/>
  <c r="K208"/>
  <c r="D203"/>
  <c r="J197"/>
  <c r="L181"/>
  <c r="D176"/>
  <c r="K169"/>
  <c r="C164"/>
  <c r="E179"/>
  <c r="L173"/>
  <c r="D168"/>
  <c r="J152"/>
  <c r="C147"/>
  <c r="J141"/>
  <c r="B136"/>
  <c r="I151"/>
  <c r="B146"/>
  <c r="I140"/>
  <c r="O133"/>
  <c r="F119"/>
  <c r="O112"/>
  <c r="G107"/>
  <c r="M122"/>
  <c r="G117"/>
  <c r="N111"/>
  <c r="F106"/>
  <c r="L90"/>
  <c r="F85"/>
  <c r="M79"/>
  <c r="J234"/>
  <c r="I244"/>
  <c r="G233"/>
  <c r="D212"/>
  <c r="I202"/>
  <c r="K204"/>
  <c r="K195"/>
  <c r="C212"/>
  <c r="J205"/>
  <c r="B200"/>
  <c r="G184"/>
  <c r="J178"/>
  <c r="C173"/>
  <c r="I167"/>
  <c r="L182"/>
  <c r="C177"/>
  <c r="J171"/>
  <c r="B166"/>
  <c r="H150"/>
  <c r="B144"/>
  <c r="H138"/>
  <c r="O153"/>
  <c r="H148"/>
  <c r="O142"/>
  <c r="G137"/>
  <c r="L121"/>
  <c r="F116"/>
  <c r="M110"/>
  <c r="E105"/>
  <c r="K120"/>
  <c r="E115"/>
  <c r="L109"/>
  <c r="D208"/>
  <c r="O197"/>
  <c r="I303"/>
  <c r="L274"/>
  <c r="F257"/>
  <c r="K265"/>
  <c r="J243"/>
  <c r="H231"/>
  <c r="M245"/>
  <c r="E240"/>
  <c r="K234"/>
  <c r="C229"/>
  <c r="H213"/>
  <c r="D272"/>
  <c r="L262"/>
  <c r="I277"/>
  <c r="E271"/>
  <c r="M264"/>
  <c r="I257"/>
  <c r="N241"/>
  <c r="N231"/>
  <c r="M241"/>
  <c r="K230"/>
  <c r="H209"/>
  <c r="K200"/>
  <c r="O202"/>
  <c r="M215"/>
  <c r="E210"/>
  <c r="L204"/>
  <c r="D199"/>
  <c r="H183"/>
  <c r="L177"/>
  <c r="E172"/>
  <c r="K166"/>
  <c r="M181"/>
  <c r="E176"/>
  <c r="L169"/>
  <c r="D164"/>
  <c r="K148"/>
  <c r="D143"/>
  <c r="J137"/>
  <c r="C153"/>
  <c r="J147"/>
  <c r="C142"/>
  <c r="I136"/>
  <c r="N120"/>
  <c r="H115"/>
  <c r="O109"/>
  <c r="G104"/>
  <c r="M119"/>
  <c r="G114"/>
  <c r="N107"/>
  <c r="I205"/>
  <c r="C197"/>
  <c r="I212"/>
  <c r="B206"/>
  <c r="H200"/>
  <c r="M184"/>
  <c r="B179"/>
  <c r="I173"/>
  <c r="O167"/>
  <c r="E183"/>
  <c r="I177"/>
  <c r="B172"/>
  <c r="H166"/>
  <c r="N150"/>
  <c r="G145"/>
  <c r="N138"/>
  <c r="F133"/>
  <c r="N148"/>
  <c r="G143"/>
  <c r="M137"/>
  <c r="D122"/>
  <c r="L116"/>
  <c r="E111"/>
  <c r="K105"/>
  <c r="C121"/>
  <c r="K115"/>
  <c r="D110"/>
  <c r="J104"/>
  <c r="B89"/>
  <c r="J83"/>
  <c r="C78"/>
  <c r="D230"/>
  <c r="C240"/>
  <c r="O228"/>
  <c r="L207"/>
  <c r="M199"/>
  <c r="E200"/>
  <c r="O214"/>
  <c r="G209"/>
  <c r="N203"/>
  <c r="F198"/>
  <c r="I182"/>
  <c r="N176"/>
  <c r="G171"/>
  <c r="M164"/>
  <c r="O179"/>
  <c r="H174"/>
  <c r="N168"/>
  <c r="F153"/>
  <c r="M147"/>
  <c r="F142"/>
  <c r="L136"/>
  <c r="E152"/>
  <c r="L146"/>
  <c r="E141"/>
  <c r="K135"/>
  <c r="B120"/>
  <c r="J114"/>
  <c r="C109"/>
  <c r="I102"/>
  <c r="C118"/>
  <c r="J112"/>
  <c r="B107"/>
  <c r="M203"/>
  <c r="E195"/>
  <c r="K210"/>
  <c r="D205"/>
  <c r="J199"/>
  <c r="N183"/>
  <c r="D178"/>
  <c r="K172"/>
  <c r="C167"/>
  <c r="F182"/>
  <c r="K176"/>
  <c r="D171"/>
  <c r="J164"/>
  <c r="B150"/>
  <c r="J143"/>
  <c r="M207"/>
  <c r="L195"/>
  <c r="G174"/>
  <c r="D184"/>
  <c r="N172"/>
  <c r="L151"/>
  <c r="N141"/>
  <c r="F136"/>
  <c r="M151"/>
  <c r="F146"/>
  <c r="M140"/>
  <c r="E135"/>
  <c r="J119"/>
  <c r="D114"/>
  <c r="K107"/>
  <c r="C102"/>
  <c r="K117"/>
  <c r="D112"/>
  <c r="J106"/>
  <c r="B91"/>
  <c r="J85"/>
  <c r="C80"/>
  <c r="I74"/>
  <c r="K73"/>
  <c r="J90"/>
  <c r="K79"/>
  <c r="I89"/>
  <c r="C84"/>
  <c r="J78"/>
  <c r="B73"/>
  <c r="H56"/>
  <c r="N49"/>
  <c r="F44"/>
  <c r="M59"/>
  <c r="E54"/>
  <c r="K48"/>
  <c r="C43"/>
  <c r="H27"/>
  <c r="J21"/>
  <c r="O28"/>
  <c r="I17"/>
  <c r="H91"/>
  <c r="I80"/>
  <c r="G90"/>
  <c r="I84"/>
  <c r="D89"/>
  <c r="M88"/>
  <c r="D80"/>
  <c r="J74"/>
  <c r="B58"/>
  <c r="H52"/>
  <c r="N46"/>
  <c r="F41"/>
  <c r="M56"/>
  <c r="E51"/>
  <c r="K44"/>
  <c r="E106"/>
  <c r="E116"/>
  <c r="D105"/>
  <c r="D84"/>
  <c r="F231"/>
  <c r="C230"/>
  <c r="G200"/>
  <c r="I215"/>
  <c r="H204"/>
  <c r="D183"/>
  <c r="O171"/>
  <c r="I181"/>
  <c r="H169"/>
  <c r="G148"/>
  <c r="F137"/>
  <c r="F147"/>
  <c r="E136"/>
  <c r="D115"/>
  <c r="C104"/>
  <c r="C114"/>
  <c r="O204"/>
  <c r="I298"/>
  <c r="K275"/>
  <c r="F240"/>
  <c r="K244"/>
  <c r="I233"/>
  <c r="F212"/>
  <c r="D265"/>
  <c r="L257"/>
  <c r="I272"/>
  <c r="E266"/>
  <c r="M259"/>
  <c r="B244"/>
  <c r="D235"/>
  <c r="C245"/>
  <c r="O233"/>
  <c r="L212"/>
  <c r="M202"/>
  <c r="E205"/>
  <c r="O195"/>
  <c r="G212"/>
  <c r="N205"/>
  <c r="F200"/>
  <c r="K184"/>
  <c r="N178"/>
  <c r="G173"/>
  <c r="M167"/>
  <c r="C183"/>
  <c r="G177"/>
  <c r="N171"/>
  <c r="F166"/>
  <c r="L150"/>
  <c r="E145"/>
  <c r="L138"/>
  <c r="D133"/>
  <c r="L148"/>
  <c r="E143"/>
  <c r="K137"/>
  <c r="B122"/>
  <c r="J116"/>
  <c r="C111"/>
  <c r="I105"/>
  <c r="O120"/>
  <c r="I115"/>
  <c r="B110"/>
  <c r="L208"/>
  <c r="E198"/>
  <c r="K213"/>
  <c r="C208"/>
  <c r="J202"/>
  <c r="B197"/>
  <c r="D181"/>
  <c r="K174"/>
  <c r="C169"/>
  <c r="H184"/>
  <c r="K178"/>
  <c r="D173"/>
  <c r="J167"/>
  <c r="B152"/>
  <c r="I146"/>
  <c r="B141"/>
  <c r="H135"/>
  <c r="O150"/>
  <c r="H145"/>
  <c r="O138"/>
  <c r="G133"/>
  <c r="N117"/>
  <c r="G112"/>
  <c r="M106"/>
  <c r="E122"/>
  <c r="M116"/>
  <c r="F111"/>
  <c r="L105"/>
  <c r="D90"/>
  <c r="L84"/>
  <c r="E79"/>
  <c r="H233"/>
  <c r="G243"/>
  <c r="E231"/>
  <c r="B210"/>
  <c r="O200"/>
  <c r="I203"/>
  <c r="C195"/>
  <c r="I210"/>
  <c r="B205"/>
  <c r="H199"/>
  <c r="L183"/>
  <c r="B178"/>
  <c r="I172"/>
  <c r="O166"/>
  <c r="D182"/>
  <c r="I176"/>
  <c r="B171"/>
  <c r="H164"/>
  <c r="O148"/>
  <c r="H143"/>
  <c r="N137"/>
  <c r="G153"/>
  <c r="N147"/>
  <c r="G142"/>
  <c r="M136"/>
  <c r="D121"/>
  <c r="L115"/>
  <c r="E110"/>
  <c r="K104"/>
  <c r="C120"/>
  <c r="K114"/>
  <c r="D109"/>
  <c r="B207"/>
  <c r="G197"/>
  <c r="M212"/>
  <c r="E207"/>
  <c r="L200"/>
  <c r="D195"/>
  <c r="F179"/>
  <c r="M173"/>
  <c r="E168"/>
  <c r="I183"/>
  <c r="M177"/>
  <c r="F172"/>
  <c r="L166"/>
  <c r="D151"/>
  <c r="K145"/>
  <c r="C210"/>
  <c r="B199"/>
  <c r="J177"/>
  <c r="I166"/>
  <c r="C176"/>
  <c r="B164"/>
  <c r="B143"/>
  <c r="H137"/>
  <c r="O152"/>
  <c r="H147"/>
  <c r="O141"/>
  <c r="G136"/>
  <c r="L120"/>
  <c r="F115"/>
  <c r="M109"/>
  <c r="E104"/>
  <c r="K119"/>
  <c r="E114"/>
  <c r="L107"/>
  <c r="D102"/>
  <c r="L86"/>
  <c r="E81"/>
  <c r="K75"/>
  <c r="O75"/>
  <c r="N102"/>
  <c r="O81"/>
  <c r="M91"/>
  <c r="E85"/>
  <c r="L79"/>
  <c r="D74"/>
  <c r="J57"/>
  <c r="B52"/>
  <c r="H46"/>
  <c r="N39"/>
  <c r="G56"/>
  <c r="M49"/>
  <c r="E44"/>
  <c r="J28"/>
  <c r="B23"/>
  <c r="B13"/>
  <c r="I265"/>
  <c r="H243"/>
  <c r="O243"/>
  <c r="J210"/>
  <c r="C204"/>
  <c r="M210"/>
  <c r="L199"/>
  <c r="F178"/>
  <c r="E167"/>
  <c r="M176"/>
  <c r="L164"/>
  <c r="L143"/>
  <c r="K153"/>
  <c r="K142"/>
  <c r="H121"/>
  <c r="I110"/>
  <c r="G120"/>
  <c r="N112"/>
  <c r="F107"/>
  <c r="G204"/>
  <c r="I195"/>
  <c r="O210"/>
  <c r="H205"/>
  <c r="N199"/>
  <c r="E184"/>
  <c r="H178"/>
  <c r="O172"/>
  <c r="G167"/>
  <c r="J182"/>
  <c r="O176"/>
  <c r="H171"/>
  <c r="N164"/>
  <c r="F150"/>
  <c r="N143"/>
  <c r="F138"/>
  <c r="M153"/>
  <c r="F148"/>
  <c r="M142"/>
  <c r="E137"/>
  <c r="J121"/>
  <c r="D116"/>
  <c r="K110"/>
  <c r="C105"/>
  <c r="I120"/>
  <c r="C115"/>
  <c r="J109"/>
  <c r="B104"/>
  <c r="H88"/>
  <c r="B83"/>
  <c r="D240"/>
  <c r="B229"/>
  <c r="O238"/>
  <c r="M226"/>
  <c r="K205"/>
  <c r="E199"/>
  <c r="C199"/>
  <c r="G214"/>
  <c r="M208"/>
  <c r="F203"/>
  <c r="L197"/>
  <c r="N181"/>
  <c r="F176"/>
  <c r="M169"/>
  <c r="E164"/>
  <c r="G179"/>
  <c r="N173"/>
  <c r="F168"/>
  <c r="L152"/>
  <c r="E147"/>
  <c r="L141"/>
  <c r="D136"/>
  <c r="K151"/>
  <c r="D146"/>
  <c r="K140"/>
  <c r="C135"/>
  <c r="H119"/>
  <c r="B114"/>
  <c r="I107"/>
  <c r="O122"/>
  <c r="I117"/>
  <c r="B112"/>
  <c r="H106"/>
  <c r="K202"/>
  <c r="H292"/>
  <c r="I293"/>
  <c r="J264"/>
  <c r="C272"/>
  <c r="G259"/>
  <c r="B238"/>
  <c r="B228"/>
  <c r="I243"/>
  <c r="O236"/>
  <c r="G231"/>
  <c r="L215"/>
  <c r="D210"/>
  <c r="H266"/>
  <c r="D260"/>
  <c r="M274"/>
  <c r="I267"/>
  <c r="E261"/>
  <c r="D245"/>
  <c r="H238"/>
  <c r="F226"/>
  <c r="E236"/>
  <c r="B215"/>
  <c r="O203"/>
  <c r="H208"/>
  <c r="C198"/>
  <c r="I213"/>
  <c r="O207"/>
  <c r="H202"/>
  <c r="N195"/>
  <c r="B181"/>
  <c r="I174"/>
  <c r="O168"/>
  <c r="F184"/>
  <c r="I178"/>
  <c r="B173"/>
  <c r="H167"/>
  <c r="N151"/>
  <c r="G146"/>
  <c r="N140"/>
  <c r="F135"/>
  <c r="M150"/>
  <c r="F145"/>
  <c r="M138"/>
  <c r="E133"/>
  <c r="L117"/>
  <c r="E112"/>
  <c r="K106"/>
  <c r="C122"/>
  <c r="K116"/>
  <c r="D111"/>
  <c r="J105"/>
  <c r="O199"/>
  <c r="M214"/>
  <c r="E209"/>
  <c r="L203"/>
  <c r="D198"/>
  <c r="G182"/>
  <c r="L176"/>
  <c r="E171"/>
  <c r="K164"/>
  <c r="M179"/>
  <c r="F174"/>
  <c r="L168"/>
  <c r="D153"/>
  <c r="K147"/>
  <c r="D142"/>
  <c r="J136"/>
  <c r="C152"/>
  <c r="J146"/>
  <c r="C141"/>
  <c r="I135"/>
  <c r="N119"/>
  <c r="H114"/>
  <c r="O107"/>
  <c r="G102"/>
  <c r="O117"/>
  <c r="H112"/>
  <c r="N106"/>
  <c r="F91"/>
  <c r="N85"/>
  <c r="G80"/>
  <c r="L235"/>
  <c r="K245"/>
  <c r="I234"/>
  <c r="F213"/>
  <c r="C203"/>
  <c r="M205"/>
  <c r="E197"/>
  <c r="K212"/>
  <c r="C207"/>
  <c r="J200"/>
  <c r="B195"/>
  <c r="D179"/>
  <c r="K173"/>
  <c r="C168"/>
  <c r="G183"/>
  <c r="K177"/>
  <c r="D172"/>
  <c r="J166"/>
  <c r="B151"/>
  <c r="I145"/>
  <c r="B140"/>
  <c r="H133"/>
  <c r="B149"/>
  <c r="I143"/>
  <c r="O137"/>
  <c r="F122"/>
  <c r="N116"/>
  <c r="G111"/>
  <c r="M105"/>
  <c r="E121"/>
  <c r="M115"/>
  <c r="F110"/>
  <c r="F209"/>
  <c r="I198"/>
  <c r="O213"/>
  <c r="G208"/>
  <c r="N202"/>
  <c r="F197"/>
  <c r="H181"/>
  <c r="O174"/>
  <c r="G169"/>
  <c r="L184"/>
  <c r="O178"/>
  <c r="H173"/>
  <c r="N167"/>
  <c r="F152"/>
  <c r="M146"/>
  <c r="G213"/>
  <c r="F202"/>
  <c r="N179"/>
  <c r="M168"/>
  <c r="G178"/>
  <c r="F167"/>
  <c r="E146"/>
  <c r="J138"/>
  <c r="B133"/>
  <c r="J148"/>
  <c r="C143"/>
  <c r="I137"/>
  <c r="N121"/>
  <c r="H116"/>
  <c r="O110"/>
  <c r="G105"/>
  <c r="M120"/>
  <c r="G115"/>
  <c r="N109"/>
  <c r="F104"/>
  <c r="L88"/>
  <c r="F83"/>
  <c r="M76"/>
  <c r="E71"/>
  <c r="E90"/>
  <c r="D85"/>
  <c r="C74"/>
  <c r="G86"/>
  <c r="N80"/>
  <c r="F75"/>
  <c r="L58"/>
  <c r="D53"/>
  <c r="J47"/>
  <c r="B42"/>
  <c r="I57"/>
  <c r="O51"/>
  <c r="G46"/>
  <c r="M39"/>
  <c r="D25"/>
  <c r="L17"/>
  <c r="G23"/>
  <c r="C11"/>
  <c r="B86"/>
  <c r="O74"/>
  <c r="M86"/>
  <c r="O13"/>
  <c r="E78"/>
  <c r="G83"/>
  <c r="N76"/>
  <c r="F71"/>
  <c r="L54"/>
  <c r="D49"/>
  <c r="J43"/>
  <c r="C59"/>
  <c r="I53"/>
  <c r="O47"/>
  <c r="G42"/>
  <c r="L26"/>
  <c r="D21"/>
  <c r="J15"/>
  <c r="B10"/>
  <c r="G25"/>
  <c r="M18"/>
  <c r="E13"/>
  <c r="N21"/>
  <c r="F11"/>
  <c r="K18"/>
  <c r="O91"/>
  <c r="N88"/>
  <c r="O76"/>
  <c r="K88"/>
  <c r="E83"/>
  <c r="L76"/>
  <c r="D71"/>
  <c r="J54"/>
  <c r="B49"/>
  <c r="H43"/>
  <c r="O58"/>
  <c r="G53"/>
  <c r="M47"/>
  <c r="E42"/>
  <c r="J26"/>
  <c r="L20"/>
  <c r="E27"/>
  <c r="M15"/>
  <c r="L89"/>
  <c r="M78"/>
  <c r="C89"/>
  <c r="K83"/>
  <c r="D78"/>
  <c r="J71"/>
  <c r="J51"/>
  <c r="C57"/>
  <c r="M43"/>
  <c r="H21"/>
  <c r="I23"/>
  <c r="C10"/>
  <c r="I22"/>
  <c r="K13"/>
  <c r="O208"/>
  <c r="N197"/>
  <c r="H176"/>
  <c r="G164"/>
  <c r="B174"/>
  <c r="N152"/>
  <c r="H142"/>
  <c r="N136"/>
  <c r="G152"/>
  <c r="N146"/>
  <c r="G141"/>
  <c r="M135"/>
  <c r="D120"/>
  <c r="L114"/>
  <c r="E109"/>
  <c r="K102"/>
  <c r="C119"/>
  <c r="L112"/>
  <c r="D107"/>
  <c r="H23"/>
  <c r="F12"/>
  <c r="C22"/>
  <c r="O10"/>
  <c r="I27"/>
  <c r="H104"/>
  <c r="G71"/>
  <c r="B80"/>
  <c r="N57"/>
  <c r="L46"/>
  <c r="K56"/>
  <c r="I44"/>
  <c r="F23"/>
  <c r="K21"/>
  <c r="F84"/>
  <c r="O85"/>
  <c r="N74"/>
  <c r="B46"/>
  <c r="D28"/>
  <c r="K15"/>
  <c r="E12"/>
  <c r="H203"/>
  <c r="O169"/>
  <c r="H168"/>
  <c r="D140"/>
  <c r="C150"/>
  <c r="C138"/>
  <c r="B117"/>
  <c r="O105"/>
  <c r="O115"/>
  <c r="N104"/>
  <c r="F89"/>
  <c r="N83"/>
  <c r="G78"/>
  <c r="M71"/>
  <c r="M90"/>
  <c r="F86"/>
  <c r="E75"/>
  <c r="O86"/>
  <c r="H81"/>
  <c r="N75"/>
  <c r="F59"/>
  <c r="L53"/>
  <c r="D48"/>
  <c r="J42"/>
  <c r="C58"/>
  <c r="I52"/>
  <c r="O46"/>
  <c r="G41"/>
  <c r="L25"/>
  <c r="J18"/>
  <c r="E25"/>
  <c r="I12"/>
  <c r="B88"/>
  <c r="C76"/>
  <c r="E88"/>
  <c r="N81"/>
  <c r="F76"/>
  <c r="L59"/>
  <c r="D54"/>
  <c r="J48"/>
  <c r="B43"/>
  <c r="I58"/>
  <c r="O52"/>
  <c r="G47"/>
  <c r="M41"/>
  <c r="D26"/>
  <c r="J20"/>
  <c r="B15"/>
  <c r="H8"/>
  <c r="M23"/>
  <c r="E18"/>
  <c r="K12"/>
  <c r="B18"/>
  <c r="H10"/>
  <c r="K16"/>
  <c r="C91"/>
  <c r="N86"/>
  <c r="M75"/>
  <c r="C88"/>
  <c r="L81"/>
  <c r="D76"/>
  <c r="J59"/>
  <c r="B54"/>
  <c r="H48"/>
  <c r="N42"/>
  <c r="G58"/>
  <c r="M52"/>
  <c r="E47"/>
  <c r="K41"/>
  <c r="B26"/>
  <c r="D20"/>
  <c r="C26"/>
  <c r="C13"/>
  <c r="J88"/>
  <c r="K76"/>
  <c r="I88"/>
  <c r="C83"/>
  <c r="J76"/>
  <c r="B71"/>
  <c r="H54"/>
  <c r="N48"/>
  <c r="F43"/>
  <c r="M58"/>
  <c r="E53"/>
  <c r="K47"/>
  <c r="C42"/>
  <c r="H26"/>
  <c r="N20"/>
  <c r="F15"/>
  <c r="L8"/>
  <c r="C25"/>
  <c r="I18"/>
  <c r="O12"/>
  <c r="N18"/>
  <c r="B11"/>
  <c r="G21"/>
  <c r="G11"/>
  <c r="O11"/>
  <c r="H49"/>
  <c r="J41"/>
  <c r="M53"/>
  <c r="B27"/>
  <c r="F10"/>
  <c r="I13"/>
  <c r="E15"/>
  <c r="L104"/>
  <c r="K71"/>
  <c r="F81"/>
  <c r="L75"/>
  <c r="D59"/>
  <c r="J53"/>
  <c r="B48"/>
  <c r="H42"/>
  <c r="O57"/>
  <c r="G52"/>
  <c r="M46"/>
  <c r="E41"/>
  <c r="J25"/>
  <c r="B20"/>
  <c r="H13"/>
  <c r="M28"/>
  <c r="E23"/>
  <c r="K17"/>
  <c r="C12"/>
  <c r="N16"/>
  <c r="J8"/>
  <c r="M12"/>
  <c r="I90"/>
  <c r="L85"/>
  <c r="K74"/>
  <c r="K86"/>
  <c r="D81"/>
  <c r="J75"/>
  <c r="B59"/>
  <c r="H53"/>
  <c r="N47"/>
  <c r="F42"/>
  <c r="M57"/>
  <c r="E52"/>
  <c r="K46"/>
  <c r="C41"/>
  <c r="H25"/>
  <c r="F18"/>
  <c r="O23"/>
  <c r="K11"/>
  <c r="J86"/>
  <c r="I75"/>
  <c r="C87"/>
  <c r="J81"/>
  <c r="B76"/>
  <c r="H59"/>
  <c r="F48"/>
  <c r="K52"/>
  <c r="I41"/>
  <c r="B17"/>
  <c r="O17"/>
  <c r="H17"/>
  <c r="E17"/>
  <c r="M195"/>
  <c r="L205"/>
  <c r="I184"/>
  <c r="E173"/>
  <c r="N182"/>
  <c r="L171"/>
  <c r="J150"/>
  <c r="F141"/>
  <c r="L135"/>
  <c r="E151"/>
  <c r="L145"/>
  <c r="E140"/>
  <c r="K133"/>
  <c r="B119"/>
  <c r="K112"/>
  <c r="C107"/>
  <c r="I122"/>
  <c r="C117"/>
  <c r="J111"/>
  <c r="B106"/>
  <c r="H90"/>
  <c r="B85"/>
  <c r="I79"/>
  <c r="O73"/>
  <c r="I71"/>
  <c r="H89"/>
  <c r="I78"/>
  <c r="O88"/>
  <c r="I83"/>
  <c r="B78"/>
  <c r="H71"/>
  <c r="N54"/>
  <c r="F49"/>
  <c r="L43"/>
  <c r="E59"/>
  <c r="K53"/>
  <c r="C48"/>
  <c r="I42"/>
  <c r="N26"/>
  <c r="B21"/>
  <c r="M27"/>
  <c r="G16"/>
  <c r="F90"/>
  <c r="G79"/>
  <c r="G89"/>
  <c r="O83"/>
  <c r="H78"/>
  <c r="N71"/>
  <c r="F56"/>
  <c r="L49"/>
  <c r="D44"/>
  <c r="K59"/>
  <c r="C54"/>
  <c r="I48"/>
  <c r="O42"/>
  <c r="F27"/>
  <c r="L21"/>
  <c r="D16"/>
  <c r="J10"/>
  <c r="O25"/>
  <c r="G20"/>
  <c r="M13"/>
  <c r="E8"/>
  <c r="D12"/>
  <c r="O21"/>
  <c r="C73"/>
  <c r="B90"/>
  <c r="C79"/>
  <c r="E89"/>
  <c r="M83"/>
  <c r="F78"/>
  <c r="L71"/>
  <c r="D56"/>
  <c r="J49"/>
  <c r="B44"/>
  <c r="I59"/>
  <c r="O53"/>
  <c r="G48"/>
  <c r="M42"/>
  <c r="D27"/>
  <c r="F21"/>
  <c r="G28"/>
  <c r="O16"/>
  <c r="N90"/>
  <c r="O79"/>
  <c r="M89"/>
  <c r="E84"/>
  <c r="L78"/>
  <c r="D73"/>
  <c r="J56"/>
  <c r="B51"/>
  <c r="H44"/>
  <c r="O59"/>
  <c r="G54"/>
  <c r="M48"/>
  <c r="E43"/>
  <c r="J27"/>
  <c r="B22"/>
  <c r="H16"/>
  <c r="N10"/>
  <c r="E26"/>
  <c r="K20"/>
  <c r="C15"/>
  <c r="I8"/>
  <c r="H12"/>
  <c r="K23"/>
  <c r="G13"/>
  <c r="I15"/>
  <c r="L52"/>
  <c r="L42"/>
  <c r="O54"/>
  <c r="O44"/>
  <c r="N25"/>
  <c r="N15"/>
  <c r="D8"/>
  <c r="E21"/>
  <c r="E11"/>
  <c r="D10"/>
  <c r="E10"/>
  <c r="K42"/>
  <c r="L13"/>
  <c r="C20"/>
  <c r="M25"/>
  <c r="C39"/>
  <c r="N17"/>
  <c r="K27"/>
  <c r="I16"/>
  <c r="H15"/>
  <c r="I76"/>
  <c r="H83"/>
  <c r="I85"/>
  <c r="H74"/>
  <c r="F52"/>
  <c r="D41"/>
  <c r="C51"/>
  <c r="N28"/>
  <c r="D15"/>
  <c r="G8"/>
  <c r="E73"/>
  <c r="H80"/>
  <c r="D57"/>
  <c r="G49"/>
  <c r="H11"/>
  <c r="J11"/>
  <c r="I214"/>
  <c r="C182"/>
  <c r="I179"/>
  <c r="G147"/>
  <c r="J133"/>
  <c r="K143"/>
  <c r="H122"/>
  <c r="I111"/>
  <c r="G121"/>
  <c r="H110"/>
  <c r="J91"/>
  <c r="D86"/>
  <c r="K80"/>
  <c r="C75"/>
  <c r="M74"/>
  <c r="L91"/>
  <c r="M80"/>
  <c r="K90"/>
  <c r="K84"/>
  <c r="D79"/>
  <c r="J73"/>
  <c r="B57"/>
  <c r="H51"/>
  <c r="N44"/>
  <c r="F39"/>
  <c r="M54"/>
  <c r="E49"/>
  <c r="K43"/>
  <c r="B28"/>
  <c r="H22"/>
  <c r="L10"/>
  <c r="O18"/>
  <c r="J102"/>
  <c r="K81"/>
  <c r="I91"/>
  <c r="C85"/>
  <c r="J79"/>
  <c r="B74"/>
  <c r="H57"/>
  <c r="N51"/>
  <c r="F46"/>
  <c r="L39"/>
  <c r="E56"/>
  <c r="K49"/>
  <c r="C44"/>
  <c r="H28"/>
  <c r="N22"/>
  <c r="F17"/>
  <c r="L11"/>
  <c r="C27"/>
  <c r="I21"/>
  <c r="O15"/>
  <c r="G10"/>
  <c r="J13"/>
  <c r="G26"/>
  <c r="G75"/>
  <c r="F102"/>
  <c r="G81"/>
  <c r="E91"/>
  <c r="O84"/>
  <c r="H79"/>
  <c r="N73"/>
  <c r="F57"/>
  <c r="L51"/>
  <c r="D46"/>
  <c r="J39"/>
  <c r="C56"/>
  <c r="I49"/>
  <c r="O43"/>
  <c r="F28"/>
  <c r="L22"/>
  <c r="N11"/>
  <c r="I20"/>
  <c r="D104"/>
  <c r="D83"/>
  <c r="C71"/>
  <c r="G85"/>
  <c r="N79"/>
  <c r="F74"/>
  <c r="L57"/>
  <c r="D52"/>
  <c r="J46"/>
  <c r="B41"/>
  <c r="I56"/>
  <c r="O49"/>
  <c r="G44"/>
  <c r="L28"/>
  <c r="D23"/>
  <c r="J17"/>
  <c r="B12"/>
  <c r="G27"/>
  <c r="M21"/>
  <c r="E16"/>
  <c r="K10"/>
  <c r="N13"/>
  <c r="O26"/>
  <c r="C16"/>
  <c r="M20"/>
  <c r="N53"/>
  <c r="N43"/>
  <c r="E58"/>
  <c r="E48"/>
  <c r="D18"/>
  <c r="G22"/>
  <c r="F13"/>
  <c r="C21"/>
  <c r="L83"/>
  <c r="K85"/>
  <c r="B79"/>
  <c r="H73"/>
  <c r="N56"/>
  <c r="F51"/>
  <c r="L44"/>
  <c r="D39"/>
  <c r="K54"/>
  <c r="C49"/>
  <c r="I43"/>
  <c r="N27"/>
  <c r="F22"/>
  <c r="L16"/>
  <c r="D11"/>
  <c r="I26"/>
  <c r="O20"/>
  <c r="G15"/>
  <c r="M8"/>
  <c r="L12"/>
  <c r="I25"/>
  <c r="E74"/>
  <c r="D91"/>
  <c r="E80"/>
  <c r="C90"/>
  <c r="G84"/>
  <c r="N78"/>
  <c r="F73"/>
  <c r="L56"/>
  <c r="D51"/>
  <c r="J44"/>
  <c r="B39"/>
  <c r="I54"/>
  <c r="O48"/>
  <c r="G43"/>
  <c r="L27"/>
  <c r="D22"/>
  <c r="N8"/>
  <c r="G18"/>
  <c r="B102"/>
  <c r="C81"/>
  <c r="O90"/>
  <c r="M84"/>
  <c r="F79"/>
  <c r="L73"/>
  <c r="B56"/>
  <c r="H39"/>
  <c r="C47"/>
  <c r="L23"/>
  <c r="O27"/>
  <c r="G12"/>
  <c r="C28"/>
  <c r="C23"/>
  <c r="E212"/>
  <c r="D200"/>
  <c r="L178"/>
  <c r="K167"/>
  <c r="E177"/>
  <c r="D166"/>
  <c r="C145"/>
  <c r="B138"/>
  <c r="I153"/>
  <c r="B148"/>
  <c r="I142"/>
  <c r="O136"/>
  <c r="F121"/>
  <c r="N115"/>
  <c r="G110"/>
  <c r="M104"/>
  <c r="E120"/>
  <c r="M114"/>
  <c r="F109"/>
  <c r="L102"/>
  <c r="D88"/>
  <c r="M81"/>
  <c r="E76"/>
  <c r="K91"/>
  <c r="K89"/>
  <c r="B84"/>
  <c r="O71"/>
  <c r="M85"/>
  <c r="F80"/>
  <c r="L74"/>
  <c r="D58"/>
  <c r="J52"/>
  <c r="B47"/>
  <c r="H41"/>
  <c r="O56"/>
  <c r="G51"/>
  <c r="M44"/>
  <c r="E39"/>
  <c r="J23"/>
  <c r="F16"/>
  <c r="E22"/>
  <c r="O8"/>
  <c r="N84"/>
  <c r="M73"/>
  <c r="E86"/>
  <c r="L80"/>
  <c r="D75"/>
  <c r="J58"/>
  <c r="B53"/>
  <c r="H47"/>
  <c r="N41"/>
  <c r="G57"/>
  <c r="M51"/>
  <c r="E46"/>
  <c r="K39"/>
  <c r="B25"/>
  <c r="H18"/>
  <c r="N12"/>
  <c r="E28"/>
  <c r="K22"/>
  <c r="C17"/>
  <c r="I11"/>
  <c r="B16"/>
  <c r="K28"/>
  <c r="M10"/>
  <c r="O89"/>
  <c r="J84"/>
  <c r="I73"/>
  <c r="C86"/>
  <c r="J80"/>
  <c r="B75"/>
  <c r="H58"/>
  <c r="N52"/>
  <c r="F47"/>
  <c r="L41"/>
  <c r="E57"/>
  <c r="K51"/>
  <c r="C46"/>
  <c r="I39"/>
  <c r="N23"/>
  <c r="D17"/>
  <c r="M22"/>
  <c r="I10"/>
  <c r="H85"/>
  <c r="G74"/>
  <c r="I86"/>
  <c r="B81"/>
  <c r="H75"/>
  <c r="N58"/>
  <c r="F53"/>
  <c r="L47"/>
  <c r="D42"/>
  <c r="K57"/>
  <c r="C52"/>
  <c r="I46"/>
  <c r="O39"/>
  <c r="F25"/>
  <c r="L18"/>
  <c r="D13"/>
  <c r="I28"/>
  <c r="O22"/>
  <c r="G17"/>
  <c r="M11"/>
  <c r="J16"/>
  <c r="F8"/>
  <c r="C18"/>
  <c r="C8"/>
  <c r="F58"/>
  <c r="D47"/>
  <c r="G59"/>
  <c r="I51"/>
  <c r="G39"/>
  <c r="F20"/>
  <c r="J12"/>
  <c r="K25"/>
  <c r="M16"/>
  <c r="L15"/>
  <c r="E20"/>
  <c r="K8"/>
  <c r="J22"/>
  <c r="M26"/>
  <c r="B8"/>
  <c r="M17"/>
  <c r="P8" l="1"/>
  <c r="P22"/>
  <c r="P51"/>
  <c r="P81"/>
  <c r="P44"/>
  <c r="P75"/>
  <c r="P90"/>
  <c r="P16"/>
  <c r="P25"/>
  <c r="P53"/>
  <c r="P21"/>
  <c r="P47"/>
  <c r="P78"/>
  <c r="P84"/>
  <c r="P85"/>
  <c r="P117"/>
  <c r="P107"/>
  <c r="P148"/>
  <c r="P138"/>
  <c r="P17"/>
  <c r="P56"/>
  <c r="P76"/>
  <c r="P39"/>
  <c r="P59"/>
  <c r="P20"/>
  <c r="P48"/>
  <c r="P79"/>
  <c r="P27"/>
  <c r="P11"/>
  <c r="P12"/>
  <c r="P41"/>
  <c r="P71"/>
  <c r="P26"/>
  <c r="P54"/>
  <c r="P18"/>
  <c r="P15"/>
  <c r="P43"/>
  <c r="P74"/>
  <c r="P88"/>
  <c r="P28"/>
  <c r="P57"/>
  <c r="P119"/>
  <c r="P174"/>
  <c r="P46"/>
  <c r="P49"/>
  <c r="P80"/>
  <c r="P10"/>
  <c r="P58"/>
  <c r="P86"/>
  <c r="P42"/>
  <c r="P73"/>
  <c r="P91"/>
  <c r="P102"/>
  <c r="P133"/>
  <c r="P150"/>
  <c r="P118"/>
  <c r="P109"/>
  <c r="P140"/>
  <c r="P151"/>
  <c r="P195"/>
  <c r="P89"/>
  <c r="P121"/>
  <c r="P172"/>
  <c r="P179"/>
  <c r="P206"/>
  <c r="P122"/>
  <c r="P173"/>
  <c r="P181"/>
  <c r="P215"/>
  <c r="P228"/>
  <c r="P238"/>
  <c r="P144"/>
  <c r="P166"/>
  <c r="P200"/>
  <c r="P229"/>
  <c r="P83"/>
  <c r="P115"/>
  <c r="P105"/>
  <c r="P146"/>
  <c r="P136"/>
  <c r="P116"/>
  <c r="P234"/>
  <c r="P13"/>
  <c r="P23"/>
  <c r="P52"/>
  <c r="P112"/>
  <c r="P143"/>
  <c r="P164"/>
  <c r="P199"/>
  <c r="P169"/>
  <c r="P177"/>
  <c r="P204"/>
  <c r="P207"/>
  <c r="P120"/>
  <c r="P171"/>
  <c r="P178"/>
  <c r="P205"/>
  <c r="P209"/>
  <c r="P210"/>
  <c r="P239"/>
  <c r="P110"/>
  <c r="P141"/>
  <c r="P152"/>
  <c r="P182"/>
  <c r="P197"/>
  <c r="P111"/>
  <c r="P142"/>
  <c r="P153"/>
  <c r="P198"/>
  <c r="P244"/>
  <c r="R261" i="1"/>
  <c r="P114" i="24"/>
  <c r="P104"/>
  <c r="P145"/>
  <c r="P135"/>
  <c r="P175"/>
  <c r="P184"/>
  <c r="P167"/>
  <c r="P183"/>
  <c r="P202"/>
  <c r="P168"/>
  <c r="P176"/>
  <c r="P203"/>
  <c r="P106"/>
  <c r="P147"/>
  <c r="P137"/>
  <c r="P233"/>
  <c r="R259" i="1"/>
  <c r="P329" i="24"/>
  <c r="P208"/>
  <c r="P236"/>
  <c r="P230"/>
  <c r="R262" i="1"/>
  <c r="P334" i="24"/>
  <c r="R269" i="1"/>
  <c r="R292"/>
  <c r="R302"/>
  <c r="P328" i="24"/>
  <c r="P319"/>
  <c r="P231"/>
  <c r="P245"/>
  <c r="R305" i="1"/>
  <c r="G350" i="24"/>
  <c r="G370"/>
  <c r="P214"/>
  <c r="R266" i="1"/>
  <c r="P243" i="24"/>
  <c r="R264" i="1"/>
  <c r="G358" i="24"/>
  <c r="P226"/>
  <c r="P246"/>
  <c r="P212"/>
  <c r="P240"/>
  <c r="R257" i="1"/>
  <c r="R267"/>
  <c r="R297"/>
  <c r="R307"/>
  <c r="P339" i="24"/>
  <c r="G357"/>
  <c r="P213"/>
  <c r="P241"/>
  <c r="P235"/>
  <c r="R260" i="1"/>
  <c r="R295"/>
  <c r="P322" i="24"/>
  <c r="R265" i="1"/>
  <c r="G367" i="24"/>
  <c r="R274" i="1"/>
  <c r="R290"/>
  <c r="R300"/>
  <c r="P338" i="24"/>
  <c r="G369"/>
  <c r="P332"/>
  <c r="G352"/>
  <c r="R270" i="1"/>
  <c r="P321" i="24"/>
  <c r="G365"/>
  <c r="P324"/>
  <c r="G368"/>
  <c r="R276" i="1"/>
  <c r="R288"/>
  <c r="R293"/>
  <c r="R298"/>
  <c r="R303"/>
  <c r="R308"/>
  <c r="P323" i="24"/>
  <c r="G359"/>
  <c r="P337"/>
  <c r="G363"/>
  <c r="R272" i="1"/>
  <c r="P326" i="24"/>
  <c r="G355"/>
  <c r="G353"/>
  <c r="R275" i="1"/>
  <c r="P331" i="24"/>
  <c r="G364"/>
  <c r="R271" i="1"/>
  <c r="R291"/>
  <c r="R296"/>
  <c r="R301"/>
  <c r="R306"/>
  <c r="P333" i="24"/>
  <c r="G360"/>
  <c r="P327"/>
  <c r="G362"/>
  <c r="R277" i="1"/>
  <c r="P336" i="24"/>
  <c r="G354"/>
  <c r="FN10" i="4"/>
  <c r="AT10" s="1"/>
  <c r="CQ408"/>
  <c r="EP408" s="1"/>
  <c r="FN408" s="1"/>
  <c r="CO214"/>
  <c r="EO214" s="1"/>
  <c r="FM214" s="1"/>
  <c r="AR214" s="1"/>
  <c r="CO216"/>
  <c r="EO216" s="1"/>
  <c r="FM216" s="1"/>
  <c r="AR216" s="1"/>
  <c r="L409"/>
  <c r="FN409"/>
  <c r="CO215"/>
  <c r="EO215" s="1"/>
  <c r="FM215" s="1"/>
  <c r="AR215" s="1"/>
  <c r="CO217"/>
  <c r="EO217" s="1"/>
  <c r="FM217" s="1"/>
  <c r="AR217" s="1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457"/>
  <c r="AT458"/>
  <c r="AT459"/>
  <c r="AT460"/>
  <c r="AT461"/>
  <c r="AT462"/>
  <c r="AT463"/>
  <c r="AT464"/>
  <c r="AT465"/>
  <c r="AT466"/>
  <c r="AT467"/>
  <c r="AT468"/>
  <c r="AT469"/>
  <c r="AT470"/>
  <c r="AT564"/>
  <c r="AT565"/>
  <c r="AT566"/>
  <c r="AT567"/>
  <c r="AT568"/>
  <c r="AT214"/>
  <c r="AT570"/>
  <c r="AT574"/>
  <c r="AT575"/>
  <c r="AT577"/>
  <c r="AT579"/>
  <c r="AT581"/>
  <c r="AT583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8"/>
  <c r="AT170"/>
  <c r="AT171"/>
  <c r="AT172"/>
  <c r="AT173"/>
  <c r="AT174"/>
  <c r="AT175"/>
  <c r="AT176"/>
  <c r="AT177"/>
  <c r="AT178"/>
  <c r="AT179"/>
  <c r="AT180"/>
  <c r="AT181"/>
  <c r="AT182"/>
  <c r="AT184"/>
  <c r="AT185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6"/>
  <c r="AT217"/>
  <c r="AT218"/>
  <c r="AT304"/>
  <c r="AT305"/>
  <c r="AT306"/>
  <c r="AT307"/>
  <c r="AT308"/>
  <c r="AT309"/>
  <c r="AT310"/>
  <c r="AT311"/>
  <c r="AT312"/>
  <c r="AT313"/>
  <c r="AT314"/>
  <c r="AT315"/>
  <c r="AT317"/>
  <c r="AT316"/>
  <c r="AT318"/>
  <c r="AT319"/>
  <c r="AT320"/>
  <c r="AT321"/>
  <c r="AT322"/>
  <c r="AT323"/>
  <c r="AT324"/>
  <c r="AT325"/>
  <c r="AT326"/>
  <c r="AT327"/>
  <c r="AT328"/>
  <c r="AT329"/>
  <c r="AT330"/>
  <c r="AT331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R408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R457"/>
  <c r="AR459"/>
  <c r="AR461"/>
  <c r="AR463"/>
  <c r="AR465"/>
  <c r="AR467"/>
  <c r="AR469"/>
  <c r="AR564"/>
  <c r="AR566"/>
  <c r="AR568"/>
  <c r="AR570"/>
  <c r="AR572"/>
  <c r="AR574"/>
  <c r="AT215"/>
  <c r="AT471"/>
  <c r="AT472"/>
  <c r="AT473"/>
  <c r="AT474"/>
  <c r="AT475"/>
  <c r="AT476"/>
  <c r="AT477"/>
  <c r="AT478"/>
  <c r="AT479"/>
  <c r="AT480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R58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332"/>
  <c r="AT409"/>
  <c r="AT569"/>
  <c r="AT571"/>
  <c r="AT573"/>
  <c r="AT576"/>
  <c r="AT578"/>
  <c r="AT580"/>
  <c r="AT582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B368" i="1"/>
  <c r="F370"/>
  <c r="F355"/>
  <c r="C363"/>
  <c r="B355"/>
  <c r="E363"/>
  <c r="D370"/>
  <c r="C368"/>
  <c r="B358"/>
  <c r="E360"/>
  <c r="E354"/>
  <c r="C355"/>
  <c r="E368"/>
  <c r="B360"/>
  <c r="C367"/>
  <c r="C369"/>
  <c r="C364"/>
  <c r="F365"/>
  <c r="E355"/>
  <c r="B352"/>
  <c r="D364"/>
  <c r="C365"/>
  <c r="C353"/>
  <c r="F353"/>
  <c r="F360"/>
  <c r="D358"/>
  <c r="E353"/>
  <c r="C352"/>
  <c r="C370"/>
  <c r="D368"/>
  <c r="E370"/>
  <c r="D354"/>
  <c r="C358"/>
  <c r="B353"/>
  <c r="E367"/>
  <c r="B370"/>
  <c r="F359"/>
  <c r="C362"/>
  <c r="E358"/>
  <c r="F362"/>
  <c r="O336"/>
  <c r="O199"/>
  <c r="O59"/>
  <c r="O13"/>
  <c r="O27"/>
  <c r="O238"/>
  <c r="O214"/>
  <c r="O10"/>
  <c r="O172"/>
  <c r="C259"/>
  <c r="G166"/>
  <c r="H10"/>
  <c r="M73"/>
  <c r="M41"/>
  <c r="C41"/>
  <c r="O52"/>
  <c r="O80"/>
  <c r="O57"/>
  <c r="O203"/>
  <c r="M10"/>
  <c r="I166"/>
  <c r="O53"/>
  <c r="O39"/>
  <c r="O86"/>
  <c r="F321"/>
  <c r="D321"/>
  <c r="D290"/>
  <c r="O112"/>
  <c r="O151"/>
  <c r="C197"/>
  <c r="E359"/>
  <c r="B354"/>
  <c r="D360"/>
  <c r="E364"/>
  <c r="F352"/>
  <c r="C359"/>
  <c r="D355"/>
  <c r="F369"/>
  <c r="F364"/>
  <c r="B357"/>
  <c r="B369"/>
  <c r="E352"/>
  <c r="C354"/>
  <c r="E365"/>
  <c r="F363"/>
  <c r="F354"/>
  <c r="D359"/>
  <c r="B367"/>
  <c r="E369"/>
  <c r="B364"/>
  <c r="D363"/>
  <c r="F358"/>
  <c r="D369"/>
  <c r="D362"/>
  <c r="B362"/>
  <c r="B363"/>
  <c r="E357"/>
  <c r="F367"/>
  <c r="F368"/>
  <c r="D353"/>
  <c r="E362"/>
  <c r="D365"/>
  <c r="D352"/>
  <c r="C360"/>
  <c r="D357"/>
  <c r="B365"/>
  <c r="F357"/>
  <c r="B359"/>
  <c r="D367"/>
  <c r="C357"/>
  <c r="O146"/>
  <c r="O106"/>
  <c r="O83"/>
  <c r="O240"/>
  <c r="O110"/>
  <c r="O26"/>
  <c r="O171"/>
  <c r="O333"/>
  <c r="O102"/>
  <c r="B321"/>
  <c r="D197"/>
  <c r="E290"/>
  <c r="F10"/>
  <c r="M135"/>
  <c r="F228"/>
  <c r="C321"/>
  <c r="J228"/>
  <c r="O204"/>
  <c r="O115"/>
  <c r="O327"/>
  <c r="O198"/>
  <c r="O18"/>
  <c r="O244"/>
  <c r="O164"/>
  <c r="O140"/>
  <c r="O245"/>
  <c r="G228"/>
  <c r="E228"/>
  <c r="C290"/>
  <c r="N228"/>
  <c r="N135"/>
  <c r="B166"/>
  <c r="G41"/>
  <c r="N197"/>
  <c r="O104"/>
  <c r="O148"/>
  <c r="O58"/>
  <c r="O143"/>
  <c r="O89"/>
  <c r="O74"/>
  <c r="O111"/>
  <c r="O17"/>
  <c r="O25"/>
  <c r="O49"/>
  <c r="G321"/>
  <c r="D166"/>
  <c r="N104"/>
  <c r="C228"/>
  <c r="G10"/>
  <c r="N73"/>
  <c r="J321"/>
  <c r="D10"/>
  <c r="O15"/>
  <c r="O326"/>
  <c r="O174"/>
  <c r="O48"/>
  <c r="O152"/>
  <c r="O20"/>
  <c r="O117"/>
  <c r="H73"/>
  <c r="M104"/>
  <c r="G135"/>
  <c r="O209"/>
  <c r="O11"/>
  <c r="O195"/>
  <c r="O56"/>
  <c r="O91"/>
  <c r="O16"/>
  <c r="O234"/>
  <c r="O145"/>
  <c r="O239"/>
  <c r="J197"/>
  <c r="K321"/>
  <c r="E41"/>
  <c r="M321"/>
  <c r="B228"/>
  <c r="J166"/>
  <c r="D135"/>
  <c r="B135"/>
  <c r="O243"/>
  <c r="O153"/>
  <c r="O138"/>
  <c r="O84"/>
  <c r="O319"/>
  <c r="O79"/>
  <c r="O334"/>
  <c r="O178"/>
  <c r="O75"/>
  <c r="E135"/>
  <c r="J41"/>
  <c r="G104"/>
  <c r="I197"/>
  <c r="D259"/>
  <c r="I73"/>
  <c r="O246"/>
  <c r="O167"/>
  <c r="O213"/>
  <c r="O42"/>
  <c r="O85"/>
  <c r="O51"/>
  <c r="O212"/>
  <c r="O197"/>
  <c r="O208"/>
  <c r="H290"/>
  <c r="I321"/>
  <c r="K197"/>
  <c r="E104"/>
  <c r="K166"/>
  <c r="H197"/>
  <c r="H104"/>
  <c r="F290"/>
  <c r="M228"/>
  <c r="O54"/>
  <c r="O205"/>
  <c r="O78"/>
  <c r="O114"/>
  <c r="O329"/>
  <c r="O105"/>
  <c r="O81"/>
  <c r="O119"/>
  <c r="O23"/>
  <c r="L197"/>
  <c r="K41"/>
  <c r="M197"/>
  <c r="G73"/>
  <c r="C73"/>
  <c r="E166"/>
  <c r="K73"/>
  <c r="J73"/>
  <c r="D104"/>
  <c r="O229"/>
  <c r="O28"/>
  <c r="I41"/>
  <c r="C135"/>
  <c r="H135"/>
  <c r="F197"/>
  <c r="C166"/>
  <c r="I135"/>
  <c r="O233"/>
  <c r="J135"/>
  <c r="B41"/>
  <c r="O323"/>
  <c r="O90"/>
  <c r="O142"/>
  <c r="O338"/>
  <c r="O202"/>
  <c r="K135"/>
  <c r="B73"/>
  <c r="F135"/>
  <c r="J104"/>
  <c r="L10"/>
  <c r="K104"/>
  <c r="O210"/>
  <c r="O231"/>
  <c r="O73"/>
  <c r="O169"/>
  <c r="O235"/>
  <c r="O176"/>
  <c r="M166"/>
  <c r="H166"/>
  <c r="L41"/>
  <c r="C104"/>
  <c r="H228"/>
  <c r="O177"/>
  <c r="O215"/>
  <c r="O136"/>
  <c r="O44"/>
  <c r="O230"/>
  <c r="O207"/>
  <c r="E73"/>
  <c r="N41"/>
  <c r="O107"/>
  <c r="O46"/>
  <c r="O321"/>
  <c r="O8"/>
  <c r="O236"/>
  <c r="O147"/>
  <c r="O122"/>
  <c r="O47"/>
  <c r="O109"/>
  <c r="K228"/>
  <c r="D41"/>
  <c r="G197"/>
  <c r="N10"/>
  <c r="B290"/>
  <c r="B197"/>
  <c r="E321"/>
  <c r="O141"/>
  <c r="O241"/>
  <c r="O337"/>
  <c r="O200"/>
  <c r="O179"/>
  <c r="O21"/>
  <c r="O22"/>
  <c r="O328"/>
  <c r="O121"/>
  <c r="O322"/>
  <c r="J10"/>
  <c r="H41"/>
  <c r="E10"/>
  <c r="H321"/>
  <c r="D228"/>
  <c r="O135"/>
  <c r="O168"/>
  <c r="O331"/>
  <c r="O332"/>
  <c r="O324"/>
  <c r="O173"/>
  <c r="O150"/>
  <c r="O76"/>
  <c r="O43"/>
  <c r="O339"/>
  <c r="B10"/>
  <c r="F104"/>
  <c r="L135"/>
  <c r="L321"/>
  <c r="B104"/>
  <c r="C10"/>
  <c r="K10"/>
  <c r="O12"/>
  <c r="O166"/>
  <c r="O226"/>
  <c r="O41"/>
  <c r="I104"/>
  <c r="G290"/>
  <c r="F166"/>
  <c r="L166"/>
  <c r="O88"/>
  <c r="I10"/>
  <c r="F41"/>
  <c r="I290"/>
  <c r="L104"/>
  <c r="N166"/>
  <c r="I228"/>
  <c r="L228"/>
  <c r="O116"/>
  <c r="O228"/>
  <c r="O133"/>
  <c r="O137"/>
  <c r="O71"/>
  <c r="B259"/>
  <c r="E197"/>
  <c r="D73"/>
  <c r="L73"/>
  <c r="O120"/>
  <c r="N321"/>
  <c r="F73"/>
  <c r="Q259" l="1"/>
  <c r="S259" s="1"/>
  <c r="Q290"/>
  <c r="S290" s="1"/>
  <c r="G368"/>
  <c r="G367"/>
  <c r="G369"/>
  <c r="G370"/>
  <c r="G365"/>
  <c r="G364" l="1"/>
  <c r="G363" l="1"/>
  <c r="G362" l="1"/>
  <c r="G360" l="1"/>
  <c r="G359" l="1"/>
  <c r="G358" l="1"/>
  <c r="G357" l="1"/>
  <c r="G355" l="1"/>
  <c r="G354" l="1"/>
  <c r="G353" l="1"/>
  <c r="P73" l="1"/>
  <c r="P108" l="1"/>
  <c r="P113"/>
  <c r="P139"/>
  <c r="P170"/>
  <c r="P201"/>
  <c r="P232"/>
  <c r="P330"/>
  <c r="G352"/>
  <c r="P10" l="1"/>
  <c r="P135"/>
  <c r="P321"/>
  <c r="P197"/>
  <c r="P228"/>
  <c r="P166"/>
  <c r="P104"/>
  <c r="P41"/>
  <c r="Q41" s="1"/>
  <c r="C350" l="1"/>
  <c r="B350"/>
  <c r="J319"/>
  <c r="C246"/>
  <c r="C230"/>
  <c r="E332"/>
  <c r="M212"/>
  <c r="B164"/>
  <c r="K199"/>
  <c r="C169"/>
  <c r="D324"/>
  <c r="K319"/>
  <c r="E333"/>
  <c r="E215"/>
  <c r="E205"/>
  <c r="H200"/>
  <c r="K202"/>
  <c r="G164"/>
  <c r="C336"/>
  <c r="K327"/>
  <c r="C205"/>
  <c r="M241"/>
  <c r="E141"/>
  <c r="F177"/>
  <c r="C141"/>
  <c r="J182"/>
  <c r="G231"/>
  <c r="C334"/>
  <c r="L235"/>
  <c r="N239"/>
  <c r="E326"/>
  <c r="L209"/>
  <c r="L336"/>
  <c r="K171"/>
  <c r="K234"/>
  <c r="K181"/>
  <c r="M213"/>
  <c r="N213"/>
  <c r="K245"/>
  <c r="D233"/>
  <c r="J338"/>
  <c r="L167"/>
  <c r="M200"/>
  <c r="H167"/>
  <c r="E202"/>
  <c r="H236"/>
  <c r="L245"/>
  <c r="B328"/>
  <c r="L212"/>
  <c r="B148"/>
  <c r="B199"/>
  <c r="F153"/>
  <c r="H204"/>
  <c r="E234"/>
  <c r="C326"/>
  <c r="F184"/>
  <c r="D329"/>
  <c r="L207"/>
  <c r="E322"/>
  <c r="K173"/>
  <c r="E137"/>
  <c r="H184"/>
  <c r="L153"/>
  <c r="K169"/>
  <c r="M337"/>
  <c r="E241"/>
  <c r="F331"/>
  <c r="I204"/>
  <c r="F202"/>
  <c r="E133"/>
  <c r="D173"/>
  <c r="N336"/>
  <c r="F235"/>
  <c r="M235"/>
  <c r="H336"/>
  <c r="G136"/>
  <c r="L168"/>
  <c r="G207"/>
  <c r="K179"/>
  <c r="K230"/>
  <c r="C241"/>
  <c r="I323"/>
  <c r="D239"/>
  <c r="K331"/>
  <c r="C168"/>
  <c r="E245"/>
  <c r="J168"/>
  <c r="L240"/>
  <c r="I183"/>
  <c r="D323"/>
  <c r="D301"/>
  <c r="C339"/>
  <c r="E199"/>
  <c r="B243"/>
  <c r="G179"/>
  <c r="H333"/>
  <c r="I307"/>
  <c r="M204"/>
  <c r="L26"/>
  <c r="D209"/>
  <c r="B319"/>
  <c r="I200"/>
  <c r="C182"/>
  <c r="J214"/>
  <c r="K11"/>
  <c r="M245"/>
  <c r="E8"/>
  <c r="N234"/>
  <c r="D229"/>
  <c r="M205"/>
  <c r="E176"/>
  <c r="C327"/>
  <c r="C106"/>
  <c r="G338"/>
  <c r="I12"/>
  <c r="L169"/>
  <c r="C176"/>
  <c r="N226"/>
  <c r="L229"/>
  <c r="B210"/>
  <c r="N153"/>
  <c r="E178"/>
  <c r="J105"/>
  <c r="H326"/>
  <c r="M323"/>
  <c r="F324"/>
  <c r="D102"/>
  <c r="I146"/>
  <c r="L148"/>
  <c r="C150"/>
  <c r="M209"/>
  <c r="M207"/>
  <c r="N337"/>
  <c r="K241"/>
  <c r="L150"/>
  <c r="N200"/>
  <c r="D174"/>
  <c r="E207"/>
  <c r="F236"/>
  <c r="B202"/>
  <c r="L174"/>
  <c r="N244"/>
  <c r="B174"/>
  <c r="I212"/>
  <c r="M184"/>
  <c r="C209"/>
  <c r="I226"/>
  <c r="F322"/>
  <c r="L198"/>
  <c r="K322"/>
  <c r="M176"/>
  <c r="I202"/>
  <c r="H137"/>
  <c r="H140"/>
  <c r="E328"/>
  <c r="H331"/>
  <c r="F215"/>
  <c r="L172"/>
  <c r="K178"/>
  <c r="F151"/>
  <c r="B172"/>
  <c r="K209"/>
  <c r="G329"/>
  <c r="K337"/>
  <c r="E244"/>
  <c r="B332"/>
  <c r="M182"/>
  <c r="M153"/>
  <c r="G172"/>
  <c r="K141"/>
  <c r="B336"/>
  <c r="K231"/>
  <c r="K235"/>
  <c r="H233"/>
  <c r="L177"/>
  <c r="E212"/>
  <c r="I184"/>
  <c r="I198"/>
  <c r="F213"/>
  <c r="N323"/>
  <c r="G336"/>
  <c r="I241"/>
  <c r="C174"/>
  <c r="E336"/>
  <c r="L183"/>
  <c r="K105"/>
  <c r="H246"/>
  <c r="D76"/>
  <c r="N328"/>
  <c r="H327"/>
  <c r="I214"/>
  <c r="E182"/>
  <c r="E153"/>
  <c r="M171"/>
  <c r="D338"/>
  <c r="L181"/>
  <c r="G332"/>
  <c r="C331"/>
  <c r="L208"/>
  <c r="D177"/>
  <c r="J245"/>
  <c r="N167"/>
  <c r="L230"/>
  <c r="F229"/>
  <c r="G210"/>
  <c r="C200"/>
  <c r="K152"/>
  <c r="E171"/>
  <c r="J207"/>
  <c r="C171"/>
  <c r="J236"/>
  <c r="M331"/>
  <c r="H174"/>
  <c r="H226"/>
  <c r="D207"/>
  <c r="H153"/>
  <c r="K212"/>
  <c r="G199"/>
  <c r="H324"/>
  <c r="D339"/>
  <c r="I229"/>
  <c r="G230"/>
  <c r="N207"/>
  <c r="J179"/>
  <c r="N148"/>
  <c r="N199"/>
  <c r="D327"/>
  <c r="F208"/>
  <c r="N240"/>
  <c r="L328"/>
  <c r="G328"/>
  <c r="D179"/>
  <c r="H148"/>
  <c r="B213"/>
  <c r="D332"/>
  <c r="I319"/>
  <c r="C323"/>
  <c r="L215"/>
  <c r="C181"/>
  <c r="E200"/>
  <c r="K208"/>
  <c r="H241"/>
  <c r="I338"/>
  <c r="J332"/>
  <c r="N212"/>
  <c r="B236"/>
  <c r="N324"/>
  <c r="H332"/>
  <c r="D331"/>
  <c r="H202"/>
  <c r="M115"/>
  <c r="C89"/>
  <c r="F117"/>
  <c r="C114"/>
  <c r="K39"/>
  <c r="E47"/>
  <c r="F350"/>
  <c r="E350"/>
  <c r="D350"/>
  <c r="K338"/>
  <c r="H235"/>
  <c r="L244"/>
  <c r="F181"/>
  <c r="J150"/>
  <c r="G198"/>
  <c r="H150"/>
  <c r="J13"/>
  <c r="B235"/>
  <c r="L238"/>
  <c r="J327"/>
  <c r="J200"/>
  <c r="N173"/>
  <c r="H208"/>
  <c r="F152"/>
  <c r="M71"/>
  <c r="M231"/>
  <c r="E323"/>
  <c r="E331"/>
  <c r="H203"/>
  <c r="K176"/>
  <c r="M208"/>
  <c r="I176"/>
  <c r="H76"/>
  <c r="J238"/>
  <c r="F332"/>
  <c r="K233"/>
  <c r="M339"/>
  <c r="J164"/>
  <c r="M239"/>
  <c r="G236"/>
  <c r="D203"/>
  <c r="F146"/>
  <c r="F182"/>
  <c r="J151"/>
  <c r="N208"/>
  <c r="M243"/>
  <c r="K236"/>
  <c r="E140"/>
  <c r="D195"/>
  <c r="H151"/>
  <c r="B195"/>
  <c r="K215"/>
  <c r="N236"/>
  <c r="E235"/>
  <c r="H328"/>
  <c r="M164"/>
  <c r="I167"/>
  <c r="E204"/>
  <c r="G167"/>
  <c r="L147"/>
  <c r="N326"/>
  <c r="F339"/>
  <c r="L323"/>
  <c r="J229"/>
  <c r="J233"/>
  <c r="M334"/>
  <c r="D205"/>
  <c r="G178"/>
  <c r="C204"/>
  <c r="M167"/>
  <c r="I327"/>
  <c r="G246"/>
  <c r="I324"/>
  <c r="G203"/>
  <c r="D169"/>
  <c r="B169"/>
  <c r="J153"/>
  <c r="F205"/>
  <c r="M338"/>
  <c r="D244"/>
  <c r="K336"/>
  <c r="E226"/>
  <c r="N181"/>
  <c r="G169"/>
  <c r="D145"/>
  <c r="D181"/>
  <c r="B151"/>
  <c r="M326"/>
  <c r="B208"/>
  <c r="E243"/>
  <c r="J209"/>
  <c r="E213"/>
  <c r="I339"/>
  <c r="B112"/>
  <c r="B137"/>
  <c r="M181"/>
  <c r="H301"/>
  <c r="K332"/>
  <c r="E231"/>
  <c r="D337"/>
  <c r="D212"/>
  <c r="H291"/>
  <c r="E307"/>
  <c r="M27"/>
  <c r="H27"/>
  <c r="C338"/>
  <c r="D322"/>
  <c r="J331"/>
  <c r="B212"/>
  <c r="E18"/>
  <c r="I25"/>
  <c r="N25"/>
  <c r="D21"/>
  <c r="L236"/>
  <c r="M328"/>
  <c r="B215"/>
  <c r="C240"/>
  <c r="D39"/>
  <c r="N91"/>
  <c r="J143"/>
  <c r="J109"/>
  <c r="J231"/>
  <c r="N202"/>
  <c r="D16"/>
  <c r="M327"/>
  <c r="C332"/>
  <c r="F212"/>
  <c r="B205"/>
  <c r="D200"/>
  <c r="K114"/>
  <c r="F244"/>
  <c r="B331"/>
  <c r="G333"/>
  <c r="G151"/>
  <c r="I153"/>
  <c r="L184"/>
  <c r="E181"/>
  <c r="D234"/>
  <c r="J337"/>
  <c r="M333"/>
  <c r="C239"/>
  <c r="F164"/>
  <c r="K138"/>
  <c r="M174"/>
  <c r="I138"/>
  <c r="G245"/>
  <c r="M246"/>
  <c r="L210"/>
  <c r="L338"/>
  <c r="B181"/>
  <c r="F150"/>
  <c r="G212"/>
  <c r="G141"/>
  <c r="C329"/>
  <c r="F176"/>
  <c r="B234"/>
  <c r="E239"/>
  <c r="N182"/>
  <c r="I322"/>
  <c r="B88"/>
  <c r="B207"/>
  <c r="N334"/>
  <c r="K243"/>
  <c r="B241"/>
  <c r="C179"/>
  <c r="M210"/>
  <c r="M199"/>
  <c r="D178"/>
  <c r="H147"/>
  <c r="D231"/>
  <c r="C235"/>
  <c r="H244"/>
  <c r="H179"/>
  <c r="H198"/>
  <c r="L171"/>
  <c r="N203"/>
  <c r="C177"/>
  <c r="I234"/>
  <c r="F246"/>
  <c r="N329"/>
  <c r="H199"/>
  <c r="E209"/>
  <c r="B150"/>
  <c r="G195"/>
  <c r="D167"/>
  <c r="H243"/>
  <c r="K326"/>
  <c r="N338"/>
  <c r="N233"/>
  <c r="J205"/>
  <c r="J234"/>
  <c r="M89"/>
  <c r="N133"/>
  <c r="C75"/>
  <c r="E324"/>
  <c r="L233"/>
  <c r="M322"/>
  <c r="N146"/>
  <c r="N195"/>
  <c r="D171"/>
  <c r="F203"/>
  <c r="J226"/>
  <c r="K334"/>
  <c r="I230"/>
  <c r="D236"/>
  <c r="B171"/>
  <c r="K205"/>
  <c r="L151"/>
  <c r="F195"/>
  <c r="H234"/>
  <c r="G241"/>
  <c r="M230"/>
  <c r="H239"/>
  <c r="J169"/>
  <c r="L202"/>
  <c r="H169"/>
  <c r="J202"/>
  <c r="L326"/>
  <c r="L145"/>
  <c r="E319"/>
  <c r="D245"/>
  <c r="M203"/>
  <c r="C173"/>
  <c r="I179"/>
  <c r="I174"/>
  <c r="I329"/>
  <c r="F240"/>
  <c r="I326"/>
  <c r="N204"/>
  <c r="H173"/>
  <c r="E198"/>
  <c r="E184"/>
  <c r="C238"/>
  <c r="H214"/>
  <c r="H322"/>
  <c r="C333"/>
  <c r="J181"/>
  <c r="B173"/>
  <c r="K210"/>
  <c r="M183"/>
  <c r="N178"/>
  <c r="G243"/>
  <c r="C328"/>
  <c r="H338"/>
  <c r="F226"/>
  <c r="L164"/>
  <c r="N150"/>
  <c r="F333"/>
  <c r="D215"/>
  <c r="B238"/>
  <c r="H334"/>
  <c r="M238"/>
  <c r="L241"/>
  <c r="C245"/>
  <c r="K238"/>
  <c r="D319"/>
  <c r="N84"/>
  <c r="N105"/>
  <c r="N115"/>
  <c r="M17"/>
  <c r="E46"/>
  <c r="F293"/>
  <c r="M133"/>
  <c r="C80"/>
  <c r="H111"/>
  <c r="F238"/>
  <c r="D235"/>
  <c r="K324"/>
  <c r="N209"/>
  <c r="L79"/>
  <c r="H152"/>
  <c r="E112"/>
  <c r="F115"/>
  <c r="B244"/>
  <c r="H238"/>
  <c r="K333"/>
  <c r="C212"/>
  <c r="G111"/>
  <c r="B121"/>
  <c r="K90"/>
  <c r="D80"/>
  <c r="H329"/>
  <c r="M319"/>
  <c r="N11"/>
  <c r="N332"/>
  <c r="L337"/>
  <c r="M39"/>
  <c r="E80"/>
  <c r="J339"/>
  <c r="J210"/>
  <c r="G79"/>
  <c r="I106"/>
  <c r="M240"/>
  <c r="G339"/>
  <c r="G213"/>
  <c r="I164"/>
  <c r="J83"/>
  <c r="L117"/>
  <c r="L85"/>
  <c r="J145"/>
  <c r="F328"/>
  <c r="J244"/>
  <c r="M226"/>
  <c r="B176"/>
  <c r="D151"/>
  <c r="G331"/>
  <c r="F147"/>
  <c r="F183"/>
  <c r="J152"/>
  <c r="D198"/>
  <c r="J334"/>
  <c r="H240"/>
  <c r="E167"/>
  <c r="M332"/>
  <c r="C138"/>
  <c r="E174"/>
  <c r="I143"/>
  <c r="E195"/>
  <c r="D214"/>
  <c r="D246"/>
  <c r="E334"/>
  <c r="E338"/>
  <c r="N164"/>
  <c r="H205"/>
  <c r="C143"/>
  <c r="J184"/>
  <c r="C243"/>
  <c r="L234"/>
  <c r="G173"/>
  <c r="K240"/>
  <c r="I244"/>
  <c r="F210"/>
  <c r="J195"/>
  <c r="I331"/>
  <c r="N176"/>
  <c r="D146"/>
  <c r="J174"/>
  <c r="N243"/>
  <c r="L329"/>
  <c r="H230"/>
  <c r="D182"/>
  <c r="B146"/>
  <c r="B182"/>
  <c r="E210"/>
  <c r="E329"/>
  <c r="C324"/>
  <c r="M202"/>
  <c r="F239"/>
  <c r="G183"/>
  <c r="I215"/>
  <c r="E183"/>
  <c r="E142"/>
  <c r="K239"/>
  <c r="N331"/>
  <c r="D230"/>
  <c r="G234"/>
  <c r="E337"/>
  <c r="G238"/>
  <c r="F234"/>
  <c r="G215"/>
  <c r="F204"/>
  <c r="C76"/>
  <c r="E111"/>
  <c r="F338"/>
  <c r="D243"/>
  <c r="K229"/>
  <c r="C231"/>
  <c r="H141"/>
  <c r="E168"/>
  <c r="N174"/>
  <c r="I177"/>
  <c r="N230"/>
  <c r="I328"/>
  <c r="I337"/>
  <c r="J212"/>
  <c r="C215"/>
  <c r="I172"/>
  <c r="M141"/>
  <c r="N177"/>
  <c r="K226"/>
  <c r="C337"/>
  <c r="E238"/>
  <c r="C213"/>
  <c r="D147"/>
  <c r="D183"/>
  <c r="M198"/>
  <c r="K168"/>
  <c r="C234"/>
  <c r="G171"/>
  <c r="C178"/>
  <c r="F323"/>
  <c r="F337"/>
  <c r="H145"/>
  <c r="I173"/>
  <c r="F199"/>
  <c r="G39"/>
  <c r="F243"/>
  <c r="E230"/>
  <c r="F245"/>
  <c r="I140"/>
  <c r="J176"/>
  <c r="L204"/>
  <c r="H172"/>
  <c r="D334"/>
  <c r="J235"/>
  <c r="B226"/>
  <c r="J230"/>
  <c r="C210"/>
  <c r="M177"/>
  <c r="I203"/>
  <c r="B120"/>
  <c r="B214"/>
  <c r="N238"/>
  <c r="C319"/>
  <c r="G226"/>
  <c r="K81"/>
  <c r="L116"/>
  <c r="C148"/>
  <c r="F179"/>
  <c r="B231"/>
  <c r="I199"/>
  <c r="F329"/>
  <c r="L239"/>
  <c r="F167"/>
  <c r="C167"/>
  <c r="G84"/>
  <c r="B141"/>
  <c r="H245"/>
  <c r="M234"/>
  <c r="N322"/>
  <c r="I210"/>
  <c r="C152"/>
  <c r="L143"/>
  <c r="M173"/>
  <c r="F169"/>
  <c r="H323"/>
  <c r="B246"/>
  <c r="J329"/>
  <c r="K207"/>
  <c r="M179"/>
  <c r="I205"/>
  <c r="E169"/>
  <c r="D210"/>
  <c r="K329"/>
  <c r="G326"/>
  <c r="I336"/>
  <c r="M244"/>
  <c r="K174"/>
  <c r="G138"/>
  <c r="B206"/>
  <c r="F209"/>
  <c r="F336"/>
  <c r="L331"/>
  <c r="F233"/>
  <c r="D326"/>
  <c r="H177"/>
  <c r="B209"/>
  <c r="I148"/>
  <c r="J133"/>
  <c r="G133"/>
  <c r="I236"/>
  <c r="K244"/>
  <c r="N327"/>
  <c r="L199"/>
  <c r="H176"/>
  <c r="K172"/>
  <c r="H210"/>
  <c r="I332"/>
  <c r="B230"/>
  <c r="J241"/>
  <c r="C226"/>
  <c r="H183"/>
  <c r="L152"/>
  <c r="F198"/>
  <c r="J171"/>
  <c r="J208"/>
  <c r="G233"/>
  <c r="N241"/>
  <c r="G322"/>
  <c r="L203"/>
  <c r="K143"/>
  <c r="B149"/>
  <c r="F173"/>
  <c r="F214"/>
  <c r="K177"/>
  <c r="J326"/>
  <c r="B324"/>
  <c r="J148"/>
  <c r="N172"/>
  <c r="B145"/>
  <c r="D168"/>
  <c r="B240"/>
  <c r="B334"/>
  <c r="B233"/>
  <c r="M215"/>
  <c r="L39"/>
  <c r="J85"/>
  <c r="H119"/>
  <c r="J86"/>
  <c r="H319"/>
  <c r="H339"/>
  <c r="M229"/>
  <c r="D202"/>
  <c r="D122"/>
  <c r="C172"/>
  <c r="F74"/>
  <c r="F11"/>
  <c r="E327"/>
  <c r="D238"/>
  <c r="D241"/>
  <c r="G239"/>
  <c r="N85"/>
  <c r="N83"/>
  <c r="H105"/>
  <c r="L110"/>
  <c r="L332"/>
  <c r="G327"/>
  <c r="B338"/>
  <c r="K323"/>
  <c r="D86"/>
  <c r="B109"/>
  <c r="K167"/>
  <c r="D81"/>
  <c r="D90"/>
  <c r="D303"/>
  <c r="M85"/>
  <c r="G110"/>
  <c r="J204"/>
  <c r="J111"/>
  <c r="B277"/>
  <c r="M58"/>
  <c r="C133"/>
  <c r="L51"/>
  <c r="H86"/>
  <c r="I11"/>
  <c r="D109"/>
  <c r="B111"/>
  <c r="L146"/>
  <c r="L176"/>
  <c r="I80"/>
  <c r="G25"/>
  <c r="M119"/>
  <c r="I74"/>
  <c r="M277"/>
  <c r="J274"/>
  <c r="G106"/>
  <c r="J203"/>
  <c r="H266"/>
  <c r="G51"/>
  <c r="I49"/>
  <c r="J48"/>
  <c r="J59"/>
  <c r="K257"/>
  <c r="L78"/>
  <c r="L80"/>
  <c r="B302"/>
  <c r="B47"/>
  <c r="H297"/>
  <c r="G48"/>
  <c r="L74"/>
  <c r="B301"/>
  <c r="H265"/>
  <c r="D276"/>
  <c r="C51"/>
  <c r="E21"/>
  <c r="L17"/>
  <c r="G119"/>
  <c r="F54"/>
  <c r="H171"/>
  <c r="D292"/>
  <c r="N90"/>
  <c r="G295"/>
  <c r="C264"/>
  <c r="E12"/>
  <c r="H15"/>
  <c r="C257"/>
  <c r="D105"/>
  <c r="H42"/>
  <c r="B83"/>
  <c r="C17"/>
  <c r="E85"/>
  <c r="F25"/>
  <c r="N86"/>
  <c r="E107"/>
  <c r="E296"/>
  <c r="G148"/>
  <c r="D277"/>
  <c r="D164"/>
  <c r="D107"/>
  <c r="N143"/>
  <c r="D13"/>
  <c r="H292"/>
  <c r="J17"/>
  <c r="G303"/>
  <c r="C153"/>
  <c r="K23"/>
  <c r="L49"/>
  <c r="G296"/>
  <c r="G137"/>
  <c r="D152"/>
  <c r="F91"/>
  <c r="L272"/>
  <c r="L56"/>
  <c r="C301"/>
  <c r="B133"/>
  <c r="E75"/>
  <c r="H54"/>
  <c r="H17"/>
  <c r="E303"/>
  <c r="M111"/>
  <c r="C296"/>
  <c r="E179"/>
  <c r="B46"/>
  <c r="E277"/>
  <c r="K52"/>
  <c r="D58"/>
  <c r="D112"/>
  <c r="D91"/>
  <c r="M147"/>
  <c r="C21"/>
  <c r="M145"/>
  <c r="N15"/>
  <c r="E260"/>
  <c r="F116"/>
  <c r="M274"/>
  <c r="N59"/>
  <c r="E308"/>
  <c r="C298"/>
  <c r="H274"/>
  <c r="B80"/>
  <c r="G115"/>
  <c r="K43"/>
  <c r="L12"/>
  <c r="D296"/>
  <c r="D74"/>
  <c r="E25"/>
  <c r="I308"/>
  <c r="L120"/>
  <c r="F305"/>
  <c r="L142"/>
  <c r="F142"/>
  <c r="H59"/>
  <c r="K117"/>
  <c r="J15"/>
  <c r="I151"/>
  <c r="D143"/>
  <c r="M270"/>
  <c r="F76"/>
  <c r="J23"/>
  <c r="G71"/>
  <c r="G272"/>
  <c r="F174"/>
  <c r="F27"/>
  <c r="M86"/>
  <c r="K8"/>
  <c r="G20"/>
  <c r="D117"/>
  <c r="L27"/>
  <c r="F75"/>
  <c r="C88"/>
  <c r="G54"/>
  <c r="E152"/>
  <c r="B42"/>
  <c r="F22"/>
  <c r="N111"/>
  <c r="G143"/>
  <c r="B322"/>
  <c r="G13"/>
  <c r="C147"/>
  <c r="I79"/>
  <c r="M276"/>
  <c r="K260"/>
  <c r="I22"/>
  <c r="E17"/>
  <c r="G150"/>
  <c r="C44"/>
  <c r="C300"/>
  <c r="N26"/>
  <c r="F49"/>
  <c r="L260"/>
  <c r="N23"/>
  <c r="G291"/>
  <c r="B122"/>
  <c r="D106"/>
  <c r="H295"/>
  <c r="B16"/>
  <c r="K25"/>
  <c r="M151"/>
  <c r="K112"/>
  <c r="F264"/>
  <c r="E23"/>
  <c r="J260"/>
  <c r="J18"/>
  <c r="B142"/>
  <c r="J28"/>
  <c r="D51"/>
  <c r="H116"/>
  <c r="E267"/>
  <c r="J140"/>
  <c r="B105"/>
  <c r="B28"/>
  <c r="L121"/>
  <c r="H12"/>
  <c r="C111"/>
  <c r="H117"/>
  <c r="I296"/>
  <c r="M52"/>
  <c r="I83"/>
  <c r="C71"/>
  <c r="J114"/>
  <c r="H146"/>
  <c r="I84"/>
  <c r="M26"/>
  <c r="K13"/>
  <c r="E51"/>
  <c r="J146"/>
  <c r="L25"/>
  <c r="H114"/>
  <c r="C8"/>
  <c r="D25"/>
  <c r="K17"/>
  <c r="F79"/>
  <c r="K74"/>
  <c r="G102"/>
  <c r="H48"/>
  <c r="M110"/>
  <c r="B21"/>
  <c r="B102"/>
  <c r="C199"/>
  <c r="F78"/>
  <c r="E78"/>
  <c r="J112"/>
  <c r="I305"/>
  <c r="I112"/>
  <c r="M264"/>
  <c r="D26"/>
  <c r="G27"/>
  <c r="D83"/>
  <c r="H142"/>
  <c r="D142"/>
  <c r="I17"/>
  <c r="J172"/>
  <c r="B295"/>
  <c r="I43"/>
  <c r="J277"/>
  <c r="E138"/>
  <c r="B143"/>
  <c r="B26"/>
  <c r="K76"/>
  <c r="B20"/>
  <c r="H16"/>
  <c r="E81"/>
  <c r="B291"/>
  <c r="H257"/>
  <c r="F8"/>
  <c r="I119"/>
  <c r="E116"/>
  <c r="H91"/>
  <c r="F17"/>
  <c r="K120"/>
  <c r="B271"/>
  <c r="G109"/>
  <c r="B203"/>
  <c r="L119"/>
  <c r="M84"/>
  <c r="C81"/>
  <c r="D79"/>
  <c r="G116"/>
  <c r="I89"/>
  <c r="K51"/>
  <c r="C117"/>
  <c r="N49"/>
  <c r="H260"/>
  <c r="M260"/>
  <c r="E90"/>
  <c r="B179"/>
  <c r="D213"/>
  <c r="C83"/>
  <c r="C78"/>
  <c r="D176"/>
  <c r="K246"/>
  <c r="M88"/>
  <c r="B106"/>
  <c r="K339"/>
  <c r="F241"/>
  <c r="M233"/>
  <c r="F102"/>
  <c r="N79"/>
  <c r="M121"/>
  <c r="B82"/>
  <c r="E236"/>
  <c r="I246"/>
  <c r="B326"/>
  <c r="B245"/>
  <c r="N333"/>
  <c r="N231"/>
  <c r="L226"/>
  <c r="I209"/>
  <c r="K182"/>
  <c r="M214"/>
  <c r="K164"/>
  <c r="M12"/>
  <c r="M236"/>
  <c r="C244"/>
  <c r="I245"/>
  <c r="H209"/>
  <c r="J173"/>
  <c r="L205"/>
  <c r="G184"/>
  <c r="H288"/>
  <c r="L324"/>
  <c r="F334"/>
  <c r="F148"/>
  <c r="K204"/>
  <c r="G168"/>
  <c r="C229"/>
  <c r="I178"/>
  <c r="F84"/>
  <c r="L333"/>
  <c r="L231"/>
  <c r="J336"/>
  <c r="N229"/>
  <c r="F327"/>
  <c r="G177"/>
  <c r="I243"/>
  <c r="B200"/>
  <c r="G208"/>
  <c r="B262"/>
  <c r="H229"/>
  <c r="E233"/>
  <c r="M336"/>
  <c r="D240"/>
  <c r="K213"/>
  <c r="G229"/>
  <c r="I213"/>
  <c r="D298"/>
  <c r="E246"/>
  <c r="L246"/>
  <c r="N215"/>
  <c r="G324"/>
  <c r="B184"/>
  <c r="J215"/>
  <c r="N198"/>
  <c r="I20"/>
  <c r="C233"/>
  <c r="J328"/>
  <c r="C322"/>
  <c r="B337"/>
  <c r="H181"/>
  <c r="K183"/>
  <c r="B333"/>
  <c r="D172"/>
  <c r="F71"/>
  <c r="G114"/>
  <c r="K146"/>
  <c r="F207"/>
  <c r="N245"/>
  <c r="F178"/>
  <c r="L334"/>
  <c r="L178"/>
  <c r="G204"/>
  <c r="C142"/>
  <c r="J183"/>
  <c r="F231"/>
  <c r="J322"/>
  <c r="L339"/>
  <c r="K200"/>
  <c r="N152"/>
  <c r="B204"/>
  <c r="E177"/>
  <c r="G209"/>
  <c r="G319"/>
  <c r="E240"/>
  <c r="H215"/>
  <c r="B229"/>
  <c r="I182"/>
  <c r="K214"/>
  <c r="J167"/>
  <c r="L114"/>
  <c r="J324"/>
  <c r="K140"/>
  <c r="B329"/>
  <c r="N319"/>
  <c r="F326"/>
  <c r="C195"/>
  <c r="M169"/>
  <c r="E13"/>
  <c r="E136"/>
  <c r="G334"/>
  <c r="M324"/>
  <c r="E208"/>
  <c r="B175"/>
  <c r="C208"/>
  <c r="H212"/>
  <c r="B71"/>
  <c r="G200"/>
  <c r="N235"/>
  <c r="L327"/>
  <c r="J178"/>
  <c r="G142"/>
  <c r="N183"/>
  <c r="C183"/>
  <c r="E83"/>
  <c r="K203"/>
  <c r="B167"/>
  <c r="I207"/>
  <c r="N78"/>
  <c r="M120"/>
  <c r="F121"/>
  <c r="E143"/>
  <c r="I298"/>
  <c r="K328"/>
  <c r="N168"/>
  <c r="N210"/>
  <c r="G152"/>
  <c r="J147"/>
  <c r="B327"/>
  <c r="H213"/>
  <c r="I28"/>
  <c r="G337"/>
  <c r="I238"/>
  <c r="G323"/>
  <c r="F145"/>
  <c r="H133"/>
  <c r="H168"/>
  <c r="J213"/>
  <c r="I261"/>
  <c r="C214"/>
  <c r="G235"/>
  <c r="H337"/>
  <c r="F171"/>
  <c r="K198"/>
  <c r="C164"/>
  <c r="L200"/>
  <c r="I293"/>
  <c r="J243"/>
  <c r="J246"/>
  <c r="I235"/>
  <c r="I181"/>
  <c r="C207"/>
  <c r="I142"/>
  <c r="N214"/>
  <c r="H106"/>
  <c r="M329"/>
  <c r="H207"/>
  <c r="B239"/>
  <c r="M172"/>
  <c r="G214"/>
  <c r="L179"/>
  <c r="D288"/>
  <c r="K12"/>
  <c r="N116"/>
  <c r="N339"/>
  <c r="I333"/>
  <c r="C236"/>
  <c r="G140"/>
  <c r="B323"/>
  <c r="D204"/>
  <c r="K75"/>
  <c r="J333"/>
  <c r="F230"/>
  <c r="E339"/>
  <c r="D153"/>
  <c r="C203"/>
  <c r="E172"/>
  <c r="N205"/>
  <c r="F133"/>
  <c r="B339"/>
  <c r="M195"/>
  <c r="D226"/>
  <c r="M142"/>
  <c r="J199"/>
  <c r="M257"/>
  <c r="M137"/>
  <c r="B90"/>
  <c r="F319"/>
  <c r="I168"/>
  <c r="I239"/>
  <c r="D199"/>
  <c r="G205"/>
  <c r="J239"/>
  <c r="C198"/>
  <c r="F111"/>
  <c r="J323"/>
  <c r="E229"/>
  <c r="N246"/>
  <c r="G181"/>
  <c r="H231"/>
  <c r="K122"/>
  <c r="I231"/>
  <c r="N102"/>
  <c r="D336"/>
  <c r="J240"/>
  <c r="I334"/>
  <c r="N147"/>
  <c r="L243"/>
  <c r="K121"/>
  <c r="L319"/>
  <c r="J75"/>
  <c r="L214"/>
  <c r="L322"/>
  <c r="G244"/>
  <c r="H109"/>
  <c r="D333"/>
  <c r="B198"/>
  <c r="C140"/>
  <c r="N142"/>
  <c r="I240"/>
  <c r="D328"/>
  <c r="I233"/>
  <c r="B153"/>
  <c r="G240"/>
  <c r="B119"/>
  <c r="I195"/>
  <c r="E102"/>
  <c r="H23"/>
  <c r="I44"/>
  <c r="F262"/>
  <c r="F109"/>
  <c r="I109"/>
  <c r="H75"/>
  <c r="I110"/>
  <c r="M266"/>
  <c r="E117"/>
  <c r="C272"/>
  <c r="M23"/>
  <c r="K153"/>
  <c r="J141"/>
  <c r="H102"/>
  <c r="L182"/>
  <c r="F303"/>
  <c r="L133"/>
  <c r="D136"/>
  <c r="C137"/>
  <c r="J88"/>
  <c r="H57"/>
  <c r="D48"/>
  <c r="E292"/>
  <c r="H110"/>
  <c r="H78"/>
  <c r="N145"/>
  <c r="J261"/>
  <c r="F26"/>
  <c r="J52"/>
  <c r="F120"/>
  <c r="C90"/>
  <c r="M106"/>
  <c r="G81"/>
  <c r="E293"/>
  <c r="N54"/>
  <c r="I39"/>
  <c r="K71"/>
  <c r="F266"/>
  <c r="C25"/>
  <c r="C297"/>
  <c r="J120"/>
  <c r="C87"/>
  <c r="K27"/>
  <c r="M152"/>
  <c r="F138"/>
  <c r="G59"/>
  <c r="F275"/>
  <c r="L58"/>
  <c r="I15"/>
  <c r="K58"/>
  <c r="J16"/>
  <c r="H272"/>
  <c r="C295"/>
  <c r="B260"/>
  <c r="J54"/>
  <c r="F295"/>
  <c r="G297"/>
  <c r="B84"/>
  <c r="D56"/>
  <c r="K26"/>
  <c r="E11"/>
  <c r="N140"/>
  <c r="G265"/>
  <c r="D53"/>
  <c r="D272"/>
  <c r="I269"/>
  <c r="I59"/>
  <c r="F308"/>
  <c r="M59"/>
  <c r="D300"/>
  <c r="K266"/>
  <c r="M79"/>
  <c r="L275"/>
  <c r="K110"/>
  <c r="D260"/>
  <c r="B288"/>
  <c r="L195"/>
  <c r="M20"/>
  <c r="G145"/>
  <c r="K56"/>
  <c r="M112"/>
  <c r="F13"/>
  <c r="L265"/>
  <c r="C26"/>
  <c r="C202"/>
  <c r="E119"/>
  <c r="E39"/>
  <c r="L89"/>
  <c r="D110"/>
  <c r="C110"/>
  <c r="G112"/>
  <c r="D46"/>
  <c r="M44"/>
  <c r="G83"/>
  <c r="D115"/>
  <c r="D17"/>
  <c r="I265"/>
  <c r="N39"/>
  <c r="H143"/>
  <c r="M102"/>
  <c r="D22"/>
  <c r="C42"/>
  <c r="J21"/>
  <c r="K16"/>
  <c r="E145"/>
  <c r="B74"/>
  <c r="N22"/>
  <c r="C151"/>
  <c r="B117"/>
  <c r="F58"/>
  <c r="I133"/>
  <c r="G105"/>
  <c r="H22"/>
  <c r="E22"/>
  <c r="K78"/>
  <c r="C302"/>
  <c r="L84"/>
  <c r="J58"/>
  <c r="C49"/>
  <c r="I150"/>
  <c r="F267"/>
  <c r="J80"/>
  <c r="J270"/>
  <c r="E148"/>
  <c r="M15"/>
  <c r="G85"/>
  <c r="D264"/>
  <c r="I302"/>
  <c r="C46"/>
  <c r="C275"/>
  <c r="C271"/>
  <c r="M48"/>
  <c r="I292"/>
  <c r="I71"/>
  <c r="I301"/>
  <c r="C85"/>
  <c r="D52"/>
  <c r="K271"/>
  <c r="J122"/>
  <c r="L111"/>
  <c r="I262"/>
  <c r="B276"/>
  <c r="N184"/>
  <c r="F80"/>
  <c r="D150"/>
  <c r="C112"/>
  <c r="I114"/>
  <c r="M262"/>
  <c r="L141"/>
  <c r="G42"/>
  <c r="E56"/>
  <c r="F16"/>
  <c r="K91"/>
  <c r="B297"/>
  <c r="C277"/>
  <c r="H58"/>
  <c r="K49"/>
  <c r="B79"/>
  <c r="K147"/>
  <c r="N106"/>
  <c r="D184"/>
  <c r="H71"/>
  <c r="H308"/>
  <c r="F136"/>
  <c r="C116"/>
  <c r="F44"/>
  <c r="C56"/>
  <c r="F18"/>
  <c r="L81"/>
  <c r="H107"/>
  <c r="K133"/>
  <c r="B51"/>
  <c r="G292"/>
  <c r="K44"/>
  <c r="C16"/>
  <c r="H277"/>
  <c r="N122"/>
  <c r="M13"/>
  <c r="D11"/>
  <c r="C20"/>
  <c r="E49"/>
  <c r="E306"/>
  <c r="J47"/>
  <c r="G274"/>
  <c r="H53"/>
  <c r="D308"/>
  <c r="N51"/>
  <c r="J74"/>
  <c r="N46"/>
  <c r="D297"/>
  <c r="B307"/>
  <c r="J265"/>
  <c r="B78"/>
  <c r="F292"/>
  <c r="F52"/>
  <c r="G11"/>
  <c r="E271"/>
  <c r="B266"/>
  <c r="I58"/>
  <c r="G271"/>
  <c r="C58"/>
  <c r="G277"/>
  <c r="B13"/>
  <c r="K109"/>
  <c r="E203"/>
  <c r="H271"/>
  <c r="E257"/>
  <c r="J11"/>
  <c r="J275"/>
  <c r="N56"/>
  <c r="E48"/>
  <c r="E79"/>
  <c r="J26"/>
  <c r="K80"/>
  <c r="G182"/>
  <c r="K151"/>
  <c r="M114"/>
  <c r="J20"/>
  <c r="C306"/>
  <c r="H262"/>
  <c r="L83"/>
  <c r="M8"/>
  <c r="F122"/>
  <c r="I91"/>
  <c r="I21"/>
  <c r="I136"/>
  <c r="L23"/>
  <c r="B89"/>
  <c r="I115"/>
  <c r="G57"/>
  <c r="F88"/>
  <c r="K48"/>
  <c r="I288"/>
  <c r="C265"/>
  <c r="F105"/>
  <c r="B56"/>
  <c r="N114"/>
  <c r="H300"/>
  <c r="B17"/>
  <c r="B23"/>
  <c r="K18"/>
  <c r="D84"/>
  <c r="G15"/>
  <c r="L109"/>
  <c r="J76"/>
  <c r="G270"/>
  <c r="M83"/>
  <c r="B107"/>
  <c r="F112"/>
  <c r="K102"/>
  <c r="B274"/>
  <c r="C276"/>
  <c r="D85"/>
  <c r="I26"/>
  <c r="I275"/>
  <c r="E52"/>
  <c r="K150"/>
  <c r="E146"/>
  <c r="C23"/>
  <c r="I27"/>
  <c r="H84"/>
  <c r="E42"/>
  <c r="E272"/>
  <c r="E89"/>
  <c r="H307"/>
  <c r="L137"/>
  <c r="G22"/>
  <c r="L44"/>
  <c r="B306"/>
  <c r="N16"/>
  <c r="K136"/>
  <c r="I52"/>
  <c r="B44"/>
  <c r="B91"/>
  <c r="K262"/>
  <c r="H120"/>
  <c r="D274"/>
  <c r="G43"/>
  <c r="L277"/>
  <c r="I102"/>
  <c r="C118"/>
  <c r="E261"/>
  <c r="F59"/>
  <c r="G44"/>
  <c r="C79"/>
  <c r="J39"/>
  <c r="K115"/>
  <c r="D114"/>
  <c r="G146"/>
  <c r="K111"/>
  <c r="L90"/>
  <c r="N53"/>
  <c r="N12"/>
  <c r="G90"/>
  <c r="H51"/>
  <c r="I18"/>
  <c r="M90"/>
  <c r="B49"/>
  <c r="I46"/>
  <c r="H195"/>
  <c r="K21"/>
  <c r="F46"/>
  <c r="F172"/>
  <c r="J110"/>
  <c r="M143"/>
  <c r="C15"/>
  <c r="J269"/>
  <c r="G262"/>
  <c r="N179"/>
  <c r="H276"/>
  <c r="G75"/>
  <c r="J27"/>
  <c r="L91"/>
  <c r="E214"/>
  <c r="N44"/>
  <c r="D27"/>
  <c r="K28"/>
  <c r="L269"/>
  <c r="N138"/>
  <c r="H275"/>
  <c r="N42"/>
  <c r="N18"/>
  <c r="N21"/>
  <c r="J276"/>
  <c r="I257"/>
  <c r="G23"/>
  <c r="I56"/>
  <c r="B152"/>
  <c r="I152"/>
  <c r="B18"/>
  <c r="D71"/>
  <c r="D75"/>
  <c r="G78"/>
  <c r="D78"/>
  <c r="I303"/>
  <c r="B87"/>
  <c r="N57"/>
  <c r="J138"/>
  <c r="E74"/>
  <c r="E265"/>
  <c r="F270"/>
  <c r="G302"/>
  <c r="I272"/>
  <c r="C291"/>
  <c r="C74"/>
  <c r="L15"/>
  <c r="J44"/>
  <c r="H85"/>
  <c r="I276"/>
  <c r="K79"/>
  <c r="M117"/>
  <c r="F107"/>
  <c r="M43"/>
  <c r="F81"/>
  <c r="H89"/>
  <c r="K274"/>
  <c r="C184"/>
  <c r="I306"/>
  <c r="G306"/>
  <c r="J81"/>
  <c r="L112"/>
  <c r="F51"/>
  <c r="M54"/>
  <c r="M18"/>
  <c r="M272"/>
  <c r="C288"/>
  <c r="F15"/>
  <c r="I13"/>
  <c r="F85"/>
  <c r="L261"/>
  <c r="M105"/>
  <c r="K267"/>
  <c r="F298"/>
  <c r="J102"/>
  <c r="H302"/>
  <c r="G202"/>
  <c r="M265"/>
  <c r="G147"/>
  <c r="J91"/>
  <c r="E305"/>
  <c r="G307"/>
  <c r="M47"/>
  <c r="L105"/>
  <c r="C84"/>
  <c r="E28"/>
  <c r="D141"/>
  <c r="I16"/>
  <c r="N117"/>
  <c r="B168"/>
  <c r="G12"/>
  <c r="F272"/>
  <c r="H178"/>
  <c r="G288"/>
  <c r="H11"/>
  <c r="F137"/>
  <c r="L136"/>
  <c r="H90"/>
  <c r="F200"/>
  <c r="E27"/>
  <c r="M136"/>
  <c r="K270"/>
  <c r="L138"/>
  <c r="J79"/>
  <c r="N169"/>
  <c r="I23"/>
  <c r="D269"/>
  <c r="B264"/>
  <c r="J12"/>
  <c r="D208"/>
  <c r="L75"/>
  <c r="F47"/>
  <c r="D140"/>
  <c r="E59"/>
  <c r="M75"/>
  <c r="N81"/>
  <c r="F300"/>
  <c r="N43"/>
  <c r="C305"/>
  <c r="C86"/>
  <c r="E298"/>
  <c r="D111"/>
  <c r="L71"/>
  <c r="L267"/>
  <c r="B11"/>
  <c r="J257"/>
  <c r="C292"/>
  <c r="D302"/>
  <c r="C28"/>
  <c r="B303"/>
  <c r="D307"/>
  <c r="F86"/>
  <c r="L8"/>
  <c r="I90"/>
  <c r="I171"/>
  <c r="D88"/>
  <c r="F276"/>
  <c r="M91"/>
  <c r="I81"/>
  <c r="I271"/>
  <c r="L18"/>
  <c r="J137"/>
  <c r="L213"/>
  <c r="M146"/>
  <c r="F89"/>
  <c r="C146"/>
  <c r="J267"/>
  <c r="N27"/>
  <c r="G26"/>
  <c r="K22"/>
  <c r="B138"/>
  <c r="H112"/>
  <c r="F39"/>
  <c r="H44"/>
  <c r="F110"/>
  <c r="F307"/>
  <c r="B178"/>
  <c r="B136"/>
  <c r="E121"/>
  <c r="J107"/>
  <c r="J116"/>
  <c r="D138"/>
  <c r="B59"/>
  <c r="H13"/>
  <c r="E16"/>
  <c r="I270"/>
  <c r="E173"/>
  <c r="C105"/>
  <c r="N17"/>
  <c r="I267"/>
  <c r="B75"/>
  <c r="B86"/>
  <c r="F43"/>
  <c r="K89"/>
  <c r="D291"/>
  <c r="D270"/>
  <c r="F48"/>
  <c r="J53"/>
  <c r="J272"/>
  <c r="K272"/>
  <c r="D18"/>
  <c r="L52"/>
  <c r="H306"/>
  <c r="K195"/>
  <c r="C120"/>
  <c r="E262"/>
  <c r="G176"/>
  <c r="H305"/>
  <c r="E120"/>
  <c r="F141"/>
  <c r="E274"/>
  <c r="I260"/>
  <c r="J89"/>
  <c r="H121"/>
  <c r="E150"/>
  <c r="E114"/>
  <c r="G266"/>
  <c r="D116"/>
  <c r="D12"/>
  <c r="C261"/>
  <c r="J51"/>
  <c r="L76"/>
  <c r="I277"/>
  <c r="J198"/>
  <c r="I147"/>
  <c r="K83"/>
  <c r="E266"/>
  <c r="B118"/>
  <c r="H88"/>
  <c r="L22"/>
  <c r="M49"/>
  <c r="G276"/>
  <c r="D54"/>
  <c r="E275"/>
  <c r="M53"/>
  <c r="E84"/>
  <c r="H49"/>
  <c r="N121"/>
  <c r="B305"/>
  <c r="B275"/>
  <c r="J142"/>
  <c r="M78"/>
  <c r="C262"/>
  <c r="F106"/>
  <c r="D261"/>
  <c r="G275"/>
  <c r="B58"/>
  <c r="C47"/>
  <c r="H52"/>
  <c r="G298"/>
  <c r="H83"/>
  <c r="G76"/>
  <c r="D295"/>
  <c r="K145"/>
  <c r="C293"/>
  <c r="N28"/>
  <c r="L264"/>
  <c r="N136"/>
  <c r="L262"/>
  <c r="G308"/>
  <c r="F53"/>
  <c r="M271"/>
  <c r="E276"/>
  <c r="G86"/>
  <c r="L53"/>
  <c r="L47"/>
  <c r="G88"/>
  <c r="F271"/>
  <c r="F296"/>
  <c r="H293"/>
  <c r="C11"/>
  <c r="N120"/>
  <c r="E105"/>
  <c r="H264"/>
  <c r="J266"/>
  <c r="B296"/>
  <c r="L107"/>
  <c r="E270"/>
  <c r="J57"/>
  <c r="I105"/>
  <c r="N47"/>
  <c r="F114"/>
  <c r="I57"/>
  <c r="L173"/>
  <c r="M109"/>
  <c r="M25"/>
  <c r="J56"/>
  <c r="N112"/>
  <c r="B293"/>
  <c r="H80"/>
  <c r="I86"/>
  <c r="E71"/>
  <c r="H138"/>
  <c r="B43"/>
  <c r="L46"/>
  <c r="G53"/>
  <c r="C260"/>
  <c r="L102"/>
  <c r="G89"/>
  <c r="D89"/>
  <c r="K42"/>
  <c r="G174"/>
  <c r="B52"/>
  <c r="I111"/>
  <c r="B22"/>
  <c r="L270"/>
  <c r="J49"/>
  <c r="H56"/>
  <c r="I264"/>
  <c r="B261"/>
  <c r="C52"/>
  <c r="C308"/>
  <c r="D44"/>
  <c r="C48"/>
  <c r="F21"/>
  <c r="H28"/>
  <c r="E302"/>
  <c r="H47"/>
  <c r="D43"/>
  <c r="J264"/>
  <c r="G305"/>
  <c r="I53"/>
  <c r="B177"/>
  <c r="I8"/>
  <c r="M51"/>
  <c r="M21"/>
  <c r="I121"/>
  <c r="N74"/>
  <c r="L57"/>
  <c r="B298"/>
  <c r="E269"/>
  <c r="E57"/>
  <c r="C136"/>
  <c r="E300"/>
  <c r="J78"/>
  <c r="C119"/>
  <c r="B147"/>
  <c r="E44"/>
  <c r="D266"/>
  <c r="G264"/>
  <c r="M46"/>
  <c r="G46"/>
  <c r="B39"/>
  <c r="M42"/>
  <c r="F28"/>
  <c r="J177"/>
  <c r="L16"/>
  <c r="K20"/>
  <c r="C27"/>
  <c r="L274"/>
  <c r="B114"/>
  <c r="I78"/>
  <c r="I47"/>
  <c r="G261"/>
  <c r="K269"/>
  <c r="G122"/>
  <c r="C121"/>
  <c r="I120"/>
  <c r="I54"/>
  <c r="C107"/>
  <c r="E291"/>
  <c r="B270"/>
  <c r="E106"/>
  <c r="D120"/>
  <c r="L276"/>
  <c r="M107"/>
  <c r="D137"/>
  <c r="J25"/>
  <c r="D28"/>
  <c r="D265"/>
  <c r="C303"/>
  <c r="B115"/>
  <c r="F277"/>
  <c r="G16"/>
  <c r="C109"/>
  <c r="J42"/>
  <c r="M11"/>
  <c r="D275"/>
  <c r="M57"/>
  <c r="L59"/>
  <c r="D59"/>
  <c r="F257"/>
  <c r="F274"/>
  <c r="H164"/>
  <c r="L257"/>
  <c r="H261"/>
  <c r="I297"/>
  <c r="K142"/>
  <c r="G257"/>
  <c r="M267"/>
  <c r="D57"/>
  <c r="H81"/>
  <c r="J84"/>
  <c r="G153"/>
  <c r="E122"/>
  <c r="E295"/>
  <c r="C43"/>
  <c r="K46"/>
  <c r="B76"/>
  <c r="H26"/>
  <c r="G49"/>
  <c r="K84"/>
  <c r="I266"/>
  <c r="F119"/>
  <c r="N137"/>
  <c r="M116"/>
  <c r="F56"/>
  <c r="C122"/>
  <c r="D257"/>
  <c r="K107"/>
  <c r="B140"/>
  <c r="N52"/>
  <c r="L43"/>
  <c r="C13"/>
  <c r="K59"/>
  <c r="L86"/>
  <c r="F23"/>
  <c r="F265"/>
  <c r="E109"/>
  <c r="K119"/>
  <c r="C102"/>
  <c r="M28"/>
  <c r="J262"/>
  <c r="I295"/>
  <c r="N88"/>
  <c r="I274"/>
  <c r="G301"/>
  <c r="E43"/>
  <c r="H296"/>
  <c r="B53"/>
  <c r="K261"/>
  <c r="C59"/>
  <c r="G300"/>
  <c r="B25"/>
  <c r="G18"/>
  <c r="F302"/>
  <c r="E288"/>
  <c r="B116"/>
  <c r="H136"/>
  <c r="L271"/>
  <c r="N151"/>
  <c r="D306"/>
  <c r="G56"/>
  <c r="C54"/>
  <c r="E301"/>
  <c r="E164"/>
  <c r="M261"/>
  <c r="N141"/>
  <c r="B113"/>
  <c r="E58"/>
  <c r="E20"/>
  <c r="C53"/>
  <c r="D42"/>
  <c r="B183"/>
  <c r="I42"/>
  <c r="I208"/>
  <c r="D262"/>
  <c r="K86"/>
  <c r="L21"/>
  <c r="B15"/>
  <c r="G269"/>
  <c r="H269"/>
  <c r="M168"/>
  <c r="G260"/>
  <c r="H43"/>
  <c r="H270"/>
  <c r="J46"/>
  <c r="G121"/>
  <c r="C270"/>
  <c r="L122"/>
  <c r="C274"/>
  <c r="N48"/>
  <c r="D119"/>
  <c r="H303"/>
  <c r="K85"/>
  <c r="F83"/>
  <c r="I116"/>
  <c r="K275"/>
  <c r="G47"/>
  <c r="M56"/>
  <c r="B110"/>
  <c r="F143"/>
  <c r="N107"/>
  <c r="M275"/>
  <c r="J119"/>
  <c r="G91"/>
  <c r="D148"/>
  <c r="D267"/>
  <c r="H39"/>
  <c r="K148"/>
  <c r="N20"/>
  <c r="J271"/>
  <c r="L28"/>
  <c r="L54"/>
  <c r="I137"/>
  <c r="K53"/>
  <c r="M269"/>
  <c r="L115"/>
  <c r="C145"/>
  <c r="E26"/>
  <c r="M74"/>
  <c r="G120"/>
  <c r="N80"/>
  <c r="G74"/>
  <c r="F291"/>
  <c r="F261"/>
  <c r="E53"/>
  <c r="D47"/>
  <c r="H8"/>
  <c r="J115"/>
  <c r="D20"/>
  <c r="M178"/>
  <c r="I122"/>
  <c r="B8"/>
  <c r="B267"/>
  <c r="I169"/>
  <c r="I145"/>
  <c r="H122"/>
  <c r="B308"/>
  <c r="C267"/>
  <c r="N75"/>
  <c r="E15"/>
  <c r="B48"/>
  <c r="E86"/>
  <c r="E264"/>
  <c r="F269"/>
  <c r="M80"/>
  <c r="K116"/>
  <c r="I300"/>
  <c r="J43"/>
  <c r="F42"/>
  <c r="K47"/>
  <c r="G58"/>
  <c r="M16"/>
  <c r="N58"/>
  <c r="H46"/>
  <c r="E88"/>
  <c r="B265"/>
  <c r="B85"/>
  <c r="C91"/>
  <c r="G293"/>
  <c r="E76"/>
  <c r="F57"/>
  <c r="C22"/>
  <c r="H79"/>
  <c r="H267"/>
  <c r="L266"/>
  <c r="D305"/>
  <c r="F140"/>
  <c r="B144"/>
  <c r="L13"/>
  <c r="C269"/>
  <c r="M22"/>
  <c r="K57"/>
  <c r="N8"/>
  <c r="B292"/>
  <c r="B257"/>
  <c r="F20"/>
  <c r="G80"/>
  <c r="K264"/>
  <c r="L48"/>
  <c r="M138"/>
  <c r="I88"/>
  <c r="D8"/>
  <c r="M140"/>
  <c r="M150"/>
  <c r="F90"/>
  <c r="H115"/>
  <c r="B12"/>
  <c r="D293"/>
  <c r="L88"/>
  <c r="I141"/>
  <c r="C12"/>
  <c r="N171"/>
  <c r="B81"/>
  <c r="N76"/>
  <c r="D121"/>
  <c r="D15"/>
  <c r="F301"/>
  <c r="N13"/>
  <c r="C115"/>
  <c r="E151"/>
  <c r="D23"/>
  <c r="G21"/>
  <c r="I107"/>
  <c r="N109"/>
  <c r="L140"/>
  <c r="I117"/>
  <c r="E297"/>
  <c r="H74"/>
  <c r="N71"/>
  <c r="J8"/>
  <c r="I48"/>
  <c r="K106"/>
  <c r="K88"/>
  <c r="I85"/>
  <c r="H18"/>
  <c r="L11"/>
  <c r="E54"/>
  <c r="M81"/>
  <c r="J136"/>
  <c r="H25"/>
  <c r="H20"/>
  <c r="M76"/>
  <c r="C57"/>
  <c r="G52"/>
  <c r="M148"/>
  <c r="N110"/>
  <c r="F168"/>
  <c r="H182"/>
  <c r="K276"/>
  <c r="F306"/>
  <c r="I75"/>
  <c r="J71"/>
  <c r="G17"/>
  <c r="B27"/>
  <c r="E110"/>
  <c r="L106"/>
  <c r="C18"/>
  <c r="J90"/>
  <c r="L20"/>
  <c r="M122"/>
  <c r="N119"/>
  <c r="B54"/>
  <c r="K137"/>
  <c r="G117"/>
  <c r="G107"/>
  <c r="D133"/>
  <c r="J117"/>
  <c r="F297"/>
  <c r="E115"/>
  <c r="G8"/>
  <c r="F12"/>
  <c r="K277"/>
  <c r="H21"/>
  <c r="K54"/>
  <c r="B57"/>
  <c r="K265"/>
  <c r="G28"/>
  <c r="J106"/>
  <c r="I51"/>
  <c r="F288"/>
  <c r="L42"/>
  <c r="E147"/>
  <c r="N89"/>
  <c r="D271"/>
  <c r="G267"/>
  <c r="B269"/>
  <c r="K184"/>
  <c r="D49"/>
  <c r="C39"/>
  <c r="J121"/>
  <c r="I291"/>
  <c r="K15"/>
  <c r="C307"/>
  <c r="J22"/>
  <c r="F260"/>
  <c r="H298"/>
  <c r="I76"/>
  <c r="C266"/>
  <c r="B300"/>
  <c r="E91"/>
  <c r="B272"/>
  <c r="Q272" l="1"/>
  <c r="S272" s="1"/>
  <c r="Q300"/>
  <c r="S300" s="1"/>
  <c r="V260"/>
  <c r="Q269"/>
  <c r="S269" s="1"/>
  <c r="W267"/>
  <c r="P57"/>
  <c r="Q57" s="1"/>
  <c r="P54"/>
  <c r="Q54" s="1"/>
  <c r="P27"/>
  <c r="P115"/>
  <c r="P81"/>
  <c r="P12"/>
  <c r="Q257"/>
  <c r="S257" s="1"/>
  <c r="Q292"/>
  <c r="S292" s="1"/>
  <c r="P144"/>
  <c r="P85"/>
  <c r="Q265"/>
  <c r="S265" s="1"/>
  <c r="V269"/>
  <c r="U264"/>
  <c r="P48"/>
  <c r="Q48" s="1"/>
  <c r="Q308"/>
  <c r="S308" s="1"/>
  <c r="Q267"/>
  <c r="S267" s="1"/>
  <c r="P8"/>
  <c r="V261"/>
  <c r="W260"/>
  <c r="W269"/>
  <c r="P15"/>
  <c r="P183"/>
  <c r="P25"/>
  <c r="P53"/>
  <c r="Q53" s="1"/>
  <c r="P102"/>
  <c r="V265"/>
  <c r="P140"/>
  <c r="P122"/>
  <c r="P76"/>
  <c r="W257"/>
  <c r="V274"/>
  <c r="V257"/>
  <c r="P109"/>
  <c r="V277"/>
  <c r="Q270"/>
  <c r="S270" s="1"/>
  <c r="P107"/>
  <c r="P121"/>
  <c r="W261"/>
  <c r="P39"/>
  <c r="Q39" s="1"/>
  <c r="W264"/>
  <c r="P147"/>
  <c r="P119"/>
  <c r="U269"/>
  <c r="X269" s="1"/>
  <c r="Q298"/>
  <c r="S298" s="1"/>
  <c r="P177"/>
  <c r="Q261"/>
  <c r="S261" s="1"/>
  <c r="P22"/>
  <c r="P52"/>
  <c r="Q52" s="1"/>
  <c r="P43"/>
  <c r="Q43" s="1"/>
  <c r="Q293"/>
  <c r="S293" s="1"/>
  <c r="U270"/>
  <c r="Q296"/>
  <c r="S296" s="1"/>
  <c r="V271"/>
  <c r="U276"/>
  <c r="P58"/>
  <c r="Q58" s="1"/>
  <c r="W275"/>
  <c r="Q275"/>
  <c r="S275" s="1"/>
  <c r="Q305"/>
  <c r="S305" s="1"/>
  <c r="U275"/>
  <c r="W276"/>
  <c r="U266"/>
  <c r="W266"/>
  <c r="U274"/>
  <c r="U262"/>
  <c r="P120"/>
  <c r="P86"/>
  <c r="P75"/>
  <c r="P105"/>
  <c r="P59"/>
  <c r="Q59" s="1"/>
  <c r="P136"/>
  <c r="P178"/>
  <c r="P138"/>
  <c r="V276"/>
  <c r="Q303"/>
  <c r="S303" s="1"/>
  <c r="P11"/>
  <c r="Q264"/>
  <c r="S264" s="1"/>
  <c r="V272"/>
  <c r="P168"/>
  <c r="V270"/>
  <c r="U265"/>
  <c r="P18"/>
  <c r="P152"/>
  <c r="W262"/>
  <c r="P49"/>
  <c r="Q49" s="1"/>
  <c r="U261"/>
  <c r="X261" s="1"/>
  <c r="P118"/>
  <c r="P91"/>
  <c r="P44"/>
  <c r="Q44" s="1"/>
  <c r="Q306"/>
  <c r="S306" s="1"/>
  <c r="U272"/>
  <c r="Q274"/>
  <c r="S274" s="1"/>
  <c r="W270"/>
  <c r="P23"/>
  <c r="P17"/>
  <c r="P56"/>
  <c r="Q56" s="1"/>
  <c r="P89"/>
  <c r="U257"/>
  <c r="X257" s="1"/>
  <c r="P13"/>
  <c r="W277"/>
  <c r="W271"/>
  <c r="Q266"/>
  <c r="S266" s="1"/>
  <c r="U271"/>
  <c r="X271" s="1"/>
  <c r="P78"/>
  <c r="Q307"/>
  <c r="S307" s="1"/>
  <c r="W274"/>
  <c r="P51"/>
  <c r="Q51" s="1"/>
  <c r="P116"/>
  <c r="P79"/>
  <c r="Q297"/>
  <c r="S297" s="1"/>
  <c r="P112"/>
  <c r="Q276"/>
  <c r="S276" s="1"/>
  <c r="V267"/>
  <c r="P74"/>
  <c r="P110"/>
  <c r="Q288"/>
  <c r="S288" s="1"/>
  <c r="W265"/>
  <c r="P84"/>
  <c r="Q260"/>
  <c r="S260" s="1"/>
  <c r="V275"/>
  <c r="V266"/>
  <c r="V262"/>
  <c r="P153"/>
  <c r="P198"/>
  <c r="P90"/>
  <c r="P339"/>
  <c r="P323"/>
  <c r="P239"/>
  <c r="P327"/>
  <c r="P167"/>
  <c r="P71"/>
  <c r="P175"/>
  <c r="P329"/>
  <c r="P229"/>
  <c r="P204"/>
  <c r="P333"/>
  <c r="P337"/>
  <c r="P184"/>
  <c r="Q262"/>
  <c r="S262" s="1"/>
  <c r="P200"/>
  <c r="P245"/>
  <c r="P326"/>
  <c r="P179"/>
  <c r="P117"/>
  <c r="P203"/>
  <c r="Q271"/>
  <c r="S271" s="1"/>
  <c r="Q291"/>
  <c r="S291" s="1"/>
  <c r="P20"/>
  <c r="P26"/>
  <c r="P143"/>
  <c r="Q295"/>
  <c r="S295" s="1"/>
  <c r="P21"/>
  <c r="P111"/>
  <c r="P28"/>
  <c r="U267"/>
  <c r="X267" s="1"/>
  <c r="P142"/>
  <c r="V264"/>
  <c r="P16"/>
  <c r="P322"/>
  <c r="P42"/>
  <c r="Q42" s="1"/>
  <c r="W272"/>
  <c r="P80"/>
  <c r="U260"/>
  <c r="X260" s="1"/>
  <c r="U277"/>
  <c r="X277" s="1"/>
  <c r="P46"/>
  <c r="Q46" s="1"/>
  <c r="P133"/>
  <c r="P83"/>
  <c r="Q301"/>
  <c r="S301" s="1"/>
  <c r="P47"/>
  <c r="Q47" s="1"/>
  <c r="Q302"/>
  <c r="S302" s="1"/>
  <c r="Q277"/>
  <c r="S277" s="1"/>
  <c r="P338"/>
  <c r="P233"/>
  <c r="P334"/>
  <c r="P240"/>
  <c r="P145"/>
  <c r="P324"/>
  <c r="P230"/>
  <c r="P209"/>
  <c r="P206"/>
  <c r="P246"/>
  <c r="P141"/>
  <c r="P231"/>
  <c r="P214"/>
  <c r="P226"/>
  <c r="P182"/>
  <c r="P146"/>
  <c r="P176"/>
  <c r="P244"/>
  <c r="P238"/>
  <c r="P173"/>
  <c r="P171"/>
  <c r="P150"/>
  <c r="P241"/>
  <c r="P207"/>
  <c r="P88"/>
  <c r="P234"/>
  <c r="P181"/>
  <c r="P331"/>
  <c r="P205"/>
  <c r="P215"/>
  <c r="P212"/>
  <c r="P137"/>
  <c r="P208"/>
  <c r="P151"/>
  <c r="P169"/>
  <c r="P195"/>
  <c r="P235"/>
  <c r="G350"/>
  <c r="P114"/>
  <c r="P236"/>
  <c r="P213"/>
  <c r="P336"/>
  <c r="P332"/>
  <c r="P172"/>
  <c r="P174"/>
  <c r="P202"/>
  <c r="P210"/>
  <c r="P106"/>
  <c r="P319"/>
  <c r="P243"/>
  <c r="P199"/>
  <c r="P148"/>
  <c r="P328"/>
  <c r="P164"/>
  <c r="X272" l="1"/>
  <c r="X265"/>
  <c r="X262"/>
  <c r="X276"/>
  <c r="X274"/>
  <c r="X266"/>
  <c r="X275"/>
  <c r="X270"/>
  <c r="X264"/>
</calcChain>
</file>

<file path=xl/comments1.xml><?xml version="1.0" encoding="utf-8"?>
<comments xmlns="http://schemas.openxmlformats.org/spreadsheetml/2006/main">
  <authors>
    <author>jmarks</author>
  </authors>
  <commentLis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altered calculation to remove total degree count when states don't report teacher ed graduates (Tennessee, Texas).</t>
        </r>
      </text>
    </comment>
  </commentList>
</comments>
</file>

<file path=xl/comments2.xml><?xml version="1.0" encoding="utf-8"?>
<comments xmlns="http://schemas.openxmlformats.org/spreadsheetml/2006/main">
  <authors>
    <author>jmarks</author>
  </authors>
  <commentList>
    <comment ref="A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This set of prior year tables are calculated based on institutional classification as of the current year.</t>
        </r>
      </text>
    </commen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3.xml><?xml version="1.0" encoding="utf-8"?>
<comments xmlns="http://schemas.openxmlformats.org/spreadsheetml/2006/main">
  <authors>
    <author>jmarks</author>
    <author>Alicia A. Diaz</author>
    <author>mloverde</author>
    <author>Board of Regents</author>
    <author>jennifer berg</author>
    <author>adiaz</author>
    <author>Alicia A Diaz</author>
    <author>mperry</author>
    <author>Jeannie Reed</author>
  </authors>
  <commentList>
    <comment ref="E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As in IPEDS, completions from July 1 through June 30.</t>
        </r>
      </text>
    </comment>
    <comment ref="FP1" authorId="0">
      <text>
        <r>
          <rPr>
            <b/>
            <sz val="10"/>
            <color indexed="81"/>
            <rFont val="Tahoma"/>
            <family val="2"/>
          </rPr>
          <t xml:space="preserve">jmarks: </t>
        </r>
        <r>
          <rPr>
            <sz val="10"/>
            <color indexed="81"/>
            <rFont val="Tahoma"/>
            <family val="2"/>
          </rPr>
          <t>it is only on those not covered in the hard coded columns that need to be reported here. (I.e. detail on columns "FI" and "FJ".</t>
        </r>
      </text>
    </comment>
    <comment ref="CK5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These are moved to CM and CN
</t>
        </r>
      </text>
    </comment>
    <comment ref="M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Bachelor of Pharmacy in new system</t>
        </r>
      </text>
    </comment>
    <comment ref="FR1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All the "old" first-prof that are now prof. practice doctor's degrees get reported to the left. Only additional ones here.</t>
        </r>
      </text>
    </comment>
    <comment ref="FR1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Physical Therapy/Therapist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No Freshmen, Upper Level school - will not have data in every section.</t>
        </r>
      </text>
    </comment>
    <comment ref="B2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Two-Year 1 in 2009-10.</t>
        </r>
      </text>
    </comment>
    <comment ref="B35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Two-Year 1 in 2009-10.</t>
        </r>
      </text>
    </comment>
    <comment ref="B3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Two-Year 2 in 2009-10.</t>
        </r>
      </text>
    </comment>
    <comment ref="B3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Two-Year 2 in 2009-10.</t>
        </r>
      </text>
    </comment>
    <comment ref="B43" authorId="1">
      <text>
        <r>
          <rPr>
            <sz val="10"/>
            <color indexed="81"/>
            <rFont val="Tahoma"/>
            <family val="2"/>
          </rPr>
          <t>Met the criteria for Two-Year 2 in 2008-09 and 2009-10.</t>
        </r>
      </text>
    </comment>
    <comment ref="B56" authorId="2">
      <text>
        <r>
          <rPr>
            <sz val="10"/>
            <color indexed="81"/>
            <rFont val="Tahoma"/>
            <family val="2"/>
          </rPr>
          <t>Met the criteria for Four-Year 4 in 2009-10</t>
        </r>
      </text>
    </comment>
    <comment ref="Y5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Now that UAR-FS is a "6", you don't need to report bachelor's by CIP.</t>
        </r>
      </text>
    </comment>
    <comment ref="B6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70" authorId="2">
      <text>
        <r>
          <rPr>
            <sz val="10"/>
            <color indexed="81"/>
            <rFont val="Tahoma"/>
            <family val="2"/>
          </rPr>
          <t>Met the criteria for Two-Year 2 in 2008-09 and 2009-10.</t>
        </r>
      </text>
    </comment>
    <comment ref="B8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87" authorId="1">
      <text>
        <r>
          <rPr>
            <b/>
            <sz val="8"/>
            <color indexed="81"/>
            <rFont val="Tahoma"/>
            <family val="2"/>
          </rPr>
          <t>Reclassified: Met the criteria for SREB Two-Year 2 2007-08, 2008-09 and 2009-10.</t>
        </r>
      </text>
    </comment>
    <comment ref="B88" authorId="2">
      <text>
        <r>
          <rPr>
            <sz val="10"/>
            <color indexed="81"/>
            <rFont val="Tahoma"/>
            <family val="2"/>
          </rPr>
          <t>Reclassified: Met the criteria for Four-Year 1 in 2007-08, 2008-09 and 2009-10.</t>
        </r>
      </text>
    </comment>
    <comment ref="B100" authorId="1">
      <text>
        <r>
          <rPr>
            <sz val="10"/>
            <color indexed="81"/>
            <rFont val="Tahoma"/>
            <family val="2"/>
          </rPr>
          <t>Reclassified: Met the criteria for Two-Year with Bachelor's in 2007-08, 2008-09 and 2009-10.</t>
        </r>
      </text>
    </comment>
    <comment ref="B106" authorId="1">
      <text>
        <r>
          <rPr>
            <sz val="10"/>
            <color indexed="81"/>
            <rFont val="Tahoma"/>
            <family val="2"/>
          </rPr>
          <t>Met the criteria for Two-Year with Bachelor's in 2008-09 and 2009-10.</t>
        </r>
      </text>
    </comment>
    <comment ref="B107" authorId="1">
      <text>
        <r>
          <rPr>
            <sz val="10"/>
            <color indexed="81"/>
            <rFont val="Tahoma"/>
            <family val="2"/>
          </rPr>
          <t>Met the criteria for Two-Year with Bachelor's in 2009-10.</t>
        </r>
      </text>
    </comment>
    <comment ref="B109" authorId="1">
      <text>
        <r>
          <rPr>
            <sz val="10"/>
            <color indexed="81"/>
            <rFont val="Tahoma"/>
            <family val="2"/>
          </rPr>
          <t>Met the criteria for Two-Year with Bachelor's in 2009-10.</t>
        </r>
      </text>
    </comment>
    <comment ref="B113" authorId="1">
      <text>
        <r>
          <rPr>
            <sz val="10"/>
            <color indexed="81"/>
            <rFont val="Tahoma"/>
            <family val="2"/>
          </rPr>
          <t>Reclassified: Met the criteria for a Two-Year 1 in 2007-08, 2008-09 and 2009-10.</t>
        </r>
      </text>
    </comment>
    <comment ref="B11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Formerly Manatee Community College</t>
        </r>
      </text>
    </comment>
    <comment ref="B119" authorId="1">
      <text>
        <r>
          <rPr>
            <sz val="10"/>
            <color indexed="81"/>
            <rFont val="Tahoma"/>
            <family val="2"/>
          </rPr>
          <t>Met the criteria for Two-Year 1 in 2008-09 and 2009-10.</t>
        </r>
      </text>
    </comment>
    <comment ref="B120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143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Four-Year 5 in 2009-10.</t>
        </r>
      </text>
    </comment>
    <comment ref="B147" authorId="0">
      <text>
        <r>
          <rPr>
            <sz val="10"/>
            <color indexed="81"/>
            <rFont val="Tahoma"/>
            <family val="2"/>
          </rPr>
          <t>Met the criteria for Two-Year with Bachelor's in 2009-10.</t>
        </r>
      </text>
    </comment>
    <comment ref="B151" authorId="1">
      <text>
        <r>
          <rPr>
            <sz val="10"/>
            <color indexed="81"/>
            <rFont val="Tahoma"/>
            <family val="2"/>
          </rPr>
          <t>Met criteria for Two-Year with Bachelors in 2008-09 and 2009-10.</t>
        </r>
      </text>
    </comment>
    <comment ref="B153" authorId="0">
      <text>
        <r>
          <rPr>
            <sz val="10"/>
            <color indexed="81"/>
            <rFont val="Tahoma"/>
            <family val="2"/>
          </rPr>
          <t>Met the criteria for Two-Year with Bachelor's in 2009-10.</t>
        </r>
      </text>
    </comment>
    <comment ref="E154" authorId="3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Georgia Aviation Institute merged with Middle Georgia College in FY08 which might explain the increase in the number of certificates awarded.</t>
        </r>
      </text>
    </comment>
    <comment ref="B155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B15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B15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 start up phase.</t>
        </r>
      </text>
    </comment>
    <comment ref="B16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Now includes former Appalachian Technical College and North Metro Technical College.</t>
        </r>
      </text>
    </comment>
    <comment ref="B16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Is the merger of Coosa Valley Technical College and Northwestern Technical College.</t>
        </r>
      </text>
    </comment>
    <comment ref="B183" authorId="1">
      <text>
        <r>
          <rPr>
            <sz val="10"/>
            <color indexed="81"/>
            <rFont val="Tahoma"/>
            <family val="2"/>
          </rPr>
          <t>Reclassified: Now includes former Swainsboro Technical College and meets the criteria for a Technical Institute or College 1.</t>
        </r>
      </text>
    </comment>
    <comment ref="B18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Is the merger of West Georgia Technical College and West Central Technical College.</t>
        </r>
      </text>
    </comment>
    <comment ref="B187" authorId="1">
      <text>
        <r>
          <rPr>
            <sz val="10"/>
            <color indexed="81"/>
            <rFont val="Tahoma"/>
            <family val="2"/>
          </rPr>
          <t>Met criteria for Technical Institute or College 1 in 2008-09 and 2009-10.</t>
        </r>
      </text>
    </comment>
    <comment ref="B188" authorId="1">
      <text>
        <r>
          <rPr>
            <sz val="10"/>
            <color indexed="81"/>
            <rFont val="Tahoma"/>
            <family val="2"/>
          </rPr>
          <t>Met criteria for Tech nical institute or College 1 in 2008-09 and 2009-10.</t>
        </r>
      </text>
    </comment>
    <comment ref="FR190" authorId="0">
      <text>
        <r>
          <rPr>
            <b/>
            <sz val="10"/>
            <color indexed="81"/>
            <rFont val="Tahoma"/>
            <family val="2"/>
          </rPr>
          <t xml:space="preserve">jmarks: </t>
        </r>
        <r>
          <rPr>
            <sz val="10"/>
            <color indexed="81"/>
            <rFont val="Tahoma"/>
            <family val="2"/>
          </rPr>
          <t xml:space="preserve">This area is only for "additional" prof. practice doctorates, not those covered by CIPs to left.
</t>
        </r>
      </text>
    </comment>
    <comment ref="B195" authorId="2">
      <text>
        <r>
          <rPr>
            <sz val="10"/>
            <color indexed="81"/>
            <rFont val="Tahoma"/>
            <family val="2"/>
          </rPr>
          <t>Met the criteria for Four-Year 3 in 2008-09 and 2009-10.</t>
        </r>
      </text>
    </comment>
    <comment ref="B197" authorId="2">
      <text>
        <r>
          <rPr>
            <sz val="10"/>
            <color indexed="81"/>
            <rFont val="Tahoma"/>
            <family val="2"/>
          </rPr>
          <t>Met the criteria for Four-Year 4 in 2008-09 and 2009-10.</t>
        </r>
      </text>
    </comment>
    <comment ref="B21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B226" authorId="2">
      <text>
        <r>
          <rPr>
            <sz val="10"/>
            <color indexed="81"/>
            <rFont val="Tahoma"/>
            <family val="2"/>
          </rPr>
          <t>Reclassified: Met the criteria for Four-year 4 in 2007-08, 2008-09 and 2009-10.</t>
        </r>
      </text>
    </comment>
    <comment ref="B22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Four-Year 6 in 2009-10.</t>
        </r>
      </text>
    </comment>
    <comment ref="B229" authorId="1">
      <text>
        <r>
          <rPr>
            <sz val="10"/>
            <color indexed="81"/>
            <rFont val="Tahoma"/>
            <family val="2"/>
          </rPr>
          <t>Met criteria for Two-Year 1 in 2008-09 and 2009-10.</t>
        </r>
      </text>
    </comment>
    <comment ref="B235" authorId="1">
      <text>
        <r>
          <rPr>
            <sz val="10"/>
            <color indexed="81"/>
            <rFont val="Tahoma"/>
            <family val="2"/>
          </rPr>
          <t>Met criteria for Two-Year 2 in 2008-09 and 2009-10.</t>
        </r>
      </text>
    </comment>
    <comment ref="B236" authorId="1">
      <text>
        <r>
          <rPr>
            <sz val="10"/>
            <color indexed="81"/>
            <rFont val="Tahoma"/>
            <family val="2"/>
          </rPr>
          <t>Met criteria for Two-Year 2 in 2009-10.</t>
        </r>
      </text>
    </comment>
    <comment ref="B23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Technical Institute or College 1 in 2009-10.</t>
        </r>
      </text>
    </comment>
    <comment ref="B283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 Four-Year 2 in 2009-10.</t>
        </r>
      </text>
    </comment>
    <comment ref="B29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
</t>
        </r>
      </text>
    </comment>
    <comment ref="B30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
</t>
        </r>
      </text>
    </comment>
    <comment ref="B303" authorId="2">
      <text>
        <r>
          <rPr>
            <sz val="10"/>
            <color indexed="81"/>
            <rFont val="Tahoma"/>
            <family val="2"/>
          </rPr>
          <t xml:space="preserve">Met the criteria for Two-Year 2 in 2008-09 and 2009-10.
</t>
        </r>
      </text>
    </comment>
    <comment ref="B307" authorId="2">
      <text>
        <r>
          <rPr>
            <sz val="10"/>
            <color indexed="81"/>
            <rFont val="Tahoma"/>
            <family val="2"/>
          </rPr>
          <t xml:space="preserve">Met the criteria for Two-Year 2 in 2008-09 and 2009-10.
</t>
        </r>
      </text>
    </comment>
    <comment ref="B316" authorId="2">
      <text>
        <r>
          <rPr>
            <sz val="10"/>
            <color indexed="81"/>
            <rFont val="Tahoma"/>
            <family val="2"/>
          </rPr>
          <t>Reclassified: Met the criteria for Four-Year 4 in 2007-08, 2008-09 and 2009-10.</t>
        </r>
      </text>
    </comment>
    <comment ref="B319" authorId="4">
      <text>
        <r>
          <rPr>
            <sz val="10"/>
            <color indexed="8"/>
            <rFont val="Tahoma"/>
            <family val="2"/>
          </rPr>
          <t>Includes Raymond campus (175786), Jackson campus (175777), Rankin campus (175795) and Vicksburg-Warren county (175801).</t>
        </r>
      </text>
    </comment>
    <comment ref="B322" authorId="4">
      <text>
        <r>
          <rPr>
            <sz val="10"/>
            <color indexed="8"/>
            <rFont val="Tahoma"/>
            <family val="2"/>
          </rPr>
          <t>Includes Natchez Cmpus (175564).</t>
        </r>
      </text>
    </comment>
    <comment ref="B326" authorId="1">
      <text>
        <r>
          <rPr>
            <sz val="10"/>
            <color indexed="81"/>
            <rFont val="Tahoma"/>
            <family val="2"/>
          </rPr>
          <t>Met criteria for Two-Year 1 in 2008-09</t>
        </r>
      </text>
    </comment>
    <comment ref="B331" authorId="4">
      <text>
        <r>
          <rPr>
            <sz val="10"/>
            <color indexed="8"/>
            <rFont val="Tahoma"/>
            <family val="2"/>
          </rPr>
          <t xml:space="preserve">Includes Forrest county center (408127).
</t>
        </r>
      </text>
    </comment>
    <comment ref="B33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Four-Year 1 in 2009-10.</t>
        </r>
      </text>
    </comment>
    <comment ref="E350" authorId="5">
      <text>
        <r>
          <rPr>
            <b/>
            <sz val="8"/>
            <color indexed="81"/>
            <rFont val="Tahoma"/>
            <family val="2"/>
          </rPr>
          <t>Completions:  We increased dramatically in our overall completions in 2008-09.  We believe it is related to the recession and so many folks being unemployed and working to get new credentials to re-enter the workforce.</t>
        </r>
      </text>
    </comment>
    <comment ref="B36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364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366" authorId="1">
      <text>
        <r>
          <rPr>
            <sz val="10"/>
            <color indexed="81"/>
            <rFont val="Tahoma"/>
            <family val="2"/>
          </rPr>
          <t>Met the criteria for SREB 2 Year 1 in 2008-09 and 2009-10.</t>
        </r>
      </text>
    </comment>
    <comment ref="B371" authorId="1">
      <text>
        <r>
          <rPr>
            <sz val="10"/>
            <color indexed="81"/>
            <rFont val="Tahoma"/>
            <family val="2"/>
          </rPr>
          <t>Met the criteria for SREB 2 Year 1 in 2008-09 and 2009-10.</t>
        </r>
      </text>
    </comment>
    <comment ref="B395" authorId="0">
      <text>
        <r>
          <rPr>
            <sz val="10"/>
            <color indexed="81"/>
            <rFont val="Tahoma"/>
            <family val="2"/>
          </rPr>
          <t>Met the criteria for Two-Year 2 in 2009-10.</t>
        </r>
      </text>
    </comment>
    <comment ref="B398" authorId="0">
      <text>
        <r>
          <rPr>
            <sz val="10"/>
            <color indexed="81"/>
            <rFont val="Tahoma"/>
            <family val="2"/>
          </rPr>
          <t>Met the criteria for Two-Year 2 in 2009-10.</t>
        </r>
      </text>
    </comment>
    <comment ref="B406" authorId="0">
      <text>
        <r>
          <rPr>
            <sz val="10"/>
            <color indexed="81"/>
            <rFont val="Tahoma"/>
            <family val="2"/>
          </rPr>
          <t>Met the criteria for Two-Year 2 in 2009-10.</t>
        </r>
      </text>
    </comment>
    <comment ref="FR40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Public Health, General</t>
        </r>
      </text>
    </comment>
    <comment ref="FV40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Audiology/Audiologist.</t>
        </r>
      </text>
    </comment>
    <comment ref="FR414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Physical Therapy/Therapist.</t>
        </r>
      </text>
    </comment>
    <comment ref="B426" authorId="0">
      <text>
        <r>
          <rPr>
            <sz val="10"/>
            <color indexed="81"/>
            <rFont val="Tahoma"/>
            <family val="2"/>
          </rPr>
          <t>Met the criteria for Two-Year 1 institution in 2009-10.</t>
        </r>
      </text>
    </comment>
    <comment ref="B435" authorId="1">
      <text>
        <r>
          <rPr>
            <sz val="10"/>
            <color indexed="81"/>
            <rFont val="Tahoma"/>
            <family val="2"/>
          </rPr>
          <t>Reclassified: Met criteria for Technical Institute or College 1 in 2007-08, 2008-09 and 2009-10.</t>
        </r>
      </text>
    </comment>
    <comment ref="B43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Technical Institute or College 2 in 2009-10.</t>
        </r>
      </text>
    </comment>
    <comment ref="B43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Technical Institute or College 2 in 2009-10.</t>
        </r>
      </text>
    </comment>
    <comment ref="B464" authorId="1">
      <text>
        <r>
          <rPr>
            <sz val="10"/>
            <color indexed="81"/>
            <rFont val="Tahoma"/>
            <family val="2"/>
          </rPr>
          <t>Reclassified: Met criteria for Technical Institute or College 2 in 2007-08, 2008-09 and 2009-10.</t>
        </r>
      </text>
    </comment>
    <comment ref="B48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institution.</t>
        </r>
      </text>
    </comment>
    <comment ref="B490" authorId="2">
      <text>
        <r>
          <rPr>
            <sz val="10"/>
            <color indexed="81"/>
            <rFont val="Tahoma"/>
            <family val="2"/>
          </rPr>
          <t>Reclassified: Met the criteria for Four-Year 6 in 2007-08, 2008-09 and 2009-10.</t>
        </r>
      </text>
    </comment>
    <comment ref="B493" authorId="2">
      <text>
        <r>
          <rPr>
            <sz val="10"/>
            <color indexed="81"/>
            <rFont val="Tahoma"/>
            <family val="2"/>
          </rPr>
          <t>Met the criteria for Four-Year 6 in 2007-08 and 2008-09</t>
        </r>
      </text>
    </comment>
    <comment ref="B500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20009-01.</t>
        </r>
      </text>
    </comment>
    <comment ref="B503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Formerly Spartanburg Technical College</t>
        </r>
      </text>
    </comment>
    <comment ref="B504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20009-01.</t>
        </r>
      </text>
    </comment>
    <comment ref="B515" authorId="1">
      <text>
        <r>
          <rPr>
            <sz val="10"/>
            <color indexed="81"/>
            <rFont val="Tahoma"/>
            <family val="2"/>
          </rPr>
          <t xml:space="preserve">Reclassified: Met the criteria for Four-Year 1 in 2007-08, 2008-09 and 2009-10.
</t>
        </r>
      </text>
    </comment>
    <comment ref="B519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Four-Year 2 in 2009-10.
</t>
        </r>
      </text>
    </comment>
    <comment ref="B520" authorId="1">
      <text>
        <r>
          <rPr>
            <sz val="10"/>
            <color indexed="81"/>
            <rFont val="Tahoma"/>
            <family val="2"/>
          </rPr>
          <t xml:space="preserve">Reclassified: Met the criteria for Four-Year 3 in 2007-08, 2008-09 and 2009-10.
</t>
        </r>
      </text>
    </comment>
    <comment ref="B522" authorId="1">
      <text>
        <r>
          <rPr>
            <sz val="10"/>
            <color indexed="81"/>
            <rFont val="Tahoma"/>
            <family val="2"/>
          </rPr>
          <t xml:space="preserve">Met the criteria for Four-Year 3 in 2008-09 and 2009-10.
</t>
        </r>
      </text>
    </comment>
    <comment ref="B53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534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1 in 2009-10.</t>
        </r>
      </text>
    </comment>
    <comment ref="B53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FP56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Audiology/Audiologist.</t>
        </r>
      </text>
    </comment>
    <comment ref="FT570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Audiology/Audiologist and Speech-Language Pathology/Pathologist.</t>
        </r>
      </text>
    </comment>
    <comment ref="FZ57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Physical Therapy/Therapist.</t>
        </r>
      </text>
    </comment>
    <comment ref="B574" authorId="1">
      <text>
        <r>
          <rPr>
            <sz val="10"/>
            <color indexed="81"/>
            <rFont val="Tahoma"/>
            <family val="2"/>
          </rPr>
          <t>Reclassified: Met the criteria for Four-Year 2 in 2007-08, 2008-09 and 2009-10.</t>
        </r>
      </text>
    </comment>
    <comment ref="B583" authorId="1">
      <text>
        <r>
          <rPr>
            <sz val="10"/>
            <color indexed="81"/>
            <rFont val="Tahoma"/>
            <family val="2"/>
          </rPr>
          <t xml:space="preserve">Reclassified: Met the criteria for Four-Year 3 in 2007-08, 2008-09 and 2009-10.
</t>
        </r>
      </text>
    </comment>
    <comment ref="B594" authorId="1">
      <text>
        <r>
          <rPr>
            <sz val="10"/>
            <color indexed="81"/>
            <rFont val="Tahoma"/>
            <family val="2"/>
          </rPr>
          <t xml:space="preserve">Reclassified: Met the criteria for Four-Year 4 in 2007-08, 2008-09 and 2009-10.
</t>
        </r>
      </text>
    </comment>
    <comment ref="B595" authorId="1">
      <text>
        <r>
          <rPr>
            <sz val="10"/>
            <color indexed="81"/>
            <rFont val="Tahoma"/>
            <family val="2"/>
          </rPr>
          <t xml:space="preserve">Met the criteria for a Four-Year 3 in 2008-09 and 2009-10.
</t>
        </r>
      </text>
    </comment>
    <comment ref="B59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Four-Year 3 in 2009-10.</t>
        </r>
      </text>
    </comment>
    <comment ref="B600" authorId="2">
      <text>
        <r>
          <rPr>
            <sz val="10"/>
            <color indexed="81"/>
            <rFont val="Tahoma"/>
            <family val="2"/>
          </rPr>
          <t>Reclassified: Met criteria for Two-Year with Bachelor's in 2007-08, 2008-09 and 2009-10.</t>
        </r>
      </text>
    </comment>
    <comment ref="B601" authorId="2">
      <text>
        <r>
          <rPr>
            <sz val="10"/>
            <color indexed="81"/>
            <rFont val="Tahoma"/>
            <family val="2"/>
          </rPr>
          <t>Reclassified: Met criteria for Two-Year with Bachelor's in 2007-08, 2008-09 and 2009-10.</t>
        </r>
      </text>
    </comment>
    <comment ref="B602" authorId="2">
      <text>
        <r>
          <rPr>
            <sz val="10"/>
            <color indexed="81"/>
            <rFont val="Tahoma"/>
            <family val="2"/>
          </rPr>
          <t>Reclassified: Met criteria for Two-Year with Bachelor's in 2007-08, 2008-09 and 2009-10.</t>
        </r>
      </text>
    </comment>
    <comment ref="B614" authorId="6">
      <text>
        <r>
          <rPr>
            <b/>
            <sz val="10"/>
            <color indexed="81"/>
            <rFont val="Tahoma"/>
            <family val="2"/>
          </rPr>
          <t>Alicia A Diaz:</t>
        </r>
        <r>
          <rPr>
            <sz val="10"/>
            <color indexed="81"/>
            <rFont val="Tahoma"/>
            <family val="2"/>
          </rPr>
          <t xml:space="preserve">
Formerly North Harris Montgomery Community College District.</t>
        </r>
      </text>
    </comment>
    <comment ref="B634" authorId="2">
      <text>
        <r>
          <rPr>
            <sz val="10"/>
            <color indexed="81"/>
            <rFont val="Tahoma"/>
            <family val="2"/>
          </rPr>
          <t>Met criteria for Two-Year 1 in 2008-09 and 2009-10.</t>
        </r>
      </text>
    </comment>
    <comment ref="B638" authorId="2">
      <text>
        <r>
          <rPr>
            <sz val="10"/>
            <color indexed="81"/>
            <rFont val="Tahoma"/>
            <family val="2"/>
          </rPr>
          <t>Met criteria for Two-Year 1 in 2009-10.</t>
        </r>
      </text>
    </comment>
    <comment ref="B642" authorId="2">
      <text>
        <r>
          <rPr>
            <sz val="10"/>
            <color indexed="81"/>
            <rFont val="Tahoma"/>
            <family val="2"/>
          </rPr>
          <t>Met criteria for Two-Year 1 in 2008-09 and 2009-10.</t>
        </r>
      </text>
    </comment>
    <comment ref="B649" authorId="2">
      <text>
        <r>
          <rPr>
            <sz val="10"/>
            <color indexed="81"/>
            <rFont val="Tahoma"/>
            <family val="2"/>
          </rPr>
          <t>Met criteria for Two-Year 1 in 2009-10.</t>
        </r>
      </text>
    </comment>
    <comment ref="B650" authorId="2">
      <text>
        <r>
          <rPr>
            <sz val="10"/>
            <color indexed="81"/>
            <rFont val="Tahoma"/>
            <family val="2"/>
          </rPr>
          <t>Met criteria for Two-Year 1 in 2009-10.</t>
        </r>
      </text>
    </comment>
    <comment ref="C660" authorId="1">
      <text>
        <r>
          <rPr>
            <b/>
            <sz val="8"/>
            <color indexed="81"/>
            <rFont val="Tahoma"/>
            <family val="2"/>
          </rPr>
          <t>Alicia A. Diaz:</t>
        </r>
        <r>
          <rPr>
            <sz val="8"/>
            <color indexed="81"/>
            <rFont val="Tahoma"/>
            <family val="2"/>
          </rPr>
          <t xml:space="preserve">
Not assigned until SACS accreditation</t>
        </r>
      </text>
    </comment>
    <comment ref="B661" authorId="2">
      <text>
        <r>
          <rPr>
            <sz val="10"/>
            <color indexed="81"/>
            <rFont val="Tahoma"/>
            <family val="2"/>
          </rPr>
          <t>Met criteria for Two-Year 2 in 2009-10.</t>
        </r>
      </text>
    </comment>
    <comment ref="B66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fall 2009.</t>
        </r>
      </text>
    </comment>
    <comment ref="B669" authorId="7">
      <text>
        <r>
          <rPr>
            <b/>
            <sz val="8"/>
            <color indexed="81"/>
            <rFont val="Tahoma"/>
            <family val="2"/>
          </rPr>
          <t>mperry:</t>
        </r>
        <r>
          <rPr>
            <sz val="8"/>
            <color indexed="81"/>
            <rFont val="Tahoma"/>
            <family val="2"/>
          </rPr>
          <t xml:space="preserve">
Deleted "University System" b/4 "Health" to match IPEDS 11/23/10</t>
        </r>
      </text>
    </comment>
    <comment ref="B670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fall 2009.</t>
        </r>
      </text>
    </comment>
    <comment ref="B67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fall 2009.</t>
        </r>
      </text>
    </comment>
    <comment ref="B680" authorId="2">
      <text>
        <r>
          <rPr>
            <sz val="8"/>
            <color indexed="81"/>
            <rFont val="Tahoma"/>
            <family val="2"/>
          </rPr>
          <t>Reclassified, met criteria for classification as a SREB Four-Year 1 in 2007-08, 2008-09 and 2009-10.</t>
        </r>
      </text>
    </comment>
    <comment ref="B684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criteria for classification as a SREB Four-Year 1 in 2009-10.</t>
        </r>
      </text>
    </comment>
    <comment ref="B686" authorId="2">
      <text>
        <r>
          <rPr>
            <sz val="8"/>
            <color indexed="81"/>
            <rFont val="Tahoma"/>
            <family val="2"/>
          </rPr>
          <t>Reclassified, met criteria for classification as a SREB Four-Year 3 in 2007-08, 2008-09 and 2009-10.</t>
        </r>
      </text>
    </comment>
    <comment ref="B687" authorId="2">
      <text>
        <r>
          <rPr>
            <b/>
            <sz val="8"/>
            <color indexed="81"/>
            <rFont val="Tahoma"/>
            <family val="2"/>
          </rPr>
          <t>Reclassified, met criteria for classification as a SREB Four-Year 4 in 2007-08, 2008-09 and 2009-10.</t>
        </r>
      </text>
    </comment>
    <comment ref="B689" authorId="2">
      <text>
        <r>
          <rPr>
            <b/>
            <sz val="8"/>
            <color indexed="81"/>
            <rFont val="Tahoma"/>
            <family val="2"/>
          </rPr>
          <t>Reclassified, met criteria for classification as a SREB Four-Year 5 in 2007-08, 2008-09 and 2009-10.</t>
        </r>
      </text>
    </comment>
    <comment ref="B690" authorId="2">
      <text>
        <r>
          <rPr>
            <b/>
            <sz val="8"/>
            <color indexed="81"/>
            <rFont val="Tahoma"/>
            <family val="2"/>
          </rPr>
          <t>Met criteria for classification as a SREB Four-Year 4 in 2008-09 and 2009-10.</t>
        </r>
      </text>
    </comment>
    <comment ref="B70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B71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B716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Met the criteria for Two-Year 2 in 2009-10.</t>
        </r>
      </text>
    </comment>
    <comment ref="B722" authorId="2">
      <text>
        <r>
          <rPr>
            <sz val="10"/>
            <color indexed="81"/>
            <rFont val="Tahoma"/>
            <family val="2"/>
          </rPr>
          <t>Reclassified: Met the criteria for Four-Year 5 in 2007-08, 2008-09 and 2009-10</t>
        </r>
      </text>
    </comment>
    <comment ref="B724" authorId="2">
      <text>
        <r>
          <rPr>
            <sz val="10"/>
            <color indexed="81"/>
            <rFont val="Tahoma"/>
            <family val="2"/>
          </rPr>
          <t>Met the criteria for Four-Year 5 in 2008-09 and 2009-10.</t>
        </r>
      </text>
    </comment>
    <comment ref="B729" authorId="1">
      <text>
        <r>
          <rPr>
            <b/>
            <sz val="8"/>
            <color indexed="81"/>
            <rFont val="Tahoma"/>
            <family val="2"/>
          </rPr>
          <t>met criteria as a SREB two-year 3 ("10") institution in 2007-08, 2008-09.</t>
        </r>
      </text>
    </comment>
    <comment ref="B731" authorId="8">
      <text>
        <r>
          <rPr>
            <b/>
            <sz val="8"/>
            <color indexed="81"/>
            <rFont val="Tahoma"/>
            <family val="2"/>
          </rPr>
          <t>Jeannie Reed:</t>
        </r>
        <r>
          <rPr>
            <sz val="8"/>
            <color indexed="81"/>
            <rFont val="Tahoma"/>
            <family val="2"/>
          </rPr>
          <t xml:space="preserve">
formerly Community &amp; Technical College at WVU Tech</t>
        </r>
      </text>
    </comment>
    <comment ref="B735" authorId="1">
      <text>
        <r>
          <rPr>
            <sz val="10"/>
            <color indexed="81"/>
            <rFont val="Tahoma"/>
            <family val="2"/>
          </rPr>
          <t>Reclassified: Met criteria for Two-Year with Bachelor's in 2007-08, 2008-09 and 2009-10.</t>
        </r>
      </text>
    </comment>
    <comment ref="B737" authorId="0">
      <text>
        <r>
          <rPr>
            <sz val="10"/>
            <color indexed="81"/>
            <rFont val="Tahoma"/>
            <family val="2"/>
          </rPr>
          <t>Met the critieria for Two-Year 2 in 2009-10.</t>
        </r>
      </text>
    </comment>
    <comment ref="B738" authorId="8">
      <text>
        <r>
          <rPr>
            <sz val="10"/>
            <color indexed="81"/>
            <rFont val="Tahoma"/>
            <family val="2"/>
          </rPr>
          <t>Formerly West Virginia State Community &amp; Technical College.</t>
        </r>
      </text>
    </comment>
    <comment ref="EE747" authorId="8">
      <text>
        <r>
          <rPr>
            <b/>
            <sz val="8"/>
            <color indexed="81"/>
            <rFont val="Tahoma"/>
            <family val="2"/>
          </rPr>
          <t>Jeannie Reed:</t>
        </r>
        <r>
          <rPr>
            <sz val="8"/>
            <color indexed="81"/>
            <rFont val="Tahoma"/>
            <family val="2"/>
          </rPr>
          <t xml:space="preserve">
I put this value back in; appeared not to have been carried over from last year.</t>
        </r>
      </text>
    </comment>
  </commentList>
</comments>
</file>

<file path=xl/sharedStrings.xml><?xml version="1.0" encoding="utf-8"?>
<sst xmlns="http://schemas.openxmlformats.org/spreadsheetml/2006/main" count="4840" uniqueCount="1333">
  <si>
    <t>Wilson Technical Community College</t>
  </si>
  <si>
    <t>Bladen Community College</t>
  </si>
  <si>
    <t>Brunswick Community College</t>
  </si>
  <si>
    <t>Carteret Community College</t>
  </si>
  <si>
    <t xml:space="preserve">Halifax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</si>
  <si>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</si>
  <si>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</si>
  <si>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</si>
  <si>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</si>
  <si>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</si>
  <si>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</si>
  <si>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Roanoke-Chowan Community College</t>
  </si>
  <si>
    <t>Sampson Community College</t>
  </si>
  <si>
    <t xml:space="preserve">Tri-County Community College </t>
  </si>
  <si>
    <t xml:space="preserve">North Carolina State University </t>
  </si>
  <si>
    <t xml:space="preserve">University of North Carolina at Chapel Hill </t>
  </si>
  <si>
    <t>University of North Carolina at Greensboro</t>
  </si>
  <si>
    <t xml:space="preserve">Appalachian State University </t>
  </si>
  <si>
    <t xml:space="preserve">East Carolina University </t>
  </si>
  <si>
    <t xml:space="preserve">North Carolina Central University </t>
  </si>
  <si>
    <t>University of North Carolina at Charlotte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</si>
  <si>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</si>
  <si>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</si>
  <si>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</si>
  <si>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</si>
  <si>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Elizabeth City State University </t>
  </si>
  <si>
    <t>University of North Carolina at Asheville</t>
  </si>
  <si>
    <t xml:space="preserve">Winston-Salem State University </t>
  </si>
  <si>
    <t>North Carolina School of the Arts</t>
  </si>
  <si>
    <t>KY</t>
  </si>
  <si>
    <t>AL</t>
  </si>
  <si>
    <t>OK</t>
  </si>
  <si>
    <t>TN</t>
  </si>
  <si>
    <t>Technical Institute or College - size unknown</t>
  </si>
  <si>
    <t>Notes:   The "Certificates" category includes less than two-year and two- but less than four-year certificates.</t>
  </si>
  <si>
    <t>SC</t>
  </si>
  <si>
    <t>Clemson University</t>
  </si>
  <si>
    <t>University of South Carolina-Columbia</t>
  </si>
  <si>
    <t>College of Charleston</t>
  </si>
  <si>
    <t xml:space="preserve">Winthrop University </t>
  </si>
  <si>
    <t xml:space="preserve">The Citadel, the Military College of South Carolina </t>
  </si>
  <si>
    <t xml:space="preserve">Francis Marion University </t>
  </si>
  <si>
    <t>Lander University</t>
  </si>
  <si>
    <t xml:space="preserve">South Carolina State University </t>
  </si>
  <si>
    <t>Coastal Carolina University</t>
  </si>
  <si>
    <t>University of South Carolina-Aiken</t>
  </si>
  <si>
    <t>University of South Carolina-Upstate</t>
  </si>
  <si>
    <t>University of South Carolina-Beaufort</t>
  </si>
  <si>
    <t xml:space="preserve">Greenville Technical College </t>
  </si>
  <si>
    <t xml:space="preserve">Midlands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</si>
  <si>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</si>
  <si>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</si>
  <si>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</si>
  <si>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Florence-Darlington Technical College </t>
  </si>
  <si>
    <t xml:space="preserve">Horry-Georgetown Technical College </t>
  </si>
  <si>
    <t xml:space="preserve">Orangeburg-Calhoun Technical College </t>
  </si>
  <si>
    <t xml:space="preserve">Piedmont Technical College </t>
  </si>
  <si>
    <t xml:space="preserve">Spartanburg Community College </t>
  </si>
  <si>
    <t xml:space="preserve">Tri-County Technical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</si>
  <si>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</si>
  <si>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</si>
  <si>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</si>
  <si>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</si>
  <si>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</si>
  <si>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</si>
  <si>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</si>
  <si>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Tennessee Technology Center at Hohenwald</t>
  </si>
  <si>
    <t>University of South Carolina-Union</t>
  </si>
  <si>
    <t xml:space="preserve">Willamsburg Technical College </t>
  </si>
  <si>
    <t>Medical University of South Carolina</t>
  </si>
  <si>
    <t>WV</t>
  </si>
  <si>
    <t>CIP</t>
  </si>
  <si>
    <t>15</t>
  </si>
  <si>
    <t>"NI" indicates not identified in state level databases.</t>
  </si>
  <si>
    <t>A change of more than 10% (up or down) will trigger a red warning.</t>
  </si>
  <si>
    <t xml:space="preserve">College of Coastal Georgia 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</si>
  <si>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</si>
  <si>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</si>
  <si>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</si>
  <si>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</si>
  <si>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</si>
  <si>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</si>
  <si>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</si>
  <si>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</si>
  <si>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</si>
  <si>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</si>
  <si>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</si>
  <si>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</si>
  <si>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</si>
  <si>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</si>
  <si>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</si>
  <si>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</si>
  <si>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</si>
  <si>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</si>
  <si>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</si>
  <si>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</si>
  <si>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24</t>
  </si>
  <si>
    <t>Ten 2-Digit CIP Designations with</t>
  </si>
  <si>
    <t>Other</t>
  </si>
  <si>
    <t>2 But</t>
  </si>
  <si>
    <t>Degrees</t>
  </si>
  <si>
    <t>the Largest Number of Awards</t>
  </si>
  <si>
    <t>Ed Spec and</t>
  </si>
  <si>
    <t>Less</t>
  </si>
  <si>
    <t>Percent</t>
  </si>
  <si>
    <t>Post-</t>
  </si>
  <si>
    <t>(list in descending order)</t>
  </si>
  <si>
    <t>Post-Master's &amp;</t>
  </si>
  <si>
    <t>16</t>
  </si>
  <si>
    <t>Osteo-</t>
  </si>
  <si>
    <t>Veter-</t>
  </si>
  <si>
    <t>First</t>
  </si>
  <si>
    <t>IPEDS</t>
  </si>
  <si>
    <t>Than</t>
  </si>
  <si>
    <t>Than 4</t>
  </si>
  <si>
    <t xml:space="preserve">of </t>
  </si>
  <si>
    <t>Major</t>
  </si>
  <si>
    <t>Cour-</t>
  </si>
  <si>
    <t>Sub-</t>
  </si>
  <si>
    <t>Bach-</t>
  </si>
  <si>
    <t>1</t>
  </si>
  <si>
    <t>Post-Master's</t>
  </si>
  <si>
    <t>Master's +</t>
  </si>
  <si>
    <t># Master's+</t>
  </si>
  <si>
    <t>Doctorates</t>
  </si>
  <si>
    <t># Doctoral</t>
  </si>
  <si>
    <t>% Biggest</t>
  </si>
  <si>
    <t>pathic</t>
  </si>
  <si>
    <t>inary</t>
  </si>
  <si>
    <t>Professional</t>
  </si>
  <si>
    <t>Institution</t>
  </si>
  <si>
    <t>ID #</t>
  </si>
  <si>
    <t>Category</t>
  </si>
  <si>
    <t>2-Year</t>
  </si>
  <si>
    <t>Years</t>
  </si>
  <si>
    <t>Bachelors'</t>
  </si>
  <si>
    <t>(CIP)</t>
  </si>
  <si>
    <t>ses</t>
  </si>
  <si>
    <t>elor's</t>
  </si>
  <si>
    <t>Number</t>
  </si>
  <si>
    <t>CIPs</t>
  </si>
  <si>
    <t>D CIP</t>
  </si>
  <si>
    <t>Medicine</t>
  </si>
  <si>
    <t>Dentistry</t>
  </si>
  <si>
    <t>Pharmacy</t>
  </si>
  <si>
    <t>Chiropractic</t>
  </si>
  <si>
    <t>Optometry</t>
  </si>
  <si>
    <t>Podiatry</t>
  </si>
  <si>
    <t>Certificates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</si>
  <si>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</si>
  <si>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</si>
  <si>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</si>
  <si>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</si>
  <si>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</si>
  <si>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</si>
  <si>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Old- Asso % of Bachs</t>
  </si>
  <si>
    <t>New-Associate's</t>
  </si>
  <si>
    <t>New- Asso % of Bachs</t>
  </si>
  <si>
    <t>Old-FP Total</t>
  </si>
  <si>
    <t>New-FP Total</t>
  </si>
  <si>
    <t>Old-Bachelor's</t>
  </si>
  <si>
    <t>New-Bachelor's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</si>
  <si>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</si>
  <si>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</si>
  <si>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</si>
  <si>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</si>
  <si>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</si>
  <si>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</si>
  <si>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</si>
  <si>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</si>
  <si>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</si>
  <si>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</si>
  <si>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</si>
  <si>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</si>
  <si>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</si>
  <si>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</si>
  <si>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</si>
  <si>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</si>
  <si>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</si>
  <si>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</si>
  <si>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</si>
  <si>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</si>
  <si>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</si>
  <si>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</si>
  <si>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</si>
  <si>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</si>
  <si>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</si>
  <si>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</si>
  <si>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</si>
  <si>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</si>
  <si>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</si>
  <si>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</si>
  <si>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</si>
  <si>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</si>
  <si>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</si>
  <si>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</si>
  <si>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</si>
  <si>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</si>
  <si>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</si>
  <si>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</si>
  <si>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</si>
  <si>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</si>
  <si>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</si>
  <si>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</si>
  <si>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</si>
  <si>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</si>
  <si>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</si>
  <si>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</si>
  <si>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</si>
  <si>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</si>
  <si>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</si>
  <si>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</si>
  <si>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</si>
  <si>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</si>
  <si>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</si>
  <si>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</si>
  <si>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</si>
  <si>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</si>
  <si>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</si>
  <si>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</si>
  <si>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</si>
  <si>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</si>
  <si>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</si>
  <si>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</si>
  <si>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</si>
  <si>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</si>
  <si>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</si>
  <si>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</si>
  <si>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</si>
  <si>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</si>
  <si>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</si>
  <si>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</si>
  <si>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</si>
  <si>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</si>
  <si>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</si>
  <si>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</si>
  <si>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</si>
  <si>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</si>
  <si>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</si>
  <si>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</si>
  <si>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</si>
  <si>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</si>
  <si>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</si>
  <si>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</si>
  <si>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</si>
  <si>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</si>
  <si>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</si>
  <si>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</si>
  <si>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</si>
  <si>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</si>
  <si>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</si>
  <si>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</si>
  <si>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</si>
  <si>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</si>
  <si>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</si>
  <si>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</si>
  <si>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</si>
  <si>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</si>
  <si>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</si>
  <si>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</si>
  <si>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</si>
  <si>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</si>
  <si>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</si>
  <si>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</si>
  <si>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</si>
  <si>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</si>
  <si>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</si>
  <si>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</si>
  <si>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</si>
  <si>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</si>
  <si>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</si>
  <si>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</si>
  <si>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</si>
  <si>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</si>
  <si>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</si>
  <si>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</si>
  <si>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</si>
  <si>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</si>
  <si>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Bach-   elor's</t>
  </si>
  <si>
    <t>Post-Bach-   elor's</t>
  </si>
  <si>
    <t>Bach-    elor's</t>
  </si>
  <si>
    <t>Five 2-Digit CIP Designations with</t>
  </si>
  <si>
    <t>Phar-macy</t>
  </si>
  <si>
    <t>Phar-    macy</t>
  </si>
  <si>
    <t>Table 1</t>
  </si>
  <si>
    <t>Degrees and Other Awards Conferred</t>
  </si>
  <si>
    <t>Asso-ciate's</t>
  </si>
  <si>
    <t xml:space="preserve">Edison State College </t>
  </si>
  <si>
    <t>Master's</t>
  </si>
  <si>
    <t>Doctoral</t>
  </si>
  <si>
    <t>Law</t>
  </si>
  <si>
    <t>Medi- cine</t>
  </si>
  <si>
    <t>Dentis-try</t>
  </si>
  <si>
    <t>Optom-etry</t>
  </si>
  <si>
    <t>Osteo-pathic Medicine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</si>
  <si>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</si>
  <si>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</si>
  <si>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</si>
  <si>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</si>
  <si>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</si>
  <si>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</si>
  <si>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</si>
  <si>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</si>
  <si>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</si>
  <si>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</si>
  <si>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</si>
  <si>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</si>
  <si>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</si>
  <si>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</si>
  <si>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</si>
  <si>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</si>
  <si>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</si>
  <si>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</si>
  <si>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</si>
  <si>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</si>
  <si>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</si>
  <si>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</si>
  <si>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</si>
  <si>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</si>
  <si>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</si>
  <si>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</si>
  <si>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 xml:space="preserve"> </t>
  </si>
  <si>
    <t>All Two-Year</t>
  </si>
  <si>
    <t>Two-Year with Bachelor's</t>
  </si>
  <si>
    <t>Two-Year 1</t>
  </si>
  <si>
    <t>Two-Year 2</t>
  </si>
  <si>
    <t>Two-Year 3</t>
  </si>
  <si>
    <t>Asso- ciate's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</si>
  <si>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</si>
  <si>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</si>
  <si>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</si>
  <si>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</si>
  <si>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</si>
  <si>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</si>
  <si>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</si>
  <si>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</si>
  <si>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</si>
  <si>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</si>
  <si>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Identified by an Education Major      (CIP "13")</t>
  </si>
  <si>
    <t>Identi- fied by Courses Taken</t>
  </si>
  <si>
    <t>Identi- fied by Other Means</t>
  </si>
  <si>
    <t>SREB Type</t>
  </si>
  <si>
    <t>State</t>
  </si>
  <si>
    <t>13</t>
  </si>
  <si>
    <t>14</t>
  </si>
  <si>
    <t>AR</t>
  </si>
  <si>
    <t>FL</t>
  </si>
  <si>
    <t>VA</t>
  </si>
  <si>
    <t>Bachelors</t>
  </si>
  <si>
    <t>University of Southern Mississippi</t>
  </si>
  <si>
    <t xml:space="preserve">Jackson State University </t>
  </si>
  <si>
    <t>Mississippi State University</t>
  </si>
  <si>
    <t>University of Mississippi</t>
  </si>
  <si>
    <t>Alcorn State University</t>
  </si>
  <si>
    <t>Delta State University</t>
  </si>
  <si>
    <t>Mississippi University for Women</t>
  </si>
  <si>
    <t>Mississippi Valley State University</t>
  </si>
  <si>
    <t>University of Mississippi Medical Center</t>
  </si>
  <si>
    <t>West Virginia University</t>
  </si>
  <si>
    <t xml:space="preserve">Marshall University </t>
  </si>
  <si>
    <t xml:space="preserve">Bluefield State College </t>
  </si>
  <si>
    <t xml:space="preserve">Concord University </t>
  </si>
  <si>
    <t>Fairmont State University</t>
  </si>
  <si>
    <t xml:space="preserve">Glenville State College </t>
  </si>
  <si>
    <t xml:space="preserve">Shepherd University </t>
  </si>
  <si>
    <t xml:space="preserve">West Virginia State University </t>
  </si>
  <si>
    <t>West Virginia University Institute of Technology</t>
  </si>
  <si>
    <t>West Virginia University at Parkersburg</t>
  </si>
  <si>
    <t>Pierpont Community &amp; Technical College</t>
  </si>
  <si>
    <t>Blue Ridge Community &amp; Technical College</t>
  </si>
  <si>
    <t>Eastern West Virginia Community &amp; Technical College</t>
  </si>
  <si>
    <t>Marshall Community &amp; Technical College</t>
  </si>
  <si>
    <t>New River Community &amp; Technical College</t>
  </si>
  <si>
    <t>Potomac State College of West Virginia University</t>
  </si>
  <si>
    <t xml:space="preserve">Southern West Virginia Community &amp; Technical College </t>
  </si>
  <si>
    <t>West Virginia Northern Community College</t>
  </si>
  <si>
    <t>West Virginia School of Osteopathic Medicine</t>
  </si>
  <si>
    <t>19</t>
  </si>
  <si>
    <t xml:space="preserve">Francis Tuttle Technology Center                  </t>
  </si>
  <si>
    <t xml:space="preserve">Great Plains Technology Center                    </t>
  </si>
  <si>
    <t xml:space="preserve">Metro Technology Centers                          </t>
  </si>
  <si>
    <t xml:space="preserve">Moore Norman Technology Center                    </t>
  </si>
  <si>
    <t xml:space="preserve">Tulsa Technology Center-Broken Arrow Campus       </t>
  </si>
  <si>
    <t xml:space="preserve">Autry Technology Center                           </t>
  </si>
  <si>
    <t xml:space="preserve">Caddo Kiowa Technology Center                     </t>
  </si>
  <si>
    <t xml:space="preserve">Canadian Valley Technology Center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</si>
  <si>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</si>
  <si>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</si>
  <si>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</si>
  <si>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</si>
  <si>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</si>
  <si>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</si>
  <si>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</si>
  <si>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</si>
  <si>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</si>
  <si>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</si>
  <si>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</si>
  <si>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</si>
  <si>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</si>
  <si>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</si>
  <si>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</si>
  <si>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</si>
  <si>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</si>
  <si>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</si>
  <si>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</si>
  <si>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</si>
  <si>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</si>
  <si>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</si>
  <si>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Northeast Technology Center-Afton                 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</si>
  <si>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</si>
  <si>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</si>
  <si>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</si>
  <si>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</si>
  <si>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</si>
  <si>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</si>
  <si>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</si>
  <si>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</si>
  <si>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</si>
  <si>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</si>
  <si>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</si>
  <si>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Center-Lemley Campus             </t>
  </si>
  <si>
    <t xml:space="preserve">Tulsa Technology Center-Riverside Campus          </t>
  </si>
  <si>
    <t xml:space="preserve">Wes Watkins Technology Center                     </t>
  </si>
  <si>
    <t xml:space="preserve">Western Technology Center                         </t>
  </si>
  <si>
    <t>University of Arkansas at Fort Smith</t>
  </si>
  <si>
    <t>North Carolina A&amp;T State University</t>
  </si>
  <si>
    <t>West Liberty University</t>
  </si>
  <si>
    <t>University of Arkansas, Fayetteville</t>
  </si>
  <si>
    <t>Arkansas State University</t>
  </si>
  <si>
    <t>University of Arkansas at Little Rock</t>
  </si>
  <si>
    <t xml:space="preserve">University of Central Arkansas </t>
  </si>
  <si>
    <t>Arkansas Tech University</t>
  </si>
  <si>
    <t>Henderson State University</t>
  </si>
  <si>
    <t>Southern Arkansas University</t>
  </si>
  <si>
    <t>University of Arkansas at Monticello</t>
  </si>
  <si>
    <t>University of Arkansas at Pine Bluff</t>
  </si>
  <si>
    <t>Pulaski Technical College</t>
  </si>
  <si>
    <t>Arkansas State University-Beebe</t>
  </si>
  <si>
    <t xml:space="preserve">Northwest Arkansas Community College </t>
  </si>
  <si>
    <t>Arkansas Northeastern College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</si>
  <si>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</si>
  <si>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</si>
  <si>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</si>
  <si>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</si>
  <si>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</si>
  <si>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 xml:space="preserve">Mid-South Community College </t>
  </si>
  <si>
    <t>National Park Community College</t>
  </si>
  <si>
    <t>North Arkansas College</t>
  </si>
  <si>
    <t xml:space="preserve">Ouachita Technical College 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</si>
  <si>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</si>
  <si>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</si>
  <si>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</si>
  <si>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</si>
  <si>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</si>
  <si>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</si>
  <si>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</si>
  <si>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</si>
  <si>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</si>
  <si>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</si>
  <si>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Auburn University</t>
  </si>
  <si>
    <t xml:space="preserve">University of Alabama </t>
  </si>
  <si>
    <t>University of Alabama at Birmingham</t>
  </si>
  <si>
    <t>University of Alabama in Huntsville</t>
  </si>
  <si>
    <t>Alabama Agricultural &amp; Mechanical University</t>
  </si>
  <si>
    <t>Awards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</si>
  <si>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</si>
  <si>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</si>
  <si>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</si>
  <si>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</si>
  <si>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</si>
  <si>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</si>
  <si>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</si>
  <si>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</si>
  <si>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</si>
  <si>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</si>
  <si>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 xml:space="preserve">John C. Calhoun State Community College </t>
  </si>
  <si>
    <t>Bevill State Community College</t>
  </si>
  <si>
    <t>Bishop State Community College</t>
  </si>
  <si>
    <t>Gadsden State Community College</t>
  </si>
  <si>
    <t>George C. Wallace State Community College - Dothan</t>
  </si>
  <si>
    <t>James H. Faulkner State Community College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</si>
  <si>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</si>
  <si>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</si>
  <si>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</si>
  <si>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</si>
  <si>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</si>
  <si>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</si>
  <si>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</si>
  <si>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</si>
  <si>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>Enterprise-Ozark Community College</t>
  </si>
  <si>
    <t>George Corley Wallace State Community College - Selma</t>
  </si>
  <si>
    <t>Jefferson Davis Community College</t>
  </si>
  <si>
    <t xml:space="preserve">Lurleen B. Wallace Community College </t>
  </si>
  <si>
    <t xml:space="preserve">Northeast Alabama State Community College </t>
  </si>
  <si>
    <t xml:space="preserve">Snead State Community College </t>
  </si>
  <si>
    <t xml:space="preserve">Trenholm State Technical College </t>
  </si>
  <si>
    <t xml:space="preserve">J.F. Drake State Technical College </t>
  </si>
  <si>
    <t xml:space="preserve">J.F. Ingram State Technical College </t>
  </si>
  <si>
    <t xml:space="preserve">Reid State Technical College </t>
  </si>
  <si>
    <t>Marion Military Institute</t>
  </si>
  <si>
    <t xml:space="preserve">Brevard Community College </t>
  </si>
  <si>
    <t xml:space="preserve">Broward Community College </t>
  </si>
  <si>
    <t xml:space="preserve">Central Florida Community College </t>
  </si>
  <si>
    <t xml:space="preserve">Chipola College </t>
  </si>
  <si>
    <t xml:space="preserve">Daytona Beach Community College </t>
  </si>
  <si>
    <t>Florida Community College at Jacksonville</t>
  </si>
  <si>
    <t xml:space="preserve">Florida Keys Community College </t>
  </si>
  <si>
    <t xml:space="preserve">Gulf Coast Community College </t>
  </si>
  <si>
    <t xml:space="preserve">Hillsborough Community College </t>
  </si>
  <si>
    <t xml:space="preserve">Indian River Community College </t>
  </si>
  <si>
    <t xml:space="preserve">Lake City Community College </t>
  </si>
  <si>
    <t xml:space="preserve">Lake-Sumter Community College </t>
  </si>
  <si>
    <t xml:space="preserve">Miami Dade College </t>
  </si>
  <si>
    <t xml:space="preserve">North Florida Community College </t>
  </si>
  <si>
    <t xml:space="preserve">Palm Beach Community College </t>
  </si>
  <si>
    <t xml:space="preserve">Pasco-Hernando Community College </t>
  </si>
  <si>
    <t xml:space="preserve">Pensacola Junior College </t>
  </si>
  <si>
    <t xml:space="preserve">Polk Community College </t>
  </si>
  <si>
    <t xml:space="preserve">St. Petersburg College </t>
  </si>
  <si>
    <t xml:space="preserve">Santa Fe Community College </t>
  </si>
  <si>
    <t xml:space="preserve">Seminole Community College </t>
  </si>
  <si>
    <t xml:space="preserve">St. Johns River Community College </t>
  </si>
  <si>
    <t xml:space="preserve">South Florida Community College </t>
  </si>
  <si>
    <t xml:space="preserve">Tallahassee Community College </t>
  </si>
  <si>
    <t xml:space="preserve">Valencia Community College </t>
  </si>
  <si>
    <t xml:space="preserve">Georgia State University </t>
  </si>
  <si>
    <t>University of Georgia</t>
  </si>
  <si>
    <t>Georgia Institute of Technology</t>
  </si>
  <si>
    <t>Georgia Southern University</t>
  </si>
  <si>
    <t>University of West Georgia</t>
  </si>
  <si>
    <t xml:space="preserve">Valdosta State University </t>
  </si>
  <si>
    <t xml:space="preserve">Albany State University </t>
  </si>
  <si>
    <t>Armstrong Atlantic State University</t>
  </si>
  <si>
    <t>Columbus State University</t>
  </si>
  <si>
    <t>Georgia College and State University</t>
  </si>
  <si>
    <t>Kennesaw State University</t>
  </si>
  <si>
    <t>Augusta State University</t>
  </si>
  <si>
    <t>Fort Valley State University</t>
  </si>
  <si>
    <t>Georgia Southwestern State University</t>
  </si>
  <si>
    <t>North Georgia College and State University</t>
  </si>
  <si>
    <t>Savannah State University</t>
  </si>
  <si>
    <t>Clayton State University</t>
  </si>
  <si>
    <t xml:space="preserve">Macon State College </t>
  </si>
  <si>
    <t xml:space="preserve">Dalton State College </t>
  </si>
  <si>
    <t xml:space="preserve">Georgia Perimeter College </t>
  </si>
  <si>
    <t xml:space="preserve">Abraham Baldwin Agricultural College </t>
  </si>
  <si>
    <t xml:space="preserve">Darton College </t>
  </si>
  <si>
    <t xml:space="preserve">Gainesville State College </t>
  </si>
  <si>
    <t>Georgia Highlands College</t>
  </si>
  <si>
    <t xml:space="preserve">Gordon College </t>
  </si>
  <si>
    <t xml:space="preserve">Middle Georgia College </t>
  </si>
  <si>
    <t>Atlanta Metropolitan College</t>
  </si>
  <si>
    <t xml:space="preserve">Bainbridge College </t>
  </si>
  <si>
    <t>East Georgia College</t>
  </si>
  <si>
    <t xml:space="preserve">South Georgia College </t>
  </si>
  <si>
    <t xml:space="preserve">Waycross College </t>
  </si>
  <si>
    <t>Medical College of Georgia</t>
  </si>
  <si>
    <t>Southern Polytechnic State University</t>
  </si>
  <si>
    <t>University of Kentucky</t>
  </si>
  <si>
    <t>University of Louisville</t>
  </si>
  <si>
    <t xml:space="preserve">Eastern Kentucky University </t>
  </si>
  <si>
    <t xml:space="preserve">Murray State University </t>
  </si>
  <si>
    <t xml:space="preserve">Western Kentucky University </t>
  </si>
  <si>
    <t xml:space="preserve">Morehead State University </t>
  </si>
  <si>
    <t xml:space="preserve">Northern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</si>
  <si>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</si>
  <si>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</si>
  <si>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</si>
  <si>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</si>
  <si>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</si>
  <si>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</si>
  <si>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>Hazard Community and Technical College</t>
  </si>
  <si>
    <t>Madisonville Community College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</si>
  <si>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</si>
  <si>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</si>
  <si>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</si>
  <si>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</si>
  <si>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 xml:space="preserve">Henderson Community College </t>
  </si>
  <si>
    <t xml:space="preserve">Hopkinsville Community College </t>
  </si>
  <si>
    <t xml:space="preserve">Maysville Community and Technical College </t>
  </si>
  <si>
    <t>Gateway Community and Technical College</t>
  </si>
  <si>
    <t>Bowling Green Technical College</t>
  </si>
  <si>
    <t>University of Maryland College Park</t>
  </si>
  <si>
    <t>University of Maryland, Baltimore County</t>
  </si>
  <si>
    <t xml:space="preserve">Towson University </t>
  </si>
  <si>
    <t xml:space="preserve">Bowie State University </t>
  </si>
  <si>
    <t xml:space="preserve">Frostburg State University </t>
  </si>
  <si>
    <t>Morgan State University</t>
  </si>
  <si>
    <t xml:space="preserve">Salisbury University </t>
  </si>
  <si>
    <t>University of Baltimore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</si>
  <si>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</si>
  <si>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</si>
  <si>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</si>
  <si>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</si>
  <si>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Community College of Baltimore County (all campuses)</t>
  </si>
  <si>
    <t>Montgomery College (all campuses)</t>
  </si>
  <si>
    <t xml:space="preserve">Prince George's Community College </t>
  </si>
  <si>
    <t>Baltimore City Community College</t>
  </si>
  <si>
    <t>College of Southern Maryland</t>
  </si>
  <si>
    <t xml:space="preserve">Frederick Community College </t>
  </si>
  <si>
    <t xml:space="preserve">Harford Community College </t>
  </si>
  <si>
    <t xml:space="preserve">Howard Community College </t>
  </si>
  <si>
    <t>Allegany College of Maryland</t>
  </si>
  <si>
    <t>Carroll Community College</t>
  </si>
  <si>
    <t xml:space="preserve">Cecil Community College </t>
  </si>
  <si>
    <t xml:space="preserve">Chesapeake College </t>
  </si>
  <si>
    <t xml:space="preserve">Garrett College </t>
  </si>
  <si>
    <t xml:space="preserve">Hagerstown Community College </t>
  </si>
  <si>
    <t xml:space="preserve">Wor-Wic Community College </t>
  </si>
  <si>
    <t>University of Maryland University College</t>
  </si>
  <si>
    <t>University of Maryland, Baltimore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</si>
  <si>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</si>
  <si>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</si>
  <si>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</si>
  <si>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</si>
  <si>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</si>
  <si>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</si>
  <si>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</si>
  <si>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</si>
  <si>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Southeastern Oklahoma State University </t>
  </si>
  <si>
    <t>Southwestern Oklahoma State University</t>
  </si>
  <si>
    <t xml:space="preserve">Oklahoma Panhandle State University </t>
  </si>
  <si>
    <t>University of Science and Arts of Oklahoma</t>
  </si>
  <si>
    <t>Rogers State University</t>
  </si>
  <si>
    <t xml:space="preserve">Oklahoma City Community College </t>
  </si>
  <si>
    <t xml:space="preserve">Tulsa Community College </t>
  </si>
  <si>
    <t xml:space="preserve">Northern Oklahoma College </t>
  </si>
  <si>
    <t xml:space="preserve">Oklahoma State University Technical Branch-Okmulgee </t>
  </si>
  <si>
    <t xml:space="preserve">Oklahoma State University-Oklahoma City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</si>
  <si>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</si>
  <si>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</si>
  <si>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</si>
  <si>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</si>
  <si>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</si>
  <si>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</si>
  <si>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</si>
  <si>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</si>
  <si>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</si>
  <si>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>University of Tennessee, Knoxville</t>
  </si>
  <si>
    <t>University of Memphis</t>
  </si>
  <si>
    <t xml:space="preserve">East Tennessee State University </t>
  </si>
  <si>
    <t xml:space="preserve">Middle Tennessee State University </t>
  </si>
  <si>
    <t xml:space="preserve">Tennessee State University </t>
  </si>
  <si>
    <t>University of Tennessee at Chattanooga</t>
  </si>
  <si>
    <t xml:space="preserve">Austin Peay State University </t>
  </si>
  <si>
    <t xml:space="preserve">Tennessee Technological University </t>
  </si>
  <si>
    <t>University of Tennessee at Martin</t>
  </si>
  <si>
    <t xml:space="preserve">Chattanooga State Technical Community College </t>
  </si>
  <si>
    <t>Pellissippi State Technical Community College</t>
  </si>
  <si>
    <t>Southwest Tennessee Community College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</si>
  <si>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</si>
  <si>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</si>
  <si>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</si>
  <si>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</si>
  <si>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Nashville State Technical Community College</t>
  </si>
  <si>
    <t>Northeast State Technical Community College</t>
  </si>
  <si>
    <t xml:space="preserve">Roane State Community College </t>
  </si>
  <si>
    <t xml:space="preserve">Volunteer State Community College </t>
  </si>
  <si>
    <t xml:space="preserve">Walters State Community College </t>
  </si>
  <si>
    <t xml:space="preserve">Dyersburg State Community College </t>
  </si>
  <si>
    <t>Tennessee Technology Center at Athens</t>
  </si>
  <si>
    <t>Tennessee Technology Center at Chattanooga</t>
  </si>
  <si>
    <t>219824B</t>
  </si>
  <si>
    <t>Tennessee Technology Center at Covington</t>
  </si>
  <si>
    <t>Tennessee Technology Center at Crossville</t>
  </si>
  <si>
    <t>Tennessee Technology Center at Crump</t>
  </si>
  <si>
    <t>Tennessee Technology Center at Dickson</t>
  </si>
  <si>
    <t>Tennessee Technology Center at Elizabethton</t>
  </si>
  <si>
    <t>Tennessee Technology Center at Harriman</t>
  </si>
  <si>
    <t>Tennessee Technology Center at Hartsville</t>
  </si>
  <si>
    <t>Tennessee Technology Center at Jacksboro</t>
  </si>
  <si>
    <t>Tennessee Technology Center at Jackson</t>
  </si>
  <si>
    <t>Tennessee Technology Center at Knoxville</t>
  </si>
  <si>
    <t>Tennessee Technology Center at Livingston</t>
  </si>
  <si>
    <t>Tennessee Technology Center at McKenzie</t>
  </si>
  <si>
    <t>Tennessee Technology Center at McMinnville</t>
  </si>
  <si>
    <t>Tennessee Technology Center at Memphis</t>
  </si>
  <si>
    <t>Tennessee Technology Center at Morristown</t>
  </si>
  <si>
    <t>Tennessee Technology Center at Murfreesboro</t>
  </si>
  <si>
    <t>Tennessee Technology Center at Nashville</t>
  </si>
  <si>
    <t>Tennessee Technology Center at Newbern</t>
  </si>
  <si>
    <t>Tennessee Technology Center at Oneida</t>
  </si>
  <si>
    <t>Tennessee Technology Center at Paris</t>
  </si>
  <si>
    <t>Tennessee Technology Center at Pulaski</t>
  </si>
  <si>
    <t>Tennessee Technology Center at Ripley</t>
  </si>
  <si>
    <t>Tennessee Technology Center at Shelbyville</t>
  </si>
  <si>
    <t>Tennessee Technology Center at Whiteville</t>
  </si>
  <si>
    <t>University of Tennessee Health Science Center</t>
  </si>
  <si>
    <t>Georgia Gwinnett College</t>
  </si>
  <si>
    <t>Health Professions Certificates</t>
  </si>
  <si>
    <t>% of Total</t>
  </si>
  <si>
    <t>Old-Bachs % of Tot</t>
  </si>
  <si>
    <t>New-Bachs % of Tot</t>
  </si>
  <si>
    <t>Grand</t>
  </si>
  <si>
    <t>Old-Grand Total</t>
  </si>
  <si>
    <t>New-Grand Total</t>
  </si>
  <si>
    <t>Certifi-     cates</t>
  </si>
  <si>
    <t>Calculated</t>
  </si>
  <si>
    <t>Asso-</t>
  </si>
  <si>
    <t>Bachelor's</t>
  </si>
  <si>
    <t xml:space="preserve">Master's/Education Specialist/Post Master's Degrees </t>
  </si>
  <si>
    <t>All</t>
  </si>
  <si>
    <t>ciate</t>
  </si>
  <si>
    <t>Old-Bach-TeachEd-Other</t>
  </si>
  <si>
    <t>Old-Bach-TeachEd by CIP</t>
  </si>
  <si>
    <t>Old-Bach-TeachEd-Subtot</t>
  </si>
  <si>
    <t>New-Bach-TeachEd by CIP</t>
  </si>
  <si>
    <t>New-Bach-TeachEd by Courses</t>
  </si>
  <si>
    <t>New-Bach-TeachEd-Other</t>
  </si>
  <si>
    <t>New-Bach-TeachEd-Subtot</t>
  </si>
  <si>
    <t>New-Bachs#CIPs</t>
  </si>
  <si>
    <t>Old-Bachs#CIPs</t>
  </si>
  <si>
    <t>Old-Bach-TeachEd by Courses</t>
  </si>
  <si>
    <t>University of Delaware</t>
  </si>
  <si>
    <t>Delaware State University</t>
  </si>
  <si>
    <t>Delaware Technical and Community College--Owens</t>
  </si>
  <si>
    <t>Delaware Technical and Community College--Stanton-Wilmington</t>
  </si>
  <si>
    <t>Delaware Technical and Community College--Terry</t>
  </si>
  <si>
    <t>Northwest Florida State College</t>
  </si>
  <si>
    <t>El Centro College  (DCCCD)</t>
  </si>
  <si>
    <t>Mountain View College  (DCCCD)</t>
  </si>
  <si>
    <t>For DE Highlights</t>
  </si>
  <si>
    <r>
      <t>*</t>
    </r>
    <r>
      <rPr>
        <sz val="8"/>
        <rFont val="Arial"/>
        <family val="2"/>
      </rPr>
      <t>For those states with teacher education graduates.</t>
    </r>
  </si>
  <si>
    <t>Percent of Total Bach- elor's*</t>
  </si>
  <si>
    <t xml:space="preserve">Number in </t>
  </si>
  <si>
    <t>Teacher Preparation</t>
  </si>
  <si>
    <t>as indicated by…</t>
  </si>
  <si>
    <t xml:space="preserve">Florida State University </t>
  </si>
  <si>
    <t>25</t>
  </si>
  <si>
    <t>44</t>
  </si>
  <si>
    <t>50</t>
  </si>
  <si>
    <t>52</t>
  </si>
  <si>
    <t>45</t>
  </si>
  <si>
    <t>51</t>
  </si>
  <si>
    <t>09</t>
  </si>
  <si>
    <t>40</t>
  </si>
  <si>
    <t>23</t>
  </si>
  <si>
    <t>42</t>
  </si>
  <si>
    <t>26</t>
  </si>
  <si>
    <t>54</t>
  </si>
  <si>
    <t>27</t>
  </si>
  <si>
    <t>University of Florida</t>
  </si>
  <si>
    <t>01</t>
  </si>
  <si>
    <t>31</t>
  </si>
  <si>
    <t>04</t>
  </si>
  <si>
    <t xml:space="preserve">University of South Florida </t>
  </si>
  <si>
    <t xml:space="preserve">Florida Atlantic University </t>
  </si>
  <si>
    <t>11</t>
  </si>
  <si>
    <t>30</t>
  </si>
  <si>
    <t>Florida International University</t>
  </si>
  <si>
    <t>43</t>
  </si>
  <si>
    <t>03</t>
  </si>
  <si>
    <t xml:space="preserve">University of Central Florida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</si>
  <si>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</si>
  <si>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</si>
  <si>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</si>
  <si>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</si>
  <si>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</si>
  <si>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>Grand Total</t>
  </si>
  <si>
    <t>LA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</si>
  <si>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</si>
  <si>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</si>
  <si>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</si>
  <si>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</si>
  <si>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</si>
  <si>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</si>
  <si>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</si>
  <si>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</si>
  <si>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</si>
  <si>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</si>
  <si>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</si>
  <si>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</si>
  <si>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</si>
  <si>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</si>
  <si>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 xml:space="preserve">Delgado Community College </t>
  </si>
  <si>
    <t>Baton Rouge Community College</t>
  </si>
  <si>
    <t>Bossier Parish Community College</t>
  </si>
  <si>
    <t>Louisiana State University at Eunice</t>
  </si>
  <si>
    <t>Louisiana Delta Community College</t>
  </si>
  <si>
    <t>Nunez Community College</t>
  </si>
  <si>
    <t>River Parishes Community College</t>
  </si>
  <si>
    <t>South Louisiana Community College</t>
  </si>
  <si>
    <t>Southern University in Shreveport</t>
  </si>
  <si>
    <t>Sowela Technical Community College</t>
  </si>
  <si>
    <t>L.E. Fletcher Technical Community College</t>
  </si>
  <si>
    <t>Louisiana Technical College-Acadian Campus</t>
  </si>
  <si>
    <t>Louisiana Technical College-Alexandria Campus</t>
  </si>
  <si>
    <t>Louisiana Technical College-Ascension Campus</t>
  </si>
  <si>
    <t>Louisiana Technical College-Avoyelles Campus</t>
  </si>
  <si>
    <t>Louisiana Technical College-Bastrop Campus</t>
  </si>
  <si>
    <t>Louisiana Technical College-Baton Rouge Campus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</si>
  <si>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</si>
  <si>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</si>
  <si>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</si>
  <si>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</si>
  <si>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Austin</t>
  </si>
  <si>
    <t>University of Texas at Dallas</t>
  </si>
  <si>
    <t>Texas Woman's University</t>
  </si>
  <si>
    <t>University of Texas at Arlington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</si>
  <si>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</si>
  <si>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</si>
  <si>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</si>
  <si>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</si>
  <si>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</si>
  <si>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</si>
  <si>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</si>
  <si>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</si>
  <si>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</si>
  <si>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</si>
  <si>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</si>
  <si>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</si>
  <si>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University-San Marcos</t>
  </si>
  <si>
    <t xml:space="preserve">University of Houston-Clear Lake </t>
  </si>
  <si>
    <t>University of Texas at El Paso</t>
  </si>
  <si>
    <t>University of Texas at San Antonio</t>
  </si>
  <si>
    <t>University of Texas at Tyler</t>
  </si>
  <si>
    <t>University of Texas-Pan American</t>
  </si>
  <si>
    <t>West Texas A&amp;M University</t>
  </si>
  <si>
    <t>Texas A&amp;M International University</t>
  </si>
  <si>
    <t>Texas A&amp;M -Texarkana</t>
  </si>
  <si>
    <t>University of Texas at Brownsville</t>
  </si>
  <si>
    <t>University of Texas of the Permian Basin</t>
  </si>
  <si>
    <t>Sul Ross State University-Rio Grande College</t>
  </si>
  <si>
    <t>228501B</t>
  </si>
  <si>
    <t>University of Houston-Downtown</t>
  </si>
  <si>
    <t>University of Houston-Victoria</t>
  </si>
  <si>
    <t>Texas A&amp;M University at Galveston</t>
  </si>
  <si>
    <t xml:space="preserve">Amarillo College </t>
  </si>
  <si>
    <t xml:space="preserve">Austin Community College </t>
  </si>
  <si>
    <t xml:space="preserve">Blinn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</si>
  <si>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</si>
  <si>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</si>
  <si>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</si>
  <si>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</si>
  <si>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</si>
  <si>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Paso County Community College District</t>
  </si>
  <si>
    <t>Houston Community College</t>
  </si>
  <si>
    <t xml:space="preserve">Laredo Community College </t>
  </si>
  <si>
    <t xml:space="preserve">McLennan Community College </t>
  </si>
  <si>
    <t xml:space="preserve">Navarro College 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</si>
  <si>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</si>
  <si>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</si>
  <si>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</si>
  <si>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</si>
  <si>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</si>
  <si>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</si>
  <si>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</si>
  <si>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South Texas College</t>
  </si>
  <si>
    <t>St. Philip's College (ACCD)</t>
  </si>
  <si>
    <t>Tarrant County College</t>
  </si>
  <si>
    <t xml:space="preserve">Texas Southmost College </t>
  </si>
  <si>
    <t xml:space="preserve">Tyler Junior College </t>
  </si>
  <si>
    <t xml:space="preserve">Alvin Community College </t>
  </si>
  <si>
    <t xml:space="preserve">Angelina College </t>
  </si>
  <si>
    <t xml:space="preserve">Brazosport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</si>
  <si>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</si>
  <si>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</si>
  <si>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</si>
  <si>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</si>
  <si>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</si>
  <si>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</si>
  <si>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</si>
  <si>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</si>
  <si>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</si>
  <si>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</si>
  <si>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 xml:space="preserve">Midland College </t>
  </si>
  <si>
    <t>North Central Texas Community College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</si>
  <si>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</si>
  <si>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</si>
  <si>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</si>
  <si>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</si>
  <si>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</si>
  <si>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State Technical College-Harlingen </t>
  </si>
  <si>
    <t>Texas State Technical College-Waco</t>
  </si>
  <si>
    <t>Trinity Valley Community College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</si>
  <si>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</si>
  <si>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</si>
  <si>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</si>
  <si>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</si>
  <si>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</si>
  <si>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</si>
  <si>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</si>
  <si>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</si>
  <si>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</si>
  <si>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</si>
  <si>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 xml:space="preserve">Northeast Texas Community College 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</si>
  <si>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</si>
  <si>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</si>
  <si>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</si>
  <si>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</si>
  <si>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</si>
  <si>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</si>
  <si>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Tech University Health Sciences Center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</si>
  <si>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</si>
  <si>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</si>
  <si>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</si>
  <si>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</si>
  <si>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</si>
  <si>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</si>
  <si>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Louisiana Technical College-Charles B. Coreil Campus</t>
  </si>
  <si>
    <t>Louisiana Technical College-Delta/Ouachita Campus</t>
  </si>
  <si>
    <t>Louisiana Technical College-Evangeline Campus</t>
  </si>
  <si>
    <t>Louisiana Technical College-Florida Parishes Campus</t>
  </si>
  <si>
    <t>Louisiana Technical College-Folkes Campus</t>
  </si>
  <si>
    <t>Louisiana Technical College-Gulf Area Campus</t>
  </si>
  <si>
    <t>Louisiana Technical College-Hammond Area Campus</t>
  </si>
  <si>
    <t>Louisiana Technical College-Huey P. Long Campus</t>
  </si>
  <si>
    <t>Louisiana Technical College-Jefferson Campus</t>
  </si>
  <si>
    <t>Louisiana Technical College-Jumonville Memorial Campus</t>
  </si>
  <si>
    <t>Louisiana Technical College-Lafayette Campus</t>
  </si>
  <si>
    <t>Louisiana Technical College-Lafourche Campus</t>
  </si>
  <si>
    <t>Louisiana Technical College-Lamar Salter Campus</t>
  </si>
  <si>
    <t>Louisiana Technical College-Mansfield Campus</t>
  </si>
  <si>
    <t>Louisiana Technical College-Morgan Smith Campus</t>
  </si>
  <si>
    <t>Louisiana Technical College-Nachitoches Campus</t>
  </si>
  <si>
    <t>Louisiana Technical College-North Central Campus</t>
  </si>
  <si>
    <t>Louisiana Technical College-Northeast Louisiana Campus</t>
  </si>
  <si>
    <t>Louisiana Technical College-Northwest Louisiana Campus</t>
  </si>
  <si>
    <t>Louisiana Technical College-Oakdale Campus</t>
  </si>
  <si>
    <t>Louisiana Technical College-River Parishes Campus</t>
  </si>
  <si>
    <t>Louisiana Technical College-Ruston Campus</t>
  </si>
  <si>
    <t>Louisiana Technical College-Sabine Valley Campus</t>
  </si>
  <si>
    <t>Louisiana Technical College-Shelby M. Jackson Campus</t>
  </si>
  <si>
    <t>Louisiana Technical College-Shreveport/Bossier Campus</t>
  </si>
  <si>
    <t>Louisiana Technical College-Sidney N. Collier Campus</t>
  </si>
  <si>
    <t>Louisiana Technical College-Slidell Campus</t>
  </si>
  <si>
    <t>Louisiana Technical College-Sullivan Campus</t>
  </si>
  <si>
    <t>Louisiana Technical College-T.H. Harris Campus</t>
  </si>
  <si>
    <t>Louisiana Technical College-Tallulah Campus</t>
  </si>
  <si>
    <t>Louisiana Technical College-Teche Area Campus</t>
  </si>
  <si>
    <t>Louisiana Technical College-West Jefferson Campus</t>
  </si>
  <si>
    <t>Louisiana Technical College-Westside Campus</t>
  </si>
  <si>
    <t>Louisiana Technical College-Young Memorial Campus</t>
  </si>
  <si>
    <t>Louisiana State University Health Sciences Center - New Orleans</t>
  </si>
  <si>
    <t>Louisiana State University Health Sciences Center - Shreveport</t>
  </si>
  <si>
    <t xml:space="preserve">Hinds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</si>
  <si>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</si>
  <si>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</si>
  <si>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</si>
  <si>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</si>
  <si>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</si>
  <si>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</si>
  <si>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Itawamba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</si>
  <si>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</si>
  <si>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</si>
  <si>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</si>
  <si>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</si>
  <si>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</si>
  <si>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</si>
  <si>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</si>
  <si>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DE</t>
  </si>
  <si>
    <t>TX</t>
  </si>
  <si>
    <t>Veterinary Medicine</t>
  </si>
  <si>
    <t># Bachelors</t>
  </si>
  <si>
    <t>MD</t>
  </si>
  <si>
    <t>GA</t>
  </si>
  <si>
    <t>Albany Technical College</t>
  </si>
  <si>
    <t>Altamaha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</si>
  <si>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</si>
  <si>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</si>
  <si>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</si>
  <si>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</si>
  <si>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</si>
  <si>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Columbus Technical College</t>
  </si>
  <si>
    <t>DeKalb Technical College</t>
  </si>
  <si>
    <t>East Central Technical College</t>
  </si>
  <si>
    <t>Flint River Technical College</t>
  </si>
  <si>
    <t>Griffin Technical College</t>
  </si>
  <si>
    <t>Gwinnett Technical College</t>
  </si>
  <si>
    <t>Heart of Georgia Technical College</t>
  </si>
  <si>
    <t>Lanier Technical College</t>
  </si>
  <si>
    <t>Middle Georgia Technical College</t>
  </si>
  <si>
    <t>Moultrie Technical College</t>
  </si>
  <si>
    <t>North Georgia Technical College</t>
  </si>
  <si>
    <t>Ogeechee Technical College</t>
  </si>
  <si>
    <t>Okefenokee Technical College</t>
  </si>
  <si>
    <t>Savannah Technical College</t>
  </si>
  <si>
    <t>South Georgia Technical College</t>
  </si>
  <si>
    <t>Southeastern Technical College</t>
  </si>
  <si>
    <t>Southwest Georgia Technical College</t>
  </si>
  <si>
    <t>Valdosta Technical College</t>
  </si>
  <si>
    <t>West Georgia Technical College</t>
  </si>
  <si>
    <t>Sandersville Technical College</t>
  </si>
  <si>
    <t>MS</t>
  </si>
  <si>
    <t>NC</t>
  </si>
  <si>
    <t>Asheville-Buncombe Technical Community College</t>
  </si>
  <si>
    <t>Cape Fear Community College</t>
  </si>
  <si>
    <t>Catawba Valley Community College</t>
  </si>
  <si>
    <t>Central Carolina Commuity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</si>
  <si>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</si>
  <si>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</si>
  <si>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</si>
  <si>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</si>
  <si>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</si>
  <si>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Wake Technical Community College</t>
  </si>
  <si>
    <t>Alamance Community College</t>
  </si>
  <si>
    <t xml:space="preserve">Beaufort County Community College </t>
  </si>
  <si>
    <t>Blue Ridge Community College</t>
  </si>
  <si>
    <t>Caldwell Community College &amp; Technical Institute</t>
  </si>
  <si>
    <t>Cleveland Community College</t>
  </si>
  <si>
    <t xml:space="preserve">Coastal Carolina Community College </t>
  </si>
  <si>
    <t>College of the Albemarle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</si>
  <si>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</si>
  <si>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</si>
  <si>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</si>
  <si>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</si>
  <si>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 xml:space="preserve">Gaston College </t>
  </si>
  <si>
    <t>Haywood Community College</t>
  </si>
  <si>
    <t xml:space="preserve">Isothermal Community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</si>
  <si>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</si>
  <si>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</si>
  <si>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</si>
  <si>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</si>
  <si>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Piedmont Community College</t>
  </si>
  <si>
    <t>Randolph Community College</t>
  </si>
  <si>
    <t>Richmond Community College</t>
  </si>
  <si>
    <t>Robeson Community College</t>
  </si>
  <si>
    <t xml:space="preserve">Rockingham Community College </t>
  </si>
  <si>
    <t>Rowan-Cabarrus Community College</t>
  </si>
  <si>
    <t xml:space="preserve">Sandhills Community College </t>
  </si>
  <si>
    <t>South Piedmont Community College</t>
  </si>
  <si>
    <t xml:space="preserve">Southeastern Community College </t>
  </si>
  <si>
    <t xml:space="preserve">Southwestern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</si>
  <si>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</si>
  <si>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</si>
  <si>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</si>
  <si>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</si>
  <si>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</si>
  <si>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</si>
  <si>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>Values</t>
  </si>
  <si>
    <t>Four-Year</t>
  </si>
  <si>
    <t>Two-Year</t>
  </si>
  <si>
    <t>Technical</t>
  </si>
  <si>
    <t>Specialized</t>
  </si>
  <si>
    <t>SREB Type2</t>
  </si>
  <si>
    <t>Four-Year Total</t>
  </si>
  <si>
    <t>Two-Year Total</t>
  </si>
  <si>
    <t>Technical Total</t>
  </si>
  <si>
    <t>Specialized Total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</si>
  <si>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</si>
  <si>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</si>
  <si>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</si>
  <si>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</si>
  <si>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</si>
  <si>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</si>
  <si>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</si>
  <si>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</si>
  <si>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</si>
  <si>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</si>
  <si>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</si>
  <si>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</si>
  <si>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</si>
  <si>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</si>
  <si>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</si>
  <si>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</si>
  <si>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</si>
  <si>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</si>
  <si>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</si>
  <si>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</si>
  <si>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</si>
  <si>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</si>
  <si>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</si>
  <si>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</si>
  <si>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</si>
  <si>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</si>
  <si>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</si>
  <si>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</si>
  <si>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</si>
  <si>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</si>
  <si>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</si>
  <si>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</si>
  <si>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</si>
  <si>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</si>
  <si>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</si>
  <si>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</si>
  <si>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</si>
  <si>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</si>
  <si>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</si>
  <si>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</si>
  <si>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</si>
  <si>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</si>
  <si>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</si>
  <si>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</si>
  <si>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</si>
  <si>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</si>
  <si>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</si>
  <si>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</si>
  <si>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</si>
  <si>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</si>
  <si>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</si>
  <si>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</si>
  <si>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</si>
  <si>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</si>
  <si>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</si>
  <si>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</si>
  <si>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</si>
  <si>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</si>
  <si>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</si>
  <si>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</si>
  <si>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</si>
  <si>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</si>
  <si>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</si>
  <si>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</si>
  <si>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</si>
  <si>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</si>
  <si>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</si>
  <si>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</si>
  <si>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</si>
  <si>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</si>
  <si>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</si>
  <si>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</si>
  <si>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</si>
  <si>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</si>
  <si>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</si>
  <si>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</si>
  <si>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</si>
  <si>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</si>
  <si>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</si>
  <si>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</si>
  <si>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</si>
  <si>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</si>
  <si>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</si>
  <si>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</si>
  <si>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</si>
  <si>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</si>
  <si>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</si>
  <si>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</si>
  <si>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</si>
  <si>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</si>
  <si>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</si>
  <si>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</si>
  <si>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</si>
  <si>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</si>
  <si>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</si>
  <si>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</si>
  <si>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 xml:space="preserve"> Old-Bach-TeachEd by CIP</t>
  </si>
  <si>
    <t>Total  Old-Bach-TeachEd by CIP</t>
  </si>
  <si>
    <t xml:space="preserve"> New-Bach-TeachEd by CIP</t>
  </si>
  <si>
    <t>Total  New-Bach-TeachEd by CIP</t>
  </si>
  <si>
    <t xml:space="preserve"> %Change-Bach-TeachEd by CIP</t>
  </si>
  <si>
    <t>Total  %Change-Bach-TeachEd by CIP</t>
  </si>
  <si>
    <t xml:space="preserve"> Old-Bach-TeachEd by Courses</t>
  </si>
  <si>
    <t>Total  Old-Bach-TeachEd by Courses</t>
  </si>
  <si>
    <t xml:space="preserve"> New-Bach-TeachEd by Courses</t>
  </si>
  <si>
    <t>Total  New-Bach-TeachEd by Courses</t>
  </si>
  <si>
    <t xml:space="preserve"> %Change-Bach-TeachEd by Courses</t>
  </si>
  <si>
    <t>Total  %Change-Bach-TeachEd by Courses</t>
  </si>
  <si>
    <t xml:space="preserve"> Old-Bach-TeachEd-Other</t>
  </si>
  <si>
    <t>Total  Old-Bach-TeachEd-Other</t>
  </si>
  <si>
    <t xml:space="preserve"> New-Bach-TeachEd-Other</t>
  </si>
  <si>
    <t>Total  New-Bach-TeachEd-Other</t>
  </si>
  <si>
    <t xml:space="preserve"> %Change-Bach-TeachEd-Other</t>
  </si>
  <si>
    <t>Total  %Change-Bach-TeachEd-Other</t>
  </si>
  <si>
    <t xml:space="preserve"> New-Bach-TeachEd-Subtot</t>
  </si>
  <si>
    <t>Total  New-Bach-TeachEd-Subtot</t>
  </si>
  <si>
    <t xml:space="preserve"> Old-Bach-TeachEd-Subtot</t>
  </si>
  <si>
    <t>Total  Old-Bach-TeachEd-Subtot</t>
  </si>
  <si>
    <t xml:space="preserve"> %Change-Bach-TeachEd-Subtot</t>
  </si>
  <si>
    <t>Total  %Change-Bach-TeachEd-Subtot</t>
  </si>
  <si>
    <t xml:space="preserve"> Old-Grand Total</t>
  </si>
  <si>
    <t>Total  Old-Grand Total</t>
  </si>
  <si>
    <t xml:space="preserve"> New-Grand Total</t>
  </si>
  <si>
    <t>Total  New-Grand Total</t>
  </si>
  <si>
    <t xml:space="preserve"> %Change-Grand Total</t>
  </si>
  <si>
    <t>Total  %Change-Grand Total</t>
  </si>
  <si>
    <t>Old 
2007-08</t>
  </si>
  <si>
    <t>NEW
2008-09</t>
  </si>
  <si>
    <t>Research/Scholarship Doctoral Degrees</t>
  </si>
  <si>
    <t>Professional Practice Doctoral Degrees / First Professional Degrees</t>
  </si>
  <si>
    <t>If you need more CIPS, add columns, please…</t>
  </si>
  <si>
    <t>6-Digit CIP Designations for this sub-section only</t>
  </si>
  <si>
    <t>Resch/</t>
  </si>
  <si>
    <t>Additional</t>
  </si>
  <si>
    <t>Scholshp</t>
  </si>
  <si>
    <t>Practice</t>
  </si>
  <si>
    <t>IPEDS Degree Codes 1 &amp; 2</t>
  </si>
  <si>
    <t>IPEDS Degree Code 4</t>
  </si>
  <si>
    <t>IPEDS Degree Code 3</t>
  </si>
  <si>
    <t>IPEDS Degree Code 5</t>
  </si>
  <si>
    <t>IPEDS Degree Code 6</t>
  </si>
  <si>
    <t>IPEDS Degree Code 9 in old system; Code 17 in new system, etc. ---&gt;</t>
  </si>
  <si>
    <t>IPEDS Degree Code 9 in old system; Codes 17 and 19 in in new system</t>
  </si>
  <si>
    <t>IPEDS Degree Code 10 in old system; Code 18 in new system, etc. ---&gt;</t>
  </si>
  <si>
    <t>IPEDS Degree Code 18 in new system, etc. ---&gt;</t>
  </si>
  <si>
    <t>Old-T1 CIP</t>
  </si>
  <si>
    <t>Old-T1 #</t>
  </si>
  <si>
    <t>New-T1 CIP</t>
  </si>
  <si>
    <t>New-T1 #</t>
  </si>
  <si>
    <t>Old-T2 CIP</t>
  </si>
  <si>
    <t>Old-T2 #</t>
  </si>
  <si>
    <t>New-T2 CIP</t>
  </si>
  <si>
    <t>NewT2 #</t>
  </si>
  <si>
    <t>Old-T3 CIP</t>
  </si>
  <si>
    <t>Old-T3 #</t>
  </si>
  <si>
    <t>New-T3 CIP</t>
  </si>
  <si>
    <t>New-T3 #</t>
  </si>
  <si>
    <t>Old-T4 CIP</t>
  </si>
  <si>
    <t>Old-T4 #</t>
  </si>
  <si>
    <t>New-T4 CIP</t>
  </si>
  <si>
    <t>New-T4 #</t>
  </si>
  <si>
    <t>Old-T5 CIP</t>
  </si>
  <si>
    <t>Old-T5 #</t>
  </si>
  <si>
    <t>New-T5 CIP</t>
  </si>
  <si>
    <t>New-T5 #</t>
  </si>
  <si>
    <t>Old-T6 CIP</t>
  </si>
  <si>
    <t>Old-T6 #</t>
  </si>
  <si>
    <t>New-T6 CIP</t>
  </si>
  <si>
    <t>New-T6 #</t>
  </si>
  <si>
    <t>Old-T7 CIP</t>
  </si>
  <si>
    <t>Old-T7 #</t>
  </si>
  <si>
    <t>New-T7 CIP</t>
  </si>
  <si>
    <t>New-T7 #</t>
  </si>
  <si>
    <t>Old-T8 CIP</t>
  </si>
  <si>
    <t>Old-T8 #</t>
  </si>
  <si>
    <t>New-T8 CIP</t>
  </si>
  <si>
    <t>New-T8 #</t>
  </si>
  <si>
    <t>Old-T9 CIP</t>
  </si>
  <si>
    <t>Old-T9 #</t>
  </si>
  <si>
    <t>New-T9 CIP</t>
  </si>
  <si>
    <t>New-T9 #</t>
  </si>
  <si>
    <t>Old-T10 CIP</t>
  </si>
  <si>
    <t>Old-T10 #</t>
  </si>
  <si>
    <t>New-T10 CIP</t>
  </si>
  <si>
    <t>New-T10 #</t>
  </si>
  <si>
    <t>State College of Florida, Manatee-Sarasota</t>
  </si>
  <si>
    <t>Georgia Northwestern Technical College</t>
  </si>
  <si>
    <t>05</t>
  </si>
  <si>
    <t>Northeast Technology Center-Claremore</t>
  </si>
  <si>
    <t>NEW</t>
  </si>
  <si>
    <t>Lone Star College System District</t>
  </si>
  <si>
    <t>TEXAS A&amp;M UNIV-CENTRAL TEXAS</t>
  </si>
  <si>
    <t>???</t>
  </si>
  <si>
    <t>TEXAS A&amp;M UNIV-SAN ANTONIO</t>
  </si>
  <si>
    <t>UNIV. OF NORTH TEXAS AT DALLAS</t>
  </si>
  <si>
    <t>Bridgemont Community &amp; Technical College</t>
  </si>
  <si>
    <t>Kanawha Valley Community &amp; Technical College</t>
  </si>
  <si>
    <t>Old-Oth PP</t>
  </si>
  <si>
    <t>New-Oth PP</t>
  </si>
  <si>
    <t>IPEDS Degree Code 5, etc. ---&gt;</t>
  </si>
  <si>
    <r>
      <t>Bachelor's Degrees</t>
    </r>
    <r>
      <rPr>
        <b/>
        <sz val="10"/>
        <color rgb="FFFF0000"/>
        <rFont val="Arial"/>
        <family val="2"/>
      </rPr>
      <t xml:space="preserve"> (to be completed ONLY for Two-Year with Bachelor's Colleges (Category 7)</t>
    </r>
  </si>
  <si>
    <t>IPEDS Degree Codes 7 &amp; 8 (Code 8 in new system includes old system Code 11 first professional certificates, etc. ---&gt;</t>
  </si>
  <si>
    <t>IPEDS Degree Code 11 in old system (become Code 8 in new system)</t>
  </si>
  <si>
    <r>
      <rPr>
        <b/>
        <i/>
        <sz val="10"/>
        <color indexed="60"/>
        <rFont val="Arial"/>
        <family val="2"/>
      </rPr>
      <t xml:space="preserve">For those reporting on the new system …. </t>
    </r>
    <r>
      <rPr>
        <i/>
        <sz val="10"/>
        <color indexed="60"/>
        <rFont val="Arial"/>
        <family val="2"/>
      </rPr>
      <t xml:space="preserve">
To aid in the evaluation of the new reporting system, please identify the CIP Code/number of degrees pairs to the right (-----&gt;) and enter the total here. Create as many columns as necessary.</t>
    </r>
  </si>
  <si>
    <t>51.0202</t>
  </si>
  <si>
    <t>51.0204</t>
  </si>
  <si>
    <t>51.2308</t>
  </si>
  <si>
    <t>Old-FP Certf</t>
  </si>
  <si>
    <t>New-FP Certf</t>
  </si>
  <si>
    <t xml:space="preserve"> Old-Oth PP</t>
  </si>
  <si>
    <t>Total  Old-Oth PP</t>
  </si>
  <si>
    <t xml:space="preserve"> New-Oth PP</t>
  </si>
  <si>
    <t>Total  New-Oth PP</t>
  </si>
  <si>
    <t>Other Professional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</si>
  <si>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</si>
  <si>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Professional Practice</t>
  </si>
  <si>
    <t>All Public Institutions, 2008-09</t>
  </si>
  <si>
    <t>All Public Four-Year Universities, 2008-09</t>
  </si>
  <si>
    <t>Public Four-Year 1 Universities, 2008-09</t>
  </si>
  <si>
    <t>Public Four-Year 2 Universities, 2008-09</t>
  </si>
  <si>
    <t>Public Four-Year 3 Universities, 2008-09</t>
  </si>
  <si>
    <t>Public Four-Year 4 Universities, 2008-09</t>
  </si>
  <si>
    <t>Public Four-Year 5 Universities, 2008-09</t>
  </si>
  <si>
    <t>Public Four-Year 6 Universities, 2008-09</t>
  </si>
  <si>
    <t>Public Two-Year Colleges, 2008-09</t>
  </si>
  <si>
    <t>Public Technical Institutes or Colleges, 2008-09</t>
  </si>
  <si>
    <t>Public Specialized Institutions, 2008-09</t>
  </si>
  <si>
    <t>Public Colleges and Universities, 2008-09</t>
  </si>
  <si>
    <t>December 2010</t>
  </si>
  <si>
    <r>
      <t xml:space="preserve">Temporary Detail on </t>
    </r>
    <r>
      <rPr>
        <b/>
        <sz val="10"/>
        <color rgb="FF00B0F0"/>
        <rFont val="Arial"/>
        <family val="2"/>
      </rPr>
      <t>"Additional"</t>
    </r>
    <r>
      <rPr>
        <b/>
        <sz val="10"/>
        <color indexed="60"/>
        <rFont val="Arial"/>
        <family val="2"/>
      </rPr>
      <t xml:space="preserve"> Professional Practice Doctoral Degrees</t>
    </r>
  </si>
  <si>
    <t xml:space="preserve">George Mason University </t>
  </si>
  <si>
    <t>University of Virginia</t>
  </si>
  <si>
    <t xml:space="preserve">Virginia Tech </t>
  </si>
  <si>
    <t>College of William &amp; Mary</t>
  </si>
  <si>
    <t xml:space="preserve">Old Dominion University </t>
  </si>
  <si>
    <t>Virginia Commonwealth University</t>
  </si>
  <si>
    <t>James Madison University</t>
  </si>
  <si>
    <t>Radford University</t>
  </si>
  <si>
    <t>Christopher Newport University</t>
  </si>
  <si>
    <t xml:space="preserve">Norfolk State University </t>
  </si>
  <si>
    <t xml:space="preserve">Virginia State University </t>
  </si>
  <si>
    <t xml:space="preserve">Longwood University </t>
  </si>
  <si>
    <t xml:space="preserve">University of Mary Washington </t>
  </si>
  <si>
    <t xml:space="preserve">University of Virginia's College at Wise </t>
  </si>
  <si>
    <t>J.S. Reynolds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</si>
  <si>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</si>
  <si>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</si>
  <si>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</si>
  <si>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</si>
  <si>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</si>
  <si>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</si>
  <si>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</si>
  <si>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John Tyler Community College</t>
  </si>
  <si>
    <t>Lord Fairfax Community College</t>
  </si>
  <si>
    <t xml:space="preserve">New River Community College </t>
  </si>
  <si>
    <t xml:space="preserve">Piedmont Virginia Community College </t>
  </si>
  <si>
    <t>Southside Virginia Community College</t>
  </si>
  <si>
    <t xml:space="preserve">Southwest Virginia Community College </t>
  </si>
  <si>
    <t xml:space="preserve">Virginia Western Community College </t>
  </si>
  <si>
    <t xml:space="preserve">D.S. Lancaster Community College </t>
  </si>
  <si>
    <t>Eastern Shore Community College</t>
  </si>
  <si>
    <t>Mountain Empire Community College</t>
  </si>
  <si>
    <t xml:space="preserve">Patrick Henry Community College </t>
  </si>
  <si>
    <t>Paul D. Camp Community College</t>
  </si>
  <si>
    <t>Rappahannock Community College</t>
  </si>
  <si>
    <t xml:space="preserve">Richard Bland College </t>
  </si>
  <si>
    <t xml:space="preserve">Virginia Highlands Community College </t>
  </si>
  <si>
    <t xml:space="preserve">Wytheville Community College </t>
  </si>
  <si>
    <t>Virginia Military Institute</t>
  </si>
  <si>
    <t>All Public Institutions, 2007-08</t>
  </si>
  <si>
    <t>All Public Four-Year Universities, 2007-08</t>
  </si>
  <si>
    <t>Public Four-Year 1 Universities, 2007-08</t>
  </si>
  <si>
    <t>Public Four-Year 2 Universities, 2007-08</t>
  </si>
  <si>
    <t>Public Four-Year 3 Universities, 2007-08</t>
  </si>
  <si>
    <t>Public Four-Year 4 Universities, 2007-08</t>
  </si>
  <si>
    <t>Public Four-Year 5 Universities, 2007-08</t>
  </si>
  <si>
    <t>Public Four-Year 6 Universities, 2007-08</t>
  </si>
  <si>
    <t>Public Two-Year Colleges, 2007-08</t>
  </si>
  <si>
    <t>Public Technical Institutes or Colleges, 2007-08</t>
  </si>
  <si>
    <t>Public Specialized Institutions, 2007-08</t>
  </si>
  <si>
    <t>Public Colleges and Universities, 2007-08</t>
  </si>
  <si>
    <t>Vet-
erinary Medicine</t>
  </si>
  <si>
    <t>Other Profes-
sional</t>
  </si>
  <si>
    <t>Iden-
tified by an Ed- 
ucation Major      (CIP "13")</t>
  </si>
  <si>
    <t>Texas A&amp;M Health Science Center</t>
  </si>
  <si>
    <t>Change from prior year</t>
  </si>
  <si>
    <t>New
Total</t>
  </si>
  <si>
    <t>Old
Total</t>
  </si>
  <si>
    <t>R/S Doctorates</t>
  </si>
  <si>
    <t>Total Cert</t>
  </si>
  <si>
    <t>Total Asso</t>
  </si>
  <si>
    <t>Total Bach</t>
  </si>
  <si>
    <t>Bach-    elor's*</t>
  </si>
  <si>
    <t>*Bachelor's degrees awarded by Two-Year 1-3 colleges that have not yet met the criteria for Two-Year with Bachelor's are included.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</si>
</sst>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0_)"/>
    <numFmt numFmtId="165" formatCode="0.00_)"/>
    <numFmt numFmtId="166" formatCode="_(* #,##0.0_);_(* \(#,##0.0\);_(* &quot;-&quot;??_);_(@_)"/>
    <numFmt numFmtId="167" formatCode="_(* #,##0_);_(* \(#,##0\);_(* &quot;-&quot;??_);_(@_)"/>
    <numFmt numFmtId="168" formatCode="0.0%"/>
    <numFmt numFmtId="169" formatCode="0.0000"/>
  </numFmts>
  <fonts count="38">
    <font>
      <sz val="12"/>
      <name val="AGaramond"/>
    </font>
    <font>
      <sz val="12"/>
      <name val="AGaramond"/>
      <family val="3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b/>
      <u/>
      <sz val="10"/>
      <color indexed="12"/>
      <name val="Arial"/>
      <family val="2"/>
    </font>
    <font>
      <b/>
      <sz val="9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i/>
      <sz val="10"/>
      <color indexed="8"/>
      <name val="Arial"/>
      <family val="2"/>
    </font>
    <font>
      <i/>
      <sz val="10"/>
      <color indexed="60"/>
      <name val="Arial"/>
      <family val="2"/>
    </font>
    <font>
      <b/>
      <i/>
      <sz val="10"/>
      <color indexed="60"/>
      <name val="Arial"/>
      <family val="2"/>
    </font>
    <font>
      <b/>
      <strike/>
      <sz val="10"/>
      <color indexed="12"/>
      <name val="Arial"/>
      <family val="2"/>
    </font>
    <font>
      <sz val="12"/>
      <name val="AGaramond"/>
      <family val="1"/>
    </font>
    <font>
      <sz val="10"/>
      <color indexed="81"/>
      <name val="Tahoma"/>
      <family val="2"/>
    </font>
    <font>
      <sz val="10"/>
      <color indexed="8"/>
      <name val="Tahoma"/>
      <family val="2"/>
    </font>
    <font>
      <b/>
      <sz val="10"/>
      <color indexed="60"/>
      <name val="Arial"/>
      <family val="2"/>
    </font>
    <font>
      <b/>
      <sz val="10"/>
      <color rgb="FF00B0F0"/>
      <name val="Arial"/>
      <family val="2"/>
    </font>
    <font>
      <b/>
      <sz val="10"/>
      <color rgb="FFC00000"/>
      <name val="Arial"/>
      <family val="2"/>
    </font>
    <font>
      <sz val="10"/>
      <color theme="6" tint="-0.49998474074526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indexed="15"/>
        <bgColor indexed="42"/>
      </patternFill>
    </fill>
    <fill>
      <patternFill patternType="solid">
        <fgColor indexed="44"/>
        <bgColor indexed="42"/>
      </patternFill>
    </fill>
    <fill>
      <patternFill patternType="solid">
        <fgColor indexed="45"/>
        <bgColor indexed="42"/>
      </patternFill>
    </fill>
    <fill>
      <patternFill patternType="solid">
        <fgColor indexed="51"/>
        <bgColor indexed="42"/>
      </patternFill>
    </fill>
    <fill>
      <patternFill patternType="solid">
        <fgColor indexed="43"/>
        <bgColor indexed="42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rgb="FFFED8D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4">
    <xf numFmtId="164" fontId="0" fillId="0" borderId="0"/>
    <xf numFmtId="43" fontId="1" fillId="0" borderId="0" applyFont="0" applyFill="0" applyBorder="0" applyAlignment="0" applyProtection="0"/>
    <xf numFmtId="164" fontId="1" fillId="0" borderId="0"/>
    <xf numFmtId="3" fontId="6" fillId="0" borderId="0"/>
    <xf numFmtId="164" fontId="1" fillId="0" borderId="0"/>
    <xf numFmtId="164" fontId="1" fillId="0" borderId="0"/>
    <xf numFmtId="164" fontId="1" fillId="0" borderId="0"/>
    <xf numFmtId="3" fontId="6" fillId="0" borderId="0"/>
    <xf numFmtId="3" fontId="6" fillId="0" borderId="0"/>
    <xf numFmtId="164" fontId="1" fillId="0" borderId="0"/>
    <xf numFmtId="164" fontId="1" fillId="0" borderId="0"/>
    <xf numFmtId="9" fontId="1" fillId="0" borderId="0" applyFont="0" applyFill="0" applyBorder="0" applyAlignment="0" applyProtection="0"/>
    <xf numFmtId="3" fontId="3" fillId="0" borderId="1" applyFont="0"/>
    <xf numFmtId="164" fontId="4" fillId="0" borderId="2" applyNumberFormat="0" applyFon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" fillId="0" borderId="0"/>
  </cellStyleXfs>
  <cellXfs count="772">
    <xf numFmtId="164" fontId="0" fillId="0" borderId="0" xfId="0"/>
    <xf numFmtId="164" fontId="2" fillId="0" borderId="0" xfId="0" applyFont="1" applyAlignment="1">
      <alignment horizontal="centerContinuous"/>
    </xf>
    <xf numFmtId="164" fontId="2" fillId="0" borderId="0" xfId="0" applyFont="1" applyAlignment="1">
      <alignment horizontal="center"/>
    </xf>
    <xf numFmtId="164" fontId="3" fillId="0" borderId="0" xfId="0" applyFont="1"/>
    <xf numFmtId="164" fontId="3" fillId="0" borderId="0" xfId="0" applyFont="1" applyAlignment="1">
      <alignment horizontal="centerContinuous"/>
    </xf>
    <xf numFmtId="3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4" xfId="0" applyNumberFormat="1" applyFont="1" applyBorder="1" applyAlignment="1">
      <alignment horizontal="left"/>
    </xf>
    <xf numFmtId="3" fontId="3" fillId="0" borderId="4" xfId="0" applyNumberFormat="1" applyFont="1" applyBorder="1" applyAlignment="1">
      <alignment horizontal="center"/>
    </xf>
    <xf numFmtId="164" fontId="3" fillId="0" borderId="4" xfId="0" applyFont="1" applyBorder="1"/>
    <xf numFmtId="164" fontId="3" fillId="0" borderId="0" xfId="0" applyFont="1" applyAlignment="1">
      <alignment horizontal="left"/>
    </xf>
    <xf numFmtId="164" fontId="3" fillId="0" borderId="5" xfId="0" applyFont="1" applyBorder="1"/>
    <xf numFmtId="164" fontId="4" fillId="0" borderId="3" xfId="0" applyFont="1" applyBorder="1" applyAlignment="1">
      <alignment horizontal="centerContinuous"/>
    </xf>
    <xf numFmtId="164" fontId="4" fillId="0" borderId="6" xfId="0" applyFont="1" applyBorder="1" applyAlignment="1">
      <alignment horizontal="centerContinuous"/>
    </xf>
    <xf numFmtId="164" fontId="4" fillId="0" borderId="4" xfId="0" applyFont="1" applyBorder="1" applyAlignment="1">
      <alignment horizontal="center"/>
    </xf>
    <xf numFmtId="164" fontId="5" fillId="0" borderId="4" xfId="0" applyFont="1" applyBorder="1" applyAlignment="1">
      <alignment horizontal="center" wrapText="1"/>
    </xf>
    <xf numFmtId="164" fontId="5" fillId="0" borderId="7" xfId="0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3" fillId="0" borderId="8" xfId="1" applyNumberFormat="1" applyFont="1" applyBorder="1"/>
    <xf numFmtId="3" fontId="3" fillId="0" borderId="0" xfId="1" applyNumberFormat="1" applyFont="1"/>
    <xf numFmtId="164" fontId="7" fillId="0" borderId="0" xfId="0" applyFont="1" applyAlignment="1">
      <alignment horizontal="center"/>
    </xf>
    <xf numFmtId="164" fontId="7" fillId="0" borderId="0" xfId="0" applyFont="1" applyAlignment="1">
      <alignment horizontal="centerContinuous"/>
    </xf>
    <xf numFmtId="37" fontId="4" fillId="0" borderId="9" xfId="0" applyNumberFormat="1" applyFont="1" applyBorder="1"/>
    <xf numFmtId="37" fontId="5" fillId="0" borderId="10" xfId="0" applyNumberFormat="1" applyFont="1" applyBorder="1" applyAlignment="1">
      <alignment horizontal="centerContinuous"/>
    </xf>
    <xf numFmtId="37" fontId="5" fillId="0" borderId="11" xfId="0" applyNumberFormat="1" applyFont="1" applyBorder="1" applyAlignment="1">
      <alignment horizontal="centerContinuous"/>
    </xf>
    <xf numFmtId="164" fontId="2" fillId="0" borderId="3" xfId="0" applyFont="1" applyBorder="1" applyAlignment="1">
      <alignment horizontal="centerContinuous"/>
    </xf>
    <xf numFmtId="37" fontId="4" fillId="0" borderId="4" xfId="0" applyNumberFormat="1" applyFont="1" applyBorder="1" applyAlignment="1">
      <alignment horizontal="center"/>
    </xf>
    <xf numFmtId="37" fontId="5" fillId="0" borderId="12" xfId="0" applyNumberFormat="1" applyFont="1" applyBorder="1" applyAlignment="1">
      <alignment horizontal="center" wrapText="1"/>
    </xf>
    <xf numFmtId="37" fontId="5" fillId="0" borderId="4" xfId="0" applyNumberFormat="1" applyFont="1" applyBorder="1" applyAlignment="1">
      <alignment horizontal="center" wrapText="1"/>
    </xf>
    <xf numFmtId="37" fontId="5" fillId="0" borderId="13" xfId="0" applyNumberFormat="1" applyFont="1" applyBorder="1" applyAlignment="1">
      <alignment horizontal="center" wrapText="1"/>
    </xf>
    <xf numFmtId="3" fontId="3" fillId="0" borderId="14" xfId="1" applyNumberFormat="1" applyFont="1" applyBorder="1"/>
    <xf numFmtId="3" fontId="3" fillId="0" borderId="0" xfId="1" applyNumberFormat="1" applyFont="1" applyBorder="1"/>
    <xf numFmtId="164" fontId="4" fillId="0" borderId="0" xfId="0" applyFont="1" applyAlignment="1">
      <alignment horizontal="left" vertical="center"/>
    </xf>
    <xf numFmtId="3" fontId="3" fillId="0" borderId="4" xfId="1" applyNumberFormat="1" applyFont="1" applyBorder="1"/>
    <xf numFmtId="3" fontId="3" fillId="0" borderId="13" xfId="1" applyNumberFormat="1" applyFont="1" applyBorder="1"/>
    <xf numFmtId="3" fontId="3" fillId="0" borderId="7" xfId="1" applyNumberFormat="1" applyFont="1" applyBorder="1"/>
    <xf numFmtId="166" fontId="3" fillId="0" borderId="0" xfId="1" applyNumberFormat="1" applyFont="1"/>
    <xf numFmtId="166" fontId="3" fillId="0" borderId="4" xfId="1" applyNumberFormat="1" applyFont="1" applyBorder="1"/>
    <xf numFmtId="3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166" fontId="3" fillId="0" borderId="0" xfId="1" applyNumberFormat="1" applyFont="1" applyBorder="1"/>
    <xf numFmtId="164" fontId="3" fillId="0" borderId="0" xfId="0" applyFont="1" applyBorder="1"/>
    <xf numFmtId="164" fontId="6" fillId="0" borderId="0" xfId="0" applyFont="1" applyBorder="1" applyAlignment="1">
      <alignment vertical="top" wrapText="1"/>
    </xf>
    <xf numFmtId="3" fontId="3" fillId="0" borderId="5" xfId="0" applyNumberFormat="1" applyFont="1" applyBorder="1" applyAlignment="1">
      <alignment horizontal="left"/>
    </xf>
    <xf numFmtId="3" fontId="3" fillId="0" borderId="5" xfId="1" applyNumberFormat="1" applyFont="1" applyBorder="1" applyAlignment="1">
      <alignment horizontal="center"/>
    </xf>
    <xf numFmtId="3" fontId="3" fillId="0" borderId="5" xfId="1" applyNumberFormat="1" applyFont="1" applyBorder="1"/>
    <xf numFmtId="164" fontId="6" fillId="0" borderId="0" xfId="0" applyFont="1"/>
    <xf numFmtId="164" fontId="6" fillId="0" borderId="0" xfId="0" applyFont="1" applyBorder="1" applyAlignment="1">
      <alignment horizontal="left" vertical="top" wrapText="1"/>
    </xf>
    <xf numFmtId="3" fontId="3" fillId="2" borderId="8" xfId="4" applyNumberFormat="1" applyFont="1" applyFill="1" applyBorder="1"/>
    <xf numFmtId="3" fontId="3" fillId="2" borderId="15" xfId="4" applyNumberFormat="1" applyFont="1" applyFill="1" applyBorder="1" applyProtection="1">
      <protection locked="0"/>
    </xf>
    <xf numFmtId="3" fontId="3" fillId="3" borderId="0" xfId="4" applyNumberFormat="1" applyFont="1" applyFill="1" applyBorder="1"/>
    <xf numFmtId="3" fontId="10" fillId="0" borderId="0" xfId="4" applyNumberFormat="1" applyFont="1" applyFill="1" applyBorder="1"/>
    <xf numFmtId="3" fontId="3" fillId="3" borderId="15" xfId="4" applyNumberFormat="1" applyFont="1" applyFill="1" applyBorder="1"/>
    <xf numFmtId="3" fontId="3" fillId="3" borderId="8" xfId="5" applyNumberFormat="1" applyFont="1" applyFill="1" applyBorder="1"/>
    <xf numFmtId="164" fontId="8" fillId="0" borderId="4" xfId="0" applyFont="1" applyFill="1" applyBorder="1"/>
    <xf numFmtId="164" fontId="3" fillId="0" borderId="4" xfId="2" applyFont="1" applyFill="1" applyBorder="1" applyAlignment="1">
      <alignment horizontal="centerContinuous"/>
    </xf>
    <xf numFmtId="164" fontId="10" fillId="0" borderId="4" xfId="2" applyFont="1" applyFill="1" applyBorder="1" applyAlignment="1">
      <alignment horizontal="centerContinuous"/>
    </xf>
    <xf numFmtId="164" fontId="10" fillId="0" borderId="4" xfId="0" applyFont="1" applyBorder="1" applyAlignment="1">
      <alignment horizontal="right"/>
    </xf>
    <xf numFmtId="164" fontId="10" fillId="4" borderId="0" xfId="0" applyFont="1" applyFill="1" applyBorder="1"/>
    <xf numFmtId="164" fontId="10" fillId="0" borderId="0" xfId="0" applyFont="1" applyBorder="1" applyAlignment="1">
      <alignment horizontal="right"/>
    </xf>
    <xf numFmtId="164" fontId="10" fillId="4" borderId="0" xfId="0" applyFont="1" applyFill="1" applyBorder="1" applyAlignment="1">
      <alignment horizontal="center"/>
    </xf>
    <xf numFmtId="164" fontId="10" fillId="4" borderId="0" xfId="0" applyFont="1" applyFill="1" applyBorder="1" applyAlignment="1">
      <alignment horizontal="right"/>
    </xf>
    <xf numFmtId="164" fontId="3" fillId="0" borderId="0" xfId="2" applyFont="1" applyFill="1" applyBorder="1" applyAlignment="1">
      <alignment horizontal="left"/>
    </xf>
    <xf numFmtId="164" fontId="10" fillId="0" borderId="0" xfId="2" applyFont="1" applyFill="1" applyBorder="1" applyAlignment="1">
      <alignment horizontal="left"/>
    </xf>
    <xf numFmtId="164" fontId="10" fillId="4" borderId="0" xfId="0" applyFont="1" applyFill="1"/>
    <xf numFmtId="164" fontId="10" fillId="4" borderId="0" xfId="0" applyFont="1" applyFill="1" applyAlignment="1">
      <alignment horizontal="center"/>
    </xf>
    <xf numFmtId="164" fontId="10" fillId="4" borderId="0" xfId="0" applyFont="1" applyFill="1" applyAlignment="1">
      <alignment horizontal="right"/>
    </xf>
    <xf numFmtId="164" fontId="10" fillId="3" borderId="8" xfId="5" applyFont="1" applyFill="1" applyBorder="1" applyAlignment="1">
      <alignment horizontal="centerContinuous"/>
    </xf>
    <xf numFmtId="164" fontId="10" fillId="3" borderId="0" xfId="5" applyFont="1" applyFill="1" applyBorder="1" applyAlignment="1">
      <alignment horizontal="centerContinuous"/>
    </xf>
    <xf numFmtId="164" fontId="13" fillId="4" borderId="0" xfId="0" applyFont="1" applyFill="1"/>
    <xf numFmtId="164" fontId="13" fillId="4" borderId="0" xfId="0" applyFont="1" applyFill="1" applyAlignment="1">
      <alignment horizontal="center"/>
    </xf>
    <xf numFmtId="164" fontId="10" fillId="3" borderId="7" xfId="5" applyFont="1" applyFill="1" applyBorder="1" applyAlignment="1">
      <alignment horizontal="centerContinuous"/>
    </xf>
    <xf numFmtId="164" fontId="10" fillId="3" borderId="4" xfId="5" applyFont="1" applyFill="1" applyBorder="1" applyAlignment="1">
      <alignment horizontal="centerContinuous"/>
    </xf>
    <xf numFmtId="164" fontId="3" fillId="0" borderId="4" xfId="2" applyFont="1" applyFill="1" applyBorder="1" applyAlignment="1">
      <alignment horizontal="left"/>
    </xf>
    <xf numFmtId="164" fontId="10" fillId="0" borderId="4" xfId="2" applyFont="1" applyFill="1" applyBorder="1" applyAlignment="1">
      <alignment horizontal="left"/>
    </xf>
    <xf numFmtId="164" fontId="8" fillId="4" borderId="8" xfId="0" applyFont="1" applyFill="1" applyBorder="1" applyAlignment="1">
      <alignment horizontal="center"/>
    </xf>
    <xf numFmtId="164" fontId="10" fillId="4" borderId="8" xfId="0" applyFont="1" applyFill="1" applyBorder="1" applyAlignment="1">
      <alignment horizontal="center"/>
    </xf>
    <xf numFmtId="164" fontId="10" fillId="0" borderId="0" xfId="2" applyFont="1" applyFill="1" applyBorder="1" applyAlignment="1">
      <alignment horizontal="right"/>
    </xf>
    <xf numFmtId="164" fontId="10" fillId="3" borderId="7" xfId="5" applyFont="1" applyFill="1" applyBorder="1" applyAlignment="1">
      <alignment horizontal="center"/>
    </xf>
    <xf numFmtId="164" fontId="10" fillId="4" borderId="7" xfId="5" applyFont="1" applyFill="1" applyBorder="1" applyAlignment="1">
      <alignment horizontal="center"/>
    </xf>
    <xf numFmtId="164" fontId="10" fillId="4" borderId="7" xfId="0" applyFont="1" applyFill="1" applyBorder="1" applyAlignment="1">
      <alignment horizontal="center"/>
    </xf>
    <xf numFmtId="164" fontId="10" fillId="0" borderId="4" xfId="2" applyFont="1" applyFill="1" applyBorder="1" applyAlignment="1">
      <alignment horizontal="right"/>
    </xf>
    <xf numFmtId="164" fontId="10" fillId="4" borderId="4" xfId="0" applyFont="1" applyFill="1" applyBorder="1" applyAlignment="1">
      <alignment horizontal="center"/>
    </xf>
    <xf numFmtId="164" fontId="3" fillId="0" borderId="0" xfId="0" applyFont="1" applyFill="1" applyBorder="1"/>
    <xf numFmtId="164" fontId="3" fillId="0" borderId="0" xfId="0" applyFont="1" applyFill="1"/>
    <xf numFmtId="3" fontId="3" fillId="0" borderId="0" xfId="0" applyNumberFormat="1" applyFont="1" applyFill="1" applyBorder="1"/>
    <xf numFmtId="164" fontId="4" fillId="0" borderId="18" xfId="0" applyFont="1" applyBorder="1" applyAlignment="1">
      <alignment horizontal="centerContinuous"/>
    </xf>
    <xf numFmtId="164" fontId="5" fillId="0" borderId="19" xfId="0" applyFont="1" applyBorder="1" applyAlignment="1">
      <alignment horizontal="center" wrapText="1"/>
    </xf>
    <xf numFmtId="3" fontId="3" fillId="0" borderId="20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164" fontId="3" fillId="0" borderId="0" xfId="0" applyFont="1" applyFill="1" applyAlignment="1">
      <alignment horizontal="centerContinuous"/>
    </xf>
    <xf numFmtId="164" fontId="2" fillId="0" borderId="0" xfId="0" applyFont="1" applyFill="1" applyAlignment="1">
      <alignment horizontal="centerContinuous"/>
    </xf>
    <xf numFmtId="164" fontId="2" fillId="0" borderId="0" xfId="0" applyFont="1" applyFill="1" applyAlignment="1">
      <alignment horizontal="center"/>
    </xf>
    <xf numFmtId="164" fontId="6" fillId="0" borderId="0" xfId="0" applyFont="1" applyAlignment="1">
      <alignment horizontal="left" vertical="top" wrapText="1"/>
    </xf>
    <xf numFmtId="3" fontId="6" fillId="0" borderId="0" xfId="0" applyNumberFormat="1" applyFont="1" applyBorder="1" applyAlignment="1">
      <alignment horizontal="left"/>
    </xf>
    <xf numFmtId="3" fontId="10" fillId="4" borderId="8" xfId="4" applyNumberFormat="1" applyFont="1" applyFill="1" applyBorder="1"/>
    <xf numFmtId="3" fontId="10" fillId="0" borderId="0" xfId="4" applyNumberFormat="1" applyFont="1" applyBorder="1"/>
    <xf numFmtId="49" fontId="10" fillId="0" borderId="8" xfId="4" applyNumberFormat="1" applyFont="1" applyFill="1" applyBorder="1"/>
    <xf numFmtId="164" fontId="3" fillId="7" borderId="0" xfId="0" applyFont="1" applyFill="1" applyBorder="1" applyAlignment="1">
      <alignment horizontal="center" wrapText="1"/>
    </xf>
    <xf numFmtId="164" fontId="3" fillId="7" borderId="15" xfId="0" applyFont="1" applyFill="1" applyBorder="1" applyAlignment="1">
      <alignment horizontal="center" wrapText="1"/>
    </xf>
    <xf numFmtId="164" fontId="3" fillId="7" borderId="0" xfId="2" applyFont="1" applyFill="1" applyBorder="1" applyAlignment="1">
      <alignment horizontal="center" wrapText="1"/>
    </xf>
    <xf numFmtId="3" fontId="3" fillId="2" borderId="0" xfId="4" applyNumberFormat="1" applyFont="1" applyFill="1" applyBorder="1"/>
    <xf numFmtId="164" fontId="3" fillId="7" borderId="8" xfId="0" applyFont="1" applyFill="1" applyBorder="1" applyAlignment="1">
      <alignment horizontal="center" wrapText="1"/>
    </xf>
    <xf numFmtId="3" fontId="10" fillId="0" borderId="8" xfId="4" applyNumberFormat="1" applyFont="1" applyBorder="1"/>
    <xf numFmtId="3" fontId="3" fillId="0" borderId="0" xfId="0" applyNumberFormat="1" applyFont="1" applyFill="1"/>
    <xf numFmtId="164" fontId="6" fillId="0" borderId="0" xfId="0" applyFont="1" applyFill="1" applyAlignment="1">
      <alignment horizontal="left" vertical="top" wrapText="1"/>
    </xf>
    <xf numFmtId="164" fontId="10" fillId="0" borderId="4" xfId="0" applyFont="1" applyFill="1" applyBorder="1"/>
    <xf numFmtId="164" fontId="3" fillId="0" borderId="4" xfId="0" applyFont="1" applyBorder="1" applyAlignment="1">
      <alignment horizontal="left"/>
    </xf>
    <xf numFmtId="164" fontId="3" fillId="3" borderId="8" xfId="0" applyFont="1" applyFill="1" applyBorder="1"/>
    <xf numFmtId="164" fontId="8" fillId="2" borderId="8" xfId="5" applyFont="1" applyFill="1" applyBorder="1" applyAlignment="1">
      <alignment horizontal="center"/>
    </xf>
    <xf numFmtId="164" fontId="8" fillId="4" borderId="8" xfId="5" applyFont="1" applyFill="1" applyBorder="1" applyAlignment="1">
      <alignment horizontal="center"/>
    </xf>
    <xf numFmtId="164" fontId="10" fillId="3" borderId="15" xfId="5" applyFont="1" applyFill="1" applyBorder="1" applyAlignment="1">
      <alignment horizontal="centerContinuous"/>
    </xf>
    <xf numFmtId="164" fontId="8" fillId="2" borderId="8" xfId="0" applyFont="1" applyFill="1" applyBorder="1"/>
    <xf numFmtId="164" fontId="8" fillId="4" borderId="8" xfId="0" applyFont="1" applyFill="1" applyBorder="1"/>
    <xf numFmtId="164" fontId="10" fillId="4" borderId="8" xfId="0" applyFont="1" applyFill="1" applyBorder="1"/>
    <xf numFmtId="164" fontId="4" fillId="0" borderId="0" xfId="2" applyFont="1" applyFill="1" applyBorder="1" applyAlignment="1">
      <alignment horizontal="left"/>
    </xf>
    <xf numFmtId="164" fontId="4" fillId="0" borderId="0" xfId="0" applyFont="1" applyBorder="1" applyAlignment="1">
      <alignment horizontal="left"/>
    </xf>
    <xf numFmtId="164" fontId="3" fillId="0" borderId="0" xfId="0" applyFont="1" applyBorder="1" applyAlignment="1">
      <alignment horizontal="centerContinuous"/>
    </xf>
    <xf numFmtId="164" fontId="3" fillId="3" borderId="8" xfId="0" applyFont="1" applyFill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3" fillId="2" borderId="8" xfId="0" applyFont="1" applyFill="1" applyBorder="1"/>
    <xf numFmtId="164" fontId="3" fillId="2" borderId="0" xfId="0" applyFont="1" applyFill="1" applyBorder="1"/>
    <xf numFmtId="164" fontId="8" fillId="2" borderId="0" xfId="0" applyFont="1" applyFill="1" applyBorder="1" applyAlignment="1">
      <alignment horizontal="right"/>
    </xf>
    <xf numFmtId="164" fontId="13" fillId="2" borderId="8" xfId="0" applyFont="1" applyFill="1" applyBorder="1"/>
    <xf numFmtId="164" fontId="13" fillId="4" borderId="0" xfId="0" applyFont="1" applyFill="1" applyBorder="1"/>
    <xf numFmtId="164" fontId="10" fillId="3" borderId="22" xfId="5" applyFont="1" applyFill="1" applyBorder="1"/>
    <xf numFmtId="164" fontId="8" fillId="2" borderId="0" xfId="0" applyFont="1" applyFill="1" applyAlignment="1">
      <alignment horizontal="right"/>
    </xf>
    <xf numFmtId="164" fontId="3" fillId="4" borderId="0" xfId="0" applyFont="1" applyFill="1" applyBorder="1"/>
    <xf numFmtId="164" fontId="10" fillId="3" borderId="15" xfId="5" applyFont="1" applyFill="1" applyBorder="1"/>
    <xf numFmtId="164" fontId="13" fillId="4" borderId="8" xfId="0" applyFont="1" applyFill="1" applyBorder="1"/>
    <xf numFmtId="164" fontId="8" fillId="3" borderId="8" xfId="0" applyFont="1" applyFill="1" applyBorder="1" applyAlignment="1">
      <alignment horizontal="center"/>
    </xf>
    <xf numFmtId="164" fontId="10" fillId="3" borderId="15" xfId="5" applyFont="1" applyFill="1" applyBorder="1" applyAlignment="1">
      <alignment horizontal="center"/>
    </xf>
    <xf numFmtId="164" fontId="8" fillId="2" borderId="8" xfId="0" applyFont="1" applyFill="1" applyBorder="1" applyAlignment="1">
      <alignment horizontal="center"/>
    </xf>
    <xf numFmtId="164" fontId="3" fillId="2" borderId="8" xfId="0" applyFont="1" applyFill="1" applyBorder="1" applyAlignment="1">
      <alignment horizontal="center"/>
    </xf>
    <xf numFmtId="164" fontId="3" fillId="2" borderId="0" xfId="0" applyFont="1" applyFill="1" applyBorder="1" applyAlignment="1">
      <alignment horizontal="center"/>
    </xf>
    <xf numFmtId="164" fontId="10" fillId="3" borderId="16" xfId="5" applyFont="1" applyFill="1" applyBorder="1" applyAlignment="1">
      <alignment horizontal="centerContinuous"/>
    </xf>
    <xf numFmtId="164" fontId="10" fillId="2" borderId="16" xfId="5" applyFont="1" applyFill="1" applyBorder="1" applyAlignment="1">
      <alignment horizontal="centerContinuous"/>
    </xf>
    <xf numFmtId="164" fontId="10" fillId="4" borderId="16" xfId="5" applyFont="1" applyFill="1" applyBorder="1" applyAlignment="1">
      <alignment horizontal="centerContinuous"/>
    </xf>
    <xf numFmtId="164" fontId="3" fillId="3" borderId="0" xfId="2" applyFont="1" applyFill="1" applyBorder="1" applyAlignment="1">
      <alignment horizontal="right"/>
    </xf>
    <xf numFmtId="164" fontId="3" fillId="3" borderId="0" xfId="0" applyFont="1" applyFill="1" applyBorder="1" applyAlignment="1">
      <alignment horizontal="right"/>
    </xf>
    <xf numFmtId="164" fontId="3" fillId="3" borderId="0" xfId="0" applyFont="1" applyFill="1" applyBorder="1"/>
    <xf numFmtId="164" fontId="8" fillId="2" borderId="0" xfId="0" applyFont="1" applyFill="1" applyAlignment="1">
      <alignment horizontal="center"/>
    </xf>
    <xf numFmtId="164" fontId="8" fillId="2" borderId="0" xfId="0" applyFont="1" applyFill="1" applyBorder="1" applyAlignment="1">
      <alignment horizontal="center"/>
    </xf>
    <xf numFmtId="164" fontId="3" fillId="3" borderId="7" xfId="0" applyFont="1" applyFill="1" applyBorder="1" applyAlignment="1">
      <alignment horizontal="center"/>
    </xf>
    <xf numFmtId="164" fontId="10" fillId="0" borderId="7" xfId="0" applyFont="1" applyBorder="1" applyAlignment="1">
      <alignment horizontal="center"/>
    </xf>
    <xf numFmtId="164" fontId="8" fillId="3" borderId="7" xfId="0" applyFont="1" applyFill="1" applyBorder="1" applyAlignment="1">
      <alignment horizontal="center"/>
    </xf>
    <xf numFmtId="164" fontId="8" fillId="2" borderId="7" xfId="5" applyFont="1" applyFill="1" applyBorder="1" applyAlignment="1">
      <alignment horizontal="center"/>
    </xf>
    <xf numFmtId="164" fontId="8" fillId="4" borderId="7" xfId="5" applyFont="1" applyFill="1" applyBorder="1" applyAlignment="1">
      <alignment horizontal="center"/>
    </xf>
    <xf numFmtId="164" fontId="10" fillId="3" borderId="17" xfId="5" applyFont="1" applyFill="1" applyBorder="1" applyAlignment="1">
      <alignment horizontal="center"/>
    </xf>
    <xf numFmtId="164" fontId="10" fillId="2" borderId="7" xfId="5" applyFont="1" applyFill="1" applyBorder="1" applyAlignment="1">
      <alignment horizontal="center"/>
    </xf>
    <xf numFmtId="164" fontId="8" fillId="2" borderId="7" xfId="0" applyFont="1" applyFill="1" applyBorder="1" applyAlignment="1">
      <alignment horizontal="center"/>
    </xf>
    <xf numFmtId="164" fontId="3" fillId="3" borderId="4" xfId="2" applyFont="1" applyFill="1" applyBorder="1" applyAlignment="1">
      <alignment horizontal="right"/>
    </xf>
    <xf numFmtId="164" fontId="3" fillId="3" borderId="4" xfId="0" applyFont="1" applyFill="1" applyBorder="1" applyAlignment="1">
      <alignment horizontal="right"/>
    </xf>
    <xf numFmtId="164" fontId="3" fillId="2" borderId="7" xfId="0" applyFont="1" applyFill="1" applyBorder="1" applyAlignment="1">
      <alignment horizontal="center"/>
    </xf>
    <xf numFmtId="164" fontId="3" fillId="2" borderId="4" xfId="0" applyFont="1" applyFill="1" applyBorder="1" applyAlignment="1">
      <alignment horizontal="center"/>
    </xf>
    <xf numFmtId="164" fontId="8" fillId="2" borderId="4" xfId="0" applyFont="1" applyFill="1" applyBorder="1" applyAlignment="1">
      <alignment horizontal="center"/>
    </xf>
    <xf numFmtId="3" fontId="3" fillId="3" borderId="8" xfId="2" applyNumberFormat="1" applyFont="1" applyFill="1" applyBorder="1"/>
    <xf numFmtId="3" fontId="3" fillId="3" borderId="8" xfId="4" applyNumberFormat="1" applyFont="1" applyFill="1" applyBorder="1"/>
    <xf numFmtId="9" fontId="3" fillId="2" borderId="8" xfId="11" applyFont="1" applyFill="1" applyBorder="1" applyAlignment="1" applyProtection="1">
      <alignment horizontal="right"/>
      <protection locked="0"/>
    </xf>
    <xf numFmtId="9" fontId="10" fillId="4" borderId="8" xfId="11" applyFont="1" applyFill="1" applyBorder="1" applyAlignment="1" applyProtection="1">
      <alignment horizontal="right"/>
      <protection locked="0"/>
    </xf>
    <xf numFmtId="3" fontId="3" fillId="2" borderId="8" xfId="5" applyNumberFormat="1" applyFont="1" applyFill="1" applyBorder="1" applyProtection="1">
      <protection locked="0"/>
    </xf>
    <xf numFmtId="9" fontId="3" fillId="2" borderId="8" xfId="11" applyFont="1" applyFill="1" applyBorder="1"/>
    <xf numFmtId="9" fontId="3" fillId="2" borderId="0" xfId="11" applyFont="1" applyFill="1" applyBorder="1" applyAlignment="1">
      <alignment horizontal="right"/>
    </xf>
    <xf numFmtId="164" fontId="16" fillId="0" borderId="0" xfId="0" applyFont="1"/>
    <xf numFmtId="0" fontId="3" fillId="0" borderId="0" xfId="0" applyNumberFormat="1" applyFont="1"/>
    <xf numFmtId="9" fontId="3" fillId="0" borderId="0" xfId="11" applyFont="1"/>
    <xf numFmtId="164" fontId="3" fillId="0" borderId="24" xfId="0" applyFont="1" applyBorder="1"/>
    <xf numFmtId="164" fontId="7" fillId="0" borderId="0" xfId="0" applyFont="1" applyAlignment="1">
      <alignment horizontal="left" vertical="top"/>
    </xf>
    <xf numFmtId="164" fontId="7" fillId="0" borderId="0" xfId="0" applyFont="1" applyAlignment="1">
      <alignment horizontal="left"/>
    </xf>
    <xf numFmtId="164" fontId="3" fillId="0" borderId="0" xfId="0" applyFont="1" applyFill="1" applyBorder="1" applyAlignment="1">
      <alignment horizontal="center"/>
    </xf>
    <xf numFmtId="164" fontId="10" fillId="0" borderId="0" xfId="0" applyFont="1" applyFill="1" applyBorder="1"/>
    <xf numFmtId="164" fontId="3" fillId="0" borderId="0" xfId="2" applyFont="1" applyFill="1" applyBorder="1"/>
    <xf numFmtId="164" fontId="10" fillId="0" borderId="0" xfId="2" applyFont="1" applyFill="1" applyBorder="1"/>
    <xf numFmtId="164" fontId="10" fillId="0" borderId="0" xfId="0" applyFont="1" applyFill="1" applyBorder="1" applyAlignment="1">
      <alignment horizontal="center"/>
    </xf>
    <xf numFmtId="164" fontId="3" fillId="6" borderId="0" xfId="0" applyFont="1" applyFill="1" applyBorder="1"/>
    <xf numFmtId="164" fontId="4" fillId="6" borderId="0" xfId="0" applyFont="1" applyFill="1" applyBorder="1"/>
    <xf numFmtId="164" fontId="5" fillId="6" borderId="0" xfId="0" applyFont="1" applyFill="1" applyBorder="1" applyAlignment="1">
      <alignment horizontal="center" wrapText="1"/>
    </xf>
    <xf numFmtId="167" fontId="3" fillId="6" borderId="0" xfId="1" applyNumberFormat="1" applyFont="1" applyFill="1" applyBorder="1"/>
    <xf numFmtId="168" fontId="3" fillId="6" borderId="0" xfId="11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49" fontId="6" fillId="0" borderId="0" xfId="0" applyNumberFormat="1" applyFont="1" applyFill="1" applyAlignment="1">
      <alignment horizontal="right"/>
    </xf>
    <xf numFmtId="164" fontId="16" fillId="0" borderId="0" xfId="0" applyFont="1" applyFill="1" applyBorder="1" applyAlignment="1">
      <alignment vertical="top" wrapText="1"/>
    </xf>
    <xf numFmtId="3" fontId="3" fillId="0" borderId="0" xfId="0" applyNumberFormat="1" applyFont="1" applyFill="1" applyBorder="1" applyAlignment="1">
      <alignment horizontal="center"/>
    </xf>
    <xf numFmtId="164" fontId="7" fillId="0" borderId="0" xfId="0" applyFont="1" applyFill="1" applyAlignment="1">
      <alignment horizontal="center"/>
    </xf>
    <xf numFmtId="164" fontId="6" fillId="0" borderId="0" xfId="0" applyFont="1" applyFill="1" applyBorder="1" applyAlignment="1">
      <alignment vertical="top" wrapText="1"/>
    </xf>
    <xf numFmtId="3" fontId="3" fillId="0" borderId="4" xfId="0" applyNumberFormat="1" applyFont="1" applyFill="1" applyBorder="1" applyAlignment="1">
      <alignment horizontal="center"/>
    </xf>
    <xf numFmtId="164" fontId="16" fillId="0" borderId="0" xfId="0" applyFont="1" applyFill="1"/>
    <xf numFmtId="164" fontId="5" fillId="0" borderId="4" xfId="0" applyFont="1" applyFill="1" applyBorder="1" applyAlignment="1">
      <alignment horizontal="center" wrapText="1"/>
    </xf>
    <xf numFmtId="164" fontId="2" fillId="0" borderId="5" xfId="0" applyFont="1" applyBorder="1" applyAlignment="1">
      <alignment horizontal="center"/>
    </xf>
    <xf numFmtId="164" fontId="2" fillId="0" borderId="3" xfId="0" applyFont="1" applyFill="1" applyBorder="1" applyAlignment="1">
      <alignment horizontal="centerContinuous"/>
    </xf>
    <xf numFmtId="164" fontId="0" fillId="0" borderId="0" xfId="0" applyAlignment="1">
      <alignment horizontal="left" vertical="top" wrapText="1"/>
    </xf>
    <xf numFmtId="164" fontId="2" fillId="0" borderId="5" xfId="0" applyFont="1" applyFill="1" applyBorder="1" applyAlignment="1">
      <alignment horizontal="centerContinuous"/>
    </xf>
    <xf numFmtId="164" fontId="5" fillId="0" borderId="6" xfId="0" applyFont="1" applyBorder="1" applyAlignment="1">
      <alignment horizontal="centerContinuous"/>
    </xf>
    <xf numFmtId="164" fontId="5" fillId="0" borderId="18" xfId="0" applyFont="1" applyFill="1" applyBorder="1" applyAlignment="1">
      <alignment horizontal="center" wrapText="1"/>
    </xf>
    <xf numFmtId="3" fontId="3" fillId="0" borderId="20" xfId="0" applyNumberFormat="1" applyFont="1" applyFill="1" applyBorder="1" applyAlignment="1">
      <alignment horizontal="center"/>
    </xf>
    <xf numFmtId="3" fontId="3" fillId="0" borderId="19" xfId="0" applyNumberFormat="1" applyFont="1" applyFill="1" applyBorder="1" applyAlignment="1">
      <alignment horizontal="center"/>
    </xf>
    <xf numFmtId="164" fontId="2" fillId="0" borderId="18" xfId="0" applyFont="1" applyFill="1" applyBorder="1" applyAlignment="1">
      <alignment horizontal="centerContinuous"/>
    </xf>
    <xf numFmtId="165" fontId="3" fillId="0" borderId="0" xfId="0" applyNumberFormat="1" applyFont="1" applyAlignment="1">
      <alignment horizontal="centerContinuous"/>
    </xf>
    <xf numFmtId="49" fontId="4" fillId="0" borderId="4" xfId="2" applyNumberFormat="1" applyFont="1" applyFill="1" applyBorder="1" applyAlignment="1"/>
    <xf numFmtId="49" fontId="10" fillId="0" borderId="4" xfId="2" applyNumberFormat="1" applyFont="1" applyFill="1" applyBorder="1" applyAlignment="1">
      <alignment horizontal="centerContinuous"/>
    </xf>
    <xf numFmtId="49" fontId="3" fillId="0" borderId="4" xfId="0" applyNumberFormat="1" applyFont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10" fillId="0" borderId="4" xfId="0" applyNumberFormat="1" applyFont="1" applyFill="1" applyBorder="1" applyAlignment="1">
      <alignment horizontal="centerContinuous"/>
    </xf>
    <xf numFmtId="164" fontId="10" fillId="3" borderId="6" xfId="5" applyFont="1" applyFill="1" applyBorder="1" applyAlignment="1">
      <alignment horizontal="centerContinuous"/>
    </xf>
    <xf numFmtId="164" fontId="10" fillId="3" borderId="3" xfId="5" applyFont="1" applyFill="1" applyBorder="1" applyAlignment="1">
      <alignment horizontal="centerContinuous"/>
    </xf>
    <xf numFmtId="164" fontId="10" fillId="3" borderId="18" xfId="5" applyFont="1" applyFill="1" applyBorder="1" applyAlignment="1">
      <alignment horizontal="centerContinuous"/>
    </xf>
    <xf numFmtId="49" fontId="4" fillId="0" borderId="0" xfId="2" applyNumberFormat="1" applyFont="1" applyFill="1" applyBorder="1" applyAlignment="1">
      <alignment horizontal="left"/>
    </xf>
    <xf numFmtId="49" fontId="10" fillId="0" borderId="21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center"/>
    </xf>
    <xf numFmtId="49" fontId="3" fillId="0" borderId="0" xfId="2" applyNumberFormat="1" applyFont="1" applyFill="1" applyBorder="1" applyAlignment="1">
      <alignment horizontal="left"/>
    </xf>
    <xf numFmtId="49" fontId="14" fillId="0" borderId="21" xfId="0" applyNumberFormat="1" applyFont="1" applyBorder="1" applyAlignment="1">
      <alignment horizontal="left"/>
    </xf>
    <xf numFmtId="49" fontId="3" fillId="0" borderId="4" xfId="2" applyNumberFormat="1" applyFont="1" applyFill="1" applyBorder="1" applyAlignment="1">
      <alignment horizontal="left"/>
    </xf>
    <xf numFmtId="49" fontId="14" fillId="0" borderId="23" xfId="0" applyNumberFormat="1" applyFont="1" applyBorder="1" applyAlignment="1">
      <alignment horizontal="left"/>
    </xf>
    <xf numFmtId="164" fontId="14" fillId="0" borderId="4" xfId="0" applyFont="1" applyBorder="1" applyAlignment="1">
      <alignment horizontal="left"/>
    </xf>
    <xf numFmtId="49" fontId="3" fillId="3" borderId="8" xfId="2" applyNumberFormat="1" applyFont="1" applyFill="1" applyBorder="1" applyAlignment="1">
      <alignment horizontal="center"/>
    </xf>
    <xf numFmtId="49" fontId="10" fillId="0" borderId="16" xfId="2" applyNumberFormat="1" applyFont="1" applyFill="1" applyBorder="1" applyAlignment="1">
      <alignment horizontal="center"/>
    </xf>
    <xf numFmtId="49" fontId="10" fillId="0" borderId="16" xfId="0" applyNumberFormat="1" applyFont="1" applyBorder="1" applyAlignment="1">
      <alignment horizontal="center"/>
    </xf>
    <xf numFmtId="49" fontId="3" fillId="3" borderId="16" xfId="0" applyNumberFormat="1" applyFont="1" applyFill="1" applyBorder="1" applyAlignment="1">
      <alignment horizontal="center"/>
    </xf>
    <xf numFmtId="49" fontId="3" fillId="3" borderId="7" xfId="2" applyNumberFormat="1" applyFont="1" applyFill="1" applyBorder="1" applyAlignment="1">
      <alignment horizontal="center"/>
    </xf>
    <xf numFmtId="49" fontId="10" fillId="0" borderId="7" xfId="2" applyNumberFormat="1" applyFont="1" applyFill="1" applyBorder="1" applyAlignment="1">
      <alignment horizontal="center"/>
    </xf>
    <xf numFmtId="49" fontId="10" fillId="0" borderId="7" xfId="0" applyNumberFormat="1" applyFont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49" fontId="3" fillId="7" borderId="8" xfId="2" applyNumberFormat="1" applyFont="1" applyFill="1" applyBorder="1" applyAlignment="1">
      <alignment horizontal="center" wrapText="1"/>
    </xf>
    <xf numFmtId="49" fontId="3" fillId="7" borderId="8" xfId="0" applyNumberFormat="1" applyFont="1" applyFill="1" applyBorder="1" applyAlignment="1">
      <alignment horizontal="center" wrapText="1"/>
    </xf>
    <xf numFmtId="49" fontId="3" fillId="3" borderId="8" xfId="4" applyNumberFormat="1" applyFont="1" applyFill="1" applyBorder="1" applyAlignment="1">
      <alignment horizontal="center"/>
    </xf>
    <xf numFmtId="49" fontId="3" fillId="0" borderId="0" xfId="2" applyNumberFormat="1" applyFont="1" applyFill="1" applyBorder="1" applyAlignment="1">
      <alignment horizontal="center"/>
    </xf>
    <xf numFmtId="49" fontId="10" fillId="0" borderId="0" xfId="2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164" fontId="3" fillId="0" borderId="4" xfId="0" applyFont="1" applyFill="1" applyBorder="1"/>
    <xf numFmtId="164" fontId="3" fillId="0" borderId="4" xfId="0" applyFont="1" applyFill="1" applyBorder="1" applyAlignment="1">
      <alignment horizontal="center"/>
    </xf>
    <xf numFmtId="164" fontId="18" fillId="0" borderId="17" xfId="0" applyFont="1" applyFill="1" applyBorder="1" applyAlignment="1">
      <alignment horizontal="center" wrapText="1"/>
    </xf>
    <xf numFmtId="164" fontId="13" fillId="0" borderId="4" xfId="0" applyFont="1" applyFill="1" applyBorder="1"/>
    <xf numFmtId="164" fontId="3" fillId="0" borderId="4" xfId="0" applyFont="1" applyFill="1" applyBorder="1" applyAlignment="1">
      <alignment horizontal="left"/>
    </xf>
    <xf numFmtId="164" fontId="10" fillId="0" borderId="4" xfId="0" applyFont="1" applyFill="1" applyBorder="1" applyAlignment="1">
      <alignment horizontal="left"/>
    </xf>
    <xf numFmtId="164" fontId="3" fillId="0" borderId="4" xfId="0" applyFont="1" applyFill="1" applyBorder="1" applyAlignment="1">
      <alignment horizontal="centerContinuous"/>
    </xf>
    <xf numFmtId="164" fontId="10" fillId="0" borderId="4" xfId="0" applyFont="1" applyFill="1" applyBorder="1" applyAlignment="1">
      <alignment horizontal="centerContinuous"/>
    </xf>
    <xf numFmtId="164" fontId="13" fillId="0" borderId="7" xfId="0" applyFont="1" applyFill="1" applyBorder="1"/>
    <xf numFmtId="49" fontId="6" fillId="0" borderId="0" xfId="0" quotePrefix="1" applyNumberFormat="1" applyFont="1" applyFill="1" applyAlignment="1">
      <alignment horizontal="right"/>
    </xf>
    <xf numFmtId="167" fontId="14" fillId="6" borderId="0" xfId="1" applyNumberFormat="1" applyFont="1" applyFill="1"/>
    <xf numFmtId="164" fontId="3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20" fillId="0" borderId="0" xfId="0" applyFont="1"/>
    <xf numFmtId="166" fontId="3" fillId="0" borderId="0" xfId="1" applyNumberFormat="1" applyFont="1" applyFill="1"/>
    <xf numFmtId="164" fontId="10" fillId="0" borderId="7" xfId="0" applyFont="1" applyFill="1" applyBorder="1"/>
    <xf numFmtId="164" fontId="10" fillId="0" borderId="7" xfId="0" applyFont="1" applyFill="1" applyBorder="1" applyAlignment="1">
      <alignment horizontal="center"/>
    </xf>
    <xf numFmtId="164" fontId="10" fillId="0" borderId="4" xfId="0" applyFont="1" applyFill="1" applyBorder="1" applyAlignment="1">
      <alignment horizontal="center"/>
    </xf>
    <xf numFmtId="164" fontId="3" fillId="0" borderId="23" xfId="0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left"/>
    </xf>
    <xf numFmtId="164" fontId="10" fillId="0" borderId="8" xfId="0" applyFont="1" applyFill="1" applyBorder="1" applyAlignment="1">
      <alignment horizontal="center"/>
    </xf>
    <xf numFmtId="164" fontId="10" fillId="0" borderId="5" xfId="2" applyFont="1" applyFill="1" applyBorder="1" applyAlignment="1">
      <alignment horizontal="left"/>
    </xf>
    <xf numFmtId="49" fontId="3" fillId="0" borderId="5" xfId="0" applyNumberFormat="1" applyFont="1" applyBorder="1"/>
    <xf numFmtId="164" fontId="4" fillId="0" borderId="5" xfId="2" applyFont="1" applyFill="1" applyBorder="1" applyAlignment="1">
      <alignment horizontal="left"/>
    </xf>
    <xf numFmtId="49" fontId="4" fillId="0" borderId="5" xfId="2" applyNumberFormat="1" applyFont="1" applyFill="1" applyBorder="1" applyAlignment="1">
      <alignment horizontal="left"/>
    </xf>
    <xf numFmtId="164" fontId="10" fillId="0" borderId="5" xfId="0" applyFont="1" applyBorder="1" applyAlignment="1">
      <alignment horizontal="left"/>
    </xf>
    <xf numFmtId="49" fontId="4" fillId="0" borderId="5" xfId="0" applyNumberFormat="1" applyFont="1" applyBorder="1" applyAlignment="1">
      <alignment horizontal="left"/>
    </xf>
    <xf numFmtId="164" fontId="4" fillId="0" borderId="5" xfId="0" applyFont="1" applyBorder="1" applyAlignment="1">
      <alignment horizontal="left"/>
    </xf>
    <xf numFmtId="49" fontId="10" fillId="0" borderId="5" xfId="0" applyNumberFormat="1" applyFont="1" applyBorder="1" applyAlignment="1">
      <alignment horizontal="left"/>
    </xf>
    <xf numFmtId="49" fontId="3" fillId="8" borderId="0" xfId="0" applyNumberFormat="1" applyFont="1" applyFill="1" applyAlignment="1">
      <alignment horizontal="center"/>
    </xf>
    <xf numFmtId="49" fontId="3" fillId="8" borderId="0" xfId="0" applyNumberFormat="1" applyFont="1" applyFill="1" applyAlignment="1">
      <alignment horizontal="left"/>
    </xf>
    <xf numFmtId="49" fontId="3" fillId="0" borderId="0" xfId="0" applyNumberFormat="1" applyFont="1" applyBorder="1"/>
    <xf numFmtId="164" fontId="14" fillId="0" borderId="0" xfId="0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49" fontId="14" fillId="0" borderId="0" xfId="0" applyNumberFormat="1" applyFont="1" applyBorder="1" applyAlignment="1">
      <alignment horizontal="left"/>
    </xf>
    <xf numFmtId="49" fontId="3" fillId="0" borderId="4" xfId="0" applyNumberFormat="1" applyFont="1" applyBorder="1"/>
    <xf numFmtId="49" fontId="14" fillId="0" borderId="4" xfId="0" applyNumberFormat="1" applyFont="1" applyBorder="1" applyAlignment="1">
      <alignment horizontal="left"/>
    </xf>
    <xf numFmtId="49" fontId="3" fillId="8" borderId="4" xfId="0" applyNumberFormat="1" applyFont="1" applyFill="1" applyBorder="1" applyAlignment="1">
      <alignment horizontal="center"/>
    </xf>
    <xf numFmtId="49" fontId="3" fillId="8" borderId="4" xfId="0" applyNumberFormat="1" applyFont="1" applyFill="1" applyBorder="1" applyAlignment="1">
      <alignment horizontal="left"/>
    </xf>
    <xf numFmtId="49" fontId="3" fillId="7" borderId="0" xfId="0" applyNumberFormat="1" applyFont="1" applyFill="1" applyBorder="1" applyAlignment="1">
      <alignment horizontal="center"/>
    </xf>
    <xf numFmtId="49" fontId="3" fillId="7" borderId="0" xfId="0" applyNumberFormat="1" applyFont="1" applyFill="1" applyBorder="1" applyAlignment="1">
      <alignment horizontal="left"/>
    </xf>
    <xf numFmtId="49" fontId="3" fillId="9" borderId="0" xfId="4" applyNumberFormat="1" applyFont="1" applyFill="1" applyBorder="1" applyAlignment="1">
      <alignment horizontal="center"/>
    </xf>
    <xf numFmtId="49" fontId="3" fillId="9" borderId="0" xfId="4" applyNumberFormat="1" applyFont="1" applyFill="1" applyBorder="1" applyAlignment="1">
      <alignment horizontal="left"/>
    </xf>
    <xf numFmtId="164" fontId="10" fillId="0" borderId="8" xfId="0" applyFont="1" applyFill="1" applyBorder="1" applyAlignment="1">
      <alignment horizontal="right"/>
    </xf>
    <xf numFmtId="9" fontId="10" fillId="4" borderId="8" xfId="11" applyFont="1" applyFill="1" applyBorder="1"/>
    <xf numFmtId="3" fontId="3" fillId="3" borderId="8" xfId="4" applyNumberFormat="1" applyFont="1" applyFill="1" applyBorder="1" applyAlignment="1">
      <alignment horizontal="center"/>
    </xf>
    <xf numFmtId="164" fontId="10" fillId="4" borderId="8" xfId="0" applyFont="1" applyFill="1" applyBorder="1" applyAlignment="1">
      <alignment horizontal="right"/>
    </xf>
    <xf numFmtId="3" fontId="3" fillId="3" borderId="8" xfId="4" applyNumberFormat="1" applyFont="1" applyFill="1" applyBorder="1" applyAlignment="1">
      <alignment horizontal="right"/>
    </xf>
    <xf numFmtId="49" fontId="3" fillId="9" borderId="0" xfId="9" applyNumberFormat="1" applyFont="1" applyFill="1" applyBorder="1" applyAlignment="1" applyProtection="1">
      <alignment horizontal="center"/>
    </xf>
    <xf numFmtId="49" fontId="3" fillId="3" borderId="0" xfId="4" applyNumberFormat="1" applyFont="1" applyFill="1" applyBorder="1" applyAlignment="1">
      <alignment horizontal="center"/>
    </xf>
    <xf numFmtId="49" fontId="3" fillId="3" borderId="0" xfId="4" applyNumberFormat="1" applyFont="1" applyFill="1" applyBorder="1" applyAlignment="1">
      <alignment horizontal="left"/>
    </xf>
    <xf numFmtId="49" fontId="3" fillId="3" borderId="0" xfId="7" applyNumberFormat="1" applyFont="1" applyFill="1" applyBorder="1" applyAlignment="1">
      <alignment horizontal="center"/>
    </xf>
    <xf numFmtId="49" fontId="3" fillId="3" borderId="0" xfId="7" applyNumberFormat="1" applyFont="1" applyFill="1" applyBorder="1" applyAlignment="1" applyProtection="1">
      <alignment horizontal="left"/>
    </xf>
    <xf numFmtId="49" fontId="3" fillId="3" borderId="0" xfId="7" applyNumberFormat="1" applyFont="1" applyFill="1" applyBorder="1" applyAlignment="1" applyProtection="1">
      <alignment horizontal="center"/>
    </xf>
    <xf numFmtId="49" fontId="3" fillId="10" borderId="0" xfId="4" applyNumberFormat="1" applyFont="1" applyFill="1" applyBorder="1" applyAlignment="1">
      <alignment horizontal="center"/>
    </xf>
    <xf numFmtId="49" fontId="3" fillId="10" borderId="0" xfId="4" applyNumberFormat="1" applyFont="1" applyFill="1" applyBorder="1" applyAlignment="1">
      <alignment horizontal="left"/>
    </xf>
    <xf numFmtId="49" fontId="3" fillId="10" borderId="0" xfId="7" applyNumberFormat="1" applyFont="1" applyFill="1" applyBorder="1" applyAlignment="1">
      <alignment horizontal="center"/>
    </xf>
    <xf numFmtId="49" fontId="3" fillId="10" borderId="0" xfId="7" applyNumberFormat="1" applyFont="1" applyFill="1" applyBorder="1" applyAlignment="1" applyProtection="1">
      <alignment horizontal="center"/>
    </xf>
    <xf numFmtId="49" fontId="3" fillId="11" borderId="0" xfId="4" applyNumberFormat="1" applyFont="1" applyFill="1" applyBorder="1" applyAlignment="1">
      <alignment horizontal="center"/>
    </xf>
    <xf numFmtId="49" fontId="3" fillId="11" borderId="0" xfId="4" applyNumberFormat="1" applyFont="1" applyFill="1" applyBorder="1" applyAlignment="1">
      <alignment horizontal="left"/>
    </xf>
    <xf numFmtId="1" fontId="3" fillId="3" borderId="0" xfId="4" applyNumberFormat="1" applyFont="1" applyFill="1" applyBorder="1"/>
    <xf numFmtId="1" fontId="10" fillId="0" borderId="8" xfId="4" applyNumberFormat="1" applyFont="1" applyBorder="1"/>
    <xf numFmtId="1" fontId="10" fillId="0" borderId="0" xfId="4" applyNumberFormat="1" applyFont="1" applyBorder="1"/>
    <xf numFmtId="1" fontId="3" fillId="3" borderId="8" xfId="4" applyNumberFormat="1" applyFont="1" applyFill="1" applyBorder="1" applyAlignment="1">
      <alignment horizontal="center"/>
    </xf>
    <xf numFmtId="1" fontId="3" fillId="3" borderId="8" xfId="4" applyNumberFormat="1" applyFont="1" applyFill="1" applyBorder="1"/>
    <xf numFmtId="49" fontId="3" fillId="11" borderId="0" xfId="7" applyNumberFormat="1" applyFont="1" applyFill="1" applyBorder="1" applyAlignment="1" applyProtection="1">
      <alignment horizontal="left"/>
    </xf>
    <xf numFmtId="49" fontId="3" fillId="11" borderId="0" xfId="7" applyNumberFormat="1" applyFont="1" applyFill="1" applyBorder="1" applyAlignment="1" applyProtection="1">
      <alignment horizontal="center"/>
    </xf>
    <xf numFmtId="49" fontId="3" fillId="11" borderId="0" xfId="7" applyNumberFormat="1" applyFont="1" applyFill="1" applyBorder="1" applyAlignment="1">
      <alignment horizontal="center"/>
    </xf>
    <xf numFmtId="49" fontId="3" fillId="9" borderId="0" xfId="5" applyNumberFormat="1" applyFont="1" applyFill="1" applyBorder="1" applyAlignment="1">
      <alignment horizontal="center"/>
    </xf>
    <xf numFmtId="49" fontId="3" fillId="9" borderId="0" xfId="5" applyNumberFormat="1" applyFont="1" applyFill="1" applyBorder="1" applyAlignment="1">
      <alignment horizontal="left"/>
    </xf>
    <xf numFmtId="49" fontId="3" fillId="9" borderId="0" xfId="7" applyNumberFormat="1" applyFont="1" applyFill="1" applyBorder="1" applyAlignment="1">
      <alignment horizontal="center"/>
    </xf>
    <xf numFmtId="49" fontId="3" fillId="9" borderId="0" xfId="7" applyNumberFormat="1" applyFont="1" applyFill="1" applyBorder="1" applyAlignment="1" applyProtection="1">
      <alignment horizontal="center"/>
    </xf>
    <xf numFmtId="49" fontId="3" fillId="9" borderId="0" xfId="7" applyNumberFormat="1" applyFont="1" applyFill="1" applyBorder="1" applyAlignment="1">
      <alignment horizontal="left"/>
    </xf>
    <xf numFmtId="49" fontId="3" fillId="3" borderId="0" xfId="5" applyNumberFormat="1" applyFont="1" applyFill="1" applyBorder="1" applyAlignment="1">
      <alignment horizontal="center"/>
    </xf>
    <xf numFmtId="49" fontId="3" fillId="3" borderId="0" xfId="5" applyNumberFormat="1" applyFont="1" applyFill="1" applyBorder="1" applyAlignment="1">
      <alignment horizontal="left"/>
    </xf>
    <xf numFmtId="49" fontId="3" fillId="3" borderId="0" xfId="7" applyNumberFormat="1" applyFont="1" applyFill="1" applyBorder="1" applyAlignment="1">
      <alignment horizontal="left"/>
    </xf>
    <xf numFmtId="49" fontId="3" fillId="12" borderId="0" xfId="5" applyNumberFormat="1" applyFont="1" applyFill="1" applyBorder="1" applyAlignment="1">
      <alignment horizontal="center"/>
    </xf>
    <xf numFmtId="49" fontId="3" fillId="12" borderId="0" xfId="5" applyNumberFormat="1" applyFont="1" applyFill="1" applyBorder="1" applyAlignment="1">
      <alignment horizontal="left"/>
    </xf>
    <xf numFmtId="164" fontId="10" fillId="13" borderId="8" xfId="0" applyFont="1" applyFill="1" applyBorder="1" applyAlignment="1">
      <alignment horizontal="right"/>
    </xf>
    <xf numFmtId="49" fontId="3" fillId="12" borderId="0" xfId="7" applyNumberFormat="1" applyFont="1" applyFill="1" applyBorder="1" applyAlignment="1">
      <alignment horizontal="center"/>
    </xf>
    <xf numFmtId="49" fontId="3" fillId="5" borderId="0" xfId="5" applyNumberFormat="1" applyFont="1" applyFill="1" applyBorder="1" applyAlignment="1">
      <alignment horizontal="center"/>
    </xf>
    <xf numFmtId="49" fontId="3" fillId="5" borderId="0" xfId="5" applyNumberFormat="1" applyFont="1" applyFill="1" applyBorder="1" applyAlignment="1">
      <alignment horizontal="left"/>
    </xf>
    <xf numFmtId="49" fontId="3" fillId="5" borderId="0" xfId="4" applyNumberFormat="1" applyFont="1" applyFill="1" applyBorder="1" applyAlignment="1">
      <alignment horizontal="center"/>
    </xf>
    <xf numFmtId="49" fontId="3" fillId="11" borderId="0" xfId="5" applyNumberFormat="1" applyFont="1" applyFill="1" applyBorder="1" applyAlignment="1">
      <alignment horizontal="center"/>
    </xf>
    <xf numFmtId="49" fontId="3" fillId="11" borderId="0" xfId="5" applyNumberFormat="1" applyFont="1" applyFill="1" applyBorder="1" applyAlignment="1">
      <alignment horizontal="left"/>
    </xf>
    <xf numFmtId="49" fontId="3" fillId="11" borderId="0" xfId="1" applyNumberFormat="1" applyFont="1" applyFill="1" applyBorder="1" applyAlignment="1">
      <alignment horizontal="left"/>
    </xf>
    <xf numFmtId="49" fontId="3" fillId="11" borderId="0" xfId="7" applyNumberFormat="1" applyFont="1" applyFill="1" applyBorder="1" applyAlignment="1">
      <alignment horizontal="left"/>
    </xf>
    <xf numFmtId="49" fontId="3" fillId="2" borderId="0" xfId="5" applyNumberFormat="1" applyFont="1" applyFill="1" applyBorder="1" applyAlignment="1">
      <alignment horizontal="center"/>
    </xf>
    <xf numFmtId="49" fontId="3" fillId="2" borderId="0" xfId="5" applyNumberFormat="1" applyFont="1" applyFill="1" applyBorder="1" applyAlignment="1">
      <alignment horizontal="left"/>
    </xf>
    <xf numFmtId="3" fontId="20" fillId="3" borderId="15" xfId="4" applyNumberFormat="1" applyFont="1" applyFill="1" applyBorder="1"/>
    <xf numFmtId="3" fontId="20" fillId="3" borderId="8" xfId="5" applyNumberFormat="1" applyFont="1" applyFill="1" applyBorder="1"/>
    <xf numFmtId="49" fontId="3" fillId="14" borderId="0" xfId="5" applyNumberFormat="1" applyFont="1" applyFill="1" applyBorder="1" applyAlignment="1">
      <alignment horizontal="center"/>
    </xf>
    <xf numFmtId="49" fontId="3" fillId="14" borderId="0" xfId="5" applyNumberFormat="1" applyFont="1" applyFill="1" applyBorder="1" applyAlignment="1">
      <alignment horizontal="left"/>
    </xf>
    <xf numFmtId="49" fontId="3" fillId="14" borderId="0" xfId="7" applyNumberFormat="1" applyFont="1" applyFill="1" applyBorder="1" applyAlignment="1">
      <alignment horizontal="left"/>
    </xf>
    <xf numFmtId="49" fontId="3" fillId="5" borderId="0" xfId="4" applyNumberFormat="1" applyFont="1" applyFill="1" applyBorder="1" applyAlignment="1">
      <alignment horizontal="left"/>
    </xf>
    <xf numFmtId="3" fontId="10" fillId="0" borderId="8" xfId="4" quotePrefix="1" applyNumberFormat="1" applyFont="1" applyBorder="1"/>
    <xf numFmtId="49" fontId="3" fillId="10" borderId="0" xfId="5" applyNumberFormat="1" applyFont="1" applyFill="1" applyBorder="1" applyAlignment="1">
      <alignment horizontal="center"/>
    </xf>
    <xf numFmtId="49" fontId="3" fillId="10" borderId="0" xfId="5" applyNumberFormat="1" applyFont="1" applyFill="1" applyBorder="1" applyAlignment="1">
      <alignment horizontal="left"/>
    </xf>
    <xf numFmtId="49" fontId="3" fillId="3" borderId="0" xfId="3" applyNumberFormat="1" applyFont="1" applyFill="1" applyBorder="1" applyAlignment="1">
      <alignment horizontal="left"/>
    </xf>
    <xf numFmtId="49" fontId="3" fillId="3" borderId="0" xfId="3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164" fontId="3" fillId="0" borderId="0" xfId="6" applyFont="1" applyBorder="1"/>
    <xf numFmtId="49" fontId="3" fillId="14" borderId="0" xfId="7" applyNumberFormat="1" applyFont="1" applyFill="1" applyBorder="1" applyAlignment="1">
      <alignment horizontal="center"/>
    </xf>
    <xf numFmtId="0" fontId="3" fillId="0" borderId="8" xfId="0" applyNumberFormat="1" applyFont="1" applyBorder="1"/>
    <xf numFmtId="164" fontId="10" fillId="0" borderId="0" xfId="0" applyFont="1" applyFill="1" applyAlignment="1">
      <alignment horizontal="right"/>
    </xf>
    <xf numFmtId="49" fontId="3" fillId="5" borderId="0" xfId="7" applyNumberFormat="1" applyFont="1" applyFill="1" applyBorder="1" applyAlignment="1">
      <alignment horizontal="left"/>
    </xf>
    <xf numFmtId="1" fontId="3" fillId="9" borderId="0" xfId="4" applyNumberFormat="1" applyFont="1" applyFill="1" applyBorder="1" applyAlignment="1">
      <alignment horizontal="center"/>
    </xf>
    <xf numFmtId="1" fontId="3" fillId="3" borderId="0" xfId="4" applyNumberFormat="1" applyFont="1" applyFill="1" applyBorder="1" applyAlignment="1">
      <alignment horizontal="center"/>
    </xf>
    <xf numFmtId="1" fontId="3" fillId="15" borderId="0" xfId="10" applyNumberFormat="1" applyFont="1" applyFill="1" applyBorder="1" applyAlignment="1" applyProtection="1">
      <alignment horizontal="center"/>
    </xf>
    <xf numFmtId="1" fontId="3" fillId="5" borderId="0" xfId="4" applyNumberFormat="1" applyFont="1" applyFill="1" applyBorder="1" applyAlignment="1">
      <alignment horizontal="center"/>
    </xf>
    <xf numFmtId="1" fontId="3" fillId="10" borderId="0" xfId="4" applyNumberFormat="1" applyFont="1" applyFill="1" applyBorder="1" applyAlignment="1">
      <alignment horizontal="center"/>
    </xf>
    <xf numFmtId="1" fontId="3" fillId="16" borderId="0" xfId="10" applyNumberFormat="1" applyFont="1" applyFill="1" applyBorder="1" applyAlignment="1" applyProtection="1">
      <alignment horizontal="center"/>
    </xf>
    <xf numFmtId="1" fontId="3" fillId="11" borderId="0" xfId="4" applyNumberFormat="1" applyFont="1" applyFill="1" applyBorder="1" applyAlignment="1">
      <alignment horizontal="center"/>
    </xf>
    <xf numFmtId="1" fontId="3" fillId="17" borderId="0" xfId="10" applyNumberFormat="1" applyFont="1" applyFill="1" applyBorder="1" applyAlignment="1" applyProtection="1">
      <alignment horizontal="center"/>
    </xf>
    <xf numFmtId="1" fontId="3" fillId="18" borderId="0" xfId="10" applyNumberFormat="1" applyFont="1" applyFill="1" applyBorder="1" applyAlignment="1" applyProtection="1">
      <alignment horizontal="center"/>
    </xf>
    <xf numFmtId="1" fontId="3" fillId="14" borderId="0" xfId="4" applyNumberFormat="1" applyFont="1" applyFill="1" applyBorder="1" applyAlignment="1">
      <alignment horizontal="center"/>
    </xf>
    <xf numFmtId="1" fontId="3" fillId="19" borderId="0" xfId="10" applyNumberFormat="1" applyFont="1" applyFill="1" applyBorder="1" applyAlignment="1" applyProtection="1">
      <alignment horizontal="center"/>
    </xf>
    <xf numFmtId="1" fontId="3" fillId="12" borderId="0" xfId="4" applyNumberFormat="1" applyFont="1" applyFill="1" applyBorder="1" applyAlignment="1">
      <alignment horizontal="center"/>
    </xf>
    <xf numFmtId="1" fontId="3" fillId="20" borderId="0" xfId="10" applyNumberFormat="1" applyFont="1" applyFill="1" applyBorder="1" applyAlignment="1" applyProtection="1">
      <alignment horizontal="center"/>
    </xf>
    <xf numFmtId="1" fontId="3" fillId="2" borderId="0" xfId="4" applyNumberFormat="1" applyFont="1" applyFill="1" applyBorder="1" applyAlignment="1">
      <alignment horizontal="center"/>
    </xf>
    <xf numFmtId="49" fontId="3" fillId="5" borderId="0" xfId="9" applyNumberFormat="1" applyFont="1" applyFill="1" applyBorder="1" applyAlignment="1" applyProtection="1">
      <alignment horizontal="left"/>
    </xf>
    <xf numFmtId="49" fontId="3" fillId="5" borderId="0" xfId="7" applyNumberFormat="1" applyFont="1" applyFill="1" applyBorder="1" applyAlignment="1">
      <alignment horizontal="center"/>
    </xf>
    <xf numFmtId="49" fontId="3" fillId="13" borderId="0" xfId="7" applyNumberFormat="1" applyFont="1" applyFill="1" applyBorder="1" applyAlignment="1">
      <alignment horizontal="center"/>
    </xf>
    <xf numFmtId="49" fontId="3" fillId="12" borderId="0" xfId="4" applyNumberFormat="1" applyFont="1" applyFill="1" applyBorder="1" applyAlignment="1">
      <alignment horizontal="center"/>
    </xf>
    <xf numFmtId="49" fontId="3" fillId="12" borderId="0" xfId="4" applyNumberFormat="1" applyFont="1" applyFill="1" applyBorder="1" applyAlignment="1">
      <alignment horizontal="left"/>
    </xf>
    <xf numFmtId="9" fontId="10" fillId="4" borderId="20" xfId="11" applyFont="1" applyFill="1" applyBorder="1" applyAlignment="1">
      <alignment horizontal="right"/>
    </xf>
    <xf numFmtId="167" fontId="10" fillId="4" borderId="0" xfId="1" applyNumberFormat="1" applyFont="1" applyFill="1" applyBorder="1" applyAlignment="1">
      <alignment horizontal="right"/>
    </xf>
    <xf numFmtId="167" fontId="10" fillId="4" borderId="8" xfId="1" applyNumberFormat="1" applyFont="1" applyFill="1" applyBorder="1" applyAlignment="1">
      <alignment horizontal="right"/>
    </xf>
    <xf numFmtId="3" fontId="3" fillId="9" borderId="0" xfId="7" applyFont="1" applyFill="1" applyBorder="1" applyAlignment="1" applyProtection="1"/>
    <xf numFmtId="164" fontId="3" fillId="3" borderId="0" xfId="4" applyFont="1" applyFill="1" applyBorder="1" applyAlignment="1"/>
    <xf numFmtId="3" fontId="3" fillId="10" borderId="0" xfId="7" applyFont="1" applyFill="1" applyBorder="1" applyAlignment="1" applyProtection="1"/>
    <xf numFmtId="3" fontId="3" fillId="11" borderId="0" xfId="7" applyFont="1" applyFill="1" applyBorder="1" applyAlignment="1" applyProtection="1"/>
    <xf numFmtId="164" fontId="3" fillId="11" borderId="0" xfId="4" applyFont="1" applyFill="1" applyBorder="1" applyAlignment="1"/>
    <xf numFmtId="3" fontId="3" fillId="9" borderId="0" xfId="7" applyFont="1" applyFill="1" applyBorder="1" applyAlignment="1"/>
    <xf numFmtId="3" fontId="3" fillId="14" borderId="0" xfId="7" applyFont="1" applyFill="1" applyBorder="1" applyAlignment="1"/>
    <xf numFmtId="164" fontId="3" fillId="12" borderId="0" xfId="5" applyFont="1" applyFill="1" applyBorder="1"/>
    <xf numFmtId="3" fontId="3" fillId="10" borderId="0" xfId="7" applyFont="1" applyFill="1" applyBorder="1" applyAlignment="1"/>
    <xf numFmtId="3" fontId="3" fillId="11" borderId="0" xfId="7" applyFont="1" applyFill="1" applyBorder="1" applyAlignment="1"/>
    <xf numFmtId="3" fontId="3" fillId="5" borderId="0" xfId="7" applyFont="1" applyFill="1" applyBorder="1" applyAlignment="1"/>
    <xf numFmtId="1" fontId="3" fillId="21" borderId="0" xfId="10" applyNumberFormat="1" applyFont="1" applyFill="1" applyBorder="1" applyAlignment="1" applyProtection="1">
      <alignment horizontal="center"/>
    </xf>
    <xf numFmtId="49" fontId="3" fillId="2" borderId="0" xfId="9" applyNumberFormat="1" applyFont="1" applyFill="1" applyBorder="1" applyAlignment="1" applyProtection="1">
      <alignment horizontal="left"/>
    </xf>
    <xf numFmtId="3" fontId="3" fillId="0" borderId="26" xfId="0" applyNumberFormat="1" applyFont="1" applyBorder="1" applyAlignment="1">
      <alignment horizontal="center"/>
    </xf>
    <xf numFmtId="3" fontId="3" fillId="0" borderId="27" xfId="0" applyNumberFormat="1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0" fontId="3" fillId="3" borderId="8" xfId="4" applyNumberFormat="1" applyFont="1" applyFill="1" applyBorder="1" applyAlignment="1">
      <alignment horizontal="center"/>
    </xf>
    <xf numFmtId="164" fontId="3" fillId="0" borderId="8" xfId="0" applyFont="1" applyBorder="1" applyAlignment="1">
      <alignment horizontal="left"/>
    </xf>
    <xf numFmtId="167" fontId="3" fillId="0" borderId="8" xfId="0" applyNumberFormat="1" applyFont="1" applyBorder="1"/>
    <xf numFmtId="167" fontId="3" fillId="0" borderId="0" xfId="0" applyNumberFormat="1" applyFont="1" applyBorder="1"/>
    <xf numFmtId="167" fontId="3" fillId="0" borderId="20" xfId="0" applyNumberFormat="1" applyFont="1" applyBorder="1"/>
    <xf numFmtId="9" fontId="4" fillId="0" borderId="7" xfId="0" applyNumberFormat="1" applyFont="1" applyBorder="1"/>
    <xf numFmtId="9" fontId="4" fillId="0" borderId="4" xfId="0" applyNumberFormat="1" applyFont="1" applyBorder="1"/>
    <xf numFmtId="9" fontId="4" fillId="0" borderId="19" xfId="0" applyNumberFormat="1" applyFont="1" applyBorder="1"/>
    <xf numFmtId="9" fontId="4" fillId="0" borderId="0" xfId="11" applyFont="1"/>
    <xf numFmtId="164" fontId="3" fillId="0" borderId="7" xfId="0" applyFont="1" applyBorder="1" applyAlignment="1">
      <alignment horizontal="left"/>
    </xf>
    <xf numFmtId="1" fontId="3" fillId="0" borderId="0" xfId="4" applyNumberFormat="1" applyFont="1" applyFill="1" applyBorder="1" applyAlignment="1">
      <alignment horizontal="center"/>
    </xf>
    <xf numFmtId="3" fontId="3" fillId="0" borderId="0" xfId="4" applyNumberFormat="1" applyFont="1" applyFill="1" applyBorder="1"/>
    <xf numFmtId="164" fontId="10" fillId="0" borderId="0" xfId="0" applyFont="1" applyFill="1" applyBorder="1" applyAlignment="1">
      <alignment horizontal="right"/>
    </xf>
    <xf numFmtId="9" fontId="3" fillId="0" borderId="0" xfId="11" applyFont="1" applyFill="1" applyBorder="1" applyAlignment="1">
      <alignment horizontal="right"/>
    </xf>
    <xf numFmtId="167" fontId="10" fillId="0" borderId="0" xfId="1" applyNumberFormat="1" applyFont="1" applyFill="1" applyBorder="1" applyAlignment="1">
      <alignment horizontal="right"/>
    </xf>
    <xf numFmtId="1" fontId="15" fillId="0" borderId="0" xfId="4" applyNumberFormat="1" applyFont="1" applyFill="1" applyBorder="1" applyAlignment="1">
      <alignment horizontal="center"/>
    </xf>
    <xf numFmtId="49" fontId="3" fillId="0" borderId="0" xfId="5" applyNumberFormat="1" applyFont="1" applyFill="1" applyBorder="1" applyAlignment="1">
      <alignment horizontal="center"/>
    </xf>
    <xf numFmtId="49" fontId="3" fillId="0" borderId="0" xfId="5" applyNumberFormat="1" applyFont="1" applyFill="1" applyBorder="1" applyAlignment="1">
      <alignment horizontal="left"/>
    </xf>
    <xf numFmtId="164" fontId="3" fillId="0" borderId="0" xfId="6" applyFont="1" applyFill="1" applyBorder="1"/>
    <xf numFmtId="164" fontId="3" fillId="0" borderId="0" xfId="5" applyFont="1" applyFill="1" applyBorder="1"/>
    <xf numFmtId="49" fontId="3" fillId="0" borderId="0" xfId="9" applyNumberFormat="1" applyFont="1" applyFill="1" applyBorder="1" applyAlignment="1" applyProtection="1">
      <alignment horizontal="left"/>
    </xf>
    <xf numFmtId="164" fontId="15" fillId="0" borderId="0" xfId="5" applyFont="1" applyFill="1" applyBorder="1"/>
    <xf numFmtId="164" fontId="17" fillId="0" borderId="4" xfId="0" applyFont="1" applyFill="1" applyBorder="1" applyAlignment="1">
      <alignment horizontal="center" wrapText="1"/>
    </xf>
    <xf numFmtId="164" fontId="10" fillId="0" borderId="3" xfId="0" applyFont="1" applyFill="1" applyBorder="1" applyAlignment="1">
      <alignment horizontal="center"/>
    </xf>
    <xf numFmtId="164" fontId="4" fillId="13" borderId="0" xfId="0" applyFont="1" applyFill="1" applyBorder="1" applyAlignment="1">
      <alignment horizontal="left"/>
    </xf>
    <xf numFmtId="49" fontId="10" fillId="13" borderId="21" xfId="0" applyNumberFormat="1" applyFont="1" applyFill="1" applyBorder="1" applyAlignment="1">
      <alignment horizontal="left"/>
    </xf>
    <xf numFmtId="164" fontId="10" fillId="13" borderId="29" xfId="0" applyFont="1" applyFill="1" applyBorder="1" applyAlignment="1">
      <alignment horizontal="left"/>
    </xf>
    <xf numFmtId="49" fontId="4" fillId="13" borderId="29" xfId="0" applyNumberFormat="1" applyFont="1" applyFill="1" applyBorder="1" applyAlignment="1">
      <alignment horizontal="left"/>
    </xf>
    <xf numFmtId="164" fontId="4" fillId="13" borderId="29" xfId="0" applyFont="1" applyFill="1" applyBorder="1" applyAlignment="1">
      <alignment horizontal="left"/>
    </xf>
    <xf numFmtId="49" fontId="4" fillId="0" borderId="29" xfId="0" applyNumberFormat="1" applyFont="1" applyFill="1" applyBorder="1" applyAlignment="1">
      <alignment horizontal="left"/>
    </xf>
    <xf numFmtId="164" fontId="3" fillId="3" borderId="15" xfId="0" applyFont="1" applyFill="1" applyBorder="1" applyAlignment="1">
      <alignment horizontal="center"/>
    </xf>
    <xf numFmtId="164" fontId="10" fillId="0" borderId="15" xfId="0" applyFont="1" applyFill="1" applyBorder="1" applyAlignment="1">
      <alignment horizontal="center"/>
    </xf>
    <xf numFmtId="164" fontId="3" fillId="13" borderId="0" xfId="0" applyFont="1" applyFill="1" applyAlignment="1">
      <alignment horizontal="left"/>
    </xf>
    <xf numFmtId="49" fontId="14" fillId="13" borderId="21" xfId="0" applyNumberFormat="1" applyFont="1" applyFill="1" applyBorder="1" applyAlignment="1">
      <alignment horizontal="left"/>
    </xf>
    <xf numFmtId="164" fontId="14" fillId="13" borderId="0" xfId="0" applyFont="1" applyFill="1" applyBorder="1" applyAlignment="1">
      <alignment horizontal="left"/>
    </xf>
    <xf numFmtId="49" fontId="3" fillId="13" borderId="0" xfId="0" applyNumberFormat="1" applyFont="1" applyFill="1" applyBorder="1" applyAlignment="1">
      <alignment horizontal="left"/>
    </xf>
    <xf numFmtId="164" fontId="3" fillId="13" borderId="0" xfId="0" applyFont="1" applyFill="1" applyBorder="1" applyAlignment="1">
      <alignment horizontal="centerContinuous"/>
    </xf>
    <xf numFmtId="49" fontId="14" fillId="0" borderId="0" xfId="0" applyNumberFormat="1" applyFont="1" applyFill="1" applyBorder="1" applyAlignment="1">
      <alignment horizontal="left"/>
    </xf>
    <xf numFmtId="169" fontId="13" fillId="0" borderId="8" xfId="0" applyNumberFormat="1" applyFont="1" applyFill="1" applyBorder="1" applyAlignment="1">
      <alignment horizontal="center"/>
    </xf>
    <xf numFmtId="169" fontId="3" fillId="3" borderId="15" xfId="0" applyNumberFormat="1" applyFont="1" applyFill="1" applyBorder="1" applyAlignment="1">
      <alignment horizontal="center"/>
    </xf>
    <xf numFmtId="169" fontId="10" fillId="0" borderId="8" xfId="0" applyNumberFormat="1" applyFont="1" applyFill="1" applyBorder="1" applyAlignment="1">
      <alignment horizontal="center"/>
    </xf>
    <xf numFmtId="49" fontId="3" fillId="13" borderId="0" xfId="0" applyNumberFormat="1" applyFont="1" applyFill="1" applyBorder="1" applyAlignment="1">
      <alignment horizontal="center"/>
    </xf>
    <xf numFmtId="164" fontId="3" fillId="13" borderId="0" xfId="0" applyFont="1" applyFill="1" applyBorder="1"/>
    <xf numFmtId="164" fontId="3" fillId="13" borderId="4" xfId="0" applyFont="1" applyFill="1" applyBorder="1" applyAlignment="1">
      <alignment horizontal="left"/>
    </xf>
    <xf numFmtId="49" fontId="14" fillId="13" borderId="4" xfId="0" applyNumberFormat="1" applyFont="1" applyFill="1" applyBorder="1" applyAlignment="1">
      <alignment horizontal="left"/>
    </xf>
    <xf numFmtId="164" fontId="14" fillId="13" borderId="4" xfId="0" applyFont="1" applyFill="1" applyBorder="1" applyAlignment="1">
      <alignment horizontal="left"/>
    </xf>
    <xf numFmtId="49" fontId="3" fillId="13" borderId="4" xfId="0" applyNumberFormat="1" applyFont="1" applyFill="1" applyBorder="1" applyAlignment="1">
      <alignment horizontal="center"/>
    </xf>
    <xf numFmtId="164" fontId="3" fillId="13" borderId="4" xfId="0" applyFont="1" applyFill="1" applyBorder="1"/>
    <xf numFmtId="49" fontId="14" fillId="0" borderId="4" xfId="0" applyNumberFormat="1" applyFont="1" applyFill="1" applyBorder="1" applyAlignment="1">
      <alignment horizontal="left"/>
    </xf>
    <xf numFmtId="49" fontId="10" fillId="0" borderId="8" xfId="0" applyNumberFormat="1" applyFont="1" applyBorder="1" applyAlignment="1">
      <alignment horizontal="center"/>
    </xf>
    <xf numFmtId="49" fontId="3" fillId="3" borderId="8" xfId="0" applyNumberFormat="1" applyFont="1" applyFill="1" applyBorder="1" applyAlignment="1">
      <alignment horizontal="center"/>
    </xf>
    <xf numFmtId="3" fontId="3" fillId="3" borderId="17" xfId="4" applyNumberFormat="1" applyFont="1" applyFill="1" applyBorder="1" applyAlignment="1">
      <alignment horizontal="center"/>
    </xf>
    <xf numFmtId="49" fontId="25" fillId="8" borderId="3" xfId="0" applyNumberFormat="1" applyFont="1" applyFill="1" applyBorder="1" applyAlignment="1">
      <alignment horizontal="center" vertical="center"/>
    </xf>
    <xf numFmtId="49" fontId="25" fillId="8" borderId="3" xfId="0" applyNumberFormat="1" applyFont="1" applyFill="1" applyBorder="1" applyAlignment="1">
      <alignment horizontal="left" vertical="center"/>
    </xf>
    <xf numFmtId="164" fontId="25" fillId="3" borderId="3" xfId="0" applyFont="1" applyFill="1" applyBorder="1" applyAlignment="1">
      <alignment horizontal="centerContinuous" vertical="center" wrapText="1"/>
    </xf>
    <xf numFmtId="164" fontId="26" fillId="0" borderId="6" xfId="0" applyFont="1" applyFill="1" applyBorder="1" applyAlignment="1">
      <alignment horizontal="centerContinuous" vertical="center" wrapText="1" shrinkToFit="1"/>
    </xf>
    <xf numFmtId="164" fontId="25" fillId="3" borderId="6" xfId="0" applyFont="1" applyFill="1" applyBorder="1" applyAlignment="1">
      <alignment horizontal="centerContinuous" vertical="center" wrapText="1"/>
    </xf>
    <xf numFmtId="164" fontId="27" fillId="2" borderId="6" xfId="5" applyFont="1" applyFill="1" applyBorder="1" applyAlignment="1">
      <alignment horizontal="center" vertical="center"/>
    </xf>
    <xf numFmtId="164" fontId="27" fillId="4" borderId="6" xfId="5" applyFont="1" applyFill="1" applyBorder="1" applyAlignment="1">
      <alignment horizontal="center" vertical="center"/>
    </xf>
    <xf numFmtId="164" fontId="27" fillId="2" borderId="6" xfId="0" applyFont="1" applyFill="1" applyBorder="1" applyAlignment="1">
      <alignment horizontal="center" vertical="center"/>
    </xf>
    <xf numFmtId="164" fontId="26" fillId="4" borderId="6" xfId="0" applyFont="1" applyFill="1" applyBorder="1" applyAlignment="1">
      <alignment horizontal="center" vertical="center"/>
    </xf>
    <xf numFmtId="49" fontId="26" fillId="0" borderId="6" xfId="2" applyNumberFormat="1" applyFont="1" applyFill="1" applyBorder="1" applyAlignment="1">
      <alignment horizontal="center" vertical="center"/>
    </xf>
    <xf numFmtId="164" fontId="26" fillId="0" borderId="3" xfId="2" applyFont="1" applyFill="1" applyBorder="1" applyAlignment="1">
      <alignment horizontal="right" vertical="center" wrapText="1"/>
    </xf>
    <xf numFmtId="49" fontId="25" fillId="3" borderId="6" xfId="2" applyNumberFormat="1" applyFont="1" applyFill="1" applyBorder="1" applyAlignment="1">
      <alignment horizontal="center" vertical="center"/>
    </xf>
    <xf numFmtId="164" fontId="25" fillId="3" borderId="3" xfId="2" applyFont="1" applyFill="1" applyBorder="1" applyAlignment="1">
      <alignment horizontal="right" vertical="center"/>
    </xf>
    <xf numFmtId="164" fontId="26" fillId="0" borderId="3" xfId="2" applyFont="1" applyFill="1" applyBorder="1" applyAlignment="1">
      <alignment horizontal="right" vertical="center"/>
    </xf>
    <xf numFmtId="164" fontId="25" fillId="3" borderId="18" xfId="0" applyFont="1" applyFill="1" applyBorder="1" applyAlignment="1">
      <alignment horizontal="center" vertical="center" wrapText="1"/>
    </xf>
    <xf numFmtId="49" fontId="26" fillId="0" borderId="6" xfId="0" applyNumberFormat="1" applyFont="1" applyBorder="1" applyAlignment="1">
      <alignment horizontal="center" vertical="center"/>
    </xf>
    <xf numFmtId="164" fontId="26" fillId="0" borderId="18" xfId="0" applyFont="1" applyFill="1" applyBorder="1" applyAlignment="1">
      <alignment horizontal="center" vertical="center" wrapText="1" shrinkToFit="1"/>
    </xf>
    <xf numFmtId="49" fontId="25" fillId="3" borderId="6" xfId="0" applyNumberFormat="1" applyFont="1" applyFill="1" applyBorder="1" applyAlignment="1">
      <alignment horizontal="center" vertical="center"/>
    </xf>
    <xf numFmtId="164" fontId="25" fillId="3" borderId="3" xfId="0" applyFont="1" applyFill="1" applyBorder="1" applyAlignment="1">
      <alignment horizontal="right" vertical="center"/>
    </xf>
    <xf numFmtId="164" fontId="26" fillId="0" borderId="3" xfId="0" applyFont="1" applyBorder="1" applyAlignment="1">
      <alignment horizontal="right" vertical="center"/>
    </xf>
    <xf numFmtId="164" fontId="25" fillId="2" borderId="6" xfId="0" applyFont="1" applyFill="1" applyBorder="1" applyAlignment="1">
      <alignment horizontal="center" vertical="center"/>
    </xf>
    <xf numFmtId="164" fontId="25" fillId="2" borderId="3" xfId="0" applyFont="1" applyFill="1" applyBorder="1" applyAlignment="1">
      <alignment horizontal="center" vertical="center"/>
    </xf>
    <xf numFmtId="164" fontId="26" fillId="4" borderId="3" xfId="0" applyFont="1" applyFill="1" applyBorder="1" applyAlignment="1">
      <alignment horizontal="center" vertical="center"/>
    </xf>
    <xf numFmtId="164" fontId="26" fillId="0" borderId="3" xfId="0" applyFont="1" applyBorder="1" applyAlignment="1">
      <alignment horizontal="center" vertical="center" wrapText="1"/>
    </xf>
    <xf numFmtId="164" fontId="27" fillId="2" borderId="3" xfId="0" applyFont="1" applyFill="1" applyBorder="1" applyAlignment="1">
      <alignment horizontal="center" vertical="center"/>
    </xf>
    <xf numFmtId="3" fontId="3" fillId="2" borderId="30" xfId="4" applyNumberFormat="1" applyFont="1" applyFill="1" applyBorder="1" applyAlignment="1" applyProtection="1">
      <alignment horizontal="center"/>
      <protection locked="0"/>
    </xf>
    <xf numFmtId="164" fontId="25" fillId="3" borderId="6" xfId="0" applyFont="1" applyFill="1" applyBorder="1" applyAlignment="1">
      <alignment horizontal="center" vertical="center"/>
    </xf>
    <xf numFmtId="164" fontId="28" fillId="3" borderId="6" xfId="0" applyFont="1" applyFill="1" applyBorder="1" applyAlignment="1">
      <alignment horizontal="centerContinuous" vertical="center" wrapText="1"/>
    </xf>
    <xf numFmtId="164" fontId="25" fillId="0" borderId="3" xfId="0" applyFont="1" applyBorder="1" applyAlignment="1">
      <alignment vertical="center"/>
    </xf>
    <xf numFmtId="49" fontId="3" fillId="7" borderId="0" xfId="0" applyNumberFormat="1" applyFont="1" applyFill="1" applyBorder="1" applyAlignment="1">
      <alignment horizontal="center" wrapText="1"/>
    </xf>
    <xf numFmtId="3" fontId="3" fillId="3" borderId="0" xfId="2" applyNumberFormat="1" applyFont="1" applyFill="1" applyBorder="1"/>
    <xf numFmtId="3" fontId="8" fillId="0" borderId="8" xfId="0" applyNumberFormat="1" applyFont="1" applyBorder="1" applyAlignment="1">
      <alignment vertical="top"/>
    </xf>
    <xf numFmtId="164" fontId="10" fillId="0" borderId="8" xfId="0" applyNumberFormat="1" applyFont="1" applyFill="1" applyBorder="1" applyAlignment="1">
      <alignment horizontal="right"/>
    </xf>
    <xf numFmtId="164" fontId="3" fillId="0" borderId="8" xfId="0" applyNumberFormat="1" applyFont="1" applyBorder="1"/>
    <xf numFmtId="164" fontId="3" fillId="0" borderId="0" xfId="0" applyNumberFormat="1" applyFont="1" applyBorder="1"/>
    <xf numFmtId="164" fontId="10" fillId="4" borderId="8" xfId="0" applyNumberFormat="1" applyFont="1" applyFill="1" applyBorder="1" applyAlignment="1">
      <alignment horizontal="right"/>
    </xf>
    <xf numFmtId="164" fontId="10" fillId="4" borderId="0" xfId="0" applyNumberFormat="1" applyFont="1" applyFill="1" applyBorder="1" applyAlignment="1">
      <alignment horizontal="right"/>
    </xf>
    <xf numFmtId="3" fontId="3" fillId="3" borderId="0" xfId="4" applyNumberFormat="1" applyFont="1" applyFill="1" applyBorder="1" applyAlignment="1">
      <alignment horizontal="center"/>
    </xf>
    <xf numFmtId="164" fontId="10" fillId="13" borderId="8" xfId="0" applyNumberFormat="1" applyFont="1" applyFill="1" applyBorder="1" applyAlignment="1">
      <alignment horizontal="right"/>
    </xf>
    <xf numFmtId="3" fontId="3" fillId="13" borderId="8" xfId="5" applyNumberFormat="1" applyFont="1" applyFill="1" applyBorder="1"/>
    <xf numFmtId="3" fontId="10" fillId="0" borderId="15" xfId="4" applyNumberFormat="1" applyFont="1" applyBorder="1"/>
    <xf numFmtId="3" fontId="8" fillId="0" borderId="0" xfId="0" applyNumberFormat="1" applyFont="1" applyAlignment="1">
      <alignment vertical="top"/>
    </xf>
    <xf numFmtId="164" fontId="10" fillId="0" borderId="0" xfId="0" applyNumberFormat="1" applyFont="1" applyFill="1" applyAlignment="1">
      <alignment horizontal="right"/>
    </xf>
    <xf numFmtId="3" fontId="10" fillId="22" borderId="8" xfId="4" applyNumberFormat="1" applyFont="1" applyFill="1" applyBorder="1"/>
    <xf numFmtId="3" fontId="10" fillId="22" borderId="0" xfId="4" applyNumberFormat="1" applyFont="1" applyFill="1" applyBorder="1"/>
    <xf numFmtId="0" fontId="22" fillId="12" borderId="0" xfId="8" applyNumberFormat="1" applyFont="1" applyFill="1" applyBorder="1" applyAlignment="1"/>
    <xf numFmtId="49" fontId="22" fillId="12" borderId="0" xfId="4" applyNumberFormat="1" applyFont="1" applyFill="1" applyBorder="1" applyAlignment="1">
      <alignment horizontal="center"/>
    </xf>
    <xf numFmtId="1" fontId="22" fillId="12" borderId="0" xfId="4" applyNumberFormat="1" applyFont="1" applyFill="1" applyBorder="1" applyAlignment="1">
      <alignment horizontal="center"/>
    </xf>
    <xf numFmtId="49" fontId="22" fillId="5" borderId="0" xfId="4" applyNumberFormat="1" applyFont="1" applyFill="1" applyBorder="1" applyAlignment="1">
      <alignment horizontal="left"/>
    </xf>
    <xf numFmtId="49" fontId="22" fillId="5" borderId="0" xfId="4" applyNumberFormat="1" applyFont="1" applyFill="1" applyBorder="1" applyAlignment="1">
      <alignment horizontal="center"/>
    </xf>
    <xf numFmtId="1" fontId="22" fillId="5" borderId="0" xfId="4" applyNumberFormat="1" applyFont="1" applyFill="1" applyBorder="1" applyAlignment="1">
      <alignment horizontal="center"/>
    </xf>
    <xf numFmtId="0" fontId="10" fillId="0" borderId="8" xfId="4" quotePrefix="1" applyNumberFormat="1" applyFont="1" applyBorder="1"/>
    <xf numFmtId="3" fontId="22" fillId="10" borderId="0" xfId="7" applyFont="1" applyFill="1" applyBorder="1" applyAlignment="1" applyProtection="1"/>
    <xf numFmtId="49" fontId="22" fillId="10" borderId="0" xfId="4" applyNumberFormat="1" applyFont="1" applyFill="1" applyBorder="1" applyAlignment="1">
      <alignment horizontal="center"/>
    </xf>
    <xf numFmtId="1" fontId="22" fillId="10" borderId="0" xfId="4" applyNumberFormat="1" applyFont="1" applyFill="1" applyBorder="1" applyAlignment="1">
      <alignment horizontal="center"/>
    </xf>
    <xf numFmtId="1" fontId="3" fillId="13" borderId="8" xfId="4" applyNumberFormat="1" applyFont="1" applyFill="1" applyBorder="1"/>
    <xf numFmtId="49" fontId="3" fillId="11" borderId="8" xfId="4" applyNumberFormat="1" applyFont="1" applyFill="1" applyBorder="1" applyAlignment="1">
      <alignment horizontal="center"/>
    </xf>
    <xf numFmtId="49" fontId="3" fillId="9" borderId="8" xfId="5" applyNumberFormat="1" applyFont="1" applyFill="1" applyBorder="1" applyAlignment="1">
      <alignment horizontal="center"/>
    </xf>
    <xf numFmtId="49" fontId="3" fillId="9" borderId="8" xfId="7" applyNumberFormat="1" applyFont="1" applyFill="1" applyBorder="1" applyAlignment="1">
      <alignment horizontal="center"/>
    </xf>
    <xf numFmtId="49" fontId="3" fillId="3" borderId="8" xfId="5" applyNumberFormat="1" applyFont="1" applyFill="1" applyBorder="1" applyAlignment="1">
      <alignment horizontal="center"/>
    </xf>
    <xf numFmtId="49" fontId="3" fillId="3" borderId="8" xfId="7" applyNumberFormat="1" applyFont="1" applyFill="1" applyBorder="1" applyAlignment="1">
      <alignment horizontal="center"/>
    </xf>
    <xf numFmtId="49" fontId="3" fillId="14" borderId="8" xfId="5" applyNumberFormat="1" applyFont="1" applyFill="1" applyBorder="1" applyAlignment="1">
      <alignment horizontal="center"/>
    </xf>
    <xf numFmtId="3" fontId="3" fillId="0" borderId="8" xfId="14" applyNumberFormat="1" applyFont="1" applyBorder="1"/>
    <xf numFmtId="3" fontId="3" fillId="0" borderId="8" xfId="15" applyNumberFormat="1" applyFont="1" applyBorder="1"/>
    <xf numFmtId="3" fontId="3" fillId="0" borderId="8" xfId="16" applyNumberFormat="1" applyFont="1" applyBorder="1"/>
    <xf numFmtId="49" fontId="22" fillId="14" borderId="0" xfId="5" applyNumberFormat="1" applyFont="1" applyFill="1" applyBorder="1" applyAlignment="1">
      <alignment horizontal="left"/>
    </xf>
    <xf numFmtId="49" fontId="22" fillId="14" borderId="0" xfId="5" applyNumberFormat="1" applyFont="1" applyFill="1" applyBorder="1" applyAlignment="1">
      <alignment horizontal="center"/>
    </xf>
    <xf numFmtId="1" fontId="22" fillId="14" borderId="0" xfId="4" applyNumberFormat="1" applyFont="1" applyFill="1" applyBorder="1" applyAlignment="1">
      <alignment horizontal="center"/>
    </xf>
    <xf numFmtId="49" fontId="3" fillId="14" borderId="8" xfId="7" applyNumberFormat="1" applyFont="1" applyFill="1" applyBorder="1" applyAlignment="1">
      <alignment horizontal="center"/>
    </xf>
    <xf numFmtId="49" fontId="3" fillId="12" borderId="8" xfId="5" applyNumberFormat="1" applyFont="1" applyFill="1" applyBorder="1" applyAlignment="1">
      <alignment horizontal="center"/>
    </xf>
    <xf numFmtId="3" fontId="10" fillId="0" borderId="8" xfId="4" applyNumberFormat="1" applyFont="1" applyFill="1" applyBorder="1" applyAlignment="1">
      <alignment horizontal="center"/>
    </xf>
    <xf numFmtId="49" fontId="3" fillId="12" borderId="8" xfId="7" applyNumberFormat="1" applyFont="1" applyFill="1" applyBorder="1" applyAlignment="1">
      <alignment horizontal="center"/>
    </xf>
    <xf numFmtId="49" fontId="3" fillId="5" borderId="8" xfId="5" applyNumberFormat="1" applyFont="1" applyFill="1" applyBorder="1" applyAlignment="1">
      <alignment horizontal="center"/>
    </xf>
    <xf numFmtId="164" fontId="10" fillId="0" borderId="8" xfId="50" applyFont="1" applyFill="1" applyBorder="1" applyAlignment="1">
      <alignment horizontal="right"/>
    </xf>
    <xf numFmtId="9" fontId="3" fillId="2" borderId="8" xfId="51" applyFont="1" applyFill="1" applyBorder="1" applyAlignment="1" applyProtection="1">
      <alignment horizontal="right"/>
      <protection locked="0"/>
    </xf>
    <xf numFmtId="9" fontId="10" fillId="4" borderId="8" xfId="51" applyFont="1" applyFill="1" applyBorder="1" applyAlignment="1" applyProtection="1">
      <alignment horizontal="right"/>
      <protection locked="0"/>
    </xf>
    <xf numFmtId="9" fontId="3" fillId="2" borderId="8" xfId="51" applyFont="1" applyFill="1" applyBorder="1"/>
    <xf numFmtId="9" fontId="10" fillId="4" borderId="8" xfId="51" applyFont="1" applyFill="1" applyBorder="1"/>
    <xf numFmtId="164" fontId="10" fillId="4" borderId="8" xfId="50" applyFont="1" applyFill="1" applyBorder="1" applyAlignment="1">
      <alignment horizontal="right"/>
    </xf>
    <xf numFmtId="164" fontId="10" fillId="4" borderId="0" xfId="50" applyFont="1" applyFill="1" applyBorder="1" applyAlignment="1">
      <alignment horizontal="right"/>
    </xf>
    <xf numFmtId="9" fontId="3" fillId="2" borderId="0" xfId="51" applyFont="1" applyFill="1" applyBorder="1" applyAlignment="1">
      <alignment horizontal="right"/>
    </xf>
    <xf numFmtId="9" fontId="10" fillId="4" borderId="20" xfId="51" applyFont="1" applyFill="1" applyBorder="1" applyAlignment="1">
      <alignment horizontal="right"/>
    </xf>
    <xf numFmtId="167" fontId="10" fillId="4" borderId="8" xfId="52" applyNumberFormat="1" applyFont="1" applyFill="1" applyBorder="1" applyAlignment="1">
      <alignment horizontal="right"/>
    </xf>
    <xf numFmtId="167" fontId="10" fillId="4" borderId="0" xfId="52" applyNumberFormat="1" applyFont="1" applyFill="1" applyBorder="1" applyAlignment="1">
      <alignment horizontal="right"/>
    </xf>
    <xf numFmtId="164" fontId="3" fillId="0" borderId="0" xfId="50" applyFont="1"/>
    <xf numFmtId="49" fontId="22" fillId="5" borderId="0" xfId="5" applyNumberFormat="1" applyFont="1" applyFill="1" applyBorder="1" applyAlignment="1">
      <alignment horizontal="left"/>
    </xf>
    <xf numFmtId="49" fontId="22" fillId="5" borderId="0" xfId="5" applyNumberFormat="1" applyFont="1" applyFill="1" applyBorder="1" applyAlignment="1">
      <alignment horizontal="center"/>
    </xf>
    <xf numFmtId="164" fontId="3" fillId="0" borderId="0" xfId="50" applyFont="1" applyBorder="1"/>
    <xf numFmtId="49" fontId="3" fillId="10" borderId="8" xfId="7" applyNumberFormat="1" applyFont="1" applyFill="1" applyBorder="1" applyAlignment="1">
      <alignment horizontal="center"/>
    </xf>
    <xf numFmtId="49" fontId="3" fillId="10" borderId="8" xfId="5" applyNumberFormat="1" applyFont="1" applyFill="1" applyBorder="1" applyAlignment="1">
      <alignment horizontal="center"/>
    </xf>
    <xf numFmtId="49" fontId="3" fillId="2" borderId="8" xfId="5" applyNumberFormat="1" applyFont="1" applyFill="1" applyBorder="1" applyAlignment="1">
      <alignment horizontal="center"/>
    </xf>
    <xf numFmtId="49" fontId="3" fillId="11" borderId="8" xfId="5" applyNumberFormat="1" applyFont="1" applyFill="1" applyBorder="1" applyAlignment="1">
      <alignment horizontal="center"/>
    </xf>
    <xf numFmtId="49" fontId="3" fillId="11" borderId="8" xfId="7" applyNumberFormat="1" applyFont="1" applyFill="1" applyBorder="1" applyAlignment="1">
      <alignment horizontal="center"/>
    </xf>
    <xf numFmtId="3" fontId="3" fillId="7" borderId="8" xfId="2" applyNumberFormat="1" applyFont="1" applyFill="1" applyBorder="1"/>
    <xf numFmtId="49" fontId="10" fillId="0" borderId="8" xfId="0" applyNumberFormat="1" applyFont="1" applyFill="1" applyBorder="1" applyAlignment="1">
      <alignment horizontal="center"/>
    </xf>
    <xf numFmtId="3" fontId="10" fillId="7" borderId="0" xfId="4" applyNumberFormat="1" applyFont="1" applyFill="1" applyBorder="1"/>
    <xf numFmtId="164" fontId="10" fillId="7" borderId="8" xfId="0" applyFont="1" applyFill="1" applyBorder="1" applyAlignment="1">
      <alignment horizontal="right"/>
    </xf>
    <xf numFmtId="3" fontId="3" fillId="7" borderId="8" xfId="4" applyNumberFormat="1" applyFont="1" applyFill="1" applyBorder="1" applyAlignment="1">
      <alignment horizontal="right"/>
    </xf>
    <xf numFmtId="3" fontId="3" fillId="7" borderId="8" xfId="5" applyNumberFormat="1" applyFont="1" applyFill="1" applyBorder="1"/>
    <xf numFmtId="3" fontId="3" fillId="14" borderId="8" xfId="4" applyNumberFormat="1" applyFont="1" applyFill="1" applyBorder="1" applyAlignment="1">
      <alignment horizontal="right"/>
    </xf>
    <xf numFmtId="3" fontId="3" fillId="3" borderId="0" xfId="5" applyNumberFormat="1" applyFont="1" applyFill="1" applyBorder="1"/>
    <xf numFmtId="3" fontId="10" fillId="0" borderId="21" xfId="4" applyNumberFormat="1" applyFont="1" applyBorder="1"/>
    <xf numFmtId="164" fontId="22" fillId="3" borderId="0" xfId="5" applyFont="1" applyFill="1" applyBorder="1"/>
    <xf numFmtId="49" fontId="22" fillId="3" borderId="0" xfId="5" applyNumberFormat="1" applyFont="1" applyFill="1" applyBorder="1" applyAlignment="1">
      <alignment horizontal="center"/>
    </xf>
    <xf numFmtId="1" fontId="22" fillId="3" borderId="0" xfId="4" applyNumberFormat="1" applyFont="1" applyFill="1" applyBorder="1" applyAlignment="1">
      <alignment horizontal="center"/>
    </xf>
    <xf numFmtId="164" fontId="10" fillId="0" borderId="15" xfId="0" applyFont="1" applyFill="1" applyBorder="1" applyAlignment="1">
      <alignment horizontal="right"/>
    </xf>
    <xf numFmtId="3" fontId="3" fillId="3" borderId="20" xfId="4" applyNumberFormat="1" applyFont="1" applyFill="1" applyBorder="1"/>
    <xf numFmtId="49" fontId="10" fillId="0" borderId="0" xfId="4" applyNumberFormat="1" applyFont="1" applyFill="1" applyBorder="1"/>
    <xf numFmtId="3" fontId="10" fillId="0" borderId="20" xfId="4" applyNumberFormat="1" applyFont="1" applyFill="1" applyBorder="1"/>
    <xf numFmtId="49" fontId="22" fillId="3" borderId="0" xfId="52" applyNumberFormat="1" applyFont="1" applyFill="1" applyBorder="1" applyAlignment="1">
      <alignment horizontal="center"/>
    </xf>
    <xf numFmtId="49" fontId="22" fillId="3" borderId="0" xfId="52" applyNumberFormat="1" applyFont="1" applyFill="1" applyBorder="1" applyAlignment="1">
      <alignment horizontal="left"/>
    </xf>
    <xf numFmtId="3" fontId="22" fillId="14" borderId="0" xfId="7" applyFont="1" applyFill="1" applyBorder="1" applyAlignment="1"/>
    <xf numFmtId="0" fontId="10" fillId="22" borderId="8" xfId="4" applyNumberFormat="1" applyFont="1" applyFill="1" applyBorder="1"/>
    <xf numFmtId="49" fontId="22" fillId="12" borderId="0" xfId="5" applyNumberFormat="1" applyFont="1" applyFill="1" applyBorder="1" applyAlignment="1">
      <alignment horizontal="left"/>
    </xf>
    <xf numFmtId="49" fontId="22" fillId="12" borderId="0" xfId="5" applyNumberFormat="1" applyFont="1" applyFill="1" applyBorder="1" applyAlignment="1">
      <alignment horizontal="center"/>
    </xf>
    <xf numFmtId="167" fontId="10" fillId="0" borderId="15" xfId="1" applyNumberFormat="1" applyFont="1" applyFill="1" applyBorder="1" applyAlignment="1">
      <alignment horizontal="right"/>
    </xf>
    <xf numFmtId="164" fontId="10" fillId="13" borderId="15" xfId="0" applyFont="1" applyFill="1" applyBorder="1" applyAlignment="1">
      <alignment horizontal="right"/>
    </xf>
    <xf numFmtId="3" fontId="10" fillId="12" borderId="0" xfId="4" applyNumberFormat="1" applyFont="1" applyFill="1" applyBorder="1"/>
    <xf numFmtId="49" fontId="10" fillId="12" borderId="8" xfId="0" applyNumberFormat="1" applyFont="1" applyFill="1" applyBorder="1" applyAlignment="1">
      <alignment horizontal="center"/>
    </xf>
    <xf numFmtId="164" fontId="10" fillId="12" borderId="0" xfId="0" applyFont="1" applyFill="1" applyBorder="1"/>
    <xf numFmtId="0" fontId="8" fillId="0" borderId="0" xfId="0" applyNumberFormat="1" applyFont="1" applyBorder="1"/>
    <xf numFmtId="0" fontId="8" fillId="0" borderId="0" xfId="0" applyNumberFormat="1" applyFont="1"/>
    <xf numFmtId="0" fontId="8" fillId="0" borderId="8" xfId="0" applyNumberFormat="1" applyFont="1" applyBorder="1"/>
    <xf numFmtId="0" fontId="3" fillId="5" borderId="0" xfId="4" applyNumberFormat="1" applyFont="1" applyFill="1" applyBorder="1" applyAlignment="1">
      <alignment horizontal="center"/>
    </xf>
    <xf numFmtId="3" fontId="22" fillId="5" borderId="0" xfId="7" applyFont="1" applyFill="1" applyBorder="1" applyAlignment="1"/>
    <xf numFmtId="49" fontId="3" fillId="5" borderId="8" xfId="7" applyNumberFormat="1" applyFont="1" applyFill="1" applyBorder="1" applyAlignment="1">
      <alignment horizontal="center"/>
    </xf>
    <xf numFmtId="49" fontId="22" fillId="5" borderId="0" xfId="7" applyNumberFormat="1" applyFont="1" applyFill="1" applyBorder="1" applyAlignment="1">
      <alignment horizontal="center"/>
    </xf>
    <xf numFmtId="1" fontId="22" fillId="21" borderId="0" xfId="10" applyNumberFormat="1" applyFont="1" applyFill="1" applyBorder="1" applyAlignment="1" applyProtection="1">
      <alignment horizontal="center"/>
    </xf>
    <xf numFmtId="3" fontId="10" fillId="0" borderId="8" xfId="0" applyNumberFormat="1" applyFont="1" applyFill="1" applyBorder="1" applyAlignment="1">
      <alignment horizontal="right"/>
    </xf>
    <xf numFmtId="3" fontId="10" fillId="0" borderId="8" xfId="4" quotePrefix="1" applyNumberFormat="1" applyFont="1" applyBorder="1" applyAlignment="1">
      <alignment horizontal="right"/>
    </xf>
    <xf numFmtId="49" fontId="22" fillId="2" borderId="0" xfId="5" applyNumberFormat="1" applyFont="1" applyFill="1" applyBorder="1" applyAlignment="1">
      <alignment horizontal="left"/>
    </xf>
    <xf numFmtId="49" fontId="22" fillId="2" borderId="0" xfId="5" applyNumberFormat="1" applyFont="1" applyFill="1" applyBorder="1" applyAlignment="1">
      <alignment horizontal="center"/>
    </xf>
    <xf numFmtId="1" fontId="22" fillId="2" borderId="0" xfId="4" applyNumberFormat="1" applyFont="1" applyFill="1" applyBorder="1" applyAlignment="1">
      <alignment horizontal="center"/>
    </xf>
    <xf numFmtId="164" fontId="22" fillId="2" borderId="0" xfId="5" applyFont="1" applyFill="1" applyBorder="1"/>
    <xf numFmtId="164" fontId="3" fillId="0" borderId="3" xfId="0" applyFont="1" applyFill="1" applyBorder="1" applyAlignment="1">
      <alignment horizontal="center"/>
    </xf>
    <xf numFmtId="49" fontId="13" fillId="0" borderId="4" xfId="0" applyNumberFormat="1" applyFont="1" applyFill="1" applyBorder="1" applyAlignment="1">
      <alignment horizontal="left" vertical="top" wrapText="1"/>
    </xf>
    <xf numFmtId="164" fontId="26" fillId="3" borderId="6" xfId="5" applyFont="1" applyFill="1" applyBorder="1" applyAlignment="1">
      <alignment horizontal="centerContinuous" vertical="center"/>
    </xf>
    <xf numFmtId="164" fontId="26" fillId="2" borderId="6" xfId="5" applyFont="1" applyFill="1" applyBorder="1" applyAlignment="1">
      <alignment horizontal="centerContinuous" vertical="center"/>
    </xf>
    <xf numFmtId="164" fontId="26" fillId="4" borderId="6" xfId="5" applyFont="1" applyFill="1" applyBorder="1" applyAlignment="1">
      <alignment horizontal="centerContinuous" vertical="center"/>
    </xf>
    <xf numFmtId="164" fontId="25" fillId="3" borderId="3" xfId="2" applyFont="1" applyFill="1" applyBorder="1" applyAlignment="1">
      <alignment horizontal="left" vertical="center"/>
    </xf>
    <xf numFmtId="164" fontId="25" fillId="3" borderId="18" xfId="0" applyFont="1" applyFill="1" applyBorder="1" applyAlignment="1">
      <alignment horizontal="left" vertical="center"/>
    </xf>
    <xf numFmtId="1" fontId="30" fillId="0" borderId="0" xfId="4" applyNumberFormat="1" applyFont="1" applyBorder="1"/>
    <xf numFmtId="3" fontId="30" fillId="0" borderId="0" xfId="4" applyNumberFormat="1" applyFont="1" applyBorder="1"/>
    <xf numFmtId="169" fontId="10" fillId="0" borderId="0" xfId="4" applyNumberFormat="1" applyFont="1" applyBorder="1"/>
    <xf numFmtId="169" fontId="30" fillId="0" borderId="0" xfId="4" applyNumberFormat="1" applyFont="1" applyBorder="1"/>
    <xf numFmtId="164" fontId="3" fillId="0" borderId="0" xfId="0" applyFont="1" applyAlignment="1">
      <alignment wrapText="1"/>
    </xf>
    <xf numFmtId="167" fontId="3" fillId="0" borderId="7" xfId="0" applyNumberFormat="1" applyFont="1" applyBorder="1"/>
    <xf numFmtId="167" fontId="3" fillId="0" borderId="4" xfId="0" applyNumberFormat="1" applyFont="1" applyBorder="1"/>
    <xf numFmtId="167" fontId="3" fillId="0" borderId="19" xfId="0" applyNumberFormat="1" applyFont="1" applyBorder="1"/>
    <xf numFmtId="164" fontId="3" fillId="0" borderId="17" xfId="0" applyFont="1" applyBorder="1" applyAlignment="1">
      <alignment wrapText="1"/>
    </xf>
    <xf numFmtId="167" fontId="3" fillId="0" borderId="7" xfId="0" applyNumberFormat="1" applyFont="1" applyBorder="1" applyAlignment="1">
      <alignment wrapText="1"/>
    </xf>
    <xf numFmtId="167" fontId="3" fillId="0" borderId="4" xfId="0" applyNumberFormat="1" applyFont="1" applyBorder="1" applyAlignment="1">
      <alignment wrapText="1"/>
    </xf>
    <xf numFmtId="167" fontId="3" fillId="0" borderId="19" xfId="0" applyNumberFormat="1" applyFont="1" applyBorder="1" applyAlignment="1">
      <alignment wrapText="1"/>
    </xf>
    <xf numFmtId="167" fontId="3" fillId="0" borderId="0" xfId="0" applyNumberFormat="1" applyFont="1"/>
    <xf numFmtId="9" fontId="4" fillId="0" borderId="4" xfId="0" applyNumberFormat="1" applyFont="1" applyBorder="1" applyAlignment="1">
      <alignment horizontal="right"/>
    </xf>
    <xf numFmtId="164" fontId="5" fillId="0" borderId="3" xfId="0" applyFont="1" applyBorder="1" applyAlignment="1">
      <alignment horizontal="centerContinuous" wrapText="1"/>
    </xf>
    <xf numFmtId="164" fontId="5" fillId="0" borderId="25" xfId="0" applyFont="1" applyBorder="1" applyAlignment="1">
      <alignment horizontal="centerContinuous" wrapText="1"/>
    </xf>
    <xf numFmtId="3" fontId="3" fillId="22" borderId="8" xfId="5" applyNumberFormat="1" applyFont="1" applyFill="1" applyBorder="1"/>
    <xf numFmtId="3" fontId="3" fillId="0" borderId="15" xfId="15" applyNumberFormat="1" applyFont="1" applyBorder="1"/>
    <xf numFmtId="164" fontId="10" fillId="0" borderId="15" xfId="50" applyFont="1" applyFill="1" applyBorder="1" applyAlignment="1">
      <alignment horizontal="right"/>
    </xf>
    <xf numFmtId="3" fontId="3" fillId="0" borderId="8" xfId="17" applyNumberFormat="1" applyFont="1" applyBorder="1"/>
    <xf numFmtId="0" fontId="3" fillId="0" borderId="8" xfId="18" applyFont="1" applyBorder="1"/>
    <xf numFmtId="3" fontId="3" fillId="0" borderId="0" xfId="18" applyNumberFormat="1" applyFont="1" applyBorder="1"/>
    <xf numFmtId="0" fontId="3" fillId="0" borderId="8" xfId="19" applyFont="1" applyBorder="1"/>
    <xf numFmtId="3" fontId="3" fillId="0" borderId="0" xfId="19" applyNumberFormat="1" applyFont="1" applyBorder="1"/>
    <xf numFmtId="0" fontId="3" fillId="0" borderId="8" xfId="20" applyFont="1" applyBorder="1"/>
    <xf numFmtId="3" fontId="3" fillId="0" borderId="0" xfId="20" applyNumberFormat="1" applyFont="1" applyBorder="1"/>
    <xf numFmtId="0" fontId="3" fillId="0" borderId="8" xfId="21" applyFont="1" applyBorder="1"/>
    <xf numFmtId="3" fontId="3" fillId="0" borderId="0" xfId="21" applyNumberFormat="1" applyFont="1" applyBorder="1"/>
    <xf numFmtId="0" fontId="3" fillId="0" borderId="8" xfId="22" applyFont="1" applyBorder="1"/>
    <xf numFmtId="3" fontId="3" fillId="0" borderId="0" xfId="22" applyNumberFormat="1" applyFont="1" applyBorder="1"/>
    <xf numFmtId="0" fontId="3" fillId="0" borderId="8" xfId="23" applyFont="1" applyBorder="1"/>
    <xf numFmtId="3" fontId="3" fillId="0" borderId="0" xfId="23" applyNumberFormat="1" applyFont="1" applyBorder="1"/>
    <xf numFmtId="0" fontId="3" fillId="0" borderId="8" xfId="24" applyFont="1" applyBorder="1"/>
    <xf numFmtId="3" fontId="3" fillId="0" borderId="0" xfId="24" applyNumberFormat="1" applyFont="1" applyBorder="1"/>
    <xf numFmtId="0" fontId="3" fillId="0" borderId="8" xfId="25" applyFont="1" applyBorder="1"/>
    <xf numFmtId="3" fontId="3" fillId="0" borderId="0" xfId="25" applyNumberFormat="1" applyFont="1" applyBorder="1"/>
    <xf numFmtId="0" fontId="3" fillId="0" borderId="8" xfId="26" applyFont="1" applyBorder="1"/>
    <xf numFmtId="3" fontId="3" fillId="0" borderId="0" xfId="26" applyNumberFormat="1" applyFont="1" applyBorder="1"/>
    <xf numFmtId="0" fontId="3" fillId="0" borderId="8" xfId="27" applyFont="1" applyBorder="1"/>
    <xf numFmtId="3" fontId="3" fillId="0" borderId="0" xfId="27" applyNumberFormat="1" applyFont="1" applyBorder="1"/>
    <xf numFmtId="3" fontId="3" fillId="0" borderId="8" xfId="28" applyNumberFormat="1" applyFont="1" applyBorder="1"/>
    <xf numFmtId="0" fontId="3" fillId="0" borderId="8" xfId="29" applyFont="1" applyBorder="1"/>
    <xf numFmtId="3" fontId="3" fillId="0" borderId="0" xfId="29" applyNumberFormat="1" applyFont="1" applyBorder="1"/>
    <xf numFmtId="0" fontId="3" fillId="0" borderId="8" xfId="30" applyFont="1" applyBorder="1"/>
    <xf numFmtId="3" fontId="3" fillId="0" borderId="0" xfId="30" applyNumberFormat="1" applyFont="1" applyBorder="1"/>
    <xf numFmtId="0" fontId="3" fillId="0" borderId="8" xfId="31" applyFont="1" applyBorder="1"/>
    <xf numFmtId="3" fontId="3" fillId="0" borderId="0" xfId="31" applyNumberFormat="1" applyFont="1" applyBorder="1"/>
    <xf numFmtId="0" fontId="3" fillId="0" borderId="8" xfId="32" applyFont="1" applyBorder="1"/>
    <xf numFmtId="3" fontId="3" fillId="0" borderId="0" xfId="32" applyNumberFormat="1" applyFont="1" applyBorder="1"/>
    <xf numFmtId="0" fontId="3" fillId="0" borderId="8" xfId="33" applyFont="1" applyBorder="1"/>
    <xf numFmtId="3" fontId="3" fillId="0" borderId="0" xfId="33" applyNumberFormat="1" applyFont="1" applyBorder="1"/>
    <xf numFmtId="0" fontId="3" fillId="0" borderId="8" xfId="34" applyFont="1" applyBorder="1"/>
    <xf numFmtId="3" fontId="3" fillId="0" borderId="0" xfId="34" applyNumberFormat="1" applyFont="1" applyBorder="1"/>
    <xf numFmtId="0" fontId="3" fillId="0" borderId="8" xfId="35" applyFont="1" applyBorder="1"/>
    <xf numFmtId="3" fontId="3" fillId="0" borderId="0" xfId="35" applyNumberFormat="1" applyFont="1" applyBorder="1"/>
    <xf numFmtId="0" fontId="3" fillId="0" borderId="8" xfId="36" applyFont="1" applyBorder="1"/>
    <xf numFmtId="3" fontId="3" fillId="0" borderId="0" xfId="36" applyNumberFormat="1" applyFont="1" applyBorder="1"/>
    <xf numFmtId="0" fontId="3" fillId="0" borderId="8" xfId="37" applyFont="1" applyBorder="1"/>
    <xf numFmtId="3" fontId="3" fillId="0" borderId="0" xfId="37" applyNumberFormat="1" applyFont="1" applyBorder="1"/>
    <xf numFmtId="0" fontId="3" fillId="0" borderId="8" xfId="38" applyFont="1" applyBorder="1"/>
    <xf numFmtId="3" fontId="3" fillId="0" borderId="0" xfId="38" applyNumberFormat="1" applyFont="1" applyBorder="1"/>
    <xf numFmtId="3" fontId="3" fillId="0" borderId="8" xfId="39" applyNumberFormat="1" applyFont="1" applyBorder="1"/>
    <xf numFmtId="0" fontId="3" fillId="0" borderId="0" xfId="35" applyFont="1"/>
    <xf numFmtId="0" fontId="3" fillId="0" borderId="0" xfId="36" applyFont="1"/>
    <xf numFmtId="0" fontId="3" fillId="0" borderId="0" xfId="30" applyFont="1"/>
    <xf numFmtId="0" fontId="3" fillId="0" borderId="0" xfId="31" applyFont="1"/>
    <xf numFmtId="0" fontId="3" fillId="0" borderId="0" xfId="32" applyFont="1"/>
    <xf numFmtId="0" fontId="3" fillId="0" borderId="0" xfId="24" applyFont="1"/>
    <xf numFmtId="0" fontId="3" fillId="0" borderId="0" xfId="25" applyFont="1"/>
    <xf numFmtId="0" fontId="3" fillId="0" borderId="0" xfId="26" applyFont="1"/>
    <xf numFmtId="0" fontId="3" fillId="0" borderId="0" xfId="27" applyFont="1"/>
    <xf numFmtId="0" fontId="3" fillId="0" borderId="0" xfId="23" applyFont="1"/>
    <xf numFmtId="0" fontId="3" fillId="0" borderId="8" xfId="40" applyFont="1" applyBorder="1"/>
    <xf numFmtId="3" fontId="3" fillId="0" borderId="0" xfId="40" applyNumberFormat="1" applyFont="1" applyBorder="1"/>
    <xf numFmtId="0" fontId="3" fillId="0" borderId="8" xfId="41" applyFont="1" applyBorder="1"/>
    <xf numFmtId="3" fontId="3" fillId="0" borderId="0" xfId="41" applyNumberFormat="1" applyFont="1" applyBorder="1"/>
    <xf numFmtId="0" fontId="3" fillId="0" borderId="8" xfId="42" applyFont="1" applyBorder="1"/>
    <xf numFmtId="3" fontId="3" fillId="0" borderId="0" xfId="42" applyNumberFormat="1" applyFont="1" applyBorder="1"/>
    <xf numFmtId="0" fontId="3" fillId="0" borderId="8" xfId="43" applyFont="1" applyBorder="1"/>
    <xf numFmtId="3" fontId="3" fillId="0" borderId="0" xfId="43" applyNumberFormat="1" applyFont="1" applyBorder="1"/>
    <xf numFmtId="0" fontId="3" fillId="0" borderId="8" xfId="44" applyFont="1" applyBorder="1"/>
    <xf numFmtId="3" fontId="3" fillId="0" borderId="0" xfId="44" applyNumberFormat="1" applyFont="1" applyBorder="1"/>
    <xf numFmtId="0" fontId="3" fillId="0" borderId="8" xfId="45" applyFont="1" applyBorder="1"/>
    <xf numFmtId="3" fontId="3" fillId="0" borderId="0" xfId="45" applyNumberFormat="1" applyFont="1" applyBorder="1"/>
    <xf numFmtId="0" fontId="3" fillId="0" borderId="8" xfId="46" applyFont="1" applyBorder="1"/>
    <xf numFmtId="3" fontId="3" fillId="0" borderId="0" xfId="46" applyNumberFormat="1" applyFont="1" applyBorder="1"/>
    <xf numFmtId="0" fontId="3" fillId="0" borderId="8" xfId="47" applyFont="1" applyBorder="1"/>
    <xf numFmtId="3" fontId="3" fillId="0" borderId="0" xfId="47" applyNumberFormat="1" applyFont="1" applyBorder="1"/>
    <xf numFmtId="0" fontId="3" fillId="0" borderId="8" xfId="48" applyFont="1" applyBorder="1"/>
    <xf numFmtId="3" fontId="3" fillId="0" borderId="0" xfId="48" applyNumberFormat="1" applyFont="1" applyBorder="1"/>
    <xf numFmtId="0" fontId="3" fillId="0" borderId="8" xfId="49" applyFont="1" applyBorder="1"/>
    <xf numFmtId="3" fontId="3" fillId="0" borderId="0" xfId="49" applyNumberFormat="1" applyFont="1" applyBorder="1"/>
    <xf numFmtId="0" fontId="3" fillId="0" borderId="8" xfId="0" applyNumberFormat="1" applyFont="1" applyBorder="1" applyAlignment="1">
      <alignment vertical="top"/>
    </xf>
    <xf numFmtId="0" fontId="3" fillId="0" borderId="15" xfId="0" applyNumberFormat="1" applyFont="1" applyBorder="1" applyAlignment="1">
      <alignment vertical="top"/>
    </xf>
    <xf numFmtId="1" fontId="3" fillId="0" borderId="8" xfId="0" applyNumberFormat="1" applyFont="1" applyBorder="1"/>
    <xf numFmtId="0" fontId="3" fillId="0" borderId="0" xfId="53"/>
    <xf numFmtId="164" fontId="3" fillId="10" borderId="0" xfId="5" applyFont="1" applyFill="1" applyBorder="1"/>
    <xf numFmtId="49" fontId="24" fillId="10" borderId="0" xfId="5" applyNumberFormat="1" applyFont="1" applyFill="1" applyBorder="1" applyAlignment="1">
      <alignment horizontal="left"/>
    </xf>
    <xf numFmtId="49" fontId="24" fillId="10" borderId="0" xfId="5" applyNumberFormat="1" applyFont="1" applyFill="1" applyBorder="1" applyAlignment="1">
      <alignment horizontal="center"/>
    </xf>
    <xf numFmtId="1" fontId="24" fillId="10" borderId="0" xfId="4" applyNumberFormat="1" applyFont="1" applyFill="1" applyBorder="1" applyAlignment="1">
      <alignment horizontal="center"/>
    </xf>
    <xf numFmtId="0" fontId="3" fillId="0" borderId="8" xfId="53" applyBorder="1"/>
    <xf numFmtId="164" fontId="0" fillId="0" borderId="0" xfId="0" applyAlignment="1"/>
    <xf numFmtId="164" fontId="3" fillId="0" borderId="32" xfId="0" applyFont="1" applyBorder="1" applyAlignment="1">
      <alignment horizontal="left"/>
    </xf>
    <xf numFmtId="167" fontId="3" fillId="0" borderId="32" xfId="0" applyNumberFormat="1" applyFont="1" applyBorder="1"/>
    <xf numFmtId="167" fontId="3" fillId="0" borderId="33" xfId="0" applyNumberFormat="1" applyFont="1" applyBorder="1"/>
    <xf numFmtId="167" fontId="3" fillId="0" borderId="34" xfId="0" applyNumberFormat="1" applyFont="1" applyBorder="1"/>
    <xf numFmtId="164" fontId="3" fillId="0" borderId="35" xfId="0" applyFont="1" applyBorder="1" applyAlignment="1">
      <alignment wrapText="1"/>
    </xf>
    <xf numFmtId="167" fontId="3" fillId="0" borderId="32" xfId="0" applyNumberFormat="1" applyFont="1" applyBorder="1" applyAlignment="1">
      <alignment wrapText="1"/>
    </xf>
    <xf numFmtId="167" fontId="3" fillId="0" borderId="33" xfId="0" applyNumberFormat="1" applyFont="1" applyBorder="1" applyAlignment="1">
      <alignment wrapText="1"/>
    </xf>
    <xf numFmtId="167" fontId="3" fillId="0" borderId="34" xfId="0" applyNumberFormat="1" applyFont="1" applyBorder="1" applyAlignment="1">
      <alignment wrapText="1"/>
    </xf>
    <xf numFmtId="9" fontId="4" fillId="0" borderId="17" xfId="0" applyNumberFormat="1" applyFont="1" applyBorder="1"/>
    <xf numFmtId="0" fontId="3" fillId="0" borderId="0" xfId="0" applyNumberFormat="1" applyFont="1" applyAlignment="1">
      <alignment horizontal="left"/>
    </xf>
    <xf numFmtId="0" fontId="3" fillId="0" borderId="32" xfId="0" applyNumberFormat="1" applyFont="1" applyBorder="1" applyAlignment="1">
      <alignment horizontal="left"/>
    </xf>
    <xf numFmtId="0" fontId="3" fillId="0" borderId="8" xfId="0" applyNumberFormat="1" applyFont="1" applyBorder="1" applyAlignment="1">
      <alignment horizontal="left"/>
    </xf>
    <xf numFmtId="0" fontId="3" fillId="0" borderId="7" xfId="0" applyNumberFormat="1" applyFont="1" applyBorder="1" applyAlignment="1">
      <alignment horizontal="left"/>
    </xf>
    <xf numFmtId="0" fontId="0" fillId="0" borderId="0" xfId="0" applyNumberFormat="1" applyAlignment="1"/>
    <xf numFmtId="164" fontId="3" fillId="0" borderId="32" xfId="0" applyFont="1" applyBorder="1" applyAlignment="1"/>
    <xf numFmtId="164" fontId="3" fillId="0" borderId="8" xfId="0" applyFont="1" applyBorder="1" applyAlignment="1"/>
    <xf numFmtId="164" fontId="4" fillId="0" borderId="7" xfId="0" applyFont="1" applyBorder="1" applyAlignment="1">
      <alignment horizontal="right"/>
    </xf>
    <xf numFmtId="164" fontId="3" fillId="0" borderId="7" xfId="0" applyFont="1" applyBorder="1" applyAlignment="1"/>
    <xf numFmtId="164" fontId="3" fillId="0" borderId="0" xfId="0" applyFont="1" applyAlignment="1"/>
    <xf numFmtId="9" fontId="36" fillId="23" borderId="31" xfId="0" applyNumberFormat="1" applyFont="1" applyFill="1" applyBorder="1"/>
    <xf numFmtId="164" fontId="3" fillId="2" borderId="0" xfId="5" applyFont="1" applyFill="1" applyBorder="1"/>
    <xf numFmtId="164" fontId="6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164" fontId="4" fillId="0" borderId="0" xfId="0" applyFont="1" applyFill="1"/>
    <xf numFmtId="164" fontId="24" fillId="0" borderId="0" xfId="0" applyFont="1" applyFill="1" applyAlignment="1">
      <alignment horizontal="right"/>
    </xf>
    <xf numFmtId="164" fontId="3" fillId="0" borderId="0" xfId="0" applyFont="1" applyFill="1" applyAlignment="1">
      <alignment horizontal="center"/>
    </xf>
    <xf numFmtId="164" fontId="24" fillId="0" borderId="0" xfId="0" applyFont="1" applyFill="1"/>
    <xf numFmtId="167" fontId="14" fillId="0" borderId="0" xfId="1" applyNumberFormat="1" applyFont="1" applyFill="1"/>
    <xf numFmtId="164" fontId="2" fillId="0" borderId="0" xfId="0" applyFont="1" applyFill="1" applyBorder="1" applyAlignment="1">
      <alignment horizontal="centerContinuous"/>
    </xf>
    <xf numFmtId="164" fontId="15" fillId="0" borderId="0" xfId="0" applyFont="1" applyFill="1" applyAlignment="1">
      <alignment horizontal="right"/>
    </xf>
    <xf numFmtId="164" fontId="19" fillId="0" borderId="3" xfId="0" applyFont="1" applyFill="1" applyBorder="1" applyAlignment="1">
      <alignment horizontal="center" wrapText="1"/>
    </xf>
    <xf numFmtId="164" fontId="14" fillId="0" borderId="0" xfId="0" applyFont="1" applyFill="1"/>
    <xf numFmtId="168" fontId="37" fillId="0" borderId="0" xfId="11" applyNumberFormat="1" applyFont="1" applyFill="1"/>
    <xf numFmtId="164" fontId="15" fillId="0" borderId="0" xfId="0" applyFont="1" applyFill="1"/>
    <xf numFmtId="9" fontId="3" fillId="0" borderId="0" xfId="11" applyFont="1" applyFill="1" applyBorder="1"/>
    <xf numFmtId="167" fontId="3" fillId="0" borderId="0" xfId="1" applyNumberFormat="1" applyFont="1" applyFill="1"/>
    <xf numFmtId="9" fontId="3" fillId="0" borderId="0" xfId="11" applyFont="1" applyFill="1"/>
    <xf numFmtId="164" fontId="3" fillId="0" borderId="0" xfId="0" applyFont="1" applyFill="1" applyBorder="1" applyAlignment="1">
      <alignment horizontal="centerContinuous"/>
    </xf>
    <xf numFmtId="3" fontId="3" fillId="0" borderId="0" xfId="0" applyNumberFormat="1" applyFont="1" applyFill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164" fontId="6" fillId="0" borderId="0" xfId="0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right"/>
    </xf>
    <xf numFmtId="168" fontId="3" fillId="0" borderId="0" xfId="11" applyNumberFormat="1" applyFont="1" applyFill="1"/>
    <xf numFmtId="164" fontId="2" fillId="0" borderId="0" xfId="0" applyFont="1" applyFill="1" applyBorder="1" applyAlignment="1">
      <alignment horizontal="center"/>
    </xf>
    <xf numFmtId="164" fontId="5" fillId="0" borderId="0" xfId="0" applyFont="1" applyFill="1" applyBorder="1" applyAlignment="1">
      <alignment horizontal="center" wrapText="1"/>
    </xf>
    <xf numFmtId="3" fontId="3" fillId="0" borderId="0" xfId="0" applyNumberFormat="1" applyFont="1" applyFill="1" applyBorder="1" applyAlignment="1">
      <alignment horizontal="right"/>
    </xf>
    <xf numFmtId="164" fontId="7" fillId="0" borderId="0" xfId="0" applyFont="1" applyFill="1" applyBorder="1" applyAlignment="1">
      <alignment horizontal="center"/>
    </xf>
    <xf numFmtId="49" fontId="3" fillId="0" borderId="4" xfId="0" applyNumberFormat="1" applyFont="1" applyFill="1" applyBorder="1" applyAlignment="1"/>
    <xf numFmtId="3" fontId="3" fillId="0" borderId="0" xfId="4" applyNumberFormat="1" applyFont="1" applyFill="1" applyBorder="1" applyAlignment="1">
      <alignment horizontal="center"/>
    </xf>
    <xf numFmtId="49" fontId="4" fillId="0" borderId="32" xfId="0" applyNumberFormat="1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0" borderId="7" xfId="0" applyNumberFormat="1" applyFont="1" applyBorder="1" applyAlignment="1">
      <alignment horizontal="left"/>
    </xf>
    <xf numFmtId="164" fontId="10" fillId="0" borderId="8" xfId="0" applyFont="1" applyBorder="1"/>
    <xf numFmtId="3" fontId="3" fillId="0" borderId="0" xfId="2" applyNumberFormat="1" applyFont="1" applyFill="1" applyBorder="1"/>
    <xf numFmtId="9" fontId="3" fillId="0" borderId="0" xfId="11" applyFont="1" applyFill="1" applyBorder="1" applyAlignment="1" applyProtection="1">
      <alignment horizontal="right"/>
      <protection locked="0"/>
    </xf>
    <xf numFmtId="9" fontId="10" fillId="0" borderId="0" xfId="11" applyFont="1" applyFill="1" applyBorder="1" applyAlignment="1" applyProtection="1">
      <alignment horizontal="right"/>
      <protection locked="0"/>
    </xf>
    <xf numFmtId="3" fontId="3" fillId="0" borderId="0" xfId="5" applyNumberFormat="1" applyFont="1" applyFill="1" applyBorder="1"/>
    <xf numFmtId="3" fontId="3" fillId="0" borderId="0" xfId="5" applyNumberFormat="1" applyFont="1" applyFill="1" applyBorder="1" applyProtection="1">
      <protection locked="0"/>
    </xf>
    <xf numFmtId="3" fontId="10" fillId="0" borderId="0" xfId="5" applyNumberFormat="1" applyFont="1" applyFill="1" applyBorder="1" applyProtection="1">
      <protection locked="0"/>
    </xf>
    <xf numFmtId="49" fontId="3" fillId="0" borderId="0" xfId="4" applyNumberFormat="1" applyFont="1" applyFill="1" applyBorder="1" applyAlignment="1">
      <alignment horizontal="center"/>
    </xf>
    <xf numFmtId="9" fontId="10" fillId="0" borderId="0" xfId="11" applyFont="1" applyFill="1" applyBorder="1"/>
    <xf numFmtId="9" fontId="10" fillId="0" borderId="0" xfId="11" applyFont="1" applyFill="1" applyBorder="1" applyAlignment="1">
      <alignment horizontal="right"/>
    </xf>
    <xf numFmtId="3" fontId="3" fillId="0" borderId="0" xfId="4" applyNumberFormat="1" applyFont="1" applyFill="1" applyBorder="1" applyProtection="1">
      <protection locked="0"/>
    </xf>
    <xf numFmtId="3" fontId="3" fillId="0" borderId="0" xfId="4" applyNumberFormat="1" applyFont="1" applyFill="1" applyBorder="1" applyAlignment="1">
      <alignment horizontal="right"/>
    </xf>
    <xf numFmtId="49" fontId="4" fillId="0" borderId="3" xfId="0" applyNumberFormat="1" applyFont="1" applyBorder="1" applyAlignment="1">
      <alignment horizontal="left"/>
    </xf>
    <xf numFmtId="49" fontId="4" fillId="0" borderId="6" xfId="0" applyNumberFormat="1" applyFont="1" applyFill="1" applyBorder="1" applyAlignment="1">
      <alignment horizontal="left"/>
    </xf>
    <xf numFmtId="164" fontId="25" fillId="3" borderId="31" xfId="0" applyFont="1" applyFill="1" applyBorder="1" applyAlignment="1">
      <alignment horizontal="left" vertical="center"/>
    </xf>
    <xf numFmtId="49" fontId="34" fillId="13" borderId="8" xfId="0" applyNumberFormat="1" applyFont="1" applyFill="1" applyBorder="1" applyAlignment="1">
      <alignment horizontal="left"/>
    </xf>
    <xf numFmtId="49" fontId="3" fillId="13" borderId="8" xfId="0" applyNumberFormat="1" applyFont="1" applyFill="1" applyBorder="1" applyAlignment="1">
      <alignment horizontal="left"/>
    </xf>
    <xf numFmtId="49" fontId="3" fillId="13" borderId="7" xfId="0" applyNumberFormat="1" applyFont="1" applyFill="1" applyBorder="1" applyAlignment="1">
      <alignment horizontal="left"/>
    </xf>
    <xf numFmtId="164" fontId="25" fillId="13" borderId="31" xfId="0" applyFont="1" applyFill="1" applyBorder="1" applyAlignment="1">
      <alignment horizontal="center" vertical="center" wrapText="1"/>
    </xf>
    <xf numFmtId="164" fontId="10" fillId="0" borderId="35" xfId="5" applyFont="1" applyFill="1" applyBorder="1" applyAlignment="1">
      <alignment horizontal="centerContinuous"/>
    </xf>
    <xf numFmtId="164" fontId="10" fillId="0" borderId="8" xfId="5" applyFont="1" applyFill="1" applyBorder="1" applyAlignment="1">
      <alignment horizontal="centerContinuous"/>
    </xf>
    <xf numFmtId="164" fontId="10" fillId="0" borderId="0" xfId="5" applyFont="1" applyFill="1" applyAlignment="1">
      <alignment horizontal="centerContinuous"/>
    </xf>
    <xf numFmtId="164" fontId="10" fillId="0" borderId="0" xfId="5" applyFont="1" applyFill="1" applyBorder="1" applyAlignment="1">
      <alignment horizontal="centerContinuous"/>
    </xf>
    <xf numFmtId="164" fontId="10" fillId="0" borderId="35" xfId="5" applyFont="1" applyFill="1" applyBorder="1"/>
    <xf numFmtId="164" fontId="10" fillId="0" borderId="16" xfId="5" applyFont="1" applyFill="1" applyBorder="1" applyAlignment="1">
      <alignment horizontal="centerContinuous"/>
    </xf>
    <xf numFmtId="164" fontId="10" fillId="0" borderId="5" xfId="5" applyFont="1" applyFill="1" applyBorder="1" applyAlignment="1">
      <alignment horizontal="centerContinuous"/>
    </xf>
    <xf numFmtId="164" fontId="10" fillId="0" borderId="15" xfId="5" applyFont="1" applyFill="1" applyBorder="1" applyAlignment="1">
      <alignment horizontal="centerContinuous"/>
    </xf>
    <xf numFmtId="164" fontId="10" fillId="0" borderId="7" xfId="5" applyFont="1" applyFill="1" applyBorder="1" applyAlignment="1">
      <alignment horizontal="centerContinuous"/>
    </xf>
    <xf numFmtId="164" fontId="10" fillId="0" borderId="4" xfId="5" applyFont="1" applyFill="1" applyBorder="1" applyAlignment="1">
      <alignment horizontal="centerContinuous"/>
    </xf>
    <xf numFmtId="164" fontId="10" fillId="0" borderId="7" xfId="5" applyFont="1" applyFill="1" applyBorder="1" applyAlignment="1">
      <alignment horizontal="center"/>
    </xf>
    <xf numFmtId="164" fontId="26" fillId="0" borderId="6" xfId="5" applyFont="1" applyFill="1" applyBorder="1" applyAlignment="1">
      <alignment horizontal="centerContinuous" vertical="center"/>
    </xf>
    <xf numFmtId="1" fontId="10" fillId="22" borderId="0" xfId="4" applyNumberFormat="1" applyFont="1" applyFill="1" applyBorder="1"/>
    <xf numFmtId="164" fontId="4" fillId="22" borderId="0" xfId="0" applyNumberFormat="1" applyFont="1" applyFill="1" applyBorder="1"/>
    <xf numFmtId="3" fontId="3" fillId="22" borderId="15" xfId="4" applyNumberFormat="1" applyFont="1" applyFill="1" applyBorder="1"/>
    <xf numFmtId="167" fontId="3" fillId="0" borderId="20" xfId="0" applyNumberFormat="1" applyFont="1" applyFill="1" applyBorder="1"/>
    <xf numFmtId="164" fontId="4" fillId="0" borderId="0" xfId="0" applyFont="1" applyFill="1" applyBorder="1"/>
    <xf numFmtId="164" fontId="19" fillId="0" borderId="0" xfId="0" applyFont="1" applyFill="1" applyBorder="1" applyAlignment="1">
      <alignment horizontal="center" wrapText="1"/>
    </xf>
    <xf numFmtId="164" fontId="14" fillId="0" borderId="0" xfId="0" applyFont="1" applyFill="1" applyBorder="1"/>
    <xf numFmtId="167" fontId="14" fillId="0" borderId="0" xfId="1" applyNumberFormat="1" applyFont="1" applyFill="1" applyBorder="1"/>
    <xf numFmtId="168" fontId="37" fillId="0" borderId="0" xfId="11" applyNumberFormat="1" applyFont="1" applyFill="1" applyBorder="1"/>
    <xf numFmtId="164" fontId="3" fillId="0" borderId="0" xfId="0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center"/>
    </xf>
    <xf numFmtId="164" fontId="6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49" fontId="4" fillId="13" borderId="29" xfId="0" applyNumberFormat="1" applyFont="1" applyFill="1" applyBorder="1" applyAlignment="1">
      <alignment horizontal="center" wrapText="1"/>
    </xf>
    <xf numFmtId="49" fontId="4" fillId="13" borderId="0" xfId="0" applyNumberFormat="1" applyFont="1" applyFill="1" applyBorder="1" applyAlignment="1">
      <alignment horizontal="center" wrapText="1"/>
    </xf>
    <xf numFmtId="49" fontId="4" fillId="13" borderId="4" xfId="0" applyNumberFormat="1" applyFont="1" applyFill="1" applyBorder="1" applyAlignment="1">
      <alignment horizontal="center" wrapText="1"/>
    </xf>
  </cellXfs>
  <cellStyles count="54">
    <cellStyle name="Comma" xfId="1" builtinId="3"/>
    <cellStyle name="Comma 2" xfId="52"/>
    <cellStyle name="Normal" xfId="0" builtinId="0"/>
    <cellStyle name="Normal 13" xfId="14"/>
    <cellStyle name="Normal 16" xfId="15"/>
    <cellStyle name="Normal 17" xfId="16"/>
    <cellStyle name="Normal 18" xfId="17"/>
    <cellStyle name="Normal 19" xfId="40"/>
    <cellStyle name="Normal 2" xfId="50"/>
    <cellStyle name="Normal 20" xfId="41"/>
    <cellStyle name="Normal 21" xfId="42"/>
    <cellStyle name="Normal 22" xfId="43"/>
    <cellStyle name="Normal 23" xfId="44"/>
    <cellStyle name="Normal 25" xfId="45"/>
    <cellStyle name="Normal 26" xfId="46"/>
    <cellStyle name="Normal 27" xfId="18"/>
    <cellStyle name="Normal 28" xfId="19"/>
    <cellStyle name="Normal 29" xfId="20"/>
    <cellStyle name="Normal 30" xfId="21"/>
    <cellStyle name="Normal 31" xfId="22"/>
    <cellStyle name="Normal 32" xfId="23"/>
    <cellStyle name="Normal 33" xfId="24"/>
    <cellStyle name="Normal 34" xfId="25"/>
    <cellStyle name="Normal 35" xfId="26"/>
    <cellStyle name="Normal 36" xfId="27"/>
    <cellStyle name="Normal 37" xfId="28"/>
    <cellStyle name="Normal 39" xfId="29"/>
    <cellStyle name="Normal 40" xfId="30"/>
    <cellStyle name="Normal 41" xfId="31"/>
    <cellStyle name="Normal 42" xfId="32"/>
    <cellStyle name="Normal 43" xfId="33"/>
    <cellStyle name="Normal 44" xfId="34"/>
    <cellStyle name="Normal 45" xfId="35"/>
    <cellStyle name="Normal 46" xfId="36"/>
    <cellStyle name="Normal 47" xfId="37"/>
    <cellStyle name="Normal 48" xfId="38"/>
    <cellStyle name="Normal 49" xfId="47"/>
    <cellStyle name="Normal 50" xfId="48"/>
    <cellStyle name="Normal 51" xfId="49"/>
    <cellStyle name="Normal 52" xfId="39"/>
    <cellStyle name="Normal_01Degrees05" xfId="2"/>
    <cellStyle name="Normal_03SCH&amp;FTE05" xfId="3"/>
    <cellStyle name="Normal_1-Degree data" xfId="53"/>
    <cellStyle name="Normal_Degree02 Form" xfId="4"/>
    <cellStyle name="Normal_Degrees02 Form" xfId="5"/>
    <cellStyle name="Normal_LA_BOR09 final" xfId="6"/>
    <cellStyle name="Normal_SCH&amp;FTE02 Form" xfId="7"/>
    <cellStyle name="Normal_SCH&amp;FTE03 Form" xfId="8"/>
    <cellStyle name="Normal_StProg01B" xfId="9"/>
    <cellStyle name="Normal_StProg02 Form" xfId="10"/>
    <cellStyle name="Percent" xfId="11" builtinId="5"/>
    <cellStyle name="Percent 2" xfId="51"/>
    <cellStyle name="questionable" xfId="12"/>
    <cellStyle name="review" xfId="13"/>
  </cellStyles>
  <dxfs count="740"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7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ill>
        <patternFill patternType="none">
          <fgColor indexed="64"/>
          <bgColor indexed="65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5" formatCode="0.00_)"/>
    </dxf>
    <dxf>
      <numFmt numFmtId="168" formatCode="0.0%"/>
    </dxf>
    <dxf>
      <numFmt numFmtId="13" formatCode="0%"/>
    </dxf>
    <dxf>
      <alignment wrapText="1" readingOrder="0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ED8D2"/>
      <color rgb="FFCCFFCC"/>
      <color rgb="FFFFFF99"/>
      <color rgb="FFFFFFCC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marks" refreshedDate="40528.487455671297" createdVersion="3" refreshedVersion="3" minRefreshableVersion="3" recordCount="730">
  <cacheSource type="worksheet">
    <worksheetSource ref="A9:FN739" sheet="Degree data"/>
  </cacheSource>
  <cacheFields count="193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/>
    </cacheField>
    <cacheField name="ID" numFmtId="49">
      <sharedItems containsBlank="1" containsMixedTypes="1" containsNumber="1" containsInteger="1" minValue="100654" maxValue="447689"/>
    </cacheField>
    <cacheField name="SREB Type" numFmtId="0">
      <sharedItems containsSemiMixedTypes="0" containsString="0" containsNumber="1" containsInteger="1" minValue="1" maxValue="15" count="14">
        <n v="1"/>
        <n v="2"/>
        <n v="3"/>
        <n v="4"/>
        <n v="5"/>
        <n v="6"/>
        <n v="8"/>
        <n v="9"/>
        <n v="10"/>
        <n v="12"/>
        <n v="13"/>
        <n v="15"/>
        <n v="7"/>
        <n v="14"/>
      </sharedItems>
      <fieldGroup par="184"/>
    </cacheField>
    <cacheField name="Old-Less Than 2-Year" numFmtId="3">
      <sharedItems containsString="0" containsBlank="1" containsNumber="1" containsInteger="1" minValue="1" maxValue="2967"/>
    </cacheField>
    <cacheField name="New-Less Than 2-Year" numFmtId="0">
      <sharedItems containsString="0" containsBlank="1" containsNumber="1" containsInteger="1" minValue="0" maxValue="3120"/>
    </cacheField>
    <cacheField name="Old-2 But Less Than 4-Year" numFmtId="3">
      <sharedItems containsString="0" containsBlank="1" containsNumber="1" containsInteger="1" minValue="1" maxValue="415"/>
    </cacheField>
    <cacheField name="New-2 But Less Than 4-Year" numFmtId="0">
      <sharedItems containsString="0" containsBlank="1" containsNumber="1" containsInteger="1" minValue="0" maxValue="449"/>
    </cacheField>
    <cacheField name="Old-Associate's" numFmtId="3">
      <sharedItems containsString="0" containsBlank="1" containsNumber="1" containsInteger="1" minValue="1" maxValue="7047"/>
    </cacheField>
    <cacheField name="New-Associate's" numFmtId="0">
      <sharedItems containsString="0" containsBlank="1" containsNumber="1" containsInteger="1" minValue="0" maxValue="7489"/>
    </cacheField>
    <cacheField name="Old- Asso % of Bachs" numFmtId="9">
      <sharedItems containsSemiMixedTypes="0" containsString="0" containsNumber="1" minValue="0" maxValue="253.8"/>
    </cacheField>
    <cacheField name="New- Asso % of Bachs" numFmtId="9">
      <sharedItems containsSemiMixedTypes="0" containsString="0" containsNumber="1" minValue="0" maxValue="1068.6666666666667"/>
    </cacheField>
    <cacheField name="Old-Bachelor's" numFmtId="3">
      <sharedItems containsString="0" containsBlank="1" containsNumber="1" containsInteger="1" minValue="0" maxValue="9007"/>
    </cacheField>
    <cacheField name="Old-Bach-TeachEd by CIP" numFmtId="3">
      <sharedItems containsString="0" containsBlank="1" containsNumber="1" containsInteger="1" minValue="0" maxValue="550"/>
    </cacheField>
    <cacheField name="Old-Bach-TeachEd by Courses" numFmtId="3">
      <sharedItems containsString="0" containsBlank="1" containsNumber="1" containsInteger="1" minValue="0" maxValue="481"/>
    </cacheField>
    <cacheField name="Old-Bach-TeachEd-Other" numFmtId="3">
      <sharedItems containsString="0" containsBlank="1" containsNumber="1" containsInteger="1" minValue="0" maxValue="781"/>
    </cacheField>
    <cacheField name="Old-Bach-TeachEd-Subtot" numFmtId="3">
      <sharedItems containsSemiMixedTypes="0" containsString="0" containsNumber="1" containsInteger="1" minValue="0" maxValue="781"/>
    </cacheField>
    <cacheField name="New-Bachelor's" numFmtId="0">
      <sharedItems containsString="0" containsBlank="1" containsNumber="1" containsInteger="1" minValue="0" maxValue="9373"/>
    </cacheField>
    <cacheField name="New-Bach-TeachEd by CIP" numFmtId="0">
      <sharedItems containsString="0" containsBlank="1" containsNumber="1" containsInteger="1" minValue="0" maxValue="561"/>
    </cacheField>
    <cacheField name="New-Bach-TeachEd by Courses" numFmtId="164">
      <sharedItems containsString="0" containsBlank="1" containsNumber="1" containsInteger="1" minValue="0" maxValue="555"/>
    </cacheField>
    <cacheField name="New-Bach-TeachEd-Other" numFmtId="164">
      <sharedItems containsString="0" containsBlank="1" containsNumber="1" containsInteger="1" minValue="0" maxValue="678"/>
    </cacheField>
    <cacheField name="New-Bach-TeachEd-Subtot" numFmtId="3">
      <sharedItems containsSemiMixedTypes="0" containsString="0" containsNumber="1" containsInteger="1" minValue="0" maxValue="678"/>
    </cacheField>
    <cacheField name="Old-B1 CIP" numFmtId="3">
      <sharedItems containsBlank="1" containsMixedTypes="1" containsNumber="1" containsInteger="1" minValue="0" maxValue="52"/>
    </cacheField>
    <cacheField name="Old-B1 #" numFmtId="3">
      <sharedItems containsString="0" containsBlank="1" containsNumber="1" containsInteger="1" minValue="0" maxValue="199"/>
    </cacheField>
    <cacheField name="New-B1 CIP" numFmtId="0">
      <sharedItems containsBlank="1" containsMixedTypes="1" containsNumber="1" containsInteger="1" minValue="0" maxValue="52"/>
    </cacheField>
    <cacheField name="New-B1 #" numFmtId="3">
      <sharedItems containsString="0" containsBlank="1" containsNumber="1" containsInteger="1" minValue="0" maxValue="246"/>
    </cacheField>
    <cacheField name="Old-B2 CIP" numFmtId="49">
      <sharedItems containsBlank="1" containsMixedTypes="1" containsNumber="1" containsInteger="1" minValue="0" maxValue="45"/>
    </cacheField>
    <cacheField name="Old-B2 #" numFmtId="3">
      <sharedItems containsString="0" containsBlank="1" containsNumber="1" containsInteger="1" minValue="0" maxValue="179"/>
    </cacheField>
    <cacheField name="New-B2 CIP" numFmtId="0">
      <sharedItems containsBlank="1" containsMixedTypes="1" containsNumber="1" containsInteger="1" minValue="0" maxValue="45"/>
    </cacheField>
    <cacheField name="New-B2 #" numFmtId="3">
      <sharedItems containsString="0" containsBlank="1" containsNumber="1" containsInteger="1" minValue="0" maxValue="185"/>
    </cacheField>
    <cacheField name="Old-B3 CIP" numFmtId="49">
      <sharedItems containsBlank="1" containsMixedTypes="1" containsNumber="1" containsInteger="1" minValue="0" maxValue="42"/>
    </cacheField>
    <cacheField name="Old-B3 #" numFmtId="3">
      <sharedItems containsString="0" containsBlank="1" containsNumber="1" containsInteger="1" minValue="0" maxValue="68"/>
    </cacheField>
    <cacheField name="New-B3 CIP" numFmtId="0">
      <sharedItems containsBlank="1" containsMixedTypes="1" containsNumber="1" containsInteger="1" minValue="0" maxValue="42"/>
    </cacheField>
    <cacheField name="New-B3 #" numFmtId="3">
      <sharedItems containsString="0" containsBlank="1" containsNumber="1" containsInteger="1" minValue="0" maxValue="101"/>
    </cacheField>
    <cacheField name="Old-B4 CIP" numFmtId="49">
      <sharedItems containsBlank="1" containsMixedTypes="1" containsNumber="1" containsInteger="1" minValue="0" maxValue="13"/>
    </cacheField>
    <cacheField name="Old-B4 #" numFmtId="3">
      <sharedItems containsString="0" containsBlank="1" containsNumber="1" containsInteger="1" minValue="0" maxValue="49"/>
    </cacheField>
    <cacheField name="New-B4 CIP" numFmtId="0">
      <sharedItems containsBlank="1" containsMixedTypes="1" containsNumber="1" containsInteger="1" minValue="0" maxValue="13"/>
    </cacheField>
    <cacheField name="New-B4 #" numFmtId="3">
      <sharedItems containsString="0" containsBlank="1" containsNumber="1" containsInteger="1" minValue="0" maxValue="73"/>
    </cacheField>
    <cacheField name="Old-B5 CIP" numFmtId="49">
      <sharedItems containsBlank="1" containsMixedTypes="1" containsNumber="1" containsInteger="1" minValue="0" maxValue="23"/>
    </cacheField>
    <cacheField name="Old-B5 #" numFmtId="3">
      <sharedItems containsString="0" containsBlank="1" containsNumber="1" containsInteger="1" minValue="0" maxValue="45"/>
    </cacheField>
    <cacheField name="New-B5 CIP" numFmtId="0">
      <sharedItems containsBlank="1" containsMixedTypes="1" containsNumber="1" containsInteger="1" minValue="0" maxValue="23"/>
    </cacheField>
    <cacheField name="New-B5 #" numFmtId="3">
      <sharedItems containsString="0" containsBlank="1" containsNumber="1" containsInteger="1" minValue="0" maxValue="58"/>
    </cacheField>
    <cacheField name="Old-Bachs#CIPs" numFmtId="3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3">
      <sharedItems containsString="0" containsBlank="1" containsNumber="1" containsInteger="1" minValue="0" maxValue="386"/>
    </cacheField>
    <cacheField name="New-Post-Bachelor's" numFmtId="0">
      <sharedItems containsString="0" containsBlank="1" containsNumber="1" containsInteger="1" minValue="0" maxValue="366"/>
    </cacheField>
    <cacheField name="Old-M1 CIP" numFmtId="0">
      <sharedItems containsString="0" containsBlank="1" containsNumber="1" containsInteger="1" minValue="0" maxValue="52"/>
    </cacheField>
    <cacheField name="Old-M1 #" numFmtId="0">
      <sharedItems containsString="0" containsBlank="1" containsNumber="1" containsInteger="1" minValue="0" maxValue="1775"/>
    </cacheField>
    <cacheField name="New-M1 CIP" numFmtId="0">
      <sharedItems containsBlank="1" containsMixedTypes="1" containsNumber="1" containsInteger="1" minValue="0" maxValue="52"/>
    </cacheField>
    <cacheField name="New-M1 #" numFmtId="0">
      <sharedItems containsString="0" containsBlank="1" containsNumber="1" containsInteger="1" minValue="0" maxValue="2003"/>
    </cacheField>
    <cacheField name="Old-M2 CIP" numFmtId="0">
      <sharedItems containsString="0" containsBlank="1" containsNumber="1" containsInteger="1" minValue="0" maxValue="52"/>
    </cacheField>
    <cacheField name="Old-M2 #" numFmtId="0">
      <sharedItems containsString="0" containsBlank="1" containsNumber="1" containsInteger="1" minValue="0" maxValue="624"/>
    </cacheField>
    <cacheField name="New-M2 CIP" numFmtId="0">
      <sharedItems containsBlank="1" containsMixedTypes="1" containsNumber="1" containsInteger="1" minValue="0" maxValue="52"/>
    </cacheField>
    <cacheField name="New-M2 #" numFmtId="0">
      <sharedItems containsString="0" containsBlank="1" containsNumber="1" containsInteger="1" minValue="0" maxValue="784"/>
    </cacheField>
    <cacheField name="Old-M3 CIP" numFmtId="0">
      <sharedItems containsString="0" containsBlank="1" containsNumber="1" containsInteger="1" minValue="0" maxValue="52"/>
    </cacheField>
    <cacheField name="Old-M3 #" numFmtId="0">
      <sharedItems containsString="0" containsBlank="1" containsNumber="1" containsInteger="1" minValue="0" maxValue="552"/>
    </cacheField>
    <cacheField name="New-M3 CIP" numFmtId="0">
      <sharedItems containsBlank="1" containsMixedTypes="1" containsNumber="1" containsInteger="1" minValue="0" maxValue="91"/>
    </cacheField>
    <cacheField name="New-M3 #" numFmtId="0">
      <sharedItems containsString="0" containsBlank="1" containsNumber="1" containsInteger="1" minValue="0" maxValue="539"/>
    </cacheField>
    <cacheField name="Old-M4 CIP" numFmtId="0">
      <sharedItems containsString="0" containsBlank="1" containsNumber="1" containsInteger="1" minValue="0" maxValue="54"/>
    </cacheField>
    <cacheField name="Old-M4 #" numFmtId="0">
      <sharedItems containsString="0" containsBlank="1" containsNumber="1" containsInteger="1" minValue="0" maxValue="383"/>
    </cacheField>
    <cacheField name="New-M4 CIP" numFmtId="0">
      <sharedItems containsBlank="1" containsMixedTypes="1" containsNumber="1" containsInteger="1" minValue="0" maxValue="52"/>
    </cacheField>
    <cacheField name="New-M4 #" numFmtId="0">
      <sharedItems containsString="0" containsBlank="1" containsNumber="1" containsInteger="1" minValue="0" maxValue="449"/>
    </cacheField>
    <cacheField name="Old-M5 CIP" numFmtId="0">
      <sharedItems containsBlank="1" containsMixedTypes="1" containsNumber="1" containsInteger="1" minValue="0" maxValue="54"/>
    </cacheField>
    <cacheField name="Old-M5 #" numFmtId="0">
      <sharedItems containsString="0" containsBlank="1" containsNumber="1" containsInteger="1" minValue="0" maxValue="189"/>
    </cacheField>
    <cacheField name="New-M5 CIP" numFmtId="0">
      <sharedItems containsBlank="1" containsMixedTypes="1" containsNumber="1" containsInteger="1" minValue="0" maxValue="54"/>
    </cacheField>
    <cacheField name="New-M5 #" numFmtId="0">
      <sharedItems containsString="0" containsBlank="1" containsNumber="1" containsInteger="1" minValue="0" maxValue="206"/>
    </cacheField>
    <cacheField name="Old-M6 CIP" numFmtId="0">
      <sharedItems containsBlank="1" containsMixedTypes="1" containsNumber="1" containsInteger="1" minValue="0" maxValue="56"/>
    </cacheField>
    <cacheField name="Old-M6 #" numFmtId="0">
      <sharedItems containsString="0" containsBlank="1" containsNumber="1" containsInteger="1" minValue="0" maxValue="162"/>
    </cacheField>
    <cacheField name="New-M6 CIP" numFmtId="0">
      <sharedItems containsBlank="1" containsMixedTypes="1" containsNumber="1" containsInteger="1" minValue="0" maxValue="54"/>
    </cacheField>
    <cacheField name="New-M6 #" numFmtId="0">
      <sharedItems containsString="0" containsBlank="1" containsNumber="1" containsInteger="1" minValue="0" maxValue="159"/>
    </cacheField>
    <cacheField name="Old-M7 CIP" numFmtId="0">
      <sharedItems containsBlank="1" containsMixedTypes="1" containsNumber="1" containsInteger="1" minValue="0" maxValue="54"/>
    </cacheField>
    <cacheField name="Old-M7 #" numFmtId="0">
      <sharedItems containsString="0" containsBlank="1" containsNumber="1" containsInteger="1" minValue="0" maxValue="158"/>
    </cacheField>
    <cacheField name="New-M7 CIP" numFmtId="0">
      <sharedItems containsBlank="1" containsMixedTypes="1" containsNumber="1" containsInteger="1" minValue="0" maxValue="54"/>
    </cacheField>
    <cacheField name="New-M7 #" numFmtId="0">
      <sharedItems containsString="0" containsBlank="1" containsNumber="1" containsInteger="1" minValue="0" maxValue="155"/>
    </cacheField>
    <cacheField name="Old-M8 CIP" numFmtId="0">
      <sharedItems containsBlank="1" containsMixedTypes="1" containsNumber="1" containsInteger="1" minValue="0" maxValue="54"/>
    </cacheField>
    <cacheField name="Old-M8 #" numFmtId="0">
      <sharedItems containsString="0" containsBlank="1" containsNumber="1" containsInteger="1" minValue="0" maxValue="108"/>
    </cacheField>
    <cacheField name="New-M8 CIP" numFmtId="0">
      <sharedItems containsBlank="1" containsMixedTypes="1" containsNumber="1" containsInteger="1" minValue="0" maxValue="54"/>
    </cacheField>
    <cacheField name="New-M8 #" numFmtId="0">
      <sharedItems containsString="0" containsBlank="1" containsNumber="1" containsInteger="1" minValue="0" maxValue="118"/>
    </cacheField>
    <cacheField name="Old-M9 CIP" numFmtId="0">
      <sharedItems containsBlank="1" containsMixedTypes="1" containsNumber="1" containsInteger="1" minValue="0" maxValue="54"/>
    </cacheField>
    <cacheField name="Old-M9 #" numFmtId="0">
      <sharedItems containsString="0" containsBlank="1" containsNumber="1" containsInteger="1" minValue="0" maxValue="100"/>
    </cacheField>
    <cacheField name="New-M9 CIP" numFmtId="0">
      <sharedItems containsBlank="1" containsMixedTypes="1" containsNumber="1" containsInteger="1" minValue="0" maxValue="54"/>
    </cacheField>
    <cacheField name="New-M9 #" numFmtId="0">
      <sharedItems containsString="0" containsBlank="1" containsNumber="1" containsInteger="1" minValue="0" maxValue="105"/>
    </cacheField>
    <cacheField name="Old-M10 CIP" numFmtId="0">
      <sharedItems containsBlank="1" containsMixedTypes="1" containsNumber="1" containsInteger="1" minValue="0" maxValue="54"/>
    </cacheField>
    <cacheField name="Old-M10 #" numFmtId="0">
      <sharedItems containsString="0" containsBlank="1" containsNumber="1" containsInteger="1" minValue="0" maxValue="91"/>
    </cacheField>
    <cacheField name="New-M10 CIP" numFmtId="0">
      <sharedItems containsBlank="1" containsMixedTypes="1" containsNumber="1" containsInteger="1" minValue="0" maxValue="54"/>
    </cacheField>
    <cacheField name="New-M10 #" numFmtId="0">
      <sharedItems containsString="0" containsBlank="1" containsNumber="1" containsInteger="1" minValue="0" maxValue="74"/>
    </cacheField>
    <cacheField name="Old-FP Certf" numFmtId="3">
      <sharedItems containsString="0" containsBlank="1" containsNumber="1" containsInteger="1" minValue="0" maxValue="0"/>
    </cacheField>
    <cacheField name="New-FP Certf" numFmtId="0">
      <sharedItems containsString="0" containsBlank="1" containsNumber="1" containsInteger="1" minValue="0" maxValue="0"/>
    </cacheField>
    <cacheField name="Old-Other Master's" numFmtId="0">
      <sharedItems containsString="0" containsBlank="1" containsNumber="1" containsInteger="1" minValue="0" maxValue="479"/>
    </cacheField>
    <cacheField name="New-Other Master's" numFmtId="0">
      <sharedItems containsString="0" containsBlank="1" containsNumber="1" containsInteger="1" minValue="0" maxValue="760"/>
    </cacheField>
    <cacheField name="Old-Total Master's#" numFmtId="3">
      <sharedItems containsSemiMixedTypes="0" containsString="0" containsNumber="1" containsInteger="1" minValue="0" maxValue="3400"/>
    </cacheField>
    <cacheField name="Old-Master'sCIP" numFmtId="3">
      <sharedItems containsSemiMixedTypes="0" containsString="0" containsNumber="1" containsInteger="1" minValue="0" maxValue="10"/>
    </cacheField>
    <cacheField name="New-Total Master's#" numFmtId="164">
      <sharedItems containsSemiMixedTypes="0" containsString="0" containsNumber="1" containsInteger="1" minValue="0" maxValue="3620"/>
    </cacheField>
    <cacheField name="New-Master's CIP" numFmtId="164">
      <sharedItems containsSemiMixedTypes="0" containsString="0" containsNumber="1" containsInteger="1" minValue="0" maxValue="10"/>
    </cacheField>
    <cacheField name="Old-D1 CIP" numFmtId="3">
      <sharedItems containsBlank="1" containsMixedTypes="1" containsNumber="1" containsInteger="1" minValue="0" maxValue="52"/>
    </cacheField>
    <cacheField name="Old-D1 #" numFmtId="3">
      <sharedItems containsString="0" containsBlank="1" containsNumber="1" containsInteger="1" minValue="0" maxValue="326"/>
    </cacheField>
    <cacheField name="New-D1 CIP" numFmtId="0">
      <sharedItems containsBlank="1" containsMixedTypes="1" containsNumber="1" containsInteger="1" minValue="0" maxValue="51"/>
    </cacheField>
    <cacheField name="New-D1 #" numFmtId="0">
      <sharedItems containsString="0" containsBlank="1" containsNumber="1" containsInteger="1" minValue="0" maxValue="331"/>
    </cacheField>
    <cacheField name="Old-D2 CIP" numFmtId="0">
      <sharedItems containsBlank="1" containsMixedTypes="1" containsNumber="1" containsInteger="1" minValue="0" maxValue="52"/>
    </cacheField>
    <cacheField name="Old-D2 #" numFmtId="3">
      <sharedItems containsString="0" containsBlank="1" containsNumber="1" containsInteger="1" minValue="0" maxValue="191"/>
    </cacheField>
    <cacheField name="New-D2 CIP" numFmtId="0">
      <sharedItems containsBlank="1" containsMixedTypes="1" containsNumber="1" containsInteger="1" minValue="0" maxValue="52"/>
    </cacheField>
    <cacheField name="New-D2 #" numFmtId="0">
      <sharedItems containsString="0" containsBlank="1" containsNumber="1" containsInteger="1" minValue="0" maxValue="179"/>
    </cacheField>
    <cacheField name="Old-D3 CIP" numFmtId="3">
      <sharedItems containsString="0" containsBlank="1" containsNumber="1" containsInteger="1" minValue="0" maxValue="52"/>
    </cacheField>
    <cacheField name="Old-D3 #" numFmtId="3">
      <sharedItems containsString="0" containsBlank="1" containsNumber="1" containsInteger="1" minValue="0" maxValue="83"/>
    </cacheField>
    <cacheField name="New-D3 CIP" numFmtId="0">
      <sharedItems containsBlank="1" containsMixedTypes="1" containsNumber="1" containsInteger="1" minValue="0" maxValue="51"/>
    </cacheField>
    <cacheField name="New-D3 #" numFmtId="0">
      <sharedItems containsString="0" containsBlank="1" containsNumber="1" containsInteger="1" minValue="0" maxValue="79"/>
    </cacheField>
    <cacheField name="Old-D4 CIP" numFmtId="3">
      <sharedItems containsString="0" containsBlank="1" containsNumber="1" containsInteger="1" minValue="0" maxValue="54"/>
    </cacheField>
    <cacheField name="Old-D4 #" numFmtId="3">
      <sharedItems containsString="0" containsBlank="1" containsNumber="1" containsInteger="1" minValue="0" maxValue="72"/>
    </cacheField>
    <cacheField name="New-D4 CIP" numFmtId="0">
      <sharedItems containsBlank="1" containsMixedTypes="1" containsNumber="1" containsInteger="1" minValue="0" maxValue="54"/>
    </cacheField>
    <cacheField name="New-D4 #" numFmtId="0">
      <sharedItems containsString="0" containsBlank="1" containsNumber="1" containsInteger="1" minValue="0" maxValue="71"/>
    </cacheField>
    <cacheField name="Old-D5 CIP" numFmtId="3">
      <sharedItems containsString="0" containsBlank="1" containsNumber="1" containsInteger="1" minValue="0" maxValue="54"/>
    </cacheField>
    <cacheField name="Old-D5 #" numFmtId="3">
      <sharedItems containsString="0" containsBlank="1" containsNumber="1" containsInteger="1" minValue="0" maxValue="61"/>
    </cacheField>
    <cacheField name="New-D5 CIP" numFmtId="0">
      <sharedItems containsBlank="1" containsMixedTypes="1" containsNumber="1" containsInteger="1" minValue="0" maxValue="54"/>
    </cacheField>
    <cacheField name="New-D5 #" numFmtId="0">
      <sharedItems containsString="0" containsBlank="1" containsNumber="1" containsInteger="1" minValue="0" maxValue="58"/>
    </cacheField>
    <cacheField name="Old-D6 CIP" numFmtId="3">
      <sharedItems containsString="0" containsBlank="1" containsNumber="1" containsInteger="1" minValue="0" maxValue="52"/>
    </cacheField>
    <cacheField name="Old-D6 #" numFmtId="3">
      <sharedItems containsString="0" containsBlank="1" containsNumber="1" containsInteger="1" minValue="0" maxValue="56"/>
    </cacheField>
    <cacheField name="New-D6 CIP" numFmtId="0">
      <sharedItems containsBlank="1" containsMixedTypes="1" containsNumber="1" containsInteger="1" minValue="0" maxValue="52"/>
    </cacheField>
    <cacheField name="New-D6 #" numFmtId="0">
      <sharedItems containsString="0" containsBlank="1" containsNumber="1" containsInteger="1" minValue="0" maxValue="48"/>
    </cacheField>
    <cacheField name="Old-D7 CIP" numFmtId="3">
      <sharedItems containsString="0" containsBlank="1" containsNumber="1" containsInteger="1" minValue="0" maxValue="54"/>
    </cacheField>
    <cacheField name="Old-D7 #" numFmtId="3">
      <sharedItems containsString="0" containsBlank="1" containsNumber="1" containsInteger="1" minValue="0" maxValue="55"/>
    </cacheField>
    <cacheField name="New-D7 CIP" numFmtId="0">
      <sharedItems containsBlank="1" containsMixedTypes="1" containsNumber="1" containsInteger="1" minValue="0" maxValue="54"/>
    </cacheField>
    <cacheField name="New-D7 #" numFmtId="0">
      <sharedItems containsString="0" containsBlank="1" containsNumber="1" containsInteger="1" minValue="0" maxValue="44"/>
    </cacheField>
    <cacheField name="Old-D8 CIP" numFmtId="3">
      <sharedItems containsBlank="1" containsMixedTypes="1" containsNumber="1" containsInteger="1" minValue="0" maxValue="54"/>
    </cacheField>
    <cacheField name="Old-D8 #" numFmtId="3">
      <sharedItems containsString="0" containsBlank="1" containsNumber="1" containsInteger="1" minValue="0" maxValue="37"/>
    </cacheField>
    <cacheField name="New-D8 CIP" numFmtId="0">
      <sharedItems containsBlank="1" containsMixedTypes="1" containsNumber="1" containsInteger="1" minValue="0" maxValue="54"/>
    </cacheField>
    <cacheField name="New-D8 #" numFmtId="0">
      <sharedItems containsString="0" containsBlank="1" containsNumber="1" containsInteger="1" minValue="0" maxValue="41"/>
    </cacheField>
    <cacheField name="Old-D9 CIP" numFmtId="3">
      <sharedItems containsString="0" containsBlank="1" containsNumber="1" containsInteger="1" minValue="0" maxValue="54"/>
    </cacheField>
    <cacheField name="Old-D9 #" numFmtId="3">
      <sharedItems containsString="0" containsBlank="1" containsNumber="1" containsInteger="1" minValue="0" maxValue="28"/>
    </cacheField>
    <cacheField name="New-D9 CIP" numFmtId="0">
      <sharedItems containsBlank="1" containsMixedTypes="1" containsNumber="1" containsInteger="1" minValue="0" maxValue="54"/>
    </cacheField>
    <cacheField name="New-D9 #" numFmtId="0">
      <sharedItems containsString="0" containsBlank="1" containsNumber="1" containsInteger="1" minValue="0" maxValue="25"/>
    </cacheField>
    <cacheField name="Old-D10 CIP" numFmtId="3">
      <sharedItems containsBlank="1" containsMixedTypes="1" containsNumber="1" containsInteger="1" minValue="0" maxValue="54"/>
    </cacheField>
    <cacheField name="Old-D10 #" numFmtId="3">
      <sharedItems containsString="0" containsBlank="1" containsNumber="1" containsInteger="1" minValue="0" maxValue="26"/>
    </cacheField>
    <cacheField name="New-D10 CIP" numFmtId="0">
      <sharedItems containsBlank="1" containsMixedTypes="1" containsNumber="1" containsInteger="1" minValue="0" maxValue="54"/>
    </cacheField>
    <cacheField name="New-D10 #" numFmtId="0">
      <sharedItems containsString="0" containsBlank="1" containsNumber="1" containsInteger="1" minValue="0" maxValue="23"/>
    </cacheField>
    <cacheField name="Old-Other Doctorates" numFmtId="3">
      <sharedItems containsString="0" containsBlank="1" containsNumber="1" containsInteger="1" minValue="0" maxValue="165"/>
    </cacheField>
    <cacheField name="New-Other Doctorates" numFmtId="0">
      <sharedItems containsString="0" containsBlank="1" containsNumber="1" containsInteger="1" minValue="0" maxValue="145"/>
    </cacheField>
    <cacheField name="Old-Total Doctorates#" numFmtId="3">
      <sharedItems containsSemiMixedTypes="0" containsString="0" containsNumber="1" containsInteger="1" minValue="0" maxValue="890"/>
    </cacheField>
    <cacheField name="Old-Doctoral CIPs" numFmtId="3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164">
      <sharedItems containsSemiMixedTypes="0" containsString="0" containsNumber="1" containsInteger="1" minValue="0" maxValue="841"/>
    </cacheField>
    <cacheField name="New-Doctoral CIPs" numFmtId="164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">
      <sharedItems containsSemiMixedTypes="0" containsString="0" containsNumber="1" containsInteger="1" minValue="0" maxValue="4257"/>
    </cacheField>
    <cacheField name="New-Total Advanced Degrees" numFmtId="167">
      <sharedItems containsSemiMixedTypes="0" containsString="0" containsNumber="1" containsInteger="1" minValue="0" maxValue="4461"/>
    </cacheField>
    <cacheField name="Old-Law" numFmtId="3">
      <sharedItems containsString="0" containsBlank="1" containsNumber="1" containsInteger="1" minValue="90" maxValue="488"/>
    </cacheField>
    <cacheField name="New-Law" numFmtId="164">
      <sharedItems containsString="0" containsBlank="1" containsNumber="1" containsInteger="1" minValue="0" maxValue="433"/>
    </cacheField>
    <cacheField name="Old-Medicine" numFmtId="3">
      <sharedItems containsString="0" containsBlank="1" containsNumber="1" containsInteger="1" minValue="42" maxValue="219"/>
    </cacheField>
    <cacheField name="New-Medicine" numFmtId="0">
      <sharedItems containsString="0" containsBlank="1" containsNumber="1" containsInteger="1" minValue="50" maxValue="233"/>
    </cacheField>
    <cacheField name="Old-Dentistry" numFmtId="3">
      <sharedItems containsString="0" containsBlank="1" containsNumber="1" containsInteger="1" minValue="29" maxValue="100"/>
    </cacheField>
    <cacheField name="New-Dentistry" numFmtId="164">
      <sharedItems containsString="0" containsBlank="1" containsNumber="1" containsInteger="1" minValue="31" maxValue="115"/>
    </cacheField>
    <cacheField name="Old-Pharmacy" numFmtId="3">
      <sharedItems containsString="0" containsBlank="1" containsNumber="1" containsInteger="1" minValue="70" maxValue="492"/>
    </cacheField>
    <cacheField name="New-Pharmacy" numFmtId="164">
      <sharedItems containsString="0" containsBlank="1" containsNumber="1" containsInteger="1" minValue="73" maxValue="474"/>
    </cacheField>
    <cacheField name="Old-Chiropractic" numFmtId="3">
      <sharedItems containsNonDate="0" containsString="0" containsBlank="1"/>
    </cacheField>
    <cacheField name="New-Chiropractic" numFmtId="164">
      <sharedItems containsNonDate="0" containsString="0" containsBlank="1"/>
    </cacheField>
    <cacheField name="Old-Optometry" numFmtId="3">
      <sharedItems containsString="0" containsBlank="1" containsNumber="1" containsInteger="1" minValue="27" maxValue="100"/>
    </cacheField>
    <cacheField name="New-Optometry" numFmtId="164">
      <sharedItems containsString="0" containsBlank="1" containsNumber="1" containsInteger="1" minValue="26" maxValue="87"/>
    </cacheField>
    <cacheField name="Old-Osteopathic Medicine" numFmtId="3">
      <sharedItems containsString="0" containsBlank="1" containsNumber="1" containsInteger="1" minValue="76" maxValue="128"/>
    </cacheField>
    <cacheField name="New-Osteopathic Medicine" numFmtId="164">
      <sharedItems containsString="0" containsBlank="1" containsNumber="1" containsInteger="1" minValue="75" maxValue="128"/>
    </cacheField>
    <cacheField name="Old-Veterinary Medicine" numFmtId="3">
      <sharedItems containsString="0" containsBlank="1" containsNumber="1" containsInteger="1" minValue="65" maxValue="129"/>
    </cacheField>
    <cacheField name="New-Veterinary Medicine" numFmtId="164">
      <sharedItems containsString="0" containsBlank="1" containsNumber="1" containsInteger="1" minValue="61" maxValue="119"/>
    </cacheField>
    <cacheField name="Old-Podiatry" numFmtId="3">
      <sharedItems containsNonDate="0" containsString="0" containsBlank="1"/>
    </cacheField>
    <cacheField name="New-Podiatry" numFmtId="164">
      <sharedItems containsNonDate="0" containsString="0" containsBlank="1"/>
    </cacheField>
    <cacheField name="Old-Oth PP" numFmtId="3">
      <sharedItems containsString="0" containsBlank="1" containsNumber="1" containsInteger="1" minValue="0" maxValue="67"/>
    </cacheField>
    <cacheField name="New-Oth PP" numFmtId="164">
      <sharedItems containsString="0" containsBlank="1" containsNumber="1" containsInteger="1" minValue="0" maxValue="71"/>
    </cacheField>
    <cacheField name="Old-FP Total" numFmtId="3">
      <sharedItems containsSemiMixedTypes="0" containsString="0" containsNumber="1" containsInteger="1" minValue="0" maxValue="1250"/>
    </cacheField>
    <cacheField name="New-FP Total" numFmtId="164">
      <sharedItems containsSemiMixedTypes="0" containsString="0" containsNumber="1" containsInteger="1" minValue="0" maxValue="1187"/>
    </cacheField>
    <cacheField name="Old-Grand Total" numFmtId="3">
      <sharedItems containsSemiMixedTypes="0" containsString="0" containsNumber="1" containsInteger="1" minValue="0" maxValue="14637"/>
    </cacheField>
    <cacheField name="New-Grand Total" numFmtId="167">
      <sharedItems containsSemiMixedTypes="0" containsString="0" containsNumber="1" containsInteger="1" minValue="0" maxValue="15132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3">
        <discretePr count="14">
          <x v="1"/>
          <x v="1"/>
          <x v="1"/>
          <x v="1"/>
          <x v="1"/>
          <x v="1"/>
          <x v="2"/>
          <x v="2"/>
          <x v="2"/>
          <x v="3"/>
          <x v="3"/>
          <x v="0"/>
          <x v="2"/>
          <x v="3"/>
        </discretePr>
        <groupItems count="4">
          <n v="15"/>
          <s v="Group1"/>
          <s v="Group2"/>
          <s v="Group3"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0">
  <r>
    <x v="0"/>
    <s v="Auburn University"/>
    <n v="100858"/>
    <x v="0"/>
    <m/>
    <m/>
    <m/>
    <m/>
    <m/>
    <m/>
    <n v="0"/>
    <n v="0"/>
    <n v="3763"/>
    <n v="339"/>
    <m/>
    <m/>
    <n v="339"/>
    <n v="3942"/>
    <n v="385"/>
    <m/>
    <n v="1"/>
    <n v="386"/>
    <m/>
    <m/>
    <m/>
    <m/>
    <m/>
    <m/>
    <m/>
    <m/>
    <m/>
    <m/>
    <m/>
    <m/>
    <m/>
    <m/>
    <m/>
    <m/>
    <m/>
    <m/>
    <m/>
    <m/>
    <n v="0"/>
    <n v="0.74647887323943662"/>
    <n v="0"/>
    <n v="0.75057121096725055"/>
    <m/>
    <m/>
    <n v="13"/>
    <n v="214"/>
    <n v="52"/>
    <n v="235"/>
    <n v="52"/>
    <n v="200"/>
    <n v="13"/>
    <n v="215"/>
    <n v="14"/>
    <n v="148"/>
    <n v="14"/>
    <n v="142"/>
    <n v="1"/>
    <n v="50"/>
    <n v="1"/>
    <n v="48"/>
    <n v="4"/>
    <n v="35"/>
    <n v="23"/>
    <n v="37"/>
    <n v="42"/>
    <n v="27"/>
    <n v="51"/>
    <n v="34"/>
    <n v="51"/>
    <n v="26"/>
    <n v="19"/>
    <n v="23"/>
    <n v="23"/>
    <n v="25"/>
    <n v="26"/>
    <n v="22"/>
    <n v="44"/>
    <n v="20"/>
    <n v="42"/>
    <n v="20"/>
    <n v="26"/>
    <n v="19"/>
    <n v="27"/>
    <n v="16"/>
    <m/>
    <m/>
    <n v="94"/>
    <n v="81"/>
    <n v="858"/>
    <n v="10"/>
    <n v="873"/>
    <n v="10"/>
    <n v="14"/>
    <n v="48"/>
    <n v="14"/>
    <n v="51"/>
    <n v="13"/>
    <n v="44"/>
    <n v="13"/>
    <n v="39"/>
    <n v="51"/>
    <n v="19"/>
    <n v="42"/>
    <n v="22"/>
    <n v="42"/>
    <n v="17"/>
    <n v="51"/>
    <n v="20"/>
    <n v="1"/>
    <n v="15"/>
    <n v="1"/>
    <n v="17"/>
    <n v="52"/>
    <n v="15"/>
    <n v="40"/>
    <n v="17"/>
    <n v="40"/>
    <n v="8"/>
    <n v="26"/>
    <n v="11"/>
    <n v="26"/>
    <n v="7"/>
    <n v="27"/>
    <n v="10"/>
    <n v="27"/>
    <n v="7"/>
    <n v="54"/>
    <n v="9"/>
    <n v="44"/>
    <n v="6"/>
    <n v="44"/>
    <n v="6"/>
    <n v="19"/>
    <n v="20"/>
    <n v="205"/>
    <n v="10"/>
    <n v="0.23414634146341465"/>
    <n v="222"/>
    <n v="10"/>
    <n v="0.22972972972972974"/>
    <n v="1063"/>
    <n v="1095"/>
    <m/>
    <m/>
    <m/>
    <m/>
    <m/>
    <m/>
    <n v="126"/>
    <n v="119"/>
    <m/>
    <m/>
    <m/>
    <m/>
    <m/>
    <m/>
    <n v="89"/>
    <n v="96"/>
    <m/>
    <m/>
    <m/>
    <m/>
    <n v="215"/>
    <n v="215"/>
    <n v="5041"/>
    <n v="5252"/>
  </r>
  <r>
    <x v="0"/>
    <s v="University of Alabama "/>
    <n v="100751"/>
    <x v="0"/>
    <m/>
    <m/>
    <m/>
    <m/>
    <m/>
    <m/>
    <n v="0"/>
    <n v="0"/>
    <n v="3398"/>
    <n v="218"/>
    <m/>
    <m/>
    <n v="218"/>
    <n v="3713"/>
    <n v="272"/>
    <m/>
    <m/>
    <n v="272"/>
    <m/>
    <m/>
    <m/>
    <m/>
    <m/>
    <m/>
    <m/>
    <m/>
    <m/>
    <m/>
    <m/>
    <m/>
    <m/>
    <m/>
    <m/>
    <m/>
    <m/>
    <m/>
    <m/>
    <m/>
    <n v="0"/>
    <n v="0.67114359075646846"/>
    <n v="0"/>
    <n v="0.68848507324309294"/>
    <m/>
    <m/>
    <n v="13"/>
    <n v="303"/>
    <n v="52"/>
    <n v="255"/>
    <n v="52"/>
    <n v="200"/>
    <n v="13"/>
    <n v="253"/>
    <n v="44"/>
    <n v="161"/>
    <n v="44"/>
    <n v="132"/>
    <n v="25"/>
    <n v="111"/>
    <n v="19"/>
    <n v="117"/>
    <n v="19"/>
    <n v="105"/>
    <n v="51"/>
    <n v="114"/>
    <n v="51"/>
    <n v="95"/>
    <n v="25"/>
    <n v="104"/>
    <n v="14"/>
    <n v="60"/>
    <n v="14"/>
    <n v="53"/>
    <n v="22"/>
    <n v="38"/>
    <n v="50"/>
    <n v="46"/>
    <n v="42"/>
    <n v="35"/>
    <n v="9"/>
    <n v="46"/>
    <n v="9"/>
    <n v="35"/>
    <n v="42"/>
    <n v="29"/>
    <m/>
    <m/>
    <n v="177"/>
    <n v="167"/>
    <n v="1320"/>
    <n v="10"/>
    <n v="1316"/>
    <n v="10"/>
    <n v="13"/>
    <n v="55"/>
    <n v="13"/>
    <n v="51"/>
    <n v="40"/>
    <n v="28"/>
    <n v="14"/>
    <n v="21"/>
    <n v="52"/>
    <n v="25"/>
    <n v="40"/>
    <n v="16"/>
    <n v="42"/>
    <n v="18"/>
    <n v="52"/>
    <n v="16"/>
    <n v="14"/>
    <n v="15"/>
    <n v="26"/>
    <n v="13"/>
    <n v="26"/>
    <n v="7"/>
    <n v="42"/>
    <n v="12"/>
    <n v="31"/>
    <n v="7"/>
    <n v="9"/>
    <n v="12"/>
    <n v="50"/>
    <n v="6"/>
    <n v="27"/>
    <n v="8"/>
    <n v="9"/>
    <n v="6"/>
    <n v="45"/>
    <n v="7"/>
    <n v="27"/>
    <n v="5"/>
    <n v="23"/>
    <n v="6"/>
    <n v="19"/>
    <n v="30"/>
    <n v="191"/>
    <n v="10"/>
    <n v="0.2879581151832461"/>
    <n v="192"/>
    <n v="10"/>
    <n v="0.265625"/>
    <n v="1511"/>
    <n v="1508"/>
    <n v="154"/>
    <n v="172"/>
    <m/>
    <m/>
    <m/>
    <m/>
    <m/>
    <m/>
    <m/>
    <m/>
    <m/>
    <m/>
    <m/>
    <m/>
    <m/>
    <m/>
    <m/>
    <m/>
    <m/>
    <m/>
    <n v="154"/>
    <n v="172"/>
    <n v="5063"/>
    <n v="5393"/>
  </r>
  <r>
    <x v="0"/>
    <s v="University of Alabama at Birmingham"/>
    <n v="100663"/>
    <x v="0"/>
    <m/>
    <m/>
    <m/>
    <m/>
    <m/>
    <m/>
    <n v="0"/>
    <n v="0"/>
    <n v="1907"/>
    <n v="140"/>
    <m/>
    <n v="92"/>
    <n v="232"/>
    <n v="1916"/>
    <n v="125"/>
    <m/>
    <n v="73"/>
    <n v="198"/>
    <m/>
    <m/>
    <m/>
    <m/>
    <m/>
    <m/>
    <m/>
    <m/>
    <m/>
    <m/>
    <m/>
    <m/>
    <m/>
    <m/>
    <m/>
    <m/>
    <m/>
    <m/>
    <m/>
    <m/>
    <n v="0"/>
    <n v="0.54657494984236166"/>
    <n v="0"/>
    <n v="0.55778748180494908"/>
    <n v="14"/>
    <n v="11"/>
    <n v="51"/>
    <n v="447"/>
    <n v="51"/>
    <n v="449"/>
    <n v="13"/>
    <n v="316"/>
    <n v="13"/>
    <n v="282"/>
    <n v="52"/>
    <n v="144"/>
    <n v="52"/>
    <n v="165"/>
    <n v="14"/>
    <n v="74"/>
    <n v="14"/>
    <n v="82"/>
    <n v="44"/>
    <n v="26"/>
    <n v="26"/>
    <n v="20"/>
    <n v="26"/>
    <n v="21"/>
    <n v="44"/>
    <n v="17"/>
    <n v="11"/>
    <n v="19"/>
    <n v="9"/>
    <n v="14"/>
    <n v="23"/>
    <n v="14"/>
    <n v="11"/>
    <n v="13"/>
    <n v="9"/>
    <n v="13"/>
    <n v="23"/>
    <n v="13"/>
    <n v="27"/>
    <n v="11"/>
    <n v="40"/>
    <n v="11"/>
    <m/>
    <m/>
    <n v="41"/>
    <m/>
    <n v="1126"/>
    <n v="10"/>
    <n v="1066"/>
    <n v="10"/>
    <n v="26"/>
    <n v="81"/>
    <n v="26"/>
    <n v="84"/>
    <n v="51"/>
    <n v="57"/>
    <n v="51"/>
    <n v="54"/>
    <n v="14"/>
    <n v="13"/>
    <n v="14"/>
    <n v="13"/>
    <n v="13"/>
    <n v="12"/>
    <n v="13"/>
    <n v="10"/>
    <n v="31"/>
    <n v="8"/>
    <n v="42"/>
    <n v="9"/>
    <n v="42"/>
    <n v="8"/>
    <n v="31"/>
    <n v="4"/>
    <n v="11"/>
    <n v="6"/>
    <n v="11"/>
    <n v="3"/>
    <n v="45"/>
    <n v="5"/>
    <n v="40"/>
    <n v="3"/>
    <n v="27"/>
    <n v="3"/>
    <n v="45"/>
    <n v="3"/>
    <n v="40"/>
    <n v="3"/>
    <n v="27"/>
    <n v="2"/>
    <n v="1"/>
    <n v="1"/>
    <n v="197"/>
    <n v="10"/>
    <n v="0.41116751269035534"/>
    <n v="186"/>
    <n v="10"/>
    <n v="0.45161290322580644"/>
    <n v="1323"/>
    <n v="1252"/>
    <m/>
    <m/>
    <n v="160"/>
    <n v="161"/>
    <n v="51"/>
    <n v="56"/>
    <m/>
    <m/>
    <m/>
    <m/>
    <n v="34"/>
    <n v="39"/>
    <m/>
    <m/>
    <m/>
    <m/>
    <m/>
    <m/>
    <m/>
    <m/>
    <n v="245"/>
    <n v="256"/>
    <n v="3489"/>
    <n v="3435"/>
  </r>
  <r>
    <x v="0"/>
    <s v="University of Alabama in Huntsville"/>
    <n v="100706"/>
    <x v="1"/>
    <m/>
    <m/>
    <m/>
    <m/>
    <m/>
    <m/>
    <n v="0"/>
    <n v="0"/>
    <n v="889"/>
    <n v="27"/>
    <m/>
    <m/>
    <n v="27"/>
    <n v="900"/>
    <n v="28"/>
    <m/>
    <m/>
    <n v="28"/>
    <m/>
    <m/>
    <m/>
    <m/>
    <m/>
    <m/>
    <m/>
    <m/>
    <m/>
    <m/>
    <m/>
    <m/>
    <m/>
    <m/>
    <m/>
    <m/>
    <m/>
    <m/>
    <m/>
    <m/>
    <n v="0"/>
    <n v="0.69561815336463229"/>
    <n v="0"/>
    <n v="0.67314884068810765"/>
    <n v="29"/>
    <n v="26"/>
    <n v="14"/>
    <n v="111"/>
    <n v="14"/>
    <n v="134"/>
    <n v="52"/>
    <n v="59"/>
    <n v="52"/>
    <n v="64"/>
    <n v="51"/>
    <n v="57"/>
    <n v="51"/>
    <n v="55"/>
    <n v="11"/>
    <n v="32"/>
    <n v="11"/>
    <n v="52"/>
    <n v="23"/>
    <n v="20"/>
    <n v="40"/>
    <n v="26"/>
    <n v="40"/>
    <n v="15"/>
    <n v="23"/>
    <n v="23"/>
    <n v="26"/>
    <n v="7"/>
    <n v="44"/>
    <n v="9"/>
    <n v="27"/>
    <n v="6"/>
    <n v="26"/>
    <n v="8"/>
    <n v="42"/>
    <n v="5"/>
    <n v="27"/>
    <n v="4"/>
    <n v="44"/>
    <n v="5"/>
    <n v="54"/>
    <n v="4"/>
    <m/>
    <m/>
    <n v="6"/>
    <m/>
    <n v="323"/>
    <n v="10"/>
    <n v="379"/>
    <n v="10"/>
    <n v="14"/>
    <n v="22"/>
    <n v="14"/>
    <n v="16"/>
    <n v="11"/>
    <n v="5"/>
    <n v="11"/>
    <n v="6"/>
    <n v="40"/>
    <n v="5"/>
    <n v="40"/>
    <n v="6"/>
    <n v="27"/>
    <n v="3"/>
    <n v="26"/>
    <n v="2"/>
    <n v="26"/>
    <n v="1"/>
    <n v="27"/>
    <n v="2"/>
    <n v="30"/>
    <n v="1"/>
    <m/>
    <m/>
    <m/>
    <m/>
    <m/>
    <m/>
    <m/>
    <m/>
    <m/>
    <m/>
    <m/>
    <m/>
    <m/>
    <m/>
    <m/>
    <m/>
    <m/>
    <m/>
    <m/>
    <m/>
    <n v="37"/>
    <n v="6"/>
    <n v="0.59459459459459463"/>
    <n v="32"/>
    <n v="5"/>
    <n v="0.5"/>
    <n v="360"/>
    <n v="411"/>
    <m/>
    <m/>
    <m/>
    <m/>
    <m/>
    <m/>
    <m/>
    <m/>
    <m/>
    <m/>
    <m/>
    <m/>
    <m/>
    <m/>
    <m/>
    <m/>
    <m/>
    <m/>
    <m/>
    <m/>
    <n v="0"/>
    <n v="0"/>
    <n v="1278"/>
    <n v="1337"/>
  </r>
  <r>
    <x v="0"/>
    <s v="Alabama Agricultural &amp; Mechanical University"/>
    <n v="100654"/>
    <x v="2"/>
    <m/>
    <m/>
    <m/>
    <m/>
    <m/>
    <m/>
    <n v="0"/>
    <n v="0"/>
    <n v="631"/>
    <n v="78"/>
    <m/>
    <m/>
    <n v="78"/>
    <n v="628"/>
    <n v="76"/>
    <m/>
    <m/>
    <n v="76"/>
    <m/>
    <m/>
    <m/>
    <m/>
    <m/>
    <m/>
    <m/>
    <m/>
    <m/>
    <m/>
    <m/>
    <m/>
    <m/>
    <m/>
    <m/>
    <m/>
    <m/>
    <m/>
    <m/>
    <m/>
    <n v="0"/>
    <n v="0.69037199124726478"/>
    <n v="0"/>
    <n v="0.67891891891891887"/>
    <m/>
    <m/>
    <n v="13"/>
    <n v="85"/>
    <n v="13"/>
    <n v="83"/>
    <n v="42"/>
    <n v="40"/>
    <n v="44"/>
    <n v="83"/>
    <n v="44"/>
    <n v="39"/>
    <n v="42"/>
    <n v="32"/>
    <n v="52"/>
    <n v="16"/>
    <n v="1"/>
    <n v="18"/>
    <n v="11"/>
    <n v="14"/>
    <n v="51"/>
    <n v="11"/>
    <n v="19"/>
    <n v="14"/>
    <n v="11"/>
    <n v="10"/>
    <n v="1"/>
    <n v="14"/>
    <n v="52"/>
    <n v="10"/>
    <n v="15"/>
    <n v="12"/>
    <n v="26"/>
    <n v="10"/>
    <n v="26"/>
    <n v="10"/>
    <n v="15"/>
    <n v="9"/>
    <n v="51"/>
    <n v="9"/>
    <n v="19"/>
    <n v="9"/>
    <m/>
    <m/>
    <n v="5"/>
    <n v="6"/>
    <n v="258"/>
    <n v="10"/>
    <n v="281"/>
    <n v="10"/>
    <n v="13"/>
    <n v="12"/>
    <n v="1"/>
    <n v="11"/>
    <n v="1"/>
    <n v="8"/>
    <n v="40"/>
    <n v="3"/>
    <n v="40"/>
    <n v="5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"/>
    <n v="0.48"/>
    <n v="16"/>
    <n v="3"/>
    <n v="0.6875"/>
    <n v="283"/>
    <n v="297"/>
    <m/>
    <m/>
    <m/>
    <m/>
    <m/>
    <m/>
    <m/>
    <m/>
    <m/>
    <m/>
    <m/>
    <m/>
    <m/>
    <m/>
    <m/>
    <m/>
    <m/>
    <m/>
    <m/>
    <m/>
    <n v="0"/>
    <n v="0"/>
    <n v="914"/>
    <n v="925"/>
  </r>
  <r>
    <x v="0"/>
    <s v="Jacksonville State University "/>
    <n v="101480"/>
    <x v="2"/>
    <m/>
    <m/>
    <m/>
    <m/>
    <m/>
    <m/>
    <n v="0"/>
    <n v="0"/>
    <n v="1051"/>
    <n v="169"/>
    <m/>
    <n v="0"/>
    <n v="169"/>
    <n v="1137"/>
    <n v="182"/>
    <m/>
    <n v="1"/>
    <n v="183"/>
    <m/>
    <m/>
    <m/>
    <m/>
    <m/>
    <m/>
    <m/>
    <m/>
    <m/>
    <m/>
    <m/>
    <m/>
    <m/>
    <m/>
    <m/>
    <m/>
    <m/>
    <m/>
    <m/>
    <m/>
    <n v="0"/>
    <n v="0.64124466137888958"/>
    <n v="0"/>
    <n v="0.66569086651053866"/>
    <m/>
    <n v="75"/>
    <n v="13"/>
    <n v="433"/>
    <n v="13"/>
    <n v="329"/>
    <n v="44"/>
    <n v="55"/>
    <n v="44"/>
    <n v="64"/>
    <n v="52"/>
    <n v="17"/>
    <n v="51"/>
    <n v="17"/>
    <n v="54"/>
    <n v="15"/>
    <n v="52"/>
    <n v="17"/>
    <n v="51"/>
    <n v="14"/>
    <n v="43"/>
    <n v="12"/>
    <n v="26"/>
    <n v="11"/>
    <n v="54"/>
    <n v="11"/>
    <n v="43"/>
    <n v="10"/>
    <n v="26"/>
    <n v="10"/>
    <n v="42"/>
    <n v="8"/>
    <n v="24"/>
    <n v="9"/>
    <n v="23"/>
    <n v="7"/>
    <n v="23"/>
    <n v="8"/>
    <n v="24"/>
    <n v="6"/>
    <n v="42"/>
    <n v="7"/>
    <m/>
    <m/>
    <n v="12"/>
    <n v="12"/>
    <n v="588"/>
    <n v="10"/>
    <n v="49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88"/>
    <n v="496"/>
    <m/>
    <m/>
    <m/>
    <m/>
    <m/>
    <m/>
    <m/>
    <m/>
    <m/>
    <m/>
    <m/>
    <m/>
    <m/>
    <m/>
    <m/>
    <m/>
    <m/>
    <m/>
    <m/>
    <m/>
    <n v="0"/>
    <n v="0"/>
    <n v="1639"/>
    <n v="1708"/>
  </r>
  <r>
    <x v="0"/>
    <s v="Troy University"/>
    <n v="102368"/>
    <x v="2"/>
    <m/>
    <m/>
    <m/>
    <m/>
    <n v="127"/>
    <n v="145"/>
    <n v="8.0840229153405468E-2"/>
    <n v="9.2474489795918366E-2"/>
    <n v="1571"/>
    <n v="185"/>
    <m/>
    <m/>
    <n v="185"/>
    <n v="1568"/>
    <n v="223"/>
    <m/>
    <n v="9"/>
    <n v="232"/>
    <m/>
    <m/>
    <m/>
    <m/>
    <m/>
    <m/>
    <m/>
    <m/>
    <m/>
    <m/>
    <m/>
    <m/>
    <m/>
    <m/>
    <m/>
    <m/>
    <m/>
    <m/>
    <m/>
    <m/>
    <n v="0"/>
    <n v="0.59440030268634125"/>
    <n v="0"/>
    <n v="0.6108297623685236"/>
    <m/>
    <m/>
    <n v="52"/>
    <n v="374"/>
    <n v="52"/>
    <n v="327"/>
    <n v="13"/>
    <n v="352"/>
    <n v="13"/>
    <n v="324"/>
    <n v="42"/>
    <n v="123"/>
    <n v="42"/>
    <n v="96"/>
    <n v="51"/>
    <n v="31"/>
    <n v="44"/>
    <n v="32"/>
    <n v="44"/>
    <n v="20"/>
    <n v="51"/>
    <n v="25"/>
    <n v="31"/>
    <n v="14"/>
    <n v="31"/>
    <n v="20"/>
    <n v="45"/>
    <n v="11"/>
    <n v="43"/>
    <n v="12"/>
    <n v="43"/>
    <n v="8"/>
    <n v="30"/>
    <n v="10"/>
    <n v="11"/>
    <n v="7"/>
    <n v="45"/>
    <n v="7"/>
    <n v="30"/>
    <n v="5"/>
    <n v="11"/>
    <n v="1"/>
    <m/>
    <m/>
    <m/>
    <n v="0"/>
    <n v="945"/>
    <n v="10"/>
    <n v="85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45"/>
    <n v="854"/>
    <m/>
    <m/>
    <m/>
    <m/>
    <m/>
    <m/>
    <m/>
    <m/>
    <m/>
    <m/>
    <m/>
    <m/>
    <m/>
    <m/>
    <m/>
    <m/>
    <m/>
    <m/>
    <m/>
    <m/>
    <n v="0"/>
    <n v="0"/>
    <n v="2643"/>
    <n v="2567"/>
  </r>
  <r>
    <x v="0"/>
    <s v="University of South Alabama"/>
    <n v="102094"/>
    <x v="2"/>
    <n v="60"/>
    <n v="83"/>
    <n v="29"/>
    <n v="27"/>
    <m/>
    <m/>
    <n v="0"/>
    <n v="0"/>
    <n v="1559"/>
    <n v="243"/>
    <m/>
    <m/>
    <n v="243"/>
    <n v="1654"/>
    <n v="224"/>
    <m/>
    <m/>
    <n v="224"/>
    <m/>
    <m/>
    <m/>
    <m/>
    <m/>
    <m/>
    <m/>
    <m/>
    <m/>
    <m/>
    <m/>
    <m/>
    <m/>
    <m/>
    <m/>
    <m/>
    <m/>
    <m/>
    <m/>
    <m/>
    <n v="0"/>
    <n v="0.61499013806706115"/>
    <n v="0"/>
    <n v="0.59432267337405675"/>
    <n v="3"/>
    <n v="3"/>
    <n v="51"/>
    <n v="319"/>
    <n v="51"/>
    <n v="327"/>
    <n v="13"/>
    <n v="195"/>
    <n v="13"/>
    <n v="194"/>
    <n v="14"/>
    <n v="117"/>
    <n v="14"/>
    <n v="154"/>
    <n v="11"/>
    <n v="37"/>
    <n v="11"/>
    <n v="41"/>
    <n v="52"/>
    <n v="31"/>
    <n v="23"/>
    <n v="12"/>
    <n v="42"/>
    <n v="13"/>
    <n v="52"/>
    <n v="36"/>
    <n v="44"/>
    <n v="7"/>
    <n v="9"/>
    <n v="13"/>
    <n v="26"/>
    <n v="6"/>
    <n v="30"/>
    <n v="7"/>
    <n v="9"/>
    <n v="6"/>
    <n v="42"/>
    <n v="7"/>
    <n v="30"/>
    <n v="5"/>
    <n v="26"/>
    <n v="4"/>
    <m/>
    <m/>
    <n v="11"/>
    <m/>
    <n v="747"/>
    <n v="10"/>
    <n v="795"/>
    <n v="10"/>
    <n v="51"/>
    <n v="55"/>
    <n v="51"/>
    <n v="139"/>
    <n v="13"/>
    <n v="9"/>
    <n v="13"/>
    <n v="10"/>
    <n v="30"/>
    <n v="5"/>
    <n v="26"/>
    <n v="6"/>
    <n v="26"/>
    <n v="3"/>
    <n v="30"/>
    <n v="3"/>
    <m/>
    <m/>
    <m/>
    <m/>
    <m/>
    <m/>
    <m/>
    <m/>
    <m/>
    <m/>
    <m/>
    <m/>
    <m/>
    <m/>
    <m/>
    <m/>
    <m/>
    <m/>
    <m/>
    <m/>
    <m/>
    <m/>
    <m/>
    <m/>
    <m/>
    <m/>
    <n v="72"/>
    <n v="4"/>
    <n v="0.76388888888888884"/>
    <n v="158"/>
    <n v="4"/>
    <n v="0.879746835443038"/>
    <n v="819"/>
    <n v="953"/>
    <m/>
    <m/>
    <n v="65"/>
    <n v="63"/>
    <m/>
    <m/>
    <m/>
    <m/>
    <m/>
    <m/>
    <m/>
    <m/>
    <m/>
    <m/>
    <m/>
    <m/>
    <m/>
    <m/>
    <m/>
    <m/>
    <n v="65"/>
    <n v="63"/>
    <n v="2535"/>
    <n v="2783"/>
  </r>
  <r>
    <x v="0"/>
    <s v="Alabama State University "/>
    <n v="100724"/>
    <x v="3"/>
    <m/>
    <m/>
    <m/>
    <m/>
    <m/>
    <m/>
    <n v="0"/>
    <n v="0"/>
    <n v="457"/>
    <n v="89"/>
    <m/>
    <m/>
    <n v="89"/>
    <n v="497"/>
    <n v="91"/>
    <m/>
    <m/>
    <n v="91"/>
    <m/>
    <m/>
    <m/>
    <m/>
    <m/>
    <m/>
    <m/>
    <m/>
    <m/>
    <m/>
    <m/>
    <m/>
    <m/>
    <m/>
    <m/>
    <m/>
    <m/>
    <m/>
    <m/>
    <m/>
    <n v="0"/>
    <n v="0.67503692762186118"/>
    <n v="0"/>
    <n v="0.58816568047337281"/>
    <m/>
    <m/>
    <n v="13"/>
    <n v="177"/>
    <n v="13"/>
    <n v="195"/>
    <n v="44"/>
    <n v="15"/>
    <n v="44"/>
    <n v="18"/>
    <n v="52"/>
    <n v="6"/>
    <n v="52"/>
    <n v="12"/>
    <n v="27"/>
    <n v="1"/>
    <n v="51"/>
    <n v="8"/>
    <m/>
    <m/>
    <n v="26"/>
    <n v="6"/>
    <m/>
    <m/>
    <n v="27"/>
    <n v="1"/>
    <m/>
    <m/>
    <m/>
    <m/>
    <m/>
    <m/>
    <m/>
    <m/>
    <m/>
    <m/>
    <m/>
    <m/>
    <m/>
    <m/>
    <m/>
    <m/>
    <m/>
    <m/>
    <m/>
    <m/>
    <n v="199"/>
    <n v="4"/>
    <n v="240"/>
    <n v="6"/>
    <n v="51"/>
    <n v="12"/>
    <n v="51"/>
    <n v="50"/>
    <n v="13"/>
    <n v="9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5714285714285714"/>
    <n v="58"/>
    <n v="2"/>
    <n v="0.86206896551724133"/>
    <n v="220"/>
    <n v="298"/>
    <m/>
    <m/>
    <m/>
    <m/>
    <m/>
    <m/>
    <m/>
    <m/>
    <m/>
    <m/>
    <m/>
    <m/>
    <m/>
    <m/>
    <m/>
    <m/>
    <m/>
    <m/>
    <m/>
    <n v="50"/>
    <n v="0"/>
    <n v="50"/>
    <n v="677"/>
    <n v="845"/>
  </r>
  <r>
    <x v="0"/>
    <s v="Auburn University at Montgomery"/>
    <n v="100830"/>
    <x v="3"/>
    <m/>
    <m/>
    <m/>
    <m/>
    <m/>
    <m/>
    <n v="0"/>
    <n v="0"/>
    <n v="678"/>
    <n v="85"/>
    <m/>
    <m/>
    <n v="85"/>
    <n v="651"/>
    <n v="86"/>
    <m/>
    <n v="8"/>
    <n v="94"/>
    <m/>
    <m/>
    <m/>
    <m/>
    <m/>
    <m/>
    <m/>
    <m/>
    <m/>
    <m/>
    <m/>
    <m/>
    <m/>
    <m/>
    <m/>
    <m/>
    <m/>
    <m/>
    <m/>
    <m/>
    <n v="0"/>
    <n v="0.7369565217391304"/>
    <n v="0"/>
    <n v="0.7217294900221729"/>
    <m/>
    <m/>
    <n v="13"/>
    <n v="107"/>
    <n v="13"/>
    <n v="112"/>
    <n v="52"/>
    <n v="58"/>
    <n v="52"/>
    <n v="78"/>
    <n v="43"/>
    <n v="31"/>
    <n v="43"/>
    <n v="29"/>
    <n v="44"/>
    <n v="28"/>
    <n v="44"/>
    <n v="21"/>
    <n v="42"/>
    <n v="11"/>
    <n v="24"/>
    <n v="6"/>
    <n v="24"/>
    <n v="5"/>
    <n v="42"/>
    <n v="4"/>
    <n v="45"/>
    <n v="2"/>
    <n v="45"/>
    <n v="1"/>
    <m/>
    <m/>
    <m/>
    <m/>
    <m/>
    <m/>
    <m/>
    <m/>
    <m/>
    <m/>
    <m/>
    <m/>
    <m/>
    <m/>
    <m/>
    <m/>
    <n v="242"/>
    <n v="7"/>
    <n v="25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2"/>
    <n v="251"/>
    <m/>
    <m/>
    <m/>
    <m/>
    <m/>
    <m/>
    <m/>
    <m/>
    <m/>
    <m/>
    <m/>
    <m/>
    <m/>
    <m/>
    <m/>
    <m/>
    <m/>
    <m/>
    <m/>
    <m/>
    <n v="0"/>
    <n v="0"/>
    <n v="920"/>
    <n v="902"/>
  </r>
  <r>
    <x v="0"/>
    <s v="University of North Alabama"/>
    <n v="101879"/>
    <x v="3"/>
    <m/>
    <m/>
    <m/>
    <m/>
    <m/>
    <m/>
    <n v="0"/>
    <n v="0"/>
    <n v="845"/>
    <n v="78"/>
    <m/>
    <n v="65"/>
    <n v="143"/>
    <n v="901"/>
    <n v="90"/>
    <m/>
    <n v="35"/>
    <n v="125"/>
    <m/>
    <m/>
    <m/>
    <m/>
    <m/>
    <m/>
    <m/>
    <m/>
    <m/>
    <m/>
    <m/>
    <m/>
    <m/>
    <m/>
    <m/>
    <m/>
    <m/>
    <m/>
    <m/>
    <m/>
    <n v="0"/>
    <n v="0.63677467972871138"/>
    <n v="0"/>
    <n v="0.6018704074816299"/>
    <m/>
    <m/>
    <n v="52"/>
    <n v="302"/>
    <n v="52"/>
    <n v="417"/>
    <n v="13"/>
    <n v="127"/>
    <n v="13"/>
    <n v="100"/>
    <n v="42"/>
    <n v="17"/>
    <n v="42"/>
    <n v="25"/>
    <n v="51"/>
    <n v="10"/>
    <n v="23"/>
    <n v="14"/>
    <n v="31"/>
    <n v="10"/>
    <n v="51"/>
    <n v="14"/>
    <n v="43"/>
    <n v="9"/>
    <n v="31"/>
    <n v="12"/>
    <n v="23"/>
    <n v="7"/>
    <n v="54"/>
    <n v="9"/>
    <m/>
    <m/>
    <n v="43"/>
    <n v="5"/>
    <m/>
    <m/>
    <m/>
    <m/>
    <m/>
    <m/>
    <m/>
    <m/>
    <m/>
    <m/>
    <m/>
    <m/>
    <n v="482"/>
    <n v="7"/>
    <n v="59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2"/>
    <n v="596"/>
    <m/>
    <m/>
    <m/>
    <m/>
    <m/>
    <m/>
    <m/>
    <m/>
    <m/>
    <m/>
    <m/>
    <m/>
    <m/>
    <m/>
    <m/>
    <m/>
    <m/>
    <m/>
    <m/>
    <m/>
    <n v="0"/>
    <n v="0"/>
    <n v="1327"/>
    <n v="1497"/>
  </r>
  <r>
    <x v="0"/>
    <s v="University of Montevallo"/>
    <n v="101709"/>
    <x v="4"/>
    <m/>
    <m/>
    <m/>
    <m/>
    <m/>
    <m/>
    <n v="0"/>
    <n v="0"/>
    <n v="411"/>
    <n v="46"/>
    <m/>
    <n v="4"/>
    <n v="50"/>
    <n v="458"/>
    <n v="45"/>
    <m/>
    <n v="3"/>
    <n v="48"/>
    <m/>
    <m/>
    <m/>
    <m/>
    <m/>
    <m/>
    <m/>
    <m/>
    <m/>
    <m/>
    <m/>
    <m/>
    <m/>
    <m/>
    <m/>
    <m/>
    <m/>
    <m/>
    <m/>
    <m/>
    <n v="0"/>
    <n v="0.69191919191919193"/>
    <n v="0"/>
    <n v="0.74471544715447158"/>
    <m/>
    <m/>
    <n v="13"/>
    <n v="164"/>
    <n v="13"/>
    <n v="137"/>
    <n v="51"/>
    <n v="14"/>
    <n v="51"/>
    <n v="13"/>
    <n v="23"/>
    <n v="5"/>
    <n v="2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"/>
    <n v="3"/>
    <n v="15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3"/>
    <n v="157"/>
    <m/>
    <m/>
    <m/>
    <m/>
    <m/>
    <m/>
    <m/>
    <m/>
    <m/>
    <m/>
    <m/>
    <m/>
    <m/>
    <m/>
    <m/>
    <m/>
    <m/>
    <m/>
    <m/>
    <m/>
    <n v="0"/>
    <n v="0"/>
    <n v="594"/>
    <n v="615"/>
  </r>
  <r>
    <x v="0"/>
    <s v="University of West Alabama"/>
    <n v="101587"/>
    <x v="4"/>
    <m/>
    <m/>
    <m/>
    <m/>
    <n v="49"/>
    <n v="39"/>
    <n v="0.24019607843137256"/>
    <n v="0.19696969696969696"/>
    <n v="204"/>
    <n v="57"/>
    <m/>
    <n v="13"/>
    <n v="70"/>
    <n v="198"/>
    <n v="59"/>
    <m/>
    <m/>
    <n v="59"/>
    <m/>
    <m/>
    <m/>
    <m/>
    <m/>
    <m/>
    <m/>
    <m/>
    <m/>
    <m/>
    <m/>
    <m/>
    <m/>
    <m/>
    <m/>
    <m/>
    <m/>
    <m/>
    <m/>
    <m/>
    <n v="0"/>
    <n v="0.23181818181818181"/>
    <n v="0"/>
    <n v="0.18065693430656934"/>
    <m/>
    <m/>
    <n v="13"/>
    <n v="627"/>
    <n v="13"/>
    <n v="8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7"/>
    <n v="1"/>
    <n v="85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27"/>
    <n v="859"/>
    <m/>
    <m/>
    <m/>
    <m/>
    <m/>
    <m/>
    <m/>
    <m/>
    <m/>
    <m/>
    <m/>
    <m/>
    <m/>
    <m/>
    <m/>
    <m/>
    <m/>
    <m/>
    <m/>
    <m/>
    <n v="0"/>
    <n v="0"/>
    <n v="880"/>
    <n v="1096"/>
  </r>
  <r>
    <x v="0"/>
    <s v="Athens State University"/>
    <n v="100812"/>
    <x v="5"/>
    <m/>
    <m/>
    <m/>
    <m/>
    <m/>
    <m/>
    <n v="0"/>
    <n v="0"/>
    <n v="756"/>
    <n v="253"/>
    <m/>
    <m/>
    <n v="253"/>
    <n v="833"/>
    <n v="277"/>
    <m/>
    <n v="3"/>
    <n v="28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6"/>
    <n v="833"/>
  </r>
  <r>
    <x v="0"/>
    <s v="Jefferson State Community College"/>
    <n v="101505"/>
    <x v="6"/>
    <n v="201"/>
    <n v="191"/>
    <m/>
    <m/>
    <n v="689"/>
    <n v="6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0"/>
    <n v="810"/>
  </r>
  <r>
    <x v="0"/>
    <s v="John C. Calhoun State Community College "/>
    <n v="101514"/>
    <x v="6"/>
    <n v="194"/>
    <n v="333"/>
    <m/>
    <m/>
    <n v="636"/>
    <n v="6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0"/>
    <n v="1016"/>
  </r>
  <r>
    <x v="0"/>
    <s v="Bevill State Community College"/>
    <n v="102429"/>
    <x v="7"/>
    <n v="281"/>
    <n v="300"/>
    <m/>
    <m/>
    <n v="465"/>
    <n v="4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6"/>
    <n v="764"/>
  </r>
  <r>
    <x v="0"/>
    <s v="Bishop State Community College"/>
    <n v="102030"/>
    <x v="7"/>
    <n v="154"/>
    <n v="149"/>
    <m/>
    <m/>
    <n v="268"/>
    <n v="2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2"/>
    <n v="357"/>
  </r>
  <r>
    <x v="0"/>
    <s v="Gadsden State Community College"/>
    <n v="101240"/>
    <x v="7"/>
    <n v="324"/>
    <n v="340"/>
    <m/>
    <m/>
    <n v="492"/>
    <n v="4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6"/>
    <n v="789"/>
  </r>
  <r>
    <x v="0"/>
    <s v="George C. Wallace State Community College - Dothan"/>
    <n v="101286"/>
    <x v="7"/>
    <n v="203"/>
    <n v="256"/>
    <m/>
    <m/>
    <n v="479"/>
    <n v="4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2"/>
    <n v="712"/>
  </r>
  <r>
    <x v="0"/>
    <s v="James H. Faulkner State Community College"/>
    <n v="101161"/>
    <x v="7"/>
    <n v="45"/>
    <n v="53"/>
    <m/>
    <m/>
    <n v="334"/>
    <n v="3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9"/>
    <n v="411"/>
  </r>
  <r>
    <x v="0"/>
    <s v="Lawson State Community College "/>
    <n v="101569"/>
    <x v="7"/>
    <n v="267"/>
    <n v="318"/>
    <m/>
    <m/>
    <n v="248"/>
    <n v="2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5"/>
    <n v="551"/>
  </r>
  <r>
    <x v="0"/>
    <s v="Northwest-Shoals Community College"/>
    <n v="101736"/>
    <x v="7"/>
    <n v="130"/>
    <n v="114"/>
    <m/>
    <m/>
    <n v="288"/>
    <n v="2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8"/>
    <n v="359"/>
  </r>
  <r>
    <x v="0"/>
    <s v="Shelton State Community College"/>
    <n v="102067"/>
    <x v="7"/>
    <n v="159"/>
    <n v="176"/>
    <m/>
    <m/>
    <n v="238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7"/>
    <n v="401"/>
  </r>
  <r>
    <x v="0"/>
    <s v="Southern Union State Community College"/>
    <n v="251260"/>
    <x v="7"/>
    <n v="147"/>
    <n v="121"/>
    <m/>
    <m/>
    <n v="434"/>
    <n v="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1"/>
    <n v="610"/>
  </r>
  <r>
    <x v="0"/>
    <s v="Wallace Community College - Hanceville"/>
    <n v="101295"/>
    <x v="7"/>
    <n v="236"/>
    <n v="186"/>
    <m/>
    <m/>
    <n v="904"/>
    <n v="7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40"/>
    <n v="951"/>
  </r>
  <r>
    <x v="0"/>
    <s v="Alabama Southern Community College"/>
    <n v="101949"/>
    <x v="8"/>
    <n v="53"/>
    <n v="77"/>
    <m/>
    <m/>
    <n v="142"/>
    <n v="1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5"/>
    <n v="202"/>
  </r>
  <r>
    <x v="0"/>
    <s v="Central Alabama Community College"/>
    <n v="100760"/>
    <x v="8"/>
    <n v="52"/>
    <n v="66"/>
    <m/>
    <m/>
    <n v="217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9"/>
    <n v="349"/>
  </r>
  <r>
    <x v="0"/>
    <s v="Chattahoochee Valley State Community College "/>
    <n v="101028"/>
    <x v="8"/>
    <n v="29"/>
    <n v="30"/>
    <m/>
    <m/>
    <n v="187"/>
    <n v="1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6"/>
    <n v="182"/>
  </r>
  <r>
    <x v="0"/>
    <s v="Enterprise-Ozark Community College"/>
    <n v="101143"/>
    <x v="8"/>
    <n v="291"/>
    <n v="192"/>
    <m/>
    <m/>
    <n v="230"/>
    <n v="2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1"/>
    <n v="481"/>
  </r>
  <r>
    <x v="0"/>
    <s v="George Corley Wallace State Community College - Selma"/>
    <n v="101301"/>
    <x v="8"/>
    <n v="128"/>
    <n v="142"/>
    <m/>
    <m/>
    <n v="236"/>
    <n v="2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4"/>
    <n v="373"/>
  </r>
  <r>
    <x v="0"/>
    <s v="Jefferson Davis Community College"/>
    <n v="101499"/>
    <x v="8"/>
    <n v="114"/>
    <n v="139"/>
    <m/>
    <m/>
    <n v="158"/>
    <n v="1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2"/>
    <n v="261"/>
  </r>
  <r>
    <x v="0"/>
    <s v="Lurleen B. Wallace Community College "/>
    <n v="101602"/>
    <x v="8"/>
    <n v="138"/>
    <n v="136"/>
    <m/>
    <m/>
    <n v="190"/>
    <n v="2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8"/>
    <n v="346"/>
  </r>
  <r>
    <x v="0"/>
    <s v="Northeast Alabama State Community College "/>
    <n v="101897"/>
    <x v="8"/>
    <n v="123"/>
    <n v="156"/>
    <m/>
    <m/>
    <n v="294"/>
    <n v="3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7"/>
    <n v="493"/>
  </r>
  <r>
    <x v="0"/>
    <s v="Snead State Community College "/>
    <n v="102076"/>
    <x v="8"/>
    <n v="22"/>
    <n v="61"/>
    <m/>
    <m/>
    <n v="249"/>
    <n v="2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1"/>
    <n v="309"/>
  </r>
  <r>
    <x v="0"/>
    <s v="Trenholm State Technical College "/>
    <n v="102313"/>
    <x v="9"/>
    <n v="306"/>
    <n v="345"/>
    <m/>
    <m/>
    <n v="127"/>
    <n v="1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3"/>
    <n v="480"/>
  </r>
  <r>
    <x v="0"/>
    <s v="J.F. Drake State Technical College "/>
    <n v="101462"/>
    <x v="10"/>
    <n v="137"/>
    <n v="126"/>
    <m/>
    <m/>
    <n v="48"/>
    <n v="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5"/>
    <n v="182"/>
  </r>
  <r>
    <x v="0"/>
    <s v="J.F. Ingram State Technical College "/>
    <n v="101471"/>
    <x v="10"/>
    <n v="177"/>
    <n v="156"/>
    <m/>
    <m/>
    <n v="11"/>
    <n v="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8"/>
    <n v="168"/>
  </r>
  <r>
    <x v="0"/>
    <s v="Reid State Technical College "/>
    <n v="101994"/>
    <x v="10"/>
    <n v="121"/>
    <n v="140"/>
    <m/>
    <m/>
    <n v="45"/>
    <n v="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6"/>
    <n v="194"/>
  </r>
  <r>
    <x v="0"/>
    <s v="Marion Military Institute"/>
    <n v="101648"/>
    <x v="11"/>
    <m/>
    <m/>
    <m/>
    <m/>
    <n v="86"/>
    <n v="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"/>
    <n v="61"/>
  </r>
  <r>
    <x v="1"/>
    <s v="University of Arkansas, Fayetteville"/>
    <n v="106397"/>
    <x v="0"/>
    <m/>
    <m/>
    <m/>
    <m/>
    <m/>
    <m/>
    <n v="0"/>
    <n v="0"/>
    <n v="2343"/>
    <n v="200"/>
    <m/>
    <m/>
    <n v="200"/>
    <n v="2494"/>
    <n v="160"/>
    <m/>
    <m/>
    <n v="160"/>
    <m/>
    <m/>
    <m/>
    <m/>
    <m/>
    <m/>
    <m/>
    <m/>
    <m/>
    <m/>
    <m/>
    <m/>
    <m/>
    <m/>
    <m/>
    <m/>
    <m/>
    <m/>
    <m/>
    <m/>
    <n v="0"/>
    <n v="0.65337423312883436"/>
    <n v="0"/>
    <n v="0.66702326825354374"/>
    <n v="2"/>
    <n v="4"/>
    <n v="52"/>
    <n v="279"/>
    <n v="52"/>
    <n v="292"/>
    <n v="13"/>
    <n v="229"/>
    <n v="13"/>
    <n v="229"/>
    <n v="14"/>
    <n v="83"/>
    <n v="14"/>
    <n v="64"/>
    <n v="1"/>
    <n v="54"/>
    <n v="1"/>
    <n v="48"/>
    <n v="51"/>
    <n v="36"/>
    <n v="51"/>
    <n v="36"/>
    <n v="11"/>
    <n v="33"/>
    <n v="45"/>
    <n v="33"/>
    <n v="31"/>
    <n v="33"/>
    <n v="11"/>
    <n v="31"/>
    <n v="44"/>
    <n v="31"/>
    <n v="31"/>
    <n v="31"/>
    <n v="9"/>
    <n v="27"/>
    <n v="44"/>
    <n v="30"/>
    <n v="45"/>
    <n v="24"/>
    <n v="23"/>
    <n v="26"/>
    <m/>
    <m/>
    <n v="138"/>
    <n v="139"/>
    <n v="967"/>
    <n v="10"/>
    <n v="959"/>
    <n v="10"/>
    <n v="13"/>
    <n v="29"/>
    <n v="13"/>
    <n v="27"/>
    <n v="40"/>
    <n v="21"/>
    <n v="14"/>
    <n v="21"/>
    <n v="1"/>
    <n v="20"/>
    <n v="1"/>
    <n v="16"/>
    <n v="14"/>
    <n v="14"/>
    <n v="40"/>
    <n v="13"/>
    <n v="26"/>
    <n v="14"/>
    <n v="52"/>
    <n v="13"/>
    <n v="52"/>
    <n v="9"/>
    <n v="44"/>
    <n v="12"/>
    <n v="54"/>
    <n v="9"/>
    <n v="26"/>
    <n v="11"/>
    <n v="44"/>
    <n v="5"/>
    <n v="42"/>
    <n v="11"/>
    <n v="31"/>
    <n v="5"/>
    <n v="30"/>
    <n v="7"/>
    <n v="23"/>
    <n v="3"/>
    <n v="54"/>
    <n v="7"/>
    <n v="15"/>
    <n v="22"/>
    <n v="144"/>
    <n v="10"/>
    <n v="0.2013888888888889"/>
    <n v="160"/>
    <n v="10"/>
    <n v="0.16875000000000001"/>
    <n v="1111"/>
    <n v="1119"/>
    <n v="130"/>
    <n v="122"/>
    <m/>
    <m/>
    <m/>
    <m/>
    <m/>
    <m/>
    <m/>
    <m/>
    <m/>
    <m/>
    <m/>
    <m/>
    <m/>
    <m/>
    <m/>
    <m/>
    <m/>
    <m/>
    <n v="130"/>
    <n v="122"/>
    <n v="3586"/>
    <n v="3739"/>
  </r>
  <r>
    <x v="1"/>
    <s v="Arkansas State University"/>
    <n v="106458"/>
    <x v="2"/>
    <n v="58"/>
    <m/>
    <m/>
    <m/>
    <n v="197"/>
    <n v="284"/>
    <n v="0.14464023494860501"/>
    <n v="0.20084865629420084"/>
    <n v="1362"/>
    <n v="241"/>
    <m/>
    <m/>
    <n v="241"/>
    <n v="1414"/>
    <n v="252"/>
    <m/>
    <m/>
    <n v="252"/>
    <m/>
    <m/>
    <m/>
    <m/>
    <m/>
    <m/>
    <m/>
    <m/>
    <m/>
    <m/>
    <m/>
    <m/>
    <m/>
    <m/>
    <m/>
    <m/>
    <m/>
    <m/>
    <m/>
    <m/>
    <n v="0"/>
    <n v="0.65355086372360849"/>
    <n v="0"/>
    <n v="0.65041398344066237"/>
    <n v="6"/>
    <n v="4"/>
    <n v="13"/>
    <n v="164"/>
    <n v="13"/>
    <n v="159"/>
    <n v="51"/>
    <n v="113"/>
    <n v="51"/>
    <n v="107"/>
    <n v="52"/>
    <n v="62"/>
    <n v="52"/>
    <n v="70"/>
    <n v="23"/>
    <n v="15"/>
    <n v="23"/>
    <n v="13"/>
    <n v="1"/>
    <n v="12"/>
    <n v="54"/>
    <n v="13"/>
    <n v="54"/>
    <n v="11"/>
    <n v="45"/>
    <n v="11"/>
    <n v="45"/>
    <n v="10"/>
    <n v="9"/>
    <n v="10"/>
    <n v="44"/>
    <n v="9"/>
    <n v="42"/>
    <n v="10"/>
    <n v="50"/>
    <n v="8"/>
    <n v="1"/>
    <n v="9"/>
    <n v="3"/>
    <n v="8"/>
    <n v="19"/>
    <n v="8"/>
    <m/>
    <m/>
    <n v="40"/>
    <n v="50"/>
    <n v="452"/>
    <n v="10"/>
    <n v="460"/>
    <n v="10"/>
    <n v="13"/>
    <n v="5"/>
    <n v="13"/>
    <n v="6"/>
    <n v="3"/>
    <n v="4"/>
    <n v="3"/>
    <n v="4"/>
    <m/>
    <m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55555555555555558"/>
    <n v="12"/>
    <n v="3"/>
    <n v="0.5"/>
    <n v="461"/>
    <n v="472"/>
    <m/>
    <m/>
    <m/>
    <m/>
    <m/>
    <m/>
    <m/>
    <m/>
    <m/>
    <m/>
    <m/>
    <m/>
    <m/>
    <m/>
    <m/>
    <m/>
    <m/>
    <m/>
    <m/>
    <m/>
    <n v="0"/>
    <n v="0"/>
    <n v="2084"/>
    <n v="2174"/>
  </r>
  <r>
    <x v="1"/>
    <s v="University of Arkansas at Little Rock"/>
    <n v="106245"/>
    <x v="2"/>
    <m/>
    <m/>
    <m/>
    <m/>
    <n v="179"/>
    <n v="244"/>
    <n v="0.1724470134874759"/>
    <n v="0.22509225092250923"/>
    <n v="1038"/>
    <n v="44"/>
    <m/>
    <m/>
    <n v="44"/>
    <n v="1084"/>
    <n v="38"/>
    <m/>
    <m/>
    <n v="38"/>
    <m/>
    <m/>
    <m/>
    <m/>
    <m/>
    <m/>
    <m/>
    <m/>
    <m/>
    <m/>
    <m/>
    <m/>
    <m/>
    <m/>
    <m/>
    <m/>
    <m/>
    <m/>
    <m/>
    <m/>
    <n v="0"/>
    <n v="0.53978159126365055"/>
    <n v="0"/>
    <n v="0.52015355086372361"/>
    <n v="61"/>
    <n v="97"/>
    <n v="13"/>
    <n v="145"/>
    <n v="13"/>
    <n v="159"/>
    <n v="44"/>
    <n v="117"/>
    <n v="44"/>
    <n v="109"/>
    <n v="52"/>
    <n v="87"/>
    <n v="52"/>
    <n v="104"/>
    <n v="51"/>
    <n v="52"/>
    <n v="51"/>
    <n v="60"/>
    <n v="11"/>
    <n v="18"/>
    <n v="11"/>
    <n v="21"/>
    <n v="23"/>
    <n v="14"/>
    <n v="9"/>
    <n v="11"/>
    <n v="27"/>
    <n v="10"/>
    <n v="23"/>
    <n v="9"/>
    <n v="9"/>
    <n v="9"/>
    <n v="40"/>
    <n v="8"/>
    <n v="24"/>
    <n v="8"/>
    <n v="27"/>
    <n v="7"/>
    <n v="40"/>
    <n v="8"/>
    <n v="26"/>
    <n v="6"/>
    <m/>
    <m/>
    <n v="31"/>
    <n v="22"/>
    <n v="499"/>
    <n v="10"/>
    <n v="516"/>
    <n v="10"/>
    <n v="40"/>
    <n v="13"/>
    <n v="13"/>
    <n v="12"/>
    <n v="13"/>
    <n v="10"/>
    <n v="40"/>
    <n v="8"/>
    <m/>
    <m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0.56521739130434778"/>
    <n v="22"/>
    <n v="3"/>
    <n v="0.54545454545454541"/>
    <n v="522"/>
    <n v="538"/>
    <n v="123"/>
    <n v="121"/>
    <m/>
    <m/>
    <m/>
    <m/>
    <m/>
    <m/>
    <m/>
    <m/>
    <m/>
    <m/>
    <m/>
    <m/>
    <m/>
    <m/>
    <m/>
    <m/>
    <m/>
    <m/>
    <n v="123"/>
    <n v="121"/>
    <n v="1923"/>
    <n v="2084"/>
  </r>
  <r>
    <x v="1"/>
    <s v="University of Central Arkansas "/>
    <n v="106704"/>
    <x v="2"/>
    <m/>
    <m/>
    <m/>
    <m/>
    <n v="24"/>
    <n v="35"/>
    <n v="1.6216216216216217E-2"/>
    <n v="2.2845953002610966E-2"/>
    <n v="1480"/>
    <n v="180"/>
    <m/>
    <m/>
    <n v="180"/>
    <n v="1532"/>
    <n v="177"/>
    <m/>
    <m/>
    <n v="177"/>
    <m/>
    <m/>
    <m/>
    <m/>
    <m/>
    <m/>
    <m/>
    <m/>
    <m/>
    <m/>
    <m/>
    <m/>
    <m/>
    <m/>
    <m/>
    <m/>
    <m/>
    <m/>
    <m/>
    <m/>
    <n v="0"/>
    <n v="0.74747474747474751"/>
    <n v="0"/>
    <n v="0.69986295111923258"/>
    <m/>
    <m/>
    <n v="13"/>
    <n v="133"/>
    <n v="13"/>
    <n v="203"/>
    <n v="51"/>
    <n v="108"/>
    <n v="51"/>
    <n v="132"/>
    <n v="52"/>
    <n v="50"/>
    <n v="52"/>
    <n v="49"/>
    <n v="25"/>
    <n v="32"/>
    <n v="25"/>
    <n v="41"/>
    <n v="19"/>
    <n v="30"/>
    <n v="19"/>
    <n v="38"/>
    <n v="42"/>
    <n v="23"/>
    <n v="42"/>
    <n v="35"/>
    <n v="50"/>
    <n v="14"/>
    <n v="27"/>
    <n v="15"/>
    <n v="44"/>
    <n v="11"/>
    <n v="44"/>
    <n v="12"/>
    <n v="27"/>
    <n v="11"/>
    <n v="50"/>
    <n v="8"/>
    <n v="54"/>
    <n v="9"/>
    <n v="54"/>
    <n v="8"/>
    <m/>
    <m/>
    <n v="20"/>
    <n v="25"/>
    <n v="441"/>
    <n v="10"/>
    <n v="566"/>
    <n v="10"/>
    <n v="51"/>
    <n v="34"/>
    <n v="51"/>
    <n v="56"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"/>
    <n v="0.97142857142857142"/>
    <n v="56"/>
    <n v="1"/>
    <n v="1"/>
    <n v="476"/>
    <n v="622"/>
    <m/>
    <m/>
    <m/>
    <m/>
    <m/>
    <m/>
    <m/>
    <m/>
    <m/>
    <m/>
    <m/>
    <m/>
    <m/>
    <m/>
    <m/>
    <m/>
    <m/>
    <m/>
    <m/>
    <m/>
    <n v="0"/>
    <n v="0"/>
    <n v="1980"/>
    <n v="2189"/>
  </r>
  <r>
    <x v="1"/>
    <s v="Arkansas Tech University"/>
    <n v="106467"/>
    <x v="3"/>
    <n v="186"/>
    <n v="247"/>
    <m/>
    <m/>
    <n v="100"/>
    <n v="165"/>
    <n v="0.11990407673860912"/>
    <n v="0.16957862281603289"/>
    <n v="834"/>
    <n v="179"/>
    <m/>
    <m/>
    <n v="179"/>
    <n v="973"/>
    <n v="190"/>
    <m/>
    <m/>
    <n v="190"/>
    <m/>
    <m/>
    <m/>
    <m/>
    <m/>
    <m/>
    <m/>
    <m/>
    <m/>
    <m/>
    <m/>
    <m/>
    <m/>
    <m/>
    <m/>
    <m/>
    <m/>
    <m/>
    <m/>
    <m/>
    <n v="0"/>
    <n v="0.61459100957995583"/>
    <n v="0"/>
    <n v="0.60926737633061989"/>
    <m/>
    <m/>
    <n v="13"/>
    <n v="157"/>
    <n v="13"/>
    <n v="122"/>
    <n v="11"/>
    <n v="32"/>
    <n v="23"/>
    <n v="34"/>
    <n v="23"/>
    <n v="29"/>
    <n v="11"/>
    <n v="29"/>
    <n v="43"/>
    <n v="4"/>
    <n v="43"/>
    <n v="9"/>
    <n v="54"/>
    <n v="4"/>
    <n v="54"/>
    <n v="8"/>
    <n v="24"/>
    <n v="3"/>
    <n v="42"/>
    <n v="5"/>
    <n v="3"/>
    <n v="3"/>
    <n v="9"/>
    <n v="2"/>
    <n v="9"/>
    <n v="3"/>
    <n v="24"/>
    <n v="2"/>
    <n v="16"/>
    <n v="2"/>
    <n v="3"/>
    <n v="1"/>
    <m/>
    <m/>
    <m/>
    <m/>
    <m/>
    <m/>
    <m/>
    <m/>
    <n v="237"/>
    <n v="9"/>
    <n v="212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7"/>
    <n v="212"/>
    <m/>
    <m/>
    <m/>
    <m/>
    <m/>
    <m/>
    <m/>
    <m/>
    <m/>
    <m/>
    <m/>
    <m/>
    <m/>
    <m/>
    <m/>
    <m/>
    <m/>
    <m/>
    <m/>
    <m/>
    <n v="0"/>
    <n v="0"/>
    <n v="1357"/>
    <n v="1597"/>
  </r>
  <r>
    <x v="1"/>
    <s v="Henderson State University"/>
    <n v="107071"/>
    <x v="3"/>
    <m/>
    <m/>
    <m/>
    <m/>
    <m/>
    <m/>
    <n v="0"/>
    <n v="0"/>
    <n v="447"/>
    <n v="99"/>
    <m/>
    <m/>
    <n v="99"/>
    <n v="463"/>
    <n v="108"/>
    <m/>
    <m/>
    <n v="108"/>
    <m/>
    <m/>
    <m/>
    <m/>
    <m/>
    <m/>
    <m/>
    <m/>
    <m/>
    <m/>
    <m/>
    <m/>
    <m/>
    <m/>
    <m/>
    <m/>
    <m/>
    <m/>
    <m/>
    <m/>
    <n v="0"/>
    <n v="0.77604166666666663"/>
    <n v="0"/>
    <n v="0.72913385826771648"/>
    <m/>
    <m/>
    <n v="13"/>
    <n v="69"/>
    <n v="13"/>
    <n v="71"/>
    <n v="52"/>
    <n v="31"/>
    <n v="52"/>
    <n v="45"/>
    <n v="31"/>
    <n v="14"/>
    <n v="31"/>
    <n v="26"/>
    <n v="44"/>
    <n v="11"/>
    <n v="44"/>
    <n v="22"/>
    <n v="24"/>
    <n v="4"/>
    <n v="24"/>
    <n v="8"/>
    <m/>
    <m/>
    <m/>
    <m/>
    <m/>
    <m/>
    <m/>
    <m/>
    <m/>
    <m/>
    <m/>
    <m/>
    <m/>
    <m/>
    <m/>
    <m/>
    <m/>
    <m/>
    <m/>
    <m/>
    <m/>
    <m/>
    <m/>
    <m/>
    <n v="129"/>
    <n v="5"/>
    <n v="17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9"/>
    <n v="172"/>
    <m/>
    <m/>
    <m/>
    <m/>
    <m/>
    <m/>
    <m/>
    <m/>
    <m/>
    <m/>
    <m/>
    <m/>
    <m/>
    <m/>
    <m/>
    <m/>
    <m/>
    <m/>
    <m/>
    <m/>
    <n v="0"/>
    <n v="0"/>
    <n v="576"/>
    <n v="635"/>
  </r>
  <r>
    <x v="1"/>
    <s v="Southern Arkansas University"/>
    <n v="107983"/>
    <x v="4"/>
    <m/>
    <m/>
    <m/>
    <m/>
    <n v="97"/>
    <n v="45"/>
    <n v="0.22716627634660422"/>
    <n v="0.12162162162162163"/>
    <n v="427"/>
    <n v="100"/>
    <m/>
    <m/>
    <n v="100"/>
    <n v="370"/>
    <n v="80"/>
    <m/>
    <m/>
    <n v="80"/>
    <m/>
    <m/>
    <m/>
    <m/>
    <m/>
    <m/>
    <m/>
    <m/>
    <m/>
    <m/>
    <m/>
    <m/>
    <m/>
    <m/>
    <m/>
    <m/>
    <m/>
    <m/>
    <m/>
    <m/>
    <n v="0"/>
    <n v="0.71048252911813647"/>
    <n v="0"/>
    <n v="0.7007575757575758"/>
    <m/>
    <m/>
    <n v="13"/>
    <n v="57"/>
    <n v="13"/>
    <n v="93"/>
    <n v="31"/>
    <n v="12"/>
    <n v="44"/>
    <n v="9"/>
    <n v="44"/>
    <n v="6"/>
    <n v="1"/>
    <n v="4"/>
    <n v="11"/>
    <n v="2"/>
    <n v="31"/>
    <n v="4"/>
    <m/>
    <m/>
    <n v="11"/>
    <n v="3"/>
    <m/>
    <m/>
    <m/>
    <m/>
    <m/>
    <m/>
    <m/>
    <m/>
    <m/>
    <m/>
    <m/>
    <m/>
    <m/>
    <m/>
    <m/>
    <m/>
    <m/>
    <m/>
    <m/>
    <m/>
    <m/>
    <m/>
    <m/>
    <m/>
    <n v="77"/>
    <n v="4"/>
    <n v="1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113"/>
    <m/>
    <m/>
    <m/>
    <m/>
    <m/>
    <m/>
    <m/>
    <m/>
    <m/>
    <m/>
    <m/>
    <m/>
    <m/>
    <m/>
    <m/>
    <m/>
    <m/>
    <m/>
    <m/>
    <m/>
    <n v="0"/>
    <n v="0"/>
    <n v="601"/>
    <n v="528"/>
  </r>
  <r>
    <x v="1"/>
    <s v="University of Arkansas at Monticello"/>
    <n v="106485"/>
    <x v="4"/>
    <n v="199"/>
    <n v="233"/>
    <m/>
    <m/>
    <n v="259"/>
    <n v="258"/>
    <n v="0.88095238095238093"/>
    <n v="0.97358490566037736"/>
    <n v="294"/>
    <n v="35"/>
    <m/>
    <m/>
    <n v="35"/>
    <n v="265"/>
    <n v="21"/>
    <m/>
    <m/>
    <n v="21"/>
    <m/>
    <m/>
    <m/>
    <m/>
    <m/>
    <m/>
    <m/>
    <m/>
    <m/>
    <m/>
    <m/>
    <m/>
    <m/>
    <m/>
    <m/>
    <m/>
    <m/>
    <m/>
    <m/>
    <m/>
    <n v="0"/>
    <n v="0.36386138613861385"/>
    <n v="0"/>
    <n v="0.32160194174757284"/>
    <m/>
    <m/>
    <n v="13"/>
    <n v="50"/>
    <n v="13"/>
    <n v="63"/>
    <n v="3"/>
    <n v="6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"/>
    <n v="6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6"/>
    <n v="68"/>
    <m/>
    <m/>
    <m/>
    <m/>
    <m/>
    <m/>
    <m/>
    <m/>
    <m/>
    <m/>
    <m/>
    <m/>
    <m/>
    <m/>
    <m/>
    <m/>
    <m/>
    <m/>
    <m/>
    <m/>
    <n v="0"/>
    <n v="0"/>
    <n v="808"/>
    <n v="824"/>
  </r>
  <r>
    <x v="1"/>
    <s v="University of Arkansas at Fort Smith"/>
    <n v="108092"/>
    <x v="5"/>
    <n v="301"/>
    <n v="324"/>
    <m/>
    <m/>
    <n v="310"/>
    <n v="471"/>
    <n v="0.76923076923076927"/>
    <n v="1.1893939393939394"/>
    <n v="403"/>
    <n v="104"/>
    <m/>
    <m/>
    <n v="104"/>
    <n v="396"/>
    <n v="107"/>
    <m/>
    <m/>
    <n v="107"/>
    <s v="52"/>
    <n v="123"/>
    <s v="52"/>
    <n v="115"/>
    <s v="13"/>
    <n v="104"/>
    <s v="13"/>
    <n v="107"/>
    <s v="42"/>
    <n v="41"/>
    <s v="42"/>
    <n v="39"/>
    <s v="23"/>
    <n v="30"/>
    <s v="54"/>
    <n v="25"/>
    <s v="54"/>
    <n v="25"/>
    <s v="26"/>
    <n v="24"/>
    <n v="5"/>
    <n v="0.39743589743589741"/>
    <n v="5"/>
    <n v="0.332493702770780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4"/>
    <n v="1191"/>
  </r>
  <r>
    <x v="1"/>
    <s v="University of Arkansas at Pine Bluff"/>
    <n v="106412"/>
    <x v="5"/>
    <m/>
    <m/>
    <m/>
    <m/>
    <m/>
    <m/>
    <n v="0"/>
    <n v="0"/>
    <n v="365"/>
    <n v="16"/>
    <m/>
    <m/>
    <n v="16"/>
    <n v="401"/>
    <n v="28"/>
    <m/>
    <m/>
    <n v="28"/>
    <m/>
    <m/>
    <m/>
    <m/>
    <m/>
    <m/>
    <m/>
    <m/>
    <m/>
    <m/>
    <m/>
    <m/>
    <m/>
    <m/>
    <m/>
    <m/>
    <m/>
    <m/>
    <m/>
    <m/>
    <n v="0"/>
    <n v="0.94559585492227982"/>
    <n v="0"/>
    <n v="0.94352941176470584"/>
    <m/>
    <m/>
    <n v="1"/>
    <n v="7"/>
    <n v="13"/>
    <n v="11"/>
    <n v="13"/>
    <n v="7"/>
    <n v="51"/>
    <n v="10"/>
    <n v="51"/>
    <n v="7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2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"/>
    <n v="24"/>
    <m/>
    <m/>
    <m/>
    <m/>
    <m/>
    <m/>
    <m/>
    <m/>
    <m/>
    <m/>
    <m/>
    <m/>
    <m/>
    <m/>
    <m/>
    <m/>
    <m/>
    <m/>
    <m/>
    <m/>
    <n v="0"/>
    <n v="0"/>
    <n v="386"/>
    <n v="425"/>
  </r>
  <r>
    <x v="1"/>
    <s v="Pulaski Technical College"/>
    <n v="107664"/>
    <x v="6"/>
    <n v="665"/>
    <n v="725"/>
    <m/>
    <n v="1"/>
    <n v="597"/>
    <n v="7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2"/>
    <n v="1437"/>
  </r>
  <r>
    <x v="1"/>
    <s v="Arkansas State University-Beebe"/>
    <n v="106449"/>
    <x v="7"/>
    <n v="526"/>
    <n v="627"/>
    <m/>
    <m/>
    <n v="481"/>
    <n v="5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07"/>
    <n v="1203"/>
  </r>
  <r>
    <x v="1"/>
    <s v="Northwest Arkansas Community College "/>
    <n v="367459"/>
    <x v="7"/>
    <n v="143"/>
    <n v="143"/>
    <m/>
    <m/>
    <n v="467"/>
    <n v="5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0"/>
    <n v="646"/>
  </r>
  <r>
    <x v="1"/>
    <s v="Arkansas Northeastern College"/>
    <n v="107327"/>
    <x v="8"/>
    <n v="201"/>
    <n v="234"/>
    <m/>
    <m/>
    <n v="202"/>
    <n v="1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3"/>
    <n v="428"/>
  </r>
  <r>
    <x v="1"/>
    <s v="Arkansas State University Mountain Home"/>
    <n v="420538"/>
    <x v="8"/>
    <n v="264"/>
    <n v="286"/>
    <m/>
    <m/>
    <n v="165"/>
    <n v="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9"/>
    <n v="445"/>
  </r>
  <r>
    <x v="1"/>
    <s v="Arkansas State University-Newport"/>
    <n v="440402"/>
    <x v="8"/>
    <n v="898"/>
    <n v="739"/>
    <m/>
    <m/>
    <n v="81"/>
    <n v="1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9"/>
    <n v="840"/>
  </r>
  <r>
    <x v="1"/>
    <s v="Black River Technical College"/>
    <n v="106625"/>
    <x v="8"/>
    <n v="231"/>
    <n v="290"/>
    <m/>
    <m/>
    <n v="158"/>
    <n v="2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9"/>
    <n v="529"/>
  </r>
  <r>
    <x v="1"/>
    <s v="Cossatot Community College of the University of Arkansas"/>
    <n v="106795"/>
    <x v="8"/>
    <n v="93"/>
    <n v="114"/>
    <m/>
    <m/>
    <n v="96"/>
    <n v="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9"/>
    <n v="200"/>
  </r>
  <r>
    <x v="1"/>
    <s v="East Arkansas Community College "/>
    <n v="106883"/>
    <x v="8"/>
    <n v="124"/>
    <n v="204"/>
    <m/>
    <m/>
    <n v="125"/>
    <n v="1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9"/>
    <n v="321"/>
  </r>
  <r>
    <x v="1"/>
    <s v="Mid-South Community College "/>
    <n v="107318"/>
    <x v="8"/>
    <n v="35"/>
    <n v="51"/>
    <m/>
    <m/>
    <n v="64"/>
    <n v="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9"/>
    <n v="127"/>
  </r>
  <r>
    <x v="1"/>
    <s v="National Park Community College"/>
    <n v="106980"/>
    <x v="8"/>
    <n v="209"/>
    <n v="191"/>
    <m/>
    <m/>
    <n v="292"/>
    <n v="3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1"/>
    <n v="570"/>
  </r>
  <r>
    <x v="1"/>
    <s v="North Arkansas College"/>
    <n v="107460"/>
    <x v="8"/>
    <n v="172"/>
    <n v="132"/>
    <m/>
    <m/>
    <n v="214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6"/>
    <n v="353"/>
  </r>
  <r>
    <x v="1"/>
    <s v="Ouachita Technical College "/>
    <n v="107521"/>
    <x v="8"/>
    <n v="308"/>
    <n v="403"/>
    <m/>
    <m/>
    <n v="78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6"/>
    <n v="505"/>
  </r>
  <r>
    <x v="1"/>
    <s v="Ozarka College "/>
    <n v="107549"/>
    <x v="8"/>
    <n v="75"/>
    <n v="99"/>
    <m/>
    <m/>
    <n v="97"/>
    <n v="1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2"/>
    <n v="217"/>
  </r>
  <r>
    <x v="1"/>
    <s v="Phillips Community College of the Univ of Arkansas"/>
    <n v="107619"/>
    <x v="8"/>
    <n v="148"/>
    <n v="250"/>
    <m/>
    <m/>
    <n v="158"/>
    <n v="1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6"/>
    <n v="398"/>
  </r>
  <r>
    <x v="1"/>
    <s v="Rich Mountain Community College "/>
    <n v="107743"/>
    <x v="8"/>
    <n v="29"/>
    <n v="83"/>
    <m/>
    <m/>
    <n v="62"/>
    <n v="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1"/>
    <n v="149"/>
  </r>
  <r>
    <x v="1"/>
    <s v="South Arkansas Community College"/>
    <n v="107974"/>
    <x v="8"/>
    <n v="205"/>
    <n v="230"/>
    <m/>
    <n v="2"/>
    <n v="107"/>
    <n v="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2"/>
    <n v="327"/>
  </r>
  <r>
    <x v="1"/>
    <s v="Southeast Arkansas College"/>
    <n v="107637"/>
    <x v="8"/>
    <n v="284"/>
    <n v="593"/>
    <m/>
    <m/>
    <n v="142"/>
    <n v="1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6"/>
    <n v="759"/>
  </r>
  <r>
    <x v="1"/>
    <s v="Southern Arkansas University Tech"/>
    <n v="107992"/>
    <x v="8"/>
    <n v="545"/>
    <n v="660"/>
    <m/>
    <m/>
    <n v="112"/>
    <n v="1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57"/>
    <n v="783"/>
  </r>
  <r>
    <x v="1"/>
    <s v="University of Arkansas Community College at Batesville"/>
    <n v="106999"/>
    <x v="8"/>
    <n v="244"/>
    <n v="255"/>
    <m/>
    <m/>
    <n v="153"/>
    <n v="1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7"/>
    <n v="422"/>
  </r>
  <r>
    <x v="1"/>
    <s v="University of Arkansas Community College at Hope"/>
    <n v="107725"/>
    <x v="8"/>
    <n v="133"/>
    <n v="351"/>
    <m/>
    <m/>
    <n v="92"/>
    <n v="1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5"/>
    <n v="482"/>
  </r>
  <r>
    <x v="1"/>
    <s v="University of Arkansas Community College at Morrilton"/>
    <n v="107585"/>
    <x v="8"/>
    <n v="187"/>
    <n v="269"/>
    <m/>
    <m/>
    <n v="169"/>
    <n v="2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6"/>
    <n v="500"/>
  </r>
  <r>
    <x v="1"/>
    <s v="University of Arkansas for Medical Sciences"/>
    <n v="106263"/>
    <x v="11"/>
    <n v="19"/>
    <n v="9"/>
    <m/>
    <n v="1"/>
    <n v="67"/>
    <n v="53"/>
    <n v="0.21405750798722045"/>
    <n v="0.18275862068965518"/>
    <n v="313"/>
    <m/>
    <m/>
    <m/>
    <n v="0"/>
    <n v="290"/>
    <m/>
    <m/>
    <m/>
    <n v="0"/>
    <m/>
    <m/>
    <m/>
    <m/>
    <m/>
    <m/>
    <m/>
    <m/>
    <m/>
    <m/>
    <m/>
    <m/>
    <m/>
    <m/>
    <m/>
    <m/>
    <m/>
    <m/>
    <m/>
    <m/>
    <n v="0"/>
    <n v="0.37575030012004801"/>
    <n v="0"/>
    <n v="0.35980148883374691"/>
    <n v="20"/>
    <n v="19"/>
    <n v="51"/>
    <n v="120"/>
    <n v="51"/>
    <n v="116"/>
    <n v="26"/>
    <n v="12"/>
    <n v="26"/>
    <n v="14"/>
    <n v="30"/>
    <n v="5"/>
    <n v="3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7"/>
    <n v="3"/>
    <n v="133"/>
    <n v="3"/>
    <n v="26"/>
    <n v="21"/>
    <n v="26"/>
    <n v="22"/>
    <n v="51"/>
    <n v="2"/>
    <n v="51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0.91304347826086951"/>
    <n v="38"/>
    <n v="2"/>
    <n v="0.57894736842105265"/>
    <n v="160"/>
    <n v="171"/>
    <m/>
    <m/>
    <n v="140"/>
    <n v="142"/>
    <m/>
    <m/>
    <n v="114"/>
    <n v="121"/>
    <m/>
    <m/>
    <m/>
    <m/>
    <m/>
    <m/>
    <m/>
    <m/>
    <m/>
    <m/>
    <m/>
    <m/>
    <n v="254"/>
    <n v="263"/>
    <n v="833"/>
    <n v="806"/>
  </r>
  <r>
    <x v="2"/>
    <s v="University of Delaware"/>
    <n v="130943"/>
    <x v="0"/>
    <m/>
    <m/>
    <m/>
    <m/>
    <n v="188"/>
    <n v="195"/>
    <n v="5.3714285714285714E-2"/>
    <n v="5.4637153264219668E-2"/>
    <n v="3500"/>
    <n v="313"/>
    <m/>
    <m/>
    <n v="313"/>
    <n v="3569"/>
    <n v="297"/>
    <m/>
    <m/>
    <n v="297"/>
    <m/>
    <m/>
    <m/>
    <m/>
    <m/>
    <m/>
    <m/>
    <m/>
    <m/>
    <m/>
    <m/>
    <m/>
    <m/>
    <m/>
    <m/>
    <m/>
    <m/>
    <m/>
    <m/>
    <m/>
    <n v="0"/>
    <n v="0.76236114136353739"/>
    <n v="0"/>
    <n v="0.76555126555126551"/>
    <m/>
    <m/>
    <n v="52"/>
    <n v="147"/>
    <n v="52"/>
    <n v="149"/>
    <n v="13"/>
    <n v="101"/>
    <n v="13"/>
    <n v="122"/>
    <n v="14"/>
    <n v="72"/>
    <n v="45"/>
    <n v="83"/>
    <n v="45"/>
    <n v="69"/>
    <n v="16"/>
    <n v="21"/>
    <n v="44"/>
    <n v="40"/>
    <n v="11"/>
    <n v="29"/>
    <n v="26"/>
    <n v="24"/>
    <n v="51"/>
    <n v="29"/>
    <n v="27"/>
    <n v="24"/>
    <n v="27"/>
    <n v="26"/>
    <n v="11"/>
    <n v="23"/>
    <n v="50"/>
    <n v="21"/>
    <n v="50"/>
    <n v="23"/>
    <n v="16"/>
    <n v="21"/>
    <n v="16"/>
    <n v="22"/>
    <n v="26"/>
    <n v="20"/>
    <m/>
    <m/>
    <n v="150"/>
    <n v="153"/>
    <n v="695"/>
    <n v="10"/>
    <n v="674"/>
    <n v="10"/>
    <n v="14"/>
    <n v="46"/>
    <n v="45"/>
    <n v="14"/>
    <n v="13"/>
    <n v="37"/>
    <n v="36"/>
    <n v="40"/>
    <n v="51"/>
    <n v="29"/>
    <n v="13"/>
    <n v="33"/>
    <n v="40"/>
    <n v="29"/>
    <n v="51"/>
    <n v="28"/>
    <n v="26"/>
    <n v="15"/>
    <n v="26"/>
    <n v="19"/>
    <n v="45"/>
    <n v="14"/>
    <n v="45"/>
    <n v="18"/>
    <n v="1"/>
    <n v="7"/>
    <n v="54"/>
    <n v="10"/>
    <n v="23"/>
    <n v="6"/>
    <n v="50"/>
    <n v="11"/>
    <n v="42"/>
    <n v="6"/>
    <n v="42"/>
    <n v="6"/>
    <n v="11"/>
    <n v="5"/>
    <n v="23"/>
    <n v="6"/>
    <n v="14"/>
    <n v="39"/>
    <n v="208"/>
    <n v="10"/>
    <n v="0.22115384615384615"/>
    <n v="224"/>
    <n v="10"/>
    <n v="6.25E-2"/>
    <n v="903"/>
    <n v="898"/>
    <m/>
    <m/>
    <m/>
    <m/>
    <m/>
    <m/>
    <m/>
    <m/>
    <m/>
    <m/>
    <m/>
    <m/>
    <m/>
    <m/>
    <m/>
    <m/>
    <m/>
    <m/>
    <m/>
    <m/>
    <n v="0"/>
    <n v="0"/>
    <n v="4591"/>
    <n v="4662"/>
  </r>
  <r>
    <x v="2"/>
    <s v="Delaware State University"/>
    <n v="130934"/>
    <x v="3"/>
    <m/>
    <m/>
    <m/>
    <m/>
    <m/>
    <m/>
    <n v="0"/>
    <n v="0"/>
    <n v="455"/>
    <n v="19"/>
    <m/>
    <m/>
    <n v="19"/>
    <n v="506"/>
    <n v="28"/>
    <m/>
    <m/>
    <n v="28"/>
    <m/>
    <m/>
    <m/>
    <m/>
    <m/>
    <m/>
    <m/>
    <m/>
    <m/>
    <m/>
    <m/>
    <m/>
    <m/>
    <m/>
    <m/>
    <m/>
    <m/>
    <m/>
    <m/>
    <m/>
    <n v="0"/>
    <n v="0.76342281879194629"/>
    <n v="0"/>
    <n v="0.7857142857142857"/>
    <m/>
    <m/>
    <n v="52"/>
    <n v="47"/>
    <n v="52"/>
    <n v="37"/>
    <n v="44"/>
    <n v="34"/>
    <n v="44"/>
    <n v="31"/>
    <n v="13"/>
    <n v="26"/>
    <n v="13"/>
    <n v="20"/>
    <n v="31"/>
    <n v="10"/>
    <n v="31"/>
    <n v="15"/>
    <n v="40"/>
    <n v="8"/>
    <n v="3"/>
    <n v="6"/>
    <n v="3"/>
    <n v="6"/>
    <n v="1"/>
    <n v="5"/>
    <n v="51"/>
    <n v="4"/>
    <n v="40"/>
    <n v="5"/>
    <n v="27"/>
    <n v="2"/>
    <n v="26"/>
    <n v="3"/>
    <n v="30"/>
    <n v="2"/>
    <n v="27"/>
    <n v="2"/>
    <m/>
    <m/>
    <m/>
    <m/>
    <m/>
    <m/>
    <m/>
    <m/>
    <n v="139"/>
    <n v="9"/>
    <n v="124"/>
    <n v="9"/>
    <n v="27"/>
    <n v="2"/>
    <n v="13"/>
    <n v="10"/>
    <m/>
    <m/>
    <n v="2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  <n v="1"/>
    <n v="1"/>
    <n v="14"/>
    <n v="2"/>
    <n v="0.7142857142857143"/>
    <n v="141"/>
    <n v="138"/>
    <m/>
    <m/>
    <m/>
    <m/>
    <m/>
    <m/>
    <m/>
    <m/>
    <m/>
    <m/>
    <m/>
    <m/>
    <m/>
    <m/>
    <m/>
    <m/>
    <m/>
    <m/>
    <m/>
    <m/>
    <n v="0"/>
    <n v="0"/>
    <n v="596"/>
    <n v="644"/>
  </r>
  <r>
    <x v="2"/>
    <s v="Delaware Technical and Community College--Owens"/>
    <n v="130891"/>
    <x v="7"/>
    <n v="562"/>
    <n v="525"/>
    <m/>
    <m/>
    <n v="363"/>
    <n v="4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5"/>
    <n v="938"/>
  </r>
  <r>
    <x v="2"/>
    <s v="Delaware Technical and Community College--Stanton-Wilmington"/>
    <n v="130916"/>
    <x v="7"/>
    <n v="133"/>
    <n v="92"/>
    <m/>
    <m/>
    <n v="542"/>
    <n v="5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5"/>
    <n v="650"/>
  </r>
  <r>
    <x v="2"/>
    <s v="Delaware Technical and Community College--Terry"/>
    <n v="130907"/>
    <x v="7"/>
    <n v="188"/>
    <n v="131"/>
    <m/>
    <m/>
    <n v="221"/>
    <n v="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9"/>
    <n v="403"/>
  </r>
  <r>
    <x v="3"/>
    <s v="Florida International University"/>
    <n v="133951"/>
    <x v="0"/>
    <m/>
    <m/>
    <m/>
    <m/>
    <n v="50"/>
    <n v="51"/>
    <n v="9.0958704748044395E-3"/>
    <n v="9.0058273000176593E-3"/>
    <n v="5497"/>
    <m/>
    <m/>
    <n v="323"/>
    <n v="323"/>
    <n v="5663"/>
    <m/>
    <m/>
    <n v="321"/>
    <n v="321"/>
    <m/>
    <m/>
    <m/>
    <m/>
    <m/>
    <m/>
    <m/>
    <m/>
    <m/>
    <m/>
    <m/>
    <m/>
    <m/>
    <m/>
    <m/>
    <m/>
    <m/>
    <m/>
    <m/>
    <m/>
    <n v="0"/>
    <n v="0.68945190016305025"/>
    <n v="0"/>
    <n v="0.68901326195400903"/>
    <m/>
    <m/>
    <n v="52"/>
    <n v="738"/>
    <n v="52"/>
    <n v="769"/>
    <n v="51"/>
    <n v="306"/>
    <n v="51"/>
    <n v="306"/>
    <n v="13"/>
    <n v="261"/>
    <n v="13"/>
    <n v="302"/>
    <n v="14"/>
    <n v="239"/>
    <n v="14"/>
    <n v="223"/>
    <n v="44"/>
    <n v="175"/>
    <n v="44"/>
    <n v="162"/>
    <n v="42"/>
    <n v="65"/>
    <n v="15"/>
    <n v="95"/>
    <s v="09"/>
    <n v="53"/>
    <n v="45"/>
    <n v="57"/>
    <n v="15"/>
    <n v="53"/>
    <s v="04"/>
    <n v="50"/>
    <n v="43"/>
    <n v="41"/>
    <s v="09"/>
    <n v="38"/>
    <s v="04"/>
    <n v="30"/>
    <n v="42"/>
    <n v="31"/>
    <m/>
    <m/>
    <n v="253"/>
    <n v="222"/>
    <n v="2214"/>
    <n v="10"/>
    <n v="2255"/>
    <n v="10"/>
    <n v="14"/>
    <n v="35"/>
    <n v="13"/>
    <n v="27"/>
    <n v="13"/>
    <n v="17"/>
    <n v="14"/>
    <n v="27"/>
    <n v="45"/>
    <n v="10"/>
    <n v="40"/>
    <n v="17"/>
    <n v="44"/>
    <n v="9"/>
    <n v="52"/>
    <n v="12"/>
    <n v="11"/>
    <n v="8"/>
    <n v="45"/>
    <n v="10"/>
    <n v="26"/>
    <n v="8"/>
    <n v="26"/>
    <n v="10"/>
    <n v="42"/>
    <n v="8"/>
    <n v="42"/>
    <n v="8"/>
    <n v="52"/>
    <n v="8"/>
    <n v="11"/>
    <n v="5"/>
    <n v="40"/>
    <n v="7"/>
    <n v="51"/>
    <n v="4"/>
    <n v="51"/>
    <n v="5"/>
    <n v="44"/>
    <n v="4"/>
    <n v="7"/>
    <n v="3"/>
    <n v="122"/>
    <n v="10"/>
    <n v="0.28688524590163933"/>
    <n v="127"/>
    <n v="10"/>
    <n v="0.2125984251968504"/>
    <n v="2336"/>
    <n v="2382"/>
    <n v="90"/>
    <n v="123"/>
    <m/>
    <m/>
    <m/>
    <m/>
    <m/>
    <m/>
    <m/>
    <m/>
    <m/>
    <m/>
    <m/>
    <m/>
    <m/>
    <m/>
    <m/>
    <m/>
    <m/>
    <m/>
    <n v="90"/>
    <n v="123"/>
    <n v="7973"/>
    <n v="8219"/>
  </r>
  <r>
    <x v="3"/>
    <s v="Florida State University "/>
    <n v="134097"/>
    <x v="0"/>
    <m/>
    <m/>
    <m/>
    <m/>
    <n v="131"/>
    <n v="157"/>
    <n v="1.7202889034799738E-2"/>
    <n v="2.0576671035386632E-2"/>
    <n v="7615"/>
    <m/>
    <m/>
    <n v="366"/>
    <n v="366"/>
    <n v="7630"/>
    <m/>
    <m/>
    <n v="409"/>
    <n v="409"/>
    <m/>
    <m/>
    <m/>
    <m/>
    <m/>
    <m/>
    <m/>
    <m/>
    <m/>
    <m/>
    <m/>
    <m/>
    <m/>
    <m/>
    <m/>
    <m/>
    <m/>
    <m/>
    <m/>
    <m/>
    <n v="0"/>
    <n v="0.71751625365118255"/>
    <n v="0"/>
    <n v="0.71690312881706286"/>
    <m/>
    <m/>
    <n v="13"/>
    <n v="408"/>
    <n v="13"/>
    <n v="447"/>
    <n v="25"/>
    <n v="278"/>
    <n v="52"/>
    <n v="266"/>
    <n v="44"/>
    <n v="260"/>
    <n v="25"/>
    <n v="241"/>
    <n v="52"/>
    <n v="235"/>
    <n v="44"/>
    <n v="227"/>
    <n v="50"/>
    <n v="162"/>
    <n v="50"/>
    <n v="206"/>
    <n v="45"/>
    <n v="140"/>
    <n v="45"/>
    <n v="135"/>
    <n v="51"/>
    <n v="115"/>
    <n v="51"/>
    <n v="133"/>
    <s v="09"/>
    <n v="95"/>
    <s v="09"/>
    <n v="86"/>
    <n v="14"/>
    <n v="54"/>
    <n v="40"/>
    <n v="67"/>
    <n v="40"/>
    <n v="49"/>
    <n v="14"/>
    <n v="52"/>
    <m/>
    <m/>
    <n v="341"/>
    <n v="316"/>
    <n v="2137"/>
    <n v="10"/>
    <n v="2176"/>
    <n v="10"/>
    <n v="13"/>
    <n v="73"/>
    <n v="13"/>
    <n v="66"/>
    <n v="40"/>
    <n v="54"/>
    <n v="40"/>
    <n v="50"/>
    <n v="50"/>
    <n v="27"/>
    <n v="50"/>
    <n v="32"/>
    <n v="42"/>
    <n v="25"/>
    <n v="42"/>
    <n v="24"/>
    <n v="14"/>
    <n v="22"/>
    <n v="14"/>
    <n v="18"/>
    <n v="52"/>
    <n v="21"/>
    <n v="45"/>
    <n v="17"/>
    <n v="45"/>
    <n v="17"/>
    <n v="23"/>
    <n v="16"/>
    <n v="27"/>
    <n v="16"/>
    <n v="44"/>
    <n v="15"/>
    <n v="51"/>
    <n v="14"/>
    <n v="52"/>
    <n v="13"/>
    <s v="09"/>
    <n v="11"/>
    <n v="26"/>
    <n v="13"/>
    <n v="88"/>
    <n v="79"/>
    <n v="368"/>
    <n v="10"/>
    <n v="0.1983695652173913"/>
    <n v="343"/>
    <n v="10"/>
    <n v="0.1924198250728863"/>
    <n v="2505"/>
    <n v="2519"/>
    <n v="305"/>
    <n v="263"/>
    <n v="57"/>
    <n v="74"/>
    <m/>
    <m/>
    <m/>
    <m/>
    <m/>
    <m/>
    <m/>
    <m/>
    <m/>
    <m/>
    <m/>
    <m/>
    <m/>
    <m/>
    <m/>
    <m/>
    <n v="362"/>
    <n v="337"/>
    <n v="10613"/>
    <n v="10643"/>
  </r>
  <r>
    <x v="3"/>
    <s v="University of Central Florida "/>
    <n v="132903"/>
    <x v="0"/>
    <m/>
    <m/>
    <m/>
    <m/>
    <n v="247"/>
    <n v="202"/>
    <n v="2.7423115354724102E-2"/>
    <n v="2.1551264269710872E-2"/>
    <n v="9007"/>
    <m/>
    <m/>
    <n v="781"/>
    <n v="781"/>
    <n v="9373"/>
    <m/>
    <m/>
    <n v="577"/>
    <n v="577"/>
    <m/>
    <m/>
    <m/>
    <m/>
    <m/>
    <m/>
    <m/>
    <m/>
    <m/>
    <m/>
    <m/>
    <m/>
    <m/>
    <m/>
    <m/>
    <m/>
    <m/>
    <m/>
    <m/>
    <m/>
    <n v="0"/>
    <n v="0.79126767987349556"/>
    <n v="0"/>
    <n v="0.8055173599174974"/>
    <m/>
    <m/>
    <n v="13"/>
    <n v="438"/>
    <n v="52"/>
    <n v="449"/>
    <n v="52"/>
    <n v="436"/>
    <n v="13"/>
    <n v="400"/>
    <n v="14"/>
    <n v="239"/>
    <n v="14"/>
    <n v="222"/>
    <n v="51"/>
    <n v="231"/>
    <n v="51"/>
    <n v="217"/>
    <n v="44"/>
    <n v="120"/>
    <n v="44"/>
    <n v="121"/>
    <n v="43"/>
    <n v="93"/>
    <n v="43"/>
    <n v="83"/>
    <n v="50"/>
    <n v="67"/>
    <n v="50"/>
    <n v="73"/>
    <n v="42"/>
    <n v="50"/>
    <n v="42"/>
    <n v="41"/>
    <n v="23"/>
    <n v="38"/>
    <n v="45"/>
    <n v="39"/>
    <n v="11"/>
    <n v="36"/>
    <n v="11"/>
    <n v="39"/>
    <m/>
    <m/>
    <n v="175"/>
    <n v="185"/>
    <n v="1923"/>
    <n v="10"/>
    <n v="1869"/>
    <n v="10"/>
    <n v="14"/>
    <n v="65"/>
    <n v="14"/>
    <n v="69"/>
    <n v="13"/>
    <n v="53"/>
    <n v="13"/>
    <n v="42"/>
    <n v="42"/>
    <n v="18"/>
    <n v="42"/>
    <n v="18"/>
    <n v="44"/>
    <n v="17"/>
    <n v="52"/>
    <n v="12"/>
    <n v="11"/>
    <n v="14"/>
    <n v="27"/>
    <n v="8"/>
    <n v="40"/>
    <n v="9"/>
    <n v="11"/>
    <n v="8"/>
    <n v="52"/>
    <n v="6"/>
    <n v="26"/>
    <n v="7"/>
    <n v="26"/>
    <n v="5"/>
    <n v="23"/>
    <n v="6"/>
    <n v="30"/>
    <n v="5"/>
    <n v="44"/>
    <n v="6"/>
    <n v="51"/>
    <n v="5"/>
    <n v="30"/>
    <n v="5"/>
    <n v="9"/>
    <n v="11"/>
    <n v="206"/>
    <n v="10"/>
    <n v="0.3155339805825243"/>
    <n v="192"/>
    <n v="10"/>
    <n v="0.359375"/>
    <n v="2129"/>
    <n v="2061"/>
    <m/>
    <m/>
    <m/>
    <m/>
    <m/>
    <m/>
    <m/>
    <m/>
    <m/>
    <m/>
    <m/>
    <m/>
    <m/>
    <m/>
    <m/>
    <m/>
    <m/>
    <m/>
    <m/>
    <m/>
    <n v="0"/>
    <n v="0"/>
    <n v="11383"/>
    <n v="11636"/>
  </r>
  <r>
    <x v="3"/>
    <s v="University of Florida"/>
    <n v="134130"/>
    <x v="0"/>
    <m/>
    <m/>
    <m/>
    <m/>
    <n v="393"/>
    <n v="277"/>
    <n v="4.498111479913014E-2"/>
    <n v="3.0085804279352667E-2"/>
    <n v="8737"/>
    <m/>
    <m/>
    <n v="19"/>
    <n v="19"/>
    <n v="9207"/>
    <m/>
    <m/>
    <n v="30"/>
    <n v="30"/>
    <m/>
    <m/>
    <m/>
    <m/>
    <m/>
    <m/>
    <m/>
    <m/>
    <m/>
    <m/>
    <m/>
    <m/>
    <m/>
    <m/>
    <m/>
    <m/>
    <m/>
    <m/>
    <m/>
    <m/>
    <n v="0"/>
    <n v="0.59691193550590971"/>
    <n v="0"/>
    <n v="0.60844567803330685"/>
    <m/>
    <m/>
    <n v="52"/>
    <n v="923"/>
    <n v="52"/>
    <n v="992"/>
    <n v="14"/>
    <n v="624"/>
    <n v="14"/>
    <n v="784"/>
    <n v="51"/>
    <n v="552"/>
    <n v="51"/>
    <n v="539"/>
    <n v="13"/>
    <n v="383"/>
    <n v="13"/>
    <n v="449"/>
    <s v="01"/>
    <n v="96"/>
    <s v="01"/>
    <n v="110"/>
    <n v="22"/>
    <n v="89"/>
    <n v="22"/>
    <n v="109"/>
    <n v="45"/>
    <n v="82"/>
    <n v="26"/>
    <n v="88"/>
    <n v="31"/>
    <n v="77"/>
    <n v="45"/>
    <n v="64"/>
    <s v="04"/>
    <n v="71"/>
    <s v="04"/>
    <n v="61"/>
    <n v="26"/>
    <n v="71"/>
    <s v="09"/>
    <n v="60"/>
    <m/>
    <m/>
    <n v="432"/>
    <n v="364"/>
    <n v="3400"/>
    <n v="10"/>
    <n v="3620"/>
    <n v="10"/>
    <n v="51"/>
    <n v="226"/>
    <n v="51"/>
    <n v="222"/>
    <n v="14"/>
    <n v="191"/>
    <n v="14"/>
    <n v="179"/>
    <n v="26"/>
    <n v="83"/>
    <n v="26"/>
    <n v="78"/>
    <n v="40"/>
    <n v="72"/>
    <n v="40"/>
    <n v="71"/>
    <n v="13"/>
    <n v="51"/>
    <n v="13"/>
    <n v="50"/>
    <n v="42"/>
    <n v="44"/>
    <n v="42"/>
    <n v="48"/>
    <n v="45"/>
    <n v="40"/>
    <s v="01"/>
    <n v="44"/>
    <s v="01"/>
    <n v="37"/>
    <n v="45"/>
    <n v="41"/>
    <n v="31"/>
    <n v="22"/>
    <n v="52"/>
    <n v="15"/>
    <n v="27"/>
    <n v="20"/>
    <s v="03"/>
    <n v="14"/>
    <n v="71"/>
    <n v="79"/>
    <n v="857"/>
    <n v="10"/>
    <n v="0.26371061843640609"/>
    <n v="841"/>
    <n v="10"/>
    <n v="0.26397146254458975"/>
    <n v="4257"/>
    <n v="4461"/>
    <n v="488"/>
    <n v="424"/>
    <n v="115"/>
    <n v="124"/>
    <n v="72"/>
    <n v="81"/>
    <n v="492"/>
    <n v="474"/>
    <m/>
    <m/>
    <m/>
    <m/>
    <m/>
    <m/>
    <n v="83"/>
    <n v="84"/>
    <m/>
    <m/>
    <m/>
    <m/>
    <n v="1250"/>
    <n v="1187"/>
    <n v="14637"/>
    <n v="15132"/>
  </r>
  <r>
    <x v="3"/>
    <s v="University of South Florida "/>
    <n v="137351"/>
    <x v="0"/>
    <m/>
    <m/>
    <m/>
    <m/>
    <n v="257"/>
    <n v="186"/>
    <n v="3.6268698842788598E-2"/>
    <n v="2.4869634977938228E-2"/>
    <n v="7086"/>
    <m/>
    <m/>
    <n v="393"/>
    <n v="393"/>
    <n v="7479"/>
    <m/>
    <m/>
    <n v="678"/>
    <n v="678"/>
    <m/>
    <m/>
    <m/>
    <m/>
    <m/>
    <m/>
    <m/>
    <m/>
    <m/>
    <m/>
    <m/>
    <m/>
    <m/>
    <m/>
    <m/>
    <m/>
    <m/>
    <m/>
    <m/>
    <m/>
    <n v="0"/>
    <n v="0.70655100209392763"/>
    <n v="0"/>
    <n v="0.70897715423262864"/>
    <m/>
    <m/>
    <n v="13"/>
    <n v="692"/>
    <n v="13"/>
    <n v="767"/>
    <n v="52"/>
    <n v="393"/>
    <n v="52"/>
    <n v="406"/>
    <n v="51"/>
    <n v="293"/>
    <n v="51"/>
    <n v="342"/>
    <n v="14"/>
    <n v="238"/>
    <n v="14"/>
    <n v="211"/>
    <n v="25"/>
    <n v="180"/>
    <n v="25"/>
    <n v="174"/>
    <n v="44"/>
    <n v="92"/>
    <n v="44"/>
    <n v="104"/>
    <n v="26"/>
    <n v="65"/>
    <n v="26"/>
    <n v="97"/>
    <n v="50"/>
    <n v="41"/>
    <n v="43"/>
    <n v="44"/>
    <s v="04"/>
    <n v="36"/>
    <n v="45"/>
    <n v="42"/>
    <n v="42"/>
    <n v="35"/>
    <n v="50"/>
    <n v="41"/>
    <m/>
    <m/>
    <n v="249"/>
    <n v="254"/>
    <n v="2314"/>
    <n v="10"/>
    <n v="2482"/>
    <n v="10"/>
    <n v="14"/>
    <n v="52"/>
    <n v="51"/>
    <n v="72"/>
    <n v="51"/>
    <n v="51"/>
    <n v="13"/>
    <n v="49"/>
    <n v="13"/>
    <n v="40"/>
    <n v="14"/>
    <n v="37"/>
    <n v="26"/>
    <n v="24"/>
    <n v="42"/>
    <n v="33"/>
    <n v="40"/>
    <n v="24"/>
    <n v="40"/>
    <n v="28"/>
    <n v="42"/>
    <n v="16"/>
    <n v="26"/>
    <n v="24"/>
    <n v="23"/>
    <n v="13"/>
    <n v="23"/>
    <n v="12"/>
    <n v="27"/>
    <n v="12"/>
    <n v="52"/>
    <n v="11"/>
    <n v="45"/>
    <n v="10"/>
    <n v="45"/>
    <n v="9"/>
    <n v="52"/>
    <n v="9"/>
    <n v="38"/>
    <n v="7"/>
    <n v="6"/>
    <n v="6"/>
    <n v="257"/>
    <n v="10"/>
    <n v="0.20233463035019456"/>
    <n v="288"/>
    <n v="10"/>
    <n v="0.25"/>
    <n v="2571"/>
    <n v="2770"/>
    <m/>
    <m/>
    <n v="115"/>
    <n v="114"/>
    <m/>
    <m/>
    <m/>
    <m/>
    <m/>
    <m/>
    <m/>
    <m/>
    <m/>
    <m/>
    <m/>
    <m/>
    <m/>
    <m/>
    <m/>
    <m/>
    <n v="115"/>
    <n v="114"/>
    <n v="10029"/>
    <n v="10549"/>
  </r>
  <r>
    <x v="3"/>
    <s v="Florida Atlantic University "/>
    <n v="133669"/>
    <x v="1"/>
    <m/>
    <m/>
    <m/>
    <m/>
    <n v="159"/>
    <n v="157"/>
    <n v="3.5483151082347689E-2"/>
    <n v="3.5146630848444146E-2"/>
    <n v="4481"/>
    <m/>
    <m/>
    <n v="477"/>
    <n v="477"/>
    <n v="4467"/>
    <m/>
    <m/>
    <n v="455"/>
    <n v="455"/>
    <m/>
    <m/>
    <m/>
    <m/>
    <m/>
    <m/>
    <m/>
    <m/>
    <m/>
    <m/>
    <m/>
    <m/>
    <m/>
    <m/>
    <m/>
    <m/>
    <m/>
    <m/>
    <m/>
    <m/>
    <n v="0"/>
    <n v="0.76454529943695615"/>
    <n v="0"/>
    <n v="0.76228668941979527"/>
    <m/>
    <m/>
    <n v="13"/>
    <n v="300"/>
    <n v="52"/>
    <n v="307"/>
    <n v="52"/>
    <n v="269"/>
    <n v="13"/>
    <n v="284"/>
    <n v="51"/>
    <n v="139"/>
    <n v="51"/>
    <n v="144"/>
    <n v="44"/>
    <n v="83"/>
    <n v="44"/>
    <n v="77"/>
    <n v="14"/>
    <n v="63"/>
    <n v="26"/>
    <n v="51"/>
    <n v="26"/>
    <n v="60"/>
    <n v="14"/>
    <n v="47"/>
    <n v="11"/>
    <n v="44"/>
    <n v="45"/>
    <n v="46"/>
    <n v="45"/>
    <n v="28"/>
    <n v="11"/>
    <n v="35"/>
    <n v="23"/>
    <n v="27"/>
    <n v="23"/>
    <n v="21"/>
    <n v="50"/>
    <n v="24"/>
    <n v="50"/>
    <n v="17"/>
    <m/>
    <m/>
    <n v="101"/>
    <n v="117"/>
    <n v="1138"/>
    <n v="10"/>
    <n v="1146"/>
    <n v="10"/>
    <n v="13"/>
    <n v="25"/>
    <n v="13"/>
    <n v="31"/>
    <n v="52"/>
    <n v="12"/>
    <n v="26"/>
    <n v="11"/>
    <n v="42"/>
    <n v="11"/>
    <n v="30"/>
    <n v="10"/>
    <n v="30"/>
    <n v="8"/>
    <n v="14"/>
    <n v="7"/>
    <n v="14"/>
    <n v="6"/>
    <n v="40"/>
    <n v="7"/>
    <n v="40"/>
    <n v="6"/>
    <n v="52"/>
    <n v="7"/>
    <n v="44"/>
    <n v="5"/>
    <n v="51"/>
    <n v="6"/>
    <n v="26"/>
    <n v="4"/>
    <n v="27"/>
    <n v="4"/>
    <n v="11"/>
    <n v="3"/>
    <n v="42"/>
    <n v="3"/>
    <n v="51"/>
    <n v="2"/>
    <n v="11"/>
    <n v="3"/>
    <n v="1"/>
    <n v="1"/>
    <n v="83"/>
    <n v="10"/>
    <n v="0.30120481927710846"/>
    <n v="90"/>
    <n v="10"/>
    <n v="0.34444444444444444"/>
    <n v="1221"/>
    <n v="1236"/>
    <m/>
    <m/>
    <m/>
    <m/>
    <m/>
    <m/>
    <m/>
    <m/>
    <m/>
    <m/>
    <m/>
    <m/>
    <m/>
    <m/>
    <m/>
    <m/>
    <m/>
    <m/>
    <m/>
    <m/>
    <n v="0"/>
    <n v="0"/>
    <n v="5861"/>
    <n v="5860"/>
  </r>
  <r>
    <x v="3"/>
    <s v="Florida Agricultural &amp; Mechanical University "/>
    <n v="133650"/>
    <x v="2"/>
    <m/>
    <m/>
    <m/>
    <m/>
    <n v="98"/>
    <n v="47"/>
    <n v="6.6037735849056603E-2"/>
    <n v="3.2752613240418116E-2"/>
    <n v="1484"/>
    <m/>
    <m/>
    <n v="98"/>
    <n v="98"/>
    <n v="1435"/>
    <m/>
    <m/>
    <n v="36"/>
    <n v="36"/>
    <m/>
    <m/>
    <m/>
    <m/>
    <m/>
    <m/>
    <m/>
    <m/>
    <m/>
    <m/>
    <m/>
    <m/>
    <m/>
    <m/>
    <m/>
    <m/>
    <m/>
    <m/>
    <m/>
    <m/>
    <n v="0"/>
    <n v="0.70066100094428707"/>
    <n v="0"/>
    <n v="0.69592628516003885"/>
    <m/>
    <m/>
    <n v="52"/>
    <n v="68"/>
    <n v="52"/>
    <n v="90"/>
    <n v="51"/>
    <n v="47"/>
    <n v="51"/>
    <n v="44"/>
    <n v="45"/>
    <n v="40"/>
    <n v="45"/>
    <n v="42"/>
    <n v="13"/>
    <n v="36"/>
    <n v="13"/>
    <n v="37"/>
    <n v="42"/>
    <n v="25"/>
    <n v="42"/>
    <n v="14"/>
    <s v="04"/>
    <n v="9"/>
    <n v="44"/>
    <n v="14"/>
    <n v="44"/>
    <n v="7"/>
    <s v="04"/>
    <n v="11"/>
    <n v="40"/>
    <n v="6"/>
    <n v="40"/>
    <n v="9"/>
    <s v="01"/>
    <n v="4"/>
    <n v="14"/>
    <n v="4"/>
    <n v="11"/>
    <n v="4"/>
    <n v="11"/>
    <n v="4"/>
    <m/>
    <m/>
    <n v="7"/>
    <n v="7"/>
    <n v="253"/>
    <n v="10"/>
    <n v="276"/>
    <n v="10"/>
    <n v="14"/>
    <n v="4"/>
    <n v="51"/>
    <n v="18"/>
    <n v="3"/>
    <n v="3"/>
    <n v="13"/>
    <n v="5"/>
    <n v="40"/>
    <n v="2"/>
    <n v="14"/>
    <n v="4"/>
    <n v="13"/>
    <n v="1"/>
    <n v="3"/>
    <n v="1"/>
    <n v="51"/>
    <n v="1"/>
    <m/>
    <m/>
    <m/>
    <m/>
    <m/>
    <m/>
    <m/>
    <m/>
    <m/>
    <m/>
    <m/>
    <m/>
    <m/>
    <m/>
    <m/>
    <m/>
    <m/>
    <m/>
    <m/>
    <m/>
    <m/>
    <m/>
    <m/>
    <m/>
    <n v="11"/>
    <n v="5"/>
    <n v="0.36363636363636365"/>
    <n v="28"/>
    <n v="4"/>
    <n v="0.6428571428571429"/>
    <n v="264"/>
    <n v="304"/>
    <n v="122"/>
    <n v="160"/>
    <m/>
    <m/>
    <m/>
    <m/>
    <n v="150"/>
    <n v="116"/>
    <m/>
    <m/>
    <m/>
    <m/>
    <m/>
    <m/>
    <m/>
    <m/>
    <m/>
    <m/>
    <m/>
    <m/>
    <n v="272"/>
    <n v="276"/>
    <n v="2118"/>
    <n v="2062"/>
  </r>
  <r>
    <x v="3"/>
    <s v="University of North Florida"/>
    <n v="136172"/>
    <x v="2"/>
    <m/>
    <m/>
    <m/>
    <m/>
    <n v="410"/>
    <n v="476"/>
    <n v="0.14887436456063907"/>
    <n v="0.16459197786998617"/>
    <n v="2754"/>
    <m/>
    <m/>
    <n v="317"/>
    <n v="317"/>
    <n v="2892"/>
    <m/>
    <m/>
    <n v="169"/>
    <n v="169"/>
    <m/>
    <m/>
    <m/>
    <m/>
    <m/>
    <m/>
    <m/>
    <m/>
    <m/>
    <m/>
    <m/>
    <m/>
    <m/>
    <m/>
    <m/>
    <m/>
    <m/>
    <m/>
    <m/>
    <m/>
    <n v="0"/>
    <n v="0.73479188900747061"/>
    <n v="0"/>
    <n v="0.72535741158765987"/>
    <m/>
    <m/>
    <n v="13"/>
    <n v="195"/>
    <n v="52"/>
    <n v="217"/>
    <n v="52"/>
    <n v="195"/>
    <n v="13"/>
    <n v="190"/>
    <n v="51"/>
    <n v="51"/>
    <n v="51"/>
    <n v="83"/>
    <n v="44"/>
    <n v="33"/>
    <n v="23"/>
    <n v="20"/>
    <n v="23"/>
    <n v="31"/>
    <n v="44"/>
    <n v="17"/>
    <n v="11"/>
    <n v="23"/>
    <n v="42"/>
    <n v="13"/>
    <n v="42"/>
    <n v="19"/>
    <n v="27"/>
    <n v="10"/>
    <n v="26"/>
    <n v="7"/>
    <n v="43"/>
    <n v="8"/>
    <n v="54"/>
    <n v="7"/>
    <n v="54"/>
    <n v="8"/>
    <n v="43"/>
    <n v="6"/>
    <n v="11"/>
    <n v="7"/>
    <m/>
    <m/>
    <n v="7"/>
    <n v="13"/>
    <n v="574"/>
    <n v="10"/>
    <n v="586"/>
    <n v="10"/>
    <n v="13"/>
    <n v="10"/>
    <n v="51"/>
    <n v="20"/>
    <m/>
    <m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n v="1"/>
    <n v="33"/>
    <n v="2"/>
    <n v="0.60606060606060608"/>
    <n v="584"/>
    <n v="619"/>
    <m/>
    <m/>
    <m/>
    <m/>
    <m/>
    <m/>
    <m/>
    <m/>
    <m/>
    <m/>
    <m/>
    <m/>
    <m/>
    <m/>
    <m/>
    <m/>
    <m/>
    <m/>
    <m/>
    <m/>
    <n v="0"/>
    <n v="0"/>
    <n v="3748"/>
    <n v="3987"/>
  </r>
  <r>
    <x v="3"/>
    <s v="University of West Florida"/>
    <n v="138354"/>
    <x v="2"/>
    <m/>
    <m/>
    <m/>
    <m/>
    <n v="139"/>
    <n v="122"/>
    <n v="8.0207732256203118E-2"/>
    <n v="6.7815453029460807E-2"/>
    <n v="1733"/>
    <m/>
    <m/>
    <n v="200"/>
    <n v="200"/>
    <n v="1799"/>
    <m/>
    <m/>
    <n v="278"/>
    <n v="278"/>
    <m/>
    <m/>
    <m/>
    <m/>
    <m/>
    <m/>
    <m/>
    <m/>
    <m/>
    <m/>
    <m/>
    <m/>
    <m/>
    <m/>
    <m/>
    <m/>
    <m/>
    <m/>
    <m/>
    <m/>
    <n v="0"/>
    <n v="0.74154899443731281"/>
    <n v="0"/>
    <n v="0.75052148518982065"/>
    <m/>
    <m/>
    <n v="13"/>
    <n v="211"/>
    <n v="13"/>
    <n v="189"/>
    <n v="52"/>
    <n v="112"/>
    <n v="52"/>
    <n v="113"/>
    <n v="31"/>
    <n v="18"/>
    <n v="31"/>
    <n v="26"/>
    <n v="42"/>
    <n v="14"/>
    <n v="45"/>
    <n v="19"/>
    <n v="26"/>
    <n v="11"/>
    <n v="51"/>
    <n v="17"/>
    <n v="51"/>
    <n v="11"/>
    <n v="42"/>
    <n v="16"/>
    <s v="03"/>
    <n v="10"/>
    <n v="27"/>
    <n v="14"/>
    <n v="54"/>
    <n v="10"/>
    <n v="11"/>
    <n v="14"/>
    <n v="45"/>
    <n v="9"/>
    <s v="09"/>
    <n v="11"/>
    <n v="24"/>
    <n v="7"/>
    <n v="54"/>
    <n v="10"/>
    <m/>
    <m/>
    <n v="21"/>
    <n v="21"/>
    <n v="434"/>
    <n v="10"/>
    <n v="450"/>
    <n v="10"/>
    <n v="13"/>
    <n v="31"/>
    <n v="13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"/>
    <n v="1"/>
    <n v="26"/>
    <n v="1"/>
    <n v="1"/>
    <n v="465"/>
    <n v="476"/>
    <m/>
    <m/>
    <m/>
    <m/>
    <m/>
    <m/>
    <m/>
    <m/>
    <m/>
    <m/>
    <m/>
    <m/>
    <m/>
    <m/>
    <m/>
    <m/>
    <m/>
    <m/>
    <m/>
    <m/>
    <n v="0"/>
    <n v="0"/>
    <n v="2337"/>
    <n v="2397"/>
  </r>
  <r>
    <x v="3"/>
    <s v="Florida Gulf Coast University"/>
    <n v="433660"/>
    <x v="3"/>
    <m/>
    <m/>
    <m/>
    <m/>
    <n v="184"/>
    <n v="227"/>
    <n v="0.1515650741350906"/>
    <n v="0.1686478454680535"/>
    <n v="1214"/>
    <m/>
    <m/>
    <n v="158"/>
    <n v="158"/>
    <n v="1346"/>
    <m/>
    <m/>
    <n v="176"/>
    <n v="176"/>
    <m/>
    <m/>
    <m/>
    <m/>
    <m/>
    <m/>
    <m/>
    <m/>
    <m/>
    <m/>
    <m/>
    <m/>
    <m/>
    <m/>
    <m/>
    <m/>
    <m/>
    <m/>
    <m/>
    <m/>
    <n v="0"/>
    <n v="0.72912912912912908"/>
    <n v="0"/>
    <n v="0.71786666666666665"/>
    <m/>
    <m/>
    <n v="13"/>
    <n v="90"/>
    <n v="13"/>
    <n v="95"/>
    <n v="52"/>
    <n v="79"/>
    <n v="52"/>
    <n v="78"/>
    <n v="44"/>
    <n v="41"/>
    <n v="51"/>
    <n v="57"/>
    <n v="51"/>
    <n v="36"/>
    <n v="44"/>
    <n v="38"/>
    <n v="23"/>
    <n v="11"/>
    <n v="23"/>
    <n v="15"/>
    <s v="03"/>
    <n v="9"/>
    <n v="43"/>
    <n v="15"/>
    <n v="43"/>
    <n v="1"/>
    <s v="03"/>
    <n v="4"/>
    <m/>
    <m/>
    <m/>
    <m/>
    <m/>
    <m/>
    <m/>
    <m/>
    <m/>
    <m/>
    <m/>
    <m/>
    <m/>
    <m/>
    <m/>
    <m/>
    <n v="267"/>
    <n v="7"/>
    <n v="30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7"/>
    <n v="302"/>
    <m/>
    <m/>
    <m/>
    <m/>
    <m/>
    <m/>
    <m/>
    <m/>
    <m/>
    <m/>
    <m/>
    <m/>
    <m/>
    <m/>
    <m/>
    <m/>
    <m/>
    <m/>
    <m/>
    <m/>
    <n v="0"/>
    <n v="0"/>
    <n v="1665"/>
    <n v="1875"/>
  </r>
  <r>
    <x v="3"/>
    <s v="New College of Florida"/>
    <n v="262129"/>
    <x v="5"/>
    <m/>
    <m/>
    <m/>
    <m/>
    <m/>
    <n v="0"/>
    <n v="0"/>
    <n v="0"/>
    <n v="168"/>
    <m/>
    <m/>
    <m/>
    <n v="0"/>
    <n v="158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8"/>
    <n v="158"/>
  </r>
  <r>
    <x v="3"/>
    <s v="Chipola College "/>
    <n v="133021"/>
    <x v="12"/>
    <n v="287"/>
    <n v="193"/>
    <n v="8"/>
    <n v="7"/>
    <n v="303"/>
    <n v="299"/>
    <n v="18.9375"/>
    <n v="49.833333333333336"/>
    <n v="16"/>
    <n v="16"/>
    <m/>
    <m/>
    <n v="16"/>
    <n v="6"/>
    <n v="4"/>
    <m/>
    <m/>
    <n v="4"/>
    <s v="13"/>
    <n v="16"/>
    <s v="13"/>
    <n v="4"/>
    <m/>
    <m/>
    <s v="52"/>
    <n v="2"/>
    <m/>
    <m/>
    <m/>
    <m/>
    <m/>
    <m/>
    <m/>
    <m/>
    <m/>
    <m/>
    <m/>
    <m/>
    <n v="1"/>
    <n v="2.6058631921824105E-2"/>
    <n v="2"/>
    <n v="1.188118811881188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4"/>
    <n v="505"/>
  </r>
  <r>
    <x v="3"/>
    <s v="Daytona Beach Community College "/>
    <n v="133386"/>
    <x v="12"/>
    <n v="1014"/>
    <n v="1319"/>
    <n v="45"/>
    <n v="65"/>
    <n v="1556"/>
    <n v="1906"/>
    <n v="45.764705882352942"/>
    <n v="19.649484536082475"/>
    <n v="34"/>
    <n v="0"/>
    <m/>
    <m/>
    <n v="0"/>
    <n v="97"/>
    <m/>
    <m/>
    <m/>
    <n v="0"/>
    <s v="52"/>
    <n v="34"/>
    <s v="52"/>
    <n v="97"/>
    <m/>
    <m/>
    <m/>
    <m/>
    <m/>
    <m/>
    <m/>
    <m/>
    <m/>
    <m/>
    <m/>
    <m/>
    <m/>
    <m/>
    <m/>
    <m/>
    <n v="1"/>
    <n v="1.2835032087580219E-2"/>
    <n v="1"/>
    <n v="2.863891349276646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49"/>
    <n v="3387"/>
  </r>
  <r>
    <x v="3"/>
    <s v="Miami Dade College "/>
    <n v="135717"/>
    <x v="12"/>
    <n v="2117"/>
    <n v="1484"/>
    <m/>
    <n v="0"/>
    <n v="7047"/>
    <n v="7489"/>
    <n v="89.202531645569621"/>
    <n v="49.926666666666669"/>
    <n v="79"/>
    <n v="64"/>
    <m/>
    <m/>
    <n v="64"/>
    <n v="150"/>
    <n v="70"/>
    <m/>
    <m/>
    <n v="70"/>
    <s v="13"/>
    <n v="64"/>
    <s v="43"/>
    <n v="80"/>
    <s v="43"/>
    <n v="15"/>
    <s v="13"/>
    <n v="70"/>
    <m/>
    <m/>
    <m/>
    <m/>
    <m/>
    <m/>
    <m/>
    <m/>
    <m/>
    <m/>
    <m/>
    <m/>
    <n v="2"/>
    <n v="8.5470085470085479E-3"/>
    <n v="2"/>
    <n v="1.644195988161788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43"/>
    <n v="9123"/>
  </r>
  <r>
    <x v="3"/>
    <s v="Northwest Florida State College"/>
    <n v="136233"/>
    <x v="12"/>
    <n v="479"/>
    <n v="380"/>
    <m/>
    <n v="0"/>
    <n v="1190"/>
    <n v="1345"/>
    <n v="23.333333333333332"/>
    <n v="20.074626865671643"/>
    <n v="51"/>
    <n v="0"/>
    <m/>
    <m/>
    <n v="0"/>
    <n v="67"/>
    <m/>
    <m/>
    <m/>
    <n v="0"/>
    <s v="52"/>
    <n v="51"/>
    <s v="52"/>
    <n v="67"/>
    <m/>
    <m/>
    <m/>
    <m/>
    <m/>
    <m/>
    <m/>
    <m/>
    <m/>
    <m/>
    <m/>
    <m/>
    <m/>
    <m/>
    <m/>
    <m/>
    <n v="1"/>
    <n v="2.9651162790697676E-2"/>
    <n v="1"/>
    <n v="3.738839285714285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20"/>
    <n v="1792"/>
  </r>
  <r>
    <x v="3"/>
    <s v="St. Petersburg College "/>
    <n v="137078"/>
    <x v="12"/>
    <n v="609"/>
    <n v="582"/>
    <m/>
    <n v="0"/>
    <n v="2812"/>
    <n v="2924"/>
    <n v="5.5793650793650791"/>
    <n v="4.3772455089820363"/>
    <n v="504"/>
    <n v="179"/>
    <m/>
    <m/>
    <n v="179"/>
    <n v="668"/>
    <n v="185"/>
    <m/>
    <m/>
    <n v="185"/>
    <s v="51"/>
    <n v="199"/>
    <s v="51"/>
    <n v="246"/>
    <s v="13"/>
    <n v="179"/>
    <s v="13"/>
    <n v="185"/>
    <s v="11"/>
    <n v="67"/>
    <s v="11"/>
    <n v="101"/>
    <s v="43"/>
    <n v="28"/>
    <s v="52"/>
    <n v="73"/>
    <s v="52"/>
    <n v="22"/>
    <s v="43"/>
    <n v="38"/>
    <n v="5"/>
    <n v="0.12840764331210192"/>
    <n v="5"/>
    <n v="0.160038332534738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25"/>
    <n v="4174"/>
  </r>
  <r>
    <x v="3"/>
    <s v="Brevard Community College "/>
    <n v="132693"/>
    <x v="6"/>
    <n v="833"/>
    <n v="979"/>
    <n v="32"/>
    <n v="36"/>
    <n v="2104"/>
    <n v="2244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69"/>
    <n v="3259"/>
  </r>
  <r>
    <x v="3"/>
    <s v="Broward Community College "/>
    <n v="132709"/>
    <x v="6"/>
    <n v="1160"/>
    <n v="901"/>
    <n v="12"/>
    <n v="1"/>
    <n v="4715"/>
    <n v="3898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87"/>
    <n v="4800"/>
  </r>
  <r>
    <x v="3"/>
    <s v="Edison State College "/>
    <n v="133508"/>
    <x v="6"/>
    <n v="262"/>
    <n v="344"/>
    <m/>
    <n v="0"/>
    <n v="1269"/>
    <n v="1532"/>
    <n v="253.8"/>
    <n v="117.84615384615384"/>
    <n v="5"/>
    <n v="0"/>
    <m/>
    <m/>
    <n v="0"/>
    <n v="13"/>
    <m/>
    <m/>
    <m/>
    <n v="0"/>
    <s v="43"/>
    <n v="5"/>
    <s v="43"/>
    <n v="13"/>
    <m/>
    <m/>
    <m/>
    <m/>
    <m/>
    <m/>
    <m/>
    <m/>
    <m/>
    <m/>
    <m/>
    <m/>
    <m/>
    <m/>
    <m/>
    <m/>
    <n v="1"/>
    <n v="3.2552083333333335E-3"/>
    <n v="1"/>
    <n v="6.881948120698782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36"/>
    <n v="1889"/>
  </r>
  <r>
    <x v="3"/>
    <s v="Florida Community College at Jacksonville"/>
    <n v="133702"/>
    <x v="6"/>
    <n v="2967"/>
    <n v="2293"/>
    <n v="9"/>
    <n v="4"/>
    <n v="3234"/>
    <n v="3206"/>
    <n v="0"/>
    <n v="1068.6666666666667"/>
    <m/>
    <m/>
    <m/>
    <m/>
    <n v="0"/>
    <n v="3"/>
    <m/>
    <m/>
    <m/>
    <n v="0"/>
    <m/>
    <m/>
    <s v="43"/>
    <n v="3"/>
    <m/>
    <m/>
    <m/>
    <m/>
    <m/>
    <m/>
    <m/>
    <m/>
    <m/>
    <m/>
    <m/>
    <m/>
    <m/>
    <m/>
    <m/>
    <m/>
    <n v="0"/>
    <n v="0"/>
    <n v="1"/>
    <n v="5.4486015256084274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10"/>
    <n v="5506"/>
  </r>
  <r>
    <x v="3"/>
    <s v="Hillsborough Community College "/>
    <n v="134495"/>
    <x v="6"/>
    <n v="932"/>
    <n v="910"/>
    <n v="66"/>
    <n v="136"/>
    <n v="2193"/>
    <n v="245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91"/>
    <n v="3498"/>
  </r>
  <r>
    <x v="3"/>
    <s v="Indian River Community College "/>
    <n v="134608"/>
    <x v="6"/>
    <n v="1335"/>
    <n v="1359"/>
    <n v="4"/>
    <n v="15"/>
    <n v="1512"/>
    <n v="1731"/>
    <n v="0"/>
    <n v="50.911764705882355"/>
    <m/>
    <m/>
    <m/>
    <m/>
    <n v="0"/>
    <n v="34"/>
    <m/>
    <m/>
    <m/>
    <n v="0"/>
    <m/>
    <m/>
    <s v="52"/>
    <n v="27"/>
    <m/>
    <m/>
    <s v="51"/>
    <n v="7"/>
    <m/>
    <m/>
    <m/>
    <m/>
    <m/>
    <m/>
    <m/>
    <m/>
    <m/>
    <m/>
    <m/>
    <m/>
    <n v="0"/>
    <n v="0"/>
    <n v="2"/>
    <n v="1.08314749920356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51"/>
    <n v="3139"/>
  </r>
  <r>
    <x v="3"/>
    <s v="Palm Beach Community College "/>
    <n v="136358"/>
    <x v="6"/>
    <n v="1187"/>
    <n v="1607"/>
    <n v="52"/>
    <n v="193"/>
    <n v="2576"/>
    <n v="2657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15"/>
    <n v="4457"/>
  </r>
  <r>
    <x v="3"/>
    <s v="Pasco-Hernando Community College "/>
    <n v="136400"/>
    <x v="6"/>
    <n v="633"/>
    <n v="568"/>
    <m/>
    <n v="0"/>
    <n v="861"/>
    <n v="933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94"/>
    <n v="1501"/>
  </r>
  <r>
    <x v="3"/>
    <s v="Pensacola Junior College "/>
    <n v="136473"/>
    <x v="6"/>
    <n v="440"/>
    <n v="450"/>
    <m/>
    <n v="0"/>
    <n v="1530"/>
    <n v="1607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70"/>
    <n v="2057"/>
  </r>
  <r>
    <x v="3"/>
    <s v="Polk Community College "/>
    <n v="136516"/>
    <x v="6"/>
    <n v="292"/>
    <n v="197"/>
    <m/>
    <n v="0"/>
    <n v="948"/>
    <n v="96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40"/>
    <n v="1159"/>
  </r>
  <r>
    <x v="3"/>
    <s v="Santa Fe Community College "/>
    <n v="137096"/>
    <x v="6"/>
    <n v="503"/>
    <n v="481"/>
    <n v="25"/>
    <n v="25"/>
    <n v="2719"/>
    <n v="2767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47"/>
    <n v="3273"/>
  </r>
  <r>
    <x v="3"/>
    <s v="Seminole Community College "/>
    <n v="137209"/>
    <x v="6"/>
    <n v="764"/>
    <n v="1050"/>
    <n v="33"/>
    <n v="32"/>
    <n v="1351"/>
    <n v="1704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48"/>
    <n v="2786"/>
  </r>
  <r>
    <x v="3"/>
    <s v="State College of Florida, Manatee-Sarasota"/>
    <n v="135391"/>
    <x v="6"/>
    <n v="9"/>
    <n v="7"/>
    <m/>
    <n v="0"/>
    <n v="1304"/>
    <n v="1344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13"/>
    <n v="1351"/>
  </r>
  <r>
    <x v="3"/>
    <s v="Tallahassee Community College "/>
    <n v="137759"/>
    <x v="6"/>
    <n v="290"/>
    <n v="409"/>
    <m/>
    <n v="0"/>
    <n v="2248"/>
    <n v="2351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38"/>
    <n v="2760"/>
  </r>
  <r>
    <x v="3"/>
    <s v="Valencia Community College "/>
    <n v="138187"/>
    <x v="6"/>
    <n v="2686"/>
    <n v="3120"/>
    <m/>
    <n v="0"/>
    <n v="4240"/>
    <n v="5128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26"/>
    <n v="8248"/>
  </r>
  <r>
    <x v="3"/>
    <s v="Central Florida Community College "/>
    <n v="132851"/>
    <x v="7"/>
    <n v="528"/>
    <n v="584"/>
    <n v="4"/>
    <n v="4"/>
    <n v="770"/>
    <n v="877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2"/>
    <n v="1465"/>
  </r>
  <r>
    <x v="3"/>
    <s v="Gulf Coast Community College "/>
    <n v="134343"/>
    <x v="7"/>
    <n v="415"/>
    <n v="249"/>
    <m/>
    <n v="0"/>
    <n v="785"/>
    <n v="796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0"/>
    <n v="1045"/>
  </r>
  <r>
    <x v="3"/>
    <s v="Lake City Community College "/>
    <n v="135160"/>
    <x v="7"/>
    <n v="485"/>
    <n v="345"/>
    <m/>
    <n v="0"/>
    <n v="323"/>
    <n v="370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8"/>
    <n v="715"/>
  </r>
  <r>
    <x v="3"/>
    <s v="Lake-Sumter Community College "/>
    <n v="135188"/>
    <x v="7"/>
    <n v="28"/>
    <n v="14"/>
    <m/>
    <n v="0"/>
    <n v="473"/>
    <n v="53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1"/>
    <n v="546"/>
  </r>
  <r>
    <x v="3"/>
    <s v="South Florida Community College "/>
    <n v="137315"/>
    <x v="7"/>
    <n v="273"/>
    <n v="300"/>
    <n v="14"/>
    <m/>
    <n v="251"/>
    <n v="266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8"/>
    <n v="566"/>
  </r>
  <r>
    <x v="3"/>
    <s v="St. Johns River Community College "/>
    <n v="137281"/>
    <x v="7"/>
    <n v="203"/>
    <n v="202"/>
    <n v="22"/>
    <n v="30"/>
    <n v="619"/>
    <n v="6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4"/>
    <n v="885"/>
  </r>
  <r>
    <x v="3"/>
    <s v="Florida Keys Community College "/>
    <n v="133960"/>
    <x v="8"/>
    <n v="103"/>
    <n v="100"/>
    <m/>
    <n v="0"/>
    <n v="162"/>
    <n v="118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5"/>
    <n v="218"/>
  </r>
  <r>
    <x v="3"/>
    <s v="North Florida Community College "/>
    <n v="136145"/>
    <x v="8"/>
    <n v="130"/>
    <n v="127"/>
    <n v="1"/>
    <n v="9"/>
    <n v="147"/>
    <n v="161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8"/>
    <n v="297"/>
  </r>
  <r>
    <x v="4"/>
    <s v="Georgia State University "/>
    <n v="139940"/>
    <x v="0"/>
    <m/>
    <n v="2"/>
    <m/>
    <m/>
    <m/>
    <m/>
    <n v="0"/>
    <n v="0"/>
    <n v="3630"/>
    <n v="193"/>
    <m/>
    <m/>
    <n v="193"/>
    <n v="3843"/>
    <n v="213"/>
    <m/>
    <m/>
    <n v="213"/>
    <m/>
    <m/>
    <m/>
    <m/>
    <m/>
    <m/>
    <m/>
    <m/>
    <m/>
    <m/>
    <m/>
    <m/>
    <m/>
    <m/>
    <m/>
    <m/>
    <m/>
    <m/>
    <m/>
    <m/>
    <n v="0"/>
    <n v="0.62640207075064713"/>
    <n v="0"/>
    <n v="0.6286602322918371"/>
    <n v="28"/>
    <n v="31"/>
    <n v="52"/>
    <n v="576"/>
    <n v="52"/>
    <n v="671"/>
    <n v="13"/>
    <n v="491"/>
    <n v="13"/>
    <n v="472"/>
    <n v="51"/>
    <n v="158"/>
    <n v="22"/>
    <n v="182"/>
    <n v="45"/>
    <n v="85"/>
    <n v="51"/>
    <n v="143"/>
    <n v="44"/>
    <n v="75"/>
    <n v="44"/>
    <n v="80"/>
    <n v="26"/>
    <n v="71"/>
    <n v="26"/>
    <n v="59"/>
    <n v="40"/>
    <n v="40"/>
    <n v="42"/>
    <n v="59"/>
    <n v="11"/>
    <n v="39"/>
    <n v="45"/>
    <n v="58"/>
    <n v="50"/>
    <n v="37"/>
    <n v="11"/>
    <n v="45"/>
    <n v="27"/>
    <n v="25"/>
    <n v="31"/>
    <n v="43"/>
    <m/>
    <m/>
    <n v="155"/>
    <n v="28"/>
    <n v="1752"/>
    <n v="10"/>
    <n v="1840"/>
    <n v="10"/>
    <n v="13"/>
    <n v="53"/>
    <n v="13"/>
    <n v="65"/>
    <n v="26"/>
    <n v="25"/>
    <n v="45"/>
    <n v="21"/>
    <n v="42"/>
    <n v="22"/>
    <n v="51"/>
    <n v="21"/>
    <n v="11"/>
    <n v="20"/>
    <n v="26"/>
    <n v="17"/>
    <n v="40"/>
    <n v="19"/>
    <n v="40"/>
    <n v="17"/>
    <n v="45"/>
    <n v="18"/>
    <n v="23"/>
    <n v="16"/>
    <n v="52"/>
    <n v="12"/>
    <n v="42"/>
    <n v="14"/>
    <n v="23"/>
    <n v="11"/>
    <n v="11"/>
    <n v="13"/>
    <n v="44"/>
    <n v="7"/>
    <n v="52"/>
    <n v="9"/>
    <n v="54"/>
    <n v="7"/>
    <n v="54"/>
    <n v="9"/>
    <n v="6"/>
    <n v="13"/>
    <n v="200"/>
    <n v="10"/>
    <n v="0.26500000000000001"/>
    <n v="215"/>
    <n v="10"/>
    <n v="0.30232558139534882"/>
    <n v="1952"/>
    <n v="2055"/>
    <n v="185"/>
    <n v="182"/>
    <m/>
    <m/>
    <m/>
    <m/>
    <m/>
    <m/>
    <m/>
    <m/>
    <m/>
    <m/>
    <m/>
    <m/>
    <m/>
    <m/>
    <m/>
    <m/>
    <m/>
    <m/>
    <n v="185"/>
    <n v="182"/>
    <n v="5795"/>
    <n v="6113"/>
  </r>
  <r>
    <x v="4"/>
    <s v="University of Georgia"/>
    <n v="139959"/>
    <x v="0"/>
    <m/>
    <m/>
    <m/>
    <m/>
    <m/>
    <m/>
    <n v="0"/>
    <n v="0"/>
    <n v="6378"/>
    <n v="530"/>
    <m/>
    <m/>
    <n v="530"/>
    <n v="6248"/>
    <n v="551"/>
    <m/>
    <m/>
    <n v="551"/>
    <m/>
    <m/>
    <m/>
    <m/>
    <m/>
    <m/>
    <m/>
    <m/>
    <m/>
    <m/>
    <m/>
    <m/>
    <m/>
    <m/>
    <m/>
    <m/>
    <m/>
    <m/>
    <m/>
    <m/>
    <n v="0"/>
    <n v="0.71832413560085595"/>
    <n v="0"/>
    <n v="0.66581415174765557"/>
    <m/>
    <m/>
    <n v="13"/>
    <n v="529"/>
    <n v="13"/>
    <n v="471"/>
    <n v="52"/>
    <n v="376"/>
    <n v="52"/>
    <n v="444"/>
    <n v="44"/>
    <n v="210"/>
    <n v="44"/>
    <n v="230"/>
    <n v="51"/>
    <n v="78"/>
    <n v="51"/>
    <n v="84"/>
    <n v="1"/>
    <n v="59"/>
    <n v="1"/>
    <n v="66"/>
    <n v="50"/>
    <n v="47"/>
    <n v="3"/>
    <n v="51"/>
    <n v="16"/>
    <n v="41"/>
    <n v="50"/>
    <n v="49"/>
    <n v="3"/>
    <n v="40"/>
    <n v="11"/>
    <n v="48"/>
    <n v="9"/>
    <n v="36"/>
    <n v="42"/>
    <n v="44"/>
    <n v="42"/>
    <n v="38"/>
    <n v="22"/>
    <n v="4"/>
    <m/>
    <m/>
    <n v="220"/>
    <n v="760"/>
    <n v="1674"/>
    <n v="10"/>
    <n v="2251"/>
    <n v="10"/>
    <n v="13"/>
    <n v="86"/>
    <n v="13"/>
    <n v="111"/>
    <n v="26"/>
    <n v="60"/>
    <n v="26"/>
    <n v="70"/>
    <n v="42"/>
    <n v="44"/>
    <n v="42"/>
    <n v="39"/>
    <n v="40"/>
    <n v="24"/>
    <n v="40"/>
    <n v="32"/>
    <n v="45"/>
    <n v="20"/>
    <n v="45"/>
    <n v="27"/>
    <n v="1"/>
    <n v="19"/>
    <n v="1"/>
    <n v="19"/>
    <n v="23"/>
    <n v="18"/>
    <n v="50"/>
    <n v="19"/>
    <n v="51"/>
    <n v="16"/>
    <n v="51"/>
    <n v="17"/>
    <n v="44"/>
    <n v="14"/>
    <n v="52"/>
    <n v="15"/>
    <n v="16"/>
    <n v="13"/>
    <n v="3"/>
    <n v="14"/>
    <n v="77"/>
    <n v="96"/>
    <n v="391"/>
    <n v="10"/>
    <n v="0.21994884910485935"/>
    <n v="459"/>
    <n v="10"/>
    <n v="0.24183006535947713"/>
    <n v="2065"/>
    <n v="2710"/>
    <n v="202"/>
    <n v="209"/>
    <m/>
    <m/>
    <m/>
    <m/>
    <n v="138"/>
    <n v="122"/>
    <m/>
    <m/>
    <m/>
    <m/>
    <m/>
    <m/>
    <n v="96"/>
    <n v="95"/>
    <m/>
    <m/>
    <m/>
    <m/>
    <n v="436"/>
    <n v="426"/>
    <n v="8879"/>
    <n v="9384"/>
  </r>
  <r>
    <x v="4"/>
    <s v="Georgia Institute of Technology"/>
    <n v="139755"/>
    <x v="1"/>
    <m/>
    <m/>
    <m/>
    <m/>
    <m/>
    <m/>
    <n v="0"/>
    <n v="0"/>
    <n v="2583"/>
    <m/>
    <m/>
    <m/>
    <n v="0"/>
    <n v="2696"/>
    <m/>
    <m/>
    <m/>
    <n v="0"/>
    <m/>
    <m/>
    <m/>
    <m/>
    <m/>
    <m/>
    <m/>
    <m/>
    <m/>
    <m/>
    <m/>
    <m/>
    <m/>
    <m/>
    <m/>
    <m/>
    <m/>
    <m/>
    <m/>
    <m/>
    <n v="0"/>
    <n v="0.57630522088353409"/>
    <n v="0"/>
    <n v="0.53228035538005924"/>
    <m/>
    <m/>
    <n v="14"/>
    <n v="759"/>
    <n v="14"/>
    <n v="940"/>
    <n v="11"/>
    <n v="192"/>
    <n v="11"/>
    <n v="298"/>
    <n v="52"/>
    <n v="189"/>
    <n v="52"/>
    <n v="274"/>
    <n v="4"/>
    <n v="104"/>
    <n v="4"/>
    <n v="138"/>
    <n v="40"/>
    <n v="39"/>
    <n v="40"/>
    <n v="44"/>
    <n v="45"/>
    <n v="38"/>
    <n v="51"/>
    <n v="39"/>
    <n v="51"/>
    <n v="37"/>
    <n v="45"/>
    <n v="38"/>
    <n v="27"/>
    <n v="18"/>
    <n v="27"/>
    <n v="32"/>
    <n v="26"/>
    <n v="16"/>
    <n v="50"/>
    <n v="20"/>
    <n v="44"/>
    <n v="12"/>
    <n v="26"/>
    <n v="19"/>
    <m/>
    <m/>
    <n v="28"/>
    <n v="37"/>
    <n v="1432"/>
    <n v="10"/>
    <n v="1879"/>
    <n v="10"/>
    <n v="14"/>
    <n v="326"/>
    <n v="14"/>
    <n v="331"/>
    <n v="40"/>
    <n v="57"/>
    <n v="40"/>
    <n v="66"/>
    <n v="11"/>
    <n v="30"/>
    <n v="11"/>
    <n v="29"/>
    <n v="44"/>
    <n v="13"/>
    <n v="27"/>
    <n v="16"/>
    <n v="26"/>
    <n v="12"/>
    <n v="26"/>
    <n v="14"/>
    <n v="52"/>
    <n v="11"/>
    <n v="42"/>
    <n v="9"/>
    <n v="27"/>
    <n v="10"/>
    <n v="44"/>
    <n v="8"/>
    <n v="42"/>
    <n v="5"/>
    <n v="4"/>
    <n v="7"/>
    <n v="4"/>
    <n v="2"/>
    <n v="52"/>
    <n v="7"/>
    <n v="54"/>
    <n v="1"/>
    <n v="54"/>
    <n v="2"/>
    <m/>
    <n v="1"/>
    <n v="467"/>
    <n v="10"/>
    <n v="0.69807280513918635"/>
    <n v="490"/>
    <n v="10"/>
    <n v="0.67551020408163265"/>
    <n v="1899"/>
    <n v="2369"/>
    <m/>
    <m/>
    <m/>
    <m/>
    <m/>
    <m/>
    <m/>
    <m/>
    <m/>
    <m/>
    <m/>
    <m/>
    <m/>
    <m/>
    <m/>
    <m/>
    <m/>
    <m/>
    <m/>
    <m/>
    <n v="0"/>
    <n v="0"/>
    <n v="4482"/>
    <n v="5065"/>
  </r>
  <r>
    <x v="4"/>
    <s v="Georgia Southern University"/>
    <n v="139931"/>
    <x v="2"/>
    <m/>
    <m/>
    <m/>
    <m/>
    <m/>
    <m/>
    <n v="0"/>
    <n v="0"/>
    <n v="2383"/>
    <n v="300"/>
    <m/>
    <m/>
    <n v="300"/>
    <n v="2381"/>
    <n v="312"/>
    <m/>
    <m/>
    <n v="312"/>
    <m/>
    <m/>
    <m/>
    <m/>
    <m/>
    <m/>
    <m/>
    <m/>
    <m/>
    <m/>
    <m/>
    <m/>
    <m/>
    <m/>
    <m/>
    <m/>
    <m/>
    <m/>
    <m/>
    <m/>
    <n v="0"/>
    <n v="0.80262714718760531"/>
    <n v="0"/>
    <n v="0.79658748745399799"/>
    <m/>
    <m/>
    <n v="13"/>
    <n v="225"/>
    <n v="13"/>
    <n v="247"/>
    <n v="52"/>
    <n v="114"/>
    <n v="52"/>
    <n v="129"/>
    <n v="31"/>
    <n v="38"/>
    <n v="31"/>
    <n v="46"/>
    <n v="42"/>
    <n v="36"/>
    <n v="42"/>
    <n v="31"/>
    <n v="51"/>
    <n v="30"/>
    <n v="51"/>
    <n v="29"/>
    <n v="44"/>
    <n v="26"/>
    <n v="44"/>
    <n v="14"/>
    <n v="15"/>
    <n v="11"/>
    <n v="45"/>
    <n v="14"/>
    <n v="26"/>
    <n v="10"/>
    <n v="26"/>
    <n v="13"/>
    <n v="45"/>
    <n v="9"/>
    <n v="23"/>
    <n v="9"/>
    <n v="50"/>
    <n v="6"/>
    <n v="50"/>
    <n v="8"/>
    <m/>
    <m/>
    <n v="12"/>
    <n v="13"/>
    <n v="517"/>
    <n v="10"/>
    <n v="553"/>
    <n v="10"/>
    <n v="13"/>
    <n v="69"/>
    <n v="13"/>
    <n v="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1"/>
    <n v="1"/>
    <n v="55"/>
    <n v="1"/>
    <n v="1"/>
    <n v="586"/>
    <n v="608"/>
    <m/>
    <m/>
    <m/>
    <m/>
    <m/>
    <m/>
    <m/>
    <m/>
    <m/>
    <m/>
    <m/>
    <m/>
    <m/>
    <m/>
    <m/>
    <m/>
    <m/>
    <m/>
    <m/>
    <m/>
    <n v="0"/>
    <n v="0"/>
    <n v="2969"/>
    <n v="2989"/>
  </r>
  <r>
    <x v="4"/>
    <s v="University of West Georgia"/>
    <n v="141334"/>
    <x v="2"/>
    <m/>
    <m/>
    <m/>
    <m/>
    <m/>
    <m/>
    <n v="0"/>
    <n v="0"/>
    <n v="1222"/>
    <n v="230"/>
    <m/>
    <m/>
    <n v="230"/>
    <n v="1335"/>
    <n v="264"/>
    <m/>
    <m/>
    <n v="264"/>
    <m/>
    <m/>
    <m/>
    <m/>
    <m/>
    <m/>
    <m/>
    <m/>
    <m/>
    <m/>
    <m/>
    <m/>
    <m/>
    <m/>
    <m/>
    <m/>
    <m/>
    <m/>
    <m/>
    <m/>
    <n v="0"/>
    <n v="0.71170646476412347"/>
    <n v="0"/>
    <n v="0.70337197049525813"/>
    <n v="8"/>
    <n v="11"/>
    <n v="13"/>
    <n v="366"/>
    <n v="13"/>
    <n v="406"/>
    <n v="42"/>
    <n v="25"/>
    <n v="52"/>
    <n v="59"/>
    <n v="52"/>
    <n v="25"/>
    <n v="51"/>
    <n v="28"/>
    <n v="51"/>
    <n v="21"/>
    <n v="42"/>
    <n v="15"/>
    <n v="44"/>
    <n v="12"/>
    <n v="44"/>
    <n v="10"/>
    <n v="11"/>
    <n v="6"/>
    <n v="54"/>
    <n v="10"/>
    <n v="23"/>
    <n v="6"/>
    <n v="23"/>
    <n v="5"/>
    <n v="26"/>
    <n v="6"/>
    <n v="26"/>
    <n v="4"/>
    <n v="45"/>
    <n v="6"/>
    <n v="45"/>
    <n v="4"/>
    <n v="54"/>
    <n v="6"/>
    <n v="11"/>
    <n v="2"/>
    <m/>
    <m/>
    <m/>
    <n v="1"/>
    <n v="479"/>
    <n v="10"/>
    <n v="544"/>
    <n v="10"/>
    <n v="13"/>
    <n v="8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8"/>
    <n v="1"/>
    <n v="1"/>
    <n v="487"/>
    <n v="552"/>
    <m/>
    <m/>
    <m/>
    <m/>
    <m/>
    <m/>
    <m/>
    <m/>
    <m/>
    <m/>
    <m/>
    <m/>
    <m/>
    <m/>
    <m/>
    <m/>
    <m/>
    <m/>
    <m/>
    <m/>
    <n v="0"/>
    <n v="0"/>
    <n v="1717"/>
    <n v="1898"/>
  </r>
  <r>
    <x v="4"/>
    <s v="Valdosta State University "/>
    <n v="141264"/>
    <x v="2"/>
    <m/>
    <m/>
    <m/>
    <m/>
    <n v="52"/>
    <n v="57"/>
    <n v="3.2078963602714373E-2"/>
    <n v="3.4969325153374232E-2"/>
    <n v="1621"/>
    <n v="339"/>
    <m/>
    <m/>
    <n v="339"/>
    <n v="1630"/>
    <n v="352"/>
    <m/>
    <m/>
    <n v="352"/>
    <m/>
    <m/>
    <m/>
    <m/>
    <m/>
    <m/>
    <m/>
    <m/>
    <m/>
    <m/>
    <m/>
    <m/>
    <m/>
    <m/>
    <m/>
    <m/>
    <m/>
    <m/>
    <m/>
    <m/>
    <n v="0"/>
    <n v="0.75185528756957332"/>
    <n v="0"/>
    <n v="0.72605790645879731"/>
    <m/>
    <m/>
    <n v="13"/>
    <n v="243"/>
    <n v="13"/>
    <n v="298"/>
    <n v="44"/>
    <n v="74"/>
    <n v="51"/>
    <n v="84"/>
    <n v="51"/>
    <n v="69"/>
    <n v="44"/>
    <n v="79"/>
    <n v="42"/>
    <n v="27"/>
    <n v="25"/>
    <n v="34"/>
    <n v="25"/>
    <n v="20"/>
    <n v="42"/>
    <n v="20"/>
    <n v="52"/>
    <n v="11"/>
    <n v="52"/>
    <n v="18"/>
    <n v="43"/>
    <n v="9"/>
    <n v="43"/>
    <n v="7"/>
    <n v="23"/>
    <n v="4"/>
    <n v="45"/>
    <n v="5"/>
    <n v="45"/>
    <n v="4"/>
    <n v="26"/>
    <n v="3"/>
    <n v="50"/>
    <n v="3"/>
    <n v="23"/>
    <n v="2"/>
    <m/>
    <m/>
    <n v="4"/>
    <n v="3"/>
    <n v="468"/>
    <n v="10"/>
    <n v="553"/>
    <n v="10"/>
    <n v="13"/>
    <n v="15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5"/>
    <n v="1"/>
    <n v="1"/>
    <n v="483"/>
    <n v="558"/>
    <m/>
    <m/>
    <m/>
    <m/>
    <m/>
    <m/>
    <m/>
    <m/>
    <m/>
    <m/>
    <m/>
    <m/>
    <m/>
    <m/>
    <m/>
    <m/>
    <m/>
    <m/>
    <m/>
    <m/>
    <n v="0"/>
    <n v="0"/>
    <n v="2156"/>
    <n v="2245"/>
  </r>
  <r>
    <x v="4"/>
    <s v="Albany State University "/>
    <n v="138716"/>
    <x v="3"/>
    <m/>
    <m/>
    <m/>
    <m/>
    <n v="3"/>
    <n v="3"/>
    <n v="5.9405940594059407E-3"/>
    <n v="5.7692307692307696E-3"/>
    <n v="505"/>
    <n v="75"/>
    <m/>
    <m/>
    <n v="75"/>
    <n v="520"/>
    <n v="102"/>
    <m/>
    <m/>
    <n v="102"/>
    <m/>
    <m/>
    <m/>
    <m/>
    <m/>
    <m/>
    <m/>
    <m/>
    <m/>
    <m/>
    <m/>
    <m/>
    <m/>
    <m/>
    <m/>
    <m/>
    <m/>
    <m/>
    <m/>
    <m/>
    <n v="0"/>
    <n v="0.76399394856278369"/>
    <n v="0"/>
    <n v="0.79389312977099236"/>
    <m/>
    <m/>
    <n v="13"/>
    <n v="101"/>
    <n v="13"/>
    <n v="74"/>
    <n v="51"/>
    <n v="25"/>
    <n v="51"/>
    <n v="21"/>
    <n v="44"/>
    <n v="16"/>
    <n v="44"/>
    <n v="17"/>
    <n v="43"/>
    <n v="8"/>
    <n v="52"/>
    <n v="12"/>
    <n v="52"/>
    <n v="3"/>
    <n v="43"/>
    <n v="8"/>
    <m/>
    <m/>
    <m/>
    <m/>
    <m/>
    <m/>
    <m/>
    <m/>
    <m/>
    <m/>
    <m/>
    <m/>
    <m/>
    <m/>
    <m/>
    <m/>
    <m/>
    <m/>
    <m/>
    <m/>
    <m/>
    <m/>
    <m/>
    <m/>
    <n v="153"/>
    <n v="5"/>
    <n v="13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3"/>
    <n v="132"/>
    <m/>
    <m/>
    <m/>
    <m/>
    <m/>
    <m/>
    <m/>
    <m/>
    <m/>
    <m/>
    <m/>
    <m/>
    <m/>
    <m/>
    <m/>
    <m/>
    <m/>
    <m/>
    <m/>
    <m/>
    <n v="0"/>
    <n v="0"/>
    <n v="661"/>
    <n v="655"/>
  </r>
  <r>
    <x v="4"/>
    <s v="Armstrong Atlantic State University"/>
    <n v="138789"/>
    <x v="3"/>
    <n v="12"/>
    <n v="58"/>
    <m/>
    <m/>
    <n v="77"/>
    <n v="84"/>
    <n v="9.2215568862275443E-2"/>
    <n v="9.3541202672605794E-2"/>
    <n v="835"/>
    <n v="167"/>
    <m/>
    <m/>
    <n v="167"/>
    <n v="898"/>
    <n v="188"/>
    <m/>
    <m/>
    <n v="188"/>
    <m/>
    <m/>
    <m/>
    <m/>
    <m/>
    <m/>
    <m/>
    <m/>
    <m/>
    <m/>
    <m/>
    <m/>
    <m/>
    <m/>
    <m/>
    <m/>
    <m/>
    <m/>
    <m/>
    <m/>
    <n v="0"/>
    <n v="0.73893805309734517"/>
    <n v="0"/>
    <n v="0.68549618320610683"/>
    <m/>
    <m/>
    <n v="13"/>
    <n v="130"/>
    <n v="13"/>
    <n v="191"/>
    <n v="51"/>
    <n v="67"/>
    <n v="51"/>
    <n v="62"/>
    <n v="9"/>
    <n v="4"/>
    <n v="9"/>
    <n v="9"/>
    <n v="11"/>
    <n v="3"/>
    <n v="43"/>
    <n v="4"/>
    <n v="43"/>
    <n v="1"/>
    <n v="54"/>
    <n v="4"/>
    <n v="54"/>
    <n v="1"/>
    <m/>
    <m/>
    <m/>
    <m/>
    <m/>
    <m/>
    <m/>
    <m/>
    <m/>
    <m/>
    <m/>
    <m/>
    <m/>
    <m/>
    <m/>
    <m/>
    <m/>
    <m/>
    <m/>
    <m/>
    <m/>
    <m/>
    <n v="206"/>
    <n v="6"/>
    <n v="27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6"/>
    <n v="270"/>
    <m/>
    <m/>
    <m/>
    <m/>
    <m/>
    <m/>
    <m/>
    <m/>
    <m/>
    <m/>
    <m/>
    <m/>
    <m/>
    <m/>
    <m/>
    <m/>
    <m/>
    <m/>
    <m/>
    <m/>
    <n v="0"/>
    <n v="0"/>
    <n v="1130"/>
    <n v="1310"/>
  </r>
  <r>
    <x v="4"/>
    <s v="Columbus State University"/>
    <n v="139366"/>
    <x v="3"/>
    <n v="93"/>
    <n v="98"/>
    <m/>
    <m/>
    <n v="27"/>
    <n v="42"/>
    <n v="3.2181168057210968E-2"/>
    <n v="4.9411764705882349E-2"/>
    <n v="839"/>
    <n v="152"/>
    <m/>
    <m/>
    <n v="152"/>
    <n v="850"/>
    <n v="147"/>
    <m/>
    <m/>
    <n v="147"/>
    <m/>
    <m/>
    <m/>
    <m/>
    <m/>
    <m/>
    <m/>
    <m/>
    <m/>
    <m/>
    <m/>
    <m/>
    <m/>
    <m/>
    <m/>
    <m/>
    <m/>
    <m/>
    <m/>
    <m/>
    <n v="0"/>
    <n v="0.64737654320987659"/>
    <n v="0"/>
    <n v="0.58259081562714188"/>
    <m/>
    <m/>
    <n v="13"/>
    <n v="160"/>
    <n v="13"/>
    <n v="272"/>
    <n v="45"/>
    <n v="137"/>
    <n v="45"/>
    <n v="147"/>
    <n v="11"/>
    <n v="28"/>
    <n v="52"/>
    <n v="26"/>
    <n v="52"/>
    <n v="12"/>
    <n v="11"/>
    <n v="16"/>
    <m/>
    <m/>
    <n v="3"/>
    <n v="8"/>
    <m/>
    <m/>
    <m/>
    <m/>
    <m/>
    <m/>
    <m/>
    <m/>
    <m/>
    <m/>
    <m/>
    <m/>
    <m/>
    <m/>
    <m/>
    <m/>
    <m/>
    <m/>
    <m/>
    <m/>
    <m/>
    <m/>
    <m/>
    <m/>
    <n v="337"/>
    <n v="4"/>
    <n v="46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7"/>
    <n v="469"/>
    <m/>
    <m/>
    <m/>
    <m/>
    <m/>
    <m/>
    <m/>
    <m/>
    <m/>
    <m/>
    <m/>
    <m/>
    <m/>
    <m/>
    <m/>
    <m/>
    <m/>
    <m/>
    <m/>
    <m/>
    <n v="0"/>
    <n v="0"/>
    <n v="1296"/>
    <n v="1459"/>
  </r>
  <r>
    <x v="4"/>
    <s v="Georgia College and State University"/>
    <n v="139861"/>
    <x v="3"/>
    <m/>
    <m/>
    <m/>
    <m/>
    <m/>
    <m/>
    <n v="0"/>
    <n v="0"/>
    <n v="913"/>
    <n v="161"/>
    <m/>
    <m/>
    <n v="161"/>
    <n v="979"/>
    <n v="156"/>
    <m/>
    <m/>
    <n v="156"/>
    <m/>
    <m/>
    <m/>
    <m/>
    <m/>
    <m/>
    <m/>
    <m/>
    <m/>
    <m/>
    <m/>
    <m/>
    <m/>
    <m/>
    <m/>
    <m/>
    <m/>
    <m/>
    <m/>
    <m/>
    <n v="0"/>
    <n v="0.69961685823754793"/>
    <n v="0"/>
    <n v="0.67704011065006919"/>
    <m/>
    <m/>
    <n v="13"/>
    <n v="220"/>
    <n v="13"/>
    <n v="296"/>
    <n v="52"/>
    <n v="99"/>
    <n v="52"/>
    <n v="95"/>
    <n v="44"/>
    <n v="36"/>
    <n v="44"/>
    <n v="24"/>
    <n v="51"/>
    <n v="14"/>
    <n v="51"/>
    <n v="22"/>
    <n v="23"/>
    <n v="12"/>
    <n v="26"/>
    <n v="9"/>
    <n v="26"/>
    <n v="7"/>
    <n v="23"/>
    <n v="8"/>
    <n v="43"/>
    <n v="3"/>
    <n v="43"/>
    <n v="8"/>
    <n v="54"/>
    <n v="1"/>
    <n v="54"/>
    <n v="5"/>
    <m/>
    <m/>
    <m/>
    <m/>
    <m/>
    <m/>
    <m/>
    <m/>
    <m/>
    <m/>
    <m/>
    <m/>
    <n v="392"/>
    <n v="8"/>
    <n v="467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92"/>
    <n v="467"/>
    <m/>
    <m/>
    <m/>
    <m/>
    <m/>
    <m/>
    <m/>
    <m/>
    <m/>
    <m/>
    <m/>
    <m/>
    <m/>
    <m/>
    <m/>
    <m/>
    <m/>
    <m/>
    <m/>
    <m/>
    <n v="0"/>
    <n v="0"/>
    <n v="1305"/>
    <n v="1446"/>
  </r>
  <r>
    <x v="4"/>
    <s v="Kennesaw State University"/>
    <n v="140164"/>
    <x v="3"/>
    <m/>
    <m/>
    <m/>
    <m/>
    <m/>
    <m/>
    <n v="0"/>
    <n v="0"/>
    <n v="2854"/>
    <n v="522"/>
    <m/>
    <m/>
    <n v="522"/>
    <n v="3019"/>
    <n v="518"/>
    <m/>
    <m/>
    <n v="518"/>
    <m/>
    <m/>
    <m/>
    <m/>
    <m/>
    <m/>
    <m/>
    <m/>
    <m/>
    <m/>
    <m/>
    <m/>
    <m/>
    <m/>
    <m/>
    <m/>
    <m/>
    <m/>
    <m/>
    <m/>
    <n v="0"/>
    <n v="0.74672946101517534"/>
    <n v="0"/>
    <n v="0.75683128603660066"/>
    <m/>
    <m/>
    <n v="13"/>
    <n v="398"/>
    <n v="52"/>
    <n v="403"/>
    <n v="52"/>
    <n v="348"/>
    <n v="13"/>
    <n v="327"/>
    <n v="44"/>
    <n v="57"/>
    <n v="44"/>
    <n v="79"/>
    <n v="11"/>
    <n v="56"/>
    <n v="11"/>
    <n v="42"/>
    <n v="51"/>
    <n v="45"/>
    <n v="51"/>
    <n v="38"/>
    <n v="30"/>
    <n v="29"/>
    <n v="23"/>
    <n v="37"/>
    <n v="23"/>
    <n v="27"/>
    <n v="30"/>
    <n v="27"/>
    <n v="27"/>
    <n v="8"/>
    <n v="27"/>
    <n v="17"/>
    <m/>
    <m/>
    <m/>
    <m/>
    <m/>
    <m/>
    <m/>
    <m/>
    <m/>
    <m/>
    <m/>
    <m/>
    <n v="968"/>
    <n v="8"/>
    <n v="970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68"/>
    <n v="970"/>
    <m/>
    <m/>
    <m/>
    <m/>
    <m/>
    <m/>
    <m/>
    <m/>
    <m/>
    <m/>
    <m/>
    <m/>
    <m/>
    <m/>
    <m/>
    <m/>
    <m/>
    <m/>
    <m/>
    <m/>
    <n v="0"/>
    <n v="0"/>
    <n v="3822"/>
    <n v="3989"/>
  </r>
  <r>
    <x v="4"/>
    <s v="Augusta State University"/>
    <n v="138983"/>
    <x v="4"/>
    <m/>
    <m/>
    <m/>
    <m/>
    <n v="73"/>
    <n v="117"/>
    <n v="0.12739965095986039"/>
    <n v="0.19243421052631579"/>
    <n v="573"/>
    <n v="137"/>
    <m/>
    <m/>
    <n v="137"/>
    <n v="608"/>
    <n v="124"/>
    <m/>
    <m/>
    <n v="124"/>
    <m/>
    <m/>
    <m/>
    <m/>
    <m/>
    <m/>
    <m/>
    <m/>
    <m/>
    <m/>
    <m/>
    <m/>
    <m/>
    <m/>
    <m/>
    <m/>
    <m/>
    <m/>
    <m/>
    <m/>
    <n v="0"/>
    <n v="0.57937310414560161"/>
    <n v="0"/>
    <n v="0.5356828193832599"/>
    <m/>
    <m/>
    <n v="13"/>
    <n v="284"/>
    <n v="13"/>
    <n v="363"/>
    <n v="52"/>
    <n v="36"/>
    <n v="52"/>
    <n v="34"/>
    <n v="44"/>
    <n v="15"/>
    <n v="44"/>
    <n v="7"/>
    <n v="42"/>
    <n v="8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n v="343"/>
    <n v="4"/>
    <n v="41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3"/>
    <n v="410"/>
    <m/>
    <m/>
    <m/>
    <m/>
    <m/>
    <m/>
    <m/>
    <m/>
    <m/>
    <m/>
    <m/>
    <m/>
    <m/>
    <m/>
    <m/>
    <m/>
    <m/>
    <m/>
    <m/>
    <m/>
    <n v="0"/>
    <n v="0"/>
    <n v="989"/>
    <n v="1135"/>
  </r>
  <r>
    <x v="4"/>
    <s v="Fort Valley State University"/>
    <n v="139719"/>
    <x v="4"/>
    <m/>
    <m/>
    <m/>
    <m/>
    <n v="11"/>
    <n v="9"/>
    <n v="4.1044776119402986E-2"/>
    <n v="3.71900826446281E-2"/>
    <n v="268"/>
    <n v="8"/>
    <m/>
    <m/>
    <n v="8"/>
    <n v="242"/>
    <n v="7"/>
    <m/>
    <m/>
    <n v="7"/>
    <m/>
    <m/>
    <m/>
    <m/>
    <m/>
    <m/>
    <m/>
    <m/>
    <m/>
    <m/>
    <m/>
    <m/>
    <m/>
    <m/>
    <m/>
    <m/>
    <m/>
    <m/>
    <m/>
    <m/>
    <n v="0"/>
    <n v="0.89036544850498334"/>
    <n v="0"/>
    <n v="0.83448275862068966"/>
    <m/>
    <m/>
    <n v="51"/>
    <n v="21"/>
    <n v="51"/>
    <n v="35"/>
    <n v="1"/>
    <n v="1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3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39"/>
    <m/>
    <m/>
    <m/>
    <m/>
    <m/>
    <m/>
    <m/>
    <m/>
    <m/>
    <m/>
    <m/>
    <m/>
    <m/>
    <m/>
    <m/>
    <m/>
    <m/>
    <m/>
    <m/>
    <m/>
    <n v="0"/>
    <n v="0"/>
    <n v="301"/>
    <n v="290"/>
  </r>
  <r>
    <x v="4"/>
    <s v="Georgia Southwestern State University"/>
    <n v="139764"/>
    <x v="4"/>
    <n v="3"/>
    <n v="1"/>
    <m/>
    <m/>
    <n v="7"/>
    <m/>
    <n v="1.9337016574585635E-2"/>
    <n v="0"/>
    <n v="362"/>
    <n v="88"/>
    <m/>
    <m/>
    <n v="88"/>
    <n v="385"/>
    <n v="89"/>
    <m/>
    <m/>
    <n v="89"/>
    <m/>
    <m/>
    <m/>
    <m/>
    <m/>
    <m/>
    <m/>
    <m/>
    <m/>
    <m/>
    <m/>
    <m/>
    <m/>
    <m/>
    <m/>
    <m/>
    <m/>
    <m/>
    <m/>
    <m/>
    <n v="0"/>
    <n v="0.73131313131313136"/>
    <n v="0"/>
    <n v="0.84615384615384615"/>
    <n v="1"/>
    <m/>
    <n v="13"/>
    <n v="81"/>
    <n v="52"/>
    <n v="31"/>
    <n v="52"/>
    <n v="25"/>
    <n v="13"/>
    <n v="26"/>
    <n v="11"/>
    <n v="16"/>
    <n v="1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"/>
    <n v="3"/>
    <n v="6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2"/>
    <n v="69"/>
    <m/>
    <m/>
    <m/>
    <m/>
    <m/>
    <m/>
    <m/>
    <m/>
    <m/>
    <m/>
    <m/>
    <m/>
    <m/>
    <m/>
    <m/>
    <m/>
    <m/>
    <m/>
    <m/>
    <m/>
    <n v="0"/>
    <n v="0"/>
    <n v="495"/>
    <n v="455"/>
  </r>
  <r>
    <x v="4"/>
    <s v="North Georgia College and State University"/>
    <n v="140669"/>
    <x v="4"/>
    <m/>
    <m/>
    <m/>
    <m/>
    <n v="125"/>
    <n v="115"/>
    <n v="0.16318537859007834"/>
    <n v="0.14954486345903772"/>
    <n v="766"/>
    <n v="189"/>
    <m/>
    <m/>
    <n v="189"/>
    <n v="769"/>
    <n v="164"/>
    <m/>
    <m/>
    <n v="164"/>
    <m/>
    <m/>
    <m/>
    <m/>
    <m/>
    <m/>
    <m/>
    <m/>
    <m/>
    <m/>
    <m/>
    <m/>
    <m/>
    <m/>
    <m/>
    <m/>
    <m/>
    <m/>
    <m/>
    <m/>
    <n v="0"/>
    <n v="0.6778761061946903"/>
    <n v="0"/>
    <n v="0.6606529209621993"/>
    <m/>
    <m/>
    <n v="13"/>
    <n v="193"/>
    <n v="13"/>
    <n v="238"/>
    <n v="51"/>
    <n v="25"/>
    <n v="51"/>
    <n v="25"/>
    <n v="44"/>
    <n v="14"/>
    <n v="44"/>
    <n v="9"/>
    <n v="42"/>
    <n v="7"/>
    <n v="42"/>
    <n v="8"/>
    <m/>
    <m/>
    <m/>
    <m/>
    <m/>
    <m/>
    <m/>
    <m/>
    <m/>
    <m/>
    <m/>
    <m/>
    <m/>
    <m/>
    <m/>
    <m/>
    <m/>
    <m/>
    <m/>
    <m/>
    <m/>
    <m/>
    <m/>
    <m/>
    <m/>
    <m/>
    <m/>
    <m/>
    <n v="239"/>
    <n v="4"/>
    <n v="28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9"/>
    <n v="280"/>
    <m/>
    <m/>
    <m/>
    <m/>
    <m/>
    <m/>
    <m/>
    <m/>
    <m/>
    <m/>
    <m/>
    <m/>
    <m/>
    <m/>
    <m/>
    <m/>
    <m/>
    <m/>
    <m/>
    <m/>
    <n v="0"/>
    <n v="0"/>
    <n v="1130"/>
    <n v="1164"/>
  </r>
  <r>
    <x v="4"/>
    <s v="Savannah State University"/>
    <n v="140960"/>
    <x v="4"/>
    <m/>
    <m/>
    <m/>
    <m/>
    <m/>
    <m/>
    <n v="0"/>
    <n v="0"/>
    <n v="300"/>
    <m/>
    <m/>
    <m/>
    <n v="0"/>
    <n v="326"/>
    <n v="0"/>
    <m/>
    <m/>
    <n v="0"/>
    <m/>
    <m/>
    <m/>
    <m/>
    <m/>
    <m/>
    <m/>
    <m/>
    <m/>
    <m/>
    <m/>
    <m/>
    <m/>
    <m/>
    <m/>
    <m/>
    <m/>
    <m/>
    <m/>
    <m/>
    <n v="0"/>
    <n v="0.86956521739130432"/>
    <n v="0"/>
    <n v="0.88586956521739135"/>
    <m/>
    <m/>
    <n v="44"/>
    <n v="43"/>
    <n v="44"/>
    <n v="25"/>
    <n v="26"/>
    <n v="2"/>
    <n v="52"/>
    <n v="9"/>
    <m/>
    <m/>
    <n v="26"/>
    <n v="5"/>
    <m/>
    <m/>
    <n v="45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5"/>
    <n v="42"/>
    <m/>
    <m/>
    <m/>
    <m/>
    <m/>
    <m/>
    <m/>
    <m/>
    <m/>
    <m/>
    <m/>
    <m/>
    <m/>
    <m/>
    <m/>
    <m/>
    <m/>
    <m/>
    <m/>
    <m/>
    <n v="0"/>
    <n v="0"/>
    <n v="345"/>
    <n v="368"/>
  </r>
  <r>
    <x v="4"/>
    <s v="Clayton State University"/>
    <n v="139311"/>
    <x v="5"/>
    <n v="56"/>
    <n v="68"/>
    <m/>
    <m/>
    <n v="126"/>
    <n v="122"/>
    <n v="0.1496437054631829"/>
    <n v="0.14006888633754305"/>
    <n v="842"/>
    <n v="42"/>
    <m/>
    <m/>
    <n v="42"/>
    <n v="871"/>
    <n v="50"/>
    <m/>
    <m/>
    <n v="50"/>
    <m/>
    <m/>
    <m/>
    <m/>
    <m/>
    <m/>
    <m/>
    <m/>
    <m/>
    <m/>
    <m/>
    <m/>
    <m/>
    <m/>
    <m/>
    <m/>
    <m/>
    <m/>
    <m/>
    <m/>
    <n v="0"/>
    <n v="0.822265625"/>
    <n v="0"/>
    <n v="0.79616087751371112"/>
    <m/>
    <m/>
    <m/>
    <m/>
    <n v="52"/>
    <n v="31"/>
    <m/>
    <m/>
    <n v="2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33"/>
    <m/>
    <m/>
    <m/>
    <m/>
    <m/>
    <m/>
    <m/>
    <m/>
    <m/>
    <m/>
    <m/>
    <m/>
    <m/>
    <m/>
    <m/>
    <m/>
    <m/>
    <m/>
    <m/>
    <m/>
    <n v="0"/>
    <n v="0"/>
    <n v="1024"/>
    <n v="1094"/>
  </r>
  <r>
    <x v="4"/>
    <s v="Macon State College "/>
    <n v="140322"/>
    <x v="5"/>
    <n v="53"/>
    <n v="45"/>
    <m/>
    <m/>
    <n v="341"/>
    <n v="342"/>
    <n v="0.96600566572237956"/>
    <n v="0.77551020408163263"/>
    <n v="353"/>
    <n v="49"/>
    <m/>
    <m/>
    <n v="49"/>
    <n v="441"/>
    <n v="79"/>
    <m/>
    <m/>
    <n v="79"/>
    <s v="52"/>
    <n v="118"/>
    <s v="52"/>
    <n v="140"/>
    <s v="11"/>
    <n v="69"/>
    <s v="13"/>
    <n v="79"/>
    <s v="51"/>
    <n v="68"/>
    <s v="11"/>
    <n v="63"/>
    <s v="13"/>
    <n v="49"/>
    <s v="51"/>
    <n v="62"/>
    <s v="44"/>
    <n v="45"/>
    <s v="44"/>
    <n v="58"/>
    <n v="5"/>
    <n v="0.47255689424364122"/>
    <n v="5"/>
    <n v="0.532608695652173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7"/>
    <n v="828"/>
  </r>
  <r>
    <x v="4"/>
    <s v="Dalton State College "/>
    <n v="139463"/>
    <x v="12"/>
    <n v="108"/>
    <n v="85"/>
    <m/>
    <m/>
    <n v="412"/>
    <n v="339"/>
    <n v="2.5432098765432101"/>
    <n v="2.0670731707317072"/>
    <n v="162"/>
    <n v="59"/>
    <m/>
    <m/>
    <n v="59"/>
    <n v="164"/>
    <n v="86"/>
    <m/>
    <m/>
    <n v="86"/>
    <s v="52"/>
    <n v="90"/>
    <s v="13"/>
    <n v="86"/>
    <s v="13"/>
    <n v="59"/>
    <s v="52"/>
    <n v="60"/>
    <s v="44"/>
    <n v="13"/>
    <s v="44"/>
    <n v="18"/>
    <m/>
    <m/>
    <m/>
    <m/>
    <m/>
    <m/>
    <m/>
    <m/>
    <n v="3"/>
    <n v="0.23753665689149561"/>
    <n v="3"/>
    <n v="0.278911564625850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2"/>
    <n v="588"/>
  </r>
  <r>
    <x v="4"/>
    <s v="Georgia Perimeter College "/>
    <n v="244437"/>
    <x v="6"/>
    <n v="4"/>
    <n v="8"/>
    <m/>
    <m/>
    <n v="1623"/>
    <n v="15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27"/>
    <n v="1514"/>
  </r>
  <r>
    <x v="4"/>
    <s v="Abraham Baldwin Agricultural College "/>
    <n v="138558"/>
    <x v="7"/>
    <n v="9"/>
    <n v="4"/>
    <m/>
    <m/>
    <n v="426"/>
    <n v="485"/>
    <n v="0"/>
    <n v="121.25"/>
    <m/>
    <m/>
    <m/>
    <m/>
    <n v="0"/>
    <n v="4"/>
    <m/>
    <m/>
    <m/>
    <n v="0"/>
    <m/>
    <m/>
    <s v="01"/>
    <n v="4"/>
    <m/>
    <m/>
    <m/>
    <m/>
    <m/>
    <m/>
    <m/>
    <m/>
    <m/>
    <m/>
    <m/>
    <m/>
    <m/>
    <m/>
    <m/>
    <m/>
    <n v="0"/>
    <n v="0"/>
    <n v="1"/>
    <n v="8.113590263691683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5"/>
    <n v="493"/>
  </r>
  <r>
    <x v="4"/>
    <s v="Bainbridge College "/>
    <n v="139010"/>
    <x v="7"/>
    <n v="420"/>
    <n v="386"/>
    <m/>
    <m/>
    <n v="177"/>
    <n v="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7"/>
    <n v="551"/>
  </r>
  <r>
    <x v="4"/>
    <s v="College of Coastal Georgia "/>
    <n v="139250"/>
    <x v="7"/>
    <n v="123"/>
    <n v="92"/>
    <m/>
    <m/>
    <n v="288"/>
    <n v="294"/>
    <n v="0"/>
    <n v="0"/>
    <m/>
    <m/>
    <m/>
    <m/>
    <n v="0"/>
    <m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1"/>
    <n v="386"/>
  </r>
  <r>
    <x v="4"/>
    <s v="Darton College "/>
    <n v="138691"/>
    <x v="7"/>
    <n v="80"/>
    <n v="114"/>
    <m/>
    <m/>
    <n v="547"/>
    <n v="4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7"/>
    <n v="570"/>
  </r>
  <r>
    <x v="4"/>
    <s v="Gainesville State College "/>
    <n v="139773"/>
    <x v="7"/>
    <n v="28"/>
    <n v="23"/>
    <m/>
    <m/>
    <n v="647"/>
    <n v="653"/>
    <n v="25.88"/>
    <n v="10.704918032786885"/>
    <n v="25"/>
    <n v="19"/>
    <m/>
    <m/>
    <n v="19"/>
    <n v="61"/>
    <n v="49"/>
    <m/>
    <m/>
    <n v="49"/>
    <s v="13"/>
    <n v="19"/>
    <s v="13"/>
    <n v="49"/>
    <s v="03"/>
    <n v="6"/>
    <s v="52"/>
    <n v="7"/>
    <m/>
    <m/>
    <s v="03"/>
    <n v="5"/>
    <m/>
    <m/>
    <m/>
    <m/>
    <m/>
    <m/>
    <m/>
    <m/>
    <n v="2"/>
    <n v="3.5714285714285712E-2"/>
    <n v="3"/>
    <n v="8.276797829036634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0"/>
    <n v="737"/>
  </r>
  <r>
    <x v="4"/>
    <s v="Georgia Highlands College"/>
    <n v="139700"/>
    <x v="7"/>
    <m/>
    <m/>
    <m/>
    <m/>
    <n v="384"/>
    <n v="4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4"/>
    <n v="418"/>
  </r>
  <r>
    <x v="4"/>
    <s v="Gordon College "/>
    <n v="139968"/>
    <x v="7"/>
    <m/>
    <m/>
    <m/>
    <m/>
    <n v="409"/>
    <n v="420"/>
    <n v="0"/>
    <n v="15"/>
    <m/>
    <m/>
    <m/>
    <m/>
    <n v="0"/>
    <n v="28"/>
    <n v="28"/>
    <m/>
    <m/>
    <n v="28"/>
    <m/>
    <m/>
    <s v="13"/>
    <n v="28"/>
    <m/>
    <m/>
    <m/>
    <m/>
    <m/>
    <m/>
    <m/>
    <m/>
    <m/>
    <m/>
    <m/>
    <m/>
    <m/>
    <m/>
    <m/>
    <m/>
    <n v="0"/>
    <n v="0"/>
    <n v="1"/>
    <n v="6.2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9"/>
    <n v="448"/>
  </r>
  <r>
    <x v="4"/>
    <s v="Middle Georgia College "/>
    <n v="140483"/>
    <x v="7"/>
    <n v="115"/>
    <n v="74"/>
    <m/>
    <m/>
    <n v="349"/>
    <n v="2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4"/>
    <n v="337"/>
  </r>
  <r>
    <x v="4"/>
    <s v="Atlanta Metropolitan College"/>
    <n v="138901"/>
    <x v="8"/>
    <m/>
    <m/>
    <m/>
    <m/>
    <n v="189"/>
    <n v="2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9"/>
    <n v="226"/>
  </r>
  <r>
    <x v="4"/>
    <s v="East Georgia College"/>
    <n v="139621"/>
    <x v="8"/>
    <m/>
    <m/>
    <m/>
    <m/>
    <n v="94"/>
    <n v="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4"/>
    <n v="120"/>
  </r>
  <r>
    <x v="4"/>
    <s v="South Georgia College "/>
    <n v="140997"/>
    <x v="8"/>
    <n v="1"/>
    <m/>
    <m/>
    <m/>
    <n v="185"/>
    <n v="2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6"/>
    <n v="224"/>
  </r>
  <r>
    <x v="4"/>
    <s v="Waycross College "/>
    <n v="141307"/>
    <x v="8"/>
    <m/>
    <m/>
    <m/>
    <m/>
    <n v="87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"/>
    <n v="102"/>
  </r>
  <r>
    <x v="4"/>
    <s v="Georgia Gwinnett College"/>
    <n v="447689"/>
    <x v="11"/>
    <m/>
    <m/>
    <m/>
    <m/>
    <m/>
    <m/>
    <n v="0"/>
    <n v="0"/>
    <n v="5"/>
    <m/>
    <m/>
    <m/>
    <n v="0"/>
    <n v="74"/>
    <n v="0"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"/>
    <n v="74"/>
  </r>
  <r>
    <x v="4"/>
    <s v="Medical College of Georgia"/>
    <n v="140401"/>
    <x v="11"/>
    <n v="12"/>
    <n v="8"/>
    <m/>
    <m/>
    <m/>
    <m/>
    <n v="0"/>
    <n v="0"/>
    <n v="278"/>
    <m/>
    <m/>
    <m/>
    <n v="0"/>
    <n v="285"/>
    <m/>
    <m/>
    <m/>
    <n v="0"/>
    <m/>
    <m/>
    <m/>
    <m/>
    <m/>
    <m/>
    <m/>
    <m/>
    <m/>
    <m/>
    <m/>
    <m/>
    <m/>
    <m/>
    <m/>
    <m/>
    <m/>
    <m/>
    <m/>
    <m/>
    <n v="0"/>
    <n v="0.37669376693766937"/>
    <n v="0"/>
    <n v="0.34009546539379476"/>
    <n v="19"/>
    <n v="1"/>
    <n v="51"/>
    <n v="100"/>
    <n v="51"/>
    <n v="141"/>
    <n v="26"/>
    <n v="5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5"/>
    <n v="2"/>
    <n v="167"/>
    <n v="2"/>
    <n v="51"/>
    <n v="74"/>
    <n v="51"/>
    <n v="120"/>
    <n v="26"/>
    <n v="19"/>
    <n v="26"/>
    <n v="14"/>
    <m/>
    <m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2"/>
    <n v="0.79569892473118276"/>
    <n v="136"/>
    <n v="3"/>
    <n v="0.88235294117647056"/>
    <n v="198"/>
    <n v="303"/>
    <m/>
    <m/>
    <n v="175"/>
    <n v="182"/>
    <n v="56"/>
    <n v="59"/>
    <m/>
    <m/>
    <m/>
    <m/>
    <m/>
    <m/>
    <m/>
    <m/>
    <m/>
    <m/>
    <m/>
    <m/>
    <m/>
    <m/>
    <n v="231"/>
    <n v="241"/>
    <n v="738"/>
    <n v="838"/>
  </r>
  <r>
    <x v="4"/>
    <s v="Southern Polytechnic State University"/>
    <n v="141097"/>
    <x v="11"/>
    <n v="15"/>
    <n v="10"/>
    <m/>
    <m/>
    <n v="3"/>
    <n v="2"/>
    <n v="5.454545454545455E-3"/>
    <n v="3.8535645472061657E-3"/>
    <n v="550"/>
    <m/>
    <m/>
    <m/>
    <n v="0"/>
    <n v="519"/>
    <m/>
    <m/>
    <m/>
    <n v="0"/>
    <m/>
    <m/>
    <m/>
    <m/>
    <m/>
    <m/>
    <m/>
    <m/>
    <m/>
    <m/>
    <m/>
    <m/>
    <m/>
    <m/>
    <m/>
    <m/>
    <m/>
    <m/>
    <m/>
    <m/>
    <n v="0"/>
    <n v="0.74626865671641796"/>
    <n v="0"/>
    <n v="0.72995780590717296"/>
    <n v="24"/>
    <n v="9"/>
    <n v="52"/>
    <n v="45"/>
    <n v="11"/>
    <n v="58"/>
    <n v="11"/>
    <n v="42"/>
    <n v="52"/>
    <n v="56"/>
    <n v="15"/>
    <n v="32"/>
    <n v="15"/>
    <n v="38"/>
    <n v="14"/>
    <n v="17"/>
    <n v="14"/>
    <n v="11"/>
    <n v="9"/>
    <n v="9"/>
    <n v="9"/>
    <n v="8"/>
    <m/>
    <m/>
    <m/>
    <m/>
    <m/>
    <m/>
    <m/>
    <m/>
    <m/>
    <m/>
    <m/>
    <m/>
    <m/>
    <m/>
    <m/>
    <m/>
    <m/>
    <m/>
    <m/>
    <m/>
    <m/>
    <m/>
    <m/>
    <m/>
    <n v="145"/>
    <n v="5"/>
    <n v="17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5"/>
    <n v="171"/>
    <m/>
    <m/>
    <m/>
    <m/>
    <m/>
    <m/>
    <m/>
    <m/>
    <m/>
    <m/>
    <m/>
    <m/>
    <m/>
    <m/>
    <m/>
    <m/>
    <m/>
    <m/>
    <m/>
    <m/>
    <n v="0"/>
    <n v="0"/>
    <n v="737"/>
    <n v="711"/>
  </r>
  <r>
    <x v="4"/>
    <s v="Albany Technical College"/>
    <n v="138682"/>
    <x v="9"/>
    <n v="1393"/>
    <n v="1801"/>
    <n v="134"/>
    <n v="140"/>
    <n v="104"/>
    <n v="1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31"/>
    <n v="2051"/>
  </r>
  <r>
    <x v="4"/>
    <s v="Athens Technical College"/>
    <n v="246813"/>
    <x v="9"/>
    <n v="778"/>
    <n v="687"/>
    <n v="50"/>
    <n v="35"/>
    <n v="265"/>
    <n v="2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3"/>
    <n v="984"/>
  </r>
  <r>
    <x v="4"/>
    <s v="Atlanta Technical College"/>
    <n v="138840"/>
    <x v="9"/>
    <n v="1149"/>
    <n v="1271"/>
    <n v="97"/>
    <n v="102"/>
    <n v="44"/>
    <n v="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90"/>
    <n v="1440"/>
  </r>
  <r>
    <x v="4"/>
    <s v="Augusta Technical College"/>
    <n v="138956"/>
    <x v="9"/>
    <n v="1358"/>
    <n v="1408"/>
    <n v="130"/>
    <n v="125"/>
    <n v="286"/>
    <n v="3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74"/>
    <n v="1842"/>
  </r>
  <r>
    <x v="4"/>
    <s v="Central Georgia Technical College"/>
    <n v="140304"/>
    <x v="9"/>
    <n v="1369"/>
    <n v="1496"/>
    <n v="106"/>
    <n v="120"/>
    <n v="212"/>
    <n v="2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87"/>
    <n v="1847"/>
  </r>
  <r>
    <x v="4"/>
    <s v="Chattahoochee Technical College"/>
    <n v="140331"/>
    <x v="9"/>
    <n v="2173"/>
    <n v="2007"/>
    <n v="202"/>
    <n v="231"/>
    <n v="401"/>
    <n v="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m/>
    <m/>
    <m/>
    <m/>
    <m/>
    <m/>
    <m/>
    <m/>
    <m/>
    <m/>
    <m/>
    <m/>
    <m/>
    <m/>
    <m/>
    <m/>
    <m/>
    <m/>
    <m/>
    <m/>
    <n v="0"/>
    <n v="0"/>
    <n v="2776"/>
    <n v="2714"/>
  </r>
  <r>
    <x v="4"/>
    <s v="Columbus Technical College"/>
    <n v="139357"/>
    <x v="9"/>
    <n v="747"/>
    <n v="791"/>
    <n v="92"/>
    <n v="87"/>
    <n v="272"/>
    <n v="2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11"/>
    <n v="1173"/>
  </r>
  <r>
    <x v="4"/>
    <s v="Georgia Northwestern Technical College"/>
    <n v="139384"/>
    <x v="9"/>
    <n v="1897"/>
    <n v="2099"/>
    <n v="199"/>
    <n v="201"/>
    <n v="276"/>
    <n v="3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72"/>
    <n v="2612"/>
  </r>
  <r>
    <x v="4"/>
    <s v="DeKalb Technical College"/>
    <n v="244446"/>
    <x v="9"/>
    <n v="1201"/>
    <n v="1525"/>
    <n v="61"/>
    <n v="66"/>
    <n v="237"/>
    <n v="2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99"/>
    <n v="1857"/>
  </r>
  <r>
    <x v="4"/>
    <s v="East Central Technical College"/>
    <n v="139126"/>
    <x v="9"/>
    <n v="492"/>
    <n v="760"/>
    <n v="114"/>
    <n v="85"/>
    <n v="1"/>
    <n v="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7"/>
    <n v="849"/>
  </r>
  <r>
    <x v="4"/>
    <s v="Griffin Technical College"/>
    <n v="139986"/>
    <x v="9"/>
    <n v="1192"/>
    <n v="1190"/>
    <n v="89"/>
    <n v="74"/>
    <n v="221"/>
    <n v="2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02"/>
    <n v="1524"/>
  </r>
  <r>
    <x v="4"/>
    <s v="Gwinnett Technical College"/>
    <n v="140012"/>
    <x v="9"/>
    <n v="2102"/>
    <n v="2447"/>
    <n v="54"/>
    <n v="42"/>
    <n v="329"/>
    <n v="4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85"/>
    <n v="2941"/>
  </r>
  <r>
    <x v="4"/>
    <s v="Heart of Georgia Technical College"/>
    <n v="140076"/>
    <x v="9"/>
    <n v="471"/>
    <n v="453"/>
    <n v="67"/>
    <n v="60"/>
    <n v="34"/>
    <n v="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2"/>
    <n v="557"/>
  </r>
  <r>
    <x v="4"/>
    <s v="Lanier Technical College"/>
    <n v="140243"/>
    <x v="9"/>
    <n v="912"/>
    <n v="1049"/>
    <n v="97"/>
    <n v="106"/>
    <n v="152"/>
    <n v="1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61"/>
    <n v="1309"/>
  </r>
  <r>
    <x v="4"/>
    <s v="Middle Georgia Technical College"/>
    <n v="140085"/>
    <x v="9"/>
    <n v="1733"/>
    <n v="1678"/>
    <n v="125"/>
    <n v="120"/>
    <n v="77"/>
    <n v="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35"/>
    <n v="1887"/>
  </r>
  <r>
    <x v="4"/>
    <s v="Moultrie Technical College"/>
    <n v="140599"/>
    <x v="9"/>
    <n v="1037"/>
    <n v="1019"/>
    <n v="87"/>
    <n v="74"/>
    <n v="13"/>
    <n v="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37"/>
    <n v="1103"/>
  </r>
  <r>
    <x v="4"/>
    <s v="North Georgia Technical College"/>
    <n v="140678"/>
    <x v="9"/>
    <n v="687"/>
    <n v="796"/>
    <n v="74"/>
    <n v="88"/>
    <n v="83"/>
    <n v="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4"/>
    <n v="980"/>
  </r>
  <r>
    <x v="4"/>
    <s v="Ogeechee Technical College"/>
    <n v="366465"/>
    <x v="9"/>
    <n v="597"/>
    <n v="828"/>
    <n v="90"/>
    <n v="78"/>
    <n v="84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1"/>
    <n v="1008"/>
  </r>
  <r>
    <x v="4"/>
    <s v="Okefenokee Technical College"/>
    <n v="248776"/>
    <x v="9"/>
    <n v="511"/>
    <n v="681"/>
    <n v="65"/>
    <n v="76"/>
    <n v="29"/>
    <n v="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5"/>
    <n v="790"/>
  </r>
  <r>
    <x v="4"/>
    <s v="Savannah Technical College"/>
    <n v="140942"/>
    <x v="9"/>
    <n v="1162"/>
    <n v="1404"/>
    <n v="66"/>
    <n v="62"/>
    <n v="157"/>
    <n v="1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85"/>
    <n v="1650"/>
  </r>
  <r>
    <x v="4"/>
    <s v="South Georgia Technical College"/>
    <n v="141006"/>
    <x v="9"/>
    <n v="819"/>
    <n v="949"/>
    <n v="85"/>
    <n v="101"/>
    <n v="64"/>
    <n v="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68"/>
    <n v="1126"/>
  </r>
  <r>
    <x v="4"/>
    <s v="Southeastern Technical College"/>
    <n v="368911"/>
    <x v="9"/>
    <n v="608"/>
    <n v="691"/>
    <n v="58"/>
    <n v="63"/>
    <n v="40"/>
    <n v="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6"/>
    <n v="796"/>
  </r>
  <r>
    <x v="4"/>
    <s v="Southwest Georgia Technical College"/>
    <n v="141158"/>
    <x v="9"/>
    <n v="623"/>
    <n v="717"/>
    <n v="32"/>
    <n v="17"/>
    <n v="107"/>
    <n v="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2"/>
    <n v="822"/>
  </r>
  <r>
    <x v="4"/>
    <s v="Valdosta Technical College"/>
    <n v="141255"/>
    <x v="9"/>
    <n v="498"/>
    <n v="622"/>
    <n v="39"/>
    <n v="34"/>
    <n v="45"/>
    <n v="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2"/>
    <n v="750"/>
  </r>
  <r>
    <x v="4"/>
    <s v="West Georgia Technical College"/>
    <n v="139278"/>
    <x v="9"/>
    <n v="2065"/>
    <n v="1734"/>
    <n v="89"/>
    <n v="87"/>
    <n v="278"/>
    <n v="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32"/>
    <n v="2053"/>
  </r>
  <r>
    <x v="4"/>
    <s v="Altamaha Technical College"/>
    <n v="366447"/>
    <x v="10"/>
    <n v="514"/>
    <n v="523"/>
    <n v="44"/>
    <n v="49"/>
    <n v="5"/>
    <n v="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3"/>
    <n v="577"/>
  </r>
  <r>
    <x v="4"/>
    <s v="Flint River Technical College"/>
    <n v="248794"/>
    <x v="10"/>
    <n v="604"/>
    <n v="532"/>
    <n v="51"/>
    <n v="43"/>
    <n v="19"/>
    <n v="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4"/>
    <n v="596"/>
  </r>
  <r>
    <x v="4"/>
    <s v="Sandersville Technical College"/>
    <n v="420431"/>
    <x v="10"/>
    <n v="586"/>
    <n v="633"/>
    <n v="19"/>
    <n v="22"/>
    <n v="31"/>
    <n v="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6"/>
    <n v="694"/>
  </r>
  <r>
    <x v="5"/>
    <s v="University of Kentucky"/>
    <n v="157085"/>
    <x v="0"/>
    <m/>
    <m/>
    <m/>
    <m/>
    <m/>
    <m/>
    <n v="0"/>
    <n v="0"/>
    <n v="3775"/>
    <m/>
    <n v="211"/>
    <m/>
    <n v="211"/>
    <n v="3650"/>
    <m/>
    <n v="200"/>
    <m/>
    <n v="200"/>
    <m/>
    <m/>
    <m/>
    <m/>
    <m/>
    <m/>
    <m/>
    <m/>
    <m/>
    <m/>
    <m/>
    <m/>
    <m/>
    <m/>
    <m/>
    <m/>
    <m/>
    <m/>
    <m/>
    <m/>
    <n v="0"/>
    <n v="0.65052559021195933"/>
    <n v="0"/>
    <n v="0.64001402770471683"/>
    <m/>
    <m/>
    <n v="51"/>
    <n v="293"/>
    <n v="51"/>
    <n v="294"/>
    <n v="52"/>
    <n v="155"/>
    <n v="52"/>
    <n v="164"/>
    <n v="13"/>
    <n v="139"/>
    <n v="44"/>
    <n v="142"/>
    <n v="14"/>
    <n v="116"/>
    <n v="13"/>
    <n v="137"/>
    <n v="44"/>
    <n v="113"/>
    <n v="14"/>
    <n v="132"/>
    <n v="25"/>
    <n v="90"/>
    <n v="25"/>
    <n v="89"/>
    <n v="11"/>
    <n v="64"/>
    <n v="45"/>
    <n v="65"/>
    <n v="45"/>
    <n v="64"/>
    <n v="31"/>
    <n v="41"/>
    <n v="27"/>
    <n v="33"/>
    <n v="11"/>
    <n v="40"/>
    <n v="31"/>
    <n v="31"/>
    <n v="42"/>
    <n v="33"/>
    <m/>
    <m/>
    <n v="213"/>
    <n v="197"/>
    <n v="1311"/>
    <n v="10"/>
    <n v="1334"/>
    <n v="10"/>
    <n v="51"/>
    <n v="67"/>
    <n v="51"/>
    <n v="61"/>
    <n v="14"/>
    <n v="39"/>
    <n v="26"/>
    <n v="55"/>
    <n v="26"/>
    <n v="38"/>
    <n v="13"/>
    <n v="36"/>
    <n v="45"/>
    <n v="23"/>
    <n v="14"/>
    <n v="23"/>
    <n v="13"/>
    <n v="22"/>
    <n v="45"/>
    <n v="17"/>
    <n v="40"/>
    <n v="19"/>
    <n v="50"/>
    <n v="17"/>
    <n v="42"/>
    <n v="17"/>
    <n v="40"/>
    <n v="15"/>
    <n v="27"/>
    <n v="12"/>
    <n v="27"/>
    <n v="13"/>
    <n v="23"/>
    <n v="10"/>
    <n v="42"/>
    <n v="11"/>
    <n v="30"/>
    <n v="10"/>
    <n v="1"/>
    <n v="10"/>
    <n v="51"/>
    <n v="54"/>
    <n v="308"/>
    <n v="10"/>
    <n v="0.21753246753246752"/>
    <n v="312"/>
    <n v="10"/>
    <n v="0.19551282051282051"/>
    <n v="1619"/>
    <n v="1646"/>
    <n v="161"/>
    <n v="134"/>
    <n v="94"/>
    <n v="94"/>
    <n v="51"/>
    <n v="58"/>
    <n v="103"/>
    <n v="121"/>
    <m/>
    <m/>
    <m/>
    <m/>
    <m/>
    <m/>
    <m/>
    <m/>
    <m/>
    <m/>
    <m/>
    <m/>
    <n v="409"/>
    <n v="407"/>
    <n v="5803"/>
    <n v="5703"/>
  </r>
  <r>
    <x v="5"/>
    <s v="University of Louisville"/>
    <n v="157289"/>
    <x v="0"/>
    <n v="31"/>
    <n v="31"/>
    <m/>
    <m/>
    <n v="19"/>
    <n v="20"/>
    <n v="8.2680591818973023E-3"/>
    <n v="8.0580177276390001E-3"/>
    <n v="2298"/>
    <m/>
    <n v="72"/>
    <m/>
    <n v="72"/>
    <n v="2482"/>
    <m/>
    <n v="81"/>
    <m/>
    <n v="81"/>
    <m/>
    <m/>
    <m/>
    <m/>
    <m/>
    <m/>
    <m/>
    <m/>
    <m/>
    <m/>
    <m/>
    <m/>
    <m/>
    <m/>
    <m/>
    <m/>
    <m/>
    <m/>
    <m/>
    <m/>
    <n v="0"/>
    <n v="0.53145235892691955"/>
    <n v="0"/>
    <n v="0.55143301488558094"/>
    <n v="109"/>
    <n v="100"/>
    <n v="13"/>
    <n v="454"/>
    <n v="13"/>
    <n v="398"/>
    <n v="52"/>
    <n v="193"/>
    <n v="52"/>
    <n v="225"/>
    <n v="44"/>
    <n v="172"/>
    <n v="14"/>
    <n v="168"/>
    <n v="14"/>
    <n v="155"/>
    <n v="44"/>
    <n v="161"/>
    <n v="51"/>
    <n v="73"/>
    <n v="51"/>
    <n v="107"/>
    <n v="26"/>
    <n v="64"/>
    <n v="26"/>
    <n v="73"/>
    <n v="15"/>
    <n v="45"/>
    <n v="50"/>
    <n v="40"/>
    <n v="50"/>
    <n v="41"/>
    <n v="31"/>
    <n v="38"/>
    <n v="31"/>
    <n v="36"/>
    <n v="43"/>
    <n v="25"/>
    <n v="43"/>
    <n v="23"/>
    <n v="23"/>
    <n v="24"/>
    <m/>
    <m/>
    <n v="117"/>
    <n v="135"/>
    <n v="1373"/>
    <n v="10"/>
    <n v="1394"/>
    <n v="10"/>
    <n v="13"/>
    <n v="41"/>
    <n v="13"/>
    <n v="38"/>
    <n v="26"/>
    <n v="39"/>
    <n v="14"/>
    <n v="32"/>
    <n v="14"/>
    <n v="24"/>
    <n v="26"/>
    <n v="30"/>
    <n v="42"/>
    <n v="13"/>
    <n v="23"/>
    <n v="10"/>
    <n v="51"/>
    <n v="10"/>
    <n v="51"/>
    <n v="8"/>
    <n v="40"/>
    <n v="5"/>
    <n v="45"/>
    <n v="7"/>
    <n v="44"/>
    <n v="5"/>
    <n v="42"/>
    <n v="6"/>
    <n v="23"/>
    <n v="4"/>
    <n v="40"/>
    <n v="4"/>
    <n v="27"/>
    <n v="4"/>
    <n v="27"/>
    <n v="3"/>
    <n v="45"/>
    <n v="3"/>
    <n v="24"/>
    <n v="2"/>
    <n v="3"/>
    <n v="2"/>
    <n v="151"/>
    <n v="10"/>
    <n v="0.27152317880794702"/>
    <n v="142"/>
    <n v="10"/>
    <n v="0.26760563380281688"/>
    <n v="1524"/>
    <n v="1536"/>
    <n v="126"/>
    <n v="118"/>
    <n v="146"/>
    <n v="136"/>
    <n v="71"/>
    <n v="78"/>
    <m/>
    <m/>
    <m/>
    <m/>
    <m/>
    <m/>
    <m/>
    <m/>
    <m/>
    <m/>
    <m/>
    <m/>
    <m/>
    <m/>
    <n v="343"/>
    <n v="332"/>
    <n v="4324"/>
    <n v="4501"/>
  </r>
  <r>
    <x v="5"/>
    <s v="Eastern Kentucky University "/>
    <n v="156620"/>
    <x v="2"/>
    <m/>
    <n v="2"/>
    <m/>
    <m/>
    <n v="189"/>
    <n v="195"/>
    <n v="9.3103448275862075E-2"/>
    <n v="9.1635338345864667E-2"/>
    <n v="2030"/>
    <m/>
    <n v="304"/>
    <m/>
    <n v="304"/>
    <n v="2128"/>
    <m/>
    <n v="346"/>
    <m/>
    <n v="346"/>
    <m/>
    <m/>
    <m/>
    <m/>
    <m/>
    <m/>
    <m/>
    <m/>
    <m/>
    <m/>
    <m/>
    <m/>
    <m/>
    <m/>
    <m/>
    <m/>
    <m/>
    <m/>
    <m/>
    <m/>
    <n v="0"/>
    <n v="0.71478873239436624"/>
    <n v="0"/>
    <n v="0.69383762634496249"/>
    <m/>
    <n v="8"/>
    <n v="13"/>
    <n v="404"/>
    <n v="13"/>
    <n v="388"/>
    <n v="43"/>
    <n v="47"/>
    <n v="51"/>
    <n v="119"/>
    <n v="51"/>
    <n v="45"/>
    <n v="43"/>
    <n v="78"/>
    <n v="42"/>
    <n v="33"/>
    <n v="42"/>
    <n v="36"/>
    <n v="52"/>
    <n v="16"/>
    <n v="52"/>
    <n v="29"/>
    <n v="11"/>
    <n v="12"/>
    <n v="44"/>
    <n v="14"/>
    <n v="23"/>
    <n v="12"/>
    <n v="50"/>
    <n v="13"/>
    <n v="40"/>
    <n v="9"/>
    <n v="26"/>
    <n v="11"/>
    <n v="44"/>
    <n v="9"/>
    <n v="23"/>
    <n v="11"/>
    <n v="26"/>
    <n v="8"/>
    <n v="11"/>
    <n v="10"/>
    <m/>
    <m/>
    <n v="26"/>
    <n v="25"/>
    <n v="621"/>
    <n v="10"/>
    <n v="73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21"/>
    <n v="734"/>
    <m/>
    <m/>
    <m/>
    <m/>
    <m/>
    <m/>
    <m/>
    <m/>
    <m/>
    <m/>
    <m/>
    <m/>
    <m/>
    <m/>
    <m/>
    <m/>
    <m/>
    <m/>
    <m/>
    <m/>
    <n v="0"/>
    <n v="0"/>
    <n v="2840"/>
    <n v="3067"/>
  </r>
  <r>
    <x v="5"/>
    <s v="Murray State University "/>
    <n v="157401"/>
    <x v="2"/>
    <m/>
    <m/>
    <m/>
    <m/>
    <n v="17"/>
    <n v="10"/>
    <n v="1.0416666666666666E-2"/>
    <n v="6.4850843060959796E-3"/>
    <n v="1632"/>
    <m/>
    <n v="309"/>
    <m/>
    <n v="309"/>
    <n v="1542"/>
    <m/>
    <n v="283"/>
    <m/>
    <n v="283"/>
    <m/>
    <m/>
    <m/>
    <m/>
    <m/>
    <m/>
    <m/>
    <m/>
    <m/>
    <m/>
    <m/>
    <m/>
    <m/>
    <m/>
    <m/>
    <m/>
    <m/>
    <m/>
    <m/>
    <m/>
    <n v="0"/>
    <n v="0.7455459113750571"/>
    <n v="0"/>
    <n v="0.70410958904109588"/>
    <m/>
    <m/>
    <n v="13"/>
    <n v="217"/>
    <n v="13"/>
    <n v="251"/>
    <n v="52"/>
    <n v="68"/>
    <n v="52"/>
    <n v="91"/>
    <n v="15"/>
    <n v="42"/>
    <n v="9"/>
    <n v="67"/>
    <n v="51"/>
    <n v="41"/>
    <n v="15"/>
    <n v="58"/>
    <n v="44"/>
    <n v="36"/>
    <n v="51"/>
    <n v="47"/>
    <n v="9"/>
    <n v="34"/>
    <n v="44"/>
    <n v="44"/>
    <n v="1"/>
    <n v="30"/>
    <n v="1"/>
    <n v="19"/>
    <n v="23"/>
    <n v="23"/>
    <n v="11"/>
    <n v="13"/>
    <n v="40"/>
    <n v="10"/>
    <n v="23"/>
    <n v="13"/>
    <n v="11"/>
    <n v="9"/>
    <n v="40"/>
    <n v="10"/>
    <m/>
    <m/>
    <n v="30"/>
    <n v="25"/>
    <n v="540"/>
    <n v="10"/>
    <n v="63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40"/>
    <n v="638"/>
    <m/>
    <m/>
    <m/>
    <m/>
    <m/>
    <m/>
    <m/>
    <m/>
    <m/>
    <m/>
    <m/>
    <m/>
    <m/>
    <m/>
    <m/>
    <m/>
    <m/>
    <m/>
    <m/>
    <m/>
    <n v="0"/>
    <n v="0"/>
    <n v="2189"/>
    <n v="2190"/>
  </r>
  <r>
    <x v="5"/>
    <s v="Western Kentucky University "/>
    <n v="157951"/>
    <x v="2"/>
    <n v="69"/>
    <n v="62"/>
    <m/>
    <m/>
    <n v="240"/>
    <n v="217"/>
    <n v="0.10037641154328733"/>
    <n v="9.1099916036943743E-2"/>
    <n v="2391"/>
    <m/>
    <n v="353"/>
    <m/>
    <n v="353"/>
    <n v="2382"/>
    <m/>
    <n v="357"/>
    <m/>
    <n v="357"/>
    <m/>
    <m/>
    <m/>
    <m/>
    <m/>
    <m/>
    <m/>
    <m/>
    <m/>
    <m/>
    <m/>
    <m/>
    <m/>
    <m/>
    <m/>
    <m/>
    <m/>
    <m/>
    <m/>
    <m/>
    <n v="0"/>
    <n v="0.66806370494551548"/>
    <n v="0"/>
    <n v="0.68983492615117292"/>
    <n v="44"/>
    <n v="35"/>
    <n v="13"/>
    <n v="250"/>
    <n v="13"/>
    <n v="234"/>
    <n v="51"/>
    <n v="120"/>
    <n v="51"/>
    <n v="115"/>
    <n v="42"/>
    <n v="106"/>
    <n v="42"/>
    <n v="99"/>
    <n v="11"/>
    <n v="78"/>
    <n v="25"/>
    <n v="78"/>
    <n v="25"/>
    <n v="69"/>
    <n v="44"/>
    <n v="56"/>
    <n v="56"/>
    <n v="44"/>
    <n v="52"/>
    <n v="32"/>
    <n v="52"/>
    <n v="41"/>
    <n v="30"/>
    <n v="23"/>
    <n v="30"/>
    <n v="33"/>
    <n v="11"/>
    <n v="23"/>
    <n v="31"/>
    <n v="24"/>
    <n v="45"/>
    <n v="20"/>
    <n v="9"/>
    <n v="15"/>
    <n v="9"/>
    <n v="15"/>
    <m/>
    <m/>
    <n v="55"/>
    <n v="62"/>
    <n v="835"/>
    <n v="10"/>
    <n v="75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35"/>
    <n v="757"/>
    <m/>
    <m/>
    <m/>
    <m/>
    <m/>
    <m/>
    <m/>
    <m/>
    <m/>
    <m/>
    <m/>
    <m/>
    <m/>
    <m/>
    <m/>
    <m/>
    <m/>
    <m/>
    <m/>
    <m/>
    <n v="0"/>
    <n v="0"/>
    <n v="3579"/>
    <n v="3453"/>
  </r>
  <r>
    <x v="5"/>
    <s v="Morehead State University "/>
    <n v="157386"/>
    <x v="3"/>
    <m/>
    <m/>
    <m/>
    <m/>
    <n v="149"/>
    <n v="150"/>
    <n v="0.15313463514902365"/>
    <n v="0.16129032258064516"/>
    <n v="973"/>
    <m/>
    <n v="205"/>
    <m/>
    <n v="205"/>
    <n v="930"/>
    <m/>
    <n v="208"/>
    <m/>
    <n v="208"/>
    <m/>
    <m/>
    <m/>
    <m/>
    <m/>
    <m/>
    <m/>
    <m/>
    <m/>
    <m/>
    <m/>
    <m/>
    <m/>
    <m/>
    <m/>
    <m/>
    <m/>
    <m/>
    <m/>
    <m/>
    <n v="0"/>
    <n v="0.64565361645653618"/>
    <n v="0"/>
    <n v="0.62416107382550334"/>
    <m/>
    <m/>
    <n v="13"/>
    <n v="270"/>
    <n v="13"/>
    <n v="273"/>
    <n v="52"/>
    <n v="56"/>
    <n v="52"/>
    <n v="54"/>
    <n v="50"/>
    <n v="12"/>
    <n v="50"/>
    <n v="16"/>
    <n v="9"/>
    <n v="10"/>
    <n v="9"/>
    <n v="16"/>
    <n v="42"/>
    <n v="10"/>
    <n v="15"/>
    <n v="14"/>
    <n v="15"/>
    <n v="9"/>
    <n v="42"/>
    <n v="12"/>
    <n v="23"/>
    <n v="7"/>
    <n v="26"/>
    <n v="8"/>
    <n v="44"/>
    <n v="6"/>
    <n v="23"/>
    <n v="6"/>
    <n v="45"/>
    <n v="4"/>
    <n v="44"/>
    <n v="6"/>
    <n v="26"/>
    <n v="1"/>
    <n v="45"/>
    <n v="5"/>
    <m/>
    <m/>
    <m/>
    <m/>
    <n v="385"/>
    <n v="10"/>
    <n v="4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5"/>
    <n v="410"/>
    <m/>
    <m/>
    <m/>
    <m/>
    <m/>
    <m/>
    <m/>
    <m/>
    <m/>
    <m/>
    <m/>
    <m/>
    <m/>
    <m/>
    <m/>
    <m/>
    <m/>
    <m/>
    <m/>
    <m/>
    <n v="0"/>
    <n v="0"/>
    <n v="1507"/>
    <n v="1490"/>
  </r>
  <r>
    <x v="5"/>
    <s v="Northern Kentucky University "/>
    <n v="157447"/>
    <x v="3"/>
    <m/>
    <m/>
    <n v="4"/>
    <n v="5"/>
    <n v="226"/>
    <n v="124"/>
    <n v="0.13247362250879249"/>
    <n v="6.7538126361655779E-2"/>
    <n v="1706"/>
    <m/>
    <n v="193"/>
    <m/>
    <n v="193"/>
    <n v="1836"/>
    <m/>
    <n v="235"/>
    <m/>
    <n v="235"/>
    <m/>
    <m/>
    <m/>
    <m/>
    <m/>
    <m/>
    <m/>
    <m/>
    <m/>
    <m/>
    <m/>
    <m/>
    <m/>
    <m/>
    <m/>
    <m/>
    <m/>
    <m/>
    <m/>
    <m/>
    <n v="0"/>
    <n v="0.66510721247563354"/>
    <n v="0"/>
    <n v="0.69492808478425439"/>
    <n v="3"/>
    <n v="32"/>
    <n v="13"/>
    <n v="224"/>
    <n v="13"/>
    <n v="236"/>
    <n v="52"/>
    <n v="124"/>
    <n v="52"/>
    <n v="130"/>
    <n v="51"/>
    <n v="46"/>
    <n v="51"/>
    <n v="71"/>
    <n v="44"/>
    <n v="36"/>
    <n v="44"/>
    <n v="21"/>
    <n v="42"/>
    <n v="24"/>
    <n v="9"/>
    <n v="20"/>
    <n v="24"/>
    <n v="10"/>
    <n v="42"/>
    <n v="14"/>
    <n v="11"/>
    <n v="7"/>
    <n v="24"/>
    <n v="10"/>
    <n v="9"/>
    <n v="5"/>
    <n v="11"/>
    <n v="5"/>
    <m/>
    <m/>
    <n v="15"/>
    <n v="1"/>
    <m/>
    <m/>
    <m/>
    <m/>
    <m/>
    <m/>
    <m/>
    <m/>
    <n v="476"/>
    <n v="8"/>
    <n v="508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6"/>
    <n v="508"/>
    <n v="150"/>
    <n v="137"/>
    <m/>
    <m/>
    <m/>
    <m/>
    <m/>
    <m/>
    <m/>
    <m/>
    <m/>
    <m/>
    <m/>
    <m/>
    <m/>
    <m/>
    <m/>
    <m/>
    <m/>
    <m/>
    <n v="150"/>
    <n v="137"/>
    <n v="2565"/>
    <n v="2642"/>
  </r>
  <r>
    <x v="5"/>
    <s v="Kentucky State University "/>
    <n v="157058"/>
    <x v="4"/>
    <m/>
    <m/>
    <m/>
    <m/>
    <n v="37"/>
    <n v="39"/>
    <n v="0.16017316017316016"/>
    <n v="0.21195652173913043"/>
    <n v="231"/>
    <m/>
    <n v="15"/>
    <m/>
    <n v="15"/>
    <n v="184"/>
    <m/>
    <n v="8"/>
    <m/>
    <n v="8"/>
    <m/>
    <m/>
    <m/>
    <m/>
    <m/>
    <m/>
    <m/>
    <m/>
    <m/>
    <m/>
    <m/>
    <m/>
    <m/>
    <m/>
    <m/>
    <m/>
    <m/>
    <m/>
    <m/>
    <m/>
    <n v="0"/>
    <n v="0.73333333333333328"/>
    <n v="0"/>
    <n v="0.69961977186311786"/>
    <m/>
    <m/>
    <n v="44"/>
    <n v="26"/>
    <n v="13"/>
    <n v="17"/>
    <n v="11"/>
    <n v="9"/>
    <n v="44"/>
    <n v="12"/>
    <n v="13"/>
    <n v="9"/>
    <n v="11"/>
    <n v="5"/>
    <n v="52"/>
    <n v="2"/>
    <n v="52"/>
    <n v="3"/>
    <n v="3"/>
    <n v="1"/>
    <n v="3"/>
    <n v="3"/>
    <m/>
    <m/>
    <m/>
    <m/>
    <m/>
    <m/>
    <m/>
    <m/>
    <m/>
    <m/>
    <m/>
    <m/>
    <m/>
    <m/>
    <m/>
    <m/>
    <m/>
    <m/>
    <m/>
    <m/>
    <m/>
    <m/>
    <m/>
    <m/>
    <n v="47"/>
    <n v="5"/>
    <n v="4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"/>
    <n v="40"/>
    <m/>
    <m/>
    <m/>
    <m/>
    <m/>
    <m/>
    <m/>
    <m/>
    <m/>
    <m/>
    <m/>
    <m/>
    <m/>
    <m/>
    <m/>
    <m/>
    <m/>
    <m/>
    <m/>
    <m/>
    <n v="0"/>
    <n v="0"/>
    <n v="315"/>
    <n v="263"/>
  </r>
  <r>
    <x v="5"/>
    <s v="Bluegrass Community and Technical College"/>
    <n v="157173"/>
    <x v="6"/>
    <n v="1856"/>
    <n v="2106"/>
    <m/>
    <m/>
    <n v="899"/>
    <n v="10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55"/>
    <n v="3161"/>
  </r>
  <r>
    <x v="5"/>
    <s v="Jefferson Community and Technical College "/>
    <n v="156921"/>
    <x v="6"/>
    <n v="2322"/>
    <n v="1884"/>
    <m/>
    <m/>
    <n v="869"/>
    <n v="9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91"/>
    <n v="2817"/>
  </r>
  <r>
    <x v="5"/>
    <s v="Ashland Community and Technical College"/>
    <n v="156231"/>
    <x v="7"/>
    <n v="729"/>
    <n v="694"/>
    <m/>
    <m/>
    <n v="281"/>
    <n v="3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0"/>
    <n v="1030"/>
  </r>
  <r>
    <x v="5"/>
    <s v="Big Sandy Community and Technical College "/>
    <n v="157553"/>
    <x v="7"/>
    <n v="717"/>
    <n v="410"/>
    <m/>
    <m/>
    <n v="255"/>
    <n v="2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2"/>
    <n v="677"/>
  </r>
  <r>
    <x v="5"/>
    <s v="Elizabethtown Community and Technical College "/>
    <n v="156648"/>
    <x v="7"/>
    <n v="1779"/>
    <n v="1592"/>
    <m/>
    <m/>
    <n v="447"/>
    <n v="5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26"/>
    <n v="2110"/>
  </r>
  <r>
    <x v="5"/>
    <s v="Madisonville Community College"/>
    <n v="157304"/>
    <x v="7"/>
    <n v="573"/>
    <n v="677"/>
    <m/>
    <m/>
    <n v="404"/>
    <n v="4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7"/>
    <n v="1089"/>
  </r>
  <r>
    <x v="5"/>
    <s v="Maysville Community and Technical College "/>
    <n v="157331"/>
    <x v="7"/>
    <n v="1120"/>
    <n v="1197"/>
    <m/>
    <m/>
    <n v="184"/>
    <n v="1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4"/>
    <n v="1379"/>
  </r>
  <r>
    <x v="5"/>
    <s v="Owensboro Community and Technical College "/>
    <n v="247940"/>
    <x v="7"/>
    <n v="786"/>
    <n v="727"/>
    <m/>
    <m/>
    <n v="419"/>
    <n v="3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5"/>
    <n v="1118"/>
  </r>
  <r>
    <x v="5"/>
    <s v="Somerset Community and Technical College "/>
    <n v="157711"/>
    <x v="7"/>
    <n v="1149"/>
    <n v="1442"/>
    <m/>
    <m/>
    <n v="575"/>
    <n v="6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24"/>
    <n v="2075"/>
  </r>
  <r>
    <x v="5"/>
    <s v="Southeast Kentucky Community and Technical College"/>
    <n v="157739"/>
    <x v="7"/>
    <n v="477"/>
    <n v="645"/>
    <m/>
    <m/>
    <n v="394"/>
    <n v="3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1"/>
    <n v="1044"/>
  </r>
  <r>
    <x v="5"/>
    <s v="West Kentucky Community and Technical College"/>
    <n v="157483"/>
    <x v="7"/>
    <n v="1945"/>
    <n v="1548"/>
    <m/>
    <m/>
    <n v="523"/>
    <n v="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68"/>
    <n v="2037"/>
  </r>
  <r>
    <x v="5"/>
    <s v="Hazard Community and Technical College"/>
    <n v="156790"/>
    <x v="8"/>
    <n v="691"/>
    <n v="746"/>
    <m/>
    <m/>
    <n v="370"/>
    <n v="3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61"/>
    <n v="1091"/>
  </r>
  <r>
    <x v="5"/>
    <s v="Henderson Community College "/>
    <n v="156851"/>
    <x v="8"/>
    <n v="131"/>
    <n v="268"/>
    <m/>
    <m/>
    <n v="176"/>
    <n v="1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7"/>
    <n v="413"/>
  </r>
  <r>
    <x v="5"/>
    <s v="Hopkinsville Community College "/>
    <n v="156860"/>
    <x v="8"/>
    <n v="411"/>
    <n v="279"/>
    <m/>
    <m/>
    <n v="359"/>
    <n v="3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0"/>
    <n v="624"/>
  </r>
  <r>
    <x v="5"/>
    <s v="Bowling Green Technical College"/>
    <n v="156338"/>
    <x v="9"/>
    <n v="1157"/>
    <n v="1117"/>
    <m/>
    <m/>
    <n v="153"/>
    <n v="1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10"/>
    <n v="1294"/>
  </r>
  <r>
    <x v="5"/>
    <s v="Gateway Community and Technical College"/>
    <n v="157438"/>
    <x v="9"/>
    <n v="454"/>
    <n v="551"/>
    <m/>
    <m/>
    <n v="177"/>
    <n v="2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1"/>
    <n v="785"/>
  </r>
  <r>
    <x v="6"/>
    <s v="Louisiana State University and A&amp;M College"/>
    <n v="159391"/>
    <x v="0"/>
    <m/>
    <m/>
    <m/>
    <m/>
    <m/>
    <m/>
    <n v="0"/>
    <n v="0"/>
    <n v="4600"/>
    <n v="441"/>
    <m/>
    <m/>
    <n v="441"/>
    <n v="4734"/>
    <n v="384"/>
    <m/>
    <m/>
    <n v="384"/>
    <m/>
    <m/>
    <m/>
    <m/>
    <m/>
    <m/>
    <m/>
    <m/>
    <m/>
    <m/>
    <m/>
    <m/>
    <m/>
    <m/>
    <m/>
    <m/>
    <m/>
    <m/>
    <m/>
    <m/>
    <n v="0"/>
    <n v="0.75311067452521285"/>
    <n v="0"/>
    <n v="0.76072633777920617"/>
    <m/>
    <m/>
    <n v="52"/>
    <n v="186"/>
    <s v="52"/>
    <n v="198"/>
    <n v="13"/>
    <n v="145"/>
    <s v="13"/>
    <n v="172"/>
    <n v="44"/>
    <n v="120"/>
    <s v="44"/>
    <n v="126"/>
    <n v="14"/>
    <n v="101"/>
    <s v="14"/>
    <n v="80"/>
    <n v="25"/>
    <n v="48"/>
    <s v="25"/>
    <n v="61"/>
    <n v="50"/>
    <n v="43"/>
    <n v="50"/>
    <n v="61"/>
    <n v="45"/>
    <n v="36"/>
    <s v="51"/>
    <n v="35"/>
    <n v="3"/>
    <n v="35"/>
    <s v="01"/>
    <n v="28"/>
    <n v="40"/>
    <n v="30"/>
    <s v="45"/>
    <n v="27"/>
    <n v="27"/>
    <n v="29"/>
    <s v="11"/>
    <n v="23"/>
    <m/>
    <m/>
    <n v="230"/>
    <n v="178"/>
    <n v="1003"/>
    <n v="10"/>
    <n v="989"/>
    <n v="10"/>
    <n v="14"/>
    <n v="34"/>
    <s v="40"/>
    <n v="42"/>
    <n v="40"/>
    <n v="34"/>
    <s v="14"/>
    <n v="35"/>
    <n v="13"/>
    <n v="33"/>
    <s v="26"/>
    <n v="27"/>
    <n v="26"/>
    <n v="20"/>
    <s v="13"/>
    <n v="26"/>
    <n v="50"/>
    <n v="19"/>
    <s v="45"/>
    <n v="17"/>
    <n v="42"/>
    <n v="17"/>
    <s v="23"/>
    <n v="15"/>
    <n v="1"/>
    <n v="12"/>
    <s v="42"/>
    <n v="13"/>
    <n v="45"/>
    <n v="12"/>
    <s v="51"/>
    <n v="13"/>
    <n v="23"/>
    <n v="11"/>
    <s v="01"/>
    <n v="10"/>
    <n v="51"/>
    <n v="8"/>
    <s v="50"/>
    <n v="8"/>
    <n v="31"/>
    <n v="34"/>
    <n v="231"/>
    <n v="10"/>
    <n v="0.1471861471861472"/>
    <n v="240"/>
    <n v="10"/>
    <n v="0.17499999999999999"/>
    <n v="1234"/>
    <n v="1229"/>
    <n v="191"/>
    <n v="179"/>
    <m/>
    <m/>
    <m/>
    <m/>
    <m/>
    <m/>
    <m/>
    <m/>
    <m/>
    <m/>
    <m/>
    <m/>
    <n v="83"/>
    <n v="81"/>
    <m/>
    <m/>
    <m/>
    <m/>
    <n v="274"/>
    <n v="260"/>
    <n v="6108"/>
    <n v="6223"/>
  </r>
  <r>
    <x v="6"/>
    <s v="Louisiana Tech University "/>
    <n v="159647"/>
    <x v="1"/>
    <m/>
    <m/>
    <m/>
    <m/>
    <n v="90"/>
    <n v="94"/>
    <n v="6.5123010130246017E-2"/>
    <n v="7.1104387291981846E-2"/>
    <n v="1382"/>
    <n v="82"/>
    <m/>
    <m/>
    <n v="82"/>
    <n v="1322"/>
    <n v="108"/>
    <m/>
    <m/>
    <n v="108"/>
    <m/>
    <m/>
    <m/>
    <m/>
    <m/>
    <m/>
    <m/>
    <m/>
    <m/>
    <m/>
    <m/>
    <m/>
    <m/>
    <m/>
    <m/>
    <m/>
    <m/>
    <m/>
    <m/>
    <m/>
    <n v="0"/>
    <n v="0.70474247832738401"/>
    <n v="0"/>
    <n v="0.72398685651697703"/>
    <n v="11"/>
    <n v="19"/>
    <n v="13"/>
    <n v="155"/>
    <s v="13"/>
    <n v="125"/>
    <n v="14"/>
    <n v="95"/>
    <s v="14"/>
    <n v="62"/>
    <n v="52"/>
    <n v="52"/>
    <s v="52"/>
    <n v="39"/>
    <n v="42"/>
    <n v="38"/>
    <s v="42"/>
    <n v="24"/>
    <n v="51"/>
    <n v="27"/>
    <s v="51"/>
    <n v="22"/>
    <n v="26"/>
    <n v="15"/>
    <s v="11"/>
    <n v="13"/>
    <n v="23"/>
    <n v="10"/>
    <s v="30"/>
    <n v="12"/>
    <n v="30"/>
    <n v="10"/>
    <s v="54"/>
    <n v="11"/>
    <n v="11"/>
    <n v="7"/>
    <s v="26"/>
    <n v="9"/>
    <n v="27"/>
    <n v="7"/>
    <s v="23"/>
    <n v="8"/>
    <m/>
    <m/>
    <n v="27"/>
    <n v="29"/>
    <n v="443"/>
    <n v="10"/>
    <n v="354"/>
    <n v="10"/>
    <n v="14"/>
    <n v="17"/>
    <s v="14"/>
    <n v="16"/>
    <n v="11"/>
    <n v="6"/>
    <s v="52"/>
    <n v="9"/>
    <n v="52"/>
    <n v="4"/>
    <s v="11"/>
    <n v="6"/>
    <n v="42"/>
    <n v="3"/>
    <s v="42"/>
    <n v="2"/>
    <n v="51"/>
    <n v="3"/>
    <s v="51"/>
    <n v="2"/>
    <n v="13"/>
    <n v="2"/>
    <s v="13"/>
    <n v="2"/>
    <m/>
    <m/>
    <m/>
    <m/>
    <m/>
    <m/>
    <m/>
    <m/>
    <m/>
    <m/>
    <m/>
    <m/>
    <m/>
    <m/>
    <m/>
    <m/>
    <m/>
    <m/>
    <n v="35"/>
    <n v="6"/>
    <n v="0.48571428571428571"/>
    <n v="37"/>
    <n v="6"/>
    <n v="0.43243243243243246"/>
    <n v="478"/>
    <n v="391"/>
    <m/>
    <m/>
    <m/>
    <m/>
    <m/>
    <m/>
    <m/>
    <m/>
    <m/>
    <m/>
    <m/>
    <m/>
    <m/>
    <m/>
    <m/>
    <m/>
    <m/>
    <m/>
    <m/>
    <m/>
    <n v="0"/>
    <n v="0"/>
    <n v="1961"/>
    <n v="1826"/>
  </r>
  <r>
    <x v="6"/>
    <s v="University of Louisiana at Lafayette"/>
    <n v="160658"/>
    <x v="1"/>
    <m/>
    <m/>
    <m/>
    <m/>
    <n v="2"/>
    <m/>
    <n v="9.3370681605975728E-4"/>
    <n v="0"/>
    <n v="2142"/>
    <n v="268"/>
    <m/>
    <m/>
    <n v="268"/>
    <n v="2124"/>
    <n v="274"/>
    <m/>
    <m/>
    <n v="274"/>
    <m/>
    <m/>
    <m/>
    <m/>
    <m/>
    <m/>
    <m/>
    <m/>
    <m/>
    <m/>
    <m/>
    <m/>
    <m/>
    <m/>
    <m/>
    <m/>
    <m/>
    <m/>
    <m/>
    <m/>
    <n v="0"/>
    <n v="0.86826104580462105"/>
    <n v="0"/>
    <n v="0.8382004735595896"/>
    <m/>
    <m/>
    <n v="13"/>
    <n v="47"/>
    <s v="13"/>
    <n v="63"/>
    <n v="52"/>
    <n v="46"/>
    <s v="14"/>
    <n v="62"/>
    <n v="51"/>
    <n v="39"/>
    <s v="52"/>
    <n v="61"/>
    <n v="11"/>
    <n v="37"/>
    <s v="51"/>
    <n v="59"/>
    <n v="14"/>
    <n v="32"/>
    <s v="11"/>
    <n v="48"/>
    <n v="27"/>
    <n v="9"/>
    <s v="04"/>
    <n v="19"/>
    <n v="42"/>
    <n v="9"/>
    <s v="09"/>
    <n v="11"/>
    <n v="9"/>
    <n v="8"/>
    <s v="27"/>
    <n v="10"/>
    <n v="26"/>
    <n v="8"/>
    <s v="40"/>
    <n v="10"/>
    <n v="50"/>
    <n v="8"/>
    <s v="16"/>
    <n v="7"/>
    <m/>
    <m/>
    <n v="41"/>
    <n v="28"/>
    <n v="284"/>
    <n v="10"/>
    <n v="378"/>
    <n v="10"/>
    <n v="23"/>
    <n v="12"/>
    <s v="23"/>
    <n v="6"/>
    <n v="26"/>
    <n v="8"/>
    <s v="26"/>
    <n v="6"/>
    <n v="5"/>
    <n v="4"/>
    <s v="11"/>
    <n v="5"/>
    <n v="27"/>
    <n v="4"/>
    <s v="05"/>
    <n v="4"/>
    <n v="51"/>
    <n v="4"/>
    <s v="14"/>
    <n v="4"/>
    <n v="11"/>
    <n v="3"/>
    <s v="27"/>
    <n v="4"/>
    <n v="14"/>
    <n v="3"/>
    <s v="51"/>
    <n v="2"/>
    <n v="30"/>
    <n v="1"/>
    <s v="30"/>
    <n v="1"/>
    <m/>
    <m/>
    <m/>
    <m/>
    <m/>
    <m/>
    <m/>
    <m/>
    <m/>
    <m/>
    <n v="39"/>
    <n v="8"/>
    <n v="0.30769230769230771"/>
    <n v="32"/>
    <n v="8"/>
    <n v="0.1875"/>
    <n v="323"/>
    <n v="410"/>
    <m/>
    <m/>
    <m/>
    <m/>
    <m/>
    <m/>
    <m/>
    <m/>
    <m/>
    <m/>
    <m/>
    <m/>
    <m/>
    <m/>
    <m/>
    <m/>
    <m/>
    <m/>
    <m/>
    <m/>
    <n v="0"/>
    <n v="0"/>
    <n v="2467"/>
    <n v="2534"/>
  </r>
  <r>
    <x v="6"/>
    <s v="University of New Orleans"/>
    <n v="159939"/>
    <x v="1"/>
    <m/>
    <m/>
    <m/>
    <m/>
    <m/>
    <m/>
    <n v="0"/>
    <n v="0"/>
    <n v="1260"/>
    <n v="50"/>
    <m/>
    <m/>
    <n v="50"/>
    <n v="1356"/>
    <n v="46"/>
    <m/>
    <m/>
    <n v="46"/>
    <m/>
    <m/>
    <m/>
    <m/>
    <m/>
    <m/>
    <m/>
    <m/>
    <m/>
    <m/>
    <m/>
    <m/>
    <m/>
    <m/>
    <m/>
    <m/>
    <m/>
    <m/>
    <m/>
    <m/>
    <n v="0"/>
    <n v="0.66596194503171247"/>
    <n v="0"/>
    <n v="0.69042769857433806"/>
    <m/>
    <n v="1"/>
    <n v="52"/>
    <n v="263"/>
    <s v="52"/>
    <n v="249"/>
    <n v="13"/>
    <n v="97"/>
    <s v="13"/>
    <n v="86"/>
    <n v="50"/>
    <n v="65"/>
    <s v="50"/>
    <n v="38"/>
    <n v="51"/>
    <n v="27"/>
    <s v="51"/>
    <n v="38"/>
    <n v="45"/>
    <n v="23"/>
    <s v="14"/>
    <n v="30"/>
    <n v="14"/>
    <n v="15"/>
    <s v="11"/>
    <n v="20"/>
    <n v="23"/>
    <n v="15"/>
    <s v="45"/>
    <n v="20"/>
    <n v="15"/>
    <n v="12"/>
    <s v="27"/>
    <n v="13"/>
    <n v="4"/>
    <n v="9"/>
    <s v="15"/>
    <n v="12"/>
    <n v="44"/>
    <n v="8"/>
    <s v="16"/>
    <n v="12"/>
    <m/>
    <m/>
    <n v="36"/>
    <n v="44"/>
    <n v="570"/>
    <n v="10"/>
    <n v="562"/>
    <n v="10"/>
    <n v="13"/>
    <n v="18"/>
    <s v="13"/>
    <n v="15"/>
    <n v="14"/>
    <n v="10"/>
    <s v="14"/>
    <n v="12"/>
    <n v="40"/>
    <n v="10"/>
    <s v="40"/>
    <n v="6"/>
    <n v="45"/>
    <n v="9"/>
    <s v="45"/>
    <n v="6"/>
    <n v="26"/>
    <n v="5"/>
    <s v="52"/>
    <n v="5"/>
    <n v="42"/>
    <n v="5"/>
    <s v="26"/>
    <n v="1"/>
    <n v="52"/>
    <n v="5"/>
    <m/>
    <m/>
    <m/>
    <m/>
    <m/>
    <m/>
    <m/>
    <m/>
    <m/>
    <m/>
    <m/>
    <m/>
    <m/>
    <m/>
    <m/>
    <m/>
    <n v="62"/>
    <n v="7"/>
    <n v="0.29032258064516131"/>
    <n v="45"/>
    <n v="6"/>
    <n v="0.33333333333333331"/>
    <n v="632"/>
    <n v="607"/>
    <m/>
    <m/>
    <m/>
    <m/>
    <m/>
    <m/>
    <m/>
    <m/>
    <m/>
    <m/>
    <m/>
    <m/>
    <m/>
    <m/>
    <m/>
    <m/>
    <m/>
    <m/>
    <m/>
    <m/>
    <n v="0"/>
    <n v="0"/>
    <n v="1892"/>
    <n v="1964"/>
  </r>
  <r>
    <x v="6"/>
    <s v="Southeastern Louisiana University "/>
    <n v="160612"/>
    <x v="2"/>
    <m/>
    <m/>
    <m/>
    <m/>
    <n v="76"/>
    <n v="67"/>
    <n v="4.3059490084985837E-2"/>
    <n v="3.5638297872340428E-2"/>
    <n v="1765"/>
    <n v="188"/>
    <m/>
    <m/>
    <n v="188"/>
    <n v="1880"/>
    <n v="224"/>
    <m/>
    <m/>
    <n v="224"/>
    <m/>
    <m/>
    <m/>
    <m/>
    <m/>
    <m/>
    <m/>
    <m/>
    <m/>
    <m/>
    <m/>
    <m/>
    <m/>
    <m/>
    <m/>
    <m/>
    <m/>
    <m/>
    <m/>
    <m/>
    <n v="0"/>
    <n v="0.80373406193078323"/>
    <n v="0"/>
    <n v="0.81703607127335942"/>
    <m/>
    <m/>
    <n v="13"/>
    <n v="160"/>
    <s v="13"/>
    <n v="163"/>
    <n v="52"/>
    <n v="108"/>
    <s v="52"/>
    <n v="88"/>
    <n v="51"/>
    <n v="22"/>
    <s v="51"/>
    <n v="44"/>
    <n v="23"/>
    <n v="13"/>
    <s v="45"/>
    <n v="9"/>
    <n v="26"/>
    <n v="13"/>
    <s v="54"/>
    <n v="9"/>
    <n v="45"/>
    <n v="10"/>
    <s v="23"/>
    <n v="8"/>
    <n v="50"/>
    <n v="9"/>
    <s v="09"/>
    <n v="7"/>
    <n v="9"/>
    <n v="6"/>
    <s v="30"/>
    <n v="7"/>
    <n v="54"/>
    <n v="6"/>
    <s v="50"/>
    <n v="7"/>
    <n v="42"/>
    <n v="5"/>
    <s v="26"/>
    <n v="6"/>
    <m/>
    <m/>
    <n v="3"/>
    <n v="3"/>
    <n v="355"/>
    <n v="10"/>
    <n v="351"/>
    <n v="10"/>
    <m/>
    <m/>
    <s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3"/>
    <n v="1"/>
    <n v="1"/>
    <n v="355"/>
    <n v="354"/>
    <m/>
    <m/>
    <m/>
    <m/>
    <m/>
    <m/>
    <m/>
    <m/>
    <m/>
    <m/>
    <m/>
    <m/>
    <m/>
    <m/>
    <m/>
    <m/>
    <m/>
    <m/>
    <m/>
    <m/>
    <n v="0"/>
    <n v="0"/>
    <n v="2196"/>
    <n v="2301"/>
  </r>
  <r>
    <x v="6"/>
    <s v="Southern University and A&amp;M College at Baton Rouge "/>
    <n v="160621"/>
    <x v="2"/>
    <m/>
    <m/>
    <m/>
    <m/>
    <n v="4"/>
    <n v="2"/>
    <n v="4.2553191489361703E-3"/>
    <n v="2.232142857142857E-3"/>
    <n v="940"/>
    <n v="33"/>
    <m/>
    <m/>
    <n v="33"/>
    <n v="896"/>
    <n v="41"/>
    <m/>
    <m/>
    <n v="41"/>
    <m/>
    <m/>
    <m/>
    <m/>
    <m/>
    <m/>
    <m/>
    <m/>
    <m/>
    <m/>
    <m/>
    <m/>
    <m/>
    <m/>
    <m/>
    <m/>
    <m/>
    <m/>
    <m/>
    <m/>
    <n v="0"/>
    <n v="0.68017366136034729"/>
    <n v="0"/>
    <n v="0.66076696165191739"/>
    <m/>
    <m/>
    <n v="13"/>
    <n v="112"/>
    <s v="13"/>
    <n v="134"/>
    <n v="51"/>
    <n v="65"/>
    <s v="51"/>
    <n v="44"/>
    <n v="43"/>
    <n v="33"/>
    <s v="52"/>
    <n v="33"/>
    <n v="11"/>
    <n v="21"/>
    <s v="43"/>
    <n v="31"/>
    <n v="44"/>
    <n v="21"/>
    <s v="44"/>
    <n v="18"/>
    <n v="52"/>
    <n v="13"/>
    <s v="11"/>
    <n v="16"/>
    <n v="9"/>
    <n v="13"/>
    <s v="09"/>
    <n v="12"/>
    <n v="14"/>
    <n v="7"/>
    <s v="27"/>
    <n v="8"/>
    <n v="45"/>
    <n v="6"/>
    <s v="45"/>
    <n v="5"/>
    <n v="27"/>
    <n v="5"/>
    <s v="03"/>
    <n v="3"/>
    <m/>
    <m/>
    <n v="9"/>
    <n v="8"/>
    <n v="305"/>
    <n v="10"/>
    <n v="312"/>
    <n v="10"/>
    <n v="44"/>
    <n v="4"/>
    <s v="44"/>
    <n v="7"/>
    <n v="26"/>
    <n v="2"/>
    <s v="13"/>
    <n v="5"/>
    <n v="51"/>
    <n v="2"/>
    <s v="51"/>
    <n v="4"/>
    <n v="13"/>
    <n v="1"/>
    <s v="26"/>
    <n v="2"/>
    <m/>
    <m/>
    <m/>
    <m/>
    <m/>
    <m/>
    <m/>
    <m/>
    <m/>
    <m/>
    <m/>
    <m/>
    <m/>
    <m/>
    <m/>
    <m/>
    <m/>
    <m/>
    <m/>
    <m/>
    <m/>
    <m/>
    <m/>
    <m/>
    <m/>
    <m/>
    <n v="9"/>
    <n v="4"/>
    <n v="0.44444444444444442"/>
    <n v="18"/>
    <n v="4"/>
    <n v="0.3888888888888889"/>
    <n v="314"/>
    <n v="330"/>
    <n v="124"/>
    <n v="128"/>
    <m/>
    <m/>
    <m/>
    <m/>
    <m/>
    <m/>
    <m/>
    <m/>
    <m/>
    <m/>
    <m/>
    <m/>
    <m/>
    <m/>
    <m/>
    <m/>
    <m/>
    <m/>
    <n v="124"/>
    <n v="128"/>
    <n v="1382"/>
    <n v="1356"/>
  </r>
  <r>
    <x v="6"/>
    <s v="University of Louisiana at Monroe"/>
    <n v="159993"/>
    <x v="2"/>
    <m/>
    <m/>
    <m/>
    <m/>
    <n v="50"/>
    <n v="33"/>
    <n v="5.3705692803437163E-2"/>
    <n v="3.707865168539326E-2"/>
    <n v="931"/>
    <n v="62"/>
    <m/>
    <m/>
    <n v="62"/>
    <n v="890"/>
    <n v="55"/>
    <m/>
    <m/>
    <n v="55"/>
    <m/>
    <m/>
    <m/>
    <m/>
    <m/>
    <m/>
    <m/>
    <m/>
    <m/>
    <m/>
    <m/>
    <m/>
    <m/>
    <m/>
    <m/>
    <m/>
    <m/>
    <m/>
    <m/>
    <m/>
    <n v="0"/>
    <n v="0.69322412509307518"/>
    <n v="0"/>
    <n v="0.70467141726049087"/>
    <m/>
    <n v="1"/>
    <n v="13"/>
    <n v="116"/>
    <s v="13"/>
    <n v="123"/>
    <n v="51"/>
    <n v="31"/>
    <s v="51"/>
    <n v="32"/>
    <n v="52"/>
    <n v="25"/>
    <s v="52"/>
    <n v="23"/>
    <n v="42"/>
    <n v="17"/>
    <s v="31"/>
    <n v="16"/>
    <n v="43"/>
    <n v="12"/>
    <s v="30"/>
    <n v="8"/>
    <n v="54"/>
    <n v="9"/>
    <s v="42"/>
    <n v="8"/>
    <n v="31"/>
    <n v="8"/>
    <s v="09"/>
    <n v="6"/>
    <n v="30"/>
    <n v="7"/>
    <s v="43"/>
    <n v="6"/>
    <n v="26"/>
    <n v="6"/>
    <s v="26"/>
    <n v="5"/>
    <n v="23"/>
    <n v="4"/>
    <s v="54"/>
    <n v="5"/>
    <m/>
    <m/>
    <n v="5"/>
    <n v="6"/>
    <n v="240"/>
    <n v="10"/>
    <n v="238"/>
    <n v="10"/>
    <n v="51"/>
    <n v="12"/>
    <s v="51"/>
    <n v="7"/>
    <n v="13"/>
    <n v="3"/>
    <s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"/>
    <n v="0.8"/>
    <n v="10"/>
    <n v="2"/>
    <n v="0.7"/>
    <n v="255"/>
    <n v="248"/>
    <m/>
    <m/>
    <m/>
    <m/>
    <m/>
    <m/>
    <n v="107"/>
    <n v="91"/>
    <m/>
    <m/>
    <m/>
    <m/>
    <m/>
    <m/>
    <m/>
    <m/>
    <m/>
    <m/>
    <m/>
    <m/>
    <n v="107"/>
    <n v="91"/>
    <n v="1343"/>
    <n v="1263"/>
  </r>
  <r>
    <x v="6"/>
    <s v="Grambling State University"/>
    <n v="159009"/>
    <x v="3"/>
    <m/>
    <m/>
    <m/>
    <m/>
    <n v="36"/>
    <n v="33"/>
    <n v="6.7039106145251395E-2"/>
    <n v="5.9674502712477394E-2"/>
    <n v="537"/>
    <n v="50"/>
    <m/>
    <m/>
    <n v="50"/>
    <n v="553"/>
    <n v="38"/>
    <m/>
    <m/>
    <n v="38"/>
    <m/>
    <m/>
    <m/>
    <m/>
    <m/>
    <m/>
    <m/>
    <m/>
    <m/>
    <m/>
    <m/>
    <m/>
    <m/>
    <m/>
    <m/>
    <m/>
    <m/>
    <m/>
    <m/>
    <m/>
    <n v="0"/>
    <n v="0.80269058295964124"/>
    <n v="0"/>
    <n v="0.77887323943661968"/>
    <m/>
    <m/>
    <n v="44"/>
    <n v="39"/>
    <s v="44"/>
    <n v="37"/>
    <n v="31"/>
    <n v="16"/>
    <s v="43"/>
    <n v="26"/>
    <n v="51"/>
    <n v="13"/>
    <s v="51"/>
    <n v="17"/>
    <n v="43"/>
    <n v="12"/>
    <s v="31"/>
    <n v="15"/>
    <n v="9"/>
    <n v="7"/>
    <s v="13"/>
    <n v="12"/>
    <n v="13"/>
    <n v="6"/>
    <s v="09"/>
    <n v="8"/>
    <m/>
    <m/>
    <m/>
    <m/>
    <m/>
    <m/>
    <m/>
    <m/>
    <m/>
    <m/>
    <m/>
    <m/>
    <m/>
    <m/>
    <m/>
    <m/>
    <m/>
    <m/>
    <m/>
    <m/>
    <n v="93"/>
    <n v="6"/>
    <n v="115"/>
    <n v="6"/>
    <n v="13"/>
    <n v="3"/>
    <s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9"/>
    <n v="1"/>
    <n v="1"/>
    <n v="96"/>
    <n v="124"/>
    <m/>
    <m/>
    <m/>
    <m/>
    <m/>
    <m/>
    <m/>
    <m/>
    <m/>
    <m/>
    <m/>
    <m/>
    <m/>
    <m/>
    <m/>
    <m/>
    <m/>
    <m/>
    <m/>
    <m/>
    <n v="0"/>
    <n v="0"/>
    <n v="669"/>
    <n v="710"/>
  </r>
  <r>
    <x v="6"/>
    <s v="Louisiana State University in Shreveport"/>
    <n v="159416"/>
    <x v="3"/>
    <m/>
    <m/>
    <m/>
    <m/>
    <m/>
    <m/>
    <n v="0"/>
    <n v="0"/>
    <n v="521"/>
    <n v="66"/>
    <m/>
    <m/>
    <n v="66"/>
    <n v="529"/>
    <n v="71"/>
    <m/>
    <m/>
    <n v="71"/>
    <m/>
    <m/>
    <m/>
    <m/>
    <m/>
    <m/>
    <m/>
    <m/>
    <m/>
    <m/>
    <m/>
    <m/>
    <m/>
    <m/>
    <m/>
    <m/>
    <m/>
    <m/>
    <m/>
    <m/>
    <n v="0"/>
    <n v="0.83360000000000001"/>
    <n v="0"/>
    <n v="0.83307086614173231"/>
    <m/>
    <m/>
    <n v="13"/>
    <n v="34"/>
    <s v="52"/>
    <n v="25"/>
    <n v="52"/>
    <n v="27"/>
    <s v="13"/>
    <n v="23"/>
    <n v="42"/>
    <n v="17"/>
    <s v="42"/>
    <n v="19"/>
    <n v="24"/>
    <n v="8"/>
    <s v="51"/>
    <n v="14"/>
    <n v="44"/>
    <n v="8"/>
    <s v="44"/>
    <n v="12"/>
    <n v="51"/>
    <n v="7"/>
    <s v="11"/>
    <n v="7"/>
    <n v="11"/>
    <n v="3"/>
    <s v="24"/>
    <n v="6"/>
    <m/>
    <m/>
    <m/>
    <m/>
    <m/>
    <m/>
    <m/>
    <m/>
    <m/>
    <m/>
    <m/>
    <m/>
    <m/>
    <m/>
    <m/>
    <m/>
    <n v="104"/>
    <n v="7"/>
    <n v="10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4"/>
    <n v="106"/>
    <m/>
    <m/>
    <m/>
    <m/>
    <m/>
    <m/>
    <m/>
    <m/>
    <m/>
    <m/>
    <m/>
    <m/>
    <m/>
    <m/>
    <m/>
    <m/>
    <m/>
    <m/>
    <m/>
    <m/>
    <n v="0"/>
    <n v="0"/>
    <n v="625"/>
    <n v="635"/>
  </r>
  <r>
    <x v="6"/>
    <s v="McNeese State University"/>
    <n v="159717"/>
    <x v="3"/>
    <m/>
    <m/>
    <m/>
    <m/>
    <n v="148"/>
    <n v="122"/>
    <n v="0.14028436018957346"/>
    <n v="0.11630123927550047"/>
    <n v="1055"/>
    <n v="129"/>
    <m/>
    <m/>
    <n v="129"/>
    <n v="1049"/>
    <n v="108"/>
    <m/>
    <m/>
    <n v="108"/>
    <m/>
    <m/>
    <m/>
    <m/>
    <m/>
    <m/>
    <m/>
    <m/>
    <m/>
    <m/>
    <m/>
    <m/>
    <m/>
    <m/>
    <m/>
    <m/>
    <m/>
    <m/>
    <m/>
    <m/>
    <n v="0"/>
    <n v="0.71964529331514326"/>
    <n v="0"/>
    <n v="0.71457765667574935"/>
    <m/>
    <m/>
    <n v="19"/>
    <n v="98"/>
    <s v="13"/>
    <n v="113"/>
    <n v="14"/>
    <n v="66"/>
    <s v="27"/>
    <n v="39"/>
    <n v="52"/>
    <n v="26"/>
    <s v="14"/>
    <n v="35"/>
    <n v="51"/>
    <n v="22"/>
    <s v="52"/>
    <n v="30"/>
    <n v="23"/>
    <n v="13"/>
    <s v="51"/>
    <n v="29"/>
    <n v="17"/>
    <n v="13"/>
    <s v="42"/>
    <n v="20"/>
    <n v="40"/>
    <n v="11"/>
    <s v="31"/>
    <n v="14"/>
    <n v="31"/>
    <n v="9"/>
    <s v="40"/>
    <n v="10"/>
    <n v="42"/>
    <n v="5"/>
    <s v="23"/>
    <n v="7"/>
    <m/>
    <m/>
    <m/>
    <m/>
    <m/>
    <m/>
    <m/>
    <m/>
    <n v="263"/>
    <n v="9"/>
    <n v="297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3"/>
    <n v="297"/>
    <m/>
    <m/>
    <m/>
    <m/>
    <m/>
    <m/>
    <m/>
    <m/>
    <m/>
    <m/>
    <m/>
    <m/>
    <m/>
    <m/>
    <m/>
    <m/>
    <m/>
    <m/>
    <m/>
    <m/>
    <n v="0"/>
    <n v="0"/>
    <n v="1466"/>
    <n v="1468"/>
  </r>
  <r>
    <x v="6"/>
    <s v="Nicholls State University "/>
    <n v="159966"/>
    <x v="3"/>
    <m/>
    <m/>
    <m/>
    <m/>
    <n v="146"/>
    <n v="175"/>
    <n v="0.19783197831978319"/>
    <n v="0.2032520325203252"/>
    <n v="738"/>
    <n v="56"/>
    <m/>
    <m/>
    <n v="56"/>
    <n v="861"/>
    <n v="73"/>
    <m/>
    <m/>
    <n v="73"/>
    <m/>
    <m/>
    <m/>
    <m/>
    <m/>
    <m/>
    <m/>
    <m/>
    <m/>
    <m/>
    <m/>
    <m/>
    <m/>
    <m/>
    <m/>
    <m/>
    <m/>
    <m/>
    <m/>
    <m/>
    <n v="0"/>
    <n v="0.69886363636363635"/>
    <n v="0"/>
    <n v="0.75"/>
    <m/>
    <m/>
    <n v="13"/>
    <n v="118"/>
    <s v="13"/>
    <n v="51"/>
    <n v="52"/>
    <n v="29"/>
    <s v="52"/>
    <n v="38"/>
    <n v="42"/>
    <n v="16"/>
    <s v="42"/>
    <n v="17"/>
    <n v="26"/>
    <n v="5"/>
    <s v="27"/>
    <n v="4"/>
    <n v="27"/>
    <n v="4"/>
    <s v="26"/>
    <n v="2"/>
    <m/>
    <m/>
    <m/>
    <m/>
    <m/>
    <m/>
    <m/>
    <m/>
    <m/>
    <m/>
    <m/>
    <m/>
    <m/>
    <m/>
    <m/>
    <m/>
    <m/>
    <m/>
    <m/>
    <m/>
    <m/>
    <m/>
    <m/>
    <m/>
    <n v="172"/>
    <n v="5"/>
    <n v="11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2"/>
    <n v="112"/>
    <m/>
    <m/>
    <m/>
    <m/>
    <m/>
    <m/>
    <m/>
    <m/>
    <m/>
    <m/>
    <m/>
    <m/>
    <m/>
    <m/>
    <m/>
    <m/>
    <m/>
    <m/>
    <m/>
    <m/>
    <n v="0"/>
    <n v="0"/>
    <n v="1056"/>
    <n v="1148"/>
  </r>
  <r>
    <x v="6"/>
    <s v="Northwestern State University"/>
    <n v="160038"/>
    <x v="3"/>
    <m/>
    <m/>
    <m/>
    <m/>
    <n v="238"/>
    <n v="289"/>
    <n v="0.21675774134790529"/>
    <n v="0.26883720930232557"/>
    <n v="1098"/>
    <n v="75"/>
    <m/>
    <m/>
    <n v="75"/>
    <n v="1075"/>
    <n v="86"/>
    <m/>
    <m/>
    <n v="86"/>
    <m/>
    <m/>
    <m/>
    <m/>
    <m/>
    <m/>
    <m/>
    <m/>
    <m/>
    <m/>
    <m/>
    <m/>
    <m/>
    <m/>
    <m/>
    <m/>
    <m/>
    <m/>
    <m/>
    <m/>
    <n v="0"/>
    <n v="0.67694204685573367"/>
    <n v="0"/>
    <n v="0.66604708798017354"/>
    <m/>
    <m/>
    <n v="13"/>
    <n v="200"/>
    <s v="13"/>
    <n v="153"/>
    <n v="51"/>
    <n v="39"/>
    <s v="51"/>
    <n v="46"/>
    <n v="50"/>
    <n v="14"/>
    <s v="50"/>
    <n v="16"/>
    <n v="23"/>
    <n v="11"/>
    <s v="31"/>
    <n v="13"/>
    <n v="42"/>
    <n v="9"/>
    <s v="23"/>
    <n v="10"/>
    <n v="31"/>
    <n v="8"/>
    <s v="42"/>
    <n v="7"/>
    <n v="30"/>
    <n v="5"/>
    <s v="30"/>
    <n v="5"/>
    <m/>
    <m/>
    <m/>
    <m/>
    <m/>
    <m/>
    <m/>
    <m/>
    <m/>
    <m/>
    <m/>
    <m/>
    <m/>
    <m/>
    <m/>
    <m/>
    <n v="286"/>
    <n v="7"/>
    <n v="250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6"/>
    <n v="250"/>
    <m/>
    <m/>
    <m/>
    <m/>
    <m/>
    <m/>
    <m/>
    <m/>
    <m/>
    <m/>
    <m/>
    <m/>
    <m/>
    <m/>
    <m/>
    <m/>
    <m/>
    <m/>
    <m/>
    <m/>
    <n v="0"/>
    <n v="0"/>
    <n v="1622"/>
    <n v="1614"/>
  </r>
  <r>
    <x v="6"/>
    <s v="Southern University at New Orleans"/>
    <n v="160630"/>
    <x v="3"/>
    <m/>
    <m/>
    <m/>
    <m/>
    <n v="16"/>
    <n v="11"/>
    <n v="6.9868995633187769E-2"/>
    <n v="4.8245614035087717E-2"/>
    <n v="229"/>
    <n v="5"/>
    <m/>
    <m/>
    <n v="5"/>
    <n v="228"/>
    <n v="11"/>
    <m/>
    <m/>
    <n v="11"/>
    <m/>
    <m/>
    <m/>
    <m/>
    <m/>
    <m/>
    <m/>
    <m/>
    <m/>
    <m/>
    <m/>
    <m/>
    <m/>
    <m/>
    <m/>
    <m/>
    <m/>
    <m/>
    <m/>
    <m/>
    <n v="0"/>
    <n v="0.59020618556701032"/>
    <n v="0"/>
    <n v="0.58914728682170547"/>
    <m/>
    <m/>
    <n v="44"/>
    <n v="88"/>
    <s v="44"/>
    <n v="90"/>
    <n v="43"/>
    <n v="33"/>
    <s v="43"/>
    <n v="30"/>
    <n v="13"/>
    <n v="14"/>
    <s v="13"/>
    <n v="10"/>
    <n v="30"/>
    <n v="5"/>
    <s v="30"/>
    <n v="7"/>
    <n v="11"/>
    <n v="3"/>
    <s v="52"/>
    <n v="7"/>
    <m/>
    <m/>
    <s v="11"/>
    <n v="4"/>
    <m/>
    <m/>
    <m/>
    <m/>
    <m/>
    <m/>
    <m/>
    <m/>
    <m/>
    <m/>
    <m/>
    <m/>
    <m/>
    <m/>
    <m/>
    <m/>
    <m/>
    <m/>
    <m/>
    <m/>
    <n v="143"/>
    <n v="5"/>
    <n v="14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3"/>
    <n v="148"/>
    <m/>
    <m/>
    <m/>
    <m/>
    <m/>
    <m/>
    <m/>
    <m/>
    <m/>
    <m/>
    <m/>
    <m/>
    <m/>
    <m/>
    <m/>
    <m/>
    <m/>
    <m/>
    <m/>
    <m/>
    <n v="0"/>
    <n v="0"/>
    <n v="388"/>
    <n v="387"/>
  </r>
  <r>
    <x v="6"/>
    <s v="Louisiana State University at Alexandria"/>
    <n v="159382"/>
    <x v="12"/>
    <n v="8"/>
    <n v="11"/>
    <m/>
    <m/>
    <n v="156"/>
    <n v="151"/>
    <n v="1.1908396946564885"/>
    <n v="0.90963855421686746"/>
    <n v="131"/>
    <n v="22"/>
    <m/>
    <m/>
    <n v="22"/>
    <n v="166"/>
    <n v="21"/>
    <m/>
    <m/>
    <n v="21"/>
    <s v="24"/>
    <n v="82"/>
    <s v="24"/>
    <n v="91"/>
    <s v="13"/>
    <n v="22"/>
    <s v="42"/>
    <n v="27"/>
    <s v="42"/>
    <n v="20"/>
    <s v="13"/>
    <n v="21"/>
    <s v="26"/>
    <n v="7"/>
    <s v="52"/>
    <n v="7"/>
    <m/>
    <m/>
    <s v="54"/>
    <n v="6"/>
    <n v="4"/>
    <n v="0.44406779661016949"/>
    <n v="5"/>
    <n v="0.506097560975609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5"/>
    <n v="328"/>
  </r>
  <r>
    <x v="6"/>
    <s v="Delgado Community College "/>
    <n v="158662"/>
    <x v="6"/>
    <n v="222"/>
    <n v="251"/>
    <m/>
    <m/>
    <n v="841"/>
    <n v="8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63"/>
    <n v="1132"/>
  </r>
  <r>
    <x v="6"/>
    <s v="Baton Rouge Community College"/>
    <n v="437103"/>
    <x v="7"/>
    <n v="10"/>
    <n v="9"/>
    <m/>
    <m/>
    <n v="250"/>
    <n v="3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0"/>
    <n v="314"/>
  </r>
  <r>
    <x v="6"/>
    <s v="Bossier Parish Community College"/>
    <n v="158431"/>
    <x v="7"/>
    <n v="86"/>
    <n v="110"/>
    <m/>
    <m/>
    <n v="357"/>
    <n v="4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3"/>
    <n v="569"/>
  </r>
  <r>
    <x v="6"/>
    <s v="Louisiana State University at Eunice"/>
    <n v="159407"/>
    <x v="7"/>
    <n v="16"/>
    <n v="14"/>
    <m/>
    <m/>
    <n v="252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8"/>
    <n v="258"/>
  </r>
  <r>
    <x v="6"/>
    <s v="Louisiana Delta Community College"/>
    <n v="440624"/>
    <x v="8"/>
    <n v="6"/>
    <n v="1"/>
    <m/>
    <m/>
    <n v="72"/>
    <n v="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"/>
    <n v="93"/>
  </r>
  <r>
    <x v="6"/>
    <s v="Nunez Community College"/>
    <n v="158884"/>
    <x v="8"/>
    <n v="78"/>
    <n v="87"/>
    <m/>
    <m/>
    <n v="100"/>
    <n v="1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8"/>
    <n v="212"/>
  </r>
  <r>
    <x v="6"/>
    <s v="River Parishes Community College"/>
    <n v="436304"/>
    <x v="8"/>
    <n v="4"/>
    <n v="33"/>
    <m/>
    <m/>
    <n v="52"/>
    <n v="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"/>
    <n v="74"/>
  </r>
  <r>
    <x v="6"/>
    <s v="South Louisiana Community College"/>
    <n v="434061"/>
    <x v="8"/>
    <n v="31"/>
    <n v="244"/>
    <m/>
    <m/>
    <n v="100"/>
    <n v="1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1"/>
    <n v="401"/>
  </r>
  <r>
    <x v="6"/>
    <s v="Southern University in Shreveport"/>
    <n v="160649"/>
    <x v="8"/>
    <n v="70"/>
    <n v="71"/>
    <m/>
    <m/>
    <n v="252"/>
    <n v="2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2"/>
    <n v="313"/>
  </r>
  <r>
    <x v="6"/>
    <s v="Sowela Technical Community College"/>
    <n v="160579"/>
    <x v="9"/>
    <n v="137"/>
    <n v="143"/>
    <m/>
    <m/>
    <n v="192"/>
    <n v="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9"/>
    <n v="357"/>
  </r>
  <r>
    <x v="6"/>
    <s v="L.E. Fletcher Technical Community College"/>
    <n v="160481"/>
    <x v="10"/>
    <n v="53"/>
    <n v="84"/>
    <m/>
    <m/>
    <n v="33"/>
    <n v="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"/>
    <n v="122"/>
  </r>
  <r>
    <x v="6"/>
    <s v="Louisiana Technical College-Acadian Campus"/>
    <n v="160560"/>
    <x v="13"/>
    <n v="38"/>
    <n v="6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"/>
    <n v="65"/>
  </r>
  <r>
    <x v="6"/>
    <s v="Louisiana Technical College-Alexandria Campus"/>
    <n v="158088"/>
    <x v="13"/>
    <n v="88"/>
    <n v="87"/>
    <m/>
    <m/>
    <n v="4"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"/>
    <n v="87"/>
  </r>
  <r>
    <x v="6"/>
    <s v="Louisiana Technical College-Ascension Campus"/>
    <n v="158219"/>
    <x v="13"/>
    <n v="16"/>
    <n v="14"/>
    <m/>
    <m/>
    <n v="34"/>
    <n v="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"/>
    <n v="52"/>
  </r>
  <r>
    <x v="6"/>
    <s v="Louisiana Technical College-Avoyelles Campus"/>
    <n v="158237"/>
    <x v="13"/>
    <n v="57"/>
    <n v="9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"/>
    <n v="98"/>
  </r>
  <r>
    <x v="6"/>
    <s v="Louisiana Technical College-Bastrop Campus"/>
    <n v="158307"/>
    <x v="13"/>
    <n v="51"/>
    <n v="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"/>
    <n v="36"/>
  </r>
  <r>
    <x v="6"/>
    <s v="Louisiana Technical College-Baton Rouge Campus"/>
    <n v="158352"/>
    <x v="13"/>
    <n v="149"/>
    <n v="365"/>
    <m/>
    <m/>
    <n v="22"/>
    <n v="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1"/>
    <n v="378"/>
  </r>
  <r>
    <x v="6"/>
    <s v="Louisiana Technical College-Charles B. Coreil Campus"/>
    <n v="160816"/>
    <x v="13"/>
    <n v="49"/>
    <n v="7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"/>
    <n v="76"/>
  </r>
  <r>
    <x v="6"/>
    <s v="Louisiana Technical College-Delta/Ouachita Campus"/>
    <n v="158769"/>
    <x v="13"/>
    <n v="148"/>
    <n v="243"/>
    <m/>
    <m/>
    <n v="6"/>
    <n v="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4"/>
    <n v="256"/>
  </r>
  <r>
    <x v="6"/>
    <s v="Louisiana Technical College-Evangeline Campus"/>
    <n v="158893"/>
    <x v="13"/>
    <n v="43"/>
    <n v="5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"/>
    <n v="56"/>
  </r>
  <r>
    <x v="6"/>
    <s v="Louisiana Technical College-Florida Parishes Campus"/>
    <n v="158936"/>
    <x v="13"/>
    <n v="35"/>
    <n v="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"/>
    <n v="14"/>
  </r>
  <r>
    <x v="6"/>
    <s v="Louisiana Technical College-Folkes Campus"/>
    <n v="158945"/>
    <x v="13"/>
    <n v="305"/>
    <n v="40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5"/>
    <n v="407"/>
  </r>
  <r>
    <x v="6"/>
    <s v="Louisiana Technical College-Gulf Area Campus"/>
    <n v="159018"/>
    <x v="13"/>
    <n v="70"/>
    <n v="110"/>
    <m/>
    <m/>
    <m/>
    <n v="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"/>
    <n v="111"/>
  </r>
  <r>
    <x v="6"/>
    <s v="Louisiana Technical College-Hammond Area Campus"/>
    <n v="159045"/>
    <x v="13"/>
    <n v="70"/>
    <n v="156"/>
    <m/>
    <m/>
    <m/>
    <n v="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"/>
    <n v="157"/>
  </r>
  <r>
    <x v="6"/>
    <s v="Louisiana Technical College-Huey P. Long Campus"/>
    <n v="159090"/>
    <x v="13"/>
    <n v="42"/>
    <n v="7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"/>
    <n v="74"/>
  </r>
  <r>
    <x v="6"/>
    <s v="Louisiana Technical College-Jefferson Campus"/>
    <n v="159258"/>
    <x v="13"/>
    <n v="8"/>
    <n v="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"/>
    <n v="25"/>
  </r>
  <r>
    <x v="6"/>
    <s v="Louisiana Technical College-Jumonville Memorial Campus"/>
    <n v="160214"/>
    <x v="13"/>
    <n v="38"/>
    <n v="2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"/>
    <n v="22"/>
  </r>
  <r>
    <x v="6"/>
    <s v="Louisiana Technical College-Lafayette Campus"/>
    <n v="159443"/>
    <x v="13"/>
    <n v="168"/>
    <n v="320"/>
    <m/>
    <m/>
    <n v="72"/>
    <n v="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0"/>
    <n v="378"/>
  </r>
  <r>
    <x v="6"/>
    <s v="Louisiana Technical College-Lafourche Campus"/>
    <n v="160719"/>
    <x v="13"/>
    <n v="36"/>
    <n v="73"/>
    <m/>
    <m/>
    <n v="25"/>
    <n v="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"/>
    <n v="83"/>
  </r>
  <r>
    <x v="6"/>
    <s v="Louisiana Technical College-Lamar Salter Campus"/>
    <n v="160843"/>
    <x v="13"/>
    <n v="51"/>
    <n v="9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"/>
    <n v="93"/>
  </r>
  <r>
    <x v="6"/>
    <s v="Louisiana Technical College-Mansfield Campus"/>
    <n v="159692"/>
    <x v="13"/>
    <n v="55"/>
    <n v="5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"/>
    <n v="56"/>
  </r>
  <r>
    <x v="6"/>
    <s v="Louisiana Technical College-Morgan Smith Campus"/>
    <n v="159249"/>
    <x v="13"/>
    <n v="28"/>
    <n v="4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"/>
    <n v="42"/>
  </r>
  <r>
    <x v="6"/>
    <s v="Louisiana Technical College-Nachitoches Campus"/>
    <n v="159823"/>
    <x v="13"/>
    <n v="33"/>
    <n v="84"/>
    <m/>
    <m/>
    <n v="11"/>
    <n v="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"/>
    <n v="97"/>
  </r>
  <r>
    <x v="6"/>
    <s v="Louisiana Technical College-North Central Campus"/>
    <n v="159984"/>
    <x v="13"/>
    <n v="34"/>
    <n v="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"/>
    <n v="17"/>
  </r>
  <r>
    <x v="6"/>
    <s v="Louisiana Technical College-Northeast Louisiana Campus"/>
    <n v="160001"/>
    <x v="13"/>
    <n v="37"/>
    <n v="49"/>
    <m/>
    <m/>
    <m/>
    <n v="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"/>
    <n v="52"/>
  </r>
  <r>
    <x v="6"/>
    <s v="Louisiana Technical College-Northwest Louisiana Campus"/>
    <n v="160010"/>
    <x v="13"/>
    <n v="163"/>
    <n v="327"/>
    <m/>
    <m/>
    <n v="9"/>
    <n v="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2"/>
    <n v="341"/>
  </r>
  <r>
    <x v="6"/>
    <s v="Louisiana Technical College-Oakdale Campus"/>
    <n v="160047"/>
    <x v="13"/>
    <n v="52"/>
    <n v="110"/>
    <m/>
    <m/>
    <n v="11"/>
    <n v="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"/>
    <n v="120"/>
  </r>
  <r>
    <x v="6"/>
    <s v="Louisiana Technical College-River Parishes Campus"/>
    <n v="160311"/>
    <x v="13"/>
    <n v="73"/>
    <n v="99"/>
    <m/>
    <m/>
    <n v="47"/>
    <n v="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"/>
    <n v="179"/>
  </r>
  <r>
    <x v="6"/>
    <s v="Louisiana Technical College-Ruston Campus"/>
    <n v="160366"/>
    <x v="13"/>
    <n v="37"/>
    <n v="46"/>
    <m/>
    <m/>
    <m/>
    <n v="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"/>
    <n v="47"/>
  </r>
  <r>
    <x v="6"/>
    <s v="Louisiana Technical College-Sabine Valley Campus"/>
    <n v="160384"/>
    <x v="13"/>
    <n v="22"/>
    <n v="3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"/>
    <n v="39"/>
  </r>
  <r>
    <x v="6"/>
    <s v="Louisiana Technical College-Shelby M. Jackson Campus"/>
    <n v="158583"/>
    <x v="13"/>
    <n v="33"/>
    <n v="5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"/>
    <n v="58"/>
  </r>
  <r>
    <x v="6"/>
    <s v="Louisiana Technical College-Shreveport/Bossier Campus"/>
    <n v="160427"/>
    <x v="13"/>
    <n v="157"/>
    <n v="331"/>
    <m/>
    <m/>
    <n v="6"/>
    <n v="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3"/>
    <n v="339"/>
  </r>
  <r>
    <x v="6"/>
    <s v="Louisiana Technical College-Sidney N. Collier Campus"/>
    <n v="160436"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6"/>
    <s v="Louisiana Technical College-Slidell Campus"/>
    <n v="160454"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6"/>
    <s v="Louisiana Technical College-Sullivan Campus"/>
    <n v="160667"/>
    <x v="13"/>
    <n v="93"/>
    <n v="315"/>
    <m/>
    <m/>
    <n v="2"/>
    <n v="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"/>
    <n v="324"/>
  </r>
  <r>
    <x v="6"/>
    <s v="Louisiana Technical College-T.H. Harris Campus"/>
    <n v="160676"/>
    <x v="13"/>
    <n v="130"/>
    <n v="167"/>
    <m/>
    <m/>
    <n v="3"/>
    <n v="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3"/>
    <n v="169"/>
  </r>
  <r>
    <x v="6"/>
    <s v="Louisiana Technical College-Tallulah Campus"/>
    <n v="160685"/>
    <x v="13"/>
    <n v="30"/>
    <n v="98"/>
    <m/>
    <m/>
    <n v="3"/>
    <n v="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"/>
    <n v="102"/>
  </r>
  <r>
    <x v="6"/>
    <s v="Louisiana Technical College-Teche Area Campus"/>
    <n v="160694"/>
    <x v="13"/>
    <n v="134"/>
    <n v="181"/>
    <m/>
    <m/>
    <n v="4"/>
    <n v="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8"/>
    <n v="185"/>
  </r>
  <r>
    <x v="6"/>
    <s v="Louisiana Technical College-West Jefferson Campus"/>
    <n v="159267"/>
    <x v="13"/>
    <n v="14"/>
    <n v="12"/>
    <m/>
    <m/>
    <m/>
    <n v="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"/>
    <n v="16"/>
  </r>
  <r>
    <x v="6"/>
    <s v="Louisiana Technical College-Westside Campus"/>
    <n v="160870"/>
    <x v="13"/>
    <n v="5"/>
    <n v="2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"/>
    <n v="20"/>
  </r>
  <r>
    <x v="6"/>
    <s v="Louisiana Technical College-Young Memorial Campus"/>
    <n v="160913"/>
    <x v="13"/>
    <n v="83"/>
    <n v="118"/>
    <m/>
    <m/>
    <n v="16"/>
    <n v="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9"/>
    <n v="124"/>
  </r>
  <r>
    <x v="6"/>
    <s v="Louisiana State University Health Sciences Center - New Orleans"/>
    <n v="159373"/>
    <x v="11"/>
    <m/>
    <m/>
    <m/>
    <m/>
    <n v="5"/>
    <n v="6"/>
    <n v="2.0491803278688523E-2"/>
    <n v="2.3529411764705882E-2"/>
    <n v="244"/>
    <m/>
    <m/>
    <m/>
    <n v="0"/>
    <n v="255"/>
    <m/>
    <m/>
    <m/>
    <n v="0"/>
    <m/>
    <m/>
    <m/>
    <m/>
    <m/>
    <m/>
    <m/>
    <m/>
    <m/>
    <m/>
    <m/>
    <m/>
    <m/>
    <m/>
    <m/>
    <m/>
    <m/>
    <m/>
    <m/>
    <m/>
    <n v="0"/>
    <n v="0.36309523809523808"/>
    <n v="0"/>
    <n v="0.37555228276877761"/>
    <m/>
    <m/>
    <n v="51"/>
    <n v="168"/>
    <s v="51"/>
    <n v="124"/>
    <n v="26"/>
    <n v="2"/>
    <s v="26"/>
    <n v="5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6"/>
    <n v="182"/>
    <n v="3"/>
    <n v="145"/>
    <n v="2"/>
    <n v="51"/>
    <n v="16"/>
    <s v="51"/>
    <n v="25"/>
    <n v="26"/>
    <n v="11"/>
    <s v="26"/>
    <n v="14"/>
    <n v="30"/>
    <n v="1"/>
    <s v="3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3"/>
    <n v="0.5714285714285714"/>
    <n v="43"/>
    <n v="3"/>
    <n v="0.58139534883720934"/>
    <n v="210"/>
    <n v="188"/>
    <m/>
    <m/>
    <n v="155"/>
    <n v="170"/>
    <n v="58"/>
    <n v="60"/>
    <m/>
    <m/>
    <m/>
    <m/>
    <m/>
    <m/>
    <m/>
    <m/>
    <m/>
    <m/>
    <m/>
    <m/>
    <m/>
    <m/>
    <n v="213"/>
    <n v="230"/>
    <n v="672"/>
    <n v="679"/>
  </r>
  <r>
    <x v="6"/>
    <s v="Louisiana State University Health Sciences Center - Shreveport"/>
    <n v="435000"/>
    <x v="11"/>
    <m/>
    <m/>
    <m/>
    <m/>
    <m/>
    <m/>
    <n v="0"/>
    <n v="0"/>
    <n v="58"/>
    <m/>
    <m/>
    <m/>
    <n v="0"/>
    <n v="62"/>
    <m/>
    <m/>
    <m/>
    <n v="0"/>
    <m/>
    <m/>
    <m/>
    <m/>
    <m/>
    <m/>
    <m/>
    <m/>
    <m/>
    <m/>
    <m/>
    <m/>
    <m/>
    <m/>
    <m/>
    <m/>
    <m/>
    <m/>
    <m/>
    <m/>
    <n v="0"/>
    <n v="0.25"/>
    <n v="0"/>
    <n v="0.22878228782287824"/>
    <m/>
    <m/>
    <n v="51"/>
    <n v="57"/>
    <s v="51"/>
    <n v="27"/>
    <n v="26"/>
    <n v="7"/>
    <s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  <n v="2"/>
    <n v="28"/>
    <n v="2"/>
    <n v="26"/>
    <n v="13"/>
    <s v="51"/>
    <n v="62"/>
    <m/>
    <m/>
    <s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71"/>
    <n v="2"/>
    <n v="0.87323943661971826"/>
    <n v="77"/>
    <n v="99"/>
    <m/>
    <m/>
    <n v="97"/>
    <n v="110"/>
    <m/>
    <m/>
    <m/>
    <m/>
    <m/>
    <m/>
    <m/>
    <m/>
    <m/>
    <m/>
    <m/>
    <m/>
    <m/>
    <m/>
    <m/>
    <m/>
    <n v="97"/>
    <n v="110"/>
    <n v="232"/>
    <n v="271"/>
  </r>
  <r>
    <x v="7"/>
    <s v="University of Maryland College Park"/>
    <n v="163286"/>
    <x v="0"/>
    <n v="14"/>
    <n v="10"/>
    <n v="55"/>
    <n v="49"/>
    <m/>
    <m/>
    <n v="0"/>
    <n v="0"/>
    <n v="6311"/>
    <n v="453"/>
    <m/>
    <m/>
    <n v="453"/>
    <n v="6704"/>
    <n v="535"/>
    <m/>
    <m/>
    <n v="535"/>
    <m/>
    <m/>
    <m/>
    <m/>
    <m/>
    <m/>
    <m/>
    <m/>
    <m/>
    <m/>
    <m/>
    <m/>
    <m/>
    <m/>
    <m/>
    <m/>
    <m/>
    <m/>
    <m/>
    <m/>
    <n v="0"/>
    <n v="0.6821965192952113"/>
    <n v="0"/>
    <n v="0.70250445352614477"/>
    <n v="127"/>
    <m/>
    <n v="52"/>
    <n v="611"/>
    <n v="52"/>
    <n v="667"/>
    <n v="14"/>
    <n v="356"/>
    <n v="14"/>
    <n v="337"/>
    <n v="13"/>
    <n v="289"/>
    <n v="13"/>
    <n v="284"/>
    <n v="45"/>
    <n v="165"/>
    <n v="45"/>
    <n v="231"/>
    <n v="24"/>
    <n v="134"/>
    <n v="24"/>
    <n v="118"/>
    <n v="11"/>
    <n v="59"/>
    <n v="11"/>
    <n v="68"/>
    <n v="50"/>
    <n v="58"/>
    <n v="26"/>
    <n v="64"/>
    <n v="23"/>
    <n v="54"/>
    <n v="50"/>
    <n v="57"/>
    <n v="26"/>
    <n v="53"/>
    <n v="4"/>
    <n v="50"/>
    <n v="40"/>
    <n v="40"/>
    <n v="1"/>
    <n v="43"/>
    <m/>
    <m/>
    <n v="270"/>
    <n v="244"/>
    <n v="2089"/>
    <n v="10"/>
    <n v="2163"/>
    <n v="10"/>
    <n v="14"/>
    <n v="135"/>
    <n v="14"/>
    <n v="127"/>
    <n v="13"/>
    <n v="105"/>
    <n v="13"/>
    <n v="81"/>
    <n v="45"/>
    <n v="78"/>
    <n v="40"/>
    <n v="65"/>
    <n v="40"/>
    <n v="69"/>
    <n v="45"/>
    <n v="61"/>
    <n v="26"/>
    <n v="52"/>
    <n v="26"/>
    <n v="58"/>
    <n v="50"/>
    <n v="43"/>
    <n v="50"/>
    <n v="35"/>
    <n v="11"/>
    <n v="37"/>
    <n v="27"/>
    <n v="28"/>
    <n v="27"/>
    <n v="23"/>
    <n v="23"/>
    <n v="24"/>
    <n v="1"/>
    <n v="21"/>
    <n v="11"/>
    <n v="20"/>
    <n v="23"/>
    <n v="20"/>
    <n v="42"/>
    <n v="17"/>
    <n v="72"/>
    <n v="61"/>
    <n v="655"/>
    <n v="10"/>
    <n v="0.20610687022900764"/>
    <n v="577"/>
    <n v="10"/>
    <n v="0.22010398613518198"/>
    <n v="2744"/>
    <n v="2740"/>
    <m/>
    <m/>
    <m/>
    <m/>
    <m/>
    <m/>
    <m/>
    <m/>
    <m/>
    <m/>
    <m/>
    <m/>
    <m/>
    <m/>
    <m/>
    <m/>
    <m/>
    <m/>
    <m/>
    <n v="40"/>
    <n v="0"/>
    <n v="40"/>
    <n v="9251"/>
    <n v="9543"/>
  </r>
  <r>
    <x v="7"/>
    <s v="University of Maryland, Baltimore County"/>
    <n v="163268"/>
    <x v="1"/>
    <m/>
    <m/>
    <n v="121"/>
    <n v="110"/>
    <m/>
    <m/>
    <n v="0"/>
    <n v="0"/>
    <n v="1844"/>
    <m/>
    <m/>
    <m/>
    <n v="0"/>
    <n v="1798"/>
    <n v="1"/>
    <m/>
    <m/>
    <n v="1"/>
    <m/>
    <m/>
    <m/>
    <m/>
    <m/>
    <m/>
    <m/>
    <m/>
    <m/>
    <m/>
    <m/>
    <m/>
    <m/>
    <m/>
    <m/>
    <m/>
    <m/>
    <m/>
    <m/>
    <m/>
    <n v="0"/>
    <n v="0.70950365525201997"/>
    <n v="0"/>
    <n v="0.72793522267206479"/>
    <n v="92"/>
    <m/>
    <n v="13"/>
    <n v="143"/>
    <n v="13"/>
    <n v="138"/>
    <n v="11"/>
    <n v="121"/>
    <n v="11"/>
    <n v="108"/>
    <n v="45"/>
    <n v="62"/>
    <n v="45"/>
    <n v="62"/>
    <n v="14"/>
    <n v="37"/>
    <n v="14"/>
    <n v="44"/>
    <n v="42"/>
    <n v="20"/>
    <n v="52"/>
    <n v="33"/>
    <n v="16"/>
    <n v="18"/>
    <n v="26"/>
    <n v="18"/>
    <n v="26"/>
    <n v="11"/>
    <n v="51"/>
    <n v="15"/>
    <n v="51"/>
    <n v="11"/>
    <n v="27"/>
    <n v="14"/>
    <n v="40"/>
    <n v="10"/>
    <n v="30"/>
    <n v="13"/>
    <n v="27"/>
    <n v="9"/>
    <n v="40"/>
    <n v="11"/>
    <m/>
    <m/>
    <n v="7"/>
    <n v="20"/>
    <n v="449"/>
    <n v="10"/>
    <n v="476"/>
    <n v="10"/>
    <n v="14"/>
    <n v="21"/>
    <n v="14"/>
    <n v="22"/>
    <n v="26"/>
    <n v="16"/>
    <n v="11"/>
    <n v="16"/>
    <n v="11"/>
    <n v="15"/>
    <n v="40"/>
    <n v="14"/>
    <n v="42"/>
    <n v="11"/>
    <n v="30"/>
    <n v="10"/>
    <n v="40"/>
    <n v="10"/>
    <n v="42"/>
    <n v="9"/>
    <n v="30"/>
    <n v="10"/>
    <n v="26"/>
    <n v="6"/>
    <n v="45"/>
    <n v="6"/>
    <n v="45"/>
    <n v="5"/>
    <n v="27"/>
    <n v="4"/>
    <n v="27"/>
    <n v="4"/>
    <m/>
    <m/>
    <m/>
    <m/>
    <m/>
    <m/>
    <m/>
    <m/>
    <m/>
    <m/>
    <n v="93"/>
    <n v="8"/>
    <n v="0.22580645161290322"/>
    <n v="86"/>
    <n v="8"/>
    <n v="0.2558139534883721"/>
    <n v="542"/>
    <n v="562"/>
    <m/>
    <m/>
    <m/>
    <m/>
    <m/>
    <m/>
    <m/>
    <m/>
    <m/>
    <m/>
    <m/>
    <m/>
    <m/>
    <m/>
    <m/>
    <m/>
    <m/>
    <m/>
    <m/>
    <m/>
    <n v="0"/>
    <n v="0"/>
    <n v="2599"/>
    <n v="2470"/>
  </r>
  <r>
    <x v="7"/>
    <s v="Morgan State University"/>
    <n v="163453"/>
    <x v="2"/>
    <m/>
    <m/>
    <m/>
    <m/>
    <m/>
    <m/>
    <n v="0"/>
    <n v="0"/>
    <n v="813"/>
    <n v="47"/>
    <m/>
    <m/>
    <n v="47"/>
    <n v="843"/>
    <n v="64"/>
    <m/>
    <m/>
    <n v="64"/>
    <m/>
    <m/>
    <m/>
    <m/>
    <m/>
    <m/>
    <m/>
    <m/>
    <m/>
    <m/>
    <m/>
    <m/>
    <m/>
    <m/>
    <m/>
    <m/>
    <m/>
    <m/>
    <m/>
    <m/>
    <n v="0"/>
    <n v="0.82538071065989849"/>
    <n v="0"/>
    <n v="0.7900656044985942"/>
    <m/>
    <m/>
    <n v="44"/>
    <n v="34"/>
    <n v="52"/>
    <n v="51"/>
    <n v="4"/>
    <n v="25"/>
    <n v="44"/>
    <n v="40"/>
    <n v="52"/>
    <n v="23"/>
    <n v="14"/>
    <n v="29"/>
    <n v="45"/>
    <n v="13"/>
    <n v="4"/>
    <n v="24"/>
    <n v="14"/>
    <n v="11"/>
    <n v="51"/>
    <n v="12"/>
    <n v="13"/>
    <n v="9"/>
    <n v="13"/>
    <n v="9"/>
    <n v="51"/>
    <n v="5"/>
    <n v="50"/>
    <n v="5"/>
    <n v="50"/>
    <n v="4"/>
    <n v="45"/>
    <n v="4"/>
    <n v="9"/>
    <n v="3"/>
    <n v="27"/>
    <n v="4"/>
    <n v="26"/>
    <n v="1"/>
    <n v="9"/>
    <n v="3"/>
    <m/>
    <m/>
    <n v="2"/>
    <n v="7"/>
    <n v="130"/>
    <n v="10"/>
    <n v="188"/>
    <n v="10"/>
    <n v="13"/>
    <n v="35"/>
    <n v="13"/>
    <n v="10"/>
    <n v="51"/>
    <n v="3"/>
    <n v="14"/>
    <n v="8"/>
    <n v="14"/>
    <n v="2"/>
    <n v="51"/>
    <n v="7"/>
    <n v="52"/>
    <n v="2"/>
    <n v="45"/>
    <n v="4"/>
    <m/>
    <m/>
    <n v="52"/>
    <n v="3"/>
    <m/>
    <m/>
    <n v="23"/>
    <n v="3"/>
    <m/>
    <m/>
    <n v="26"/>
    <n v="1"/>
    <m/>
    <m/>
    <m/>
    <m/>
    <m/>
    <m/>
    <m/>
    <m/>
    <m/>
    <m/>
    <m/>
    <m/>
    <m/>
    <m/>
    <n v="42"/>
    <n v="4"/>
    <n v="0.83333333333333337"/>
    <n v="36"/>
    <n v="7"/>
    <n v="0.27777777777777779"/>
    <n v="172"/>
    <n v="224"/>
    <m/>
    <m/>
    <m/>
    <m/>
    <m/>
    <m/>
    <m/>
    <m/>
    <m/>
    <m/>
    <m/>
    <m/>
    <m/>
    <m/>
    <m/>
    <m/>
    <m/>
    <m/>
    <m/>
    <m/>
    <n v="0"/>
    <n v="0"/>
    <n v="985"/>
    <n v="1067"/>
  </r>
  <r>
    <x v="7"/>
    <s v="Towson University "/>
    <n v="164076"/>
    <x v="2"/>
    <m/>
    <m/>
    <m/>
    <m/>
    <m/>
    <m/>
    <n v="0"/>
    <n v="0"/>
    <n v="3204"/>
    <n v="550"/>
    <m/>
    <m/>
    <n v="550"/>
    <n v="3380"/>
    <n v="561"/>
    <m/>
    <m/>
    <n v="561"/>
    <m/>
    <m/>
    <m/>
    <m/>
    <m/>
    <m/>
    <m/>
    <m/>
    <m/>
    <m/>
    <m/>
    <m/>
    <m/>
    <m/>
    <m/>
    <m/>
    <m/>
    <m/>
    <m/>
    <m/>
    <n v="0"/>
    <n v="0.75352775164628405"/>
    <n v="0"/>
    <n v="0.77098540145985406"/>
    <n v="93"/>
    <m/>
    <n v="13"/>
    <n v="432"/>
    <n v="13"/>
    <n v="418"/>
    <n v="51"/>
    <n v="162"/>
    <n v="51"/>
    <n v="175"/>
    <n v="42"/>
    <n v="103"/>
    <n v="42"/>
    <n v="146"/>
    <n v="11"/>
    <n v="88"/>
    <n v="11"/>
    <n v="85"/>
    <n v="26"/>
    <n v="29"/>
    <n v="26"/>
    <n v="34"/>
    <n v="23"/>
    <n v="26"/>
    <n v="52"/>
    <n v="33"/>
    <n v="30"/>
    <n v="22"/>
    <n v="30"/>
    <n v="21"/>
    <n v="50"/>
    <n v="21"/>
    <n v="50"/>
    <n v="18"/>
    <n v="9"/>
    <n v="14"/>
    <n v="23"/>
    <n v="17"/>
    <n v="52"/>
    <n v="11"/>
    <n v="45"/>
    <n v="14"/>
    <m/>
    <m/>
    <n v="33"/>
    <n v="28"/>
    <n v="941"/>
    <n v="10"/>
    <n v="989"/>
    <n v="10"/>
    <n v="51"/>
    <n v="8"/>
    <n v="13"/>
    <n v="3"/>
    <n v="11"/>
    <n v="5"/>
    <n v="11"/>
    <n v="2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3"/>
    <n v="0.5714285714285714"/>
    <n v="5"/>
    <n v="2"/>
    <n v="0.6"/>
    <n v="955"/>
    <n v="994"/>
    <m/>
    <m/>
    <m/>
    <m/>
    <m/>
    <m/>
    <m/>
    <m/>
    <m/>
    <m/>
    <m/>
    <m/>
    <m/>
    <m/>
    <m/>
    <m/>
    <m/>
    <m/>
    <m/>
    <n v="10"/>
    <n v="0"/>
    <n v="10"/>
    <n v="4252"/>
    <n v="4384"/>
  </r>
  <r>
    <x v="7"/>
    <s v="Bowie State University "/>
    <n v="162007"/>
    <x v="3"/>
    <m/>
    <m/>
    <m/>
    <m/>
    <m/>
    <m/>
    <n v="0"/>
    <n v="0"/>
    <n v="616"/>
    <n v="36"/>
    <m/>
    <m/>
    <n v="36"/>
    <n v="613"/>
    <n v="46"/>
    <m/>
    <m/>
    <n v="46"/>
    <m/>
    <m/>
    <m/>
    <m/>
    <m/>
    <m/>
    <m/>
    <m/>
    <m/>
    <m/>
    <m/>
    <m/>
    <m/>
    <m/>
    <m/>
    <m/>
    <m/>
    <m/>
    <m/>
    <m/>
    <n v="0"/>
    <n v="0.64300626304801667"/>
    <n v="0"/>
    <n v="0.65561497326203211"/>
    <m/>
    <m/>
    <n v="13"/>
    <n v="134"/>
    <n v="13"/>
    <n v="121"/>
    <n v="11"/>
    <n v="65"/>
    <n v="42"/>
    <n v="64"/>
    <n v="42"/>
    <n v="52"/>
    <n v="44"/>
    <n v="49"/>
    <n v="44"/>
    <n v="49"/>
    <n v="11"/>
    <n v="34"/>
    <n v="52"/>
    <n v="16"/>
    <n v="52"/>
    <n v="20"/>
    <n v="9"/>
    <n v="10"/>
    <n v="9"/>
    <n v="11"/>
    <n v="51"/>
    <n v="5"/>
    <n v="27"/>
    <n v="1"/>
    <n v="23"/>
    <n v="2"/>
    <m/>
    <m/>
    <m/>
    <m/>
    <m/>
    <m/>
    <m/>
    <m/>
    <m/>
    <m/>
    <m/>
    <m/>
    <m/>
    <m/>
    <n v="333"/>
    <n v="8"/>
    <n v="300"/>
    <n v="7"/>
    <n v="13"/>
    <n v="9"/>
    <n v="1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22"/>
    <n v="1"/>
    <n v="1"/>
    <n v="342"/>
    <n v="322"/>
    <m/>
    <m/>
    <m/>
    <m/>
    <m/>
    <m/>
    <m/>
    <m/>
    <m/>
    <m/>
    <m/>
    <m/>
    <m/>
    <m/>
    <m/>
    <m/>
    <m/>
    <m/>
    <m/>
    <m/>
    <n v="0"/>
    <n v="0"/>
    <n v="958"/>
    <n v="935"/>
  </r>
  <r>
    <x v="7"/>
    <s v="Coppin State University"/>
    <n v="162283"/>
    <x v="3"/>
    <m/>
    <m/>
    <m/>
    <m/>
    <m/>
    <m/>
    <n v="0"/>
    <n v="0"/>
    <n v="293"/>
    <n v="12"/>
    <m/>
    <m/>
    <n v="12"/>
    <n v="358"/>
    <n v="36"/>
    <m/>
    <m/>
    <n v="36"/>
    <m/>
    <m/>
    <m/>
    <m/>
    <m/>
    <m/>
    <m/>
    <m/>
    <m/>
    <m/>
    <m/>
    <m/>
    <m/>
    <m/>
    <m/>
    <m/>
    <m/>
    <m/>
    <m/>
    <m/>
    <n v="0"/>
    <n v="0.75128205128205128"/>
    <n v="0"/>
    <n v="0.80449438202247192"/>
    <m/>
    <m/>
    <n v="13"/>
    <n v="62"/>
    <n v="13"/>
    <n v="53"/>
    <n v="52"/>
    <n v="13"/>
    <n v="52"/>
    <n v="22"/>
    <n v="51"/>
    <n v="10"/>
    <n v="42"/>
    <n v="6"/>
    <n v="44"/>
    <n v="8"/>
    <n v="51"/>
    <n v="3"/>
    <n v="40"/>
    <n v="4"/>
    <n v="44"/>
    <n v="3"/>
    <m/>
    <m/>
    <m/>
    <m/>
    <m/>
    <m/>
    <m/>
    <m/>
    <m/>
    <m/>
    <m/>
    <m/>
    <m/>
    <m/>
    <m/>
    <m/>
    <m/>
    <m/>
    <m/>
    <m/>
    <m/>
    <m/>
    <m/>
    <m/>
    <n v="97"/>
    <n v="5"/>
    <n v="8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7"/>
    <n v="87"/>
    <m/>
    <m/>
    <m/>
    <m/>
    <m/>
    <m/>
    <m/>
    <m/>
    <m/>
    <m/>
    <m/>
    <m/>
    <m/>
    <m/>
    <m/>
    <m/>
    <m/>
    <m/>
    <m/>
    <m/>
    <n v="0"/>
    <n v="0"/>
    <n v="390"/>
    <n v="445"/>
  </r>
  <r>
    <x v="7"/>
    <s v="Frostburg State University "/>
    <n v="162584"/>
    <x v="3"/>
    <m/>
    <m/>
    <n v="39"/>
    <n v="29"/>
    <m/>
    <m/>
    <n v="0"/>
    <n v="0"/>
    <n v="790"/>
    <n v="127"/>
    <m/>
    <m/>
    <n v="127"/>
    <n v="752"/>
    <n v="112"/>
    <m/>
    <m/>
    <n v="112"/>
    <m/>
    <m/>
    <m/>
    <m/>
    <m/>
    <m/>
    <m/>
    <m/>
    <m/>
    <m/>
    <m/>
    <m/>
    <m/>
    <m/>
    <m/>
    <m/>
    <m/>
    <m/>
    <m/>
    <m/>
    <n v="0"/>
    <n v="0.73488372093023258"/>
    <n v="0"/>
    <n v="0.76190476190476186"/>
    <n v="5"/>
    <m/>
    <n v="13"/>
    <n v="178"/>
    <n v="13"/>
    <n v="144"/>
    <n v="52"/>
    <n v="35"/>
    <n v="52"/>
    <n v="42"/>
    <n v="42"/>
    <n v="14"/>
    <n v="42"/>
    <n v="10"/>
    <n v="1"/>
    <n v="7"/>
    <n v="1"/>
    <n v="6"/>
    <n v="44"/>
    <n v="6"/>
    <n v="11"/>
    <n v="2"/>
    <n v="30"/>
    <n v="1"/>
    <n v="44"/>
    <n v="1"/>
    <m/>
    <m/>
    <n v="30"/>
    <n v="1"/>
    <m/>
    <m/>
    <m/>
    <m/>
    <m/>
    <m/>
    <m/>
    <m/>
    <m/>
    <m/>
    <m/>
    <m/>
    <m/>
    <m/>
    <m/>
    <m/>
    <n v="241"/>
    <n v="6"/>
    <n v="20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1"/>
    <n v="206"/>
    <m/>
    <m/>
    <m/>
    <m/>
    <m/>
    <m/>
    <m/>
    <m/>
    <m/>
    <m/>
    <m/>
    <m/>
    <m/>
    <m/>
    <m/>
    <m/>
    <m/>
    <m/>
    <m/>
    <m/>
    <n v="0"/>
    <n v="0"/>
    <n v="1075"/>
    <n v="987"/>
  </r>
  <r>
    <x v="7"/>
    <s v="Salisbury University "/>
    <n v="163851"/>
    <x v="3"/>
    <m/>
    <m/>
    <m/>
    <m/>
    <m/>
    <m/>
    <n v="0"/>
    <n v="0"/>
    <n v="1553"/>
    <n v="240"/>
    <m/>
    <m/>
    <n v="240"/>
    <n v="1584"/>
    <n v="232"/>
    <m/>
    <m/>
    <n v="232"/>
    <m/>
    <m/>
    <m/>
    <m/>
    <m/>
    <m/>
    <m/>
    <m/>
    <m/>
    <m/>
    <m/>
    <m/>
    <m/>
    <m/>
    <m/>
    <m/>
    <m/>
    <m/>
    <m/>
    <m/>
    <n v="0"/>
    <n v="0.87492957746478872"/>
    <n v="0"/>
    <n v="0.8834355828220859"/>
    <m/>
    <m/>
    <n v="13"/>
    <n v="97"/>
    <n v="13"/>
    <n v="86"/>
    <n v="52"/>
    <n v="49"/>
    <n v="44"/>
    <n v="46"/>
    <n v="44"/>
    <n v="39"/>
    <n v="52"/>
    <n v="41"/>
    <n v="23"/>
    <n v="22"/>
    <n v="23"/>
    <n v="16"/>
    <n v="51"/>
    <n v="8"/>
    <n v="45"/>
    <n v="16"/>
    <n v="45"/>
    <n v="7"/>
    <n v="51"/>
    <n v="4"/>
    <m/>
    <m/>
    <m/>
    <m/>
    <m/>
    <m/>
    <m/>
    <m/>
    <m/>
    <m/>
    <m/>
    <m/>
    <m/>
    <m/>
    <m/>
    <m/>
    <m/>
    <m/>
    <m/>
    <m/>
    <n v="222"/>
    <n v="6"/>
    <n v="20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2"/>
    <n v="209"/>
    <m/>
    <m/>
    <m/>
    <m/>
    <m/>
    <m/>
    <m/>
    <m/>
    <m/>
    <m/>
    <m/>
    <m/>
    <m/>
    <m/>
    <m/>
    <m/>
    <m/>
    <m/>
    <m/>
    <m/>
    <n v="0"/>
    <n v="0"/>
    <n v="1775"/>
    <n v="1793"/>
  </r>
  <r>
    <x v="7"/>
    <s v="University of Baltimore"/>
    <n v="161873"/>
    <x v="3"/>
    <m/>
    <m/>
    <m/>
    <m/>
    <m/>
    <m/>
    <n v="0"/>
    <n v="0"/>
    <n v="517"/>
    <m/>
    <m/>
    <m/>
    <n v="0"/>
    <n v="528"/>
    <n v="0"/>
    <m/>
    <m/>
    <n v="0"/>
    <m/>
    <m/>
    <m/>
    <m/>
    <m/>
    <m/>
    <m/>
    <m/>
    <m/>
    <m/>
    <m/>
    <m/>
    <m/>
    <m/>
    <m/>
    <m/>
    <m/>
    <m/>
    <m/>
    <m/>
    <n v="0"/>
    <n v="0.41393114491593275"/>
    <n v="0"/>
    <n v="0.41739130434782606"/>
    <n v="12"/>
    <m/>
    <n v="52"/>
    <n v="216"/>
    <n v="52"/>
    <n v="212"/>
    <n v="44"/>
    <n v="64"/>
    <n v="44"/>
    <n v="77"/>
    <n v="50"/>
    <n v="51"/>
    <n v="50"/>
    <n v="56"/>
    <n v="22"/>
    <n v="43"/>
    <n v="22"/>
    <n v="36"/>
    <n v="42"/>
    <n v="31"/>
    <n v="42"/>
    <n v="27"/>
    <n v="30"/>
    <n v="19"/>
    <n v="30"/>
    <n v="16"/>
    <n v="11"/>
    <n v="2"/>
    <n v="11"/>
    <n v="5"/>
    <m/>
    <m/>
    <m/>
    <m/>
    <m/>
    <m/>
    <m/>
    <m/>
    <m/>
    <m/>
    <m/>
    <m/>
    <m/>
    <m/>
    <m/>
    <m/>
    <n v="426"/>
    <n v="7"/>
    <n v="429"/>
    <n v="7"/>
    <n v="44"/>
    <n v="1"/>
    <n v="44"/>
    <n v="2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0.5"/>
    <n v="2"/>
    <n v="1"/>
    <n v="1"/>
    <n v="428"/>
    <n v="431"/>
    <n v="292"/>
    <n v="306"/>
    <m/>
    <m/>
    <m/>
    <m/>
    <m/>
    <m/>
    <m/>
    <m/>
    <m/>
    <m/>
    <m/>
    <m/>
    <m/>
    <m/>
    <m/>
    <m/>
    <m/>
    <m/>
    <n v="292"/>
    <n v="306"/>
    <n v="1249"/>
    <n v="1265"/>
  </r>
  <r>
    <x v="7"/>
    <s v="University of Maryland Eastern Shore "/>
    <n v="163338"/>
    <x v="3"/>
    <m/>
    <m/>
    <m/>
    <n v="1"/>
    <m/>
    <m/>
    <n v="0"/>
    <n v="0"/>
    <n v="448"/>
    <n v="27"/>
    <m/>
    <m/>
    <n v="27"/>
    <n v="429"/>
    <n v="26"/>
    <m/>
    <m/>
    <n v="26"/>
    <m/>
    <m/>
    <m/>
    <m/>
    <m/>
    <m/>
    <m/>
    <m/>
    <m/>
    <m/>
    <m/>
    <m/>
    <m/>
    <m/>
    <m/>
    <m/>
    <m/>
    <m/>
    <m/>
    <m/>
    <n v="0"/>
    <n v="0.83738317757009351"/>
    <n v="0"/>
    <n v="0.8033707865168539"/>
    <m/>
    <m/>
    <n v="13"/>
    <n v="36"/>
    <n v="13"/>
    <n v="34"/>
    <n v="11"/>
    <n v="22"/>
    <n v="11"/>
    <n v="24"/>
    <n v="45"/>
    <n v="13"/>
    <n v="26"/>
    <n v="7"/>
    <n v="26"/>
    <n v="2"/>
    <n v="45"/>
    <n v="7"/>
    <n v="1"/>
    <n v="1"/>
    <n v="1"/>
    <n v="4"/>
    <m/>
    <m/>
    <m/>
    <m/>
    <m/>
    <m/>
    <m/>
    <m/>
    <m/>
    <m/>
    <m/>
    <m/>
    <m/>
    <m/>
    <m/>
    <m/>
    <m/>
    <m/>
    <m/>
    <m/>
    <m/>
    <m/>
    <m/>
    <m/>
    <n v="74"/>
    <n v="5"/>
    <n v="76"/>
    <n v="5"/>
    <n v="51"/>
    <n v="5"/>
    <n v="30"/>
    <n v="6"/>
    <n v="30"/>
    <n v="5"/>
    <n v="1"/>
    <n v="1"/>
    <n v="1"/>
    <n v="2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4"/>
    <n v="0.38461538461538464"/>
    <n v="7"/>
    <n v="2"/>
    <n v="0.8571428571428571"/>
    <n v="87"/>
    <n v="83"/>
    <m/>
    <m/>
    <m/>
    <m/>
    <m/>
    <m/>
    <m/>
    <m/>
    <m/>
    <m/>
    <m/>
    <m/>
    <m/>
    <m/>
    <m/>
    <m/>
    <m/>
    <m/>
    <m/>
    <n v="21"/>
    <n v="0"/>
    <n v="21"/>
    <n v="535"/>
    <n v="534"/>
  </r>
  <r>
    <x v="7"/>
    <s v="Saint Mary's College of Maryland"/>
    <n v="163912"/>
    <x v="5"/>
    <m/>
    <m/>
    <m/>
    <m/>
    <m/>
    <m/>
    <n v="0"/>
    <n v="0"/>
    <n v="426"/>
    <m/>
    <m/>
    <m/>
    <n v="0"/>
    <n v="488"/>
    <m/>
    <m/>
    <m/>
    <n v="0"/>
    <m/>
    <m/>
    <m/>
    <m/>
    <m/>
    <m/>
    <m/>
    <m/>
    <m/>
    <m/>
    <m/>
    <m/>
    <m/>
    <m/>
    <m/>
    <m/>
    <m/>
    <m/>
    <m/>
    <m/>
    <n v="0"/>
    <n v="0.94877505567928733"/>
    <n v="0"/>
    <n v="0.94573643410852715"/>
    <m/>
    <m/>
    <n v="13"/>
    <n v="23"/>
    <n v="13"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"/>
    <n v="2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"/>
    <n v="28"/>
    <m/>
    <m/>
    <m/>
    <m/>
    <m/>
    <m/>
    <m/>
    <m/>
    <m/>
    <m/>
    <m/>
    <m/>
    <m/>
    <m/>
    <m/>
    <m/>
    <m/>
    <m/>
    <m/>
    <m/>
    <n v="0"/>
    <n v="0"/>
    <n v="449"/>
    <n v="516"/>
  </r>
  <r>
    <x v="7"/>
    <s v="Anne Arundel Community College "/>
    <n v="161767"/>
    <x v="6"/>
    <n v="363"/>
    <n v="373"/>
    <m/>
    <m/>
    <n v="1247"/>
    <n v="1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10"/>
    <n v="1591"/>
  </r>
  <r>
    <x v="7"/>
    <s v="Community College of Baltimore County (all campuses)"/>
    <n v="434672"/>
    <x v="6"/>
    <n v="421"/>
    <n v="370"/>
    <m/>
    <m/>
    <n v="1654"/>
    <n v="15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75"/>
    <n v="1948"/>
  </r>
  <r>
    <x v="7"/>
    <s v="Montgomery College (all campuses)"/>
    <n v="163426"/>
    <x v="6"/>
    <n v="295"/>
    <n v="293"/>
    <m/>
    <m/>
    <n v="1733"/>
    <n v="17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28"/>
    <n v="2066"/>
  </r>
  <r>
    <x v="7"/>
    <s v="Prince George's Community College "/>
    <n v="163657"/>
    <x v="6"/>
    <n v="151"/>
    <n v="146"/>
    <m/>
    <m/>
    <n v="710"/>
    <n v="6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1"/>
    <n v="803"/>
  </r>
  <r>
    <x v="7"/>
    <s v="Allegany College of Maryland"/>
    <n v="161688"/>
    <x v="7"/>
    <n v="141"/>
    <n v="181"/>
    <m/>
    <m/>
    <n v="500"/>
    <n v="5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1"/>
    <n v="716"/>
  </r>
  <r>
    <x v="7"/>
    <s v="Baltimore City Community College"/>
    <n v="161864"/>
    <x v="7"/>
    <n v="99"/>
    <n v="65"/>
    <m/>
    <m/>
    <n v="419"/>
    <n v="4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8"/>
    <n v="509"/>
  </r>
  <r>
    <x v="7"/>
    <s v="College of Southern Maryland"/>
    <n v="162122"/>
    <x v="7"/>
    <n v="258"/>
    <n v="382"/>
    <m/>
    <m/>
    <n v="738"/>
    <n v="7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96"/>
    <n v="1165"/>
  </r>
  <r>
    <x v="7"/>
    <s v="Frederick Community College "/>
    <n v="162557"/>
    <x v="7"/>
    <n v="92"/>
    <n v="111"/>
    <m/>
    <m/>
    <n v="585"/>
    <n v="6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7"/>
    <n v="715"/>
  </r>
  <r>
    <x v="7"/>
    <s v="Hagerstown Community College "/>
    <n v="162690"/>
    <x v="7"/>
    <n v="244"/>
    <n v="248"/>
    <m/>
    <m/>
    <n v="361"/>
    <n v="3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5"/>
    <n v="606"/>
  </r>
  <r>
    <x v="7"/>
    <s v="Harford Community College "/>
    <n v="162706"/>
    <x v="7"/>
    <n v="27"/>
    <n v="34"/>
    <m/>
    <m/>
    <n v="590"/>
    <n v="6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7"/>
    <n v="664"/>
  </r>
  <r>
    <x v="7"/>
    <s v="Howard Community College "/>
    <n v="162779"/>
    <x v="7"/>
    <n v="49"/>
    <n v="61"/>
    <m/>
    <m/>
    <n v="635"/>
    <n v="6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4"/>
    <n v="668"/>
  </r>
  <r>
    <x v="7"/>
    <s v="Carroll Community College"/>
    <n v="405872"/>
    <x v="8"/>
    <n v="27"/>
    <n v="17"/>
    <m/>
    <m/>
    <n v="371"/>
    <n v="3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8"/>
    <n v="416"/>
  </r>
  <r>
    <x v="7"/>
    <s v="Cecil Community College "/>
    <n v="162104"/>
    <x v="8"/>
    <n v="54"/>
    <n v="54"/>
    <m/>
    <m/>
    <n v="175"/>
    <n v="1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9"/>
    <n v="237"/>
  </r>
  <r>
    <x v="7"/>
    <s v="Chesapeake College "/>
    <n v="162168"/>
    <x v="8"/>
    <n v="31"/>
    <n v="32"/>
    <m/>
    <m/>
    <n v="196"/>
    <n v="2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7"/>
    <n v="279"/>
  </r>
  <r>
    <x v="7"/>
    <s v="Garrett College "/>
    <n v="162609"/>
    <x v="8"/>
    <n v="63"/>
    <n v="49"/>
    <m/>
    <m/>
    <n v="94"/>
    <n v="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7"/>
    <n v="138"/>
  </r>
  <r>
    <x v="7"/>
    <s v="Wor-Wic Community College "/>
    <n v="164313"/>
    <x v="8"/>
    <n v="143"/>
    <n v="134"/>
    <m/>
    <m/>
    <n v="246"/>
    <n v="2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9"/>
    <n v="400"/>
  </r>
  <r>
    <x v="7"/>
    <s v="University of Maryland University College"/>
    <n v="163204"/>
    <x v="11"/>
    <m/>
    <m/>
    <n v="415"/>
    <n v="449"/>
    <n v="191"/>
    <n v="248"/>
    <n v="6.8385248836376658E-2"/>
    <n v="9.191994069681246E-2"/>
    <n v="2793"/>
    <m/>
    <m/>
    <m/>
    <n v="0"/>
    <n v="2698"/>
    <m/>
    <m/>
    <m/>
    <n v="0"/>
    <m/>
    <m/>
    <m/>
    <m/>
    <m/>
    <m/>
    <m/>
    <m/>
    <m/>
    <m/>
    <m/>
    <m/>
    <m/>
    <m/>
    <m/>
    <m/>
    <m/>
    <m/>
    <m/>
    <m/>
    <n v="0"/>
    <n v="0.47435461956521741"/>
    <n v="0"/>
    <n v="0.47184330185379503"/>
    <n v="386"/>
    <m/>
    <n v="52"/>
    <n v="1775"/>
    <n v="52"/>
    <n v="2003"/>
    <n v="11"/>
    <n v="205"/>
    <n v="11"/>
    <n v="206"/>
    <n v="26"/>
    <n v="57"/>
    <n v="26"/>
    <n v="52"/>
    <n v="13"/>
    <n v="52"/>
    <n v="13"/>
    <n v="32"/>
    <m/>
    <m/>
    <m/>
    <m/>
    <m/>
    <m/>
    <m/>
    <m/>
    <m/>
    <m/>
    <m/>
    <m/>
    <m/>
    <m/>
    <m/>
    <m/>
    <m/>
    <m/>
    <m/>
    <m/>
    <m/>
    <m/>
    <m/>
    <m/>
    <m/>
    <m/>
    <m/>
    <m/>
    <n v="2089"/>
    <n v="4"/>
    <n v="2293"/>
    <n v="4"/>
    <n v="5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0"/>
    <n v="0"/>
    <n v="0"/>
    <n v="2103"/>
    <n v="2293"/>
    <m/>
    <m/>
    <m/>
    <m/>
    <m/>
    <m/>
    <m/>
    <m/>
    <m/>
    <m/>
    <m/>
    <m/>
    <m/>
    <m/>
    <m/>
    <m/>
    <m/>
    <m/>
    <m/>
    <n v="30"/>
    <n v="0"/>
    <n v="30"/>
    <n v="5888"/>
    <n v="5718"/>
  </r>
  <r>
    <x v="7"/>
    <s v="University of Maryland, Baltimore"/>
    <n v="163259"/>
    <x v="11"/>
    <m/>
    <m/>
    <m/>
    <m/>
    <m/>
    <m/>
    <n v="0"/>
    <n v="0"/>
    <n v="350"/>
    <m/>
    <m/>
    <m/>
    <n v="0"/>
    <n v="349"/>
    <m/>
    <m/>
    <m/>
    <n v="0"/>
    <m/>
    <m/>
    <m/>
    <m/>
    <m/>
    <m/>
    <m/>
    <m/>
    <m/>
    <m/>
    <m/>
    <m/>
    <m/>
    <m/>
    <m/>
    <m/>
    <m/>
    <m/>
    <m/>
    <m/>
    <n v="0"/>
    <n v="0.18878101402373246"/>
    <n v="0"/>
    <n v="0.18885281385281386"/>
    <m/>
    <m/>
    <n v="44"/>
    <n v="411"/>
    <n v="44"/>
    <n v="366"/>
    <n v="51"/>
    <n v="256"/>
    <n v="51"/>
    <n v="295"/>
    <n v="26"/>
    <n v="34"/>
    <n v="26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31"/>
    <n v="729"/>
    <n v="3"/>
    <n v="724"/>
    <n v="3"/>
    <n v="51"/>
    <n v="95"/>
    <n v="51"/>
    <n v="45"/>
    <n v="26"/>
    <n v="38"/>
    <n v="26"/>
    <n v="32"/>
    <n v="44"/>
    <n v="12"/>
    <n v="44"/>
    <n v="9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147"/>
    <n v="4"/>
    <n v="0.6462585034013606"/>
    <n v="86"/>
    <n v="3"/>
    <n v="0.52325581395348841"/>
    <n v="876"/>
    <n v="810"/>
    <n v="268"/>
    <n v="242"/>
    <n v="146"/>
    <n v="140"/>
    <n v="100"/>
    <n v="115"/>
    <n v="114"/>
    <n v="121"/>
    <m/>
    <m/>
    <m/>
    <m/>
    <m/>
    <m/>
    <m/>
    <m/>
    <m/>
    <m/>
    <m/>
    <n v="71"/>
    <n v="628"/>
    <n v="689"/>
    <n v="1854"/>
    <n v="1848"/>
  </r>
  <r>
    <x v="8"/>
    <s v="Mississippi State University"/>
    <n v="176080"/>
    <x v="0"/>
    <m/>
    <m/>
    <m/>
    <m/>
    <m/>
    <m/>
    <n v="0"/>
    <n v="0"/>
    <n v="2554"/>
    <n v="517"/>
    <m/>
    <m/>
    <n v="517"/>
    <n v="2656"/>
    <n v="524"/>
    <m/>
    <m/>
    <n v="524"/>
    <m/>
    <m/>
    <m/>
    <m/>
    <m/>
    <m/>
    <m/>
    <m/>
    <m/>
    <m/>
    <m/>
    <m/>
    <m/>
    <m/>
    <m/>
    <m/>
    <m/>
    <m/>
    <m/>
    <m/>
    <n v="0"/>
    <n v="0.71761730823264958"/>
    <n v="0"/>
    <n v="0.71244635193133043"/>
    <m/>
    <m/>
    <n v="13"/>
    <n v="212"/>
    <n v="13"/>
    <n v="255"/>
    <n v="52"/>
    <n v="181"/>
    <n v="52"/>
    <n v="188"/>
    <n v="40"/>
    <n v="161"/>
    <n v="40"/>
    <n v="116"/>
    <n v="14"/>
    <n v="69"/>
    <n v="14"/>
    <n v="89"/>
    <n v="1"/>
    <n v="25"/>
    <n v="44"/>
    <n v="28"/>
    <n v="44"/>
    <n v="22"/>
    <n v="19"/>
    <n v="27"/>
    <n v="3"/>
    <n v="21"/>
    <n v="1"/>
    <n v="23"/>
    <n v="19"/>
    <n v="18"/>
    <n v="42"/>
    <n v="23"/>
    <n v="42"/>
    <n v="18"/>
    <n v="3"/>
    <n v="22"/>
    <n v="27"/>
    <n v="13"/>
    <n v="23"/>
    <n v="19"/>
    <m/>
    <m/>
    <n v="83"/>
    <n v="92"/>
    <n v="823"/>
    <n v="10"/>
    <n v="882"/>
    <n v="10"/>
    <n v="13"/>
    <n v="42"/>
    <n v="13"/>
    <n v="48"/>
    <n v="14"/>
    <n v="25"/>
    <n v="14"/>
    <n v="17"/>
    <n v="26"/>
    <n v="9"/>
    <n v="1"/>
    <n v="8"/>
    <n v="52"/>
    <n v="8"/>
    <n v="42"/>
    <n v="8"/>
    <n v="1"/>
    <n v="5"/>
    <n v="52"/>
    <n v="7"/>
    <n v="44"/>
    <n v="5"/>
    <n v="19"/>
    <n v="6"/>
    <n v="3"/>
    <n v="5"/>
    <n v="26"/>
    <n v="5"/>
    <n v="42"/>
    <n v="4"/>
    <n v="3"/>
    <n v="4"/>
    <n v="51"/>
    <n v="4"/>
    <n v="11"/>
    <n v="4"/>
    <n v="45"/>
    <n v="3"/>
    <n v="40"/>
    <n v="4"/>
    <n v="7"/>
    <n v="12"/>
    <n v="117"/>
    <n v="10"/>
    <n v="0.35897435897435898"/>
    <n v="123"/>
    <n v="10"/>
    <n v="0.3902439024390244"/>
    <n v="940"/>
    <n v="1005"/>
    <m/>
    <m/>
    <m/>
    <m/>
    <m/>
    <m/>
    <m/>
    <m/>
    <m/>
    <m/>
    <m/>
    <m/>
    <m/>
    <m/>
    <n v="65"/>
    <n v="67"/>
    <m/>
    <m/>
    <m/>
    <m/>
    <n v="65"/>
    <n v="67"/>
    <n v="3559"/>
    <n v="3728"/>
  </r>
  <r>
    <x v="8"/>
    <s v="University of Southern Mississippi"/>
    <n v="176372"/>
    <x v="0"/>
    <m/>
    <m/>
    <m/>
    <m/>
    <m/>
    <m/>
    <n v="0"/>
    <n v="0"/>
    <n v="2262"/>
    <n v="217"/>
    <m/>
    <m/>
    <n v="217"/>
    <n v="2375"/>
    <n v="246"/>
    <m/>
    <m/>
    <n v="246"/>
    <m/>
    <m/>
    <m/>
    <m/>
    <m/>
    <m/>
    <m/>
    <m/>
    <m/>
    <m/>
    <m/>
    <m/>
    <m/>
    <m/>
    <m/>
    <m/>
    <m/>
    <m/>
    <m/>
    <m/>
    <n v="0"/>
    <n v="0.72920696324951639"/>
    <n v="0"/>
    <n v="0.7334774552192711"/>
    <m/>
    <m/>
    <n v="13"/>
    <n v="212"/>
    <n v="13"/>
    <n v="234"/>
    <n v="51"/>
    <n v="100"/>
    <n v="51"/>
    <n v="97"/>
    <n v="52"/>
    <n v="61"/>
    <n v="52"/>
    <n v="63"/>
    <n v="25"/>
    <n v="54"/>
    <n v="25"/>
    <n v="60"/>
    <n v="44"/>
    <n v="48"/>
    <n v="44"/>
    <n v="48"/>
    <n v="31"/>
    <n v="29"/>
    <n v="31"/>
    <n v="33"/>
    <n v="42"/>
    <n v="28"/>
    <n v="9"/>
    <n v="28"/>
    <n v="15"/>
    <n v="21"/>
    <n v="42"/>
    <n v="23"/>
    <n v="9"/>
    <n v="20"/>
    <n v="15"/>
    <n v="22"/>
    <n v="11"/>
    <n v="20"/>
    <n v="45"/>
    <n v="20"/>
    <m/>
    <m/>
    <n v="112"/>
    <n v="116"/>
    <n v="705"/>
    <n v="10"/>
    <n v="744"/>
    <n v="10"/>
    <n v="13"/>
    <n v="47"/>
    <n v="13"/>
    <n v="48"/>
    <n v="42"/>
    <n v="15"/>
    <n v="42"/>
    <n v="13"/>
    <n v="9"/>
    <n v="11"/>
    <n v="23"/>
    <n v="11"/>
    <n v="26"/>
    <n v="11"/>
    <n v="14"/>
    <n v="9"/>
    <n v="23"/>
    <n v="9"/>
    <n v="9"/>
    <n v="8"/>
    <n v="50"/>
    <n v="9"/>
    <n v="26"/>
    <n v="8"/>
    <n v="14"/>
    <n v="7"/>
    <n v="50"/>
    <n v="8"/>
    <n v="40"/>
    <n v="6"/>
    <n v="40"/>
    <n v="7"/>
    <n v="45"/>
    <n v="6"/>
    <n v="51"/>
    <n v="5"/>
    <n v="11"/>
    <n v="5"/>
    <n v="45"/>
    <n v="1"/>
    <n v="9"/>
    <n v="1"/>
    <n v="135"/>
    <n v="10"/>
    <n v="0.34814814814814815"/>
    <n v="119"/>
    <n v="10"/>
    <n v="0.40336134453781514"/>
    <n v="840"/>
    <n v="863"/>
    <m/>
    <m/>
    <m/>
    <m/>
    <m/>
    <m/>
    <m/>
    <m/>
    <m/>
    <m/>
    <m/>
    <m/>
    <m/>
    <m/>
    <m/>
    <m/>
    <m/>
    <m/>
    <m/>
    <m/>
    <n v="0"/>
    <n v="0"/>
    <n v="3102"/>
    <n v="3238"/>
  </r>
  <r>
    <x v="8"/>
    <s v="Jackson State University "/>
    <n v="175856"/>
    <x v="1"/>
    <m/>
    <m/>
    <m/>
    <m/>
    <m/>
    <m/>
    <n v="0"/>
    <n v="0"/>
    <n v="915"/>
    <n v="152"/>
    <m/>
    <m/>
    <n v="152"/>
    <n v="905"/>
    <n v="130"/>
    <m/>
    <m/>
    <n v="130"/>
    <m/>
    <m/>
    <m/>
    <m/>
    <m/>
    <m/>
    <m/>
    <m/>
    <m/>
    <m/>
    <m/>
    <m/>
    <m/>
    <m/>
    <m/>
    <m/>
    <m/>
    <m/>
    <m/>
    <m/>
    <n v="0"/>
    <n v="0.67328918322295805"/>
    <n v="0"/>
    <n v="0.6654411764705882"/>
    <m/>
    <m/>
    <n v="13"/>
    <n v="164"/>
    <n v="13"/>
    <n v="178"/>
    <n v="51"/>
    <n v="63"/>
    <n v="51"/>
    <n v="63"/>
    <n v="44"/>
    <n v="41"/>
    <n v="44"/>
    <n v="30"/>
    <n v="52"/>
    <n v="33"/>
    <n v="52"/>
    <n v="30"/>
    <n v="11"/>
    <n v="19"/>
    <n v="45"/>
    <n v="30"/>
    <n v="45"/>
    <n v="13"/>
    <n v="11"/>
    <n v="13"/>
    <n v="9"/>
    <n v="9"/>
    <n v="26"/>
    <n v="8"/>
    <n v="15"/>
    <n v="9"/>
    <n v="14"/>
    <n v="7"/>
    <n v="26"/>
    <n v="9"/>
    <n v="40"/>
    <n v="6"/>
    <n v="14"/>
    <n v="6"/>
    <n v="4"/>
    <n v="5"/>
    <m/>
    <m/>
    <n v="26"/>
    <n v="18"/>
    <n v="392"/>
    <n v="10"/>
    <n v="388"/>
    <n v="10"/>
    <n v="13"/>
    <n v="33"/>
    <n v="13"/>
    <n v="37"/>
    <n v="44"/>
    <n v="8"/>
    <n v="40"/>
    <n v="9"/>
    <n v="3"/>
    <n v="3"/>
    <n v="44"/>
    <n v="6"/>
    <n v="40"/>
    <n v="3"/>
    <n v="52"/>
    <n v="6"/>
    <n v="42"/>
    <n v="2"/>
    <n v="42"/>
    <n v="4"/>
    <n v="52"/>
    <n v="2"/>
    <n v="3"/>
    <n v="3"/>
    <n v="4"/>
    <n v="1"/>
    <n v="4"/>
    <n v="1"/>
    <m/>
    <m/>
    <n v="51"/>
    <n v="1"/>
    <m/>
    <m/>
    <m/>
    <m/>
    <m/>
    <m/>
    <m/>
    <m/>
    <m/>
    <m/>
    <n v="52"/>
    <n v="7"/>
    <n v="0.63461538461538458"/>
    <n v="67"/>
    <n v="8"/>
    <n v="0.55223880597014929"/>
    <n v="444"/>
    <n v="455"/>
    <m/>
    <m/>
    <m/>
    <m/>
    <m/>
    <m/>
    <m/>
    <m/>
    <m/>
    <m/>
    <m/>
    <m/>
    <m/>
    <m/>
    <m/>
    <m/>
    <m/>
    <m/>
    <m/>
    <m/>
    <n v="0"/>
    <n v="0"/>
    <n v="1359"/>
    <n v="1360"/>
  </r>
  <r>
    <x v="8"/>
    <s v="University of Mississippi"/>
    <n v="176017"/>
    <x v="1"/>
    <m/>
    <m/>
    <m/>
    <m/>
    <m/>
    <m/>
    <n v="0"/>
    <n v="0"/>
    <n v="2450"/>
    <n v="218"/>
    <m/>
    <m/>
    <n v="218"/>
    <n v="2506"/>
    <n v="307"/>
    <m/>
    <m/>
    <n v="307"/>
    <m/>
    <m/>
    <m/>
    <m/>
    <m/>
    <m/>
    <m/>
    <m/>
    <m/>
    <m/>
    <m/>
    <m/>
    <m/>
    <m/>
    <m/>
    <m/>
    <m/>
    <m/>
    <m/>
    <m/>
    <n v="0"/>
    <n v="0.72938374516225069"/>
    <n v="0"/>
    <n v="0.75527426160337552"/>
    <m/>
    <m/>
    <n v="13"/>
    <n v="271"/>
    <n v="13"/>
    <n v="202"/>
    <n v="52"/>
    <n v="104"/>
    <n v="52"/>
    <n v="114"/>
    <n v="14"/>
    <n v="46"/>
    <n v="14"/>
    <n v="36"/>
    <n v="51"/>
    <n v="25"/>
    <n v="50"/>
    <n v="27"/>
    <n v="9"/>
    <n v="18"/>
    <n v="51"/>
    <n v="23"/>
    <n v="31"/>
    <n v="17"/>
    <n v="16"/>
    <n v="13"/>
    <n v="45"/>
    <n v="16"/>
    <n v="45"/>
    <n v="12"/>
    <n v="23"/>
    <n v="15"/>
    <n v="23"/>
    <n v="7"/>
    <n v="50"/>
    <n v="14"/>
    <n v="5"/>
    <n v="6"/>
    <n v="5"/>
    <n v="11"/>
    <n v="9"/>
    <n v="6"/>
    <m/>
    <m/>
    <n v="40"/>
    <n v="29"/>
    <n v="577"/>
    <n v="10"/>
    <n v="475"/>
    <n v="10"/>
    <n v="13"/>
    <n v="20"/>
    <n v="13"/>
    <n v="21"/>
    <n v="52"/>
    <n v="14"/>
    <n v="14"/>
    <n v="14"/>
    <n v="51"/>
    <n v="13"/>
    <n v="23"/>
    <n v="13"/>
    <n v="14"/>
    <n v="9"/>
    <n v="51"/>
    <n v="12"/>
    <n v="42"/>
    <n v="7"/>
    <n v="27"/>
    <n v="6"/>
    <n v="23"/>
    <n v="6"/>
    <n v="52"/>
    <n v="6"/>
    <n v="40"/>
    <n v="5"/>
    <n v="42"/>
    <n v="6"/>
    <n v="50"/>
    <n v="4"/>
    <n v="54"/>
    <n v="5"/>
    <n v="45"/>
    <n v="3"/>
    <n v="40"/>
    <n v="4"/>
    <n v="54"/>
    <n v="3"/>
    <n v="45"/>
    <n v="4"/>
    <n v="3"/>
    <n v="8"/>
    <n v="87"/>
    <n v="10"/>
    <n v="0.22988505747126436"/>
    <n v="99"/>
    <n v="10"/>
    <n v="0.21212121212121213"/>
    <n v="664"/>
    <n v="574"/>
    <n v="175"/>
    <n v="163"/>
    <m/>
    <m/>
    <m/>
    <m/>
    <n v="70"/>
    <n v="75"/>
    <m/>
    <m/>
    <m/>
    <m/>
    <m/>
    <m/>
    <m/>
    <m/>
    <m/>
    <m/>
    <m/>
    <m/>
    <n v="245"/>
    <n v="238"/>
    <n v="3359"/>
    <n v="3318"/>
  </r>
  <r>
    <x v="8"/>
    <s v="Alcorn State University"/>
    <n v="175342"/>
    <x v="3"/>
    <m/>
    <m/>
    <m/>
    <m/>
    <n v="40"/>
    <n v="27"/>
    <n v="9.0090090090090086E-2"/>
    <n v="6.1503416856492028E-2"/>
    <n v="444"/>
    <n v="36"/>
    <m/>
    <m/>
    <n v="36"/>
    <n v="439"/>
    <n v="20"/>
    <m/>
    <m/>
    <n v="20"/>
    <m/>
    <m/>
    <m/>
    <m/>
    <m/>
    <m/>
    <m/>
    <m/>
    <m/>
    <m/>
    <m/>
    <m/>
    <m/>
    <m/>
    <m/>
    <m/>
    <m/>
    <m/>
    <m/>
    <m/>
    <n v="0"/>
    <n v="0.70813397129186606"/>
    <n v="0"/>
    <n v="0.69793322734499208"/>
    <m/>
    <m/>
    <n v="13"/>
    <n v="105"/>
    <n v="13"/>
    <n v="130"/>
    <n v="51"/>
    <n v="17"/>
    <n v="26"/>
    <n v="11"/>
    <n v="52"/>
    <n v="12"/>
    <n v="51"/>
    <n v="10"/>
    <n v="26"/>
    <n v="7"/>
    <n v="52"/>
    <n v="10"/>
    <n v="1"/>
    <n v="1"/>
    <n v="1"/>
    <n v="2"/>
    <n v="11"/>
    <n v="1"/>
    <m/>
    <m/>
    <m/>
    <m/>
    <m/>
    <m/>
    <m/>
    <m/>
    <m/>
    <m/>
    <m/>
    <m/>
    <m/>
    <m/>
    <m/>
    <m/>
    <m/>
    <m/>
    <m/>
    <m/>
    <m/>
    <m/>
    <n v="143"/>
    <n v="6"/>
    <n v="16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3"/>
    <n v="163"/>
    <m/>
    <m/>
    <m/>
    <m/>
    <m/>
    <m/>
    <m/>
    <m/>
    <m/>
    <m/>
    <m/>
    <m/>
    <m/>
    <m/>
    <m/>
    <m/>
    <m/>
    <m/>
    <m/>
    <m/>
    <n v="0"/>
    <n v="0"/>
    <n v="627"/>
    <n v="629"/>
  </r>
  <r>
    <x v="8"/>
    <s v="Delta State University"/>
    <n v="175616"/>
    <x v="3"/>
    <m/>
    <m/>
    <m/>
    <m/>
    <m/>
    <m/>
    <n v="0"/>
    <n v="0"/>
    <n v="634"/>
    <n v="114"/>
    <m/>
    <m/>
    <n v="114"/>
    <n v="598"/>
    <n v="105"/>
    <m/>
    <m/>
    <n v="105"/>
    <m/>
    <m/>
    <m/>
    <m/>
    <m/>
    <m/>
    <m/>
    <m/>
    <m/>
    <m/>
    <m/>
    <m/>
    <m/>
    <m/>
    <m/>
    <m/>
    <m/>
    <m/>
    <m/>
    <m/>
    <n v="0"/>
    <n v="0.74588235294117644"/>
    <n v="0"/>
    <n v="0.67570621468926551"/>
    <m/>
    <m/>
    <n v="13"/>
    <n v="118"/>
    <n v="13"/>
    <n v="150"/>
    <n v="52"/>
    <n v="33"/>
    <n v="52"/>
    <n v="72"/>
    <n v="51"/>
    <n v="29"/>
    <n v="51"/>
    <n v="33"/>
    <n v="49"/>
    <n v="11"/>
    <n v="49"/>
    <n v="15"/>
    <n v="43"/>
    <n v="9"/>
    <n v="44"/>
    <n v="8"/>
    <n v="44"/>
    <n v="9"/>
    <n v="30"/>
    <n v="2"/>
    <n v="30"/>
    <n v="2"/>
    <n v="43"/>
    <n v="2"/>
    <m/>
    <m/>
    <m/>
    <m/>
    <m/>
    <m/>
    <m/>
    <m/>
    <m/>
    <m/>
    <m/>
    <m/>
    <m/>
    <m/>
    <m/>
    <m/>
    <n v="211"/>
    <n v="7"/>
    <n v="282"/>
    <n v="7"/>
    <n v="13"/>
    <n v="5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5"/>
    <n v="1"/>
    <n v="1"/>
    <n v="216"/>
    <n v="287"/>
    <m/>
    <m/>
    <m/>
    <m/>
    <m/>
    <m/>
    <m/>
    <m/>
    <m/>
    <m/>
    <m/>
    <m/>
    <m/>
    <m/>
    <m/>
    <m/>
    <m/>
    <m/>
    <m/>
    <m/>
    <n v="0"/>
    <n v="0"/>
    <n v="850"/>
    <n v="885"/>
  </r>
  <r>
    <x v="8"/>
    <s v="Mississippi Valley State University"/>
    <n v="176044"/>
    <x v="3"/>
    <m/>
    <m/>
    <m/>
    <m/>
    <m/>
    <m/>
    <n v="0"/>
    <n v="0"/>
    <n v="375"/>
    <n v="107"/>
    <m/>
    <m/>
    <n v="107"/>
    <n v="308"/>
    <n v="89"/>
    <m/>
    <m/>
    <n v="89"/>
    <m/>
    <m/>
    <m/>
    <m/>
    <m/>
    <m/>
    <m/>
    <m/>
    <m/>
    <m/>
    <m/>
    <m/>
    <m/>
    <m/>
    <m/>
    <m/>
    <m/>
    <m/>
    <m/>
    <m/>
    <n v="0"/>
    <n v="0.74404761904761907"/>
    <n v="0"/>
    <n v="0.71794871794871795"/>
    <m/>
    <m/>
    <n v="13"/>
    <n v="53"/>
    <n v="43"/>
    <n v="63"/>
    <n v="43"/>
    <n v="50"/>
    <n v="13"/>
    <n v="24"/>
    <n v="44"/>
    <n v="18"/>
    <n v="44"/>
    <n v="19"/>
    <n v="51"/>
    <n v="5"/>
    <n v="26"/>
    <n v="6"/>
    <n v="26"/>
    <n v="3"/>
    <n v="52"/>
    <n v="5"/>
    <m/>
    <m/>
    <n v="51"/>
    <n v="4"/>
    <m/>
    <m/>
    <m/>
    <m/>
    <m/>
    <m/>
    <m/>
    <m/>
    <m/>
    <m/>
    <m/>
    <m/>
    <m/>
    <m/>
    <m/>
    <m/>
    <m/>
    <m/>
    <m/>
    <m/>
    <n v="129"/>
    <n v="5"/>
    <n v="12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9"/>
    <n v="121"/>
    <m/>
    <m/>
    <m/>
    <m/>
    <m/>
    <m/>
    <m/>
    <m/>
    <m/>
    <m/>
    <m/>
    <m/>
    <m/>
    <m/>
    <m/>
    <m/>
    <m/>
    <m/>
    <m/>
    <m/>
    <n v="0"/>
    <n v="0"/>
    <n v="504"/>
    <n v="429"/>
  </r>
  <r>
    <x v="8"/>
    <s v="Mississippi University for Women"/>
    <n v="176035"/>
    <x v="4"/>
    <m/>
    <m/>
    <m/>
    <m/>
    <n v="40"/>
    <n v="33"/>
    <n v="0.11235955056179775"/>
    <n v="8.1280788177339899E-2"/>
    <n v="356"/>
    <n v="48"/>
    <m/>
    <m/>
    <n v="48"/>
    <n v="406"/>
    <n v="65"/>
    <m/>
    <m/>
    <n v="65"/>
    <m/>
    <m/>
    <m/>
    <m/>
    <m/>
    <m/>
    <m/>
    <m/>
    <m/>
    <m/>
    <m/>
    <m/>
    <m/>
    <m/>
    <m/>
    <m/>
    <m/>
    <m/>
    <m/>
    <m/>
    <n v="0"/>
    <n v="0.75906183368869939"/>
    <n v="0"/>
    <n v="0.79921259842519687"/>
    <m/>
    <m/>
    <n v="13"/>
    <n v="37"/>
    <n v="51"/>
    <n v="43"/>
    <n v="51"/>
    <n v="36"/>
    <n v="13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  <n v="2"/>
    <n v="6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3"/>
    <n v="69"/>
    <m/>
    <m/>
    <m/>
    <m/>
    <m/>
    <m/>
    <m/>
    <m/>
    <m/>
    <m/>
    <m/>
    <m/>
    <m/>
    <m/>
    <m/>
    <m/>
    <m/>
    <m/>
    <m/>
    <m/>
    <n v="0"/>
    <n v="0"/>
    <n v="469"/>
    <n v="508"/>
  </r>
  <r>
    <x v="8"/>
    <s v="University of Mississippi Medical Center"/>
    <n v="176026"/>
    <x v="11"/>
    <n v="21"/>
    <n v="12"/>
    <n v="26"/>
    <n v="28"/>
    <m/>
    <m/>
    <n v="0"/>
    <n v="0"/>
    <n v="201"/>
    <m/>
    <m/>
    <m/>
    <n v="0"/>
    <n v="211"/>
    <m/>
    <m/>
    <m/>
    <n v="0"/>
    <m/>
    <m/>
    <m/>
    <m/>
    <m/>
    <m/>
    <m/>
    <m/>
    <m/>
    <m/>
    <m/>
    <m/>
    <m/>
    <m/>
    <m/>
    <m/>
    <m/>
    <m/>
    <m/>
    <m/>
    <n v="0"/>
    <n v="0.37430167597765363"/>
    <n v="0"/>
    <n v="0.37678571428571428"/>
    <m/>
    <m/>
    <n v="51"/>
    <n v="66"/>
    <n v="51"/>
    <n v="69"/>
    <n v="26"/>
    <n v="21"/>
    <n v="26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2"/>
    <n v="98"/>
    <n v="2"/>
    <n v="51"/>
    <n v="61"/>
    <n v="51"/>
    <n v="69"/>
    <n v="26"/>
    <n v="14"/>
    <n v="26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2"/>
    <n v="0.81333333333333335"/>
    <n v="86"/>
    <n v="2"/>
    <n v="0.80232558139534882"/>
    <n v="162"/>
    <n v="184"/>
    <m/>
    <m/>
    <n v="98"/>
    <n v="94"/>
    <n v="29"/>
    <n v="31"/>
    <m/>
    <m/>
    <m/>
    <m/>
    <m/>
    <m/>
    <m/>
    <m/>
    <m/>
    <m/>
    <m/>
    <m/>
    <m/>
    <m/>
    <n v="127"/>
    <n v="125"/>
    <n v="537"/>
    <n v="560"/>
  </r>
  <r>
    <x v="8"/>
    <s v="Hinds Community College "/>
    <n v="175786"/>
    <x v="6"/>
    <n v="388"/>
    <n v="416"/>
    <m/>
    <m/>
    <n v="1155"/>
    <n v="11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43"/>
    <n v="1528"/>
  </r>
  <r>
    <x v="8"/>
    <s v="Mississippi Gulf Coast Community College "/>
    <n v="176071"/>
    <x v="6"/>
    <n v="241"/>
    <n v="298"/>
    <m/>
    <m/>
    <n v="1227"/>
    <n v="12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68"/>
    <n v="1565"/>
  </r>
  <r>
    <x v="8"/>
    <s v="Northwest Mississippi Community College "/>
    <n v="176178"/>
    <x v="6"/>
    <n v="174"/>
    <n v="178"/>
    <m/>
    <m/>
    <n v="656"/>
    <n v="7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0"/>
    <n v="894"/>
  </r>
  <r>
    <x v="8"/>
    <s v="Copiah-Lincoln Community College "/>
    <n v="175573"/>
    <x v="7"/>
    <n v="127"/>
    <n v="136"/>
    <m/>
    <m/>
    <n v="503"/>
    <n v="4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0"/>
    <n v="634"/>
  </r>
  <r>
    <x v="8"/>
    <s v="East Central Community College "/>
    <n v="175643"/>
    <x v="7"/>
    <n v="108"/>
    <n v="86"/>
    <m/>
    <m/>
    <n v="372"/>
    <n v="3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0"/>
    <n v="436"/>
  </r>
  <r>
    <x v="8"/>
    <s v="East Mississippi Community College "/>
    <n v="175652"/>
    <x v="7"/>
    <n v="141"/>
    <n v="179"/>
    <m/>
    <m/>
    <n v="448"/>
    <n v="3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9"/>
    <n v="572"/>
  </r>
  <r>
    <x v="8"/>
    <s v="Holmes Community College "/>
    <n v="175810"/>
    <x v="7"/>
    <n v="107"/>
    <n v="167"/>
    <m/>
    <m/>
    <n v="497"/>
    <n v="5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4"/>
    <n v="766"/>
  </r>
  <r>
    <x v="8"/>
    <s v="Itawamba Community College "/>
    <n v="175829"/>
    <x v="7"/>
    <n v="67"/>
    <n v="117"/>
    <m/>
    <m/>
    <n v="527"/>
    <n v="7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4"/>
    <n v="877"/>
  </r>
  <r>
    <x v="8"/>
    <s v="Jones County Junior College "/>
    <n v="175883"/>
    <x v="7"/>
    <n v="197"/>
    <n v="191"/>
    <m/>
    <m/>
    <n v="600"/>
    <n v="5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7"/>
    <n v="698"/>
  </r>
  <r>
    <x v="8"/>
    <s v="Meridian Community College "/>
    <n v="175935"/>
    <x v="7"/>
    <n v="171"/>
    <n v="158"/>
    <m/>
    <m/>
    <n v="439"/>
    <n v="4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0"/>
    <n v="600"/>
  </r>
  <r>
    <x v="8"/>
    <s v="Mississippi Delta Community College "/>
    <n v="176008"/>
    <x v="7"/>
    <n v="57"/>
    <n v="88"/>
    <m/>
    <m/>
    <n v="327"/>
    <n v="3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4"/>
    <n v="397"/>
  </r>
  <r>
    <x v="8"/>
    <s v="Northeast Mississippi Community College "/>
    <n v="176169"/>
    <x v="7"/>
    <n v="94"/>
    <n v="82"/>
    <m/>
    <m/>
    <n v="399"/>
    <n v="4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3"/>
    <n v="531"/>
  </r>
  <r>
    <x v="8"/>
    <s v="Pearl River Community College "/>
    <n v="176239"/>
    <x v="7"/>
    <n v="125"/>
    <n v="139"/>
    <m/>
    <m/>
    <n v="439"/>
    <n v="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4"/>
    <n v="628"/>
  </r>
  <r>
    <x v="8"/>
    <s v="Coahoma Community College "/>
    <n v="175519"/>
    <x v="8"/>
    <n v="45"/>
    <n v="92"/>
    <m/>
    <m/>
    <n v="203"/>
    <n v="2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8"/>
    <n v="297"/>
  </r>
  <r>
    <x v="8"/>
    <s v="Southwest Mississippi Community College"/>
    <n v="176354"/>
    <x v="8"/>
    <n v="116"/>
    <n v="118"/>
    <m/>
    <m/>
    <n v="219"/>
    <n v="2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5"/>
    <n v="376"/>
  </r>
  <r>
    <x v="9"/>
    <s v="North Carolina State University "/>
    <n v="199193"/>
    <x v="0"/>
    <m/>
    <m/>
    <m/>
    <m/>
    <n v="132"/>
    <n v="182"/>
    <n v="2.9106945975744213E-2"/>
    <n v="3.9368375513735669E-2"/>
    <n v="4535"/>
    <m/>
    <n v="185"/>
    <m/>
    <n v="185"/>
    <n v="4623"/>
    <m/>
    <n v="235"/>
    <m/>
    <n v="235"/>
    <m/>
    <m/>
    <m/>
    <m/>
    <m/>
    <m/>
    <m/>
    <m/>
    <m/>
    <m/>
    <m/>
    <m/>
    <m/>
    <m/>
    <m/>
    <m/>
    <m/>
    <m/>
    <m/>
    <m/>
    <n v="0"/>
    <n v="0.68962895377128952"/>
    <n v="0"/>
    <n v="0.66052293184740674"/>
    <m/>
    <m/>
    <n v="14"/>
    <n v="398"/>
    <n v="14"/>
    <n v="404"/>
    <n v="13"/>
    <n v="245"/>
    <n v="13"/>
    <n v="224"/>
    <n v="52"/>
    <n v="212"/>
    <n v="52"/>
    <n v="219"/>
    <n v="11"/>
    <n v="132"/>
    <n v="11"/>
    <n v="204"/>
    <n v="23"/>
    <n v="67"/>
    <n v="45"/>
    <n v="95"/>
    <n v="45"/>
    <n v="64"/>
    <n v="23"/>
    <n v="66"/>
    <n v="26"/>
    <n v="53"/>
    <n v="26"/>
    <n v="53"/>
    <n v="1"/>
    <n v="44"/>
    <n v="1"/>
    <n v="51"/>
    <n v="27"/>
    <n v="43"/>
    <n v="44"/>
    <n v="49"/>
    <n v="4"/>
    <n v="42"/>
    <n v="3"/>
    <n v="42"/>
    <m/>
    <m/>
    <n v="207"/>
    <n v="257"/>
    <n v="1507"/>
    <n v="10"/>
    <n v="1664"/>
    <n v="10"/>
    <n v="14"/>
    <n v="107"/>
    <n v="14"/>
    <n v="150"/>
    <n v="26"/>
    <n v="46"/>
    <n v="26"/>
    <n v="56"/>
    <n v="13"/>
    <n v="37"/>
    <n v="27"/>
    <n v="54"/>
    <n v="27"/>
    <n v="29"/>
    <n v="13"/>
    <n v="42"/>
    <n v="40"/>
    <n v="28"/>
    <n v="40"/>
    <n v="36"/>
    <n v="1"/>
    <n v="23"/>
    <n v="1"/>
    <n v="29"/>
    <n v="11"/>
    <n v="14"/>
    <n v="45"/>
    <n v="23"/>
    <n v="42"/>
    <n v="11"/>
    <n v="11"/>
    <n v="21"/>
    <n v="45"/>
    <n v="9"/>
    <n v="3"/>
    <n v="14"/>
    <n v="51"/>
    <n v="8"/>
    <n v="42"/>
    <n v="11"/>
    <n v="16"/>
    <n v="21"/>
    <n v="328"/>
    <n v="10"/>
    <n v="0.32621951219512196"/>
    <n v="457"/>
    <n v="10"/>
    <n v="0.32822757111597373"/>
    <n v="1835"/>
    <n v="2121"/>
    <m/>
    <m/>
    <m/>
    <m/>
    <m/>
    <m/>
    <m/>
    <m/>
    <m/>
    <m/>
    <m/>
    <m/>
    <m/>
    <m/>
    <n v="74"/>
    <n v="73"/>
    <m/>
    <m/>
    <m/>
    <m/>
    <n v="74"/>
    <n v="73"/>
    <n v="6576"/>
    <n v="6999"/>
  </r>
  <r>
    <x v="9"/>
    <s v="University of North Carolina at Chapel Hill "/>
    <n v="199120"/>
    <x v="0"/>
    <n v="19"/>
    <n v="20"/>
    <m/>
    <m/>
    <m/>
    <m/>
    <n v="0"/>
    <n v="0"/>
    <n v="4131"/>
    <m/>
    <n v="79"/>
    <m/>
    <n v="79"/>
    <n v="4236"/>
    <m/>
    <n v="113"/>
    <m/>
    <n v="113"/>
    <m/>
    <m/>
    <m/>
    <m/>
    <m/>
    <m/>
    <m/>
    <m/>
    <m/>
    <m/>
    <m/>
    <m/>
    <m/>
    <m/>
    <m/>
    <m/>
    <m/>
    <m/>
    <m/>
    <m/>
    <n v="0"/>
    <n v="0.57446808510638303"/>
    <n v="0"/>
    <n v="0.58972574133370459"/>
    <m/>
    <m/>
    <n v="52"/>
    <n v="548"/>
    <n v="52"/>
    <n v="550"/>
    <n v="51"/>
    <n v="382"/>
    <n v="51"/>
    <n v="408"/>
    <n v="13"/>
    <n v="170"/>
    <n v="13"/>
    <n v="170"/>
    <n v="44"/>
    <n v="157"/>
    <n v="44"/>
    <n v="147"/>
    <n v="25"/>
    <n v="98"/>
    <n v="25"/>
    <n v="83"/>
    <n v="45"/>
    <n v="65"/>
    <n v="11"/>
    <n v="59"/>
    <n v="11"/>
    <n v="52"/>
    <n v="26"/>
    <n v="54"/>
    <n v="26"/>
    <n v="47"/>
    <n v="45"/>
    <n v="50"/>
    <n v="4"/>
    <n v="42"/>
    <n v="4"/>
    <n v="41"/>
    <n v="50"/>
    <n v="32"/>
    <n v="40"/>
    <n v="40"/>
    <m/>
    <m/>
    <n v="244"/>
    <n v="224"/>
    <n v="1837"/>
    <n v="10"/>
    <n v="1826"/>
    <n v="10"/>
    <n v="26"/>
    <n v="150"/>
    <n v="26"/>
    <n v="114"/>
    <n v="51"/>
    <n v="81"/>
    <n v="51"/>
    <n v="72"/>
    <n v="13"/>
    <n v="51"/>
    <n v="40"/>
    <n v="52"/>
    <n v="45"/>
    <n v="44"/>
    <n v="45"/>
    <n v="43"/>
    <n v="40"/>
    <n v="42"/>
    <n v="13"/>
    <n v="28"/>
    <n v="42"/>
    <n v="34"/>
    <n v="42"/>
    <n v="25"/>
    <n v="16"/>
    <n v="25"/>
    <n v="16"/>
    <n v="19"/>
    <n v="54"/>
    <n v="24"/>
    <n v="54"/>
    <n v="18"/>
    <n v="27"/>
    <n v="23"/>
    <n v="11"/>
    <n v="16"/>
    <n v="3"/>
    <n v="17"/>
    <n v="3"/>
    <n v="13"/>
    <n v="109"/>
    <n v="83"/>
    <n v="600"/>
    <n v="10"/>
    <n v="0.25"/>
    <n v="483"/>
    <n v="10"/>
    <n v="0.2360248447204969"/>
    <n v="2437"/>
    <n v="2309"/>
    <n v="221"/>
    <n v="228"/>
    <n v="165"/>
    <n v="157"/>
    <n v="83"/>
    <n v="82"/>
    <n v="135"/>
    <n v="151"/>
    <m/>
    <m/>
    <m/>
    <m/>
    <m/>
    <m/>
    <m/>
    <m/>
    <m/>
    <m/>
    <m/>
    <m/>
    <n v="604"/>
    <n v="618"/>
    <n v="7191"/>
    <n v="7183"/>
  </r>
  <r>
    <x v="9"/>
    <s v="University of North Carolina at Charlotte"/>
    <n v="199139"/>
    <x v="1"/>
    <m/>
    <m/>
    <m/>
    <m/>
    <m/>
    <m/>
    <n v="0"/>
    <n v="0"/>
    <n v="3375"/>
    <m/>
    <n v="340"/>
    <m/>
    <n v="340"/>
    <n v="3455"/>
    <m/>
    <n v="347"/>
    <m/>
    <n v="347"/>
    <m/>
    <m/>
    <m/>
    <m/>
    <m/>
    <m/>
    <m/>
    <m/>
    <m/>
    <m/>
    <m/>
    <m/>
    <m/>
    <m/>
    <m/>
    <m/>
    <m/>
    <m/>
    <m/>
    <m/>
    <n v="0"/>
    <n v="0.75167037861915365"/>
    <n v="0"/>
    <n v="0.75469637396242906"/>
    <n v="11"/>
    <n v="19"/>
    <n v="13"/>
    <n v="272"/>
    <n v="52"/>
    <n v="271"/>
    <n v="52"/>
    <n v="238"/>
    <n v="13"/>
    <n v="239"/>
    <n v="51"/>
    <n v="116"/>
    <n v="11"/>
    <n v="105"/>
    <n v="11"/>
    <n v="94"/>
    <n v="51"/>
    <n v="81"/>
    <n v="14"/>
    <n v="91"/>
    <n v="14"/>
    <n v="79"/>
    <n v="44"/>
    <n v="61"/>
    <n v="44"/>
    <n v="67"/>
    <n v="30"/>
    <n v="30"/>
    <n v="30"/>
    <n v="31"/>
    <n v="42"/>
    <n v="21"/>
    <n v="4"/>
    <n v="24"/>
    <n v="23"/>
    <n v="19"/>
    <n v="42"/>
    <n v="23"/>
    <n v="4"/>
    <n v="17"/>
    <n v="45"/>
    <n v="20"/>
    <m/>
    <m/>
    <n v="100"/>
    <n v="96"/>
    <n v="1059"/>
    <n v="10"/>
    <n v="1036"/>
    <n v="10"/>
    <n v="13"/>
    <n v="16"/>
    <n v="13"/>
    <n v="21"/>
    <n v="11"/>
    <n v="11"/>
    <n v="44"/>
    <n v="12"/>
    <n v="14"/>
    <n v="8"/>
    <n v="14"/>
    <n v="11"/>
    <n v="27"/>
    <n v="4"/>
    <n v="26"/>
    <n v="8"/>
    <n v="26"/>
    <n v="2"/>
    <n v="11"/>
    <n v="5"/>
    <n v="30"/>
    <n v="2"/>
    <n v="27"/>
    <n v="5"/>
    <n v="40"/>
    <n v="2"/>
    <n v="30"/>
    <n v="3"/>
    <m/>
    <m/>
    <n v="40"/>
    <n v="2"/>
    <m/>
    <m/>
    <n v="51"/>
    <n v="1"/>
    <m/>
    <m/>
    <m/>
    <m/>
    <m/>
    <m/>
    <n v="45"/>
    <n v="7"/>
    <n v="0.35555555555555557"/>
    <n v="68"/>
    <n v="9"/>
    <n v="0.30882352941176472"/>
    <n v="1104"/>
    <n v="1104"/>
    <m/>
    <m/>
    <m/>
    <m/>
    <m/>
    <m/>
    <m/>
    <m/>
    <m/>
    <m/>
    <m/>
    <m/>
    <m/>
    <m/>
    <m/>
    <m/>
    <m/>
    <m/>
    <m/>
    <m/>
    <n v="0"/>
    <n v="0"/>
    <n v="4490"/>
    <n v="4578"/>
  </r>
  <r>
    <x v="9"/>
    <s v="University of North Carolina at Greensboro"/>
    <n v="199148"/>
    <x v="1"/>
    <m/>
    <m/>
    <m/>
    <m/>
    <m/>
    <m/>
    <n v="0"/>
    <n v="0"/>
    <n v="2388"/>
    <m/>
    <n v="403"/>
    <m/>
    <n v="403"/>
    <n v="2441"/>
    <m/>
    <n v="429"/>
    <m/>
    <n v="429"/>
    <m/>
    <m/>
    <m/>
    <m/>
    <m/>
    <m/>
    <m/>
    <m/>
    <m/>
    <m/>
    <m/>
    <m/>
    <m/>
    <m/>
    <m/>
    <m/>
    <m/>
    <m/>
    <m/>
    <m/>
    <n v="0"/>
    <n v="0.68679896462467649"/>
    <n v="0"/>
    <n v="0.68375350140056024"/>
    <n v="6"/>
    <n v="15"/>
    <n v="13"/>
    <n v="222"/>
    <n v="13"/>
    <n v="251"/>
    <n v="51"/>
    <n v="158"/>
    <n v="51"/>
    <n v="162"/>
    <n v="52"/>
    <n v="139"/>
    <n v="52"/>
    <n v="127"/>
    <n v="25"/>
    <n v="85"/>
    <n v="44"/>
    <n v="95"/>
    <n v="50"/>
    <n v="84"/>
    <n v="25"/>
    <n v="81"/>
    <n v="31"/>
    <n v="42"/>
    <n v="50"/>
    <n v="53"/>
    <n v="24"/>
    <n v="40"/>
    <n v="24"/>
    <n v="44"/>
    <n v="23"/>
    <n v="37"/>
    <n v="11"/>
    <n v="28"/>
    <n v="44"/>
    <n v="30"/>
    <n v="31"/>
    <n v="28"/>
    <n v="45"/>
    <n v="30"/>
    <n v="54"/>
    <n v="26"/>
    <m/>
    <m/>
    <n v="123"/>
    <n v="112"/>
    <n v="990"/>
    <n v="10"/>
    <n v="1007"/>
    <n v="10"/>
    <n v="13"/>
    <n v="50"/>
    <n v="13"/>
    <n v="37"/>
    <n v="50"/>
    <n v="13"/>
    <n v="50"/>
    <n v="21"/>
    <n v="23"/>
    <n v="10"/>
    <n v="31"/>
    <n v="15"/>
    <n v="42"/>
    <n v="7"/>
    <n v="23"/>
    <n v="9"/>
    <n v="19"/>
    <n v="4"/>
    <n v="19"/>
    <n v="8"/>
    <n v="30"/>
    <n v="2"/>
    <n v="42"/>
    <n v="5"/>
    <n v="31"/>
    <n v="2"/>
    <n v="51"/>
    <n v="4"/>
    <n v="45"/>
    <n v="2"/>
    <n v="30"/>
    <n v="3"/>
    <n v="52"/>
    <n v="2"/>
    <n v="45"/>
    <n v="3"/>
    <n v="51"/>
    <n v="1"/>
    <n v="52"/>
    <n v="2"/>
    <m/>
    <m/>
    <n v="93"/>
    <n v="10"/>
    <n v="0.5376344086021505"/>
    <n v="107"/>
    <n v="10"/>
    <n v="0.34579439252336447"/>
    <n v="1083"/>
    <n v="1114"/>
    <m/>
    <m/>
    <m/>
    <m/>
    <m/>
    <m/>
    <m/>
    <m/>
    <m/>
    <m/>
    <m/>
    <m/>
    <m/>
    <m/>
    <m/>
    <m/>
    <m/>
    <m/>
    <m/>
    <m/>
    <n v="0"/>
    <n v="0"/>
    <n v="3477"/>
    <n v="3570"/>
  </r>
  <r>
    <x v="9"/>
    <s v="Appalachian State University "/>
    <n v="197869"/>
    <x v="2"/>
    <m/>
    <m/>
    <m/>
    <m/>
    <m/>
    <m/>
    <n v="0"/>
    <n v="0"/>
    <n v="2634"/>
    <m/>
    <n v="439"/>
    <m/>
    <n v="439"/>
    <n v="2812"/>
    <m/>
    <n v="555"/>
    <m/>
    <n v="555"/>
    <m/>
    <m/>
    <m/>
    <m/>
    <m/>
    <m/>
    <m/>
    <m/>
    <m/>
    <m/>
    <m/>
    <m/>
    <m/>
    <m/>
    <m/>
    <m/>
    <m/>
    <m/>
    <m/>
    <m/>
    <n v="0"/>
    <n v="0.78956834532374098"/>
    <n v="0"/>
    <n v="0.78701371396585507"/>
    <m/>
    <n v="20"/>
    <n v="13"/>
    <n v="374"/>
    <n v="13"/>
    <n v="360"/>
    <n v="25"/>
    <n v="56"/>
    <n v="52"/>
    <n v="64"/>
    <n v="51"/>
    <n v="45"/>
    <n v="42"/>
    <n v="51"/>
    <n v="44"/>
    <n v="41"/>
    <n v="51"/>
    <n v="51"/>
    <n v="52"/>
    <n v="32"/>
    <n v="44"/>
    <n v="45"/>
    <n v="42"/>
    <n v="29"/>
    <n v="31"/>
    <n v="24"/>
    <n v="15"/>
    <n v="13"/>
    <n v="15"/>
    <n v="20"/>
    <n v="26"/>
    <n v="11"/>
    <n v="25"/>
    <n v="19"/>
    <n v="23"/>
    <n v="9"/>
    <n v="45"/>
    <n v="15"/>
    <n v="27"/>
    <n v="9"/>
    <n v="54"/>
    <n v="13"/>
    <m/>
    <m/>
    <n v="68"/>
    <n v="73"/>
    <n v="687"/>
    <n v="10"/>
    <n v="735"/>
    <n v="10"/>
    <n v="13"/>
    <n v="15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6"/>
    <n v="1"/>
    <n v="1"/>
    <n v="702"/>
    <n v="741"/>
    <m/>
    <m/>
    <m/>
    <m/>
    <m/>
    <m/>
    <m/>
    <m/>
    <m/>
    <m/>
    <m/>
    <m/>
    <m/>
    <m/>
    <m/>
    <m/>
    <m/>
    <m/>
    <m/>
    <m/>
    <n v="0"/>
    <n v="0"/>
    <n v="3336"/>
    <n v="3573"/>
  </r>
  <r>
    <x v="9"/>
    <s v="East Carolina University "/>
    <n v="198464"/>
    <x v="2"/>
    <m/>
    <m/>
    <m/>
    <m/>
    <m/>
    <m/>
    <n v="0"/>
    <n v="0"/>
    <n v="3472"/>
    <m/>
    <n v="481"/>
    <m/>
    <n v="481"/>
    <n v="3606"/>
    <m/>
    <n v="475"/>
    <m/>
    <n v="475"/>
    <m/>
    <m/>
    <m/>
    <m/>
    <m/>
    <m/>
    <m/>
    <m/>
    <m/>
    <m/>
    <m/>
    <m/>
    <m/>
    <m/>
    <m/>
    <m/>
    <m/>
    <m/>
    <m/>
    <m/>
    <n v="0"/>
    <n v="0.69315232581353559"/>
    <n v="0"/>
    <n v="0.68127715851124127"/>
    <n v="4"/>
    <n v="14"/>
    <n v="13"/>
    <n v="438"/>
    <n v="13"/>
    <n v="499"/>
    <n v="51"/>
    <n v="274"/>
    <n v="51"/>
    <n v="344"/>
    <n v="52"/>
    <n v="172"/>
    <n v="52"/>
    <n v="187"/>
    <n v="44"/>
    <n v="90"/>
    <n v="25"/>
    <n v="103"/>
    <n v="25"/>
    <n v="83"/>
    <n v="44"/>
    <n v="90"/>
    <n v="23"/>
    <n v="48"/>
    <n v="15"/>
    <n v="52"/>
    <n v="31"/>
    <n v="39"/>
    <n v="23"/>
    <n v="37"/>
    <n v="15"/>
    <n v="36"/>
    <n v="42"/>
    <n v="35"/>
    <n v="42"/>
    <n v="33"/>
    <n v="45"/>
    <n v="30"/>
    <n v="50"/>
    <n v="31"/>
    <n v="31"/>
    <n v="29"/>
    <m/>
    <m/>
    <n v="160"/>
    <n v="132"/>
    <n v="1404"/>
    <n v="10"/>
    <n v="1538"/>
    <n v="10"/>
    <n v="51"/>
    <n v="30"/>
    <n v="51"/>
    <n v="40"/>
    <n v="13"/>
    <n v="20"/>
    <n v="26"/>
    <n v="15"/>
    <n v="26"/>
    <n v="5"/>
    <n v="13"/>
    <n v="8"/>
    <n v="30"/>
    <n v="2"/>
    <n v="30"/>
    <n v="7"/>
    <m/>
    <m/>
    <m/>
    <m/>
    <m/>
    <m/>
    <m/>
    <m/>
    <m/>
    <m/>
    <m/>
    <m/>
    <m/>
    <m/>
    <m/>
    <m/>
    <m/>
    <m/>
    <m/>
    <m/>
    <m/>
    <m/>
    <m/>
    <m/>
    <m/>
    <m/>
    <n v="57"/>
    <n v="4"/>
    <n v="0.52631578947368418"/>
    <n v="70"/>
    <n v="4"/>
    <n v="0.5714285714285714"/>
    <n v="1461"/>
    <n v="1608"/>
    <m/>
    <m/>
    <n v="72"/>
    <n v="65"/>
    <m/>
    <m/>
    <m/>
    <m/>
    <m/>
    <m/>
    <m/>
    <m/>
    <m/>
    <m/>
    <m/>
    <m/>
    <m/>
    <m/>
    <m/>
    <m/>
    <n v="72"/>
    <n v="65"/>
    <n v="5009"/>
    <n v="5293"/>
  </r>
  <r>
    <x v="9"/>
    <s v="North Carolina A&amp;T State University"/>
    <n v="199102"/>
    <x v="2"/>
    <m/>
    <m/>
    <m/>
    <m/>
    <m/>
    <m/>
    <n v="0"/>
    <n v="0"/>
    <n v="1172"/>
    <m/>
    <n v="37"/>
    <m/>
    <n v="37"/>
    <n v="1372"/>
    <m/>
    <n v="34"/>
    <m/>
    <n v="34"/>
    <m/>
    <m/>
    <m/>
    <m/>
    <m/>
    <m/>
    <m/>
    <m/>
    <m/>
    <m/>
    <m/>
    <m/>
    <m/>
    <m/>
    <m/>
    <m/>
    <m/>
    <m/>
    <m/>
    <m/>
    <n v="0"/>
    <n v="0.71419865935405236"/>
    <n v="0"/>
    <n v="0.7699214365881033"/>
    <m/>
    <m/>
    <n v="13"/>
    <n v="182"/>
    <n v="13"/>
    <n v="227"/>
    <n v="14"/>
    <n v="69"/>
    <n v="14"/>
    <n v="65"/>
    <n v="44"/>
    <n v="56"/>
    <n v="15"/>
    <n v="32"/>
    <n v="15"/>
    <n v="35"/>
    <n v="1"/>
    <n v="14"/>
    <n v="11"/>
    <n v="29"/>
    <n v="11"/>
    <n v="11"/>
    <n v="1"/>
    <n v="15"/>
    <n v="52"/>
    <n v="10"/>
    <n v="52"/>
    <n v="12"/>
    <n v="23"/>
    <n v="6"/>
    <n v="19"/>
    <n v="11"/>
    <n v="40"/>
    <n v="6"/>
    <n v="23"/>
    <n v="10"/>
    <n v="19"/>
    <n v="3"/>
    <n v="26"/>
    <n v="8"/>
    <n v="26"/>
    <n v="2"/>
    <m/>
    <m/>
    <n v="10"/>
    <n v="1"/>
    <n v="437"/>
    <n v="10"/>
    <n v="377"/>
    <n v="10"/>
    <n v="14"/>
    <n v="22"/>
    <n v="30"/>
    <n v="18"/>
    <n v="30"/>
    <n v="10"/>
    <n v="14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"/>
    <n v="0.6875"/>
    <n v="33"/>
    <n v="2"/>
    <n v="0.54545454545454541"/>
    <n v="469"/>
    <n v="410"/>
    <m/>
    <m/>
    <m/>
    <m/>
    <m/>
    <m/>
    <m/>
    <m/>
    <m/>
    <m/>
    <m/>
    <m/>
    <m/>
    <m/>
    <m/>
    <m/>
    <m/>
    <m/>
    <m/>
    <m/>
    <n v="0"/>
    <n v="0"/>
    <n v="1641"/>
    <n v="1782"/>
  </r>
  <r>
    <x v="9"/>
    <s v="North Carolina Central University "/>
    <n v="199157"/>
    <x v="2"/>
    <m/>
    <m/>
    <m/>
    <m/>
    <m/>
    <m/>
    <n v="0"/>
    <n v="0"/>
    <n v="854"/>
    <m/>
    <n v="81"/>
    <m/>
    <n v="81"/>
    <n v="809"/>
    <m/>
    <n v="34"/>
    <m/>
    <n v="34"/>
    <m/>
    <m/>
    <m/>
    <m/>
    <m/>
    <m/>
    <m/>
    <m/>
    <m/>
    <m/>
    <m/>
    <m/>
    <m/>
    <m/>
    <m/>
    <m/>
    <m/>
    <m/>
    <m/>
    <m/>
    <n v="0"/>
    <n v="0.61660649819494584"/>
    <n v="0"/>
    <n v="0.58922068463219224"/>
    <m/>
    <m/>
    <n v="13"/>
    <n v="103"/>
    <n v="13"/>
    <n v="95"/>
    <n v="25"/>
    <n v="82"/>
    <n v="25"/>
    <n v="83"/>
    <n v="44"/>
    <n v="66"/>
    <n v="44"/>
    <n v="51"/>
    <n v="51"/>
    <n v="31"/>
    <n v="51"/>
    <n v="34"/>
    <n v="52"/>
    <n v="26"/>
    <n v="11"/>
    <n v="24"/>
    <n v="11"/>
    <n v="17"/>
    <n v="52"/>
    <n v="23"/>
    <n v="42"/>
    <n v="13"/>
    <n v="26"/>
    <n v="12"/>
    <n v="43"/>
    <n v="13"/>
    <n v="43"/>
    <n v="11"/>
    <n v="40"/>
    <n v="10"/>
    <n v="40"/>
    <n v="8"/>
    <n v="31"/>
    <n v="9"/>
    <n v="54"/>
    <n v="7"/>
    <m/>
    <m/>
    <n v="20"/>
    <n v="25"/>
    <n v="390"/>
    <n v="10"/>
    <n v="37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90"/>
    <n v="373"/>
    <n v="141"/>
    <n v="191"/>
    <m/>
    <m/>
    <m/>
    <m/>
    <m/>
    <m/>
    <m/>
    <m/>
    <m/>
    <m/>
    <m/>
    <m/>
    <m/>
    <m/>
    <m/>
    <m/>
    <m/>
    <m/>
    <n v="141"/>
    <n v="191"/>
    <n v="1385"/>
    <n v="1373"/>
  </r>
  <r>
    <x v="9"/>
    <s v="University of North Carolina at Wilmington"/>
    <n v="199218"/>
    <x v="2"/>
    <m/>
    <m/>
    <m/>
    <m/>
    <m/>
    <m/>
    <n v="0"/>
    <n v="0"/>
    <n v="2457"/>
    <m/>
    <n v="250"/>
    <m/>
    <n v="250"/>
    <n v="2480"/>
    <m/>
    <n v="299"/>
    <m/>
    <n v="299"/>
    <m/>
    <m/>
    <m/>
    <m/>
    <m/>
    <m/>
    <m/>
    <m/>
    <m/>
    <m/>
    <m/>
    <m/>
    <m/>
    <m/>
    <m/>
    <m/>
    <m/>
    <m/>
    <m/>
    <m/>
    <n v="0"/>
    <n v="0.86029411764705888"/>
    <n v="0"/>
    <n v="0.84960602946214459"/>
    <m/>
    <m/>
    <n v="52"/>
    <n v="103"/>
    <n v="52"/>
    <n v="106"/>
    <n v="13"/>
    <n v="100"/>
    <n v="13"/>
    <n v="88"/>
    <n v="44"/>
    <n v="44"/>
    <n v="44"/>
    <n v="58"/>
    <n v="23"/>
    <n v="36"/>
    <n v="23"/>
    <n v="34"/>
    <n v="40"/>
    <n v="24"/>
    <n v="42"/>
    <n v="30"/>
    <n v="24"/>
    <n v="22"/>
    <n v="40"/>
    <n v="29"/>
    <n v="26"/>
    <n v="18"/>
    <n v="24"/>
    <n v="20"/>
    <n v="42"/>
    <n v="17"/>
    <n v="51"/>
    <n v="19"/>
    <n v="27"/>
    <n v="10"/>
    <n v="26"/>
    <n v="12"/>
    <n v="51"/>
    <n v="8"/>
    <n v="54"/>
    <n v="10"/>
    <m/>
    <m/>
    <n v="16"/>
    <n v="29"/>
    <n v="398"/>
    <n v="10"/>
    <n v="435"/>
    <n v="10"/>
    <n v="26"/>
    <n v="1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4"/>
    <n v="1"/>
    <n v="1"/>
    <n v="399"/>
    <n v="439"/>
    <m/>
    <m/>
    <m/>
    <m/>
    <m/>
    <m/>
    <m/>
    <m/>
    <m/>
    <m/>
    <m/>
    <m/>
    <m/>
    <m/>
    <m/>
    <m/>
    <m/>
    <m/>
    <m/>
    <m/>
    <n v="0"/>
    <n v="0"/>
    <n v="2856"/>
    <n v="2919"/>
  </r>
  <r>
    <x v="9"/>
    <s v="Western Carolina University "/>
    <n v="200004"/>
    <x v="2"/>
    <m/>
    <m/>
    <m/>
    <m/>
    <m/>
    <m/>
    <n v="0"/>
    <n v="0"/>
    <n v="1525"/>
    <m/>
    <n v="207"/>
    <m/>
    <n v="207"/>
    <n v="1547"/>
    <m/>
    <n v="230"/>
    <m/>
    <n v="230"/>
    <m/>
    <m/>
    <m/>
    <m/>
    <m/>
    <m/>
    <m/>
    <m/>
    <m/>
    <m/>
    <m/>
    <m/>
    <m/>
    <m/>
    <m/>
    <m/>
    <m/>
    <m/>
    <m/>
    <m/>
    <n v="0"/>
    <n v="0.75682382133995041"/>
    <n v="0"/>
    <n v="0.70833333333333337"/>
    <m/>
    <m/>
    <n v="13"/>
    <n v="172"/>
    <n v="13"/>
    <n v="270"/>
    <n v="52"/>
    <n v="116"/>
    <n v="52"/>
    <n v="137"/>
    <n v="51"/>
    <n v="90"/>
    <n v="51"/>
    <n v="87"/>
    <n v="44"/>
    <n v="21"/>
    <n v="44"/>
    <n v="44"/>
    <n v="42"/>
    <n v="17"/>
    <n v="15"/>
    <n v="20"/>
    <n v="15"/>
    <n v="15"/>
    <n v="42"/>
    <n v="17"/>
    <n v="23"/>
    <n v="14"/>
    <n v="23"/>
    <n v="12"/>
    <n v="54"/>
    <n v="10"/>
    <n v="31"/>
    <n v="10"/>
    <n v="50"/>
    <n v="9"/>
    <n v="40"/>
    <n v="10"/>
    <n v="26"/>
    <n v="6"/>
    <n v="26"/>
    <n v="7"/>
    <m/>
    <m/>
    <n v="5"/>
    <n v="11"/>
    <n v="475"/>
    <n v="10"/>
    <n v="625"/>
    <n v="10"/>
    <n v="13"/>
    <n v="15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12"/>
    <n v="1"/>
    <n v="1"/>
    <n v="490"/>
    <n v="637"/>
    <m/>
    <m/>
    <m/>
    <m/>
    <m/>
    <m/>
    <m/>
    <m/>
    <m/>
    <m/>
    <m/>
    <m/>
    <m/>
    <m/>
    <m/>
    <m/>
    <m/>
    <m/>
    <m/>
    <m/>
    <n v="0"/>
    <n v="0"/>
    <n v="2015"/>
    <n v="2184"/>
  </r>
  <r>
    <x v="9"/>
    <s v="Fayetteville State University "/>
    <n v="198543"/>
    <x v="3"/>
    <m/>
    <m/>
    <m/>
    <m/>
    <m/>
    <m/>
    <n v="0"/>
    <n v="0"/>
    <n v="775"/>
    <m/>
    <n v="77"/>
    <m/>
    <n v="77"/>
    <n v="773"/>
    <m/>
    <n v="106"/>
    <m/>
    <n v="106"/>
    <m/>
    <m/>
    <m/>
    <m/>
    <m/>
    <m/>
    <m/>
    <m/>
    <m/>
    <m/>
    <m/>
    <m/>
    <m/>
    <m/>
    <m/>
    <m/>
    <m/>
    <m/>
    <m/>
    <m/>
    <n v="0"/>
    <n v="0.8175105485232067"/>
    <n v="0"/>
    <n v="0.83387270765911548"/>
    <m/>
    <m/>
    <n v="13"/>
    <n v="74"/>
    <n v="13"/>
    <n v="63"/>
    <n v="44"/>
    <n v="28"/>
    <n v="44"/>
    <n v="38"/>
    <n v="52"/>
    <n v="19"/>
    <n v="52"/>
    <n v="28"/>
    <n v="45"/>
    <n v="12"/>
    <n v="42"/>
    <n v="8"/>
    <n v="42"/>
    <n v="9"/>
    <n v="45"/>
    <n v="4"/>
    <n v="23"/>
    <n v="5"/>
    <n v="27"/>
    <n v="2"/>
    <n v="27"/>
    <n v="5"/>
    <n v="43"/>
    <n v="2"/>
    <n v="26"/>
    <n v="4"/>
    <m/>
    <m/>
    <n v="54"/>
    <n v="3"/>
    <m/>
    <m/>
    <n v="43"/>
    <n v="1"/>
    <m/>
    <m/>
    <m/>
    <m/>
    <m/>
    <m/>
    <n v="160"/>
    <n v="10"/>
    <n v="145"/>
    <n v="7"/>
    <n v="13"/>
    <n v="13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9"/>
    <n v="1"/>
    <n v="1"/>
    <n v="173"/>
    <n v="154"/>
    <m/>
    <m/>
    <m/>
    <m/>
    <m/>
    <m/>
    <m/>
    <m/>
    <m/>
    <m/>
    <m/>
    <m/>
    <m/>
    <m/>
    <m/>
    <m/>
    <m/>
    <m/>
    <m/>
    <m/>
    <n v="0"/>
    <n v="0"/>
    <n v="948"/>
    <n v="927"/>
  </r>
  <r>
    <x v="9"/>
    <s v="University of North Carolina at Pembroke"/>
    <n v="199281"/>
    <x v="4"/>
    <m/>
    <m/>
    <m/>
    <m/>
    <m/>
    <m/>
    <n v="0"/>
    <n v="0"/>
    <n v="687"/>
    <m/>
    <n v="107"/>
    <m/>
    <n v="107"/>
    <n v="739"/>
    <m/>
    <n v="93"/>
    <m/>
    <n v="93"/>
    <m/>
    <m/>
    <m/>
    <m/>
    <m/>
    <m/>
    <m/>
    <m/>
    <m/>
    <m/>
    <m/>
    <m/>
    <m/>
    <m/>
    <m/>
    <m/>
    <m/>
    <m/>
    <m/>
    <m/>
    <n v="0"/>
    <n v="0.79330254041570436"/>
    <n v="0"/>
    <n v="0.79206859592711687"/>
    <m/>
    <m/>
    <n v="13"/>
    <n v="131"/>
    <n v="13"/>
    <n v="161"/>
    <n v="44"/>
    <n v="40"/>
    <n v="44"/>
    <n v="26"/>
    <n v="52"/>
    <n v="8"/>
    <n v="5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"/>
    <n v="3"/>
    <n v="19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9"/>
    <n v="194"/>
    <m/>
    <m/>
    <m/>
    <m/>
    <m/>
    <m/>
    <m/>
    <m/>
    <m/>
    <m/>
    <m/>
    <m/>
    <m/>
    <m/>
    <m/>
    <m/>
    <m/>
    <m/>
    <m/>
    <m/>
    <n v="0"/>
    <n v="0"/>
    <n v="866"/>
    <n v="933"/>
  </r>
  <r>
    <x v="9"/>
    <s v="Winston-Salem State University "/>
    <n v="199999"/>
    <x v="4"/>
    <m/>
    <m/>
    <m/>
    <m/>
    <m/>
    <m/>
    <n v="0"/>
    <n v="0"/>
    <n v="867"/>
    <m/>
    <n v="25"/>
    <m/>
    <n v="25"/>
    <n v="1012"/>
    <m/>
    <n v="40"/>
    <m/>
    <n v="40"/>
    <m/>
    <m/>
    <m/>
    <m/>
    <m/>
    <m/>
    <m/>
    <m/>
    <m/>
    <m/>
    <m/>
    <m/>
    <m/>
    <m/>
    <m/>
    <m/>
    <m/>
    <m/>
    <m/>
    <m/>
    <n v="0"/>
    <n v="0.86873747494989983"/>
    <n v="0"/>
    <n v="0.88849868305531166"/>
    <m/>
    <m/>
    <n v="51"/>
    <n v="104"/>
    <n v="51"/>
    <n v="90"/>
    <n v="52"/>
    <n v="17"/>
    <n v="52"/>
    <n v="21"/>
    <n v="11"/>
    <n v="5"/>
    <n v="13"/>
    <n v="9"/>
    <n v="13"/>
    <n v="5"/>
    <n v="11"/>
    <n v="7"/>
    <m/>
    <m/>
    <m/>
    <m/>
    <m/>
    <m/>
    <m/>
    <m/>
    <m/>
    <m/>
    <m/>
    <m/>
    <m/>
    <m/>
    <m/>
    <m/>
    <m/>
    <m/>
    <m/>
    <m/>
    <m/>
    <m/>
    <m/>
    <m/>
    <m/>
    <m/>
    <m/>
    <m/>
    <n v="131"/>
    <n v="4"/>
    <n v="12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1"/>
    <n v="127"/>
    <m/>
    <m/>
    <m/>
    <m/>
    <m/>
    <m/>
    <m/>
    <m/>
    <m/>
    <m/>
    <m/>
    <m/>
    <m/>
    <m/>
    <m/>
    <m/>
    <m/>
    <m/>
    <m/>
    <m/>
    <n v="0"/>
    <n v="0"/>
    <n v="998"/>
    <n v="1139"/>
  </r>
  <r>
    <x v="9"/>
    <s v="Elizabeth City State University "/>
    <n v="198507"/>
    <x v="5"/>
    <m/>
    <m/>
    <m/>
    <m/>
    <m/>
    <m/>
    <n v="0"/>
    <n v="0"/>
    <n v="389"/>
    <m/>
    <n v="33"/>
    <m/>
    <n v="33"/>
    <n v="396"/>
    <m/>
    <n v="37"/>
    <m/>
    <n v="37"/>
    <m/>
    <m/>
    <m/>
    <m/>
    <m/>
    <m/>
    <m/>
    <m/>
    <m/>
    <m/>
    <m/>
    <m/>
    <m/>
    <m/>
    <m/>
    <m/>
    <m/>
    <m/>
    <m/>
    <m/>
    <n v="0"/>
    <n v="0.94647201946472015"/>
    <n v="0"/>
    <n v="0.94736842105263153"/>
    <m/>
    <m/>
    <n v="13"/>
    <n v="16"/>
    <n v="13"/>
    <n v="18"/>
    <n v="27"/>
    <n v="4"/>
    <n v="27"/>
    <n v="4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2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22"/>
    <m/>
    <m/>
    <m/>
    <m/>
    <m/>
    <m/>
    <m/>
    <m/>
    <m/>
    <m/>
    <m/>
    <m/>
    <m/>
    <m/>
    <m/>
    <m/>
    <m/>
    <m/>
    <m/>
    <m/>
    <n v="0"/>
    <n v="0"/>
    <n v="411"/>
    <n v="418"/>
  </r>
  <r>
    <x v="9"/>
    <s v="University of North Carolina at Asheville"/>
    <n v="199111"/>
    <x v="5"/>
    <m/>
    <m/>
    <m/>
    <m/>
    <m/>
    <m/>
    <n v="0"/>
    <n v="0"/>
    <n v="704"/>
    <m/>
    <n v="29"/>
    <m/>
    <n v="29"/>
    <n v="604"/>
    <m/>
    <n v="42"/>
    <m/>
    <n v="42"/>
    <m/>
    <m/>
    <m/>
    <m/>
    <m/>
    <m/>
    <m/>
    <m/>
    <m/>
    <m/>
    <m/>
    <m/>
    <m/>
    <m/>
    <m/>
    <m/>
    <m/>
    <m/>
    <m/>
    <m/>
    <n v="0"/>
    <n v="0.98461538461538467"/>
    <n v="0"/>
    <n v="0.99016393442622952"/>
    <m/>
    <m/>
    <n v="24"/>
    <n v="11"/>
    <n v="2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6"/>
    <m/>
    <m/>
    <m/>
    <m/>
    <m/>
    <m/>
    <m/>
    <m/>
    <m/>
    <m/>
    <m/>
    <m/>
    <m/>
    <m/>
    <m/>
    <m/>
    <m/>
    <m/>
    <m/>
    <m/>
    <n v="0"/>
    <n v="0"/>
    <n v="715"/>
    <n v="610"/>
  </r>
  <r>
    <x v="9"/>
    <s v="North Carolina School of the Arts"/>
    <n v="199184"/>
    <x v="11"/>
    <m/>
    <m/>
    <n v="24"/>
    <n v="25"/>
    <m/>
    <m/>
    <n v="0"/>
    <n v="0"/>
    <n v="119"/>
    <m/>
    <m/>
    <m/>
    <n v="0"/>
    <n v="150"/>
    <m/>
    <m/>
    <m/>
    <n v="0"/>
    <m/>
    <m/>
    <m/>
    <m/>
    <m/>
    <m/>
    <m/>
    <m/>
    <m/>
    <m/>
    <m/>
    <m/>
    <m/>
    <m/>
    <m/>
    <m/>
    <m/>
    <m/>
    <m/>
    <m/>
    <n v="0"/>
    <n v="0.64324324324324322"/>
    <n v="0"/>
    <n v="0.70754716981132071"/>
    <m/>
    <m/>
    <n v="50"/>
    <n v="42"/>
    <n v="50"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1"/>
    <n v="3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"/>
    <n v="37"/>
    <m/>
    <m/>
    <m/>
    <m/>
    <m/>
    <m/>
    <m/>
    <m/>
    <m/>
    <m/>
    <m/>
    <m/>
    <m/>
    <m/>
    <m/>
    <m/>
    <m/>
    <m/>
    <m/>
    <m/>
    <n v="0"/>
    <n v="0"/>
    <n v="185"/>
    <n v="212"/>
  </r>
  <r>
    <x v="9"/>
    <s v="Asheville-Buncombe Technical Community College"/>
    <n v="197887"/>
    <x v="6"/>
    <n v="296"/>
    <n v="261"/>
    <m/>
    <m/>
    <n v="575"/>
    <n v="5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1"/>
    <n v="822"/>
  </r>
  <r>
    <x v="9"/>
    <s v="Cape Fear Community College"/>
    <n v="198154"/>
    <x v="6"/>
    <n v="517"/>
    <n v="480"/>
    <m/>
    <m/>
    <n v="748"/>
    <n v="8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5"/>
    <n v="1311"/>
  </r>
  <r>
    <x v="9"/>
    <s v="Catawba Valley Community College"/>
    <n v="198233"/>
    <x v="6"/>
    <n v="236"/>
    <n v="212"/>
    <m/>
    <m/>
    <n v="459"/>
    <n v="4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5"/>
    <n v="679"/>
  </r>
  <r>
    <x v="9"/>
    <s v="Central Carolina Commuity College"/>
    <n v="198251"/>
    <x v="6"/>
    <n v="816"/>
    <n v="789"/>
    <m/>
    <m/>
    <n v="305"/>
    <n v="3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21"/>
    <n v="1168"/>
  </r>
  <r>
    <x v="9"/>
    <s v="Central Piedmont Community College "/>
    <n v="198260"/>
    <x v="6"/>
    <n v="495"/>
    <n v="354"/>
    <m/>
    <m/>
    <n v="908"/>
    <n v="11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03"/>
    <n v="1550"/>
  </r>
  <r>
    <x v="9"/>
    <s v="Durham Technical Community College"/>
    <n v="198455"/>
    <x v="6"/>
    <n v="164"/>
    <n v="477"/>
    <m/>
    <m/>
    <n v="299"/>
    <n v="2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3"/>
    <n v="767"/>
  </r>
  <r>
    <x v="9"/>
    <s v="Fayetteville Technical Community College"/>
    <n v="198534"/>
    <x v="6"/>
    <n v="506"/>
    <n v="495"/>
    <m/>
    <m/>
    <n v="758"/>
    <n v="8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4"/>
    <n v="1297"/>
  </r>
  <r>
    <x v="9"/>
    <s v="Forsyth Technical Community College"/>
    <n v="198552"/>
    <x v="6"/>
    <n v="398"/>
    <n v="485"/>
    <m/>
    <m/>
    <n v="621"/>
    <n v="7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9"/>
    <n v="1187"/>
  </r>
  <r>
    <x v="9"/>
    <s v="Guilford Technical Community College"/>
    <n v="198622"/>
    <x v="6"/>
    <n v="467"/>
    <n v="207"/>
    <m/>
    <m/>
    <n v="732"/>
    <n v="11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99"/>
    <n v="1370"/>
  </r>
  <r>
    <x v="9"/>
    <s v="Pitt Community College"/>
    <n v="199333"/>
    <x v="6"/>
    <n v="399"/>
    <n v="407"/>
    <m/>
    <m/>
    <n v="691"/>
    <n v="6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0"/>
    <n v="1023"/>
  </r>
  <r>
    <x v="9"/>
    <s v="Rowan-Cabarrus Community College"/>
    <n v="199494"/>
    <x v="6"/>
    <n v="490"/>
    <n v="377"/>
    <m/>
    <m/>
    <n v="412"/>
    <n v="4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02"/>
    <n v="861"/>
  </r>
  <r>
    <x v="9"/>
    <s v="Wake Technical Community College"/>
    <n v="199856"/>
    <x v="6"/>
    <n v="498"/>
    <n v="418"/>
    <m/>
    <m/>
    <n v="985"/>
    <n v="8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83"/>
    <n v="1284"/>
  </r>
  <r>
    <x v="9"/>
    <s v="Alamance Community College"/>
    <n v="199786"/>
    <x v="7"/>
    <n v="373"/>
    <n v="419"/>
    <m/>
    <m/>
    <n v="394"/>
    <n v="4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7"/>
    <n v="856"/>
  </r>
  <r>
    <x v="9"/>
    <s v="Blue Ridge Community College"/>
    <n v="198039"/>
    <x v="7"/>
    <n v="72"/>
    <n v="76"/>
    <m/>
    <m/>
    <n v="144"/>
    <n v="1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6"/>
    <n v="225"/>
  </r>
  <r>
    <x v="9"/>
    <s v="Caldwell Community College &amp; Technical Institute"/>
    <n v="198118"/>
    <x v="7"/>
    <n v="293"/>
    <n v="402"/>
    <m/>
    <m/>
    <n v="379"/>
    <n v="4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2"/>
    <n v="835"/>
  </r>
  <r>
    <x v="9"/>
    <s v="Cleveland Community College"/>
    <n v="198321"/>
    <x v="7"/>
    <n v="341"/>
    <n v="324"/>
    <m/>
    <m/>
    <n v="192"/>
    <n v="1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3"/>
    <n v="519"/>
  </r>
  <r>
    <x v="9"/>
    <s v="Coastal Carolina Community College "/>
    <n v="198330"/>
    <x v="7"/>
    <n v="428"/>
    <n v="546"/>
    <m/>
    <m/>
    <n v="518"/>
    <n v="4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46"/>
    <n v="993"/>
  </r>
  <r>
    <x v="9"/>
    <s v="College of the Albemarle"/>
    <n v="197814"/>
    <x v="7"/>
    <n v="303"/>
    <n v="293"/>
    <m/>
    <m/>
    <n v="178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1"/>
    <n v="437"/>
  </r>
  <r>
    <x v="9"/>
    <s v="Craven Community College "/>
    <n v="198367"/>
    <x v="7"/>
    <n v="168"/>
    <n v="137"/>
    <m/>
    <m/>
    <n v="323"/>
    <n v="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1"/>
    <n v="440"/>
  </r>
  <r>
    <x v="9"/>
    <s v="Davidson County Community College "/>
    <n v="198376"/>
    <x v="7"/>
    <n v="658"/>
    <n v="318"/>
    <m/>
    <m/>
    <n v="369"/>
    <n v="3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27"/>
    <n v="627"/>
  </r>
  <r>
    <x v="9"/>
    <s v="Edgecombe Community College"/>
    <n v="198491"/>
    <x v="7"/>
    <n v="133"/>
    <n v="117"/>
    <m/>
    <m/>
    <n v="264"/>
    <n v="1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7"/>
    <n v="300"/>
  </r>
  <r>
    <x v="9"/>
    <s v="Gaston College "/>
    <n v="198570"/>
    <x v="7"/>
    <n v="346"/>
    <n v="287"/>
    <m/>
    <m/>
    <n v="497"/>
    <n v="5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3"/>
    <n v="805"/>
  </r>
  <r>
    <x v="9"/>
    <s v="Haywood Community College"/>
    <n v="198668"/>
    <x v="7"/>
    <n v="167"/>
    <n v="173"/>
    <m/>
    <m/>
    <n v="193"/>
    <n v="1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0"/>
    <n v="354"/>
  </r>
  <r>
    <x v="9"/>
    <s v="Isothermal Community College "/>
    <n v="198710"/>
    <x v="7"/>
    <n v="143"/>
    <n v="156"/>
    <m/>
    <m/>
    <n v="201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4"/>
    <n v="331"/>
  </r>
  <r>
    <x v="9"/>
    <s v="Johnston Community College"/>
    <n v="198774"/>
    <x v="7"/>
    <n v="681"/>
    <n v="370"/>
    <m/>
    <m/>
    <n v="329"/>
    <n v="3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0"/>
    <n v="670"/>
  </r>
  <r>
    <x v="9"/>
    <s v="Lenoir Community College "/>
    <n v="198817"/>
    <x v="7"/>
    <n v="409"/>
    <n v="300"/>
    <m/>
    <m/>
    <n v="265"/>
    <n v="2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4"/>
    <n v="553"/>
  </r>
  <r>
    <x v="9"/>
    <s v="Mayland Community College"/>
    <n v="198914"/>
    <x v="7"/>
    <n v="582"/>
    <n v="247"/>
    <m/>
    <m/>
    <n v="111"/>
    <n v="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3"/>
    <n v="346"/>
  </r>
  <r>
    <x v="9"/>
    <s v="Mitchell Community College "/>
    <n v="198987"/>
    <x v="7"/>
    <n v="121"/>
    <n v="161"/>
    <m/>
    <m/>
    <n v="210"/>
    <n v="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1"/>
    <n v="390"/>
  </r>
  <r>
    <x v="9"/>
    <s v="Nash Community College"/>
    <n v="199087"/>
    <x v="7"/>
    <n v="114"/>
    <n v="152"/>
    <m/>
    <m/>
    <n v="214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8"/>
    <n v="353"/>
  </r>
  <r>
    <x v="9"/>
    <s v="Piedmont Community College"/>
    <n v="199324"/>
    <x v="7"/>
    <n v="457"/>
    <n v="466"/>
    <m/>
    <m/>
    <n v="206"/>
    <n v="2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3"/>
    <n v="668"/>
  </r>
  <r>
    <x v="9"/>
    <s v="Randolph Community College"/>
    <n v="199421"/>
    <x v="7"/>
    <n v="68"/>
    <n v="49"/>
    <m/>
    <m/>
    <n v="219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7"/>
    <n v="267"/>
  </r>
  <r>
    <x v="9"/>
    <s v="Richmond Community College"/>
    <n v="199449"/>
    <x v="7"/>
    <n v="79"/>
    <n v="34"/>
    <m/>
    <m/>
    <n v="176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5"/>
    <n v="209"/>
  </r>
  <r>
    <x v="9"/>
    <s v="Robeson Community College"/>
    <n v="199476"/>
    <x v="7"/>
    <n v="209"/>
    <n v="224"/>
    <m/>
    <m/>
    <n v="170"/>
    <n v="2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9"/>
    <n v="432"/>
  </r>
  <r>
    <x v="9"/>
    <s v="Rockingham Community College "/>
    <n v="199485"/>
    <x v="7"/>
    <n v="157"/>
    <n v="150"/>
    <m/>
    <m/>
    <n v="166"/>
    <n v="1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3"/>
    <n v="326"/>
  </r>
  <r>
    <x v="9"/>
    <s v="Sandhills Community College "/>
    <n v="199634"/>
    <x v="7"/>
    <n v="145"/>
    <n v="121"/>
    <m/>
    <m/>
    <n v="341"/>
    <n v="3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6"/>
    <n v="497"/>
  </r>
  <r>
    <x v="9"/>
    <s v="South Piedmont Community College"/>
    <n v="197850"/>
    <x v="7"/>
    <n v="241"/>
    <n v="266"/>
    <m/>
    <m/>
    <n v="143"/>
    <n v="1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4"/>
    <n v="408"/>
  </r>
  <r>
    <x v="9"/>
    <s v="Southeastern Community College "/>
    <n v="199722"/>
    <x v="7"/>
    <n v="132"/>
    <n v="177"/>
    <m/>
    <m/>
    <n v="121"/>
    <n v="1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3"/>
    <n v="283"/>
  </r>
  <r>
    <x v="9"/>
    <s v="Southwestern Community College "/>
    <n v="199731"/>
    <x v="7"/>
    <n v="108"/>
    <n v="114"/>
    <m/>
    <m/>
    <n v="252"/>
    <n v="2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0"/>
    <n v="362"/>
  </r>
  <r>
    <x v="9"/>
    <s v="Stanly Community College"/>
    <n v="199740"/>
    <x v="7"/>
    <n v="283"/>
    <n v="279"/>
    <m/>
    <m/>
    <n v="253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6"/>
    <n v="552"/>
  </r>
  <r>
    <x v="9"/>
    <s v="Surry Community College "/>
    <n v="199768"/>
    <x v="7"/>
    <n v="71"/>
    <n v="96"/>
    <m/>
    <m/>
    <n v="347"/>
    <n v="3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8"/>
    <n v="467"/>
  </r>
  <r>
    <x v="9"/>
    <s v="Vance-Granville Community College "/>
    <n v="199838"/>
    <x v="7"/>
    <n v="264"/>
    <n v="320"/>
    <m/>
    <m/>
    <n v="328"/>
    <n v="3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2"/>
    <n v="643"/>
  </r>
  <r>
    <x v="9"/>
    <s v="Wayne Community College"/>
    <n v="199892"/>
    <x v="7"/>
    <n v="124"/>
    <n v="159"/>
    <m/>
    <m/>
    <n v="350"/>
    <n v="3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4"/>
    <n v="516"/>
  </r>
  <r>
    <x v="9"/>
    <s v="Western Piedmont Community College "/>
    <n v="199908"/>
    <x v="7"/>
    <n v="267"/>
    <n v="145"/>
    <m/>
    <m/>
    <n v="357"/>
    <n v="3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4"/>
    <n v="502"/>
  </r>
  <r>
    <x v="9"/>
    <s v="Wilkes Community College "/>
    <n v="199926"/>
    <x v="7"/>
    <n v="115"/>
    <n v="147"/>
    <m/>
    <m/>
    <n v="279"/>
    <n v="3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4"/>
    <n v="447"/>
  </r>
  <r>
    <x v="9"/>
    <s v="Wilson Technical Community College"/>
    <n v="199953"/>
    <x v="7"/>
    <n v="191"/>
    <n v="135"/>
    <m/>
    <m/>
    <n v="197"/>
    <n v="1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8"/>
    <n v="308"/>
  </r>
  <r>
    <x v="9"/>
    <s v="Beaufort County Community College "/>
    <n v="197966"/>
    <x v="8"/>
    <n v="128"/>
    <n v="122"/>
    <m/>
    <m/>
    <n v="149"/>
    <n v="1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7"/>
    <n v="290"/>
  </r>
  <r>
    <x v="9"/>
    <s v="Bladen Community College"/>
    <n v="198011"/>
    <x v="8"/>
    <n v="110"/>
    <n v="119"/>
    <m/>
    <m/>
    <n v="102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2"/>
    <n v="221"/>
  </r>
  <r>
    <x v="9"/>
    <s v="Brunswick Community College"/>
    <n v="198084"/>
    <x v="8"/>
    <n v="187"/>
    <n v="190"/>
    <m/>
    <m/>
    <n v="119"/>
    <n v="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6"/>
    <n v="282"/>
  </r>
  <r>
    <x v="9"/>
    <s v="Carteret Community College"/>
    <n v="198206"/>
    <x v="8"/>
    <n v="155"/>
    <n v="145"/>
    <m/>
    <m/>
    <n v="154"/>
    <n v="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9"/>
    <n v="273"/>
  </r>
  <r>
    <x v="9"/>
    <s v="Halifax Community College "/>
    <n v="198640"/>
    <x v="8"/>
    <n v="279"/>
    <n v="263"/>
    <m/>
    <m/>
    <n v="120"/>
    <n v="1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9"/>
    <n v="364"/>
  </r>
  <r>
    <x v="9"/>
    <s v="James Sprunt Community College"/>
    <n v="198729"/>
    <x v="8"/>
    <n v="206"/>
    <n v="194"/>
    <m/>
    <m/>
    <n v="161"/>
    <n v="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7"/>
    <n v="322"/>
  </r>
  <r>
    <x v="9"/>
    <s v="Martin Community College "/>
    <n v="198905"/>
    <x v="8"/>
    <n v="24"/>
    <n v="53"/>
    <m/>
    <m/>
    <n v="55"/>
    <n v="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"/>
    <n v="103"/>
  </r>
  <r>
    <x v="9"/>
    <s v="McDowell Technical Community College"/>
    <n v="198923"/>
    <x v="8"/>
    <n v="106"/>
    <n v="121"/>
    <m/>
    <m/>
    <n v="118"/>
    <n v="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4"/>
    <n v="202"/>
  </r>
  <r>
    <x v="9"/>
    <s v="Montgomery Community College"/>
    <n v="199023"/>
    <x v="8"/>
    <n v="156"/>
    <n v="164"/>
    <m/>
    <m/>
    <n v="102"/>
    <n v="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8"/>
    <n v="260"/>
  </r>
  <r>
    <x v="9"/>
    <s v="Pamlico Community College"/>
    <n v="199263"/>
    <x v="8"/>
    <n v="169"/>
    <n v="170"/>
    <m/>
    <m/>
    <n v="41"/>
    <n v="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0"/>
    <n v="194"/>
  </r>
  <r>
    <x v="9"/>
    <s v="Roanoke-Chowan Community College"/>
    <n v="199467"/>
    <x v="8"/>
    <n v="148"/>
    <n v="123"/>
    <m/>
    <m/>
    <n v="68"/>
    <n v="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6"/>
    <n v="191"/>
  </r>
  <r>
    <x v="9"/>
    <s v="Sampson Community College"/>
    <n v="199625"/>
    <x v="8"/>
    <n v="324"/>
    <n v="294"/>
    <m/>
    <m/>
    <n v="101"/>
    <n v="1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5"/>
    <n v="416"/>
  </r>
  <r>
    <x v="9"/>
    <s v="Tri-County Community College "/>
    <n v="199795"/>
    <x v="8"/>
    <n v="10"/>
    <n v="35"/>
    <m/>
    <m/>
    <n v="77"/>
    <n v="1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"/>
    <n v="138"/>
  </r>
  <r>
    <x v="10"/>
    <s v="Oklahoma State University Main Campus"/>
    <n v="207388"/>
    <x v="0"/>
    <m/>
    <m/>
    <m/>
    <m/>
    <m/>
    <m/>
    <n v="0"/>
    <n v="0"/>
    <n v="3818"/>
    <n v="296"/>
    <m/>
    <m/>
    <n v="296"/>
    <n v="3829"/>
    <n v="272"/>
    <m/>
    <m/>
    <n v="272"/>
    <m/>
    <m/>
    <m/>
    <m/>
    <m/>
    <m/>
    <m/>
    <m/>
    <m/>
    <m/>
    <m/>
    <m/>
    <m/>
    <m/>
    <m/>
    <m/>
    <m/>
    <m/>
    <m/>
    <m/>
    <n v="0"/>
    <n v="0.76851851851851849"/>
    <n v="0"/>
    <n v="0.73705486044273338"/>
    <n v="8"/>
    <n v="24"/>
    <n v="52"/>
    <n v="225"/>
    <n v="52"/>
    <n v="254"/>
    <n v="14"/>
    <n v="133"/>
    <n v="14"/>
    <n v="211"/>
    <n v="13"/>
    <n v="109"/>
    <n v="13"/>
    <n v="114"/>
    <n v="30"/>
    <n v="69"/>
    <n v="30"/>
    <n v="80"/>
    <n v="1"/>
    <n v="59"/>
    <n v="1"/>
    <n v="61"/>
    <n v="19"/>
    <n v="39"/>
    <n v="11"/>
    <n v="54"/>
    <n v="11"/>
    <n v="38"/>
    <s v="19"/>
    <n v="46"/>
    <n v="42"/>
    <n v="34"/>
    <n v="42"/>
    <n v="30"/>
    <n v="26"/>
    <n v="23"/>
    <n v="51"/>
    <n v="27"/>
    <n v="45"/>
    <n v="21"/>
    <n v="26"/>
    <n v="26"/>
    <m/>
    <m/>
    <n v="97"/>
    <n v="114"/>
    <n v="847"/>
    <n v="10"/>
    <n v="1017"/>
    <n v="10"/>
    <n v="42"/>
    <n v="25"/>
    <n v="42"/>
    <n v="33"/>
    <n v="13"/>
    <n v="19"/>
    <n v="13"/>
    <n v="25"/>
    <n v="1"/>
    <n v="18"/>
    <n v="14"/>
    <n v="21"/>
    <n v="14"/>
    <n v="15"/>
    <n v="1"/>
    <n v="15"/>
    <n v="26"/>
    <n v="11"/>
    <n v="26"/>
    <n v="15"/>
    <n v="19"/>
    <n v="9"/>
    <n v="40"/>
    <n v="15"/>
    <n v="40"/>
    <n v="9"/>
    <n v="52"/>
    <n v="9"/>
    <n v="52"/>
    <n v="9"/>
    <n v="45"/>
    <n v="8"/>
    <n v="23"/>
    <n v="6"/>
    <n v="51"/>
    <n v="7"/>
    <n v="3"/>
    <n v="4"/>
    <n v="31"/>
    <n v="6"/>
    <n v="16"/>
    <n v="18"/>
    <n v="141"/>
    <n v="10"/>
    <n v="0.1773049645390071"/>
    <n v="172"/>
    <n v="10"/>
    <n v="0.19186046511627908"/>
    <n v="988"/>
    <n v="1189"/>
    <m/>
    <m/>
    <m/>
    <m/>
    <m/>
    <m/>
    <m/>
    <m/>
    <m/>
    <m/>
    <m/>
    <m/>
    <n v="76"/>
    <n v="75"/>
    <n v="78"/>
    <n v="78"/>
    <m/>
    <m/>
    <m/>
    <m/>
    <n v="154"/>
    <n v="153"/>
    <n v="4968"/>
    <n v="5195"/>
  </r>
  <r>
    <x v="10"/>
    <s v="University of Oklahoma Norman Campus"/>
    <n v="207500"/>
    <x v="0"/>
    <m/>
    <m/>
    <m/>
    <m/>
    <m/>
    <m/>
    <n v="0"/>
    <n v="0"/>
    <n v="4419"/>
    <n v="190"/>
    <m/>
    <m/>
    <n v="190"/>
    <n v="4480"/>
    <n v="180"/>
    <m/>
    <m/>
    <n v="180"/>
    <m/>
    <m/>
    <m/>
    <m/>
    <m/>
    <m/>
    <m/>
    <m/>
    <m/>
    <m/>
    <m/>
    <m/>
    <m/>
    <m/>
    <m/>
    <m/>
    <m/>
    <m/>
    <m/>
    <m/>
    <n v="0"/>
    <n v="0.64220316814416512"/>
    <n v="0"/>
    <n v="0.61344652882377104"/>
    <n v="26"/>
    <n v="62"/>
    <n v="52"/>
    <n v="543"/>
    <n v="52"/>
    <n v="566"/>
    <n v="51"/>
    <n v="185"/>
    <n v="51"/>
    <n v="363"/>
    <n v="44"/>
    <n v="152"/>
    <n v="44"/>
    <n v="180"/>
    <n v="30"/>
    <n v="128"/>
    <n v="30"/>
    <n v="155"/>
    <n v="13"/>
    <n v="96"/>
    <n v="13"/>
    <n v="149"/>
    <n v="14"/>
    <n v="92"/>
    <n v="14"/>
    <n v="110"/>
    <n v="45"/>
    <n v="81"/>
    <n v="24"/>
    <n v="95"/>
    <n v="25"/>
    <n v="69"/>
    <n v="25"/>
    <n v="68"/>
    <n v="24"/>
    <n v="65"/>
    <n v="45"/>
    <n v="58"/>
    <n v="40"/>
    <n v="56"/>
    <n v="40"/>
    <n v="44"/>
    <m/>
    <m/>
    <n v="223"/>
    <n v="215"/>
    <n v="1690"/>
    <n v="10"/>
    <n v="2003"/>
    <n v="10"/>
    <n v="13"/>
    <n v="36"/>
    <n v="40"/>
    <n v="40"/>
    <n v="14"/>
    <n v="30"/>
    <n v="13"/>
    <n v="28"/>
    <n v="26"/>
    <n v="29"/>
    <n v="14"/>
    <n v="27"/>
    <n v="40"/>
    <n v="25"/>
    <n v="45"/>
    <n v="18"/>
    <n v="45"/>
    <n v="15"/>
    <n v="42"/>
    <n v="17"/>
    <n v="42"/>
    <n v="13"/>
    <n v="26"/>
    <n v="13"/>
    <n v="52"/>
    <n v="11"/>
    <n v="50"/>
    <n v="13"/>
    <n v="50"/>
    <n v="7"/>
    <n v="30"/>
    <n v="9"/>
    <n v="31"/>
    <n v="6"/>
    <n v="54"/>
    <n v="8"/>
    <n v="23"/>
    <n v="5"/>
    <n v="52"/>
    <n v="6"/>
    <n v="22"/>
    <n v="26"/>
    <n v="199"/>
    <n v="10"/>
    <n v="0.18090452261306533"/>
    <n v="205"/>
    <n v="10"/>
    <n v="0.1951219512195122"/>
    <n v="1889"/>
    <n v="2208"/>
    <n v="164"/>
    <n v="156"/>
    <n v="139"/>
    <n v="148"/>
    <n v="58"/>
    <n v="55"/>
    <n v="119"/>
    <n v="130"/>
    <m/>
    <m/>
    <m/>
    <m/>
    <m/>
    <m/>
    <m/>
    <m/>
    <m/>
    <m/>
    <n v="67"/>
    <n v="64"/>
    <n v="547"/>
    <n v="553"/>
    <n v="6881"/>
    <n v="7303"/>
  </r>
  <r>
    <x v="10"/>
    <s v="Northeastern State University"/>
    <n v="207263"/>
    <x v="2"/>
    <m/>
    <m/>
    <m/>
    <m/>
    <m/>
    <m/>
    <n v="0"/>
    <n v="0"/>
    <n v="1526"/>
    <n v="406"/>
    <m/>
    <m/>
    <n v="406"/>
    <n v="1536"/>
    <n v="427"/>
    <m/>
    <m/>
    <n v="427"/>
    <m/>
    <m/>
    <m/>
    <m/>
    <m/>
    <m/>
    <m/>
    <m/>
    <m/>
    <m/>
    <m/>
    <m/>
    <m/>
    <m/>
    <m/>
    <m/>
    <m/>
    <m/>
    <m/>
    <m/>
    <n v="0"/>
    <n v="0.84123484013230432"/>
    <n v="0"/>
    <n v="0.84072249589490966"/>
    <m/>
    <m/>
    <n v="13"/>
    <n v="129"/>
    <n v="13"/>
    <n v="121"/>
    <n v="52"/>
    <n v="31"/>
    <n v="52"/>
    <n v="35"/>
    <n v="42"/>
    <n v="20"/>
    <n v="42"/>
    <n v="32"/>
    <n v="25"/>
    <n v="19"/>
    <n v="51"/>
    <n v="19"/>
    <n v="51"/>
    <n v="18"/>
    <n v="31"/>
    <n v="13"/>
    <n v="31"/>
    <n v="13"/>
    <n v="25"/>
    <n v="12"/>
    <n v="15"/>
    <n v="8"/>
    <n v="43"/>
    <n v="12"/>
    <n v="23"/>
    <n v="8"/>
    <n v="23"/>
    <n v="10"/>
    <n v="43"/>
    <n v="7"/>
    <n v="9"/>
    <n v="7"/>
    <n v="9"/>
    <n v="6"/>
    <n v="5"/>
    <n v="2"/>
    <m/>
    <m/>
    <n v="2"/>
    <n v="2"/>
    <n v="261"/>
    <n v="10"/>
    <n v="26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1"/>
    <n v="265"/>
    <m/>
    <m/>
    <m/>
    <m/>
    <m/>
    <m/>
    <m/>
    <m/>
    <m/>
    <m/>
    <n v="27"/>
    <n v="26"/>
    <m/>
    <m/>
    <m/>
    <m/>
    <m/>
    <m/>
    <m/>
    <m/>
    <n v="27"/>
    <n v="26"/>
    <n v="1814"/>
    <n v="1827"/>
  </r>
  <r>
    <x v="10"/>
    <s v="University of Central Oklahoma"/>
    <n v="206941"/>
    <x v="2"/>
    <m/>
    <m/>
    <m/>
    <m/>
    <m/>
    <m/>
    <n v="0"/>
    <n v="0"/>
    <n v="2199"/>
    <n v="269"/>
    <m/>
    <m/>
    <n v="269"/>
    <n v="2320"/>
    <n v="265"/>
    <m/>
    <m/>
    <n v="265"/>
    <m/>
    <m/>
    <m/>
    <m/>
    <m/>
    <m/>
    <m/>
    <m/>
    <m/>
    <m/>
    <m/>
    <m/>
    <m/>
    <m/>
    <m/>
    <m/>
    <m/>
    <m/>
    <m/>
    <m/>
    <n v="0"/>
    <n v="0.84511913912375092"/>
    <n v="0"/>
    <n v="0.84149437794704385"/>
    <n v="1"/>
    <n v="1"/>
    <n v="13"/>
    <n v="165"/>
    <n v="13"/>
    <n v="207"/>
    <n v="52"/>
    <n v="69"/>
    <n v="52"/>
    <n v="51"/>
    <n v="42"/>
    <n v="38"/>
    <n v="24"/>
    <n v="34"/>
    <n v="51"/>
    <n v="26"/>
    <n v="51"/>
    <n v="34"/>
    <n v="43"/>
    <n v="24"/>
    <n v="43"/>
    <n v="23"/>
    <n v="23"/>
    <n v="17"/>
    <n v="50"/>
    <n v="19"/>
    <n v="26"/>
    <n v="17"/>
    <n v="26"/>
    <n v="17"/>
    <n v="19"/>
    <n v="12"/>
    <n v="19"/>
    <n v="17"/>
    <n v="31"/>
    <n v="7"/>
    <n v="23"/>
    <n v="11"/>
    <n v="45"/>
    <n v="7"/>
    <n v="31"/>
    <n v="8"/>
    <m/>
    <m/>
    <n v="20"/>
    <n v="15"/>
    <n v="402"/>
    <n v="10"/>
    <n v="43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2"/>
    <n v="436"/>
    <m/>
    <m/>
    <m/>
    <m/>
    <m/>
    <m/>
    <m/>
    <m/>
    <m/>
    <m/>
    <m/>
    <m/>
    <m/>
    <m/>
    <m/>
    <m/>
    <m/>
    <m/>
    <m/>
    <m/>
    <n v="0"/>
    <n v="0"/>
    <n v="2602"/>
    <n v="2757"/>
  </r>
  <r>
    <x v="10"/>
    <s v="Cameron University "/>
    <n v="206914"/>
    <x v="4"/>
    <m/>
    <m/>
    <m/>
    <m/>
    <n v="191"/>
    <n v="186"/>
    <n v="0.36242884250474383"/>
    <n v="0.34508348794063082"/>
    <n v="527"/>
    <n v="82"/>
    <m/>
    <m/>
    <n v="82"/>
    <n v="539"/>
    <n v="101"/>
    <m/>
    <m/>
    <n v="101"/>
    <m/>
    <m/>
    <m/>
    <m/>
    <m/>
    <m/>
    <m/>
    <m/>
    <m/>
    <m/>
    <m/>
    <m/>
    <m/>
    <m/>
    <m/>
    <m/>
    <m/>
    <m/>
    <m/>
    <m/>
    <n v="0"/>
    <n v="0.64268292682926831"/>
    <n v="0"/>
    <n v="0.65731707317073174"/>
    <m/>
    <m/>
    <n v="13"/>
    <n v="51"/>
    <n v="13"/>
    <n v="39"/>
    <n v="42"/>
    <n v="32"/>
    <n v="42"/>
    <n v="35"/>
    <n v="52"/>
    <n v="18"/>
    <n v="52"/>
    <n v="21"/>
    <n v="2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"/>
    <n v="4"/>
    <n v="9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2"/>
    <n v="95"/>
    <m/>
    <m/>
    <m/>
    <m/>
    <m/>
    <m/>
    <m/>
    <m/>
    <m/>
    <m/>
    <m/>
    <m/>
    <m/>
    <m/>
    <m/>
    <m/>
    <m/>
    <m/>
    <m/>
    <m/>
    <n v="0"/>
    <n v="0"/>
    <n v="820"/>
    <n v="820"/>
  </r>
  <r>
    <x v="10"/>
    <s v="East Central University "/>
    <n v="207041"/>
    <x v="4"/>
    <m/>
    <m/>
    <m/>
    <m/>
    <m/>
    <m/>
    <n v="0"/>
    <n v="0"/>
    <n v="654"/>
    <n v="105"/>
    <m/>
    <m/>
    <n v="105"/>
    <n v="669"/>
    <n v="97"/>
    <m/>
    <m/>
    <n v="97"/>
    <m/>
    <m/>
    <m/>
    <m/>
    <m/>
    <m/>
    <m/>
    <m/>
    <m/>
    <m/>
    <m/>
    <m/>
    <m/>
    <m/>
    <m/>
    <m/>
    <m/>
    <m/>
    <m/>
    <m/>
    <n v="0"/>
    <n v="0.70932754880694138"/>
    <n v="0"/>
    <n v="0.68126272912423624"/>
    <m/>
    <m/>
    <n v="13"/>
    <n v="205"/>
    <n v="13"/>
    <n v="247"/>
    <n v="44"/>
    <n v="56"/>
    <n v="44"/>
    <n v="64"/>
    <n v="42"/>
    <n v="7"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8"/>
    <n v="3"/>
    <n v="3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8"/>
    <n v="313"/>
    <m/>
    <m/>
    <m/>
    <m/>
    <m/>
    <m/>
    <m/>
    <m/>
    <m/>
    <m/>
    <m/>
    <m/>
    <m/>
    <m/>
    <m/>
    <m/>
    <m/>
    <m/>
    <m/>
    <m/>
    <n v="0"/>
    <n v="0"/>
    <n v="922"/>
    <n v="982"/>
  </r>
  <r>
    <x v="10"/>
    <s v="Langston University"/>
    <n v="207209"/>
    <x v="4"/>
    <m/>
    <m/>
    <m/>
    <m/>
    <n v="9"/>
    <n v="12"/>
    <n v="2.9508196721311476E-2"/>
    <n v="3.6036036036036036E-2"/>
    <n v="305"/>
    <n v="19"/>
    <m/>
    <m/>
    <n v="19"/>
    <n v="333"/>
    <n v="26"/>
    <m/>
    <m/>
    <n v="26"/>
    <m/>
    <m/>
    <m/>
    <m/>
    <m/>
    <m/>
    <m/>
    <m/>
    <m/>
    <m/>
    <m/>
    <m/>
    <m/>
    <m/>
    <m/>
    <m/>
    <m/>
    <m/>
    <m/>
    <m/>
    <n v="0"/>
    <n v="0.87142857142857144"/>
    <n v="0"/>
    <n v="0.78169014084507038"/>
    <m/>
    <m/>
    <n v="13"/>
    <n v="18"/>
    <n v="51"/>
    <n v="45"/>
    <n v="51"/>
    <n v="18"/>
    <n v="13"/>
    <n v="20"/>
    <m/>
    <m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"/>
    <n v="7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"/>
    <n v="70"/>
    <m/>
    <m/>
    <m/>
    <m/>
    <m/>
    <m/>
    <m/>
    <m/>
    <m/>
    <m/>
    <m/>
    <m/>
    <m/>
    <m/>
    <m/>
    <m/>
    <m/>
    <m/>
    <m/>
    <n v="11"/>
    <n v="0"/>
    <n v="11"/>
    <n v="350"/>
    <n v="426"/>
  </r>
  <r>
    <x v="10"/>
    <s v="Northwestern Oklahoma State University "/>
    <n v="207306"/>
    <x v="4"/>
    <m/>
    <m/>
    <m/>
    <m/>
    <m/>
    <m/>
    <n v="0"/>
    <n v="0"/>
    <n v="320"/>
    <n v="77"/>
    <m/>
    <m/>
    <n v="77"/>
    <n v="340"/>
    <n v="65"/>
    <m/>
    <m/>
    <n v="65"/>
    <m/>
    <m/>
    <m/>
    <m/>
    <m/>
    <m/>
    <m/>
    <m/>
    <m/>
    <m/>
    <m/>
    <m/>
    <m/>
    <m/>
    <m/>
    <m/>
    <m/>
    <m/>
    <m/>
    <m/>
    <n v="0"/>
    <n v="0.83769633507853403"/>
    <n v="0"/>
    <n v="0.85642317380352639"/>
    <m/>
    <m/>
    <n v="13"/>
    <n v="40"/>
    <n v="13"/>
    <n v="35"/>
    <n v="42"/>
    <n v="22"/>
    <n v="4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2"/>
    <n v="5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2"/>
    <n v="57"/>
    <m/>
    <m/>
    <m/>
    <m/>
    <m/>
    <m/>
    <m/>
    <m/>
    <m/>
    <m/>
    <m/>
    <m/>
    <m/>
    <m/>
    <m/>
    <m/>
    <m/>
    <m/>
    <m/>
    <m/>
    <n v="0"/>
    <n v="0"/>
    <n v="382"/>
    <n v="397"/>
  </r>
  <r>
    <x v="10"/>
    <s v="Southeastern Oklahoma State University "/>
    <n v="207847"/>
    <x v="4"/>
    <m/>
    <m/>
    <m/>
    <m/>
    <m/>
    <m/>
    <n v="0"/>
    <n v="0"/>
    <n v="637"/>
    <n v="127"/>
    <m/>
    <m/>
    <n v="127"/>
    <n v="625"/>
    <n v="123"/>
    <m/>
    <m/>
    <n v="123"/>
    <m/>
    <m/>
    <m/>
    <m/>
    <m/>
    <m/>
    <m/>
    <m/>
    <m/>
    <m/>
    <m/>
    <m/>
    <m/>
    <m/>
    <m/>
    <m/>
    <m/>
    <m/>
    <m/>
    <m/>
    <n v="0"/>
    <n v="0.85733512786002697"/>
    <n v="0"/>
    <n v="0.81168831168831168"/>
    <m/>
    <m/>
    <n v="14"/>
    <n v="52"/>
    <n v="14"/>
    <n v="77"/>
    <n v="13"/>
    <n v="35"/>
    <n v="13"/>
    <n v="46"/>
    <n v="52"/>
    <n v="10"/>
    <n v="52"/>
    <n v="13"/>
    <n v="42"/>
    <n v="9"/>
    <n v="42"/>
    <n v="9"/>
    <m/>
    <m/>
    <m/>
    <m/>
    <m/>
    <m/>
    <m/>
    <m/>
    <m/>
    <m/>
    <m/>
    <m/>
    <m/>
    <m/>
    <m/>
    <m/>
    <m/>
    <m/>
    <m/>
    <m/>
    <m/>
    <m/>
    <m/>
    <m/>
    <m/>
    <m/>
    <m/>
    <m/>
    <n v="106"/>
    <n v="4"/>
    <n v="14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6"/>
    <n v="145"/>
    <m/>
    <m/>
    <m/>
    <m/>
    <m/>
    <m/>
    <m/>
    <m/>
    <m/>
    <m/>
    <m/>
    <m/>
    <m/>
    <m/>
    <m/>
    <m/>
    <m/>
    <m/>
    <m/>
    <m/>
    <n v="0"/>
    <n v="0"/>
    <n v="743"/>
    <n v="770"/>
  </r>
  <r>
    <x v="10"/>
    <s v="Southwestern Oklahoma State University"/>
    <n v="207865"/>
    <x v="4"/>
    <m/>
    <m/>
    <m/>
    <m/>
    <n v="101"/>
    <n v="109"/>
    <n v="0.17176870748299319"/>
    <n v="0.17723577235772359"/>
    <n v="588"/>
    <n v="112"/>
    <m/>
    <m/>
    <n v="112"/>
    <n v="615"/>
    <n v="102"/>
    <m/>
    <m/>
    <n v="102"/>
    <m/>
    <m/>
    <m/>
    <m/>
    <m/>
    <m/>
    <m/>
    <m/>
    <m/>
    <m/>
    <m/>
    <m/>
    <m/>
    <m/>
    <m/>
    <m/>
    <m/>
    <m/>
    <m/>
    <m/>
    <n v="0"/>
    <n v="0.59514170040485825"/>
    <n v="0"/>
    <n v="0.63271604938271608"/>
    <m/>
    <m/>
    <n v="13"/>
    <n v="187"/>
    <n v="13"/>
    <n v="142"/>
    <n v="52"/>
    <n v="23"/>
    <n v="52"/>
    <n v="13"/>
    <n v="42"/>
    <n v="2"/>
    <n v="42"/>
    <n v="12"/>
    <n v="50"/>
    <n v="2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14"/>
    <n v="4"/>
    <n v="16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4"/>
    <n v="168"/>
    <m/>
    <m/>
    <m/>
    <m/>
    <m/>
    <m/>
    <n v="85"/>
    <n v="80"/>
    <m/>
    <m/>
    <m/>
    <m/>
    <m/>
    <m/>
    <m/>
    <m/>
    <m/>
    <m/>
    <m/>
    <m/>
    <n v="85"/>
    <n v="80"/>
    <n v="988"/>
    <n v="972"/>
  </r>
  <r>
    <x v="10"/>
    <s v="Oklahoma Panhandle State University "/>
    <n v="207351"/>
    <x v="5"/>
    <m/>
    <m/>
    <m/>
    <m/>
    <n v="22"/>
    <n v="41"/>
    <n v="0.12021857923497267"/>
    <n v="0.20707070707070707"/>
    <n v="183"/>
    <n v="10"/>
    <m/>
    <m/>
    <n v="10"/>
    <n v="198"/>
    <n v="15"/>
    <m/>
    <m/>
    <n v="15"/>
    <m/>
    <m/>
    <m/>
    <m/>
    <m/>
    <m/>
    <m/>
    <m/>
    <m/>
    <m/>
    <m/>
    <m/>
    <m/>
    <m/>
    <m/>
    <m/>
    <m/>
    <m/>
    <m/>
    <m/>
    <n v="0"/>
    <n v="0.89268292682926831"/>
    <n v="0"/>
    <n v="0.828451882845188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5"/>
    <n v="239"/>
  </r>
  <r>
    <x v="10"/>
    <s v="Rogers State University"/>
    <n v="207661"/>
    <x v="5"/>
    <m/>
    <m/>
    <m/>
    <m/>
    <n v="201"/>
    <n v="211"/>
    <n v="1.2562500000000001"/>
    <n v="1.1164021164021165"/>
    <n v="160"/>
    <m/>
    <m/>
    <m/>
    <n v="0"/>
    <n v="189"/>
    <m/>
    <m/>
    <m/>
    <n v="0"/>
    <s v="52"/>
    <n v="60"/>
    <m/>
    <m/>
    <s v="45"/>
    <n v="24"/>
    <m/>
    <m/>
    <s v="15"/>
    <n v="22"/>
    <m/>
    <m/>
    <s v="26"/>
    <n v="22"/>
    <m/>
    <m/>
    <s v="24"/>
    <n v="16"/>
    <m/>
    <m/>
    <n v="5"/>
    <n v="0.44321329639889195"/>
    <n v="0"/>
    <n v="0.4724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1"/>
    <n v="400"/>
  </r>
  <r>
    <x v="10"/>
    <s v="University of Science and Arts of Oklahoma"/>
    <n v="207722"/>
    <x v="5"/>
    <m/>
    <m/>
    <m/>
    <m/>
    <m/>
    <m/>
    <n v="0"/>
    <n v="0"/>
    <n v="217"/>
    <n v="39"/>
    <m/>
    <m/>
    <n v="39"/>
    <n v="201"/>
    <n v="37"/>
    <m/>
    <m/>
    <n v="37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7"/>
    <n v="201"/>
  </r>
  <r>
    <x v="10"/>
    <s v="Oklahoma State University Technical Branch-Okmulgee "/>
    <n v="207564"/>
    <x v="12"/>
    <m/>
    <m/>
    <m/>
    <m/>
    <n v="488"/>
    <n v="516"/>
    <n v="8.5614035087719298"/>
    <n v="12"/>
    <n v="57"/>
    <m/>
    <m/>
    <m/>
    <n v="0"/>
    <n v="43"/>
    <m/>
    <m/>
    <m/>
    <n v="0"/>
    <s v="11"/>
    <n v="36"/>
    <s v="11"/>
    <n v="29"/>
    <s v="15"/>
    <n v="21"/>
    <s v="15"/>
    <n v="14"/>
    <m/>
    <m/>
    <m/>
    <m/>
    <m/>
    <m/>
    <m/>
    <m/>
    <m/>
    <m/>
    <m/>
    <m/>
    <n v="2"/>
    <n v="0.10458715596330276"/>
    <n v="2"/>
    <n v="7.692307692307692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5"/>
    <n v="559"/>
  </r>
  <r>
    <x v="10"/>
    <s v="Oklahoma City Community College "/>
    <n v="207449"/>
    <x v="6"/>
    <n v="54"/>
    <n v="123"/>
    <m/>
    <m/>
    <n v="1000"/>
    <n v="11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54"/>
    <n v="1303"/>
  </r>
  <r>
    <x v="10"/>
    <s v="Tulsa Community College "/>
    <n v="207935"/>
    <x v="6"/>
    <n v="296"/>
    <n v="255"/>
    <m/>
    <m/>
    <n v="2023"/>
    <n v="17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19"/>
    <n v="1974"/>
  </r>
  <r>
    <x v="10"/>
    <s v="Northern Oklahoma College "/>
    <n v="207281"/>
    <x v="7"/>
    <m/>
    <m/>
    <m/>
    <m/>
    <n v="632"/>
    <n v="7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2"/>
    <n v="704"/>
  </r>
  <r>
    <x v="10"/>
    <s v="Oklahoma State University-Oklahoma City "/>
    <n v="207397"/>
    <x v="7"/>
    <n v="28"/>
    <n v="26"/>
    <m/>
    <m/>
    <n v="460"/>
    <n v="503"/>
    <n v="0"/>
    <n v="167.66666666666666"/>
    <m/>
    <m/>
    <m/>
    <m/>
    <n v="0"/>
    <n v="3"/>
    <m/>
    <m/>
    <m/>
    <n v="0"/>
    <m/>
    <m/>
    <s v="43"/>
    <n v="3"/>
    <m/>
    <m/>
    <m/>
    <m/>
    <m/>
    <m/>
    <m/>
    <m/>
    <m/>
    <m/>
    <m/>
    <m/>
    <m/>
    <m/>
    <m/>
    <m/>
    <n v="0"/>
    <n v="0"/>
    <n v="1"/>
    <n v="5.639097744360901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8"/>
    <n v="532"/>
  </r>
  <r>
    <x v="10"/>
    <s v="Rose State College "/>
    <n v="207670"/>
    <x v="7"/>
    <n v="5"/>
    <n v="6"/>
    <m/>
    <m/>
    <n v="697"/>
    <n v="7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2"/>
    <n v="726"/>
  </r>
  <r>
    <x v="10"/>
    <s v="Carl Albert State College"/>
    <n v="206923"/>
    <x v="8"/>
    <n v="43"/>
    <n v="54"/>
    <m/>
    <m/>
    <n v="423"/>
    <n v="4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6"/>
    <n v="547"/>
  </r>
  <r>
    <x v="10"/>
    <s v="Connors State College "/>
    <n v="206996"/>
    <x v="8"/>
    <n v="7"/>
    <n v="14"/>
    <m/>
    <m/>
    <n v="280"/>
    <n v="3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7"/>
    <n v="326"/>
  </r>
  <r>
    <x v="10"/>
    <s v="Eastern Oklahoma State College "/>
    <n v="207050"/>
    <x v="8"/>
    <n v="2"/>
    <n v="3"/>
    <m/>
    <m/>
    <n v="277"/>
    <n v="2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9"/>
    <n v="236"/>
  </r>
  <r>
    <x v="10"/>
    <s v="Murray State College "/>
    <n v="207236"/>
    <x v="8"/>
    <n v="6"/>
    <n v="8"/>
    <m/>
    <m/>
    <n v="328"/>
    <n v="3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4"/>
    <n v="330"/>
  </r>
  <r>
    <x v="10"/>
    <s v="Northeastern Oklahoma A &amp; M College "/>
    <n v="207290"/>
    <x v="8"/>
    <n v="24"/>
    <n v="36"/>
    <m/>
    <m/>
    <n v="306"/>
    <n v="3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0"/>
    <n v="354"/>
  </r>
  <r>
    <x v="10"/>
    <s v="Redlands Community College"/>
    <n v="207069"/>
    <x v="8"/>
    <n v="39"/>
    <n v="26"/>
    <m/>
    <m/>
    <n v="255"/>
    <n v="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4"/>
    <n v="249"/>
  </r>
  <r>
    <x v="10"/>
    <s v="Seminole State College "/>
    <n v="207740"/>
    <x v="8"/>
    <n v="15"/>
    <n v="19"/>
    <m/>
    <m/>
    <n v="268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3"/>
    <n v="259"/>
  </r>
  <r>
    <x v="10"/>
    <s v="Western Oklahoma State College "/>
    <n v="208035"/>
    <x v="8"/>
    <n v="25"/>
    <n v="28"/>
    <m/>
    <m/>
    <n v="273"/>
    <n v="2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8"/>
    <n v="277"/>
  </r>
  <r>
    <x v="10"/>
    <s v="Canadian Valley Technology Center                 "/>
    <n v="365374"/>
    <x v="9"/>
    <n v="365"/>
    <n v="480"/>
    <m/>
    <n v="3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5"/>
    <n v="517"/>
  </r>
  <r>
    <x v="10"/>
    <s v="Francis Tuttle Technology Center                  "/>
    <n v="245999"/>
    <x v="9"/>
    <n v="456"/>
    <n v="768"/>
    <n v="7"/>
    <n v="18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3"/>
    <n v="786"/>
  </r>
  <r>
    <x v="10"/>
    <s v="Great Plains Technology Center                    "/>
    <n v="364548"/>
    <x v="9"/>
    <n v="149"/>
    <n v="426"/>
    <n v="43"/>
    <n v="3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2"/>
    <n v="463"/>
  </r>
  <r>
    <x v="10"/>
    <s v="Metro Technology Centers                          "/>
    <n v="363165"/>
    <x v="9"/>
    <n v="344"/>
    <n v="477"/>
    <n v="130"/>
    <n v="3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4"/>
    <n v="507"/>
  </r>
  <r>
    <x v="10"/>
    <s v="Tulsa Technology Center-Broken Arrow Campus       "/>
    <n v="261393"/>
    <x v="9"/>
    <n v="133"/>
    <n v="417"/>
    <n v="4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"/>
    <n v="426"/>
  </r>
  <r>
    <x v="10"/>
    <s v="Autry Technology Center                           "/>
    <n v="365213"/>
    <x v="10"/>
    <n v="158"/>
    <n v="271"/>
    <n v="13"/>
    <n v="3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1"/>
    <n v="303"/>
  </r>
  <r>
    <x v="10"/>
    <s v="Caddo Kiowa Technology Center                     "/>
    <n v="364946"/>
    <x v="10"/>
    <n v="99"/>
    <n v="186"/>
    <m/>
    <n v="1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9"/>
    <n v="198"/>
  </r>
  <r>
    <x v="10"/>
    <s v="Central Technology Center                         "/>
    <n v="246017"/>
    <x v="10"/>
    <n v="179"/>
    <n v="911"/>
    <m/>
    <n v="1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9"/>
    <n v="925"/>
  </r>
  <r>
    <x v="10"/>
    <s v="Chisholm Trail Technology Center                  "/>
    <n v="375656"/>
    <x v="10"/>
    <n v="23"/>
    <n v="34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"/>
    <n v="35"/>
  </r>
  <r>
    <x v="10"/>
    <s v="Eastern Oklahoma County Technology Center         "/>
    <n v="418348"/>
    <x v="10"/>
    <n v="77"/>
    <n v="301"/>
    <n v="7"/>
    <n v="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"/>
    <n v="305"/>
  </r>
  <r>
    <x v="10"/>
    <s v="Gordon Cooper Technology Center                   "/>
    <n v="375683"/>
    <x v="10"/>
    <n v="231"/>
    <n v="277"/>
    <n v="76"/>
    <n v="38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7"/>
    <n v="315"/>
  </r>
  <r>
    <x v="10"/>
    <s v="Green Country Technology Center                   "/>
    <n v="428019"/>
    <x v="10"/>
    <n v="128"/>
    <n v="144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8"/>
    <n v="145"/>
  </r>
  <r>
    <x v="10"/>
    <s v="High Plains Technology Center                     "/>
    <n v="208053"/>
    <x v="10"/>
    <n v="61"/>
    <n v="97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"/>
    <n v="97"/>
  </r>
  <r>
    <x v="10"/>
    <s v="Indian Capital Technology Center-Muskogee         "/>
    <n v="418296"/>
    <x v="10"/>
    <n v="221"/>
    <n v="315"/>
    <m/>
    <n v="4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1"/>
    <n v="361"/>
  </r>
  <r>
    <x v="10"/>
    <s v="Indian Capital Technology Center-Sallisaw         "/>
    <n v="421540"/>
    <x v="10"/>
    <n v="114"/>
    <n v="104"/>
    <m/>
    <n v="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4"/>
    <n v="108"/>
  </r>
  <r>
    <x v="10"/>
    <s v="Indian Capital Technology Center-Stilwell         "/>
    <n v="421559"/>
    <x v="10"/>
    <n v="50"/>
    <n v="93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"/>
    <n v="94"/>
  </r>
  <r>
    <x v="10"/>
    <s v="Indian Capital Technology Center-Tahlequah        "/>
    <n v="208026"/>
    <x v="10"/>
    <n v="120"/>
    <n v="159"/>
    <m/>
    <n v="1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"/>
    <n v="174"/>
  </r>
  <r>
    <x v="10"/>
    <s v="Kiamichi Technology Center-Atoka                  "/>
    <n v="375692"/>
    <x v="10"/>
    <n v="32"/>
    <n v="6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"/>
    <n v="65"/>
  </r>
  <r>
    <x v="10"/>
    <s v="Kiamichi Technology Center-Durant                 "/>
    <n v="375708"/>
    <x v="10"/>
    <n v="40"/>
    <n v="84"/>
    <n v="14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"/>
    <n v="84"/>
  </r>
  <r>
    <x v="10"/>
    <s v="Kiamichi Technology Center-Hugo                   "/>
    <n v="375717"/>
    <x v="10"/>
    <n v="91"/>
    <n v="1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1"/>
    <n v="168"/>
  </r>
  <r>
    <x v="10"/>
    <s v="Kiamichi Technology Center-Idabel                 "/>
    <n v="375735"/>
    <x v="10"/>
    <n v="29"/>
    <n v="143"/>
    <n v="46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"/>
    <n v="143"/>
  </r>
  <r>
    <x v="10"/>
    <s v="Kiamichi Technology Center-McAlester              "/>
    <n v="375726"/>
    <x v="10"/>
    <n v="37"/>
    <n v="248"/>
    <n v="106"/>
    <n v="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"/>
    <n v="251"/>
  </r>
  <r>
    <x v="10"/>
    <s v="Kiamichi Technology Center-Poteau                 "/>
    <n v="375744"/>
    <x v="10"/>
    <n v="31"/>
    <n v="212"/>
    <n v="5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"/>
    <n v="212"/>
  </r>
  <r>
    <x v="10"/>
    <s v="Kiamichi Technology Center-Spiro                  "/>
    <n v="375753"/>
    <x v="10"/>
    <m/>
    <n v="38"/>
    <n v="1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"/>
    <n v="38"/>
  </r>
  <r>
    <x v="10"/>
    <s v="Kiamichi Technology Center-Stigler                "/>
    <n v="405748"/>
    <x v="10"/>
    <m/>
    <n v="45"/>
    <n v="15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"/>
    <n v="45"/>
  </r>
  <r>
    <x v="10"/>
    <s v="Kiamichi Technology Center-Talihina               "/>
    <n v="375762"/>
    <x v="10"/>
    <n v="41"/>
    <n v="32"/>
    <n v="3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"/>
    <n v="32"/>
  </r>
  <r>
    <x v="10"/>
    <s v="Meridian Technology Center                        "/>
    <n v="365480"/>
    <x v="10"/>
    <n v="185"/>
    <n v="296"/>
    <n v="39"/>
    <n v="3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4"/>
    <n v="327"/>
  </r>
  <r>
    <x v="10"/>
    <s v="Mid-America Technology Center                     "/>
    <n v="418320"/>
    <x v="10"/>
    <n v="214"/>
    <n v="250"/>
    <m/>
    <n v="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4"/>
    <n v="257"/>
  </r>
  <r>
    <x v="10"/>
    <s v="Mid-Del Technology Center                         "/>
    <n v="431017"/>
    <x v="10"/>
    <n v="60"/>
    <n v="23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"/>
    <n v="234"/>
  </r>
  <r>
    <x v="10"/>
    <s v="Moore Norman Technology Center                    "/>
    <n v="248606"/>
    <x v="10"/>
    <n v="309"/>
    <n v="545"/>
    <m/>
    <n v="7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9"/>
    <n v="624"/>
  </r>
  <r>
    <x v="10"/>
    <s v="Northeast Technology Center-Afton                 "/>
    <n v="420459"/>
    <x v="10"/>
    <n v="192"/>
    <n v="196"/>
    <m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2"/>
    <n v="201"/>
  </r>
  <r>
    <x v="10"/>
    <s v="Northeast Technology Center-Kansas                "/>
    <n v="432074"/>
    <x v="10"/>
    <n v="60"/>
    <n v="82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"/>
    <n v="82"/>
  </r>
  <r>
    <x v="10"/>
    <s v="Northeast Technology Center-Pryor                 "/>
    <n v="418339"/>
    <x v="10"/>
    <n v="151"/>
    <n v="298"/>
    <m/>
    <n v="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1"/>
    <n v="300"/>
  </r>
  <r>
    <x v="10"/>
    <s v="Northwest Technology Center-Alva                  "/>
    <n v="366623"/>
    <x v="10"/>
    <n v="36"/>
    <n v="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"/>
    <n v="36"/>
  </r>
  <r>
    <x v="10"/>
    <s v="Northwest Technology Center-Fairview              "/>
    <n v="407601"/>
    <x v="10"/>
    <n v="25"/>
    <n v="2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"/>
    <n v="28"/>
  </r>
  <r>
    <x v="10"/>
    <s v="Pioneer Technology Center                         "/>
    <n v="364627"/>
    <x v="10"/>
    <n v="163"/>
    <n v="164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3"/>
    <n v="165"/>
  </r>
  <r>
    <x v="10"/>
    <s v="Pontotoc Technology Center                        "/>
    <n v="206905"/>
    <x v="10"/>
    <n v="127"/>
    <n v="15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"/>
    <n v="155"/>
  </r>
  <r>
    <x v="10"/>
    <s v="Red River Technology Center                       "/>
    <n v="250993"/>
    <x v="10"/>
    <n v="131"/>
    <n v="157"/>
    <m/>
    <n v="2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1"/>
    <n v="181"/>
  </r>
  <r>
    <x v="10"/>
    <s v="Southern Oklahoma Technology Center               "/>
    <n v="365198"/>
    <x v="10"/>
    <n v="215"/>
    <n v="220"/>
    <m/>
    <n v="2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5"/>
    <n v="240"/>
  </r>
  <r>
    <x v="10"/>
    <s v="Southwest Technology Center                       "/>
    <n v="368364"/>
    <x v="10"/>
    <n v="86"/>
    <n v="131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"/>
    <n v="131"/>
  </r>
  <r>
    <x v="10"/>
    <s v="Tri County Technology Center                      "/>
    <n v="418287"/>
    <x v="10"/>
    <n v="200"/>
    <n v="244"/>
    <m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0"/>
    <n v="254"/>
  </r>
  <r>
    <x v="10"/>
    <s v="Tulsa County Area Voc Tech School Dist 18-Peoria  "/>
    <n v="207607"/>
    <x v="10"/>
    <n v="272"/>
    <n v="55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2"/>
    <n v="552"/>
  </r>
  <r>
    <x v="10"/>
    <s v="Tulsa Technology Center-Lemley Campus             "/>
    <n v="261375"/>
    <x v="10"/>
    <n v="493"/>
    <n v="571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3"/>
    <n v="571"/>
  </r>
  <r>
    <x v="10"/>
    <s v="Tulsa Technology Center-Riverside Campus          "/>
    <n v="261384"/>
    <x v="10"/>
    <n v="164"/>
    <n v="245"/>
    <n v="44"/>
    <n v="3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8"/>
    <n v="282"/>
  </r>
  <r>
    <x v="10"/>
    <s v="Wes Watkins Technology Center                     "/>
    <n v="418357"/>
    <x v="10"/>
    <n v="87"/>
    <n v="9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"/>
    <n v="94"/>
  </r>
  <r>
    <x v="10"/>
    <s v="Western Technology Center                         "/>
    <n v="418302"/>
    <x v="10"/>
    <n v="167"/>
    <n v="177"/>
    <m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7"/>
    <n v="182"/>
  </r>
  <r>
    <x v="10"/>
    <s v="Northeast Technology Center-Claremore"/>
    <s v="NEW"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11"/>
    <s v="Clemson University"/>
    <n v="217882"/>
    <x v="0"/>
    <m/>
    <n v="0"/>
    <m/>
    <m/>
    <m/>
    <m/>
    <n v="0"/>
    <n v="0"/>
    <n v="3075"/>
    <n v="255"/>
    <m/>
    <m/>
    <n v="255"/>
    <n v="3198"/>
    <n v="199"/>
    <m/>
    <m/>
    <n v="199"/>
    <m/>
    <m/>
    <m/>
    <m/>
    <m/>
    <m/>
    <m/>
    <m/>
    <m/>
    <m/>
    <m/>
    <m/>
    <m/>
    <m/>
    <m/>
    <m/>
    <m/>
    <m/>
    <m/>
    <m/>
    <n v="0"/>
    <n v="0.75944677698197083"/>
    <n v="0"/>
    <n v="0.77153196622436671"/>
    <m/>
    <m/>
    <n v="13"/>
    <n v="203"/>
    <n v="13"/>
    <n v="189"/>
    <n v="14"/>
    <n v="153"/>
    <n v="14"/>
    <n v="154"/>
    <n v="52"/>
    <n v="144"/>
    <n v="52"/>
    <n v="128"/>
    <n v="4"/>
    <n v="45"/>
    <n v="51"/>
    <n v="36"/>
    <n v="51"/>
    <n v="33"/>
    <n v="4"/>
    <n v="32"/>
    <n v="23"/>
    <n v="28"/>
    <n v="27"/>
    <n v="30"/>
    <n v="11"/>
    <n v="27"/>
    <n v="11"/>
    <n v="26"/>
    <n v="27"/>
    <n v="26"/>
    <n v="45"/>
    <n v="22"/>
    <n v="1"/>
    <n v="23"/>
    <n v="1"/>
    <n v="21"/>
    <n v="9"/>
    <n v="18"/>
    <n v="23"/>
    <n v="18"/>
    <m/>
    <m/>
    <n v="129"/>
    <n v="129"/>
    <n v="829"/>
    <n v="10"/>
    <n v="785"/>
    <n v="10"/>
    <n v="14"/>
    <n v="50"/>
    <n v="14"/>
    <n v="45"/>
    <n v="26"/>
    <n v="20"/>
    <n v="40"/>
    <n v="25"/>
    <n v="40"/>
    <n v="19"/>
    <n v="1"/>
    <n v="22"/>
    <n v="1"/>
    <n v="16"/>
    <n v="26"/>
    <n v="21"/>
    <n v="13"/>
    <n v="10"/>
    <n v="13"/>
    <n v="18"/>
    <n v="11"/>
    <n v="7"/>
    <n v="27"/>
    <n v="10"/>
    <n v="42"/>
    <n v="7"/>
    <n v="31"/>
    <n v="6"/>
    <n v="27"/>
    <n v="6"/>
    <n v="3"/>
    <n v="4"/>
    <n v="31"/>
    <n v="3"/>
    <n v="42"/>
    <n v="3"/>
    <n v="44"/>
    <n v="2"/>
    <n v="4"/>
    <n v="2"/>
    <n v="5"/>
    <n v="6"/>
    <n v="145"/>
    <n v="10"/>
    <n v="0.34482758620689657"/>
    <n v="162"/>
    <n v="10"/>
    <n v="0.27777777777777779"/>
    <n v="974"/>
    <n v="947"/>
    <m/>
    <m/>
    <m/>
    <m/>
    <m/>
    <m/>
    <m/>
    <m/>
    <m/>
    <m/>
    <m/>
    <m/>
    <m/>
    <m/>
    <m/>
    <m/>
    <m/>
    <m/>
    <m/>
    <m/>
    <n v="0"/>
    <n v="0"/>
    <n v="4049"/>
    <n v="4145"/>
  </r>
  <r>
    <x v="11"/>
    <s v="University of South Carolina-Columbia"/>
    <n v="218663"/>
    <x v="0"/>
    <m/>
    <n v="0"/>
    <n v="13"/>
    <n v="13"/>
    <n v="11"/>
    <n v="5"/>
    <n v="2.8773214752811928E-3"/>
    <n v="1.2218963831867058E-3"/>
    <n v="3823"/>
    <n v="221"/>
    <m/>
    <n v="33"/>
    <n v="254"/>
    <n v="4092"/>
    <n v="261"/>
    <m/>
    <n v="22"/>
    <n v="283"/>
    <m/>
    <m/>
    <m/>
    <m/>
    <m/>
    <m/>
    <m/>
    <m/>
    <m/>
    <m/>
    <m/>
    <m/>
    <m/>
    <m/>
    <m/>
    <m/>
    <m/>
    <m/>
    <m/>
    <m/>
    <n v="0"/>
    <n v="0.61910931174089068"/>
    <n v="0"/>
    <n v="0.63284874729353546"/>
    <n v="47"/>
    <n v="64"/>
    <n v="13"/>
    <n v="378"/>
    <n v="52"/>
    <n v="325"/>
    <n v="52"/>
    <n v="316"/>
    <n v="13"/>
    <n v="316"/>
    <n v="44"/>
    <n v="214"/>
    <n v="44"/>
    <n v="233"/>
    <n v="25"/>
    <n v="201"/>
    <n v="51"/>
    <n v="170"/>
    <n v="51"/>
    <n v="175"/>
    <n v="25"/>
    <n v="149"/>
    <n v="14"/>
    <n v="74"/>
    <n v="14"/>
    <n v="82"/>
    <n v="45"/>
    <n v="43"/>
    <n v="45"/>
    <n v="54"/>
    <n v="26"/>
    <n v="32"/>
    <n v="50"/>
    <n v="54"/>
    <n v="50"/>
    <n v="31"/>
    <n v="40"/>
    <n v="38"/>
    <n v="16"/>
    <n v="30"/>
    <n v="31"/>
    <n v="30"/>
    <m/>
    <m/>
    <n v="148"/>
    <n v="138"/>
    <n v="1642"/>
    <n v="10"/>
    <n v="1589"/>
    <n v="10"/>
    <n v="14"/>
    <n v="42"/>
    <n v="13"/>
    <n v="51"/>
    <n v="51"/>
    <n v="39"/>
    <n v="51"/>
    <n v="43"/>
    <n v="13"/>
    <n v="35"/>
    <n v="40"/>
    <n v="37"/>
    <n v="40"/>
    <n v="25"/>
    <n v="14"/>
    <n v="28"/>
    <n v="26"/>
    <n v="18"/>
    <n v="45"/>
    <n v="23"/>
    <n v="42"/>
    <n v="17"/>
    <n v="26"/>
    <n v="22"/>
    <n v="23"/>
    <n v="12"/>
    <n v="23"/>
    <n v="11"/>
    <n v="27"/>
    <n v="12"/>
    <n v="42"/>
    <n v="11"/>
    <n v="45"/>
    <n v="12"/>
    <n v="52"/>
    <n v="10"/>
    <n v="50"/>
    <n v="9"/>
    <n v="50"/>
    <n v="9"/>
    <n v="22"/>
    <n v="25"/>
    <n v="243"/>
    <n v="10"/>
    <n v="0.1728395061728395"/>
    <n v="270"/>
    <n v="10"/>
    <n v="0.18888888888888888"/>
    <n v="1885"/>
    <n v="1859"/>
    <n v="213"/>
    <n v="245"/>
    <n v="76"/>
    <n v="68"/>
    <m/>
    <m/>
    <n v="107"/>
    <n v="120"/>
    <m/>
    <m/>
    <m/>
    <m/>
    <m/>
    <m/>
    <m/>
    <m/>
    <m/>
    <m/>
    <m/>
    <m/>
    <n v="396"/>
    <n v="433"/>
    <n v="6175"/>
    <n v="6466"/>
  </r>
  <r>
    <x v="11"/>
    <s v="College of Charleston"/>
    <n v="217819"/>
    <x v="2"/>
    <m/>
    <n v="0"/>
    <m/>
    <m/>
    <m/>
    <m/>
    <n v="0"/>
    <n v="0"/>
    <n v="2140"/>
    <n v="187"/>
    <m/>
    <n v="23"/>
    <n v="210"/>
    <n v="2058"/>
    <n v="186"/>
    <m/>
    <n v="15"/>
    <n v="201"/>
    <m/>
    <m/>
    <m/>
    <m/>
    <m/>
    <m/>
    <m/>
    <m/>
    <m/>
    <m/>
    <m/>
    <m/>
    <m/>
    <m/>
    <m/>
    <m/>
    <m/>
    <m/>
    <m/>
    <m/>
    <n v="0"/>
    <n v="0.91727389627089584"/>
    <n v="0"/>
    <n v="0.92286995515695069"/>
    <n v="4"/>
    <n v="5"/>
    <n v="13"/>
    <n v="52"/>
    <n v="13"/>
    <n v="37"/>
    <n v="52"/>
    <n v="31"/>
    <n v="52"/>
    <n v="31"/>
    <n v="3"/>
    <n v="29"/>
    <n v="44"/>
    <n v="22"/>
    <n v="44"/>
    <n v="19"/>
    <n v="3"/>
    <n v="18"/>
    <n v="26"/>
    <n v="16"/>
    <n v="26"/>
    <n v="14"/>
    <n v="54"/>
    <n v="12"/>
    <n v="23"/>
    <n v="13"/>
    <n v="23"/>
    <n v="11"/>
    <n v="54"/>
    <n v="13"/>
    <n v="27"/>
    <n v="9"/>
    <n v="9"/>
    <n v="7"/>
    <n v="9"/>
    <n v="4"/>
    <n v="27"/>
    <n v="6"/>
    <n v="11"/>
    <n v="4"/>
    <n v="11"/>
    <n v="4"/>
    <m/>
    <m/>
    <n v="2"/>
    <n v="2"/>
    <n v="189"/>
    <n v="10"/>
    <n v="16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9"/>
    <n v="167"/>
    <m/>
    <m/>
    <m/>
    <m/>
    <m/>
    <m/>
    <m/>
    <m/>
    <m/>
    <m/>
    <m/>
    <m/>
    <m/>
    <m/>
    <m/>
    <m/>
    <m/>
    <m/>
    <m/>
    <m/>
    <n v="0"/>
    <n v="0"/>
    <n v="2333"/>
    <n v="2230"/>
  </r>
  <r>
    <x v="11"/>
    <s v="Winthrop University "/>
    <n v="218964"/>
    <x v="2"/>
    <n v="8"/>
    <n v="3"/>
    <m/>
    <m/>
    <m/>
    <m/>
    <n v="0"/>
    <n v="0"/>
    <n v="930"/>
    <n v="176"/>
    <m/>
    <n v="33"/>
    <n v="209"/>
    <n v="879"/>
    <n v="151"/>
    <m/>
    <n v="35"/>
    <n v="186"/>
    <m/>
    <m/>
    <m/>
    <m/>
    <m/>
    <m/>
    <m/>
    <m/>
    <m/>
    <m/>
    <m/>
    <m/>
    <m/>
    <m/>
    <m/>
    <m/>
    <m/>
    <m/>
    <m/>
    <m/>
    <n v="0"/>
    <n v="0.76732673267326734"/>
    <n v="0"/>
    <n v="0.75515463917525771"/>
    <m/>
    <m/>
    <n v="13"/>
    <n v="116"/>
    <n v="13"/>
    <n v="120"/>
    <n v="52"/>
    <n v="78"/>
    <n v="52"/>
    <n v="80"/>
    <n v="42"/>
    <n v="23"/>
    <n v="42"/>
    <n v="18"/>
    <n v="44"/>
    <n v="21"/>
    <n v="50"/>
    <n v="16"/>
    <n v="50"/>
    <n v="9"/>
    <n v="44"/>
    <n v="14"/>
    <n v="54"/>
    <n v="8"/>
    <n v="19"/>
    <n v="9"/>
    <n v="23"/>
    <n v="5"/>
    <n v="23"/>
    <n v="8"/>
    <n v="16"/>
    <n v="4"/>
    <n v="16"/>
    <n v="7"/>
    <n v="24"/>
    <n v="4"/>
    <n v="26"/>
    <n v="3"/>
    <n v="19"/>
    <n v="3"/>
    <n v="54"/>
    <n v="3"/>
    <m/>
    <m/>
    <n v="3"/>
    <n v="4"/>
    <n v="274"/>
    <n v="10"/>
    <n v="28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4"/>
    <n v="282"/>
    <m/>
    <m/>
    <m/>
    <m/>
    <m/>
    <m/>
    <m/>
    <m/>
    <m/>
    <m/>
    <m/>
    <m/>
    <m/>
    <m/>
    <m/>
    <m/>
    <m/>
    <m/>
    <m/>
    <m/>
    <n v="0"/>
    <n v="0"/>
    <n v="1212"/>
    <n v="1164"/>
  </r>
  <r>
    <x v="11"/>
    <s v="The Citadel, the Military College of South Carolina "/>
    <n v="217864"/>
    <x v="3"/>
    <m/>
    <n v="0"/>
    <m/>
    <m/>
    <m/>
    <m/>
    <n v="0"/>
    <n v="0"/>
    <n v="467"/>
    <n v="37"/>
    <m/>
    <m/>
    <n v="37"/>
    <n v="483"/>
    <n v="44"/>
    <m/>
    <m/>
    <n v="44"/>
    <m/>
    <m/>
    <m/>
    <m/>
    <m/>
    <m/>
    <m/>
    <m/>
    <m/>
    <m/>
    <m/>
    <m/>
    <m/>
    <m/>
    <m/>
    <m/>
    <m/>
    <m/>
    <m/>
    <m/>
    <n v="0"/>
    <n v="0.67877906976744184"/>
    <n v="0"/>
    <n v="0.62890625"/>
    <m/>
    <m/>
    <n v="13"/>
    <n v="88"/>
    <n v="13"/>
    <n v="120"/>
    <n v="52"/>
    <n v="80"/>
    <n v="52"/>
    <n v="92"/>
    <n v="42"/>
    <n v="23"/>
    <n v="42"/>
    <n v="34"/>
    <n v="45"/>
    <n v="11"/>
    <n v="26"/>
    <n v="18"/>
    <n v="26"/>
    <n v="7"/>
    <n v="45"/>
    <n v="8"/>
    <n v="11"/>
    <n v="4"/>
    <n v="31"/>
    <n v="7"/>
    <n v="23"/>
    <n v="4"/>
    <n v="54"/>
    <n v="3"/>
    <n v="31"/>
    <n v="4"/>
    <n v="23"/>
    <n v="2"/>
    <m/>
    <m/>
    <n v="11"/>
    <n v="1"/>
    <m/>
    <m/>
    <m/>
    <m/>
    <m/>
    <m/>
    <m/>
    <m/>
    <n v="221"/>
    <n v="8"/>
    <n v="28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1"/>
    <n v="285"/>
    <m/>
    <m/>
    <m/>
    <m/>
    <m/>
    <m/>
    <m/>
    <m/>
    <m/>
    <m/>
    <m/>
    <m/>
    <m/>
    <m/>
    <m/>
    <m/>
    <m/>
    <m/>
    <m/>
    <m/>
    <n v="0"/>
    <n v="0"/>
    <n v="688"/>
    <n v="768"/>
  </r>
  <r>
    <x v="11"/>
    <s v="Coastal Carolina University"/>
    <n v="218724"/>
    <x v="4"/>
    <m/>
    <n v="0"/>
    <m/>
    <m/>
    <m/>
    <m/>
    <n v="0"/>
    <n v="0"/>
    <n v="1076"/>
    <n v="131"/>
    <m/>
    <m/>
    <n v="131"/>
    <n v="1223"/>
    <n v="127"/>
    <m/>
    <m/>
    <n v="127"/>
    <m/>
    <m/>
    <m/>
    <m/>
    <m/>
    <m/>
    <m/>
    <m/>
    <m/>
    <m/>
    <m/>
    <m/>
    <m/>
    <m/>
    <m/>
    <m/>
    <m/>
    <m/>
    <m/>
    <m/>
    <n v="0"/>
    <n v="0.9259896729776248"/>
    <n v="0"/>
    <n v="0.92792109256449162"/>
    <m/>
    <m/>
    <n v="13"/>
    <n v="66"/>
    <n v="13"/>
    <n v="61"/>
    <n v="52"/>
    <n v="16"/>
    <n v="52"/>
    <n v="21"/>
    <n v="26"/>
    <n v="4"/>
    <n v="26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3"/>
    <n v="9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6"/>
    <n v="95"/>
    <m/>
    <m/>
    <m/>
    <m/>
    <m/>
    <m/>
    <m/>
    <m/>
    <m/>
    <m/>
    <m/>
    <m/>
    <m/>
    <m/>
    <m/>
    <m/>
    <m/>
    <m/>
    <m/>
    <m/>
    <n v="0"/>
    <n v="0"/>
    <n v="1162"/>
    <n v="1318"/>
  </r>
  <r>
    <x v="11"/>
    <s v="Francis Marion University "/>
    <n v="218061"/>
    <x v="4"/>
    <m/>
    <n v="0"/>
    <m/>
    <m/>
    <m/>
    <m/>
    <n v="0"/>
    <n v="0"/>
    <n v="501"/>
    <n v="67"/>
    <m/>
    <n v="5"/>
    <n v="72"/>
    <n v="496"/>
    <n v="47"/>
    <m/>
    <n v="7"/>
    <n v="54"/>
    <m/>
    <m/>
    <m/>
    <m/>
    <m/>
    <m/>
    <m/>
    <m/>
    <m/>
    <m/>
    <m/>
    <m/>
    <m/>
    <m/>
    <m/>
    <m/>
    <m/>
    <m/>
    <m/>
    <m/>
    <n v="0"/>
    <n v="0.82809917355371898"/>
    <n v="0"/>
    <n v="0.85370051635111877"/>
    <m/>
    <m/>
    <n v="13"/>
    <n v="73"/>
    <n v="13"/>
    <n v="52"/>
    <n v="42"/>
    <n v="16"/>
    <n v="52"/>
    <n v="18"/>
    <n v="52"/>
    <n v="15"/>
    <n v="42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"/>
    <n v="3"/>
    <n v="8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4"/>
    <n v="85"/>
    <m/>
    <m/>
    <m/>
    <m/>
    <m/>
    <m/>
    <m/>
    <m/>
    <m/>
    <m/>
    <m/>
    <m/>
    <m/>
    <m/>
    <m/>
    <m/>
    <m/>
    <m/>
    <m/>
    <m/>
    <n v="0"/>
    <n v="0"/>
    <n v="605"/>
    <n v="581"/>
  </r>
  <r>
    <x v="11"/>
    <s v="South Carolina State University "/>
    <n v="218733"/>
    <x v="4"/>
    <m/>
    <n v="0"/>
    <m/>
    <m/>
    <m/>
    <m/>
    <n v="0"/>
    <n v="0"/>
    <n v="554"/>
    <n v="79"/>
    <m/>
    <m/>
    <n v="79"/>
    <n v="521"/>
    <n v="48"/>
    <m/>
    <m/>
    <n v="48"/>
    <m/>
    <m/>
    <m/>
    <m/>
    <m/>
    <m/>
    <m/>
    <m/>
    <m/>
    <m/>
    <m/>
    <m/>
    <m/>
    <m/>
    <m/>
    <m/>
    <m/>
    <m/>
    <m/>
    <m/>
    <n v="0"/>
    <n v="0.78581560283687946"/>
    <n v="0"/>
    <n v="0.70121130551816957"/>
    <m/>
    <m/>
    <n v="13"/>
    <n v="84"/>
    <n v="13"/>
    <n v="142"/>
    <n v="51"/>
    <n v="33"/>
    <n v="51"/>
    <n v="39"/>
    <n v="19"/>
    <n v="15"/>
    <n v="19"/>
    <n v="8"/>
    <n v="52"/>
    <n v="6"/>
    <n v="52"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138"/>
    <n v="4"/>
    <n v="193"/>
    <n v="4"/>
    <n v="13"/>
    <n v="13"/>
    <n v="13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29"/>
    <n v="1"/>
    <n v="1"/>
    <n v="151"/>
    <n v="222"/>
    <m/>
    <m/>
    <m/>
    <m/>
    <m/>
    <m/>
    <m/>
    <m/>
    <m/>
    <m/>
    <m/>
    <m/>
    <m/>
    <m/>
    <m/>
    <m/>
    <m/>
    <m/>
    <m/>
    <m/>
    <n v="0"/>
    <n v="0"/>
    <n v="705"/>
    <n v="743"/>
  </r>
  <r>
    <x v="11"/>
    <s v="Lander University"/>
    <n v="218229"/>
    <x v="5"/>
    <n v="1"/>
    <n v="4"/>
    <m/>
    <m/>
    <m/>
    <m/>
    <n v="0"/>
    <n v="0"/>
    <n v="404"/>
    <n v="52"/>
    <m/>
    <n v="8"/>
    <n v="60"/>
    <n v="449"/>
    <n v="68"/>
    <m/>
    <n v="6"/>
    <n v="74"/>
    <m/>
    <m/>
    <m/>
    <m/>
    <m/>
    <m/>
    <m/>
    <m/>
    <m/>
    <m/>
    <m/>
    <m/>
    <m/>
    <m/>
    <m/>
    <m/>
    <m/>
    <m/>
    <m/>
    <m/>
    <n v="0"/>
    <n v="0.96420047732696901"/>
    <n v="0"/>
    <n v="0.95127118644067798"/>
    <m/>
    <m/>
    <n v="13"/>
    <n v="14"/>
    <n v="1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"/>
    <n v="19"/>
    <m/>
    <m/>
    <m/>
    <m/>
    <m/>
    <m/>
    <m/>
    <m/>
    <m/>
    <m/>
    <m/>
    <m/>
    <m/>
    <m/>
    <m/>
    <m/>
    <m/>
    <m/>
    <m/>
    <m/>
    <n v="0"/>
    <n v="0"/>
    <n v="419"/>
    <n v="472"/>
  </r>
  <r>
    <x v="11"/>
    <s v="University of South Carolina-Aiken"/>
    <n v="218645"/>
    <x v="5"/>
    <m/>
    <n v="0"/>
    <m/>
    <m/>
    <m/>
    <m/>
    <n v="0"/>
    <n v="0"/>
    <n v="502"/>
    <n v="52"/>
    <m/>
    <m/>
    <n v="52"/>
    <n v="461"/>
    <n v="56"/>
    <m/>
    <m/>
    <n v="56"/>
    <m/>
    <m/>
    <m/>
    <m/>
    <m/>
    <m/>
    <m/>
    <m/>
    <m/>
    <m/>
    <m/>
    <m/>
    <m/>
    <m/>
    <m/>
    <m/>
    <m/>
    <m/>
    <m/>
    <m/>
    <n v="0"/>
    <n v="0.96724470134874763"/>
    <n v="0"/>
    <n v="0.97463002114164909"/>
    <m/>
    <m/>
    <n v="13"/>
    <n v="10"/>
    <n v="13"/>
    <n v="6"/>
    <n v="42"/>
    <n v="7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1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"/>
    <n v="12"/>
    <m/>
    <m/>
    <m/>
    <m/>
    <m/>
    <m/>
    <m/>
    <m/>
    <m/>
    <m/>
    <m/>
    <m/>
    <m/>
    <m/>
    <m/>
    <m/>
    <m/>
    <m/>
    <m/>
    <m/>
    <n v="0"/>
    <n v="0"/>
    <n v="519"/>
    <n v="473"/>
  </r>
  <r>
    <x v="11"/>
    <s v="University of South Carolina-Upstate"/>
    <n v="218742"/>
    <x v="5"/>
    <m/>
    <n v="0"/>
    <m/>
    <m/>
    <m/>
    <m/>
    <n v="0"/>
    <n v="0"/>
    <n v="927"/>
    <n v="149"/>
    <m/>
    <m/>
    <n v="149"/>
    <n v="997"/>
    <n v="164"/>
    <m/>
    <m/>
    <n v="164"/>
    <m/>
    <m/>
    <m/>
    <m/>
    <m/>
    <m/>
    <m/>
    <m/>
    <m/>
    <m/>
    <m/>
    <m/>
    <m/>
    <m/>
    <m/>
    <m/>
    <m/>
    <m/>
    <m/>
    <m/>
    <n v="0"/>
    <n v="0.98722044728434499"/>
    <n v="0"/>
    <n v="0.98420533070088845"/>
    <m/>
    <n v="2"/>
    <n v="13"/>
    <n v="12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14"/>
    <m/>
    <m/>
    <m/>
    <m/>
    <m/>
    <m/>
    <m/>
    <m/>
    <m/>
    <m/>
    <m/>
    <m/>
    <m/>
    <m/>
    <m/>
    <m/>
    <m/>
    <m/>
    <m/>
    <m/>
    <n v="0"/>
    <n v="0"/>
    <n v="939"/>
    <n v="1013"/>
  </r>
  <r>
    <x v="11"/>
    <s v="University of South Carolina-Beaufort"/>
    <n v="218654"/>
    <x v="5"/>
    <m/>
    <n v="0"/>
    <m/>
    <m/>
    <n v="24"/>
    <n v="5"/>
    <n v="0.17391304347826086"/>
    <n v="4.3103448275862072E-2"/>
    <n v="138"/>
    <n v="14"/>
    <m/>
    <m/>
    <n v="14"/>
    <n v="116"/>
    <n v="10"/>
    <m/>
    <m/>
    <n v="10"/>
    <n v="52"/>
    <n v="52"/>
    <n v="52"/>
    <n v="51"/>
    <n v="45"/>
    <n v="23"/>
    <n v="45"/>
    <n v="19"/>
    <n v="42"/>
    <n v="16"/>
    <n v="42"/>
    <n v="16"/>
    <n v="13"/>
    <n v="14"/>
    <n v="13"/>
    <n v="10"/>
    <n v="23"/>
    <n v="12"/>
    <n v="23"/>
    <n v="6"/>
    <n v="5"/>
    <n v="0.85185185185185186"/>
    <n v="5"/>
    <n v="0.958677685950413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2"/>
    <n v="121"/>
  </r>
  <r>
    <x v="11"/>
    <s v="Greenville Technical College "/>
    <n v="218113"/>
    <x v="6"/>
    <n v="1694"/>
    <n v="1492"/>
    <m/>
    <m/>
    <n v="1034"/>
    <n v="9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28"/>
    <n v="2457"/>
  </r>
  <r>
    <x v="11"/>
    <s v="Midlands Technical College "/>
    <n v="218353"/>
    <x v="6"/>
    <n v="799"/>
    <n v="850"/>
    <m/>
    <m/>
    <n v="905"/>
    <n v="9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04"/>
    <n v="1772"/>
  </r>
  <r>
    <x v="11"/>
    <s v="Trident Technical College "/>
    <n v="218894"/>
    <x v="6"/>
    <n v="707"/>
    <n v="825"/>
    <m/>
    <m/>
    <n v="914"/>
    <n v="10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21"/>
    <n v="1900"/>
  </r>
  <r>
    <x v="11"/>
    <s v="Aiken Technical College "/>
    <n v="217615"/>
    <x v="7"/>
    <n v="412"/>
    <n v="472"/>
    <m/>
    <m/>
    <n v="224"/>
    <n v="2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6"/>
    <n v="732"/>
  </r>
  <r>
    <x v="11"/>
    <s v="Central Carolina Technical College "/>
    <n v="218858"/>
    <x v="7"/>
    <n v="364"/>
    <n v="394"/>
    <m/>
    <m/>
    <n v="216"/>
    <n v="2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0"/>
    <n v="645"/>
  </r>
  <r>
    <x v="11"/>
    <s v="Florence-Darlington Technical College "/>
    <n v="218025"/>
    <x v="7"/>
    <n v="287"/>
    <n v="196"/>
    <m/>
    <m/>
    <n v="376"/>
    <n v="4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3"/>
    <n v="631"/>
  </r>
  <r>
    <x v="11"/>
    <s v="Horry-Georgetown Technical College "/>
    <n v="218140"/>
    <x v="7"/>
    <n v="300"/>
    <n v="308"/>
    <m/>
    <m/>
    <n v="498"/>
    <n v="5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8"/>
    <n v="822"/>
  </r>
  <r>
    <x v="11"/>
    <s v="Orangeburg-Calhoun Technical College "/>
    <n v="218487"/>
    <x v="7"/>
    <n v="226"/>
    <n v="221"/>
    <m/>
    <m/>
    <n v="224"/>
    <n v="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50"/>
    <n v="435"/>
  </r>
  <r>
    <x v="11"/>
    <s v="Piedmont Technical College "/>
    <n v="218520"/>
    <x v="7"/>
    <n v="590"/>
    <n v="503"/>
    <m/>
    <m/>
    <n v="508"/>
    <n v="5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8"/>
    <n v="1096"/>
  </r>
  <r>
    <x v="11"/>
    <s v="Spartanburg Community College "/>
    <n v="218830"/>
    <x v="7"/>
    <n v="217"/>
    <n v="221"/>
    <m/>
    <m/>
    <n v="383"/>
    <n v="4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0"/>
    <n v="636"/>
  </r>
  <r>
    <x v="11"/>
    <s v="Tri-County Technical College "/>
    <n v="218885"/>
    <x v="7"/>
    <n v="358"/>
    <n v="363"/>
    <m/>
    <m/>
    <n v="511"/>
    <n v="4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9"/>
    <n v="848"/>
  </r>
  <r>
    <x v="11"/>
    <s v="York Technical College "/>
    <n v="218991"/>
    <x v="7"/>
    <n v="482"/>
    <n v="497"/>
    <m/>
    <m/>
    <n v="360"/>
    <n v="4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2"/>
    <n v="899"/>
  </r>
  <r>
    <x v="11"/>
    <s v="Denmark Technical College "/>
    <n v="217989"/>
    <x v="8"/>
    <n v="138"/>
    <n v="137"/>
    <m/>
    <m/>
    <n v="133"/>
    <n v="1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1"/>
    <n v="241"/>
  </r>
  <r>
    <x v="11"/>
    <s v="Northeastern Technical College "/>
    <n v="217837"/>
    <x v="8"/>
    <n v="139"/>
    <n v="106"/>
    <m/>
    <m/>
    <n v="119"/>
    <n v="1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8"/>
    <n v="219"/>
  </r>
  <r>
    <x v="11"/>
    <s v="Technical College of the Lowcountry"/>
    <n v="217712"/>
    <x v="8"/>
    <n v="146"/>
    <n v="177"/>
    <m/>
    <m/>
    <n v="148"/>
    <n v="1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4"/>
    <n v="360"/>
  </r>
  <r>
    <x v="11"/>
    <s v="University of South Carolina-Lancaster"/>
    <n v="218672"/>
    <x v="8"/>
    <m/>
    <n v="0"/>
    <m/>
    <m/>
    <n v="143"/>
    <n v="1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"/>
    <n v="160"/>
  </r>
  <r>
    <x v="11"/>
    <s v="University of South Carolina-Salkehatchie"/>
    <n v="218681"/>
    <x v="8"/>
    <m/>
    <n v="0"/>
    <m/>
    <m/>
    <n v="55"/>
    <n v="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"/>
    <n v="90"/>
  </r>
  <r>
    <x v="11"/>
    <s v="University of South Carolina-Sumter"/>
    <n v="218690"/>
    <x v="8"/>
    <m/>
    <n v="0"/>
    <m/>
    <m/>
    <n v="91"/>
    <n v="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1"/>
    <n v="56"/>
  </r>
  <r>
    <x v="11"/>
    <s v="University of South Carolina-Union"/>
    <n v="218706"/>
    <x v="8"/>
    <m/>
    <n v="0"/>
    <m/>
    <m/>
    <n v="70"/>
    <n v="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"/>
    <n v="54"/>
  </r>
  <r>
    <x v="11"/>
    <s v="Willamsburg Technical College "/>
    <n v="218955"/>
    <x v="8"/>
    <n v="57"/>
    <n v="93"/>
    <m/>
    <m/>
    <n v="56"/>
    <n v="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3"/>
    <n v="143"/>
  </r>
  <r>
    <x v="11"/>
    <s v="Medical University of South Carolina"/>
    <n v="218335"/>
    <x v="11"/>
    <m/>
    <n v="0"/>
    <m/>
    <m/>
    <m/>
    <m/>
    <n v="0"/>
    <n v="0"/>
    <n v="182"/>
    <m/>
    <m/>
    <m/>
    <n v="0"/>
    <n v="194"/>
    <m/>
    <m/>
    <m/>
    <n v="0"/>
    <m/>
    <m/>
    <m/>
    <m/>
    <m/>
    <m/>
    <m/>
    <m/>
    <m/>
    <m/>
    <m/>
    <m/>
    <m/>
    <m/>
    <m/>
    <m/>
    <m/>
    <m/>
    <m/>
    <m/>
    <n v="0"/>
    <n v="0.20244716351501668"/>
    <n v="0"/>
    <n v="0.22298850574712645"/>
    <n v="7"/>
    <n v="2"/>
    <n v="51"/>
    <n v="263"/>
    <n v="51"/>
    <n v="287"/>
    <n v="26"/>
    <n v="12"/>
    <n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"/>
    <n v="2"/>
    <n v="299"/>
    <n v="2"/>
    <n v="51"/>
    <n v="130"/>
    <n v="51"/>
    <n v="70"/>
    <n v="26"/>
    <n v="38"/>
    <n v="26"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"/>
    <n v="2"/>
    <n v="0.77380952380952384"/>
    <n v="107"/>
    <n v="2"/>
    <n v="0.65420560747663548"/>
    <n v="443"/>
    <n v="406"/>
    <m/>
    <m/>
    <n v="135"/>
    <n v="133"/>
    <n v="54"/>
    <n v="57"/>
    <n v="78"/>
    <n v="78"/>
    <m/>
    <m/>
    <m/>
    <m/>
    <m/>
    <m/>
    <m/>
    <m/>
    <m/>
    <m/>
    <m/>
    <m/>
    <n v="267"/>
    <n v="268"/>
    <n v="899"/>
    <n v="870"/>
  </r>
  <r>
    <x v="12"/>
    <s v="University of Memphis"/>
    <n v="220862"/>
    <x v="0"/>
    <m/>
    <m/>
    <m/>
    <m/>
    <m/>
    <m/>
    <n v="0"/>
    <n v="0"/>
    <n v="2454"/>
    <n v="209"/>
    <m/>
    <n v="17"/>
    <n v="226"/>
    <n v="2218"/>
    <m/>
    <m/>
    <m/>
    <n v="0"/>
    <m/>
    <m/>
    <m/>
    <m/>
    <m/>
    <m/>
    <m/>
    <m/>
    <m/>
    <m/>
    <m/>
    <m/>
    <m/>
    <m/>
    <m/>
    <m/>
    <m/>
    <m/>
    <m/>
    <m/>
    <n v="0"/>
    <n v="0.68681780016792615"/>
    <n v="0"/>
    <n v="0.63208891422057567"/>
    <m/>
    <m/>
    <n v="13"/>
    <n v="270"/>
    <n v="13"/>
    <n v="226"/>
    <n v="52"/>
    <n v="163"/>
    <n v="52"/>
    <n v="188"/>
    <n v="51"/>
    <n v="62"/>
    <n v="22"/>
    <n v="121"/>
    <n v="50"/>
    <n v="47"/>
    <n v="51"/>
    <n v="107"/>
    <n v="14"/>
    <n v="45"/>
    <n v="50"/>
    <n v="41"/>
    <n v="23"/>
    <n v="40"/>
    <n v="23"/>
    <n v="38"/>
    <n v="42"/>
    <n v="28"/>
    <n v="24"/>
    <n v="36"/>
    <n v="9"/>
    <n v="24"/>
    <n v="14"/>
    <n v="33"/>
    <n v="44"/>
    <n v="22"/>
    <n v="42"/>
    <n v="29"/>
    <n v="45"/>
    <n v="22"/>
    <n v="45"/>
    <n v="25"/>
    <m/>
    <m/>
    <n v="163"/>
    <n v="194"/>
    <n v="886"/>
    <n v="10"/>
    <n v="1038"/>
    <n v="10"/>
    <n v="42"/>
    <n v="28"/>
    <n v="13"/>
    <n v="29"/>
    <n v="13"/>
    <n v="14"/>
    <n v="42"/>
    <n v="29"/>
    <n v="52"/>
    <n v="11"/>
    <n v="40"/>
    <n v="13"/>
    <n v="50"/>
    <n v="11"/>
    <n v="50"/>
    <n v="11"/>
    <n v="14"/>
    <n v="9"/>
    <n v="52"/>
    <n v="9"/>
    <n v="26"/>
    <n v="8"/>
    <n v="14"/>
    <n v="8"/>
    <n v="51"/>
    <n v="5"/>
    <n v="54"/>
    <n v="7"/>
    <n v="40"/>
    <n v="5"/>
    <n v="51"/>
    <n v="6"/>
    <n v="9"/>
    <n v="4"/>
    <n v="9"/>
    <n v="6"/>
    <n v="38"/>
    <n v="4"/>
    <n v="27"/>
    <n v="5"/>
    <n v="8"/>
    <n v="9"/>
    <n v="107"/>
    <n v="10"/>
    <n v="0.26168224299065418"/>
    <n v="132"/>
    <n v="10"/>
    <n v="0.2196969696969697"/>
    <n v="993"/>
    <n v="1170"/>
    <n v="126"/>
    <n v="121"/>
    <m/>
    <m/>
    <m/>
    <m/>
    <m/>
    <m/>
    <m/>
    <m/>
    <m/>
    <m/>
    <m/>
    <m/>
    <m/>
    <m/>
    <m/>
    <m/>
    <m/>
    <m/>
    <n v="126"/>
    <n v="121"/>
    <n v="3573"/>
    <n v="3509"/>
  </r>
  <r>
    <x v="12"/>
    <s v="University of Tennessee, Knoxville"/>
    <n v="221759"/>
    <x v="0"/>
    <m/>
    <m/>
    <m/>
    <m/>
    <m/>
    <m/>
    <n v="0"/>
    <n v="0"/>
    <n v="3624"/>
    <n v="29"/>
    <m/>
    <n v="32"/>
    <n v="61"/>
    <n v="3680"/>
    <m/>
    <m/>
    <m/>
    <n v="0"/>
    <m/>
    <m/>
    <m/>
    <m/>
    <m/>
    <m/>
    <m/>
    <m/>
    <m/>
    <m/>
    <m/>
    <m/>
    <m/>
    <m/>
    <m/>
    <m/>
    <m/>
    <m/>
    <m/>
    <m/>
    <n v="0"/>
    <n v="0.65074519662416952"/>
    <n v="0"/>
    <n v="0.60886829913964258"/>
    <m/>
    <m/>
    <n v="52"/>
    <n v="254"/>
    <n v="52"/>
    <n v="325"/>
    <n v="13"/>
    <n v="230"/>
    <n v="13"/>
    <n v="267"/>
    <n v="44"/>
    <n v="211"/>
    <n v="44"/>
    <n v="225"/>
    <n v="51"/>
    <n v="131"/>
    <n v="51"/>
    <n v="194"/>
    <n v="41"/>
    <n v="90"/>
    <n v="14"/>
    <n v="159"/>
    <n v="25"/>
    <n v="66"/>
    <n v="22"/>
    <n v="139"/>
    <n v="31"/>
    <n v="62"/>
    <n v="31"/>
    <n v="72"/>
    <n v="40"/>
    <n v="56"/>
    <n v="25"/>
    <n v="69"/>
    <n v="50"/>
    <n v="49"/>
    <n v="50"/>
    <n v="53"/>
    <n v="42"/>
    <n v="45"/>
    <n v="42"/>
    <n v="49"/>
    <m/>
    <m/>
    <n v="308"/>
    <n v="335"/>
    <n v="1502"/>
    <n v="10"/>
    <n v="1887"/>
    <n v="10"/>
    <n v="13"/>
    <n v="37"/>
    <n v="14"/>
    <n v="49"/>
    <n v="14"/>
    <n v="30"/>
    <n v="13"/>
    <n v="39"/>
    <n v="45"/>
    <n v="21"/>
    <n v="42"/>
    <n v="29"/>
    <n v="40"/>
    <n v="20"/>
    <n v="40"/>
    <n v="27"/>
    <n v="51"/>
    <n v="17"/>
    <n v="52"/>
    <n v="22"/>
    <n v="26"/>
    <n v="16"/>
    <n v="26"/>
    <n v="22"/>
    <n v="42"/>
    <n v="16"/>
    <n v="51"/>
    <n v="16"/>
    <n v="52"/>
    <n v="11"/>
    <n v="45"/>
    <n v="13"/>
    <n v="19"/>
    <n v="9"/>
    <n v="9"/>
    <n v="12"/>
    <n v="30"/>
    <n v="8"/>
    <n v="11"/>
    <n v="10"/>
    <n v="46"/>
    <n v="38"/>
    <n v="231"/>
    <n v="10"/>
    <n v="0.16017316017316016"/>
    <n v="277"/>
    <n v="10"/>
    <n v="0.17689530685920576"/>
    <n v="1733"/>
    <n v="2164"/>
    <n v="144"/>
    <n v="139"/>
    <m/>
    <m/>
    <m/>
    <m/>
    <m/>
    <m/>
    <m/>
    <m/>
    <m/>
    <m/>
    <m/>
    <m/>
    <n v="68"/>
    <n v="61"/>
    <m/>
    <m/>
    <m/>
    <m/>
    <n v="212"/>
    <n v="200"/>
    <n v="5569"/>
    <n v="6044"/>
  </r>
  <r>
    <x v="12"/>
    <s v="East Tennessee State University "/>
    <n v="220075"/>
    <x v="2"/>
    <m/>
    <m/>
    <m/>
    <m/>
    <m/>
    <m/>
    <n v="0"/>
    <n v="0"/>
    <n v="1693"/>
    <n v="15"/>
    <m/>
    <n v="11"/>
    <n v="26"/>
    <n v="1715"/>
    <m/>
    <m/>
    <m/>
    <n v="0"/>
    <m/>
    <m/>
    <m/>
    <m/>
    <m/>
    <m/>
    <m/>
    <m/>
    <m/>
    <m/>
    <m/>
    <m/>
    <m/>
    <m/>
    <m/>
    <m/>
    <m/>
    <m/>
    <m/>
    <m/>
    <n v="0"/>
    <n v="0.72073222647935287"/>
    <n v="0"/>
    <n v="0.68435754189944131"/>
    <m/>
    <m/>
    <n v="13"/>
    <n v="198"/>
    <n v="13"/>
    <n v="228"/>
    <n v="51"/>
    <n v="90"/>
    <n v="51"/>
    <n v="175"/>
    <n v="52"/>
    <n v="63"/>
    <n v="52"/>
    <n v="57"/>
    <n v="31"/>
    <n v="25"/>
    <n v="44"/>
    <n v="27"/>
    <n v="44"/>
    <n v="25"/>
    <n v="31"/>
    <n v="26"/>
    <n v="23"/>
    <n v="18"/>
    <n v="54"/>
    <n v="19"/>
    <n v="54"/>
    <n v="18"/>
    <n v="11"/>
    <n v="19"/>
    <n v="11"/>
    <n v="13"/>
    <n v="43"/>
    <n v="15"/>
    <n v="15"/>
    <n v="11"/>
    <n v="15"/>
    <n v="14"/>
    <n v="43"/>
    <n v="10"/>
    <n v="26"/>
    <n v="12"/>
    <m/>
    <m/>
    <n v="59"/>
    <n v="63"/>
    <n v="530"/>
    <n v="10"/>
    <n v="655"/>
    <n v="10"/>
    <n v="13"/>
    <n v="35"/>
    <n v="51"/>
    <n v="35"/>
    <n v="51"/>
    <n v="24"/>
    <n v="13"/>
    <n v="34"/>
    <n v="26"/>
    <n v="7"/>
    <n v="26"/>
    <n v="6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4"/>
    <n v="0.50724637681159424"/>
    <n v="75"/>
    <n v="3"/>
    <n v="0.46666666666666667"/>
    <n v="599"/>
    <n v="730"/>
    <m/>
    <m/>
    <n v="57"/>
    <n v="61"/>
    <m/>
    <m/>
    <m/>
    <m/>
    <m/>
    <m/>
    <m/>
    <m/>
    <m/>
    <m/>
    <m/>
    <m/>
    <m/>
    <m/>
    <m/>
    <m/>
    <n v="57"/>
    <n v="61"/>
    <n v="2349"/>
    <n v="2506"/>
  </r>
  <r>
    <x v="12"/>
    <s v="Middle Tennessee State University "/>
    <n v="220978"/>
    <x v="2"/>
    <m/>
    <m/>
    <m/>
    <m/>
    <m/>
    <n v="3"/>
    <n v="0"/>
    <n v="8.4222346996069624E-4"/>
    <n v="3549"/>
    <n v="118"/>
    <m/>
    <n v="29"/>
    <n v="147"/>
    <n v="3562"/>
    <m/>
    <m/>
    <m/>
    <n v="0"/>
    <m/>
    <m/>
    <m/>
    <m/>
    <m/>
    <m/>
    <m/>
    <m/>
    <m/>
    <m/>
    <m/>
    <m/>
    <m/>
    <m/>
    <m/>
    <m/>
    <m/>
    <m/>
    <m/>
    <m/>
    <n v="0"/>
    <n v="0.83466603951081841"/>
    <n v="0"/>
    <n v="0.81417142857142855"/>
    <m/>
    <m/>
    <n v="13"/>
    <n v="304"/>
    <n v="13"/>
    <n v="396"/>
    <n v="52"/>
    <n v="156"/>
    <n v="52"/>
    <n v="161"/>
    <n v="26"/>
    <n v="30"/>
    <n v="31"/>
    <n v="42"/>
    <n v="31"/>
    <n v="30"/>
    <n v="42"/>
    <n v="40"/>
    <n v="42"/>
    <n v="30"/>
    <n v="26"/>
    <n v="32"/>
    <n v="23"/>
    <n v="17"/>
    <n v="9"/>
    <n v="18"/>
    <n v="9"/>
    <n v="15"/>
    <n v="45"/>
    <n v="16"/>
    <n v="45"/>
    <n v="15"/>
    <n v="51"/>
    <n v="16"/>
    <n v="50"/>
    <n v="12"/>
    <n v="50"/>
    <n v="9"/>
    <n v="11"/>
    <n v="10"/>
    <n v="54"/>
    <n v="7"/>
    <m/>
    <m/>
    <n v="69"/>
    <n v="49"/>
    <n v="688"/>
    <n v="10"/>
    <n v="786"/>
    <n v="10"/>
    <n v="23"/>
    <n v="5"/>
    <n v="31"/>
    <n v="11"/>
    <n v="31"/>
    <n v="5"/>
    <n v="45"/>
    <n v="6"/>
    <n v="45"/>
    <n v="2"/>
    <n v="23"/>
    <n v="5"/>
    <n v="54"/>
    <n v="2"/>
    <n v="54"/>
    <n v="1"/>
    <n v="40"/>
    <n v="1"/>
    <n v="40"/>
    <n v="1"/>
    <m/>
    <m/>
    <m/>
    <m/>
    <m/>
    <m/>
    <m/>
    <m/>
    <m/>
    <m/>
    <m/>
    <m/>
    <m/>
    <m/>
    <m/>
    <m/>
    <m/>
    <m/>
    <m/>
    <m/>
    <m/>
    <m/>
    <n v="15"/>
    <n v="5"/>
    <n v="0.33333333333333331"/>
    <n v="24"/>
    <n v="5"/>
    <n v="0.45833333333333331"/>
    <n v="703"/>
    <n v="810"/>
    <m/>
    <m/>
    <m/>
    <m/>
    <m/>
    <m/>
    <m/>
    <m/>
    <m/>
    <m/>
    <m/>
    <m/>
    <m/>
    <m/>
    <m/>
    <m/>
    <m/>
    <m/>
    <m/>
    <m/>
    <n v="0"/>
    <n v="0"/>
    <n v="4252"/>
    <n v="4375"/>
  </r>
  <r>
    <x v="12"/>
    <s v="Tennessee State University "/>
    <n v="221838"/>
    <x v="2"/>
    <m/>
    <m/>
    <m/>
    <m/>
    <n v="149"/>
    <n v="89"/>
    <n v="0.14974874371859295"/>
    <n v="8.7254901960784309E-2"/>
    <n v="995"/>
    <n v="2"/>
    <m/>
    <n v="12"/>
    <n v="14"/>
    <n v="1020"/>
    <m/>
    <m/>
    <m/>
    <n v="0"/>
    <m/>
    <m/>
    <m/>
    <m/>
    <m/>
    <m/>
    <m/>
    <m/>
    <m/>
    <m/>
    <m/>
    <m/>
    <m/>
    <m/>
    <m/>
    <m/>
    <m/>
    <m/>
    <m/>
    <m/>
    <n v="0"/>
    <n v="0.6074481074481074"/>
    <n v="0"/>
    <n v="0.63749999999999996"/>
    <m/>
    <m/>
    <n v="13"/>
    <n v="207"/>
    <n v="13"/>
    <n v="215"/>
    <n v="51"/>
    <n v="80"/>
    <n v="51"/>
    <n v="91"/>
    <n v="52"/>
    <n v="40"/>
    <n v="52"/>
    <n v="28"/>
    <n v="42"/>
    <n v="35"/>
    <n v="42"/>
    <n v="25"/>
    <n v="44"/>
    <n v="25"/>
    <n v="44"/>
    <n v="19"/>
    <n v="31"/>
    <n v="22"/>
    <n v="14"/>
    <n v="13"/>
    <n v="14"/>
    <n v="15"/>
    <n v="31"/>
    <n v="11"/>
    <n v="26"/>
    <n v="6"/>
    <n v="27"/>
    <n v="7"/>
    <n v="40"/>
    <n v="4"/>
    <n v="26"/>
    <n v="6"/>
    <n v="1"/>
    <n v="3"/>
    <n v="43"/>
    <n v="5"/>
    <m/>
    <m/>
    <n v="7"/>
    <n v="11"/>
    <n v="444"/>
    <n v="10"/>
    <n v="431"/>
    <n v="10"/>
    <n v="13"/>
    <n v="36"/>
    <n v="13"/>
    <n v="27"/>
    <n v="42"/>
    <n v="9"/>
    <n v="51"/>
    <n v="18"/>
    <n v="44"/>
    <n v="4"/>
    <n v="42"/>
    <n v="8"/>
    <n v="14"/>
    <n v="1"/>
    <n v="44"/>
    <n v="3"/>
    <m/>
    <m/>
    <n v="26"/>
    <n v="3"/>
    <m/>
    <m/>
    <n v="14"/>
    <n v="1"/>
    <m/>
    <m/>
    <m/>
    <m/>
    <m/>
    <m/>
    <m/>
    <m/>
    <m/>
    <m/>
    <m/>
    <m/>
    <m/>
    <m/>
    <m/>
    <m/>
    <m/>
    <m/>
    <n v="50"/>
    <n v="4"/>
    <n v="0.72"/>
    <n v="60"/>
    <n v="6"/>
    <n v="0.45"/>
    <n v="494"/>
    <n v="491"/>
    <m/>
    <m/>
    <m/>
    <m/>
    <m/>
    <m/>
    <m/>
    <m/>
    <m/>
    <m/>
    <m/>
    <m/>
    <m/>
    <m/>
    <m/>
    <m/>
    <m/>
    <m/>
    <m/>
    <m/>
    <n v="0"/>
    <n v="0"/>
    <n v="1638"/>
    <n v="1600"/>
  </r>
  <r>
    <x v="12"/>
    <s v="Tennessee Technological University "/>
    <n v="221847"/>
    <x v="2"/>
    <m/>
    <m/>
    <m/>
    <m/>
    <m/>
    <m/>
    <n v="0"/>
    <n v="0"/>
    <n v="1445"/>
    <n v="79"/>
    <m/>
    <n v="5"/>
    <n v="84"/>
    <n v="1295"/>
    <m/>
    <m/>
    <m/>
    <n v="0"/>
    <m/>
    <m/>
    <m/>
    <m/>
    <m/>
    <m/>
    <m/>
    <m/>
    <m/>
    <m/>
    <m/>
    <m/>
    <m/>
    <m/>
    <m/>
    <m/>
    <m/>
    <m/>
    <m/>
    <m/>
    <n v="0"/>
    <n v="0.67115652577798424"/>
    <n v="0"/>
    <n v="0.6120037807183365"/>
    <m/>
    <m/>
    <n v="13"/>
    <n v="519"/>
    <n v="13"/>
    <n v="579"/>
    <n v="52"/>
    <n v="64"/>
    <n v="52"/>
    <n v="118"/>
    <n v="14"/>
    <n v="46"/>
    <n v="14"/>
    <n v="42"/>
    <n v="31"/>
    <n v="14"/>
    <n v="31"/>
    <n v="24"/>
    <n v="51"/>
    <n v="11"/>
    <n v="27"/>
    <n v="10"/>
    <n v="26"/>
    <n v="10"/>
    <n v="23"/>
    <n v="8"/>
    <n v="11"/>
    <n v="10"/>
    <n v="26"/>
    <n v="7"/>
    <n v="23"/>
    <n v="4"/>
    <n v="51"/>
    <n v="7"/>
    <n v="40"/>
    <n v="4"/>
    <n v="40"/>
    <n v="6"/>
    <n v="27"/>
    <n v="2"/>
    <n v="24"/>
    <n v="2"/>
    <m/>
    <m/>
    <m/>
    <n v="1"/>
    <n v="684"/>
    <n v="10"/>
    <n v="804"/>
    <n v="10"/>
    <n v="14"/>
    <n v="13"/>
    <n v="14"/>
    <n v="12"/>
    <n v="13"/>
    <n v="8"/>
    <n v="13"/>
    <n v="5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0.54166666666666663"/>
    <n v="17"/>
    <n v="2"/>
    <n v="0.70588235294117652"/>
    <n v="708"/>
    <n v="821"/>
    <m/>
    <m/>
    <m/>
    <m/>
    <m/>
    <m/>
    <m/>
    <m/>
    <m/>
    <m/>
    <m/>
    <m/>
    <m/>
    <m/>
    <m/>
    <m/>
    <m/>
    <m/>
    <m/>
    <m/>
    <n v="0"/>
    <n v="0"/>
    <n v="2153"/>
    <n v="2116"/>
  </r>
  <r>
    <x v="12"/>
    <s v="University of Tennessee at Chattanooga"/>
    <n v="221740"/>
    <x v="2"/>
    <m/>
    <m/>
    <m/>
    <m/>
    <m/>
    <m/>
    <n v="0"/>
    <n v="0"/>
    <n v="1258"/>
    <n v="76"/>
    <m/>
    <n v="3"/>
    <n v="79"/>
    <n v="1121"/>
    <m/>
    <m/>
    <m/>
    <n v="0"/>
    <m/>
    <m/>
    <m/>
    <m/>
    <m/>
    <m/>
    <m/>
    <m/>
    <m/>
    <m/>
    <m/>
    <m/>
    <m/>
    <m/>
    <m/>
    <m/>
    <m/>
    <m/>
    <m/>
    <m/>
    <n v="0"/>
    <n v="0.74043555032371988"/>
    <n v="0"/>
    <n v="0.71174603174603179"/>
    <m/>
    <m/>
    <n v="13"/>
    <n v="144"/>
    <n v="13"/>
    <n v="134"/>
    <n v="52"/>
    <n v="112"/>
    <n v="52"/>
    <n v="92"/>
    <n v="51"/>
    <n v="68"/>
    <n v="51"/>
    <n v="57"/>
    <n v="42"/>
    <n v="17"/>
    <n v="15"/>
    <n v="25"/>
    <n v="23"/>
    <n v="16"/>
    <n v="42"/>
    <n v="21"/>
    <n v="30"/>
    <n v="9"/>
    <n v="43"/>
    <n v="15"/>
    <n v="43"/>
    <n v="8"/>
    <n v="23"/>
    <n v="15"/>
    <n v="44"/>
    <n v="8"/>
    <n v="3"/>
    <n v="14"/>
    <n v="40"/>
    <n v="5"/>
    <n v="44"/>
    <n v="13"/>
    <n v="10"/>
    <n v="5"/>
    <n v="14"/>
    <n v="9"/>
    <m/>
    <m/>
    <n v="11"/>
    <n v="9"/>
    <n v="403"/>
    <n v="10"/>
    <n v="404"/>
    <n v="10"/>
    <n v="51"/>
    <n v="36"/>
    <n v="51"/>
    <n v="45"/>
    <n v="42"/>
    <n v="2"/>
    <n v="14"/>
    <n v="4"/>
    <m/>
    <m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"/>
    <n v="0.94736842105263153"/>
    <n v="50"/>
    <n v="3"/>
    <n v="0.9"/>
    <n v="441"/>
    <n v="454"/>
    <m/>
    <m/>
    <m/>
    <m/>
    <m/>
    <m/>
    <m/>
    <m/>
    <m/>
    <m/>
    <m/>
    <m/>
    <m/>
    <m/>
    <m/>
    <m/>
    <m/>
    <m/>
    <m/>
    <m/>
    <n v="0"/>
    <n v="0"/>
    <n v="1699"/>
    <n v="1575"/>
  </r>
  <r>
    <x v="12"/>
    <s v="Austin Peay State University "/>
    <n v="219602"/>
    <x v="3"/>
    <m/>
    <m/>
    <m/>
    <m/>
    <n v="109"/>
    <n v="138"/>
    <n v="9.4046591889559966E-2"/>
    <n v="0.13745019920318724"/>
    <n v="1159"/>
    <n v="40"/>
    <m/>
    <n v="11"/>
    <n v="51"/>
    <n v="1004"/>
    <m/>
    <m/>
    <m/>
    <n v="0"/>
    <m/>
    <m/>
    <m/>
    <m/>
    <m/>
    <m/>
    <m/>
    <m/>
    <m/>
    <m/>
    <m/>
    <m/>
    <m/>
    <m/>
    <m/>
    <m/>
    <m/>
    <m/>
    <m/>
    <m/>
    <n v="0"/>
    <n v="0.77318212141427622"/>
    <n v="0"/>
    <n v="0.71919770773638969"/>
    <m/>
    <m/>
    <n v="13"/>
    <n v="121"/>
    <n v="13"/>
    <n v="122"/>
    <n v="52"/>
    <n v="36"/>
    <n v="52"/>
    <n v="48"/>
    <n v="9"/>
    <n v="19"/>
    <n v="31"/>
    <n v="23"/>
    <n v="31"/>
    <n v="16"/>
    <n v="9"/>
    <n v="18"/>
    <n v="50"/>
    <n v="12"/>
    <n v="51"/>
    <n v="9"/>
    <n v="26"/>
    <n v="9"/>
    <n v="42"/>
    <n v="9"/>
    <n v="23"/>
    <n v="7"/>
    <n v="50"/>
    <n v="7"/>
    <n v="51"/>
    <n v="7"/>
    <n v="23"/>
    <n v="6"/>
    <n v="42"/>
    <n v="2"/>
    <n v="24"/>
    <n v="4"/>
    <n v="54"/>
    <n v="2"/>
    <n v="26"/>
    <n v="4"/>
    <m/>
    <m/>
    <m/>
    <n v="4"/>
    <n v="231"/>
    <n v="10"/>
    <n v="25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1"/>
    <n v="254"/>
    <m/>
    <m/>
    <m/>
    <m/>
    <m/>
    <m/>
    <m/>
    <m/>
    <m/>
    <m/>
    <m/>
    <m/>
    <m/>
    <m/>
    <m/>
    <m/>
    <m/>
    <m/>
    <m/>
    <m/>
    <n v="0"/>
    <n v="0"/>
    <n v="1499"/>
    <n v="1396"/>
  </r>
  <r>
    <x v="12"/>
    <s v="University of Tennessee at Martin"/>
    <n v="221768"/>
    <x v="4"/>
    <m/>
    <m/>
    <m/>
    <m/>
    <m/>
    <m/>
    <n v="0"/>
    <n v="0"/>
    <n v="998"/>
    <n v="35"/>
    <m/>
    <n v="2"/>
    <n v="37"/>
    <n v="890"/>
    <m/>
    <m/>
    <m/>
    <n v="0"/>
    <m/>
    <m/>
    <m/>
    <m/>
    <m/>
    <m/>
    <m/>
    <m/>
    <m/>
    <m/>
    <m/>
    <m/>
    <m/>
    <m/>
    <m/>
    <m/>
    <m/>
    <m/>
    <m/>
    <m/>
    <n v="0"/>
    <n v="0.87697715289982425"/>
    <n v="0"/>
    <n v="0.88557213930348255"/>
    <m/>
    <m/>
    <n v="13"/>
    <n v="78"/>
    <n v="13"/>
    <n v="84"/>
    <n v="52"/>
    <n v="55"/>
    <n v="52"/>
    <n v="21"/>
    <n v="19"/>
    <n v="4"/>
    <n v="19"/>
    <n v="5"/>
    <n v="1"/>
    <n v="3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40"/>
    <n v="4"/>
    <n v="11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0"/>
    <n v="115"/>
    <m/>
    <m/>
    <m/>
    <m/>
    <m/>
    <m/>
    <m/>
    <m/>
    <m/>
    <m/>
    <m/>
    <m/>
    <m/>
    <m/>
    <m/>
    <m/>
    <m/>
    <m/>
    <m/>
    <m/>
    <n v="0"/>
    <n v="0"/>
    <n v="1138"/>
    <n v="1005"/>
  </r>
  <r>
    <x v="12"/>
    <s v="Chattanooga State Technical Community College "/>
    <n v="219824"/>
    <x v="6"/>
    <n v="106"/>
    <m/>
    <m/>
    <m/>
    <n v="652"/>
    <n v="6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8"/>
    <n v="636"/>
  </r>
  <r>
    <x v="12"/>
    <s v="Pellissippi State Technical Community College"/>
    <n v="221643"/>
    <x v="6"/>
    <n v="30"/>
    <m/>
    <m/>
    <m/>
    <n v="652"/>
    <n v="6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2"/>
    <n v="645"/>
  </r>
  <r>
    <x v="12"/>
    <s v="Southwest Tennessee Community College"/>
    <n v="221485"/>
    <x v="6"/>
    <n v="406"/>
    <m/>
    <m/>
    <m/>
    <n v="733"/>
    <n v="8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39"/>
    <n v="809"/>
  </r>
  <r>
    <x v="12"/>
    <s v="Cleveland State Community College "/>
    <n v="219879"/>
    <x v="7"/>
    <n v="45"/>
    <m/>
    <m/>
    <m/>
    <n v="277"/>
    <n v="2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2"/>
    <n v="291"/>
  </r>
  <r>
    <x v="12"/>
    <s v="Columbia State Community College "/>
    <n v="219888"/>
    <x v="7"/>
    <n v="31"/>
    <m/>
    <m/>
    <m/>
    <n v="472"/>
    <n v="5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3"/>
    <n v="517"/>
  </r>
  <r>
    <x v="12"/>
    <s v="Jackson State Community College "/>
    <n v="220400"/>
    <x v="7"/>
    <n v="25"/>
    <m/>
    <m/>
    <m/>
    <n v="470"/>
    <n v="4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5"/>
    <n v="438"/>
  </r>
  <r>
    <x v="12"/>
    <s v="Motlow State Community College "/>
    <n v="221096"/>
    <x v="7"/>
    <m/>
    <m/>
    <m/>
    <m/>
    <n v="404"/>
    <n v="3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4"/>
    <n v="395"/>
  </r>
  <r>
    <x v="12"/>
    <s v="Nashville State Technical Community College"/>
    <n v="221184"/>
    <x v="7"/>
    <n v="123"/>
    <m/>
    <m/>
    <m/>
    <n v="501"/>
    <n v="5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4"/>
    <n v="501"/>
  </r>
  <r>
    <x v="12"/>
    <s v="Northeast State Technical Community College"/>
    <n v="221908"/>
    <x v="7"/>
    <n v="136"/>
    <m/>
    <m/>
    <m/>
    <n v="536"/>
    <n v="4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2"/>
    <n v="492"/>
  </r>
  <r>
    <x v="12"/>
    <s v="Roane State Community College "/>
    <n v="221397"/>
    <x v="7"/>
    <n v="86"/>
    <m/>
    <m/>
    <m/>
    <n v="620"/>
    <n v="6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6"/>
    <n v="659"/>
  </r>
  <r>
    <x v="12"/>
    <s v="Volunteer State Community College "/>
    <n v="222053"/>
    <x v="7"/>
    <n v="241"/>
    <m/>
    <m/>
    <m/>
    <n v="590"/>
    <n v="6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1"/>
    <n v="634"/>
  </r>
  <r>
    <x v="12"/>
    <s v="Walters State Community College "/>
    <n v="222062"/>
    <x v="7"/>
    <n v="280"/>
    <m/>
    <m/>
    <m/>
    <n v="622"/>
    <n v="5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02"/>
    <n v="574"/>
  </r>
  <r>
    <x v="12"/>
    <s v="Dyersburg State Community College "/>
    <n v="220057"/>
    <x v="8"/>
    <n v="9"/>
    <m/>
    <m/>
    <m/>
    <n v="187"/>
    <n v="2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6"/>
    <n v="227"/>
  </r>
  <r>
    <x v="12"/>
    <s v="Tennessee Technology Center at Athens"/>
    <n v="219596"/>
    <x v="10"/>
    <n v="156"/>
    <n v="18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6"/>
    <n v="182"/>
  </r>
  <r>
    <x v="12"/>
    <s v="Tennessee Technology Center at Chattanooga"/>
    <s v="219824B"/>
    <x v="10"/>
    <n v="311"/>
    <n v="53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1"/>
    <n v="530"/>
  </r>
  <r>
    <x v="12"/>
    <s v="Tennessee Technology Center at Covington"/>
    <n v="219921"/>
    <x v="10"/>
    <n v="80"/>
    <n v="1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"/>
    <n v="112"/>
  </r>
  <r>
    <x v="12"/>
    <s v="Tennessee Technology Center at Crossville"/>
    <n v="221591"/>
    <x v="10"/>
    <n v="187"/>
    <n v="1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7"/>
    <n v="168"/>
  </r>
  <r>
    <x v="12"/>
    <s v="Tennessee Technology Center at Crump"/>
    <n v="221430"/>
    <x v="10"/>
    <n v="182"/>
    <n v="18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"/>
    <n v="185"/>
  </r>
  <r>
    <x v="12"/>
    <s v="Tennessee Technology Center at Dickson"/>
    <n v="219994"/>
    <x v="10"/>
    <n v="267"/>
    <n v="29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7"/>
    <n v="294"/>
  </r>
  <r>
    <x v="12"/>
    <s v="Tennessee Technology Center at Elizabethton"/>
    <n v="220127"/>
    <x v="10"/>
    <n v="369"/>
    <n v="40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9"/>
    <n v="409"/>
  </r>
  <r>
    <x v="12"/>
    <s v="Tennessee Technology Center at Harriman"/>
    <n v="220251"/>
    <x v="10"/>
    <n v="102"/>
    <n v="14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2"/>
    <n v="144"/>
  </r>
  <r>
    <x v="12"/>
    <s v="Tennessee Technology Center at Hartsville"/>
    <n v="220279"/>
    <x v="10"/>
    <n v="126"/>
    <n v="18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"/>
    <n v="186"/>
  </r>
  <r>
    <x v="12"/>
    <s v="Tennessee Technology Center at Hohenwald"/>
    <n v="220321"/>
    <x v="10"/>
    <n v="241"/>
    <n v="29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1"/>
    <n v="295"/>
  </r>
  <r>
    <x v="12"/>
    <s v="Tennessee Technology Center at Jacksboro"/>
    <n v="220394"/>
    <x v="10"/>
    <n v="157"/>
    <n v="12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7"/>
    <n v="123"/>
  </r>
  <r>
    <x v="12"/>
    <s v="Tennessee Technology Center at Jackson"/>
    <n v="221616"/>
    <x v="10"/>
    <n v="357"/>
    <n v="34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7"/>
    <n v="349"/>
  </r>
  <r>
    <x v="12"/>
    <s v="Tennessee Technology Center at Knoxville"/>
    <n v="221625"/>
    <x v="10"/>
    <n v="383"/>
    <n v="43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3"/>
    <n v="431"/>
  </r>
  <r>
    <x v="12"/>
    <s v="Tennessee Technology Center at Livingston"/>
    <n v="220640"/>
    <x v="10"/>
    <n v="216"/>
    <n v="2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6"/>
    <n v="208"/>
  </r>
  <r>
    <x v="12"/>
    <s v="Tennessee Technology Center at McKenzie"/>
    <n v="220756"/>
    <x v="10"/>
    <n v="151"/>
    <n v="16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1"/>
    <n v="164"/>
  </r>
  <r>
    <x v="12"/>
    <s v="Tennessee Technology Center at McMinnville"/>
    <n v="221607"/>
    <x v="10"/>
    <n v="149"/>
    <n v="1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9"/>
    <n v="137"/>
  </r>
  <r>
    <x v="12"/>
    <s v="Tennessee Technology Center at Memphis"/>
    <n v="220853"/>
    <x v="10"/>
    <n v="637"/>
    <n v="50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7"/>
    <n v="500"/>
  </r>
  <r>
    <x v="12"/>
    <s v="Tennessee Technology Center at Morristown"/>
    <n v="221050"/>
    <x v="10"/>
    <n v="389"/>
    <n v="2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9"/>
    <n v="257"/>
  </r>
  <r>
    <x v="12"/>
    <s v="Tennessee Technology Center at Murfreesboro"/>
    <n v="221102"/>
    <x v="10"/>
    <n v="201"/>
    <n v="2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1"/>
    <n v="214"/>
  </r>
  <r>
    <x v="12"/>
    <s v="Tennessee Technology Center at Nashville"/>
    <n v="248925"/>
    <x v="10"/>
    <n v="419"/>
    <n v="49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9"/>
    <n v="490"/>
  </r>
  <r>
    <x v="12"/>
    <s v="Tennessee Technology Center at Newbern"/>
    <n v="221236"/>
    <x v="10"/>
    <n v="161"/>
    <n v="17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1"/>
    <n v="173"/>
  </r>
  <r>
    <x v="12"/>
    <s v="Tennessee Technology Center at Oneida"/>
    <n v="221582"/>
    <x v="10"/>
    <n v="150"/>
    <n v="12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0"/>
    <n v="127"/>
  </r>
  <r>
    <x v="12"/>
    <s v="Tennessee Technology Center at Paris"/>
    <n v="221281"/>
    <x v="10"/>
    <n v="254"/>
    <n v="24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4"/>
    <n v="246"/>
  </r>
  <r>
    <x v="12"/>
    <s v="Tennessee Technology Center at Pulaski"/>
    <n v="221333"/>
    <x v="10"/>
    <n v="178"/>
    <n v="15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8"/>
    <n v="156"/>
  </r>
  <r>
    <x v="12"/>
    <s v="Tennessee Technology Center at Ripley"/>
    <n v="221388"/>
    <x v="10"/>
    <n v="106"/>
    <n v="13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6"/>
    <n v="138"/>
  </r>
  <r>
    <x v="12"/>
    <s v="Tennessee Technology Center at Shelbyville"/>
    <n v="221494"/>
    <x v="10"/>
    <n v="366"/>
    <n v="4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6"/>
    <n v="436"/>
  </r>
  <r>
    <x v="12"/>
    <s v="Tennessee Technology Center at Whiteville"/>
    <n v="221634"/>
    <x v="10"/>
    <n v="109"/>
    <n v="1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"/>
    <n v="108"/>
  </r>
  <r>
    <x v="12"/>
    <s v="University of Tennessee Health Science Center"/>
    <n v="221704"/>
    <x v="11"/>
    <m/>
    <m/>
    <m/>
    <m/>
    <m/>
    <m/>
    <n v="0"/>
    <n v="0"/>
    <n v="103"/>
    <m/>
    <m/>
    <m/>
    <n v="0"/>
    <n v="47"/>
    <m/>
    <m/>
    <m/>
    <n v="0"/>
    <m/>
    <m/>
    <m/>
    <m/>
    <m/>
    <m/>
    <m/>
    <m/>
    <m/>
    <m/>
    <m/>
    <m/>
    <m/>
    <m/>
    <m/>
    <m/>
    <m/>
    <m/>
    <m/>
    <m/>
    <n v="0"/>
    <n v="0.10729166666666666"/>
    <n v="0"/>
    <n v="4.3680297397769519E-2"/>
    <m/>
    <m/>
    <n v="51"/>
    <n v="392"/>
    <n v="51"/>
    <n v="487"/>
    <n v="26"/>
    <n v="6"/>
    <n v="26"/>
    <n v="16"/>
    <n v="14"/>
    <n v="1"/>
    <n v="14"/>
    <n v="7"/>
    <m/>
    <m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399"/>
    <n v="3"/>
    <n v="511"/>
    <n v="4"/>
    <s v="51"/>
    <n v="98"/>
    <s v="51"/>
    <n v="120"/>
    <s v="26"/>
    <n v="7"/>
    <s v="26"/>
    <n v="12"/>
    <m/>
    <m/>
    <s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"/>
    <n v="2"/>
    <n v="0.93333333333333335"/>
    <n v="133"/>
    <n v="3"/>
    <n v="0.90225563909774431"/>
    <n v="504"/>
    <n v="644"/>
    <m/>
    <m/>
    <n v="150"/>
    <n v="140"/>
    <n v="77"/>
    <n v="83"/>
    <n v="126"/>
    <n v="162"/>
    <m/>
    <m/>
    <m/>
    <m/>
    <m/>
    <m/>
    <m/>
    <m/>
    <m/>
    <m/>
    <m/>
    <m/>
    <n v="353"/>
    <n v="385"/>
    <n v="960"/>
    <n v="1076"/>
  </r>
  <r>
    <x v="13"/>
    <s v="Texas A&amp;M University "/>
    <n v="228723"/>
    <x v="0"/>
    <m/>
    <m/>
    <m/>
    <m/>
    <m/>
    <m/>
    <n v="0"/>
    <n v="0"/>
    <n v="8118"/>
    <m/>
    <m/>
    <m/>
    <n v="0"/>
    <n v="8311"/>
    <m/>
    <m/>
    <m/>
    <n v="0"/>
    <m/>
    <m/>
    <m/>
    <m/>
    <m/>
    <m/>
    <m/>
    <m/>
    <m/>
    <m/>
    <m/>
    <m/>
    <m/>
    <m/>
    <m/>
    <m/>
    <m/>
    <m/>
    <m/>
    <m/>
    <n v="0"/>
    <n v="0.75369046513787019"/>
    <n v="0"/>
    <n v="0.75267161746060496"/>
    <m/>
    <m/>
    <n v="52"/>
    <n v="632"/>
    <n v="14"/>
    <n v="512"/>
    <n v="14"/>
    <n v="451"/>
    <n v="52"/>
    <n v="507"/>
    <n v="13"/>
    <n v="185"/>
    <n v="13"/>
    <n v="208"/>
    <n v="1"/>
    <n v="95"/>
    <n v="11"/>
    <n v="150"/>
    <n v="45"/>
    <n v="76"/>
    <n v="45"/>
    <n v="101"/>
    <n v="4"/>
    <n v="56"/>
    <n v="1"/>
    <n v="97"/>
    <n v="31"/>
    <n v="50"/>
    <n v="4"/>
    <n v="73"/>
    <n v="40"/>
    <n v="49"/>
    <n v="42"/>
    <n v="56"/>
    <n v="42"/>
    <n v="48"/>
    <n v="26"/>
    <n v="50"/>
    <n v="11"/>
    <n v="45"/>
    <n v="27"/>
    <n v="46"/>
    <m/>
    <m/>
    <n v="243"/>
    <n v="215"/>
    <n v="1930"/>
    <n v="10"/>
    <n v="2015"/>
    <n v="10"/>
    <n v="14"/>
    <n v="165"/>
    <n v="14"/>
    <n v="170"/>
    <n v="13"/>
    <n v="80"/>
    <n v="40"/>
    <n v="70"/>
    <n v="26"/>
    <n v="64"/>
    <n v="13"/>
    <n v="55"/>
    <n v="40"/>
    <n v="63"/>
    <n v="45"/>
    <n v="45"/>
    <n v="1"/>
    <n v="37"/>
    <n v="1"/>
    <n v="40"/>
    <n v="42"/>
    <n v="32"/>
    <n v="26"/>
    <n v="38"/>
    <n v="45"/>
    <n v="30"/>
    <n v="42"/>
    <n v="38"/>
    <n v="11"/>
    <n v="19"/>
    <n v="31"/>
    <n v="23"/>
    <n v="52"/>
    <n v="17"/>
    <n v="23"/>
    <n v="22"/>
    <n v="27"/>
    <n v="16"/>
    <n v="4"/>
    <n v="20"/>
    <n v="71"/>
    <n v="76"/>
    <n v="594"/>
    <n v="10"/>
    <n v="0.27777777777777779"/>
    <n v="597"/>
    <n v="10"/>
    <n v="0.28475711892797317"/>
    <n v="2524"/>
    <n v="2612"/>
    <m/>
    <m/>
    <m/>
    <m/>
    <m/>
    <m/>
    <m/>
    <m/>
    <m/>
    <m/>
    <m/>
    <m/>
    <m/>
    <m/>
    <n v="129"/>
    <n v="119"/>
    <m/>
    <m/>
    <m/>
    <m/>
    <n v="129"/>
    <n v="119"/>
    <n v="10771"/>
    <n v="11042"/>
  </r>
  <r>
    <x v="13"/>
    <s v="Texas Tech University "/>
    <n v="229115"/>
    <x v="0"/>
    <m/>
    <m/>
    <m/>
    <m/>
    <m/>
    <m/>
    <n v="0"/>
    <n v="0"/>
    <n v="4777"/>
    <m/>
    <m/>
    <m/>
    <n v="0"/>
    <n v="4460"/>
    <m/>
    <m/>
    <m/>
    <n v="0"/>
    <m/>
    <m/>
    <m/>
    <m/>
    <m/>
    <m/>
    <m/>
    <m/>
    <m/>
    <m/>
    <m/>
    <m/>
    <m/>
    <m/>
    <m/>
    <m/>
    <m/>
    <m/>
    <m/>
    <m/>
    <n v="0"/>
    <n v="0.75489886219974711"/>
    <n v="0"/>
    <n v="0.75580410099983053"/>
    <m/>
    <m/>
    <n v="52"/>
    <n v="294"/>
    <n v="52"/>
    <n v="243"/>
    <n v="13"/>
    <n v="185"/>
    <n v="13"/>
    <n v="189"/>
    <n v="14"/>
    <n v="138"/>
    <n v="14"/>
    <n v="145"/>
    <n v="4"/>
    <n v="67"/>
    <n v="4"/>
    <n v="56"/>
    <n v="19"/>
    <n v="48"/>
    <n v="1"/>
    <n v="52"/>
    <n v="23"/>
    <n v="37"/>
    <n v="19"/>
    <n v="43"/>
    <n v="30"/>
    <n v="37"/>
    <n v="23"/>
    <n v="36"/>
    <n v="50"/>
    <n v="32"/>
    <n v="30"/>
    <n v="32"/>
    <n v="1"/>
    <n v="30"/>
    <n v="26"/>
    <n v="31"/>
    <n v="11"/>
    <n v="29"/>
    <n v="11"/>
    <n v="27"/>
    <m/>
    <m/>
    <n v="196"/>
    <n v="180"/>
    <n v="1093"/>
    <n v="10"/>
    <n v="1034"/>
    <n v="10"/>
    <n v="13"/>
    <n v="48"/>
    <n v="14"/>
    <n v="32"/>
    <n v="14"/>
    <n v="32"/>
    <n v="13"/>
    <n v="31"/>
    <n v="23"/>
    <n v="18"/>
    <n v="50"/>
    <n v="23"/>
    <n v="50"/>
    <n v="18"/>
    <n v="42"/>
    <n v="18"/>
    <n v="26"/>
    <n v="17"/>
    <n v="52"/>
    <n v="17"/>
    <n v="52"/>
    <n v="14"/>
    <n v="23"/>
    <n v="14"/>
    <n v="1"/>
    <n v="13"/>
    <n v="26"/>
    <n v="10"/>
    <n v="42"/>
    <n v="12"/>
    <n v="40"/>
    <n v="10"/>
    <n v="51"/>
    <n v="9"/>
    <n v="1"/>
    <n v="9"/>
    <n v="40"/>
    <n v="8"/>
    <n v="19"/>
    <n v="7"/>
    <n v="32"/>
    <n v="30"/>
    <n v="221"/>
    <n v="10"/>
    <n v="0.21719457013574661"/>
    <n v="201"/>
    <n v="10"/>
    <n v="0.15920398009950248"/>
    <n v="1314"/>
    <n v="1235"/>
    <n v="237"/>
    <n v="206"/>
    <m/>
    <m/>
    <m/>
    <m/>
    <m/>
    <m/>
    <m/>
    <m/>
    <m/>
    <m/>
    <m/>
    <m/>
    <m/>
    <m/>
    <m/>
    <m/>
    <m/>
    <m/>
    <n v="237"/>
    <n v="206"/>
    <n v="6328"/>
    <n v="5901"/>
  </r>
  <r>
    <x v="13"/>
    <s v="University of Houston"/>
    <n v="225511"/>
    <x v="0"/>
    <m/>
    <m/>
    <m/>
    <m/>
    <m/>
    <m/>
    <n v="0"/>
    <n v="0"/>
    <n v="4759"/>
    <m/>
    <m/>
    <m/>
    <n v="0"/>
    <n v="4874"/>
    <m/>
    <m/>
    <m/>
    <n v="0"/>
    <m/>
    <m/>
    <m/>
    <m/>
    <m/>
    <m/>
    <m/>
    <m/>
    <m/>
    <m/>
    <m/>
    <m/>
    <m/>
    <m/>
    <m/>
    <m/>
    <m/>
    <m/>
    <m/>
    <m/>
    <n v="0"/>
    <n v="0.67830672748004561"/>
    <n v="0"/>
    <n v="0.67873555215151093"/>
    <m/>
    <m/>
    <n v="52"/>
    <n v="534"/>
    <n v="52"/>
    <n v="521"/>
    <n v="13"/>
    <n v="225"/>
    <n v="14"/>
    <n v="158"/>
    <n v="14"/>
    <n v="143"/>
    <n v="13"/>
    <n v="157"/>
    <n v="44"/>
    <n v="132"/>
    <n v="44"/>
    <n v="142"/>
    <n v="11"/>
    <n v="59"/>
    <n v="22"/>
    <n v="98"/>
    <n v="22"/>
    <n v="51"/>
    <n v="50"/>
    <n v="87"/>
    <n v="40"/>
    <n v="50"/>
    <n v="11"/>
    <n v="80"/>
    <n v="51"/>
    <n v="45"/>
    <n v="45"/>
    <n v="62"/>
    <n v="50"/>
    <n v="41"/>
    <n v="40"/>
    <n v="41"/>
    <n v="23"/>
    <n v="33"/>
    <n v="42"/>
    <n v="40"/>
    <m/>
    <m/>
    <n v="165"/>
    <n v="186"/>
    <n v="1478"/>
    <n v="10"/>
    <n v="1572"/>
    <n v="10"/>
    <n v="14"/>
    <n v="51"/>
    <n v="13"/>
    <n v="40"/>
    <n v="13"/>
    <n v="45"/>
    <n v="14"/>
    <n v="38"/>
    <n v="42"/>
    <n v="34"/>
    <n v="40"/>
    <n v="33"/>
    <n v="40"/>
    <n v="33"/>
    <n v="42"/>
    <n v="31"/>
    <n v="26"/>
    <n v="17"/>
    <n v="45"/>
    <n v="14"/>
    <n v="11"/>
    <n v="13"/>
    <n v="26"/>
    <n v="11"/>
    <n v="23"/>
    <n v="13"/>
    <n v="52"/>
    <n v="11"/>
    <n v="45"/>
    <n v="10"/>
    <n v="54"/>
    <n v="9"/>
    <n v="27"/>
    <n v="9"/>
    <n v="23"/>
    <n v="8"/>
    <n v="50"/>
    <n v="9"/>
    <n v="50"/>
    <n v="8"/>
    <n v="28"/>
    <n v="32"/>
    <n v="262"/>
    <n v="10"/>
    <n v="0.19465648854961831"/>
    <n v="235"/>
    <n v="10"/>
    <n v="0.1702127659574468"/>
    <n v="1740"/>
    <n v="1807"/>
    <n v="301"/>
    <n v="290"/>
    <m/>
    <m/>
    <m/>
    <m/>
    <n v="116"/>
    <n v="123"/>
    <m/>
    <m/>
    <n v="100"/>
    <n v="87"/>
    <m/>
    <m/>
    <m/>
    <m/>
    <m/>
    <m/>
    <m/>
    <m/>
    <n v="517"/>
    <n v="500"/>
    <n v="7016"/>
    <n v="7181"/>
  </r>
  <r>
    <x v="13"/>
    <s v="University of North Texas"/>
    <n v="227216"/>
    <x v="0"/>
    <m/>
    <m/>
    <m/>
    <m/>
    <m/>
    <m/>
    <n v="0"/>
    <n v="0"/>
    <n v="5360"/>
    <m/>
    <m/>
    <m/>
    <n v="0"/>
    <n v="5876"/>
    <m/>
    <m/>
    <m/>
    <n v="0"/>
    <m/>
    <m/>
    <m/>
    <m/>
    <m/>
    <m/>
    <m/>
    <m/>
    <m/>
    <m/>
    <m/>
    <m/>
    <m/>
    <m/>
    <m/>
    <m/>
    <m/>
    <m/>
    <m/>
    <m/>
    <n v="0"/>
    <n v="0.76006806579693709"/>
    <n v="0"/>
    <n v="0.75907505490246741"/>
    <m/>
    <m/>
    <n v="13"/>
    <n v="333"/>
    <n v="13"/>
    <n v="485"/>
    <n v="25"/>
    <n v="305"/>
    <n v="25"/>
    <n v="348"/>
    <n v="52"/>
    <n v="204"/>
    <n v="52"/>
    <n v="217"/>
    <n v="50"/>
    <n v="112"/>
    <n v="50"/>
    <n v="122"/>
    <n v="51"/>
    <n v="92"/>
    <n v="11"/>
    <n v="90"/>
    <n v="11"/>
    <n v="69"/>
    <n v="51"/>
    <n v="73"/>
    <n v="45"/>
    <n v="47"/>
    <n v="45"/>
    <n v="45"/>
    <n v="23"/>
    <n v="39"/>
    <n v="14"/>
    <n v="43"/>
    <n v="44"/>
    <n v="38"/>
    <n v="23"/>
    <n v="39"/>
    <n v="9"/>
    <n v="31"/>
    <n v="44"/>
    <n v="34"/>
    <m/>
    <m/>
    <n v="204"/>
    <n v="187"/>
    <n v="1474"/>
    <n v="10"/>
    <n v="1683"/>
    <n v="10"/>
    <n v="13"/>
    <n v="62"/>
    <n v="13"/>
    <n v="51"/>
    <n v="50"/>
    <n v="37"/>
    <n v="50"/>
    <n v="32"/>
    <n v="42"/>
    <n v="36"/>
    <n v="11"/>
    <n v="22"/>
    <n v="52"/>
    <n v="21"/>
    <n v="42"/>
    <n v="19"/>
    <n v="40"/>
    <n v="15"/>
    <n v="52"/>
    <n v="12"/>
    <n v="11"/>
    <n v="12"/>
    <n v="26"/>
    <n v="8"/>
    <n v="45"/>
    <n v="8"/>
    <n v="40"/>
    <n v="8"/>
    <n v="14"/>
    <n v="5"/>
    <n v="23"/>
    <n v="5"/>
    <n v="23"/>
    <n v="4"/>
    <n v="45"/>
    <n v="5"/>
    <n v="27"/>
    <n v="4"/>
    <n v="14"/>
    <n v="4"/>
    <n v="7"/>
    <n v="9"/>
    <n v="211"/>
    <n v="10"/>
    <n v="0.29383886255924169"/>
    <n v="175"/>
    <n v="10"/>
    <n v="0.29142857142857143"/>
    <n v="1685"/>
    <n v="1858"/>
    <m/>
    <m/>
    <m/>
    <m/>
    <m/>
    <m/>
    <m/>
    <m/>
    <m/>
    <m/>
    <m/>
    <m/>
    <m/>
    <m/>
    <m/>
    <m/>
    <m/>
    <m/>
    <n v="7"/>
    <n v="7"/>
    <n v="7"/>
    <n v="7"/>
    <n v="7052"/>
    <n v="7741"/>
  </r>
  <r>
    <x v="13"/>
    <s v="University of Texas at Arlington"/>
    <n v="228769"/>
    <x v="0"/>
    <m/>
    <m/>
    <m/>
    <m/>
    <m/>
    <m/>
    <n v="0"/>
    <n v="0"/>
    <n v="3920"/>
    <m/>
    <m/>
    <m/>
    <n v="0"/>
    <n v="3999"/>
    <m/>
    <m/>
    <m/>
    <n v="0"/>
    <m/>
    <m/>
    <m/>
    <m/>
    <m/>
    <m/>
    <m/>
    <m/>
    <m/>
    <m/>
    <m/>
    <m/>
    <m/>
    <m/>
    <m/>
    <m/>
    <m/>
    <m/>
    <m/>
    <m/>
    <n v="0"/>
    <n v="0.67972949540488992"/>
    <n v="0"/>
    <n v="0.6775669264656049"/>
    <m/>
    <m/>
    <n v="52"/>
    <n v="473"/>
    <n v="52"/>
    <n v="579"/>
    <n v="14"/>
    <n v="340"/>
    <n v="14"/>
    <n v="348"/>
    <n v="44"/>
    <n v="274"/>
    <n v="44"/>
    <n v="247"/>
    <n v="13"/>
    <n v="163"/>
    <n v="13"/>
    <n v="173"/>
    <n v="51"/>
    <n v="159"/>
    <n v="51"/>
    <n v="134"/>
    <n v="4"/>
    <n v="70"/>
    <n v="11"/>
    <n v="80"/>
    <n v="11"/>
    <n v="37"/>
    <n v="4"/>
    <n v="60"/>
    <n v="45"/>
    <n v="28"/>
    <n v="45"/>
    <n v="38"/>
    <n v="27"/>
    <n v="23"/>
    <n v="42"/>
    <n v="16"/>
    <n v="54"/>
    <n v="18"/>
    <n v="54"/>
    <n v="15"/>
    <m/>
    <m/>
    <n v="109"/>
    <n v="100"/>
    <n v="1694"/>
    <n v="10"/>
    <n v="1790"/>
    <n v="10"/>
    <n v="14"/>
    <n v="62"/>
    <n v="14"/>
    <n v="40"/>
    <n v="44"/>
    <n v="26"/>
    <n v="44"/>
    <n v="13"/>
    <n v="52"/>
    <n v="12"/>
    <n v="40"/>
    <n v="11"/>
    <n v="40"/>
    <n v="10"/>
    <n v="27"/>
    <n v="9"/>
    <n v="23"/>
    <n v="7"/>
    <n v="16"/>
    <n v="7"/>
    <n v="26"/>
    <n v="7"/>
    <n v="52"/>
    <n v="7"/>
    <n v="54"/>
    <n v="7"/>
    <n v="11"/>
    <n v="6"/>
    <n v="16"/>
    <n v="6"/>
    <n v="26"/>
    <n v="6"/>
    <n v="27"/>
    <n v="6"/>
    <n v="42"/>
    <n v="6"/>
    <n v="42"/>
    <n v="4"/>
    <n v="23"/>
    <n v="3"/>
    <n v="6"/>
    <n v="5"/>
    <n v="153"/>
    <n v="10"/>
    <n v="0.40522875816993464"/>
    <n v="113"/>
    <n v="10"/>
    <n v="0.35398230088495575"/>
    <n v="1847"/>
    <n v="1903"/>
    <m/>
    <m/>
    <m/>
    <m/>
    <m/>
    <m/>
    <m/>
    <m/>
    <m/>
    <m/>
    <m/>
    <m/>
    <m/>
    <m/>
    <m/>
    <m/>
    <m/>
    <m/>
    <n v="0"/>
    <n v="0"/>
    <n v="0"/>
    <n v="0"/>
    <n v="5767"/>
    <n v="5902"/>
  </r>
  <r>
    <x v="13"/>
    <s v="University of Texas at Austin"/>
    <n v="228778"/>
    <x v="0"/>
    <m/>
    <m/>
    <m/>
    <m/>
    <m/>
    <m/>
    <n v="0"/>
    <n v="0"/>
    <n v="8617"/>
    <m/>
    <m/>
    <m/>
    <n v="0"/>
    <n v="8609"/>
    <m/>
    <m/>
    <m/>
    <n v="0"/>
    <m/>
    <m/>
    <m/>
    <m/>
    <m/>
    <m/>
    <m/>
    <m/>
    <m/>
    <m/>
    <m/>
    <m/>
    <m/>
    <m/>
    <m/>
    <m/>
    <m/>
    <m/>
    <m/>
    <m/>
    <n v="0"/>
    <n v="0.65843967295789718"/>
    <n v="0"/>
    <n v="0.66954425260538186"/>
    <m/>
    <m/>
    <n v="52"/>
    <n v="961"/>
    <n v="52"/>
    <n v="964"/>
    <n v="14"/>
    <n v="470"/>
    <n v="14"/>
    <n v="436"/>
    <n v="44"/>
    <n v="289"/>
    <n v="44"/>
    <n v="320"/>
    <n v="13"/>
    <n v="184"/>
    <n v="13"/>
    <n v="161"/>
    <n v="9"/>
    <n v="164"/>
    <n v="9"/>
    <n v="121"/>
    <n v="50"/>
    <n v="123"/>
    <n v="25"/>
    <n v="104"/>
    <n v="51"/>
    <n v="94"/>
    <n v="50"/>
    <n v="103"/>
    <n v="4"/>
    <n v="90"/>
    <n v="51"/>
    <n v="86"/>
    <n v="25"/>
    <n v="80"/>
    <n v="4"/>
    <n v="85"/>
    <n v="45"/>
    <n v="72"/>
    <n v="45"/>
    <n v="74"/>
    <m/>
    <m/>
    <n v="479"/>
    <n v="459"/>
    <n v="3006"/>
    <n v="10"/>
    <n v="2913"/>
    <n v="10"/>
    <n v="14"/>
    <n v="216"/>
    <n v="14"/>
    <n v="169"/>
    <n v="40"/>
    <n v="97"/>
    <n v="13"/>
    <n v="83"/>
    <n v="13"/>
    <n v="82"/>
    <n v="40"/>
    <n v="79"/>
    <n v="45"/>
    <n v="68"/>
    <n v="50"/>
    <n v="68"/>
    <n v="26"/>
    <n v="61"/>
    <n v="26"/>
    <n v="56"/>
    <n v="50"/>
    <n v="56"/>
    <n v="45"/>
    <n v="47"/>
    <n v="42"/>
    <n v="55"/>
    <n v="42"/>
    <n v="41"/>
    <n v="16"/>
    <n v="36"/>
    <n v="16"/>
    <n v="40"/>
    <n v="9"/>
    <n v="28"/>
    <n v="23"/>
    <n v="25"/>
    <n v="52"/>
    <n v="26"/>
    <n v="9"/>
    <n v="23"/>
    <n v="165"/>
    <n v="145"/>
    <n v="890"/>
    <n v="10"/>
    <n v="0.24269662921348314"/>
    <n v="776"/>
    <n v="10"/>
    <n v="0.21778350515463918"/>
    <n v="3896"/>
    <n v="3689"/>
    <n v="441"/>
    <n v="433"/>
    <m/>
    <m/>
    <m/>
    <m/>
    <n v="132"/>
    <n v="121"/>
    <m/>
    <m/>
    <m/>
    <m/>
    <m/>
    <m/>
    <m/>
    <m/>
    <m/>
    <m/>
    <n v="1"/>
    <n v="6"/>
    <n v="574"/>
    <n v="560"/>
    <n v="13087"/>
    <n v="12858"/>
  </r>
  <r>
    <x v="13"/>
    <s v="University of Texas at Dallas"/>
    <n v="228787"/>
    <x v="0"/>
    <m/>
    <m/>
    <m/>
    <m/>
    <m/>
    <m/>
    <n v="0"/>
    <n v="0"/>
    <n v="2314"/>
    <m/>
    <m/>
    <m/>
    <n v="0"/>
    <n v="2313"/>
    <m/>
    <m/>
    <m/>
    <n v="0"/>
    <m/>
    <m/>
    <m/>
    <m/>
    <m/>
    <m/>
    <m/>
    <m/>
    <m/>
    <m/>
    <m/>
    <m/>
    <m/>
    <m/>
    <m/>
    <m/>
    <m/>
    <m/>
    <m/>
    <m/>
    <n v="0"/>
    <n v="0.59746966176090888"/>
    <n v="0"/>
    <n v="0.58705583756345181"/>
    <m/>
    <m/>
    <n v="52"/>
    <n v="758"/>
    <n v="52"/>
    <n v="726"/>
    <n v="14"/>
    <n v="141"/>
    <n v="14"/>
    <n v="198"/>
    <n v="11"/>
    <n v="128"/>
    <n v="11"/>
    <n v="189"/>
    <n v="51"/>
    <n v="112"/>
    <n v="51"/>
    <n v="96"/>
    <n v="30"/>
    <n v="63"/>
    <n v="30"/>
    <n v="59"/>
    <n v="24"/>
    <n v="47"/>
    <n v="45"/>
    <n v="53"/>
    <n v="45"/>
    <n v="36"/>
    <n v="44"/>
    <n v="40"/>
    <n v="26"/>
    <n v="34"/>
    <n v="26"/>
    <n v="36"/>
    <n v="50"/>
    <n v="31"/>
    <n v="24"/>
    <n v="24"/>
    <n v="44"/>
    <n v="29"/>
    <n v="50"/>
    <n v="22"/>
    <m/>
    <m/>
    <n v="61"/>
    <n v="60"/>
    <n v="1440"/>
    <n v="10"/>
    <n v="1503"/>
    <n v="10"/>
    <n v="40"/>
    <n v="21"/>
    <n v="44"/>
    <n v="29"/>
    <n v="14"/>
    <n v="19"/>
    <n v="40"/>
    <n v="15"/>
    <n v="44"/>
    <n v="14"/>
    <n v="11"/>
    <n v="14"/>
    <n v="11"/>
    <n v="13"/>
    <n v="24"/>
    <n v="14"/>
    <n v="52"/>
    <n v="11"/>
    <n v="14"/>
    <n v="13"/>
    <n v="24"/>
    <n v="9"/>
    <n v="52"/>
    <n v="11"/>
    <n v="30"/>
    <n v="6"/>
    <n v="45"/>
    <n v="9"/>
    <n v="45"/>
    <n v="6"/>
    <n v="26"/>
    <n v="6"/>
    <n v="51"/>
    <n v="6"/>
    <n v="30"/>
    <n v="3"/>
    <n v="26"/>
    <n v="4"/>
    <n v="27"/>
    <n v="2"/>
    <n v="2"/>
    <n v="1"/>
    <n v="111"/>
    <n v="10"/>
    <n v="0.1891891891891892"/>
    <n v="117"/>
    <n v="10"/>
    <n v="0.24786324786324787"/>
    <n v="1551"/>
    <n v="1620"/>
    <m/>
    <m/>
    <m/>
    <m/>
    <m/>
    <m/>
    <m/>
    <m/>
    <m/>
    <m/>
    <m/>
    <m/>
    <m/>
    <m/>
    <m/>
    <m/>
    <m/>
    <m/>
    <n v="8"/>
    <n v="7"/>
    <n v="8"/>
    <n v="7"/>
    <n v="3873"/>
    <n v="3940"/>
  </r>
  <r>
    <x v="13"/>
    <s v="Texas Woman's University"/>
    <n v="229179"/>
    <x v="1"/>
    <m/>
    <m/>
    <m/>
    <m/>
    <m/>
    <m/>
    <n v="0"/>
    <n v="0"/>
    <n v="1472"/>
    <m/>
    <m/>
    <m/>
    <n v="0"/>
    <n v="1602"/>
    <m/>
    <m/>
    <m/>
    <n v="0"/>
    <m/>
    <m/>
    <m/>
    <m/>
    <m/>
    <m/>
    <m/>
    <m/>
    <m/>
    <m/>
    <m/>
    <m/>
    <m/>
    <m/>
    <m/>
    <m/>
    <m/>
    <m/>
    <m/>
    <m/>
    <n v="0"/>
    <n v="0.46864056033110474"/>
    <n v="0"/>
    <n v="0.51084183673469385"/>
    <m/>
    <m/>
    <n v="51"/>
    <n v="561"/>
    <n v="52"/>
    <n v="392"/>
    <n v="52"/>
    <n v="389"/>
    <n v="51"/>
    <n v="346"/>
    <n v="13"/>
    <n v="256"/>
    <n v="13"/>
    <n v="269"/>
    <n v="25"/>
    <n v="192"/>
    <n v="25"/>
    <n v="208"/>
    <n v="19"/>
    <n v="38"/>
    <n v="50"/>
    <n v="50"/>
    <n v="30"/>
    <n v="35"/>
    <n v="30"/>
    <n v="49"/>
    <n v="50"/>
    <n v="32"/>
    <n v="31"/>
    <n v="37"/>
    <n v="31"/>
    <n v="24"/>
    <n v="19"/>
    <n v="34"/>
    <n v="42"/>
    <n v="20"/>
    <n v="42"/>
    <n v="22"/>
    <n v="45"/>
    <n v="10"/>
    <n v="45"/>
    <n v="12"/>
    <m/>
    <m/>
    <n v="28"/>
    <n v="34"/>
    <n v="1585"/>
    <n v="10"/>
    <n v="1453"/>
    <n v="10"/>
    <n v="51"/>
    <n v="39"/>
    <n v="51"/>
    <n v="27"/>
    <n v="13"/>
    <n v="11"/>
    <n v="19"/>
    <n v="17"/>
    <n v="19"/>
    <n v="11"/>
    <n v="13"/>
    <n v="12"/>
    <n v="31"/>
    <n v="6"/>
    <n v="42"/>
    <n v="11"/>
    <n v="23"/>
    <n v="3"/>
    <n v="23"/>
    <n v="4"/>
    <n v="42"/>
    <n v="3"/>
    <n v="31"/>
    <n v="4"/>
    <n v="50"/>
    <n v="3"/>
    <n v="26"/>
    <n v="2"/>
    <n v="26"/>
    <n v="2"/>
    <n v="30"/>
    <n v="2"/>
    <n v="45"/>
    <n v="2"/>
    <n v="25"/>
    <n v="1"/>
    <n v="52"/>
    <n v="2"/>
    <n v="45"/>
    <n v="1"/>
    <n v="2"/>
    <m/>
    <n v="84"/>
    <n v="10"/>
    <n v="0.4642857142857143"/>
    <n v="81"/>
    <n v="10"/>
    <n v="0.33333333333333331"/>
    <n v="1669"/>
    <n v="1534"/>
    <m/>
    <m/>
    <m/>
    <m/>
    <m/>
    <m/>
    <m/>
    <m/>
    <m/>
    <m/>
    <m/>
    <m/>
    <m/>
    <m/>
    <m/>
    <m/>
    <m/>
    <m/>
    <n v="0"/>
    <n v="0"/>
    <n v="0"/>
    <n v="0"/>
    <n v="3141"/>
    <n v="3136"/>
  </r>
  <r>
    <x v="13"/>
    <s v="University of Texas at El Paso"/>
    <n v="228796"/>
    <x v="1"/>
    <m/>
    <m/>
    <m/>
    <m/>
    <m/>
    <m/>
    <n v="0"/>
    <n v="0"/>
    <n v="2749"/>
    <m/>
    <m/>
    <m/>
    <n v="0"/>
    <n v="2999"/>
    <m/>
    <m/>
    <m/>
    <n v="0"/>
    <m/>
    <m/>
    <m/>
    <m/>
    <m/>
    <m/>
    <m/>
    <m/>
    <m/>
    <m/>
    <m/>
    <m/>
    <m/>
    <m/>
    <m/>
    <m/>
    <m/>
    <m/>
    <m/>
    <m/>
    <n v="0"/>
    <n v="0.77897421365826014"/>
    <n v="0"/>
    <n v="0.78139656070870245"/>
    <m/>
    <m/>
    <n v="13"/>
    <n v="273"/>
    <n v="13"/>
    <n v="284"/>
    <n v="14"/>
    <n v="107"/>
    <n v="52"/>
    <n v="95"/>
    <n v="52"/>
    <n v="87"/>
    <n v="14"/>
    <n v="93"/>
    <n v="30"/>
    <n v="63"/>
    <n v="30"/>
    <n v="70"/>
    <n v="51"/>
    <n v="63"/>
    <n v="51"/>
    <n v="70"/>
    <n v="11"/>
    <n v="30"/>
    <n v="11"/>
    <n v="21"/>
    <n v="40"/>
    <n v="19"/>
    <n v="40"/>
    <n v="20"/>
    <n v="16"/>
    <n v="17"/>
    <n v="44"/>
    <n v="17"/>
    <n v="9"/>
    <n v="15"/>
    <n v="27"/>
    <n v="15"/>
    <n v="27"/>
    <n v="10"/>
    <n v="26"/>
    <n v="14"/>
    <m/>
    <m/>
    <n v="61"/>
    <n v="81"/>
    <n v="745"/>
    <n v="10"/>
    <n v="780"/>
    <n v="10"/>
    <n v="40"/>
    <n v="10"/>
    <n v="13"/>
    <n v="16"/>
    <n v="14"/>
    <n v="6"/>
    <n v="14"/>
    <n v="14"/>
    <n v="42"/>
    <n v="5"/>
    <n v="42"/>
    <n v="9"/>
    <n v="13"/>
    <n v="4"/>
    <n v="40"/>
    <n v="7"/>
    <n v="26"/>
    <n v="3"/>
    <n v="26"/>
    <n v="5"/>
    <n v="52"/>
    <n v="3"/>
    <n v="23"/>
    <n v="3"/>
    <n v="11"/>
    <n v="2"/>
    <n v="52"/>
    <n v="3"/>
    <n v="23"/>
    <n v="1"/>
    <n v="11"/>
    <n v="1"/>
    <n v="54"/>
    <n v="1"/>
    <n v="54"/>
    <n v="1"/>
    <m/>
    <m/>
    <m/>
    <m/>
    <m/>
    <m/>
    <n v="35"/>
    <n v="9"/>
    <n v="0.2857142857142857"/>
    <n v="59"/>
    <n v="9"/>
    <n v="0.2711864406779661"/>
    <n v="780"/>
    <n v="839"/>
    <m/>
    <m/>
    <m/>
    <m/>
    <m/>
    <m/>
    <m/>
    <m/>
    <m/>
    <m/>
    <m/>
    <m/>
    <m/>
    <m/>
    <m/>
    <m/>
    <m/>
    <m/>
    <n v="0"/>
    <n v="0"/>
    <n v="0"/>
    <n v="0"/>
    <n v="3529"/>
    <n v="3838"/>
  </r>
  <r>
    <x v="13"/>
    <s v="University of Texas at San Antonio"/>
    <n v="229027"/>
    <x v="1"/>
    <m/>
    <m/>
    <m/>
    <m/>
    <m/>
    <m/>
    <n v="0"/>
    <n v="0"/>
    <n v="3596"/>
    <m/>
    <m/>
    <m/>
    <n v="0"/>
    <n v="3841"/>
    <m/>
    <m/>
    <m/>
    <n v="0"/>
    <m/>
    <m/>
    <m/>
    <m/>
    <m/>
    <m/>
    <m/>
    <m/>
    <m/>
    <m/>
    <m/>
    <m/>
    <m/>
    <m/>
    <m/>
    <m/>
    <m/>
    <m/>
    <m/>
    <m/>
    <n v="0"/>
    <n v="0.78327161838379433"/>
    <n v="0"/>
    <n v="0.79920932168123182"/>
    <m/>
    <m/>
    <n v="13"/>
    <n v="329"/>
    <n v="13"/>
    <n v="317"/>
    <n v="52"/>
    <n v="201"/>
    <n v="52"/>
    <n v="220"/>
    <n v="26"/>
    <n v="66"/>
    <n v="14"/>
    <n v="62"/>
    <n v="14"/>
    <n v="50"/>
    <n v="44"/>
    <n v="53"/>
    <n v="44"/>
    <n v="47"/>
    <n v="26"/>
    <n v="45"/>
    <n v="11"/>
    <n v="31"/>
    <n v="4"/>
    <n v="33"/>
    <n v="45"/>
    <n v="27"/>
    <n v="45"/>
    <n v="26"/>
    <n v="4"/>
    <n v="23"/>
    <n v="11"/>
    <n v="24"/>
    <n v="23"/>
    <n v="23"/>
    <n v="54"/>
    <n v="23"/>
    <n v="27"/>
    <n v="23"/>
    <n v="27"/>
    <n v="19"/>
    <m/>
    <m/>
    <n v="114"/>
    <n v="97"/>
    <n v="934"/>
    <n v="10"/>
    <n v="919"/>
    <n v="10"/>
    <n v="13"/>
    <n v="18"/>
    <n v="13"/>
    <n v="13"/>
    <n v="14"/>
    <n v="15"/>
    <n v="14"/>
    <n v="7"/>
    <n v="52"/>
    <n v="7"/>
    <n v="23"/>
    <n v="5"/>
    <n v="30"/>
    <n v="6"/>
    <n v="52"/>
    <n v="5"/>
    <n v="45"/>
    <n v="6"/>
    <n v="11"/>
    <n v="4"/>
    <n v="11"/>
    <n v="4"/>
    <n v="40"/>
    <n v="4"/>
    <n v="23"/>
    <n v="2"/>
    <n v="45"/>
    <n v="4"/>
    <n v="26"/>
    <n v="2"/>
    <n v="26"/>
    <n v="2"/>
    <n v="40"/>
    <n v="1"/>
    <n v="30"/>
    <n v="2"/>
    <m/>
    <m/>
    <m/>
    <m/>
    <m/>
    <m/>
    <n v="61"/>
    <n v="9"/>
    <n v="0.29508196721311475"/>
    <n v="46"/>
    <n v="9"/>
    <n v="0.28260869565217389"/>
    <n v="995"/>
    <n v="965"/>
    <m/>
    <m/>
    <m/>
    <m/>
    <m/>
    <m/>
    <m/>
    <m/>
    <m/>
    <m/>
    <m/>
    <m/>
    <m/>
    <m/>
    <m/>
    <m/>
    <m/>
    <m/>
    <m/>
    <m/>
    <n v="0"/>
    <n v="0"/>
    <n v="4591"/>
    <n v="4806"/>
  </r>
  <r>
    <x v="13"/>
    <s v="Angelo State University"/>
    <n v="222831"/>
    <x v="2"/>
    <m/>
    <m/>
    <m/>
    <m/>
    <n v="70"/>
    <n v="98"/>
    <n v="8.9171974522292988E-2"/>
    <n v="0.12531969309462915"/>
    <n v="785"/>
    <m/>
    <m/>
    <m/>
    <n v="0"/>
    <n v="782"/>
    <m/>
    <m/>
    <m/>
    <n v="0"/>
    <m/>
    <m/>
    <m/>
    <m/>
    <m/>
    <m/>
    <m/>
    <m/>
    <m/>
    <m/>
    <m/>
    <m/>
    <m/>
    <m/>
    <m/>
    <m/>
    <m/>
    <m/>
    <m/>
    <m/>
    <n v="0"/>
    <n v="0.78657314629258512"/>
    <n v="0"/>
    <n v="0.7454718779790277"/>
    <m/>
    <m/>
    <n v="13"/>
    <n v="31"/>
    <n v="13"/>
    <n v="65"/>
    <n v="51"/>
    <n v="31"/>
    <n v="52"/>
    <n v="26"/>
    <n v="42"/>
    <n v="25"/>
    <n v="51"/>
    <n v="25"/>
    <n v="52"/>
    <n v="24"/>
    <n v="42"/>
    <n v="17"/>
    <n v="31"/>
    <n v="9"/>
    <n v="1"/>
    <n v="13"/>
    <n v="23"/>
    <n v="7"/>
    <n v="23"/>
    <n v="5"/>
    <n v="1"/>
    <n v="6"/>
    <n v="31"/>
    <n v="5"/>
    <n v="26"/>
    <n v="5"/>
    <n v="9"/>
    <n v="4"/>
    <n v="9"/>
    <n v="2"/>
    <n v="26"/>
    <n v="4"/>
    <n v="44"/>
    <n v="2"/>
    <n v="44"/>
    <n v="4"/>
    <m/>
    <m/>
    <n v="1"/>
    <n v="1"/>
    <n v="143"/>
    <n v="10"/>
    <n v="16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3"/>
    <n v="169"/>
    <m/>
    <m/>
    <m/>
    <m/>
    <m/>
    <m/>
    <m/>
    <m/>
    <m/>
    <m/>
    <m/>
    <m/>
    <m/>
    <m/>
    <m/>
    <m/>
    <m/>
    <m/>
    <n v="0"/>
    <n v="0"/>
    <n v="0"/>
    <n v="0"/>
    <n v="998"/>
    <n v="1049"/>
  </r>
  <r>
    <x v="13"/>
    <s v="Lamar University"/>
    <n v="226091"/>
    <x v="2"/>
    <m/>
    <m/>
    <m/>
    <m/>
    <n v="54"/>
    <n v="65"/>
    <n v="4.4226044226044224E-2"/>
    <n v="5.3586150041220117E-2"/>
    <n v="1221"/>
    <m/>
    <m/>
    <m/>
    <n v="0"/>
    <n v="1213"/>
    <m/>
    <m/>
    <m/>
    <n v="0"/>
    <m/>
    <m/>
    <m/>
    <m/>
    <m/>
    <m/>
    <m/>
    <m/>
    <m/>
    <m/>
    <m/>
    <m/>
    <m/>
    <m/>
    <m/>
    <m/>
    <m/>
    <m/>
    <m/>
    <m/>
    <n v="0"/>
    <n v="0.69931271477663226"/>
    <n v="0"/>
    <n v="0.42711267605633801"/>
    <m/>
    <m/>
    <n v="14"/>
    <n v="207"/>
    <n v="13"/>
    <n v="1214"/>
    <n v="13"/>
    <n v="68"/>
    <n v="14"/>
    <n v="156"/>
    <n v="52"/>
    <n v="46"/>
    <n v="52"/>
    <n v="43"/>
    <n v="42"/>
    <n v="41"/>
    <n v="51"/>
    <n v="27"/>
    <n v="11"/>
    <n v="25"/>
    <n v="11"/>
    <n v="19"/>
    <n v="51"/>
    <n v="15"/>
    <n v="42"/>
    <n v="19"/>
    <n v="40"/>
    <n v="8"/>
    <n v="31"/>
    <n v="11"/>
    <n v="50"/>
    <n v="8"/>
    <n v="40"/>
    <n v="10"/>
    <n v="43"/>
    <n v="5"/>
    <n v="19"/>
    <n v="9"/>
    <n v="19"/>
    <n v="3"/>
    <n v="23"/>
    <n v="5"/>
    <m/>
    <m/>
    <n v="11"/>
    <n v="15"/>
    <n v="437"/>
    <n v="10"/>
    <n v="1528"/>
    <n v="10"/>
    <n v="13"/>
    <n v="23"/>
    <n v="13"/>
    <n v="23"/>
    <n v="14"/>
    <n v="7"/>
    <n v="1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"/>
    <n v="0.76666666666666672"/>
    <n v="27"/>
    <n v="2"/>
    <n v="0.85185185185185186"/>
    <n v="467"/>
    <n v="1555"/>
    <m/>
    <m/>
    <m/>
    <m/>
    <m/>
    <m/>
    <m/>
    <m/>
    <m/>
    <m/>
    <m/>
    <m/>
    <m/>
    <m/>
    <m/>
    <m/>
    <m/>
    <m/>
    <n v="4"/>
    <n v="7"/>
    <n v="4"/>
    <n v="7"/>
    <n v="1746"/>
    <n v="2840"/>
  </r>
  <r>
    <x v="13"/>
    <s v="Midwestern State University"/>
    <n v="226833"/>
    <x v="2"/>
    <m/>
    <m/>
    <m/>
    <m/>
    <n v="39"/>
    <n v="43"/>
    <n v="4.0082219938335044E-2"/>
    <n v="4.2743538767395624E-2"/>
    <n v="973"/>
    <m/>
    <m/>
    <m/>
    <n v="0"/>
    <n v="1006"/>
    <m/>
    <m/>
    <m/>
    <n v="0"/>
    <m/>
    <m/>
    <m/>
    <m/>
    <m/>
    <m/>
    <m/>
    <m/>
    <m/>
    <m/>
    <m/>
    <m/>
    <m/>
    <m/>
    <m/>
    <m/>
    <m/>
    <m/>
    <m/>
    <m/>
    <n v="0"/>
    <n v="0.8603006189213086"/>
    <n v="0"/>
    <n v="0.82459016393442619"/>
    <m/>
    <m/>
    <n v="13"/>
    <n v="32"/>
    <n v="13"/>
    <n v="55"/>
    <n v="51"/>
    <n v="26"/>
    <n v="51"/>
    <n v="47"/>
    <n v="52"/>
    <n v="19"/>
    <n v="52"/>
    <n v="24"/>
    <n v="42"/>
    <n v="14"/>
    <n v="42"/>
    <n v="16"/>
    <n v="31"/>
    <n v="7"/>
    <n v="54"/>
    <n v="8"/>
    <n v="45"/>
    <n v="6"/>
    <n v="31"/>
    <n v="6"/>
    <n v="44"/>
    <n v="5"/>
    <n v="23"/>
    <n v="4"/>
    <n v="26"/>
    <n v="4"/>
    <n v="44"/>
    <n v="4"/>
    <n v="11"/>
    <n v="3"/>
    <n v="11"/>
    <n v="3"/>
    <n v="23"/>
    <n v="3"/>
    <n v="26"/>
    <n v="3"/>
    <m/>
    <m/>
    <m/>
    <n v="1"/>
    <n v="119"/>
    <n v="10"/>
    <n v="17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9"/>
    <n v="171"/>
    <m/>
    <m/>
    <m/>
    <m/>
    <m/>
    <m/>
    <m/>
    <m/>
    <m/>
    <m/>
    <m/>
    <m/>
    <m/>
    <m/>
    <m/>
    <m/>
    <m/>
    <m/>
    <n v="0"/>
    <n v="0"/>
    <n v="0"/>
    <n v="0"/>
    <n v="1131"/>
    <n v="1220"/>
  </r>
  <r>
    <x v="13"/>
    <s v="Prairie View A&amp;M University"/>
    <n v="227526"/>
    <x v="2"/>
    <m/>
    <m/>
    <m/>
    <m/>
    <m/>
    <m/>
    <n v="0"/>
    <n v="0"/>
    <n v="787"/>
    <m/>
    <m/>
    <m/>
    <n v="0"/>
    <n v="866"/>
    <m/>
    <m/>
    <m/>
    <n v="0"/>
    <m/>
    <m/>
    <m/>
    <m/>
    <m/>
    <m/>
    <m/>
    <m/>
    <m/>
    <m/>
    <m/>
    <m/>
    <m/>
    <m/>
    <m/>
    <m/>
    <m/>
    <m/>
    <m/>
    <m/>
    <n v="0"/>
    <n v="0.50708762886597936"/>
    <n v="0"/>
    <n v="0.54914394419784396"/>
    <m/>
    <m/>
    <n v="13"/>
    <n v="333"/>
    <n v="13"/>
    <n v="259"/>
    <n v="42"/>
    <n v="272"/>
    <n v="42"/>
    <n v="241"/>
    <n v="52"/>
    <n v="32"/>
    <n v="4"/>
    <n v="41"/>
    <n v="51"/>
    <n v="26"/>
    <n v="52"/>
    <n v="38"/>
    <n v="4"/>
    <n v="25"/>
    <n v="51"/>
    <n v="34"/>
    <n v="19"/>
    <n v="25"/>
    <n v="19"/>
    <n v="21"/>
    <n v="14"/>
    <n v="21"/>
    <n v="14"/>
    <n v="15"/>
    <n v="45"/>
    <n v="6"/>
    <n v="26"/>
    <n v="8"/>
    <n v="11"/>
    <n v="3"/>
    <n v="43"/>
    <n v="8"/>
    <n v="43"/>
    <n v="3"/>
    <n v="45"/>
    <n v="7"/>
    <m/>
    <m/>
    <n v="4"/>
    <n v="13"/>
    <n v="750"/>
    <n v="10"/>
    <n v="685"/>
    <n v="10"/>
    <n v="43"/>
    <n v="9"/>
    <n v="13"/>
    <n v="17"/>
    <n v="13"/>
    <n v="5"/>
    <n v="43"/>
    <n v="6"/>
    <n v="14"/>
    <n v="1"/>
    <n v="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"/>
    <n v="0.6"/>
    <n v="26"/>
    <n v="3"/>
    <n v="0.65384615384615385"/>
    <n v="765"/>
    <n v="711"/>
    <m/>
    <m/>
    <m/>
    <m/>
    <m/>
    <m/>
    <m/>
    <m/>
    <m/>
    <m/>
    <m/>
    <m/>
    <m/>
    <m/>
    <m/>
    <m/>
    <m/>
    <m/>
    <n v="0"/>
    <n v="0"/>
    <n v="0"/>
    <n v="0"/>
    <n v="1552"/>
    <n v="1577"/>
  </r>
  <r>
    <x v="13"/>
    <s v="Sam Houston State University "/>
    <n v="227881"/>
    <x v="2"/>
    <m/>
    <m/>
    <m/>
    <m/>
    <m/>
    <m/>
    <n v="0"/>
    <n v="0"/>
    <n v="2730"/>
    <m/>
    <m/>
    <m/>
    <n v="0"/>
    <n v="3101"/>
    <m/>
    <m/>
    <m/>
    <n v="0"/>
    <m/>
    <m/>
    <m/>
    <m/>
    <m/>
    <m/>
    <m/>
    <m/>
    <m/>
    <m/>
    <m/>
    <m/>
    <m/>
    <m/>
    <m/>
    <m/>
    <m/>
    <m/>
    <m/>
    <m/>
    <n v="0"/>
    <n v="0.79291315713040955"/>
    <n v="0"/>
    <n v="0.77953745600804425"/>
    <m/>
    <m/>
    <n v="13"/>
    <n v="303"/>
    <n v="13"/>
    <n v="470"/>
    <n v="52"/>
    <n v="102"/>
    <n v="52"/>
    <n v="104"/>
    <n v="25"/>
    <n v="66"/>
    <n v="25"/>
    <n v="72"/>
    <n v="42"/>
    <n v="62"/>
    <n v="43"/>
    <n v="56"/>
    <n v="43"/>
    <n v="38"/>
    <n v="42"/>
    <n v="45"/>
    <n v="11"/>
    <n v="19"/>
    <n v="50"/>
    <n v="14"/>
    <n v="54"/>
    <n v="15"/>
    <n v="54"/>
    <n v="13"/>
    <n v="23"/>
    <n v="13"/>
    <n v="23"/>
    <n v="12"/>
    <n v="50"/>
    <n v="12"/>
    <n v="11"/>
    <n v="10"/>
    <n v="1"/>
    <n v="11"/>
    <n v="1"/>
    <n v="9"/>
    <m/>
    <m/>
    <n v="38"/>
    <n v="39"/>
    <n v="679"/>
    <n v="10"/>
    <n v="844"/>
    <n v="10"/>
    <n v="43"/>
    <n v="17"/>
    <n v="13"/>
    <n v="21"/>
    <n v="13"/>
    <n v="11"/>
    <n v="43"/>
    <n v="9"/>
    <n v="42"/>
    <n v="6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3"/>
    <n v="0.5"/>
    <n v="33"/>
    <n v="3"/>
    <n v="0.63636363636363635"/>
    <n v="713"/>
    <n v="877"/>
    <m/>
    <m/>
    <m/>
    <m/>
    <m/>
    <m/>
    <m/>
    <m/>
    <m/>
    <m/>
    <m/>
    <m/>
    <m/>
    <m/>
    <m/>
    <m/>
    <m/>
    <m/>
    <n v="0"/>
    <n v="0"/>
    <n v="0"/>
    <n v="0"/>
    <n v="3443"/>
    <n v="3978"/>
  </r>
  <r>
    <x v="13"/>
    <s v="Stephen F. Austin State University"/>
    <n v="228431"/>
    <x v="2"/>
    <m/>
    <m/>
    <m/>
    <m/>
    <m/>
    <m/>
    <n v="0"/>
    <n v="0"/>
    <n v="1812"/>
    <m/>
    <m/>
    <m/>
    <n v="0"/>
    <n v="1745"/>
    <m/>
    <m/>
    <m/>
    <n v="0"/>
    <m/>
    <m/>
    <m/>
    <m/>
    <m/>
    <m/>
    <m/>
    <m/>
    <m/>
    <m/>
    <m/>
    <m/>
    <m/>
    <m/>
    <m/>
    <m/>
    <m/>
    <m/>
    <m/>
    <m/>
    <n v="0"/>
    <n v="0.79683377308707126"/>
    <n v="0"/>
    <n v="0.79462659380692169"/>
    <m/>
    <m/>
    <n v="13"/>
    <n v="145"/>
    <n v="13"/>
    <n v="136"/>
    <n v="44"/>
    <n v="57"/>
    <n v="44"/>
    <n v="58"/>
    <n v="52"/>
    <n v="43"/>
    <n v="52"/>
    <n v="48"/>
    <n v="42"/>
    <n v="31"/>
    <n v="51"/>
    <n v="31"/>
    <n v="31"/>
    <n v="26"/>
    <n v="42"/>
    <n v="29"/>
    <n v="51"/>
    <n v="25"/>
    <n v="31"/>
    <n v="25"/>
    <n v="26"/>
    <n v="21"/>
    <n v="50"/>
    <n v="20"/>
    <n v="50"/>
    <n v="21"/>
    <n v="3"/>
    <n v="17"/>
    <n v="3"/>
    <n v="14"/>
    <n v="26"/>
    <n v="16"/>
    <n v="19"/>
    <n v="14"/>
    <n v="19"/>
    <n v="14"/>
    <m/>
    <m/>
    <n v="48"/>
    <n v="38"/>
    <n v="445"/>
    <n v="10"/>
    <n v="432"/>
    <n v="10"/>
    <n v="13"/>
    <n v="16"/>
    <n v="13"/>
    <n v="14"/>
    <n v="3"/>
    <n v="1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94117647058823528"/>
    <n v="19"/>
    <n v="2"/>
    <n v="0.73684210526315785"/>
    <n v="462"/>
    <n v="451"/>
    <m/>
    <m/>
    <m/>
    <m/>
    <m/>
    <m/>
    <m/>
    <m/>
    <m/>
    <m/>
    <m/>
    <m/>
    <m/>
    <m/>
    <m/>
    <m/>
    <m/>
    <m/>
    <n v="0"/>
    <n v="0"/>
    <n v="0"/>
    <n v="0"/>
    <n v="2274"/>
    <n v="2196"/>
  </r>
  <r>
    <x v="13"/>
    <s v="Sul Ross State University "/>
    <n v="228501"/>
    <x v="2"/>
    <m/>
    <m/>
    <m/>
    <m/>
    <n v="14"/>
    <n v="22"/>
    <n v="6.363636363636363E-2"/>
    <n v="0.11518324607329843"/>
    <n v="220"/>
    <m/>
    <m/>
    <m/>
    <n v="0"/>
    <n v="191"/>
    <m/>
    <m/>
    <m/>
    <n v="0"/>
    <m/>
    <m/>
    <m/>
    <m/>
    <m/>
    <m/>
    <m/>
    <m/>
    <m/>
    <m/>
    <m/>
    <m/>
    <m/>
    <m/>
    <m/>
    <m/>
    <m/>
    <m/>
    <m/>
    <m/>
    <n v="0"/>
    <n v="0.57894736842105265"/>
    <n v="0"/>
    <n v="0.49739583333333331"/>
    <m/>
    <m/>
    <n v="13"/>
    <n v="77"/>
    <n v="13"/>
    <n v="99"/>
    <n v="52"/>
    <n v="29"/>
    <n v="43"/>
    <n v="15"/>
    <n v="43"/>
    <n v="8"/>
    <n v="24"/>
    <n v="10"/>
    <n v="3"/>
    <n v="5"/>
    <n v="52"/>
    <n v="9"/>
    <n v="23"/>
    <n v="5"/>
    <n v="1"/>
    <n v="7"/>
    <n v="26"/>
    <n v="5"/>
    <n v="54"/>
    <n v="7"/>
    <n v="50"/>
    <n v="4"/>
    <n v="26"/>
    <n v="6"/>
    <n v="24"/>
    <n v="3"/>
    <n v="44"/>
    <n v="5"/>
    <n v="44"/>
    <n v="3"/>
    <n v="3"/>
    <n v="4"/>
    <n v="54"/>
    <n v="3"/>
    <n v="40"/>
    <n v="3"/>
    <m/>
    <m/>
    <n v="4"/>
    <n v="6"/>
    <n v="146"/>
    <n v="10"/>
    <n v="17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6"/>
    <n v="171"/>
    <m/>
    <m/>
    <m/>
    <m/>
    <m/>
    <m/>
    <m/>
    <m/>
    <m/>
    <m/>
    <m/>
    <m/>
    <m/>
    <m/>
    <m/>
    <m/>
    <m/>
    <m/>
    <n v="0"/>
    <n v="0"/>
    <n v="0"/>
    <n v="0"/>
    <n v="380"/>
    <n v="384"/>
  </r>
  <r>
    <x v="13"/>
    <s v="Tarleton State University"/>
    <n v="228529"/>
    <x v="2"/>
    <m/>
    <m/>
    <m/>
    <m/>
    <n v="12"/>
    <n v="24"/>
    <n v="6.9645966337782937E-3"/>
    <n v="1.4243323442136498E-2"/>
    <n v="1723"/>
    <m/>
    <m/>
    <m/>
    <n v="0"/>
    <n v="1685"/>
    <m/>
    <m/>
    <m/>
    <n v="0"/>
    <m/>
    <m/>
    <m/>
    <m/>
    <m/>
    <m/>
    <m/>
    <m/>
    <m/>
    <m/>
    <m/>
    <m/>
    <m/>
    <m/>
    <m/>
    <m/>
    <m/>
    <m/>
    <m/>
    <m/>
    <n v="0"/>
    <n v="0.78604014598540151"/>
    <n v="0"/>
    <n v="0.78299256505576209"/>
    <m/>
    <m/>
    <n v="13"/>
    <n v="246"/>
    <n v="13"/>
    <n v="219"/>
    <n v="52"/>
    <n v="77"/>
    <n v="52"/>
    <n v="90"/>
    <n v="42"/>
    <n v="43"/>
    <n v="42"/>
    <n v="43"/>
    <n v="11"/>
    <n v="28"/>
    <n v="11"/>
    <n v="37"/>
    <n v="1"/>
    <n v="14"/>
    <n v="1"/>
    <n v="17"/>
    <n v="43"/>
    <n v="10"/>
    <n v="27"/>
    <n v="6"/>
    <n v="54"/>
    <n v="9"/>
    <n v="43"/>
    <n v="5"/>
    <n v="27"/>
    <n v="8"/>
    <n v="24"/>
    <n v="4"/>
    <n v="26"/>
    <n v="3"/>
    <n v="54"/>
    <n v="4"/>
    <n v="3"/>
    <n v="2"/>
    <n v="15"/>
    <n v="2"/>
    <m/>
    <m/>
    <n v="3"/>
    <n v="5"/>
    <n v="443"/>
    <n v="10"/>
    <n v="432"/>
    <n v="10"/>
    <n v="13"/>
    <n v="14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11"/>
    <n v="1"/>
    <n v="1"/>
    <n v="457"/>
    <n v="443"/>
    <m/>
    <m/>
    <m/>
    <m/>
    <m/>
    <m/>
    <m/>
    <m/>
    <m/>
    <m/>
    <m/>
    <m/>
    <m/>
    <m/>
    <m/>
    <m/>
    <m/>
    <m/>
    <n v="0"/>
    <n v="0"/>
    <n v="0"/>
    <n v="0"/>
    <n v="2192"/>
    <n v="2152"/>
  </r>
  <r>
    <x v="13"/>
    <s v="Texas A&amp;M International University"/>
    <n v="226152"/>
    <x v="2"/>
    <m/>
    <m/>
    <m/>
    <m/>
    <m/>
    <m/>
    <n v="0"/>
    <n v="0"/>
    <n v="705"/>
    <m/>
    <m/>
    <m/>
    <n v="0"/>
    <n v="722"/>
    <m/>
    <m/>
    <m/>
    <n v="0"/>
    <m/>
    <m/>
    <m/>
    <m/>
    <m/>
    <m/>
    <m/>
    <m/>
    <m/>
    <m/>
    <m/>
    <m/>
    <m/>
    <m/>
    <m/>
    <m/>
    <m/>
    <m/>
    <m/>
    <m/>
    <n v="0"/>
    <n v="0.69049951028403522"/>
    <n v="0"/>
    <n v="0.707843137254902"/>
    <m/>
    <m/>
    <n v="52"/>
    <n v="165"/>
    <n v="13"/>
    <n v="131"/>
    <n v="13"/>
    <n v="107"/>
    <n v="52"/>
    <n v="128"/>
    <n v="42"/>
    <n v="13"/>
    <n v="42"/>
    <n v="13"/>
    <n v="43"/>
    <n v="9"/>
    <n v="44"/>
    <n v="9"/>
    <n v="51"/>
    <n v="7"/>
    <n v="43"/>
    <n v="5"/>
    <n v="16"/>
    <n v="5"/>
    <n v="30"/>
    <n v="4"/>
    <n v="26"/>
    <n v="3"/>
    <n v="45"/>
    <n v="3"/>
    <n v="45"/>
    <n v="3"/>
    <n v="54"/>
    <n v="2"/>
    <n v="44"/>
    <n v="2"/>
    <n v="23"/>
    <n v="1"/>
    <n v="23"/>
    <n v="1"/>
    <n v="26"/>
    <n v="1"/>
    <m/>
    <m/>
    <n v="1"/>
    <n v="1"/>
    <n v="316"/>
    <n v="10"/>
    <n v="29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6"/>
    <n v="298"/>
    <m/>
    <m/>
    <m/>
    <m/>
    <m/>
    <m/>
    <m/>
    <m/>
    <m/>
    <m/>
    <m/>
    <m/>
    <m/>
    <m/>
    <m/>
    <m/>
    <m/>
    <m/>
    <m/>
    <m/>
    <n v="0"/>
    <n v="0"/>
    <n v="1021"/>
    <n v="1020"/>
  </r>
  <r>
    <x v="13"/>
    <s v="Texas A&amp;M University-Commerce"/>
    <n v="224554"/>
    <x v="2"/>
    <m/>
    <m/>
    <m/>
    <m/>
    <m/>
    <m/>
    <n v="0"/>
    <n v="0"/>
    <n v="1290"/>
    <m/>
    <m/>
    <m/>
    <n v="0"/>
    <n v="1201"/>
    <m/>
    <m/>
    <m/>
    <n v="0"/>
    <m/>
    <m/>
    <m/>
    <m/>
    <m/>
    <m/>
    <m/>
    <m/>
    <m/>
    <m/>
    <m/>
    <m/>
    <m/>
    <m/>
    <m/>
    <m/>
    <m/>
    <m/>
    <m/>
    <m/>
    <n v="0"/>
    <n v="0.5538857878917991"/>
    <n v="0"/>
    <n v="0.51722652885443587"/>
    <m/>
    <m/>
    <n v="13"/>
    <n v="443"/>
    <n v="13"/>
    <n v="395"/>
    <n v="52"/>
    <n v="330"/>
    <n v="52"/>
    <n v="393"/>
    <n v="11"/>
    <n v="55"/>
    <n v="11"/>
    <n v="81"/>
    <n v="44"/>
    <n v="49"/>
    <n v="44"/>
    <n v="51"/>
    <n v="15"/>
    <n v="30"/>
    <n v="15"/>
    <n v="49"/>
    <n v="30"/>
    <n v="16"/>
    <n v="30"/>
    <n v="24"/>
    <n v="50"/>
    <n v="12"/>
    <n v="25"/>
    <n v="16"/>
    <n v="25"/>
    <n v="11"/>
    <n v="50"/>
    <n v="13"/>
    <n v="42"/>
    <n v="8"/>
    <n v="23"/>
    <n v="12"/>
    <n v="23"/>
    <n v="7"/>
    <n v="31"/>
    <n v="12"/>
    <m/>
    <m/>
    <n v="38"/>
    <n v="46"/>
    <n v="999"/>
    <n v="10"/>
    <n v="1092"/>
    <n v="10"/>
    <n v="13"/>
    <n v="31"/>
    <n v="13"/>
    <n v="25"/>
    <n v="42"/>
    <n v="5"/>
    <n v="42"/>
    <n v="3"/>
    <n v="23"/>
    <n v="4"/>
    <n v="2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"/>
    <n v="0.77500000000000002"/>
    <n v="29"/>
    <n v="3"/>
    <n v="0.86206896551724133"/>
    <n v="1039"/>
    <n v="1121"/>
    <m/>
    <m/>
    <m/>
    <m/>
    <m/>
    <m/>
    <m/>
    <m/>
    <m/>
    <m/>
    <m/>
    <m/>
    <m/>
    <m/>
    <m/>
    <m/>
    <m/>
    <m/>
    <n v="0"/>
    <m/>
    <n v="0"/>
    <n v="0"/>
    <n v="2329"/>
    <n v="2322"/>
  </r>
  <r>
    <x v="13"/>
    <s v="Texas A&amp;M University-Corpus Christi "/>
    <n v="224147"/>
    <x v="2"/>
    <m/>
    <m/>
    <m/>
    <m/>
    <m/>
    <m/>
    <n v="0"/>
    <n v="0"/>
    <n v="1340"/>
    <m/>
    <m/>
    <m/>
    <n v="0"/>
    <n v="1424"/>
    <m/>
    <m/>
    <m/>
    <n v="0"/>
    <m/>
    <m/>
    <m/>
    <m/>
    <m/>
    <m/>
    <m/>
    <m/>
    <m/>
    <m/>
    <m/>
    <m/>
    <m/>
    <m/>
    <m/>
    <m/>
    <m/>
    <m/>
    <m/>
    <m/>
    <n v="0"/>
    <n v="0.75620767494356655"/>
    <n v="0"/>
    <n v="0.7416666666666667"/>
    <m/>
    <m/>
    <n v="13"/>
    <n v="180"/>
    <n v="13"/>
    <n v="205"/>
    <n v="52"/>
    <n v="73"/>
    <n v="52"/>
    <n v="92"/>
    <n v="51"/>
    <n v="56"/>
    <n v="51"/>
    <n v="61"/>
    <n v="26"/>
    <n v="19"/>
    <n v="11"/>
    <n v="24"/>
    <n v="11"/>
    <n v="13"/>
    <n v="44"/>
    <n v="17"/>
    <n v="44"/>
    <n v="11"/>
    <n v="23"/>
    <n v="15"/>
    <n v="23"/>
    <n v="10"/>
    <n v="26"/>
    <n v="13"/>
    <n v="42"/>
    <n v="9"/>
    <n v="50"/>
    <n v="12"/>
    <n v="3"/>
    <n v="8"/>
    <n v="14"/>
    <n v="7"/>
    <n v="27"/>
    <n v="8"/>
    <n v="31"/>
    <n v="7"/>
    <m/>
    <m/>
    <n v="13"/>
    <n v="16"/>
    <n v="400"/>
    <n v="10"/>
    <n v="469"/>
    <n v="10"/>
    <n v="13"/>
    <n v="32"/>
    <n v="13"/>
    <n v="25"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"/>
    <n v="1"/>
    <n v="27"/>
    <n v="2"/>
    <n v="0.92592592592592593"/>
    <n v="432"/>
    <n v="496"/>
    <m/>
    <m/>
    <m/>
    <m/>
    <m/>
    <m/>
    <m/>
    <m/>
    <m/>
    <m/>
    <m/>
    <m/>
    <m/>
    <m/>
    <m/>
    <m/>
    <m/>
    <m/>
    <n v="0"/>
    <m/>
    <n v="0"/>
    <n v="0"/>
    <n v="1772"/>
    <n v="1920"/>
  </r>
  <r>
    <x v="13"/>
    <s v="Texas A&amp;M University-Kingsville"/>
    <n v="228705"/>
    <x v="2"/>
    <m/>
    <m/>
    <m/>
    <m/>
    <m/>
    <m/>
    <n v="0"/>
    <n v="0"/>
    <n v="942"/>
    <m/>
    <m/>
    <m/>
    <n v="0"/>
    <n v="1120"/>
    <m/>
    <m/>
    <m/>
    <n v="0"/>
    <m/>
    <m/>
    <m/>
    <m/>
    <m/>
    <m/>
    <m/>
    <m/>
    <m/>
    <m/>
    <m/>
    <m/>
    <m/>
    <m/>
    <m/>
    <m/>
    <m/>
    <m/>
    <m/>
    <m/>
    <n v="0"/>
    <n v="0.63951120162932795"/>
    <n v="0"/>
    <n v="0.74319840743198406"/>
    <m/>
    <m/>
    <n v="14"/>
    <n v="158"/>
    <n v="13"/>
    <n v="110"/>
    <n v="13"/>
    <n v="111"/>
    <n v="14"/>
    <n v="98"/>
    <n v="11"/>
    <n v="102"/>
    <n v="11"/>
    <n v="61"/>
    <n v="1"/>
    <n v="29"/>
    <n v="1"/>
    <n v="23"/>
    <n v="51"/>
    <n v="24"/>
    <n v="51"/>
    <n v="16"/>
    <n v="52"/>
    <n v="17"/>
    <n v="3"/>
    <n v="13"/>
    <n v="42"/>
    <n v="12"/>
    <n v="52"/>
    <n v="13"/>
    <n v="3"/>
    <n v="10"/>
    <n v="31"/>
    <n v="5"/>
    <n v="19"/>
    <n v="10"/>
    <n v="42"/>
    <n v="5"/>
    <n v="16"/>
    <n v="8"/>
    <n v="19"/>
    <n v="4"/>
    <m/>
    <m/>
    <n v="28"/>
    <n v="14"/>
    <n v="509"/>
    <n v="10"/>
    <n v="362"/>
    <n v="10"/>
    <n v="13"/>
    <n v="19"/>
    <n v="13"/>
    <n v="19"/>
    <n v="14"/>
    <n v="3"/>
    <n v="3"/>
    <n v="5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0.86363636363636365"/>
    <n v="25"/>
    <n v="3"/>
    <n v="0.76"/>
    <n v="531"/>
    <n v="387"/>
    <m/>
    <m/>
    <m/>
    <m/>
    <m/>
    <m/>
    <m/>
    <m/>
    <m/>
    <m/>
    <m/>
    <m/>
    <m/>
    <m/>
    <m/>
    <m/>
    <m/>
    <m/>
    <m/>
    <m/>
    <n v="0"/>
    <n v="0"/>
    <n v="1473"/>
    <n v="1507"/>
  </r>
  <r>
    <x v="13"/>
    <s v="Texas Southern University "/>
    <n v="229063"/>
    <x v="2"/>
    <m/>
    <m/>
    <m/>
    <m/>
    <m/>
    <m/>
    <n v="0"/>
    <n v="0"/>
    <n v="821"/>
    <m/>
    <m/>
    <m/>
    <n v="0"/>
    <n v="889"/>
    <m/>
    <m/>
    <m/>
    <n v="0"/>
    <m/>
    <m/>
    <m/>
    <m/>
    <m/>
    <m/>
    <m/>
    <m/>
    <m/>
    <m/>
    <m/>
    <m/>
    <m/>
    <m/>
    <m/>
    <m/>
    <m/>
    <m/>
    <m/>
    <m/>
    <n v="0"/>
    <n v="0.60590405904059041"/>
    <n v="0"/>
    <n v="0.63319088319088324"/>
    <m/>
    <m/>
    <n v="13"/>
    <n v="78"/>
    <n v="13"/>
    <n v="71"/>
    <n v="52"/>
    <n v="29"/>
    <n v="44"/>
    <n v="30"/>
    <n v="44"/>
    <n v="28"/>
    <n v="52"/>
    <n v="23"/>
    <n v="42"/>
    <n v="16"/>
    <n v="42"/>
    <n v="12"/>
    <n v="9"/>
    <n v="13"/>
    <n v="11"/>
    <n v="8"/>
    <n v="26"/>
    <n v="10"/>
    <n v="9"/>
    <n v="7"/>
    <n v="45"/>
    <n v="7"/>
    <n v="19"/>
    <n v="7"/>
    <n v="19"/>
    <n v="6"/>
    <n v="51"/>
    <n v="4"/>
    <n v="4"/>
    <n v="5"/>
    <n v="26"/>
    <n v="3"/>
    <n v="11"/>
    <n v="5"/>
    <n v="45"/>
    <n v="3"/>
    <m/>
    <m/>
    <n v="9"/>
    <n v="6"/>
    <n v="206"/>
    <n v="10"/>
    <n v="174"/>
    <n v="10"/>
    <n v="13"/>
    <n v="11"/>
    <n v="13"/>
    <n v="15"/>
    <n v="26"/>
    <n v="7"/>
    <n v="26"/>
    <n v="9"/>
    <n v="4"/>
    <n v="2"/>
    <n v="4"/>
    <n v="2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n v="20"/>
    <n v="3"/>
    <n v="0.55000000000000004"/>
    <n v="27"/>
    <n v="4"/>
    <n v="0.55555555555555558"/>
    <n v="226"/>
    <n v="201"/>
    <n v="190"/>
    <n v="192"/>
    <m/>
    <m/>
    <m/>
    <m/>
    <n v="118"/>
    <n v="122"/>
    <m/>
    <m/>
    <m/>
    <m/>
    <m/>
    <m/>
    <m/>
    <m/>
    <m/>
    <m/>
    <m/>
    <m/>
    <n v="308"/>
    <n v="314"/>
    <n v="1355"/>
    <n v="1404"/>
  </r>
  <r>
    <x v="13"/>
    <s v="Texas State University-San Marcos"/>
    <n v="228459"/>
    <x v="2"/>
    <m/>
    <m/>
    <m/>
    <m/>
    <m/>
    <m/>
    <n v="0"/>
    <n v="0"/>
    <n v="5017"/>
    <m/>
    <m/>
    <m/>
    <n v="0"/>
    <n v="5256"/>
    <m/>
    <m/>
    <m/>
    <n v="0"/>
    <m/>
    <m/>
    <m/>
    <m/>
    <m/>
    <m/>
    <m/>
    <m/>
    <m/>
    <m/>
    <m/>
    <m/>
    <m/>
    <m/>
    <m/>
    <m/>
    <m/>
    <m/>
    <m/>
    <m/>
    <n v="0"/>
    <n v="0.81194368020715324"/>
    <n v="0"/>
    <n v="0.81907433380084149"/>
    <m/>
    <m/>
    <n v="13"/>
    <n v="344"/>
    <n v="13"/>
    <n v="342"/>
    <n v="52"/>
    <n v="177"/>
    <n v="52"/>
    <n v="158"/>
    <n v="44"/>
    <n v="102"/>
    <n v="51"/>
    <n v="105"/>
    <n v="51"/>
    <n v="93"/>
    <n v="44"/>
    <n v="88"/>
    <n v="23"/>
    <n v="73"/>
    <n v="23"/>
    <n v="71"/>
    <n v="45"/>
    <n v="68"/>
    <n v="45"/>
    <n v="61"/>
    <n v="42"/>
    <n v="57"/>
    <n v="42"/>
    <n v="60"/>
    <n v="11"/>
    <n v="40"/>
    <n v="11"/>
    <n v="38"/>
    <n v="26"/>
    <n v="39"/>
    <n v="26"/>
    <n v="36"/>
    <n v="50"/>
    <n v="30"/>
    <n v="43"/>
    <n v="32"/>
    <m/>
    <m/>
    <n v="130"/>
    <n v="153"/>
    <n v="1153"/>
    <n v="10"/>
    <n v="1144"/>
    <n v="10"/>
    <n v="45"/>
    <n v="7"/>
    <n v="13"/>
    <n v="8"/>
    <n v="13"/>
    <n v="2"/>
    <n v="45"/>
    <n v="6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77777777777777779"/>
    <n v="17"/>
    <n v="3"/>
    <n v="0.47058823529411764"/>
    <n v="1162"/>
    <n v="1161"/>
    <m/>
    <m/>
    <m/>
    <m/>
    <m/>
    <m/>
    <m/>
    <m/>
    <m/>
    <m/>
    <m/>
    <m/>
    <m/>
    <m/>
    <m/>
    <m/>
    <m/>
    <m/>
    <m/>
    <m/>
    <n v="0"/>
    <n v="0"/>
    <n v="6179"/>
    <n v="6417"/>
  </r>
  <r>
    <x v="13"/>
    <s v="University of Houston-Clear Lake "/>
    <n v="225414"/>
    <x v="2"/>
    <m/>
    <m/>
    <m/>
    <m/>
    <m/>
    <m/>
    <n v="0"/>
    <n v="0"/>
    <n v="1197"/>
    <m/>
    <m/>
    <m/>
    <n v="0"/>
    <n v="1204"/>
    <m/>
    <m/>
    <m/>
    <n v="0"/>
    <m/>
    <m/>
    <m/>
    <m/>
    <m/>
    <m/>
    <m/>
    <m/>
    <m/>
    <m/>
    <m/>
    <m/>
    <m/>
    <m/>
    <m/>
    <m/>
    <m/>
    <m/>
    <m/>
    <m/>
    <n v="0"/>
    <n v="0.56355932203389836"/>
    <n v="0"/>
    <n v="0.51563169164882228"/>
    <m/>
    <m/>
    <n v="13"/>
    <n v="269"/>
    <n v="13"/>
    <n v="392"/>
    <n v="52"/>
    <n v="211"/>
    <n v="52"/>
    <n v="245"/>
    <n v="51"/>
    <n v="62"/>
    <n v="51"/>
    <n v="71"/>
    <n v="45"/>
    <n v="60"/>
    <n v="42"/>
    <n v="64"/>
    <n v="42"/>
    <n v="57"/>
    <n v="11"/>
    <n v="54"/>
    <n v="11"/>
    <n v="52"/>
    <n v="30"/>
    <n v="48"/>
    <n v="30"/>
    <n v="47"/>
    <n v="14"/>
    <n v="44"/>
    <n v="14"/>
    <n v="33"/>
    <n v="45"/>
    <n v="37"/>
    <n v="24"/>
    <n v="28"/>
    <n v="26"/>
    <n v="34"/>
    <n v="23"/>
    <n v="24"/>
    <n v="24"/>
    <n v="32"/>
    <m/>
    <m/>
    <n v="84"/>
    <n v="110"/>
    <n v="927"/>
    <n v="10"/>
    <n v="113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27"/>
    <n v="1131"/>
    <m/>
    <m/>
    <m/>
    <m/>
    <m/>
    <m/>
    <m/>
    <m/>
    <m/>
    <m/>
    <m/>
    <m/>
    <m/>
    <m/>
    <m/>
    <m/>
    <m/>
    <m/>
    <m/>
    <m/>
    <n v="0"/>
    <n v="0"/>
    <n v="2124"/>
    <n v="2335"/>
  </r>
  <r>
    <x v="13"/>
    <s v="University of Texas at Tyler"/>
    <n v="228802"/>
    <x v="2"/>
    <m/>
    <m/>
    <m/>
    <m/>
    <m/>
    <m/>
    <n v="0"/>
    <n v="0"/>
    <n v="999"/>
    <m/>
    <m/>
    <m/>
    <n v="0"/>
    <n v="1229"/>
    <m/>
    <m/>
    <m/>
    <n v="0"/>
    <m/>
    <m/>
    <m/>
    <m/>
    <m/>
    <m/>
    <m/>
    <m/>
    <m/>
    <m/>
    <m/>
    <m/>
    <m/>
    <m/>
    <m/>
    <m/>
    <m/>
    <m/>
    <m/>
    <m/>
    <n v="0"/>
    <n v="0.82493806771263423"/>
    <n v="0"/>
    <n v="0.84178082191780823"/>
    <m/>
    <m/>
    <n v="13"/>
    <n v="60"/>
    <n v="52"/>
    <n v="63"/>
    <n v="52"/>
    <n v="44"/>
    <n v="13"/>
    <n v="43"/>
    <n v="51"/>
    <n v="31"/>
    <n v="51"/>
    <n v="42"/>
    <n v="42"/>
    <n v="19"/>
    <n v="42"/>
    <n v="26"/>
    <n v="30"/>
    <n v="13"/>
    <n v="11"/>
    <n v="10"/>
    <n v="14"/>
    <n v="10"/>
    <n v="44"/>
    <n v="6"/>
    <n v="11"/>
    <n v="6"/>
    <n v="15"/>
    <n v="5"/>
    <n v="26"/>
    <n v="6"/>
    <n v="26"/>
    <n v="5"/>
    <n v="44"/>
    <n v="4"/>
    <n v="30"/>
    <n v="5"/>
    <n v="54"/>
    <n v="4"/>
    <n v="14"/>
    <n v="4"/>
    <m/>
    <m/>
    <n v="15"/>
    <n v="22"/>
    <n v="212"/>
    <n v="10"/>
    <n v="23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2"/>
    <n v="231"/>
    <m/>
    <m/>
    <m/>
    <m/>
    <m/>
    <m/>
    <m/>
    <m/>
    <m/>
    <m/>
    <m/>
    <m/>
    <m/>
    <m/>
    <m/>
    <m/>
    <m/>
    <m/>
    <m/>
    <m/>
    <n v="0"/>
    <n v="0"/>
    <n v="1211"/>
    <n v="1460"/>
  </r>
  <r>
    <x v="13"/>
    <s v="University of Texas-Pan American"/>
    <n v="227368"/>
    <x v="2"/>
    <m/>
    <m/>
    <m/>
    <m/>
    <m/>
    <m/>
    <n v="0"/>
    <n v="0"/>
    <n v="2420"/>
    <m/>
    <m/>
    <m/>
    <n v="0"/>
    <n v="2705"/>
    <m/>
    <m/>
    <m/>
    <n v="0"/>
    <m/>
    <m/>
    <m/>
    <m/>
    <m/>
    <m/>
    <m/>
    <m/>
    <m/>
    <m/>
    <m/>
    <m/>
    <m/>
    <m/>
    <m/>
    <m/>
    <m/>
    <m/>
    <m/>
    <m/>
    <n v="0"/>
    <n v="0.78114912846998064"/>
    <n v="0"/>
    <n v="0.77998846597462512"/>
    <m/>
    <m/>
    <n v="13"/>
    <n v="278"/>
    <n v="13"/>
    <n v="280"/>
    <n v="51"/>
    <n v="78"/>
    <n v="51"/>
    <n v="150"/>
    <n v="52"/>
    <n v="73"/>
    <n v="52"/>
    <n v="73"/>
    <n v="44"/>
    <n v="46"/>
    <n v="44"/>
    <n v="43"/>
    <n v="14"/>
    <n v="28"/>
    <n v="14"/>
    <n v="27"/>
    <n v="11"/>
    <n v="21"/>
    <n v="16"/>
    <n v="21"/>
    <n v="16"/>
    <n v="16"/>
    <n v="27"/>
    <n v="18"/>
    <n v="31"/>
    <n v="15"/>
    <n v="23"/>
    <n v="16"/>
    <n v="42"/>
    <n v="14"/>
    <n v="30"/>
    <n v="15"/>
    <n v="43"/>
    <n v="13"/>
    <n v="31"/>
    <n v="15"/>
    <m/>
    <m/>
    <n v="72"/>
    <n v="84"/>
    <n v="654"/>
    <n v="10"/>
    <n v="742"/>
    <n v="10"/>
    <n v="52"/>
    <n v="17"/>
    <n v="13"/>
    <n v="13"/>
    <n v="13"/>
    <n v="7"/>
    <n v="5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"/>
    <n v="0.70833333333333337"/>
    <n v="21"/>
    <n v="2"/>
    <n v="0.61904761904761907"/>
    <n v="678"/>
    <n v="763"/>
    <m/>
    <m/>
    <m/>
    <m/>
    <m/>
    <m/>
    <m/>
    <m/>
    <m/>
    <m/>
    <m/>
    <m/>
    <m/>
    <m/>
    <m/>
    <m/>
    <m/>
    <m/>
    <m/>
    <m/>
    <n v="0"/>
    <n v="0"/>
    <n v="3098"/>
    <n v="3468"/>
  </r>
  <r>
    <x v="13"/>
    <s v="West Texas A&amp;M University"/>
    <n v="229814"/>
    <x v="2"/>
    <m/>
    <m/>
    <m/>
    <m/>
    <m/>
    <m/>
    <n v="0"/>
    <n v="0"/>
    <n v="1213"/>
    <m/>
    <m/>
    <m/>
    <n v="0"/>
    <n v="1214"/>
    <m/>
    <m/>
    <m/>
    <n v="0"/>
    <m/>
    <m/>
    <m/>
    <m/>
    <m/>
    <m/>
    <m/>
    <m/>
    <m/>
    <m/>
    <m/>
    <m/>
    <m/>
    <m/>
    <m/>
    <m/>
    <m/>
    <m/>
    <m/>
    <m/>
    <n v="0"/>
    <n v="0.74371551195585528"/>
    <n v="0"/>
    <n v="0.78120978120978124"/>
    <m/>
    <m/>
    <n v="52"/>
    <n v="163"/>
    <n v="52"/>
    <n v="120"/>
    <n v="13"/>
    <n v="94"/>
    <n v="13"/>
    <n v="96"/>
    <n v="51"/>
    <n v="55"/>
    <n v="51"/>
    <n v="38"/>
    <n v="42"/>
    <n v="18"/>
    <n v="1"/>
    <n v="16"/>
    <n v="1"/>
    <n v="14"/>
    <n v="42"/>
    <n v="14"/>
    <n v="50"/>
    <n v="13"/>
    <n v="50"/>
    <n v="7"/>
    <n v="30"/>
    <n v="11"/>
    <n v="3"/>
    <n v="6"/>
    <n v="9"/>
    <n v="8"/>
    <n v="9"/>
    <n v="6"/>
    <n v="23"/>
    <n v="8"/>
    <n v="26"/>
    <n v="6"/>
    <n v="26"/>
    <n v="8"/>
    <n v="31"/>
    <n v="6"/>
    <m/>
    <m/>
    <n v="23"/>
    <n v="23"/>
    <n v="415"/>
    <n v="10"/>
    <n v="338"/>
    <n v="10"/>
    <n v="1"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2"/>
    <n v="1"/>
    <n v="1"/>
    <n v="418"/>
    <n v="340"/>
    <m/>
    <m/>
    <m/>
    <m/>
    <m/>
    <m/>
    <m/>
    <m/>
    <m/>
    <m/>
    <m/>
    <m/>
    <m/>
    <m/>
    <m/>
    <m/>
    <m/>
    <m/>
    <m/>
    <m/>
    <n v="0"/>
    <n v="0"/>
    <n v="1631"/>
    <n v="1554"/>
  </r>
  <r>
    <x v="13"/>
    <s v="Texas A&amp;M -Texarkana"/>
    <n v="224545"/>
    <x v="3"/>
    <m/>
    <m/>
    <m/>
    <m/>
    <m/>
    <m/>
    <n v="0"/>
    <n v="0"/>
    <n v="354"/>
    <m/>
    <m/>
    <m/>
    <n v="0"/>
    <n v="346"/>
    <m/>
    <m/>
    <m/>
    <n v="0"/>
    <m/>
    <m/>
    <m/>
    <m/>
    <m/>
    <m/>
    <m/>
    <m/>
    <m/>
    <m/>
    <m/>
    <m/>
    <m/>
    <m/>
    <m/>
    <m/>
    <m/>
    <m/>
    <m/>
    <m/>
    <n v="0"/>
    <n v="0.59696458684654297"/>
    <n v="0"/>
    <n v="0.58843537414965985"/>
    <m/>
    <m/>
    <n v="52"/>
    <n v="135"/>
    <n v="13"/>
    <n v="109"/>
    <n v="13"/>
    <n v="74"/>
    <n v="52"/>
    <n v="107"/>
    <n v="42"/>
    <n v="14"/>
    <n v="42"/>
    <n v="18"/>
    <n v="30"/>
    <n v="13"/>
    <n v="23"/>
    <n v="3"/>
    <n v="23"/>
    <n v="3"/>
    <n v="30"/>
    <n v="3"/>
    <m/>
    <m/>
    <n v="54"/>
    <n v="2"/>
    <m/>
    <m/>
    <m/>
    <m/>
    <m/>
    <m/>
    <m/>
    <m/>
    <m/>
    <m/>
    <m/>
    <m/>
    <m/>
    <m/>
    <m/>
    <m/>
    <m/>
    <m/>
    <m/>
    <m/>
    <n v="239"/>
    <n v="5"/>
    <n v="2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9"/>
    <n v="242"/>
    <m/>
    <m/>
    <m/>
    <m/>
    <m/>
    <m/>
    <m/>
    <m/>
    <m/>
    <m/>
    <m/>
    <m/>
    <m/>
    <m/>
    <m/>
    <m/>
    <m/>
    <m/>
    <m/>
    <m/>
    <n v="0"/>
    <n v="0"/>
    <n v="593"/>
    <n v="588"/>
  </r>
  <r>
    <x v="13"/>
    <s v="University of Houston-Victoria"/>
    <n v="225502"/>
    <x v="3"/>
    <m/>
    <m/>
    <m/>
    <m/>
    <m/>
    <m/>
    <n v="0"/>
    <n v="0"/>
    <n v="390"/>
    <m/>
    <m/>
    <m/>
    <n v="0"/>
    <n v="490"/>
    <m/>
    <m/>
    <m/>
    <n v="0"/>
    <m/>
    <m/>
    <m/>
    <m/>
    <m/>
    <m/>
    <m/>
    <m/>
    <m/>
    <m/>
    <m/>
    <m/>
    <m/>
    <m/>
    <m/>
    <m/>
    <m/>
    <m/>
    <m/>
    <m/>
    <n v="0"/>
    <n v="0.55397727272727271"/>
    <n v="0"/>
    <n v="0.61173533083645448"/>
    <m/>
    <m/>
    <n v="13"/>
    <n v="143"/>
    <n v="52"/>
    <n v="148"/>
    <n v="52"/>
    <n v="132"/>
    <n v="13"/>
    <n v="130"/>
    <n v="30"/>
    <n v="16"/>
    <n v="11"/>
    <n v="14"/>
    <n v="42"/>
    <n v="15"/>
    <n v="30"/>
    <n v="14"/>
    <n v="11"/>
    <n v="8"/>
    <n v="42"/>
    <n v="5"/>
    <m/>
    <m/>
    <m/>
    <m/>
    <m/>
    <m/>
    <m/>
    <m/>
    <m/>
    <m/>
    <m/>
    <m/>
    <m/>
    <m/>
    <m/>
    <m/>
    <m/>
    <m/>
    <m/>
    <m/>
    <m/>
    <m/>
    <m/>
    <m/>
    <n v="314"/>
    <n v="5"/>
    <n v="31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4"/>
    <n v="311"/>
    <m/>
    <m/>
    <m/>
    <m/>
    <m/>
    <m/>
    <m/>
    <m/>
    <m/>
    <m/>
    <m/>
    <m/>
    <m/>
    <m/>
    <m/>
    <m/>
    <m/>
    <m/>
    <m/>
    <m/>
    <n v="0"/>
    <n v="0"/>
    <n v="704"/>
    <n v="801"/>
  </r>
  <r>
    <x v="13"/>
    <s v="University of Texas at Brownsville"/>
    <n v="227377"/>
    <x v="3"/>
    <m/>
    <m/>
    <m/>
    <m/>
    <n v="1"/>
    <m/>
    <n v="1.1111111111111111E-3"/>
    <n v="0"/>
    <n v="900"/>
    <m/>
    <m/>
    <m/>
    <n v="0"/>
    <n v="987"/>
    <m/>
    <m/>
    <m/>
    <n v="0"/>
    <m/>
    <m/>
    <m/>
    <m/>
    <m/>
    <m/>
    <m/>
    <m/>
    <m/>
    <m/>
    <m/>
    <m/>
    <m/>
    <m/>
    <m/>
    <m/>
    <m/>
    <m/>
    <m/>
    <m/>
    <n v="0"/>
    <n v="0.8571428571428571"/>
    <n v="0"/>
    <n v="0.81705298013245031"/>
    <m/>
    <m/>
    <n v="13"/>
    <n v="90"/>
    <n v="13"/>
    <n v="139"/>
    <n v="52"/>
    <n v="18"/>
    <n v="52"/>
    <n v="35"/>
    <n v="44"/>
    <n v="12"/>
    <n v="30"/>
    <n v="11"/>
    <n v="30"/>
    <n v="7"/>
    <n v="23"/>
    <n v="8"/>
    <n v="40"/>
    <n v="7"/>
    <n v="44"/>
    <n v="6"/>
    <n v="51"/>
    <n v="7"/>
    <n v="26"/>
    <n v="5"/>
    <n v="16"/>
    <n v="3"/>
    <n v="40"/>
    <n v="4"/>
    <n v="23"/>
    <n v="2"/>
    <n v="51"/>
    <n v="4"/>
    <n v="27"/>
    <n v="2"/>
    <n v="54"/>
    <n v="4"/>
    <n v="26"/>
    <n v="1"/>
    <n v="27"/>
    <n v="3"/>
    <m/>
    <m/>
    <m/>
    <n v="2"/>
    <n v="149"/>
    <n v="10"/>
    <n v="22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9"/>
    <n v="221"/>
    <m/>
    <m/>
    <m/>
    <m/>
    <m/>
    <m/>
    <m/>
    <m/>
    <m/>
    <m/>
    <m/>
    <m/>
    <m/>
    <m/>
    <m/>
    <m/>
    <m/>
    <m/>
    <m/>
    <m/>
    <n v="0"/>
    <n v="0"/>
    <n v="1050"/>
    <n v="1208"/>
  </r>
  <r>
    <x v="13"/>
    <s v="University of Texas of the Permian Basin"/>
    <n v="229018"/>
    <x v="3"/>
    <m/>
    <m/>
    <m/>
    <m/>
    <m/>
    <m/>
    <n v="0"/>
    <n v="0"/>
    <n v="518"/>
    <m/>
    <m/>
    <m/>
    <n v="0"/>
    <n v="573"/>
    <m/>
    <m/>
    <m/>
    <n v="0"/>
    <m/>
    <m/>
    <m/>
    <m/>
    <m/>
    <m/>
    <m/>
    <m/>
    <m/>
    <m/>
    <m/>
    <m/>
    <m/>
    <m/>
    <m/>
    <m/>
    <m/>
    <m/>
    <m/>
    <m/>
    <n v="0"/>
    <n v="0.82615629984051042"/>
    <n v="0"/>
    <n v="0.78171896316507505"/>
    <m/>
    <m/>
    <n v="13"/>
    <n v="52"/>
    <n v="13"/>
    <n v="87"/>
    <n v="52"/>
    <n v="19"/>
    <n v="52"/>
    <n v="23"/>
    <n v="31"/>
    <n v="10"/>
    <n v="31"/>
    <n v="10"/>
    <n v="42"/>
    <n v="10"/>
    <n v="16"/>
    <n v="9"/>
    <n v="44"/>
    <n v="7"/>
    <n v="42"/>
    <n v="9"/>
    <n v="43"/>
    <n v="6"/>
    <n v="54"/>
    <n v="7"/>
    <n v="26"/>
    <n v="2"/>
    <n v="44"/>
    <n v="6"/>
    <n v="54"/>
    <n v="2"/>
    <n v="23"/>
    <n v="3"/>
    <n v="16"/>
    <n v="1"/>
    <n v="26"/>
    <n v="2"/>
    <m/>
    <m/>
    <n v="43"/>
    <n v="2"/>
    <m/>
    <m/>
    <m/>
    <n v="2"/>
    <n v="109"/>
    <n v="9"/>
    <n v="16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9"/>
    <n v="160"/>
    <m/>
    <m/>
    <m/>
    <m/>
    <m/>
    <m/>
    <m/>
    <m/>
    <m/>
    <m/>
    <m/>
    <m/>
    <m/>
    <m/>
    <m/>
    <m/>
    <m/>
    <m/>
    <m/>
    <m/>
    <n v="0"/>
    <n v="0"/>
    <n v="627"/>
    <n v="733"/>
  </r>
  <r>
    <x v="13"/>
    <s v="Sul Ross State University-Rio Grande College"/>
    <s v="228501B"/>
    <x v="4"/>
    <m/>
    <m/>
    <m/>
    <m/>
    <m/>
    <m/>
    <n v="0"/>
    <n v="0"/>
    <n v="141"/>
    <m/>
    <m/>
    <m/>
    <n v="0"/>
    <n v="173"/>
    <m/>
    <m/>
    <m/>
    <n v="0"/>
    <m/>
    <m/>
    <m/>
    <m/>
    <m/>
    <m/>
    <m/>
    <m/>
    <m/>
    <m/>
    <m/>
    <m/>
    <m/>
    <m/>
    <m/>
    <m/>
    <m/>
    <m/>
    <m/>
    <m/>
    <n v="0"/>
    <n v="0.73821989528795806"/>
    <n v="0"/>
    <n v="0.74568965517241381"/>
    <m/>
    <m/>
    <n v="13"/>
    <n v="46"/>
    <n v="13"/>
    <n v="54"/>
    <n v="52"/>
    <n v="4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"/>
    <n v="5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0"/>
    <n v="59"/>
    <m/>
    <m/>
    <m/>
    <m/>
    <m/>
    <m/>
    <m/>
    <m/>
    <m/>
    <m/>
    <m/>
    <m/>
    <m/>
    <m/>
    <m/>
    <m/>
    <m/>
    <m/>
    <m/>
    <m/>
    <n v="0"/>
    <n v="0"/>
    <n v="191"/>
    <n v="232"/>
  </r>
  <r>
    <x v="13"/>
    <s v="University of Houston-Downtown"/>
    <n v="225432"/>
    <x v="4"/>
    <m/>
    <m/>
    <m/>
    <m/>
    <m/>
    <m/>
    <n v="0"/>
    <n v="0"/>
    <n v="2060"/>
    <m/>
    <m/>
    <m/>
    <n v="0"/>
    <n v="2175"/>
    <m/>
    <m/>
    <m/>
    <n v="0"/>
    <m/>
    <m/>
    <m/>
    <m/>
    <m/>
    <m/>
    <m/>
    <m/>
    <m/>
    <m/>
    <m/>
    <m/>
    <m/>
    <m/>
    <m/>
    <m/>
    <m/>
    <m/>
    <m/>
    <m/>
    <n v="0"/>
    <n v="0.98329355608591884"/>
    <n v="0"/>
    <n v="0.98550067965564114"/>
    <m/>
    <m/>
    <n v="13"/>
    <n v="17"/>
    <n v="43"/>
    <n v="15"/>
    <n v="43"/>
    <n v="12"/>
    <n v="13"/>
    <n v="13"/>
    <n v="23"/>
    <n v="6"/>
    <n v="2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3"/>
    <n v="3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5"/>
    <n v="32"/>
    <m/>
    <m/>
    <m/>
    <m/>
    <m/>
    <m/>
    <m/>
    <m/>
    <m/>
    <m/>
    <m/>
    <m/>
    <m/>
    <m/>
    <m/>
    <m/>
    <m/>
    <m/>
    <m/>
    <m/>
    <n v="0"/>
    <n v="0"/>
    <n v="2095"/>
    <n v="2207"/>
  </r>
  <r>
    <x v="13"/>
    <s v="Texas A&amp;M University at Galveston"/>
    <n v="228714"/>
    <x v="5"/>
    <m/>
    <m/>
    <m/>
    <m/>
    <m/>
    <m/>
    <n v="0"/>
    <n v="0"/>
    <n v="258"/>
    <m/>
    <m/>
    <m/>
    <n v="0"/>
    <n v="239"/>
    <m/>
    <m/>
    <m/>
    <n v="0"/>
    <m/>
    <m/>
    <m/>
    <m/>
    <m/>
    <m/>
    <m/>
    <m/>
    <m/>
    <m/>
    <m/>
    <m/>
    <m/>
    <m/>
    <m/>
    <m/>
    <m/>
    <m/>
    <m/>
    <m/>
    <n v="0"/>
    <n v="0.98098859315589348"/>
    <n v="0"/>
    <n v="0.95599999999999996"/>
    <m/>
    <m/>
    <n v="3"/>
    <n v="5"/>
    <n v="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"/>
    <n v="11"/>
    <m/>
    <m/>
    <m/>
    <m/>
    <m/>
    <m/>
    <m/>
    <m/>
    <m/>
    <m/>
    <m/>
    <m/>
    <m/>
    <m/>
    <m/>
    <m/>
    <m/>
    <m/>
    <m/>
    <m/>
    <n v="0"/>
    <n v="0"/>
    <n v="263"/>
    <n v="250"/>
  </r>
  <r>
    <x v="13"/>
    <s v="Brazosport College "/>
    <n v="223506"/>
    <x v="12"/>
    <n v="194"/>
    <n v="179"/>
    <m/>
    <m/>
    <n v="218"/>
    <n v="202"/>
    <n v="43.6"/>
    <n v="12.625"/>
    <n v="5"/>
    <m/>
    <m/>
    <m/>
    <n v="0"/>
    <n v="16"/>
    <m/>
    <m/>
    <m/>
    <n v="0"/>
    <s v="52"/>
    <n v="5"/>
    <s v="52"/>
    <n v="16"/>
    <m/>
    <m/>
    <m/>
    <m/>
    <m/>
    <m/>
    <m/>
    <m/>
    <m/>
    <m/>
    <m/>
    <m/>
    <m/>
    <m/>
    <m/>
    <m/>
    <n v="1"/>
    <n v="1.1990407673860911E-2"/>
    <n v="1"/>
    <n v="4.03022670025188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7"/>
    <n v="397"/>
  </r>
  <r>
    <x v="13"/>
    <s v="Midland College "/>
    <n v="226806"/>
    <x v="12"/>
    <n v="150"/>
    <n v="211"/>
    <m/>
    <m/>
    <n v="414"/>
    <n v="405"/>
    <n v="207"/>
    <n v="40.5"/>
    <n v="2"/>
    <m/>
    <m/>
    <m/>
    <n v="0"/>
    <n v="10"/>
    <m/>
    <m/>
    <m/>
    <n v="0"/>
    <s v="52"/>
    <n v="2"/>
    <s v="52"/>
    <n v="10"/>
    <m/>
    <m/>
    <m/>
    <m/>
    <m/>
    <m/>
    <m/>
    <m/>
    <m/>
    <m/>
    <m/>
    <m/>
    <m/>
    <m/>
    <m/>
    <m/>
    <n v="1"/>
    <n v="3.5335689045936395E-3"/>
    <n v="1"/>
    <n v="1.597444089456868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6"/>
    <n v="626"/>
  </r>
  <r>
    <x v="13"/>
    <s v="South Texas College"/>
    <n v="409315"/>
    <x v="12"/>
    <n v="518"/>
    <n v="574"/>
    <m/>
    <m/>
    <n v="1441"/>
    <n v="1596"/>
    <n v="36.948717948717949"/>
    <n v="18.558139534883722"/>
    <n v="39"/>
    <m/>
    <m/>
    <m/>
    <n v="0"/>
    <n v="86"/>
    <m/>
    <m/>
    <m/>
    <n v="0"/>
    <s v="52"/>
    <n v="39"/>
    <s v="52"/>
    <n v="63"/>
    <m/>
    <m/>
    <s v="11"/>
    <n v="23"/>
    <m/>
    <m/>
    <m/>
    <m/>
    <m/>
    <m/>
    <m/>
    <m/>
    <m/>
    <m/>
    <m/>
    <m/>
    <n v="1"/>
    <n v="1.951951951951952E-2"/>
    <n v="2"/>
    <n v="3.8120567375886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98"/>
    <n v="2256"/>
  </r>
  <r>
    <x v="13"/>
    <s v="Amarillo College "/>
    <n v="222576"/>
    <x v="6"/>
    <n v="499"/>
    <n v="348"/>
    <m/>
    <m/>
    <n v="728"/>
    <n v="7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27"/>
    <n v="1077"/>
  </r>
  <r>
    <x v="13"/>
    <s v="Austin Community College "/>
    <n v="222992"/>
    <x v="6"/>
    <n v="467"/>
    <n v="526"/>
    <m/>
    <m/>
    <n v="1107"/>
    <n v="12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74"/>
    <n v="1785"/>
  </r>
  <r>
    <x v="13"/>
    <s v="Blinn College "/>
    <n v="223427"/>
    <x v="6"/>
    <n v="240"/>
    <n v="390"/>
    <m/>
    <m/>
    <n v="853"/>
    <n v="8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3"/>
    <n v="1254"/>
  </r>
  <r>
    <x v="13"/>
    <s v="Brookhaven College (DCCCD)"/>
    <n v="223524"/>
    <x v="6"/>
    <n v="173"/>
    <n v="150"/>
    <m/>
    <m/>
    <n v="471"/>
    <n v="5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4"/>
    <n v="671"/>
  </r>
  <r>
    <x v="13"/>
    <s v="Central Texas College "/>
    <n v="223816"/>
    <x v="6"/>
    <n v="245"/>
    <n v="504"/>
    <m/>
    <m/>
    <n v="1145"/>
    <n v="10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90"/>
    <n v="1602"/>
  </r>
  <r>
    <x v="13"/>
    <s v="Collin County Community College District"/>
    <n v="247834"/>
    <x v="6"/>
    <n v="268"/>
    <n v="250"/>
    <m/>
    <m/>
    <n v="1180"/>
    <n v="12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48"/>
    <n v="1474"/>
  </r>
  <r>
    <x v="13"/>
    <s v="Del Mar College "/>
    <n v="224350"/>
    <x v="6"/>
    <n v="318"/>
    <n v="423"/>
    <m/>
    <m/>
    <n v="1012"/>
    <n v="11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30"/>
    <n v="1532"/>
  </r>
  <r>
    <x v="13"/>
    <s v="Eastfield College (DCCCD)"/>
    <n v="224572"/>
    <x v="6"/>
    <n v="317"/>
    <n v="235"/>
    <m/>
    <m/>
    <n v="437"/>
    <n v="3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4"/>
    <n v="634"/>
  </r>
  <r>
    <x v="13"/>
    <s v="El Paso County Community College District"/>
    <n v="224642"/>
    <x v="6"/>
    <n v="412"/>
    <n v="436"/>
    <m/>
    <m/>
    <n v="1762"/>
    <n v="20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74"/>
    <n v="2525"/>
  </r>
  <r>
    <x v="13"/>
    <s v="Houston Community College"/>
    <n v="225423"/>
    <x v="6"/>
    <n v="1151"/>
    <n v="1204"/>
    <m/>
    <m/>
    <n v="2360"/>
    <n v="27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11"/>
    <n v="3926"/>
  </r>
  <r>
    <x v="13"/>
    <s v="Laredo Community College "/>
    <n v="226134"/>
    <x v="6"/>
    <n v="297"/>
    <n v="306"/>
    <m/>
    <m/>
    <n v="628"/>
    <n v="6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5"/>
    <n v="930"/>
  </r>
  <r>
    <x v="13"/>
    <s v="Lone Star College System District"/>
    <n v="227182"/>
    <x v="6"/>
    <n v="855"/>
    <n v="1133"/>
    <m/>
    <m/>
    <n v="2259"/>
    <n v="24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14"/>
    <n v="3571"/>
  </r>
  <r>
    <x v="13"/>
    <s v="McLennan Community College "/>
    <n v="226578"/>
    <x v="6"/>
    <n v="244"/>
    <n v="275"/>
    <m/>
    <m/>
    <n v="549"/>
    <n v="5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3"/>
    <n v="850"/>
  </r>
  <r>
    <x v="13"/>
    <s v="Navarro College "/>
    <n v="227146"/>
    <x v="6"/>
    <n v="294"/>
    <n v="425"/>
    <m/>
    <m/>
    <n v="514"/>
    <n v="5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8"/>
    <n v="978"/>
  </r>
  <r>
    <x v="13"/>
    <s v="North Lake College (DCCCD)"/>
    <n v="227191"/>
    <x v="6"/>
    <n v="114"/>
    <n v="196"/>
    <m/>
    <m/>
    <n v="424"/>
    <n v="5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8"/>
    <n v="725"/>
  </r>
  <r>
    <x v="13"/>
    <s v="Northwest Vista College (ACCD)"/>
    <n v="420398"/>
    <x v="6"/>
    <n v="63"/>
    <n v="126"/>
    <m/>
    <m/>
    <n v="552"/>
    <n v="7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5"/>
    <n v="827"/>
  </r>
  <r>
    <x v="13"/>
    <s v="Palo Alto College (ACCD)"/>
    <n v="246354"/>
    <x v="6"/>
    <n v="120"/>
    <n v="94"/>
    <m/>
    <m/>
    <n v="610"/>
    <n v="6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0"/>
    <n v="712"/>
  </r>
  <r>
    <x v="13"/>
    <s v="Richland College (DCCCD)"/>
    <n v="227766"/>
    <x v="6"/>
    <n v="200"/>
    <n v="235"/>
    <m/>
    <m/>
    <n v="857"/>
    <n v="9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57"/>
    <n v="1153"/>
  </r>
  <r>
    <x v="13"/>
    <s v="San Antonio College (ACCD)"/>
    <n v="227924"/>
    <x v="6"/>
    <n v="540"/>
    <n v="652"/>
    <m/>
    <m/>
    <n v="1062"/>
    <n v="11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02"/>
    <n v="1838"/>
  </r>
  <r>
    <x v="13"/>
    <s v="San Jacinto College"/>
    <n v="227979"/>
    <x v="6"/>
    <n v="969"/>
    <n v="997"/>
    <m/>
    <m/>
    <n v="1836"/>
    <n v="18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05"/>
    <n v="2849"/>
  </r>
  <r>
    <x v="13"/>
    <s v="South Plains College "/>
    <n v="228158"/>
    <x v="6"/>
    <n v="265"/>
    <n v="466"/>
    <m/>
    <m/>
    <n v="473"/>
    <n v="5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8"/>
    <n v="1010"/>
  </r>
  <r>
    <x v="13"/>
    <s v="St. Philip's College (ACCD)"/>
    <n v="227854"/>
    <x v="6"/>
    <n v="832"/>
    <n v="740"/>
    <m/>
    <m/>
    <n v="708"/>
    <n v="5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40"/>
    <n v="1324"/>
  </r>
  <r>
    <x v="13"/>
    <s v="Tarrant County College"/>
    <n v="228547"/>
    <x v="6"/>
    <n v="800"/>
    <n v="815"/>
    <m/>
    <m/>
    <n v="2154"/>
    <n v="26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54"/>
    <n v="3446"/>
  </r>
  <r>
    <x v="13"/>
    <s v="Texas Southmost College "/>
    <n v="229072"/>
    <x v="6"/>
    <n v="263"/>
    <n v="214"/>
    <m/>
    <m/>
    <n v="850"/>
    <n v="9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13"/>
    <n v="1135"/>
  </r>
  <r>
    <x v="13"/>
    <s v="Tyler Junior College "/>
    <n v="229355"/>
    <x v="6"/>
    <n v="398"/>
    <n v="537"/>
    <m/>
    <m/>
    <n v="800"/>
    <n v="8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98"/>
    <n v="1350"/>
  </r>
  <r>
    <x v="13"/>
    <s v="Alvin Community College "/>
    <n v="222567"/>
    <x v="7"/>
    <n v="356"/>
    <n v="408"/>
    <m/>
    <m/>
    <n v="410"/>
    <n v="4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6"/>
    <n v="813"/>
  </r>
  <r>
    <x v="13"/>
    <s v="Angelina College "/>
    <n v="222822"/>
    <x v="7"/>
    <n v="305"/>
    <n v="315"/>
    <m/>
    <m/>
    <n v="307"/>
    <n v="2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2"/>
    <n v="593"/>
  </r>
  <r>
    <x v="13"/>
    <s v="Cedar Valley College (DCCCD)"/>
    <n v="223773"/>
    <x v="7"/>
    <n v="470"/>
    <n v="441"/>
    <m/>
    <m/>
    <n v="245"/>
    <n v="2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5"/>
    <n v="698"/>
  </r>
  <r>
    <x v="13"/>
    <s v="Cisco Junior College "/>
    <n v="223898"/>
    <x v="7"/>
    <n v="197"/>
    <n v="222"/>
    <m/>
    <m/>
    <n v="221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8"/>
    <n v="442"/>
  </r>
  <r>
    <x v="13"/>
    <s v="Coastal Bend College"/>
    <n v="223320"/>
    <x v="7"/>
    <n v="281"/>
    <n v="426"/>
    <m/>
    <m/>
    <n v="228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9"/>
    <n v="643"/>
  </r>
  <r>
    <x v="13"/>
    <s v="College of the Mainland"/>
    <n v="226408"/>
    <x v="7"/>
    <n v="128"/>
    <n v="141"/>
    <m/>
    <m/>
    <n v="274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2"/>
    <n v="412"/>
  </r>
  <r>
    <x v="13"/>
    <s v="El Centro College  (DCCCD)"/>
    <n v="224615"/>
    <x v="7"/>
    <n v="206"/>
    <n v="571"/>
    <m/>
    <m/>
    <n v="492"/>
    <n v="4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8"/>
    <n v="1056"/>
  </r>
  <r>
    <x v="13"/>
    <s v="Grayson County College "/>
    <n v="225070"/>
    <x v="7"/>
    <n v="286"/>
    <n v="310"/>
    <m/>
    <m/>
    <n v="428"/>
    <n v="4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4"/>
    <n v="739"/>
  </r>
  <r>
    <x v="13"/>
    <s v="Hill College"/>
    <n v="225371"/>
    <x v="7"/>
    <n v="238"/>
    <n v="287"/>
    <m/>
    <m/>
    <n v="211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9"/>
    <n v="504"/>
  </r>
  <r>
    <x v="13"/>
    <s v="Howard College (HCJCD)"/>
    <n v="225520"/>
    <x v="7"/>
    <n v="188"/>
    <n v="190"/>
    <m/>
    <m/>
    <n v="210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8"/>
    <n v="430"/>
  </r>
  <r>
    <x v="13"/>
    <s v="Kilgore College "/>
    <n v="226019"/>
    <x v="7"/>
    <n v="597"/>
    <n v="623"/>
    <m/>
    <m/>
    <n v="516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13"/>
    <n v="1177"/>
  </r>
  <r>
    <x v="13"/>
    <s v="Lamar Institute of Technology"/>
    <n v="441760"/>
    <x v="7"/>
    <n v="117"/>
    <n v="107"/>
    <m/>
    <m/>
    <n v="370"/>
    <n v="3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7"/>
    <n v="504"/>
  </r>
  <r>
    <x v="13"/>
    <s v="Lee College "/>
    <n v="226204"/>
    <x v="7"/>
    <n v="768"/>
    <n v="780"/>
    <m/>
    <m/>
    <n v="593"/>
    <n v="6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61"/>
    <n v="1416"/>
  </r>
  <r>
    <x v="13"/>
    <s v="Mountain View College  (DCCCD)"/>
    <n v="226930"/>
    <x v="7"/>
    <n v="113"/>
    <n v="218"/>
    <m/>
    <m/>
    <n v="339"/>
    <n v="3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52"/>
    <n v="560"/>
  </r>
  <r>
    <x v="13"/>
    <s v="North Central Texas Community College"/>
    <n v="224110"/>
    <x v="7"/>
    <n v="152"/>
    <n v="143"/>
    <m/>
    <m/>
    <n v="406"/>
    <n v="4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8"/>
    <n v="599"/>
  </r>
  <r>
    <x v="13"/>
    <s v="Odessa College "/>
    <n v="227304"/>
    <x v="7"/>
    <n v="225"/>
    <n v="240"/>
    <m/>
    <m/>
    <n v="298"/>
    <n v="2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3"/>
    <n v="522"/>
  </r>
  <r>
    <x v="13"/>
    <s v="Paris Junior College"/>
    <n v="227401"/>
    <x v="7"/>
    <n v="242"/>
    <n v="310"/>
    <m/>
    <m/>
    <n v="322"/>
    <n v="3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4"/>
    <n v="691"/>
  </r>
  <r>
    <x v="13"/>
    <s v="Southwest Texas Junior College "/>
    <n v="228316"/>
    <x v="7"/>
    <n v="184"/>
    <n v="200"/>
    <m/>
    <m/>
    <n v="428"/>
    <n v="4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2"/>
    <n v="648"/>
  </r>
  <r>
    <x v="13"/>
    <s v="Temple College "/>
    <n v="228608"/>
    <x v="7"/>
    <n v="146"/>
    <n v="203"/>
    <m/>
    <m/>
    <n v="320"/>
    <n v="3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6"/>
    <n v="521"/>
  </r>
  <r>
    <x v="13"/>
    <s v="Texarkana College "/>
    <n v="228699"/>
    <x v="7"/>
    <n v="375"/>
    <n v="524"/>
    <m/>
    <m/>
    <n v="456"/>
    <n v="4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1"/>
    <n v="954"/>
  </r>
  <r>
    <x v="13"/>
    <s v="Texas State Technical College-Harlingen "/>
    <n v="229319"/>
    <x v="7"/>
    <n v="153"/>
    <n v="131"/>
    <m/>
    <m/>
    <n v="316"/>
    <n v="3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9"/>
    <n v="473"/>
  </r>
  <r>
    <x v="13"/>
    <s v="Texas State Technical College-Waco"/>
    <n v="228680"/>
    <x v="7"/>
    <n v="310"/>
    <n v="320"/>
    <m/>
    <m/>
    <n v="600"/>
    <n v="6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10"/>
    <n v="1010"/>
  </r>
  <r>
    <x v="13"/>
    <s v="Trinity Valley Community College"/>
    <n v="225308"/>
    <x v="7"/>
    <n v="635"/>
    <n v="716"/>
    <m/>
    <m/>
    <n v="673"/>
    <n v="6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8"/>
    <n v="1376"/>
  </r>
  <r>
    <x v="13"/>
    <s v="Vernon College "/>
    <n v="229504"/>
    <x v="7"/>
    <n v="214"/>
    <n v="250"/>
    <m/>
    <m/>
    <n v="178"/>
    <n v="1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2"/>
    <n v="444"/>
  </r>
  <r>
    <x v="13"/>
    <s v="Victoria College "/>
    <n v="229540"/>
    <x v="7"/>
    <n v="198"/>
    <n v="246"/>
    <m/>
    <m/>
    <n v="280"/>
    <n v="2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8"/>
    <n v="543"/>
  </r>
  <r>
    <x v="13"/>
    <s v="Weatherford College "/>
    <n v="229799"/>
    <x v="7"/>
    <n v="107"/>
    <n v="225"/>
    <m/>
    <m/>
    <n v="386"/>
    <n v="4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3"/>
    <n v="704"/>
  </r>
  <r>
    <x v="13"/>
    <s v="Wharton County Junior College "/>
    <n v="229841"/>
    <x v="7"/>
    <n v="200"/>
    <n v="241"/>
    <m/>
    <m/>
    <n v="382"/>
    <n v="4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2"/>
    <n v="708"/>
  </r>
  <r>
    <x v="13"/>
    <s v="Clarendon College "/>
    <n v="223922"/>
    <x v="8"/>
    <n v="128"/>
    <n v="83"/>
    <m/>
    <m/>
    <n v="97"/>
    <n v="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5"/>
    <n v="176"/>
  </r>
  <r>
    <x v="13"/>
    <s v="Frank Phillips College "/>
    <n v="224891"/>
    <x v="8"/>
    <n v="63"/>
    <n v="78"/>
    <m/>
    <m/>
    <n v="88"/>
    <n v="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1"/>
    <n v="152"/>
  </r>
  <r>
    <x v="13"/>
    <s v="Galveston College "/>
    <n v="224961"/>
    <x v="8"/>
    <n v="145"/>
    <n v="133"/>
    <m/>
    <m/>
    <n v="159"/>
    <n v="1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4"/>
    <n v="302"/>
  </r>
  <r>
    <x v="13"/>
    <s v="Lamar State College-Orange"/>
    <n v="226107"/>
    <x v="8"/>
    <n v="222"/>
    <n v="250"/>
    <m/>
    <m/>
    <n v="146"/>
    <n v="1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8"/>
    <n v="407"/>
  </r>
  <r>
    <x v="13"/>
    <s v="Lamar State College-Port Arthur"/>
    <n v="226116"/>
    <x v="8"/>
    <n v="187"/>
    <n v="133"/>
    <m/>
    <m/>
    <n v="186"/>
    <n v="1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3"/>
    <n v="296"/>
  </r>
  <r>
    <x v="13"/>
    <s v="Northeast Lakeview College (ACCD)"/>
    <m/>
    <x v="8"/>
    <m/>
    <m/>
    <m/>
    <m/>
    <m/>
    <n v="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1"/>
  </r>
  <r>
    <x v="13"/>
    <s v="Northeast Texas Community College "/>
    <n v="227225"/>
    <x v="8"/>
    <n v="105"/>
    <n v="101"/>
    <m/>
    <m/>
    <n v="281"/>
    <n v="2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6"/>
    <n v="382"/>
  </r>
  <r>
    <x v="13"/>
    <s v="Panola College"/>
    <n v="227386"/>
    <x v="8"/>
    <n v="182"/>
    <n v="158"/>
    <m/>
    <m/>
    <n v="188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0"/>
    <n v="378"/>
  </r>
  <r>
    <x v="13"/>
    <s v="Ranger College "/>
    <n v="227687"/>
    <x v="8"/>
    <n v="97"/>
    <n v="81"/>
    <m/>
    <m/>
    <n v="30"/>
    <n v="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"/>
    <n v="116"/>
  </r>
  <r>
    <x v="13"/>
    <s v="Southwest Collegiate Institute for the Deaf (HCJCD)"/>
    <n v="382911"/>
    <x v="8"/>
    <n v="13"/>
    <n v="9"/>
    <m/>
    <m/>
    <n v="11"/>
    <n v="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"/>
    <n v="13"/>
  </r>
  <r>
    <x v="13"/>
    <s v="Texas State Technical College-Marshall"/>
    <n v="408394"/>
    <x v="8"/>
    <n v="34"/>
    <n v="25"/>
    <m/>
    <m/>
    <n v="92"/>
    <n v="1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"/>
    <n v="146"/>
  </r>
  <r>
    <x v="13"/>
    <s v="Texas State Technical College-West Texas"/>
    <n v="229328"/>
    <x v="8"/>
    <n v="225"/>
    <n v="178"/>
    <m/>
    <m/>
    <n v="184"/>
    <n v="1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9"/>
    <n v="371"/>
  </r>
  <r>
    <x v="13"/>
    <s v="Western Texas College "/>
    <n v="229832"/>
    <x v="8"/>
    <n v="102"/>
    <n v="147"/>
    <m/>
    <m/>
    <n v="148"/>
    <n v="1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0"/>
    <n v="272"/>
  </r>
  <r>
    <x v="13"/>
    <s v="TEXAS A&amp;M UNIV-CENTRAL TEXAS"/>
    <s v="???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13"/>
    <s v="Texas A&amp;M Health Science Center"/>
    <n v="223214"/>
    <x v="11"/>
    <m/>
    <m/>
    <m/>
    <m/>
    <m/>
    <m/>
    <n v="0"/>
    <n v="0"/>
    <n v="30"/>
    <m/>
    <m/>
    <m/>
    <n v="0"/>
    <n v="30"/>
    <m/>
    <m/>
    <m/>
    <n v="0"/>
    <m/>
    <m/>
    <m/>
    <m/>
    <m/>
    <m/>
    <m/>
    <m/>
    <m/>
    <m/>
    <m/>
    <m/>
    <m/>
    <m/>
    <m/>
    <m/>
    <m/>
    <m/>
    <m/>
    <m/>
    <n v="0"/>
    <n v="8.771929824561403E-2"/>
    <n v="0"/>
    <n v="8.1081081081081086E-2"/>
    <m/>
    <m/>
    <n v="51"/>
    <n v="68"/>
    <n v="51"/>
    <n v="101"/>
    <n v="26"/>
    <n v="34"/>
    <n v="26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0"/>
    <n v="136"/>
    <n v="2"/>
    <n v="151"/>
    <n v="2"/>
    <n v="26"/>
    <n v="12"/>
    <n v="26"/>
    <n v="20"/>
    <m/>
    <m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23"/>
    <n v="2"/>
    <n v="0.86956521739130432"/>
    <n v="148"/>
    <n v="174"/>
    <m/>
    <m/>
    <n v="76"/>
    <n v="79"/>
    <n v="88"/>
    <n v="87"/>
    <m/>
    <m/>
    <m/>
    <m/>
    <m/>
    <m/>
    <m/>
    <m/>
    <m/>
    <m/>
    <m/>
    <m/>
    <m/>
    <m/>
    <n v="164"/>
    <n v="166"/>
    <n v="342"/>
    <n v="370"/>
  </r>
  <r>
    <x v="13"/>
    <s v="TEXAS A&amp;M UNIV-SAN ANTONIO"/>
    <s v="???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13"/>
    <s v="Texas Tech University Health Sciences Center"/>
    <n v="229337"/>
    <x v="11"/>
    <m/>
    <m/>
    <m/>
    <m/>
    <m/>
    <m/>
    <n v="0"/>
    <n v="0"/>
    <n v="479"/>
    <m/>
    <m/>
    <m/>
    <n v="0"/>
    <n v="542"/>
    <m/>
    <m/>
    <m/>
    <n v="0"/>
    <m/>
    <m/>
    <m/>
    <m/>
    <m/>
    <m/>
    <m/>
    <m/>
    <m/>
    <m/>
    <m/>
    <m/>
    <m/>
    <m/>
    <m/>
    <m/>
    <m/>
    <m/>
    <m/>
    <m/>
    <n v="0"/>
    <n v="0.50209643605870025"/>
    <n v="0"/>
    <n v="0.53033268101761255"/>
    <m/>
    <m/>
    <n v="51"/>
    <n v="215"/>
    <n v="51"/>
    <n v="228"/>
    <n v="26"/>
    <n v="22"/>
    <n v="26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7"/>
    <n v="2"/>
    <n v="257"/>
    <n v="2"/>
    <n v="51"/>
    <n v="10"/>
    <n v="51"/>
    <n v="15"/>
    <n v="26"/>
    <n v="7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58823529411764708"/>
    <n v="18"/>
    <n v="2"/>
    <n v="0.83333333333333337"/>
    <n v="254"/>
    <n v="275"/>
    <m/>
    <m/>
    <n v="137"/>
    <n v="124"/>
    <m/>
    <m/>
    <n v="84"/>
    <n v="81"/>
    <m/>
    <m/>
    <m/>
    <m/>
    <m/>
    <m/>
    <m/>
    <m/>
    <m/>
    <m/>
    <m/>
    <m/>
    <n v="221"/>
    <n v="205"/>
    <n v="954"/>
    <n v="1022"/>
  </r>
  <r>
    <x v="13"/>
    <s v="UNIV. OF NORTH TEXAS AT DALLAS"/>
    <s v="???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13"/>
    <s v="University of North Texas Health Science Center at Fort Worth"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84"/>
    <n v="26"/>
    <n v="95"/>
    <n v="26"/>
    <n v="77"/>
    <n v="51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"/>
    <n v="2"/>
    <n v="181"/>
    <n v="2"/>
    <n v="26"/>
    <n v="24"/>
    <n v="26"/>
    <n v="21"/>
    <n v="51"/>
    <n v="8"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"/>
    <n v="0.75"/>
    <n v="25"/>
    <n v="2"/>
    <n v="0.84"/>
    <n v="193"/>
    <n v="206"/>
    <m/>
    <m/>
    <m/>
    <m/>
    <m/>
    <m/>
    <m/>
    <m/>
    <m/>
    <m/>
    <m/>
    <m/>
    <n v="128"/>
    <n v="128"/>
    <m/>
    <m/>
    <m/>
    <m/>
    <m/>
    <m/>
    <n v="128"/>
    <n v="128"/>
    <n v="321"/>
    <n v="334"/>
  </r>
  <r>
    <x v="13"/>
    <s v="University of Texas Health Science Center at Houston"/>
    <n v="229300"/>
    <x v="11"/>
    <m/>
    <m/>
    <m/>
    <m/>
    <n v="14"/>
    <n v="7"/>
    <n v="5.9322033898305086E-2"/>
    <n v="2.9411764705882353E-2"/>
    <n v="236"/>
    <m/>
    <m/>
    <m/>
    <n v="0"/>
    <n v="238"/>
    <m/>
    <m/>
    <m/>
    <n v="0"/>
    <m/>
    <m/>
    <m/>
    <m/>
    <m/>
    <m/>
    <m/>
    <m/>
    <m/>
    <m/>
    <m/>
    <m/>
    <m/>
    <m/>
    <m/>
    <m/>
    <m/>
    <m/>
    <m/>
    <m/>
    <n v="0"/>
    <n v="0.249208025343189"/>
    <n v="0"/>
    <n v="0.2413793103448276"/>
    <m/>
    <m/>
    <n v="51"/>
    <n v="236"/>
    <n v="51"/>
    <n v="261"/>
    <n v="26"/>
    <n v="72"/>
    <n v="26"/>
    <n v="78"/>
    <m/>
    <m/>
    <n v="30"/>
    <n v="3"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n v="25"/>
    <m/>
    <n v="333"/>
    <n v="2"/>
    <n v="343"/>
    <n v="4"/>
    <n v="26"/>
    <n v="84"/>
    <n v="26"/>
    <n v="81"/>
    <n v="51"/>
    <n v="20"/>
    <n v="51"/>
    <n v="33"/>
    <n v="30"/>
    <n v="6"/>
    <n v="30"/>
    <n v="10"/>
    <n v="44"/>
    <n v="5"/>
    <n v="44"/>
    <n v="9"/>
    <n v="3"/>
    <n v="3"/>
    <n v="3"/>
    <n v="1"/>
    <m/>
    <m/>
    <m/>
    <m/>
    <m/>
    <m/>
    <m/>
    <m/>
    <m/>
    <m/>
    <m/>
    <m/>
    <m/>
    <m/>
    <m/>
    <m/>
    <m/>
    <m/>
    <m/>
    <m/>
    <m/>
    <m/>
    <n v="118"/>
    <n v="5"/>
    <n v="0.71186440677966101"/>
    <n v="134"/>
    <n v="5"/>
    <n v="0.60447761194029848"/>
    <n v="451"/>
    <n v="477"/>
    <m/>
    <m/>
    <n v="187"/>
    <n v="189"/>
    <n v="59"/>
    <n v="75"/>
    <m/>
    <m/>
    <m/>
    <m/>
    <m/>
    <m/>
    <m/>
    <m/>
    <m/>
    <m/>
    <m/>
    <m/>
    <m/>
    <m/>
    <n v="246"/>
    <n v="264"/>
    <n v="947"/>
    <n v="986"/>
  </r>
  <r>
    <x v="13"/>
    <s v="University of Texas Health Science Center at San Antonio"/>
    <n v="228644"/>
    <x v="11"/>
    <m/>
    <m/>
    <m/>
    <m/>
    <n v="191"/>
    <n v="152"/>
    <n v="0.58769230769230774"/>
    <n v="0.39480519480519483"/>
    <n v="325"/>
    <m/>
    <m/>
    <m/>
    <n v="0"/>
    <n v="385"/>
    <m/>
    <m/>
    <m/>
    <n v="0"/>
    <m/>
    <m/>
    <m/>
    <m/>
    <m/>
    <m/>
    <m/>
    <m/>
    <m/>
    <m/>
    <m/>
    <m/>
    <m/>
    <m/>
    <m/>
    <m/>
    <m/>
    <m/>
    <m/>
    <m/>
    <n v="0"/>
    <n v="0.3128007699711261"/>
    <n v="0"/>
    <n v="0.36218250235183441"/>
    <m/>
    <m/>
    <n v="51"/>
    <n v="172"/>
    <n v="51"/>
    <n v="155"/>
    <n v="13"/>
    <n v="3"/>
    <n v="26"/>
    <n v="13"/>
    <n v="26"/>
    <n v="2"/>
    <n v="40"/>
    <n v="5"/>
    <n v="40"/>
    <n v="2"/>
    <n v="13"/>
    <n v="3"/>
    <m/>
    <m/>
    <m/>
    <m/>
    <m/>
    <m/>
    <m/>
    <m/>
    <m/>
    <m/>
    <m/>
    <m/>
    <m/>
    <m/>
    <m/>
    <m/>
    <m/>
    <m/>
    <m/>
    <m/>
    <m/>
    <m/>
    <m/>
    <m/>
    <m/>
    <m/>
    <n v="25"/>
    <n v="20"/>
    <n v="204"/>
    <n v="4"/>
    <n v="196"/>
    <n v="4"/>
    <n v="26"/>
    <n v="21"/>
    <n v="26"/>
    <n v="29"/>
    <n v="14"/>
    <n v="5"/>
    <n v="40"/>
    <n v="7"/>
    <n v="51"/>
    <n v="4"/>
    <n v="51"/>
    <n v="4"/>
    <n v="40"/>
    <n v="3"/>
    <n v="14"/>
    <n v="1"/>
    <m/>
    <m/>
    <m/>
    <m/>
    <m/>
    <m/>
    <m/>
    <m/>
    <m/>
    <m/>
    <m/>
    <m/>
    <m/>
    <m/>
    <m/>
    <m/>
    <m/>
    <m/>
    <m/>
    <m/>
    <m/>
    <m/>
    <m/>
    <m/>
    <m/>
    <m/>
    <n v="33"/>
    <n v="4"/>
    <n v="0.63636363636363635"/>
    <n v="41"/>
    <n v="4"/>
    <n v="0.70731707317073167"/>
    <n v="237"/>
    <n v="237"/>
    <m/>
    <m/>
    <n v="204"/>
    <n v="197"/>
    <n v="82"/>
    <n v="92"/>
    <m/>
    <m/>
    <m/>
    <m/>
    <m/>
    <m/>
    <m/>
    <m/>
    <m/>
    <m/>
    <m/>
    <m/>
    <m/>
    <m/>
    <n v="286"/>
    <n v="289"/>
    <n v="1039"/>
    <n v="1063"/>
  </r>
  <r>
    <x v="13"/>
    <s v="University of Texas M.D. Anderson Cancer Center"/>
    <n v="416801"/>
    <x v="11"/>
    <m/>
    <m/>
    <m/>
    <m/>
    <m/>
    <m/>
    <n v="0"/>
    <n v="0"/>
    <n v="96"/>
    <m/>
    <m/>
    <m/>
    <n v="0"/>
    <n v="105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6"/>
    <n v="105"/>
  </r>
  <r>
    <x v="13"/>
    <s v="University of Texas Medical Branch at Galveston"/>
    <n v="228653"/>
    <x v="11"/>
    <m/>
    <m/>
    <m/>
    <m/>
    <m/>
    <m/>
    <n v="0"/>
    <n v="0"/>
    <n v="279"/>
    <m/>
    <m/>
    <m/>
    <n v="0"/>
    <n v="251"/>
    <m/>
    <m/>
    <m/>
    <n v="0"/>
    <m/>
    <m/>
    <m/>
    <m/>
    <m/>
    <m/>
    <m/>
    <m/>
    <m/>
    <m/>
    <m/>
    <m/>
    <m/>
    <m/>
    <m/>
    <m/>
    <m/>
    <m/>
    <m/>
    <m/>
    <n v="0"/>
    <n v="0.38589211618257263"/>
    <n v="0"/>
    <n v="0.3505586592178771"/>
    <m/>
    <m/>
    <n v="51"/>
    <n v="200"/>
    <n v="51"/>
    <n v="196"/>
    <n v="26"/>
    <n v="5"/>
    <n v="26"/>
    <n v="4"/>
    <n v="30"/>
    <n v="3"/>
    <n v="3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210"/>
    <n v="3"/>
    <n v="207"/>
    <n v="3"/>
    <n v="26"/>
    <n v="20"/>
    <n v="26"/>
    <n v="39"/>
    <n v="51"/>
    <n v="16"/>
    <n v="51"/>
    <n v="17"/>
    <n v="30"/>
    <n v="4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"/>
    <n v="0.5"/>
    <n v="58"/>
    <n v="3"/>
    <n v="0.67241379310344829"/>
    <n v="250"/>
    <n v="265"/>
    <m/>
    <m/>
    <n v="194"/>
    <n v="200"/>
    <m/>
    <m/>
    <m/>
    <m/>
    <m/>
    <m/>
    <m/>
    <m/>
    <m/>
    <m/>
    <m/>
    <m/>
    <m/>
    <m/>
    <m/>
    <m/>
    <n v="194"/>
    <n v="200"/>
    <n v="723"/>
    <n v="716"/>
  </r>
  <r>
    <x v="13"/>
    <s v="University of Texas Southwestern Medical Center at Dallas"/>
    <n v="228635"/>
    <x v="11"/>
    <m/>
    <m/>
    <m/>
    <m/>
    <m/>
    <m/>
    <n v="0"/>
    <n v="0"/>
    <n v="46"/>
    <m/>
    <m/>
    <m/>
    <n v="0"/>
    <n v="43"/>
    <m/>
    <m/>
    <m/>
    <n v="0"/>
    <m/>
    <m/>
    <m/>
    <m/>
    <m/>
    <m/>
    <m/>
    <m/>
    <m/>
    <m/>
    <m/>
    <m/>
    <m/>
    <m/>
    <m/>
    <m/>
    <m/>
    <m/>
    <m/>
    <m/>
    <n v="0"/>
    <n v="7.9173838209982791E-2"/>
    <n v="0"/>
    <n v="8.3984375E-2"/>
    <m/>
    <m/>
    <n v="51"/>
    <n v="86"/>
    <n v="51"/>
    <n v="63"/>
    <n v="26"/>
    <n v="7"/>
    <n v="26"/>
    <n v="2"/>
    <n v="14"/>
    <n v="2"/>
    <m/>
    <m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137"/>
    <n v="51"/>
    <n v="234"/>
    <n v="4"/>
    <n v="116"/>
    <n v="2"/>
    <n v="26"/>
    <n v="58"/>
    <n v="26"/>
    <n v="89"/>
    <n v="30"/>
    <n v="11"/>
    <n v="30"/>
    <n v="17"/>
    <n v="42"/>
    <n v="9"/>
    <n v="42"/>
    <n v="9"/>
    <n v="14"/>
    <n v="4"/>
    <n v="14"/>
    <n v="5"/>
    <m/>
    <m/>
    <m/>
    <m/>
    <m/>
    <m/>
    <m/>
    <m/>
    <m/>
    <m/>
    <m/>
    <m/>
    <m/>
    <m/>
    <m/>
    <m/>
    <m/>
    <m/>
    <m/>
    <m/>
    <m/>
    <m/>
    <m/>
    <m/>
    <m/>
    <m/>
    <n v="82"/>
    <n v="4"/>
    <n v="0.70731707317073167"/>
    <n v="120"/>
    <n v="4"/>
    <n v="0.7416666666666667"/>
    <n v="316"/>
    <n v="236"/>
    <m/>
    <m/>
    <n v="219"/>
    <n v="233"/>
    <m/>
    <m/>
    <m/>
    <m/>
    <m/>
    <m/>
    <m/>
    <m/>
    <m/>
    <m/>
    <m/>
    <m/>
    <m/>
    <m/>
    <m/>
    <m/>
    <n v="219"/>
    <n v="233"/>
    <n v="581"/>
    <n v="512"/>
  </r>
  <r>
    <x v="14"/>
    <s v="George Mason University "/>
    <n v="232186"/>
    <x v="0"/>
    <m/>
    <m/>
    <m/>
    <m/>
    <m/>
    <n v="0"/>
    <n v="0"/>
    <n v="0"/>
    <n v="3809"/>
    <m/>
    <m/>
    <m/>
    <n v="0"/>
    <n v="4009"/>
    <m/>
    <m/>
    <n v="38"/>
    <n v="38"/>
    <m/>
    <m/>
    <m/>
    <m/>
    <m/>
    <m/>
    <m/>
    <m/>
    <m/>
    <m/>
    <m/>
    <m/>
    <m/>
    <m/>
    <m/>
    <m/>
    <m/>
    <m/>
    <m/>
    <m/>
    <n v="0"/>
    <n v="0.56014705882352944"/>
    <n v="0"/>
    <n v="0.56986496090973704"/>
    <n v="316"/>
    <n v="366"/>
    <n v="13"/>
    <n v="763"/>
    <n v="13"/>
    <n v="762"/>
    <n v="30"/>
    <n v="265"/>
    <n v="30"/>
    <n v="263"/>
    <n v="44"/>
    <n v="241"/>
    <n v="44"/>
    <n v="252"/>
    <n v="45"/>
    <n v="195"/>
    <n v="45"/>
    <n v="189"/>
    <n v="52"/>
    <n v="189"/>
    <n v="52"/>
    <n v="168"/>
    <n v="14"/>
    <n v="162"/>
    <n v="14"/>
    <n v="159"/>
    <n v="11"/>
    <n v="158"/>
    <n v="11"/>
    <n v="155"/>
    <n v="51"/>
    <n v="108"/>
    <n v="9"/>
    <n v="118"/>
    <n v="9"/>
    <n v="100"/>
    <n v="51"/>
    <n v="105"/>
    <n v="23"/>
    <n v="91"/>
    <n v="50"/>
    <n v="67"/>
    <m/>
    <m/>
    <m/>
    <n v="0"/>
    <n v="2272"/>
    <n v="10"/>
    <n v="2238"/>
    <n v="10"/>
    <n v="13"/>
    <n v="37"/>
    <n v="13"/>
    <n v="35"/>
    <n v="26"/>
    <n v="30"/>
    <n v="30"/>
    <n v="33"/>
    <n v="30"/>
    <n v="27"/>
    <n v="42"/>
    <n v="24"/>
    <n v="14"/>
    <n v="26"/>
    <n v="14"/>
    <n v="21"/>
    <n v="45"/>
    <n v="18"/>
    <n v="45"/>
    <n v="21"/>
    <n v="42"/>
    <n v="15"/>
    <n v="44"/>
    <n v="18"/>
    <n v="44"/>
    <n v="13"/>
    <n v="26"/>
    <n v="18"/>
    <n v="51"/>
    <n v="13"/>
    <n v="40"/>
    <n v="10"/>
    <n v="40"/>
    <n v="5"/>
    <n v="51"/>
    <n v="8"/>
    <n v="11"/>
    <n v="3"/>
    <n v="11"/>
    <n v="6"/>
    <m/>
    <m/>
    <n v="187"/>
    <n v="10"/>
    <n v="0.19786096256684493"/>
    <n v="194"/>
    <n v="10"/>
    <n v="0.18041237113402062"/>
    <n v="2459"/>
    <n v="2432"/>
    <n v="216"/>
    <n v="228"/>
    <m/>
    <m/>
    <m/>
    <m/>
    <m/>
    <m/>
    <m/>
    <m/>
    <m/>
    <m/>
    <m/>
    <m/>
    <m/>
    <m/>
    <m/>
    <m/>
    <m/>
    <m/>
    <n v="216"/>
    <n v="228"/>
    <n v="6800"/>
    <n v="7035"/>
  </r>
  <r>
    <x v="14"/>
    <s v="Old Dominion University "/>
    <n v="232982"/>
    <x v="0"/>
    <m/>
    <m/>
    <m/>
    <m/>
    <m/>
    <n v="0"/>
    <n v="0"/>
    <n v="0"/>
    <n v="2858"/>
    <m/>
    <m/>
    <m/>
    <n v="0"/>
    <n v="2955"/>
    <m/>
    <m/>
    <n v="184"/>
    <n v="184"/>
    <m/>
    <m/>
    <m/>
    <m/>
    <m/>
    <m/>
    <m/>
    <m/>
    <m/>
    <m/>
    <m/>
    <m/>
    <m/>
    <m/>
    <m/>
    <m/>
    <m/>
    <m/>
    <m/>
    <m/>
    <n v="0"/>
    <n v="0.67693036475603974"/>
    <n v="0"/>
    <n v="0.67962281508739653"/>
    <m/>
    <n v="0"/>
    <n v="13"/>
    <n v="582"/>
    <n v="13"/>
    <n v="586"/>
    <n v="14"/>
    <n v="253"/>
    <n v="14"/>
    <n v="243"/>
    <n v="51"/>
    <n v="123"/>
    <n v="51"/>
    <n v="128"/>
    <n v="52"/>
    <n v="106"/>
    <n v="52"/>
    <n v="102"/>
    <n v="23"/>
    <n v="45"/>
    <n v="44"/>
    <n v="44"/>
    <n v="45"/>
    <n v="38"/>
    <n v="11"/>
    <n v="42"/>
    <n v="44"/>
    <n v="37"/>
    <n v="23"/>
    <n v="41"/>
    <n v="11"/>
    <n v="30"/>
    <n v="45"/>
    <n v="34"/>
    <n v="40"/>
    <n v="26"/>
    <n v="40"/>
    <n v="16"/>
    <n v="26"/>
    <n v="20"/>
    <n v="54"/>
    <n v="15"/>
    <m/>
    <m/>
    <m/>
    <n v="22"/>
    <n v="1260"/>
    <n v="10"/>
    <n v="1273"/>
    <n v="10"/>
    <n v="51"/>
    <n v="31"/>
    <n v="51"/>
    <n v="39"/>
    <n v="14"/>
    <n v="21"/>
    <n v="13"/>
    <n v="25"/>
    <n v="45"/>
    <n v="11"/>
    <n v="14"/>
    <n v="18"/>
    <n v="52"/>
    <n v="10"/>
    <n v="45"/>
    <n v="9"/>
    <n v="42"/>
    <n v="9"/>
    <n v="40"/>
    <n v="6"/>
    <n v="13"/>
    <n v="6"/>
    <n v="52"/>
    <n v="6"/>
    <n v="26"/>
    <n v="5"/>
    <n v="42"/>
    <n v="5"/>
    <n v="40"/>
    <n v="5"/>
    <n v="26"/>
    <n v="4"/>
    <n v="27"/>
    <n v="4"/>
    <n v="11"/>
    <n v="4"/>
    <n v="11"/>
    <n v="2"/>
    <n v="44"/>
    <n v="4"/>
    <m/>
    <m/>
    <n v="104"/>
    <n v="10"/>
    <n v="0.29807692307692307"/>
    <n v="120"/>
    <n v="10"/>
    <n v="0.32500000000000001"/>
    <n v="1364"/>
    <n v="1393"/>
    <m/>
    <m/>
    <m/>
    <m/>
    <m/>
    <m/>
    <m/>
    <m/>
    <m/>
    <m/>
    <m/>
    <m/>
    <m/>
    <m/>
    <m/>
    <m/>
    <m/>
    <m/>
    <m/>
    <m/>
    <n v="0"/>
    <n v="0"/>
    <n v="4222"/>
    <n v="4348"/>
  </r>
  <r>
    <x v="14"/>
    <s v="University of Virginia"/>
    <n v="234076"/>
    <x v="0"/>
    <m/>
    <m/>
    <m/>
    <m/>
    <m/>
    <n v="0"/>
    <n v="0"/>
    <n v="0"/>
    <n v="3526"/>
    <m/>
    <m/>
    <m/>
    <n v="0"/>
    <n v="3560"/>
    <m/>
    <m/>
    <n v="82"/>
    <n v="82"/>
    <m/>
    <m/>
    <m/>
    <m/>
    <m/>
    <m/>
    <m/>
    <m/>
    <m/>
    <m/>
    <m/>
    <m/>
    <m/>
    <m/>
    <m/>
    <m/>
    <m/>
    <m/>
    <m/>
    <m/>
    <n v="0"/>
    <n v="0.57529776472507754"/>
    <n v="0"/>
    <n v="0.58427703922534058"/>
    <m/>
    <n v="0"/>
    <n v="52"/>
    <n v="581"/>
    <n v="52"/>
    <n v="553"/>
    <n v="13"/>
    <n v="536"/>
    <n v="13"/>
    <n v="469"/>
    <n v="14"/>
    <n v="165"/>
    <n v="14"/>
    <n v="138"/>
    <n v="51"/>
    <n v="106"/>
    <n v="51"/>
    <n v="137"/>
    <n v="42"/>
    <n v="79"/>
    <n v="4"/>
    <n v="78"/>
    <n v="4"/>
    <n v="75"/>
    <n v="42"/>
    <n v="64"/>
    <n v="45"/>
    <n v="53"/>
    <n v="45"/>
    <n v="46"/>
    <n v="27"/>
    <n v="44"/>
    <n v="23"/>
    <n v="44"/>
    <n v="23"/>
    <n v="39"/>
    <n v="16"/>
    <n v="40"/>
    <n v="22"/>
    <n v="38"/>
    <n v="31"/>
    <n v="38"/>
    <m/>
    <m/>
    <m/>
    <n v="68"/>
    <n v="1716"/>
    <n v="10"/>
    <n v="1675"/>
    <n v="10"/>
    <n v="14"/>
    <n v="77"/>
    <n v="13"/>
    <n v="71"/>
    <n v="13"/>
    <n v="69"/>
    <n v="14"/>
    <n v="56"/>
    <n v="26"/>
    <n v="56"/>
    <n v="26"/>
    <n v="39"/>
    <n v="40"/>
    <n v="32"/>
    <n v="45"/>
    <n v="34"/>
    <n v="45"/>
    <n v="30"/>
    <n v="40"/>
    <n v="26"/>
    <n v="23"/>
    <n v="27"/>
    <n v="42"/>
    <n v="25"/>
    <n v="16"/>
    <n v="18"/>
    <n v="38"/>
    <n v="18"/>
    <n v="42"/>
    <n v="17"/>
    <n v="54"/>
    <n v="15"/>
    <n v="38"/>
    <n v="15"/>
    <n v="23"/>
    <n v="14"/>
    <n v="54"/>
    <n v="14"/>
    <n v="16"/>
    <n v="13"/>
    <m/>
    <m/>
    <n v="355"/>
    <n v="10"/>
    <n v="0.21690140845070421"/>
    <n v="311"/>
    <n v="10"/>
    <n v="0.22829581993569131"/>
    <n v="2071"/>
    <n v="1986"/>
    <n v="402"/>
    <n v="405"/>
    <n v="130"/>
    <n v="142"/>
    <m/>
    <m/>
    <m/>
    <m/>
    <m/>
    <m/>
    <m/>
    <m/>
    <m/>
    <m/>
    <m/>
    <m/>
    <m/>
    <m/>
    <m/>
    <m/>
    <n v="532"/>
    <n v="547"/>
    <n v="6129"/>
    <n v="6093"/>
  </r>
  <r>
    <x v="14"/>
    <s v="Virginia Tech "/>
    <n v="233921"/>
    <x v="0"/>
    <m/>
    <m/>
    <m/>
    <m/>
    <n v="33"/>
    <n v="51"/>
    <n v="6.5359477124183009E-3"/>
    <n v="9.6099491237987555E-3"/>
    <n v="5049"/>
    <m/>
    <m/>
    <m/>
    <n v="0"/>
    <n v="5307"/>
    <m/>
    <m/>
    <n v="0"/>
    <n v="0"/>
    <m/>
    <m/>
    <m/>
    <m/>
    <m/>
    <m/>
    <m/>
    <m/>
    <m/>
    <m/>
    <m/>
    <m/>
    <m/>
    <m/>
    <m/>
    <m/>
    <m/>
    <m/>
    <m/>
    <m/>
    <n v="0"/>
    <n v="0.73482753602095763"/>
    <n v="0"/>
    <n v="0.74662352279122113"/>
    <m/>
    <n v="0"/>
    <n v="13"/>
    <n v="352"/>
    <n v="14"/>
    <n v="329"/>
    <n v="14"/>
    <n v="313"/>
    <n v="13"/>
    <n v="297"/>
    <n v="52"/>
    <n v="238"/>
    <n v="52"/>
    <n v="206"/>
    <n v="11"/>
    <n v="192"/>
    <n v="11"/>
    <n v="141"/>
    <n v="4"/>
    <n v="100"/>
    <n v="4"/>
    <n v="104"/>
    <n v="45"/>
    <n v="58"/>
    <n v="45"/>
    <n v="50"/>
    <n v="19"/>
    <n v="47"/>
    <n v="27"/>
    <n v="39"/>
    <n v="27"/>
    <n v="33"/>
    <n v="3"/>
    <n v="38"/>
    <n v="3"/>
    <n v="29"/>
    <n v="1"/>
    <n v="35"/>
    <n v="44"/>
    <n v="28"/>
    <n v="26"/>
    <n v="30"/>
    <m/>
    <m/>
    <m/>
    <n v="11"/>
    <n v="1390"/>
    <n v="10"/>
    <n v="1280"/>
    <n v="10"/>
    <n v="14"/>
    <n v="129"/>
    <n v="14"/>
    <n v="145"/>
    <n v="13"/>
    <n v="53"/>
    <n v="13"/>
    <n v="79"/>
    <n v="40"/>
    <n v="27"/>
    <n v="26"/>
    <n v="31"/>
    <n v="26"/>
    <n v="20"/>
    <n v="40"/>
    <n v="27"/>
    <n v="11"/>
    <n v="18"/>
    <n v="19"/>
    <n v="21"/>
    <n v="52"/>
    <n v="17"/>
    <n v="3"/>
    <n v="21"/>
    <n v="19"/>
    <n v="14"/>
    <n v="11"/>
    <n v="17"/>
    <n v="27"/>
    <n v="12"/>
    <n v="1"/>
    <n v="15"/>
    <n v="1"/>
    <n v="12"/>
    <n v="42"/>
    <n v="14"/>
    <n v="4"/>
    <n v="9"/>
    <n v="45"/>
    <n v="14"/>
    <m/>
    <m/>
    <n v="311"/>
    <n v="10"/>
    <n v="0.41479099678456594"/>
    <n v="384"/>
    <n v="10"/>
    <n v="0.37760416666666669"/>
    <n v="1701"/>
    <n v="1664"/>
    <m/>
    <n v="0"/>
    <m/>
    <m/>
    <m/>
    <m/>
    <m/>
    <m/>
    <m/>
    <m/>
    <m/>
    <m/>
    <m/>
    <m/>
    <n v="88"/>
    <n v="86"/>
    <m/>
    <m/>
    <m/>
    <m/>
    <n v="88"/>
    <n v="86"/>
    <n v="6871"/>
    <n v="7108"/>
  </r>
  <r>
    <x v="14"/>
    <s v="College of William &amp; Mary"/>
    <n v="231624"/>
    <x v="1"/>
    <m/>
    <m/>
    <m/>
    <m/>
    <m/>
    <n v="0"/>
    <n v="0"/>
    <n v="0"/>
    <n v="1454"/>
    <m/>
    <m/>
    <m/>
    <n v="0"/>
    <n v="1461"/>
    <m/>
    <m/>
    <n v="45"/>
    <n v="45"/>
    <m/>
    <m/>
    <m/>
    <m/>
    <m/>
    <m/>
    <m/>
    <m/>
    <m/>
    <m/>
    <m/>
    <m/>
    <m/>
    <m/>
    <m/>
    <m/>
    <m/>
    <m/>
    <m/>
    <m/>
    <n v="0"/>
    <n v="0.67097369635440707"/>
    <n v="0"/>
    <n v="0.64531802120141346"/>
    <m/>
    <n v="0"/>
    <n v="52"/>
    <n v="198"/>
    <n v="52"/>
    <n v="220"/>
    <n v="13"/>
    <n v="106"/>
    <n v="13"/>
    <n v="171"/>
    <n v="42"/>
    <n v="29"/>
    <n v="42"/>
    <n v="32"/>
    <n v="44"/>
    <n v="25"/>
    <n v="26"/>
    <n v="25"/>
    <n v="11"/>
    <n v="20"/>
    <n v="11"/>
    <n v="19"/>
    <n v="26"/>
    <n v="18"/>
    <n v="40"/>
    <n v="16"/>
    <n v="40"/>
    <n v="14"/>
    <n v="44"/>
    <n v="15"/>
    <n v="22"/>
    <n v="14"/>
    <n v="54"/>
    <n v="15"/>
    <n v="54"/>
    <n v="13"/>
    <n v="22"/>
    <n v="14"/>
    <n v="5"/>
    <n v="7"/>
    <n v="45"/>
    <n v="9"/>
    <m/>
    <m/>
    <m/>
    <n v="12"/>
    <n v="444"/>
    <n v="10"/>
    <n v="548"/>
    <n v="10"/>
    <n v="13"/>
    <n v="22"/>
    <n v="13"/>
    <n v="25"/>
    <n v="26"/>
    <n v="10"/>
    <n v="26"/>
    <n v="14"/>
    <n v="30"/>
    <n v="8"/>
    <n v="40"/>
    <n v="8"/>
    <n v="40"/>
    <n v="6"/>
    <n v="30"/>
    <n v="6"/>
    <n v="54"/>
    <n v="5"/>
    <n v="54"/>
    <n v="3"/>
    <n v="42"/>
    <n v="4"/>
    <n v="5"/>
    <n v="2"/>
    <n v="11"/>
    <n v="3"/>
    <n v="45"/>
    <n v="1"/>
    <n v="45"/>
    <n v="1"/>
    <n v="42"/>
    <n v="1"/>
    <n v="5"/>
    <n v="1"/>
    <n v="11"/>
    <n v="1"/>
    <m/>
    <m/>
    <n v="0"/>
    <n v="0"/>
    <m/>
    <m/>
    <n v="60"/>
    <n v="9"/>
    <n v="0.36666666666666664"/>
    <n v="61"/>
    <n v="10"/>
    <n v="0.4098360655737705"/>
    <n v="504"/>
    <n v="609"/>
    <n v="209"/>
    <n v="194"/>
    <m/>
    <m/>
    <m/>
    <m/>
    <m/>
    <m/>
    <m/>
    <m/>
    <m/>
    <m/>
    <m/>
    <m/>
    <m/>
    <m/>
    <m/>
    <m/>
    <m/>
    <m/>
    <n v="209"/>
    <n v="194"/>
    <n v="2167"/>
    <n v="2264"/>
  </r>
  <r>
    <x v="14"/>
    <s v="Virginia Commonwealth University"/>
    <n v="234030"/>
    <x v="1"/>
    <m/>
    <m/>
    <m/>
    <m/>
    <m/>
    <n v="0"/>
    <n v="0"/>
    <n v="0"/>
    <n v="3568"/>
    <m/>
    <m/>
    <m/>
    <n v="0"/>
    <n v="3724"/>
    <m/>
    <m/>
    <n v="147"/>
    <n v="147"/>
    <m/>
    <m/>
    <m/>
    <m/>
    <m/>
    <m/>
    <m/>
    <m/>
    <m/>
    <m/>
    <m/>
    <m/>
    <m/>
    <m/>
    <m/>
    <m/>
    <m/>
    <m/>
    <m/>
    <m/>
    <n v="0"/>
    <n v="0.61001880663361263"/>
    <n v="0"/>
    <n v="0.60919352200229016"/>
    <n v="198"/>
    <n v="211"/>
    <n v="13"/>
    <n v="399"/>
    <n v="13"/>
    <n v="376"/>
    <n v="51"/>
    <n v="248"/>
    <n v="51"/>
    <n v="279"/>
    <n v="44"/>
    <n v="229"/>
    <n v="44"/>
    <n v="232"/>
    <n v="52"/>
    <n v="143"/>
    <n v="52"/>
    <n v="168"/>
    <n v="9"/>
    <n v="99"/>
    <n v="9"/>
    <n v="91"/>
    <n v="50"/>
    <n v="78"/>
    <n v="26"/>
    <n v="76"/>
    <n v="43"/>
    <n v="65"/>
    <n v="50"/>
    <n v="75"/>
    <n v="26"/>
    <n v="65"/>
    <n v="43"/>
    <n v="62"/>
    <n v="31"/>
    <n v="55"/>
    <n v="31"/>
    <n v="55"/>
    <n v="11"/>
    <n v="53"/>
    <n v="11"/>
    <n v="49"/>
    <m/>
    <m/>
    <m/>
    <n v="93"/>
    <n v="1434"/>
    <n v="10"/>
    <n v="1556"/>
    <n v="10"/>
    <n v="51"/>
    <n v="133"/>
    <n v="51"/>
    <n v="107"/>
    <n v="26"/>
    <n v="38"/>
    <n v="26"/>
    <n v="38"/>
    <n v="13"/>
    <n v="24"/>
    <n v="44"/>
    <n v="19"/>
    <n v="42"/>
    <n v="20"/>
    <n v="13"/>
    <n v="18"/>
    <n v="44"/>
    <n v="13"/>
    <n v="42"/>
    <n v="17"/>
    <n v="14"/>
    <n v="10"/>
    <n v="52"/>
    <n v="13"/>
    <n v="40"/>
    <n v="9"/>
    <n v="14"/>
    <n v="8"/>
    <n v="52"/>
    <n v="3"/>
    <n v="40"/>
    <n v="3"/>
    <n v="50"/>
    <n v="1"/>
    <n v="30"/>
    <n v="3"/>
    <n v="30"/>
    <n v="1"/>
    <n v="50"/>
    <n v="1"/>
    <m/>
    <m/>
    <n v="252"/>
    <n v="10"/>
    <n v="0.52777777777777779"/>
    <n v="227"/>
    <n v="10"/>
    <n v="0.47136563876651982"/>
    <n v="1686"/>
    <n v="1783"/>
    <m/>
    <m/>
    <n v="179"/>
    <n v="174"/>
    <n v="92"/>
    <n v="91"/>
    <n v="126"/>
    <n v="130"/>
    <m/>
    <m/>
    <m/>
    <m/>
    <m/>
    <m/>
    <m/>
    <m/>
    <m/>
    <m/>
    <m/>
    <m/>
    <n v="397"/>
    <n v="395"/>
    <n v="5849"/>
    <n v="6113"/>
  </r>
  <r>
    <x v="14"/>
    <s v="James Madison University"/>
    <n v="232423"/>
    <x v="2"/>
    <m/>
    <m/>
    <m/>
    <m/>
    <m/>
    <n v="0"/>
    <n v="0"/>
    <n v="0"/>
    <n v="3504"/>
    <m/>
    <m/>
    <m/>
    <n v="0"/>
    <n v="3630"/>
    <m/>
    <m/>
    <n v="358"/>
    <n v="358"/>
    <m/>
    <m/>
    <m/>
    <m/>
    <m/>
    <m/>
    <m/>
    <m/>
    <m/>
    <m/>
    <m/>
    <m/>
    <m/>
    <m/>
    <m/>
    <m/>
    <m/>
    <m/>
    <m/>
    <m/>
    <n v="0"/>
    <n v="0.84842615012106537"/>
    <n v="0"/>
    <n v="0.83679114799446752"/>
    <m/>
    <n v="0"/>
    <n v="13"/>
    <n v="301"/>
    <n v="13"/>
    <n v="343"/>
    <n v="52"/>
    <n v="110"/>
    <n v="52"/>
    <n v="103"/>
    <n v="51"/>
    <n v="69"/>
    <n v="51"/>
    <n v="79"/>
    <n v="31"/>
    <n v="40"/>
    <n v="31"/>
    <n v="40"/>
    <n v="11"/>
    <n v="26"/>
    <n v="54"/>
    <n v="19"/>
    <n v="23"/>
    <n v="20"/>
    <n v="45"/>
    <n v="17"/>
    <n v="42"/>
    <n v="17"/>
    <n v="11"/>
    <n v="15"/>
    <n v="50"/>
    <n v="13"/>
    <n v="50"/>
    <n v="15"/>
    <n v="44"/>
    <n v="9"/>
    <n v="23"/>
    <n v="14"/>
    <n v="30"/>
    <n v="8"/>
    <n v="44"/>
    <n v="14"/>
    <m/>
    <m/>
    <m/>
    <n v="27"/>
    <n v="613"/>
    <n v="10"/>
    <n v="686"/>
    <n v="10"/>
    <n v="42"/>
    <n v="10"/>
    <n v="42"/>
    <n v="14"/>
    <n v="51"/>
    <n v="3"/>
    <n v="51"/>
    <n v="8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13"/>
    <n v="2"/>
    <n v="0.76923076923076927"/>
    <n v="22"/>
    <n v="4"/>
    <n v="0.63636363636363635"/>
    <n v="626"/>
    <n v="708"/>
    <m/>
    <m/>
    <m/>
    <m/>
    <m/>
    <m/>
    <m/>
    <m/>
    <m/>
    <m/>
    <m/>
    <m/>
    <m/>
    <m/>
    <m/>
    <m/>
    <m/>
    <m/>
    <m/>
    <m/>
    <n v="0"/>
    <n v="0"/>
    <n v="4130"/>
    <n v="4338"/>
  </r>
  <r>
    <x v="14"/>
    <s v="Norfolk State University "/>
    <n v="232937"/>
    <x v="2"/>
    <m/>
    <m/>
    <m/>
    <m/>
    <n v="54"/>
    <n v="60"/>
    <n v="7.3270013568521031E-2"/>
    <n v="7.7220077220077218E-2"/>
    <n v="737"/>
    <m/>
    <m/>
    <m/>
    <n v="0"/>
    <n v="777"/>
    <m/>
    <m/>
    <n v="71"/>
    <n v="71"/>
    <m/>
    <m/>
    <m/>
    <m/>
    <m/>
    <m/>
    <m/>
    <m/>
    <m/>
    <m/>
    <m/>
    <m/>
    <m/>
    <m/>
    <m/>
    <m/>
    <m/>
    <m/>
    <m/>
    <m/>
    <n v="0"/>
    <n v="0.72468043264503446"/>
    <n v="0"/>
    <n v="0.73371104815864019"/>
    <m/>
    <n v="0"/>
    <n v="13"/>
    <n v="115"/>
    <n v="13"/>
    <n v="89"/>
    <n v="44"/>
    <n v="46"/>
    <n v="44"/>
    <n v="53"/>
    <n v="9"/>
    <n v="16"/>
    <n v="42"/>
    <n v="18"/>
    <n v="42"/>
    <n v="12"/>
    <n v="50"/>
    <n v="13"/>
    <n v="43"/>
    <n v="9"/>
    <n v="40"/>
    <n v="10"/>
    <n v="14"/>
    <n v="7"/>
    <n v="43"/>
    <n v="10"/>
    <n v="50"/>
    <n v="6"/>
    <n v="9"/>
    <n v="9"/>
    <n v="11"/>
    <n v="5"/>
    <n v="45"/>
    <n v="7"/>
    <n v="40"/>
    <n v="3"/>
    <n v="11"/>
    <n v="7"/>
    <n v="45"/>
    <n v="3"/>
    <n v="14"/>
    <n v="3"/>
    <m/>
    <m/>
    <m/>
    <n v="0"/>
    <n v="222"/>
    <n v="10"/>
    <n v="219"/>
    <n v="10"/>
    <n v="42"/>
    <n v="3"/>
    <n v="42"/>
    <n v="2"/>
    <n v="44"/>
    <n v="1"/>
    <n v="4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n v="0.75"/>
    <n v="3"/>
    <n v="2"/>
    <n v="0.66666666666666663"/>
    <n v="226"/>
    <n v="222"/>
    <m/>
    <m/>
    <m/>
    <m/>
    <m/>
    <m/>
    <m/>
    <m/>
    <m/>
    <m/>
    <m/>
    <m/>
    <m/>
    <m/>
    <m/>
    <m/>
    <m/>
    <m/>
    <m/>
    <m/>
    <n v="0"/>
    <n v="0"/>
    <n v="1017"/>
    <n v="1059"/>
  </r>
  <r>
    <x v="14"/>
    <s v="Radford University"/>
    <n v="233277"/>
    <x v="3"/>
    <m/>
    <m/>
    <m/>
    <m/>
    <m/>
    <n v="0"/>
    <n v="0"/>
    <n v="0"/>
    <n v="1825"/>
    <m/>
    <m/>
    <m/>
    <n v="0"/>
    <n v="1762"/>
    <m/>
    <m/>
    <n v="185"/>
    <n v="185"/>
    <m/>
    <m/>
    <m/>
    <m/>
    <m/>
    <m/>
    <m/>
    <m/>
    <m/>
    <m/>
    <m/>
    <m/>
    <m/>
    <m/>
    <m/>
    <m/>
    <m/>
    <m/>
    <m/>
    <m/>
    <n v="0"/>
    <n v="0.80645161290322576"/>
    <n v="0"/>
    <n v="0.79764599366229061"/>
    <m/>
    <n v="18"/>
    <n v="13"/>
    <n v="221"/>
    <n v="13"/>
    <n v="182"/>
    <n v="42"/>
    <n v="48"/>
    <n v="44"/>
    <n v="59"/>
    <n v="51"/>
    <n v="41"/>
    <n v="52"/>
    <n v="44"/>
    <n v="52"/>
    <n v="39"/>
    <n v="42"/>
    <n v="40"/>
    <n v="44"/>
    <n v="32"/>
    <n v="51"/>
    <n v="38"/>
    <n v="43"/>
    <n v="21"/>
    <n v="23"/>
    <n v="20"/>
    <n v="50"/>
    <n v="17"/>
    <n v="43"/>
    <n v="19"/>
    <n v="23"/>
    <n v="12"/>
    <n v="50"/>
    <n v="11"/>
    <n v="9"/>
    <n v="7"/>
    <n v="9"/>
    <n v="10"/>
    <m/>
    <m/>
    <n v="0"/>
    <n v="0"/>
    <m/>
    <m/>
    <m/>
    <n v="6"/>
    <n v="438"/>
    <n v="9"/>
    <n v="42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8"/>
    <n v="429"/>
    <m/>
    <m/>
    <m/>
    <m/>
    <m/>
    <m/>
    <m/>
    <m/>
    <m/>
    <m/>
    <m/>
    <m/>
    <m/>
    <m/>
    <m/>
    <m/>
    <m/>
    <m/>
    <m/>
    <m/>
    <n v="0"/>
    <n v="0"/>
    <n v="2263"/>
    <n v="2209"/>
  </r>
  <r>
    <x v="14"/>
    <s v="Virginia State University "/>
    <n v="234155"/>
    <x v="3"/>
    <m/>
    <m/>
    <m/>
    <m/>
    <n v="14"/>
    <n v="8"/>
    <n v="2.337228714524207E-2"/>
    <n v="1.3136288998357963E-2"/>
    <n v="599"/>
    <m/>
    <m/>
    <m/>
    <n v="0"/>
    <n v="609"/>
    <m/>
    <m/>
    <n v="16"/>
    <n v="16"/>
    <m/>
    <m/>
    <m/>
    <m/>
    <m/>
    <m/>
    <m/>
    <m/>
    <m/>
    <m/>
    <m/>
    <m/>
    <m/>
    <m/>
    <m/>
    <m/>
    <m/>
    <m/>
    <m/>
    <m/>
    <n v="0"/>
    <n v="0.83079056865464629"/>
    <n v="0"/>
    <n v="0.847009735744089"/>
    <m/>
    <n v="0"/>
    <n v="13"/>
    <n v="66"/>
    <n v="13"/>
    <n v="49"/>
    <n v="31"/>
    <n v="8"/>
    <n v="52"/>
    <n v="11"/>
    <n v="52"/>
    <n v="7"/>
    <n v="31"/>
    <n v="11"/>
    <n v="26"/>
    <n v="7"/>
    <n v="42"/>
    <n v="10"/>
    <n v="42"/>
    <n v="7"/>
    <n v="26"/>
    <n v="5"/>
    <n v="27"/>
    <n v="2"/>
    <n v="23"/>
    <n v="4"/>
    <n v="54"/>
    <n v="2"/>
    <n v="54"/>
    <n v="4"/>
    <m/>
    <m/>
    <n v="43"/>
    <n v="1"/>
    <m/>
    <m/>
    <n v="0"/>
    <n v="0"/>
    <m/>
    <m/>
    <n v="0"/>
    <n v="0"/>
    <m/>
    <m/>
    <m/>
    <n v="0"/>
    <n v="99"/>
    <n v="7"/>
    <n v="95"/>
    <n v="10"/>
    <n v="13"/>
    <n v="9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7"/>
    <n v="1"/>
    <n v="1"/>
    <n v="108"/>
    <n v="102"/>
    <m/>
    <m/>
    <m/>
    <m/>
    <m/>
    <m/>
    <m/>
    <m/>
    <m/>
    <m/>
    <m/>
    <m/>
    <m/>
    <m/>
    <m/>
    <m/>
    <m/>
    <m/>
    <m/>
    <m/>
    <n v="0"/>
    <n v="0"/>
    <n v="721"/>
    <n v="719"/>
  </r>
  <r>
    <x v="14"/>
    <s v="Christopher Newport University"/>
    <n v="231712"/>
    <x v="4"/>
    <m/>
    <m/>
    <m/>
    <m/>
    <m/>
    <n v="0"/>
    <n v="0"/>
    <n v="0"/>
    <n v="837"/>
    <m/>
    <m/>
    <m/>
    <n v="0"/>
    <n v="955"/>
    <m/>
    <m/>
    <n v="0"/>
    <n v="0"/>
    <m/>
    <m/>
    <m/>
    <m/>
    <m/>
    <m/>
    <m/>
    <m/>
    <m/>
    <m/>
    <m/>
    <m/>
    <m/>
    <m/>
    <m/>
    <m/>
    <m/>
    <m/>
    <m/>
    <m/>
    <n v="0"/>
    <n v="0.92588495575221241"/>
    <n v="0"/>
    <n v="0.93352883675464315"/>
    <m/>
    <n v="0"/>
    <n v="13"/>
    <n v="56"/>
    <n v="13"/>
    <n v="58"/>
    <n v="3"/>
    <n v="6"/>
    <n v="40"/>
    <n v="7"/>
    <n v="40"/>
    <n v="5"/>
    <n v="3"/>
    <n v="3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m/>
    <n v="0"/>
    <n v="67"/>
    <n v="3"/>
    <n v="6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7"/>
    <n v="68"/>
    <m/>
    <m/>
    <m/>
    <m/>
    <m/>
    <m/>
    <m/>
    <m/>
    <m/>
    <m/>
    <m/>
    <m/>
    <m/>
    <m/>
    <m/>
    <m/>
    <m/>
    <m/>
    <m/>
    <m/>
    <n v="0"/>
    <n v="0"/>
    <n v="904"/>
    <n v="1023"/>
  </r>
  <r>
    <x v="14"/>
    <s v="Longwood University "/>
    <n v="232566"/>
    <x v="4"/>
    <m/>
    <m/>
    <m/>
    <m/>
    <m/>
    <n v="0"/>
    <n v="0"/>
    <n v="0"/>
    <n v="746"/>
    <m/>
    <m/>
    <m/>
    <n v="0"/>
    <n v="761"/>
    <m/>
    <m/>
    <n v="240"/>
    <n v="240"/>
    <m/>
    <m/>
    <m/>
    <m/>
    <m/>
    <m/>
    <m/>
    <m/>
    <m/>
    <m/>
    <m/>
    <m/>
    <m/>
    <m/>
    <m/>
    <m/>
    <m/>
    <m/>
    <m/>
    <m/>
    <n v="0"/>
    <n v="0.82339955849889623"/>
    <n v="0"/>
    <n v="0.79853095487932846"/>
    <n v="16"/>
    <n v="0"/>
    <n v="13"/>
    <n v="124"/>
    <n v="13"/>
    <n v="142"/>
    <n v="23"/>
    <n v="10"/>
    <n v="23"/>
    <n v="11"/>
    <n v="45"/>
    <n v="8"/>
    <n v="91"/>
    <n v="10"/>
    <n v="51"/>
    <n v="2"/>
    <n v="45"/>
    <n v="9"/>
    <m/>
    <m/>
    <n v="51"/>
    <n v="6"/>
    <m/>
    <m/>
    <n v="52"/>
    <n v="4"/>
    <m/>
    <m/>
    <n v="0"/>
    <n v="0"/>
    <m/>
    <m/>
    <n v="0"/>
    <n v="0"/>
    <m/>
    <m/>
    <n v="0"/>
    <n v="0"/>
    <m/>
    <m/>
    <n v="0"/>
    <n v="0"/>
    <m/>
    <m/>
    <m/>
    <n v="10"/>
    <n v="144"/>
    <n v="4"/>
    <n v="19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4"/>
    <n v="192"/>
    <m/>
    <m/>
    <m/>
    <m/>
    <m/>
    <m/>
    <m/>
    <m/>
    <m/>
    <m/>
    <m/>
    <m/>
    <m/>
    <m/>
    <m/>
    <m/>
    <m/>
    <m/>
    <m/>
    <m/>
    <n v="0"/>
    <n v="0"/>
    <n v="906"/>
    <n v="953"/>
  </r>
  <r>
    <x v="14"/>
    <s v="University of Mary Washington "/>
    <n v="232681"/>
    <x v="4"/>
    <m/>
    <m/>
    <m/>
    <m/>
    <m/>
    <n v="0"/>
    <n v="0"/>
    <n v="0"/>
    <n v="1011"/>
    <m/>
    <m/>
    <m/>
    <n v="0"/>
    <n v="928"/>
    <m/>
    <m/>
    <n v="85"/>
    <n v="85"/>
    <m/>
    <m/>
    <m/>
    <m/>
    <m/>
    <m/>
    <m/>
    <m/>
    <m/>
    <m/>
    <m/>
    <m/>
    <m/>
    <m/>
    <m/>
    <m/>
    <m/>
    <m/>
    <m/>
    <m/>
    <n v="0"/>
    <n v="0.81729991915925626"/>
    <n v="0"/>
    <n v="0.80906713164777677"/>
    <n v="14"/>
    <n v="17"/>
    <n v="13"/>
    <n v="150"/>
    <n v="13"/>
    <n v="143"/>
    <n v="52"/>
    <n v="62"/>
    <n v="52"/>
    <n v="59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m/>
    <n v="0"/>
    <n v="212"/>
    <n v="2"/>
    <n v="20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2"/>
    <n v="202"/>
    <m/>
    <m/>
    <m/>
    <m/>
    <m/>
    <m/>
    <m/>
    <m/>
    <m/>
    <m/>
    <m/>
    <m/>
    <m/>
    <m/>
    <m/>
    <m/>
    <m/>
    <m/>
    <m/>
    <m/>
    <n v="0"/>
    <n v="0"/>
    <n v="1237"/>
    <n v="1147"/>
  </r>
  <r>
    <x v="14"/>
    <s v="University of Virginia's College at Wise "/>
    <n v="233897"/>
    <x v="5"/>
    <m/>
    <m/>
    <m/>
    <m/>
    <m/>
    <n v="0"/>
    <n v="0"/>
    <n v="0"/>
    <n v="308"/>
    <m/>
    <m/>
    <m/>
    <n v="0"/>
    <n v="287"/>
    <m/>
    <m/>
    <n v="53"/>
    <n v="53"/>
    <m/>
    <m/>
    <m/>
    <m/>
    <m/>
    <m/>
    <m/>
    <m/>
    <m/>
    <m/>
    <m/>
    <m/>
    <m/>
    <m/>
    <m/>
    <m/>
    <m/>
    <m/>
    <m/>
    <m/>
    <n v="0"/>
    <n v="1"/>
    <n v="0"/>
    <n v="1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8"/>
    <n v="287"/>
  </r>
  <r>
    <x v="14"/>
    <s v="J.S. Reynolds Community College"/>
    <n v="232414"/>
    <x v="6"/>
    <n v="300"/>
    <n v="254"/>
    <m/>
    <m/>
    <n v="687"/>
    <n v="7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7"/>
    <n v="967"/>
  </r>
  <r>
    <x v="14"/>
    <s v="Northern Virginia Community College "/>
    <n v="232946"/>
    <x v="6"/>
    <n v="334"/>
    <n v="249"/>
    <m/>
    <m/>
    <n v="2925"/>
    <n v="31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59"/>
    <n v="3435"/>
  </r>
  <r>
    <x v="14"/>
    <s v="Thomas Nelson Community College "/>
    <n v="233754"/>
    <x v="6"/>
    <n v="472"/>
    <n v="445"/>
    <m/>
    <m/>
    <n v="735"/>
    <n v="7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7"/>
    <n v="1159"/>
  </r>
  <r>
    <x v="14"/>
    <s v="Tidewater Community College "/>
    <n v="233772"/>
    <x v="6"/>
    <n v="268"/>
    <n v="569"/>
    <m/>
    <m/>
    <n v="2250"/>
    <n v="22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18"/>
    <n v="2866"/>
  </r>
  <r>
    <x v="14"/>
    <s v="Blue Ridge Community College "/>
    <n v="231536"/>
    <x v="7"/>
    <n v="60"/>
    <n v="45"/>
    <m/>
    <m/>
    <n v="498"/>
    <n v="4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8"/>
    <n v="521"/>
  </r>
  <r>
    <x v="14"/>
    <s v="Central Virginia Community College "/>
    <n v="231697"/>
    <x v="7"/>
    <n v="112"/>
    <n v="164"/>
    <m/>
    <m/>
    <n v="306"/>
    <n v="3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8"/>
    <n v="471"/>
  </r>
  <r>
    <x v="14"/>
    <s v="Danville Community College "/>
    <n v="231882"/>
    <x v="7"/>
    <n v="495"/>
    <n v="546"/>
    <m/>
    <m/>
    <n v="276"/>
    <n v="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1"/>
    <n v="775"/>
  </r>
  <r>
    <x v="14"/>
    <s v="Germanna Community College"/>
    <n v="232195"/>
    <x v="7"/>
    <n v="201"/>
    <n v="296"/>
    <m/>
    <m/>
    <n v="439"/>
    <n v="5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0"/>
    <n v="804"/>
  </r>
  <r>
    <x v="14"/>
    <s v="John Tyler Community College"/>
    <n v="232450"/>
    <x v="7"/>
    <n v="246"/>
    <n v="270"/>
    <m/>
    <m/>
    <n v="512"/>
    <n v="6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8"/>
    <n v="887"/>
  </r>
  <r>
    <x v="14"/>
    <s v="Lord Fairfax Community College"/>
    <n v="232575"/>
    <x v="7"/>
    <n v="153"/>
    <n v="154"/>
    <m/>
    <m/>
    <n v="460"/>
    <n v="4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3"/>
    <n v="590"/>
  </r>
  <r>
    <x v="14"/>
    <s v="New River Community College "/>
    <n v="232867"/>
    <x v="7"/>
    <n v="113"/>
    <n v="93"/>
    <m/>
    <m/>
    <n v="341"/>
    <n v="3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54"/>
    <n v="469"/>
  </r>
  <r>
    <x v="14"/>
    <s v="Piedmont Virginia Community College "/>
    <n v="233116"/>
    <x v="7"/>
    <n v="53"/>
    <n v="217"/>
    <m/>
    <m/>
    <n v="265"/>
    <n v="2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8"/>
    <n v="485"/>
  </r>
  <r>
    <x v="14"/>
    <s v="Southside Virginia Community College"/>
    <n v="233639"/>
    <x v="7"/>
    <n v="409"/>
    <n v="219"/>
    <m/>
    <m/>
    <n v="328"/>
    <n v="2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7"/>
    <n v="512"/>
  </r>
  <r>
    <x v="14"/>
    <s v="Southwest Virginia Community College "/>
    <n v="233648"/>
    <x v="7"/>
    <n v="323"/>
    <n v="339"/>
    <m/>
    <m/>
    <n v="278"/>
    <n v="3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1"/>
    <n v="699"/>
  </r>
  <r>
    <x v="14"/>
    <s v="Virginia Western Community College "/>
    <n v="233949"/>
    <x v="7"/>
    <n v="144"/>
    <n v="245"/>
    <m/>
    <m/>
    <n v="501"/>
    <n v="3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5"/>
    <n v="553"/>
  </r>
  <r>
    <x v="14"/>
    <s v="D.S. Lancaster Community College "/>
    <n v="231873"/>
    <x v="8"/>
    <n v="136"/>
    <n v="166"/>
    <m/>
    <m/>
    <n v="83"/>
    <n v="5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9"/>
    <n v="694"/>
  </r>
  <r>
    <x v="14"/>
    <s v="Eastern Shore Community College"/>
    <n v="232052"/>
    <x v="8"/>
    <n v="71"/>
    <n v="119"/>
    <m/>
    <m/>
    <n v="46"/>
    <n v="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7"/>
    <n v="215"/>
  </r>
  <r>
    <x v="14"/>
    <s v="Mountain Empire Community College"/>
    <n v="232788"/>
    <x v="8"/>
    <n v="281"/>
    <n v="62"/>
    <m/>
    <m/>
    <n v="222"/>
    <n v="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3"/>
    <n v="127"/>
  </r>
  <r>
    <x v="14"/>
    <s v="Patrick Henry Community College "/>
    <n v="233019"/>
    <x v="8"/>
    <n v="165"/>
    <n v="314"/>
    <m/>
    <m/>
    <n v="200"/>
    <n v="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5"/>
    <n v="528"/>
  </r>
  <r>
    <x v="14"/>
    <s v="Paul D. Camp Community College"/>
    <n v="233037"/>
    <x v="8"/>
    <n v="43"/>
    <n v="69"/>
    <m/>
    <m/>
    <n v="124"/>
    <n v="1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7"/>
    <n v="193"/>
  </r>
  <r>
    <x v="14"/>
    <s v="Rappahannock Community College"/>
    <n v="233310"/>
    <x v="8"/>
    <n v="62"/>
    <n v="103"/>
    <m/>
    <m/>
    <n v="162"/>
    <n v="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4"/>
    <n v="326"/>
  </r>
  <r>
    <x v="14"/>
    <s v="Richard Bland College "/>
    <n v="233338"/>
    <x v="8"/>
    <m/>
    <n v="0"/>
    <m/>
    <m/>
    <n v="174"/>
    <n v="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4"/>
    <n v="165"/>
  </r>
  <r>
    <x v="14"/>
    <s v="Virginia Highlands Community College "/>
    <n v="233903"/>
    <x v="8"/>
    <n v="199"/>
    <n v="163"/>
    <m/>
    <m/>
    <n v="208"/>
    <n v="2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7"/>
    <n v="400"/>
  </r>
  <r>
    <x v="14"/>
    <s v="Wytheville Community College "/>
    <n v="234377"/>
    <x v="8"/>
    <n v="246"/>
    <n v="295"/>
    <m/>
    <m/>
    <n v="254"/>
    <n v="2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0"/>
    <n v="582"/>
  </r>
  <r>
    <x v="14"/>
    <s v="Virginia Military Institute"/>
    <n v="234085"/>
    <x v="11"/>
    <m/>
    <m/>
    <m/>
    <m/>
    <m/>
    <m/>
    <n v="0"/>
    <n v="0"/>
    <n v="280"/>
    <m/>
    <m/>
    <m/>
    <n v="0"/>
    <n v="290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0"/>
    <n v="290"/>
  </r>
  <r>
    <x v="15"/>
    <s v="West Virginia University"/>
    <n v="238032"/>
    <x v="0"/>
    <m/>
    <m/>
    <m/>
    <m/>
    <m/>
    <m/>
    <n v="0"/>
    <n v="0"/>
    <n v="3790"/>
    <m/>
    <m/>
    <n v="218"/>
    <n v="218"/>
    <n v="3892"/>
    <m/>
    <m/>
    <n v="195"/>
    <n v="195"/>
    <m/>
    <m/>
    <m/>
    <m/>
    <m/>
    <m/>
    <m/>
    <m/>
    <m/>
    <m/>
    <m/>
    <m/>
    <m/>
    <m/>
    <m/>
    <m/>
    <m/>
    <m/>
    <m/>
    <m/>
    <n v="0"/>
    <n v="0.64499659632402995"/>
    <n v="0"/>
    <n v="0.65676679041511976"/>
    <m/>
    <m/>
    <n v="13"/>
    <n v="461"/>
    <n v="13"/>
    <n v="475"/>
    <n v="52"/>
    <n v="215"/>
    <n v="52"/>
    <n v="210"/>
    <n v="51"/>
    <n v="177"/>
    <n v="51"/>
    <n v="153"/>
    <n v="44"/>
    <n v="173"/>
    <n v="44"/>
    <n v="148"/>
    <n v="14"/>
    <n v="115"/>
    <n v="14"/>
    <n v="142"/>
    <n v="9"/>
    <n v="104"/>
    <s v="09"/>
    <n v="112"/>
    <n v="1"/>
    <n v="39"/>
    <s v="01"/>
    <n v="36"/>
    <n v="16"/>
    <n v="31"/>
    <n v="16"/>
    <n v="27"/>
    <n v="50"/>
    <n v="30"/>
    <n v="27"/>
    <n v="26"/>
    <n v="23"/>
    <n v="25"/>
    <n v="45"/>
    <n v="25"/>
    <m/>
    <m/>
    <n v="157"/>
    <n v="127"/>
    <n v="1527"/>
    <n v="10"/>
    <n v="1481"/>
    <n v="10"/>
    <n v="51"/>
    <n v="38"/>
    <n v="51"/>
    <n v="42"/>
    <n v="14"/>
    <n v="33"/>
    <n v="13"/>
    <n v="28"/>
    <n v="13"/>
    <n v="23"/>
    <n v="14"/>
    <n v="23"/>
    <n v="26"/>
    <n v="19"/>
    <n v="40"/>
    <n v="16"/>
    <n v="42"/>
    <n v="18"/>
    <n v="42"/>
    <n v="12"/>
    <n v="40"/>
    <n v="15"/>
    <n v="26"/>
    <n v="11"/>
    <n v="3"/>
    <n v="10"/>
    <s v="03"/>
    <n v="8"/>
    <n v="45"/>
    <n v="9"/>
    <n v="52"/>
    <n v="8"/>
    <n v="52"/>
    <n v="9"/>
    <n v="23"/>
    <n v="7"/>
    <n v="50"/>
    <n v="8"/>
    <n v="45"/>
    <n v="7"/>
    <n v="22"/>
    <n v="24"/>
    <n v="204"/>
    <n v="10"/>
    <n v="0.18627450980392157"/>
    <n v="186"/>
    <n v="10"/>
    <n v="0.22580645161290322"/>
    <n v="1731"/>
    <n v="1667"/>
    <n v="148"/>
    <n v="152"/>
    <n v="87"/>
    <n v="99"/>
    <n v="46"/>
    <n v="43"/>
    <n v="74"/>
    <n v="73"/>
    <m/>
    <m/>
    <m/>
    <m/>
    <m/>
    <m/>
    <m/>
    <m/>
    <m/>
    <m/>
    <m/>
    <m/>
    <n v="355"/>
    <n v="367"/>
    <n v="5876"/>
    <n v="5926"/>
  </r>
  <r>
    <x v="15"/>
    <s v="Marshall University "/>
    <n v="237525"/>
    <x v="2"/>
    <m/>
    <m/>
    <m/>
    <m/>
    <n v="100"/>
    <n v="111"/>
    <n v="6.8965517241379309E-2"/>
    <n v="7.9285714285714279E-2"/>
    <n v="1450"/>
    <n v="159"/>
    <m/>
    <m/>
    <n v="159"/>
    <n v="1400"/>
    <n v="149"/>
    <m/>
    <m/>
    <n v="149"/>
    <m/>
    <m/>
    <m/>
    <m/>
    <m/>
    <m/>
    <m/>
    <m/>
    <m/>
    <m/>
    <m/>
    <m/>
    <m/>
    <m/>
    <m/>
    <m/>
    <m/>
    <m/>
    <m/>
    <m/>
    <n v="0"/>
    <n v="0.58350100603621735"/>
    <n v="0"/>
    <n v="0.56383407168747479"/>
    <m/>
    <m/>
    <n v="13"/>
    <n v="400"/>
    <n v="13"/>
    <n v="403"/>
    <n v="52"/>
    <n v="148"/>
    <n v="52"/>
    <n v="145"/>
    <n v="51"/>
    <n v="101"/>
    <n v="51"/>
    <n v="112"/>
    <n v="42"/>
    <n v="36"/>
    <n v="42"/>
    <n v="60"/>
    <n v="43"/>
    <n v="27"/>
    <n v="43"/>
    <n v="27"/>
    <n v="23"/>
    <n v="26"/>
    <n v="11"/>
    <n v="18"/>
    <n v="26"/>
    <n v="16"/>
    <n v="26"/>
    <n v="18"/>
    <n v="45"/>
    <n v="16"/>
    <n v="23"/>
    <n v="17"/>
    <n v="31"/>
    <n v="15"/>
    <n v="31"/>
    <n v="16"/>
    <n v="40"/>
    <n v="15"/>
    <n v="50"/>
    <n v="13"/>
    <m/>
    <m/>
    <n v="76"/>
    <n v="78"/>
    <n v="876"/>
    <n v="10"/>
    <n v="907"/>
    <n v="10"/>
    <n v="13"/>
    <n v="12"/>
    <n v="42"/>
    <n v="7"/>
    <n v="42"/>
    <n v="3"/>
    <n v="13"/>
    <n v="6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7"/>
    <n v="3"/>
    <n v="0.70588235294117652"/>
    <n v="15"/>
    <n v="3"/>
    <n v="0.46666666666666667"/>
    <n v="893"/>
    <n v="922"/>
    <m/>
    <m/>
    <n v="42"/>
    <n v="50"/>
    <m/>
    <m/>
    <m/>
    <m/>
    <m/>
    <m/>
    <m/>
    <m/>
    <m/>
    <m/>
    <m/>
    <m/>
    <m/>
    <m/>
    <m/>
    <m/>
    <n v="42"/>
    <n v="50"/>
    <n v="2485"/>
    <n v="2483"/>
  </r>
  <r>
    <x v="15"/>
    <s v="Bluefield State College "/>
    <n v="237215"/>
    <x v="5"/>
    <m/>
    <m/>
    <m/>
    <m/>
    <n v="86"/>
    <n v="92"/>
    <n v="0.39090909090909093"/>
    <n v="0.44444444444444442"/>
    <n v="220"/>
    <n v="31"/>
    <m/>
    <m/>
    <n v="31"/>
    <n v="207"/>
    <n v="24"/>
    <m/>
    <m/>
    <n v="24"/>
    <m/>
    <m/>
    <m/>
    <m/>
    <m/>
    <m/>
    <m/>
    <m/>
    <m/>
    <m/>
    <m/>
    <m/>
    <m/>
    <m/>
    <m/>
    <m/>
    <m/>
    <m/>
    <m/>
    <m/>
    <n v="0"/>
    <n v="0.71895424836601307"/>
    <n v="0"/>
    <n v="0.69230769230769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6"/>
    <n v="299"/>
  </r>
  <r>
    <x v="15"/>
    <s v="Concord University "/>
    <n v="237330"/>
    <x v="5"/>
    <m/>
    <m/>
    <m/>
    <m/>
    <n v="2"/>
    <n v="1"/>
    <n v="5.7142857142857143E-3"/>
    <n v="2.5000000000000001E-3"/>
    <n v="350"/>
    <n v="65"/>
    <m/>
    <m/>
    <n v="65"/>
    <n v="400"/>
    <n v="102"/>
    <m/>
    <m/>
    <n v="102"/>
    <m/>
    <m/>
    <m/>
    <m/>
    <m/>
    <m/>
    <m/>
    <m/>
    <m/>
    <m/>
    <m/>
    <m/>
    <m/>
    <m/>
    <m/>
    <m/>
    <m/>
    <m/>
    <m/>
    <m/>
    <n v="0"/>
    <n v="0.92348284960422167"/>
    <n v="0"/>
    <n v="0.94117647058823528"/>
    <m/>
    <m/>
    <n v="13"/>
    <n v="27"/>
    <n v="13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7"/>
    <n v="1"/>
    <n v="2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"/>
    <n v="24"/>
    <m/>
    <m/>
    <m/>
    <m/>
    <m/>
    <m/>
    <m/>
    <m/>
    <m/>
    <m/>
    <m/>
    <m/>
    <m/>
    <m/>
    <m/>
    <m/>
    <m/>
    <m/>
    <m/>
    <m/>
    <n v="0"/>
    <n v="0"/>
    <n v="379"/>
    <n v="425"/>
  </r>
  <r>
    <x v="15"/>
    <s v="Fairmont State University"/>
    <n v="237367"/>
    <x v="4"/>
    <m/>
    <m/>
    <m/>
    <m/>
    <n v="78"/>
    <n v="107"/>
    <n v="0.11624441132637854"/>
    <n v="0.16589147286821707"/>
    <n v="671"/>
    <n v="106"/>
    <m/>
    <m/>
    <n v="106"/>
    <n v="645"/>
    <n v="76"/>
    <m/>
    <m/>
    <n v="76"/>
    <m/>
    <m/>
    <m/>
    <m/>
    <m/>
    <m/>
    <m/>
    <m/>
    <m/>
    <m/>
    <m/>
    <m/>
    <m/>
    <m/>
    <m/>
    <m/>
    <m/>
    <m/>
    <m/>
    <m/>
    <n v="0"/>
    <n v="0.82432432432432434"/>
    <n v="0"/>
    <n v="0.77060931899641572"/>
    <m/>
    <m/>
    <n v="13"/>
    <n v="51"/>
    <n v="13"/>
    <n v="55"/>
    <n v="52"/>
    <n v="10"/>
    <n v="52"/>
    <n v="22"/>
    <n v="43"/>
    <n v="4"/>
    <n v="43"/>
    <n v="6"/>
    <m/>
    <m/>
    <n v="44"/>
    <n v="2"/>
    <m/>
    <m/>
    <m/>
    <m/>
    <m/>
    <m/>
    <m/>
    <m/>
    <m/>
    <m/>
    <m/>
    <m/>
    <m/>
    <m/>
    <m/>
    <m/>
    <m/>
    <m/>
    <m/>
    <m/>
    <m/>
    <m/>
    <m/>
    <m/>
    <m/>
    <m/>
    <m/>
    <n v="0"/>
    <n v="65"/>
    <n v="3"/>
    <n v="8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5"/>
    <n v="85"/>
    <m/>
    <m/>
    <m/>
    <m/>
    <m/>
    <m/>
    <m/>
    <m/>
    <m/>
    <m/>
    <m/>
    <m/>
    <m/>
    <m/>
    <m/>
    <m/>
    <m/>
    <m/>
    <m/>
    <m/>
    <n v="0"/>
    <n v="0"/>
    <n v="814"/>
    <n v="837"/>
  </r>
  <r>
    <x v="15"/>
    <s v="Glenville State College "/>
    <n v="237385"/>
    <x v="5"/>
    <m/>
    <m/>
    <m/>
    <m/>
    <n v="30"/>
    <n v="31"/>
    <n v="0.15957446808510639"/>
    <n v="0.17816091954022989"/>
    <n v="188"/>
    <n v="60"/>
    <m/>
    <m/>
    <n v="60"/>
    <n v="174"/>
    <n v="42"/>
    <m/>
    <m/>
    <n v="42"/>
    <m/>
    <m/>
    <m/>
    <m/>
    <m/>
    <m/>
    <m/>
    <m/>
    <m/>
    <m/>
    <m/>
    <m/>
    <m/>
    <m/>
    <m/>
    <m/>
    <m/>
    <m/>
    <m/>
    <m/>
    <n v="0"/>
    <n v="0.86238532110091748"/>
    <n v="0"/>
    <n v="0.84878048780487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8"/>
    <n v="205"/>
  </r>
  <r>
    <x v="15"/>
    <s v="Shepherd University "/>
    <n v="237792"/>
    <x v="5"/>
    <m/>
    <m/>
    <m/>
    <m/>
    <m/>
    <m/>
    <n v="0"/>
    <n v="0"/>
    <n v="642"/>
    <n v="85"/>
    <m/>
    <m/>
    <n v="85"/>
    <n v="662"/>
    <n v="99"/>
    <m/>
    <m/>
    <n v="99"/>
    <m/>
    <m/>
    <m/>
    <m/>
    <m/>
    <m/>
    <m/>
    <m/>
    <m/>
    <m/>
    <m/>
    <m/>
    <m/>
    <m/>
    <m/>
    <m/>
    <m/>
    <m/>
    <m/>
    <m/>
    <n v="0"/>
    <n v="0.93043478260869561"/>
    <n v="0"/>
    <n v="0.92458100558659218"/>
    <m/>
    <m/>
    <n v="52"/>
    <n v="26"/>
    <n v="13"/>
    <n v="28"/>
    <n v="13"/>
    <n v="22"/>
    <n v="52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8"/>
    <n v="2"/>
    <n v="5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"/>
    <n v="54"/>
    <m/>
    <m/>
    <m/>
    <m/>
    <m/>
    <m/>
    <m/>
    <m/>
    <m/>
    <m/>
    <m/>
    <m/>
    <m/>
    <m/>
    <m/>
    <m/>
    <m/>
    <m/>
    <m/>
    <m/>
    <n v="0"/>
    <n v="0"/>
    <n v="690"/>
    <n v="716"/>
  </r>
  <r>
    <x v="15"/>
    <s v="West Liberty University"/>
    <n v="237932"/>
    <x v="5"/>
    <m/>
    <m/>
    <m/>
    <m/>
    <n v="31"/>
    <n v="32"/>
    <n v="8.4931506849315067E-2"/>
    <n v="9.1428571428571428E-2"/>
    <n v="365"/>
    <n v="77"/>
    <m/>
    <m/>
    <n v="77"/>
    <n v="350"/>
    <n v="77"/>
    <m/>
    <m/>
    <n v="77"/>
    <m/>
    <m/>
    <m/>
    <m/>
    <m/>
    <m/>
    <m/>
    <m/>
    <m/>
    <m/>
    <m/>
    <m/>
    <m/>
    <m/>
    <m/>
    <m/>
    <m/>
    <m/>
    <m/>
    <m/>
    <n v="0"/>
    <n v="0.92171717171717171"/>
    <n v="0"/>
    <n v="0.916230366492146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6"/>
    <n v="382"/>
  </r>
  <r>
    <x v="15"/>
    <s v="West Virginia State University "/>
    <n v="237899"/>
    <x v="5"/>
    <m/>
    <m/>
    <m/>
    <m/>
    <m/>
    <m/>
    <n v="0"/>
    <n v="0"/>
    <n v="442"/>
    <n v="74"/>
    <m/>
    <m/>
    <n v="74"/>
    <n v="372"/>
    <n v="57"/>
    <m/>
    <m/>
    <n v="57"/>
    <m/>
    <m/>
    <m/>
    <m/>
    <m/>
    <m/>
    <m/>
    <m/>
    <m/>
    <m/>
    <m/>
    <m/>
    <m/>
    <m/>
    <m/>
    <m/>
    <m/>
    <m/>
    <m/>
    <m/>
    <n v="0"/>
    <n v="0.98004434589800449"/>
    <n v="0"/>
    <n v="0.98673740053050396"/>
    <m/>
    <m/>
    <n v="26"/>
    <n v="5"/>
    <n v="26"/>
    <n v="5"/>
    <n v="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"/>
    <n v="2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"/>
    <n v="5"/>
    <m/>
    <m/>
    <m/>
    <m/>
    <m/>
    <m/>
    <m/>
    <m/>
    <m/>
    <m/>
    <m/>
    <m/>
    <m/>
    <m/>
    <m/>
    <m/>
    <m/>
    <m/>
    <m/>
    <m/>
    <n v="0"/>
    <n v="0"/>
    <n v="451"/>
    <n v="377"/>
  </r>
  <r>
    <x v="15"/>
    <s v="West Virginia University Institute of Technology"/>
    <n v="237950"/>
    <x v="5"/>
    <m/>
    <m/>
    <m/>
    <m/>
    <m/>
    <m/>
    <n v="0"/>
    <n v="0"/>
    <n v="205"/>
    <n v="4"/>
    <m/>
    <m/>
    <n v="4"/>
    <n v="140"/>
    <n v="1"/>
    <m/>
    <m/>
    <n v="1"/>
    <m/>
    <m/>
    <m/>
    <m/>
    <m/>
    <m/>
    <m/>
    <m/>
    <m/>
    <m/>
    <m/>
    <m/>
    <m/>
    <m/>
    <m/>
    <m/>
    <m/>
    <m/>
    <m/>
    <m/>
    <n v="0"/>
    <n v="0.99514563106796117"/>
    <n v="0"/>
    <n v="0.99290780141843971"/>
    <m/>
    <m/>
    <n v="14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"/>
    <n v="1"/>
    <m/>
    <m/>
    <m/>
    <m/>
    <m/>
    <m/>
    <m/>
    <m/>
    <m/>
    <m/>
    <m/>
    <m/>
    <m/>
    <m/>
    <m/>
    <m/>
    <m/>
    <m/>
    <m/>
    <m/>
    <n v="0"/>
    <n v="0"/>
    <n v="206"/>
    <n v="141"/>
  </r>
  <r>
    <x v="15"/>
    <s v="West Virginia University at Parkersburg"/>
    <n v="237686"/>
    <x v="12"/>
    <n v="47"/>
    <n v="26"/>
    <m/>
    <m/>
    <n v="352"/>
    <n v="367"/>
    <n v="1.76"/>
    <n v="1.9521276595744681"/>
    <n v="200"/>
    <n v="40"/>
    <m/>
    <m/>
    <n v="40"/>
    <n v="188"/>
    <n v="31"/>
    <m/>
    <m/>
    <n v="31"/>
    <s v="24"/>
    <n v="112"/>
    <s v="24"/>
    <n v="90"/>
    <s v="13"/>
    <n v="40"/>
    <s v="52"/>
    <n v="49"/>
    <s v="52"/>
    <n v="38"/>
    <s v="13"/>
    <n v="31"/>
    <s v="15"/>
    <n v="10"/>
    <s v="15"/>
    <n v="18"/>
    <m/>
    <m/>
    <m/>
    <m/>
    <n v="4"/>
    <n v="0.333889816360601"/>
    <n v="4"/>
    <n v="0.323580034423407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9"/>
    <n v="581"/>
  </r>
  <r>
    <x v="15"/>
    <s v="Pierpont Community &amp; Technical College"/>
    <n v="443492"/>
    <x v="7"/>
    <n v="111"/>
    <n v="118"/>
    <m/>
    <m/>
    <n v="313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4"/>
    <n v="391"/>
  </r>
  <r>
    <x v="15"/>
    <s v="Blue Ridge Community &amp; Technical College"/>
    <n v="446774"/>
    <x v="8"/>
    <n v="145"/>
    <n v="51"/>
    <m/>
    <m/>
    <n v="169"/>
    <n v="1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4"/>
    <n v="193"/>
  </r>
  <r>
    <x v="15"/>
    <s v="Bridgemont Community &amp; Technical College"/>
    <n v="445674"/>
    <x v="8"/>
    <n v="9"/>
    <n v="17"/>
    <m/>
    <m/>
    <n v="125"/>
    <n v="1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4"/>
    <n v="159"/>
  </r>
  <r>
    <x v="15"/>
    <s v="Eastern West Virginia Community &amp; Technical College"/>
    <n v="438708"/>
    <x v="8"/>
    <n v="1"/>
    <m/>
    <m/>
    <m/>
    <n v="29"/>
    <n v="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"/>
    <n v="27"/>
  </r>
  <r>
    <x v="15"/>
    <s v="Marshall Community &amp; Technical College"/>
    <n v="444954"/>
    <x v="8"/>
    <n v="56"/>
    <n v="64"/>
    <m/>
    <m/>
    <n v="326"/>
    <n v="3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2"/>
    <n v="391"/>
  </r>
  <r>
    <x v="15"/>
    <s v="New River Community &amp; Technical College"/>
    <n v="447582"/>
    <x v="8"/>
    <n v="40"/>
    <n v="39"/>
    <m/>
    <m/>
    <n v="162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2"/>
    <n v="183"/>
  </r>
  <r>
    <x v="15"/>
    <s v="Potomac State College of West Virginia University"/>
    <n v="237701"/>
    <x v="12"/>
    <n v="6"/>
    <n v="7"/>
    <m/>
    <m/>
    <n v="166"/>
    <n v="143"/>
    <n v="27.666666666666668"/>
    <n v="15.888888888888889"/>
    <n v="6"/>
    <m/>
    <m/>
    <m/>
    <n v="0"/>
    <n v="9"/>
    <m/>
    <m/>
    <m/>
    <n v="0"/>
    <m/>
    <m/>
    <m/>
    <m/>
    <m/>
    <m/>
    <m/>
    <m/>
    <m/>
    <m/>
    <m/>
    <m/>
    <m/>
    <m/>
    <m/>
    <m/>
    <m/>
    <m/>
    <m/>
    <m/>
    <n v="0"/>
    <n v="3.3707865168539325E-2"/>
    <n v="0"/>
    <n v="5.660377358490566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8"/>
    <n v="159"/>
  </r>
  <r>
    <x v="15"/>
    <s v="Southern West Virginia Community &amp; Technical College "/>
    <n v="237817"/>
    <x v="8"/>
    <n v="37"/>
    <n v="53"/>
    <m/>
    <m/>
    <n v="226"/>
    <n v="2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3"/>
    <n v="323"/>
  </r>
  <r>
    <x v="15"/>
    <s v="West Virginia Northern Community College"/>
    <n v="238014"/>
    <x v="8"/>
    <n v="83"/>
    <n v="111"/>
    <m/>
    <m/>
    <n v="248"/>
    <n v="2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1"/>
    <n v="369"/>
  </r>
  <r>
    <x v="15"/>
    <s v="Kanawha Valley Community &amp; Technical College"/>
    <n v="445018"/>
    <x v="8"/>
    <n v="13"/>
    <n v="18"/>
    <m/>
    <m/>
    <n v="255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8"/>
    <n v="253"/>
  </r>
  <r>
    <x v="15"/>
    <s v="West Virginia School of Osteopathic Medicine"/>
    <n v="237880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94"/>
    <n v="97"/>
    <m/>
    <m/>
    <m/>
    <m/>
    <m/>
    <m/>
    <n v="94"/>
    <n v="97"/>
    <n v="94"/>
    <n v="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U855" firstHeaderRow="1" firstDataRow="3" firstDataCol="2"/>
  <pivotFields count="193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5">
        <item n="Four-Year" x="1"/>
        <item n="Two-Year" x="2"/>
        <item n="Technical" x="3"/>
        <item n="Specialized" x="0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850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</rowItems>
  <colFields count="2">
    <field x="184"/>
    <field x="3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50">
    <dataField name=" Old-Less Than 2-Year" fld="4" baseField="0" baseItem="0" numFmtId="164"/>
    <dataField name=" New-Less Than 2-Year" fld="5" baseField="0" baseItem="0" numFmtId="164"/>
    <dataField name=" % Change-Less Than 2-Year" fld="187" baseField="0" baseItem="0" numFmtId="164"/>
    <dataField name=" Old-2 But Less Than 4-Year" fld="6" baseField="0" baseItem="0" numFmtId="164"/>
    <dataField name=" New-2 But Less Than 4-Year" fld="7" baseField="0" baseItem="0" numFmtId="164"/>
    <dataField name=" %Change-2 But Less Than 4-Year" fld="186" baseField="0" baseItem="0" numFmtId="164"/>
    <dataField name=" Old-Associate's" fld="8" baseField="0" baseItem="0" numFmtId="164"/>
    <dataField name=" New-Associate's" fld="9" baseField="0" baseItem="0" numFmtId="164"/>
    <dataField name=" %Change-Associate's" fld="185" baseField="0" baseItem="0" numFmtId="164"/>
    <dataField name=" Old-Bachelor's" fld="12" baseField="0" baseItem="0" numFmtId="164"/>
    <dataField name=" New-Bachelor's" fld="17" baseField="0" baseItem="0" numFmtId="164"/>
    <dataField name=" %Change-Bachelor's" fld="170" baseField="0" baseItem="0" numFmtId="164"/>
    <dataField name=" Old-Post-Bachelor's" fld="46" baseField="0" baseItem="0" numFmtId="164"/>
    <dataField name=" New-Post-Bachelor's" fld="47" baseField="0" baseItem="0" numFmtId="164"/>
    <dataField name=" %Change-Post-Bachelor's" fld="171" baseField="0" baseItem="0" numFmtId="164"/>
    <dataField name=" Old-Total Master's#" fld="92" baseField="0" baseItem="0" numFmtId="164"/>
    <dataField name=" New-Total Master's#" fld="94" baseField="0" baseItem="0" numFmtId="164"/>
    <dataField name=" %Change-Master's" fld="172" baseField="0" baseItem="0" numFmtId="164"/>
    <dataField name=" Old-Total Doctorates#" fld="138" baseField="0" baseItem="0" numFmtId="164"/>
    <dataField name=" New-Total Doctorates#" fld="141" baseField="0" baseItem="0" numFmtId="164"/>
    <dataField name=" %Change-Doctorates" fld="173" baseField="0" baseItem="0" numFmtId="164"/>
    <dataField name=" Old-Law" fld="146" baseField="0" baseItem="0" numFmtId="164"/>
    <dataField name=" New-Law" fld="147" baseField="0" baseItem="0" numFmtId="164"/>
    <dataField name=" %Change-Law" fld="174" baseField="0" baseItem="0" numFmtId="164"/>
    <dataField name=" Old-Medicine" fld="148" baseField="0" baseItem="0" numFmtId="164"/>
    <dataField name=" New-Medicine" fld="149" baseField="0" baseItem="0" numFmtId="164"/>
    <dataField name=" %Change-Medicine" fld="175" baseField="0" baseItem="0" numFmtId="164"/>
    <dataField name=" Old-Dentistry" fld="150" baseField="0" baseItem="0" numFmtId="164"/>
    <dataField name=" New-Dentistry" fld="151" baseField="0" baseItem="0" numFmtId="164"/>
    <dataField name=" %Change-Dentistry" fld="176" baseField="0" baseItem="0" numFmtId="164"/>
    <dataField name=" Old-Pharmacy" fld="152" baseField="0" baseItem="0" numFmtId="164"/>
    <dataField name=" New-Pharmacy" fld="153" baseField="0" baseItem="0" numFmtId="164"/>
    <dataField name=" %Change-Pharmacy" fld="177" baseField="0" baseItem="0" numFmtId="164"/>
    <dataField name=" Old-Chiropractic" fld="154" baseField="0" baseItem="0" numFmtId="164"/>
    <dataField name=" New-Chiropractic" fld="155" baseField="0" baseItem="0" numFmtId="164"/>
    <dataField name=" %Change-Chiropractic" fld="178" baseField="0" baseItem="0" numFmtId="164"/>
    <dataField name=" Old-Optometry" fld="156" baseField="0" baseItem="0" numFmtId="164"/>
    <dataField name=" New-Optometry" fld="157" baseField="0" baseItem="0" numFmtId="164"/>
    <dataField name=" %Change-Optometry" fld="179" baseField="0" baseItem="0" numFmtId="164"/>
    <dataField name=" Old-Osteopathic Medicine" fld="158" baseField="0" baseItem="0" numFmtId="164"/>
    <dataField name=" New-Osteopathic Medicine" fld="159" baseField="0" baseItem="0" numFmtId="164"/>
    <dataField name=" %Change-Osteopathic Medicine" fld="180" baseField="0" baseItem="0" numFmtId="164"/>
    <dataField name=" Old-Veterinary Medicine" fld="160" baseField="0" baseItem="0" numFmtId="164"/>
    <dataField name=" New-Veterinary Medicine" fld="161" baseField="0" baseItem="0" numFmtId="164"/>
    <dataField name=" %Change-Veterinary Medicine" fld="181" baseField="0" baseItem="0" numFmtId="164"/>
    <dataField name=" Old-Podiatry" fld="162" baseField="0" baseItem="0" numFmtId="164"/>
    <dataField name=" New-Podiatry" fld="163" baseField="0" baseItem="0" numFmtId="164"/>
    <dataField name=" %Change-Podiatry" fld="182" baseField="0" baseItem="0" numFmtId="164"/>
    <dataField name=" Old-Oth PP" fld="164" baseField="0" baseItem="0" numFmtId="164"/>
    <dataField name=" New-Oth PP" fld="165" baseField="0" baseItem="0" numFmtId="164"/>
  </dataFields>
  <formats count="529">
    <format dxfId="6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9">
      <pivotArea collapsedLevelsAreSubtotals="1" fieldPosition="0">
        <references count="2">
          <reference field="4294967294" count="1" selected="0">
            <x v="2"/>
          </reference>
          <reference field="0" count="1">
            <x v="1"/>
          </reference>
        </references>
      </pivotArea>
    </format>
    <format dxfId="688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68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8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68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8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8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682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6" selected="0">
            <x v="0"/>
            <x v="1"/>
            <x v="2"/>
            <x v="3"/>
            <x v="4"/>
            <x v="5"/>
          </reference>
          <reference field="184" count="1" selected="0">
            <x v="0"/>
          </reference>
        </references>
      </pivotArea>
    </format>
    <format dxfId="681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4" count="1" selected="0" defaultSubtotal="1">
            <x v="0"/>
          </reference>
        </references>
      </pivotArea>
    </format>
    <format dxfId="68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4" selected="0">
            <x v="6"/>
            <x v="7"/>
            <x v="8"/>
            <x v="9"/>
          </reference>
          <reference field="184" count="1" selected="0">
            <x v="1"/>
          </reference>
        </references>
      </pivotArea>
    </format>
    <format dxfId="67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4" count="1" selected="0" defaultSubtotal="1">
            <x v="1"/>
          </reference>
        </references>
      </pivotArea>
    </format>
    <format dxfId="67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3" selected="0">
            <x v="10"/>
            <x v="11"/>
            <x v="12"/>
          </reference>
          <reference field="184" count="1" selected="0">
            <x v="2"/>
          </reference>
        </references>
      </pivotArea>
    </format>
    <format dxfId="67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4" count="1" selected="0" defaultSubtotal="1">
            <x v="2"/>
          </reference>
        </references>
      </pivotArea>
    </format>
    <format dxfId="67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1" selected="0">
            <x v="13"/>
          </reference>
          <reference field="184" count="1" selected="0">
            <x v="3"/>
          </reference>
        </references>
      </pivotArea>
    </format>
    <format dxfId="67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4" count="1" selected="0" defaultSubtotal="1">
            <x v="3"/>
          </reference>
        </references>
      </pivotArea>
    </format>
    <format dxfId="674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73">
      <pivotArea dataOnly="0" labelOnly="1" outline="0" fieldPosition="0">
        <references count="1">
          <reference field="0" count="1">
            <x v="0"/>
          </reference>
        </references>
      </pivotArea>
    </format>
    <format dxfId="672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7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7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69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668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6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6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6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6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62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61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60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59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58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57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56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55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54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53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52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51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50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49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48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47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46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45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44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43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42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41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40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39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38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37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36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35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34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33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32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31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30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29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28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27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26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25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24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23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22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21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20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19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18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1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1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1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1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1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1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1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1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0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0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0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0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0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0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0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0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0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0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9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9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9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9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9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9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9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69">
      <pivotArea type="origin" dataOnly="0" labelOnly="1" outline="0" fieldPosition="0"/>
    </format>
    <format dxfId="568">
      <pivotArea field="0" type="button" dataOnly="0" labelOnly="1" outline="0" axis="axisRow" fieldPosition="0"/>
    </format>
    <format dxfId="567">
      <pivotArea dataOnly="0" labelOnly="1" outline="0" fieldPosition="0">
        <references count="1">
          <reference field="0" count="0"/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5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5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5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5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5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5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4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4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4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4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4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4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4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4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4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4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3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3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3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3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3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3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3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3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3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3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2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2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2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2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2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2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2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2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2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2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1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1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1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1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1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1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1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1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1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1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0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0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0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0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0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0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0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0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0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0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49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49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49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49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49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49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49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49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49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49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48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48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48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48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48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48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48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48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48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48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47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47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47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47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47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47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47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47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47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47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469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468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67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466">
      <pivotArea type="all" dataOnly="0" outline="0" fieldPosition="0"/>
    </format>
    <format dxfId="465">
      <pivotArea type="all" dataOnly="0" outline="0" fieldPosition="0"/>
    </format>
    <format dxfId="46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6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6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6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6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5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5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5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5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5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5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5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45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45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45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44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44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44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446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445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44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44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44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44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44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43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43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43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43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43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43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43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43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43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43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42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42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42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42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42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42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42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42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42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42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41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41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41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416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41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1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1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12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11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10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09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08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07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06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05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04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403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402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401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400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99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98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97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96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95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94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93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92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91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90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89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88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87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86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85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84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83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82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81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80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79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78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77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76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75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74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73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72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71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70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69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68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67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366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365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36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363">
      <pivotArea dataOnly="0" labelOnly="1" outline="0" fieldPosition="0">
        <references count="1">
          <reference field="184" count="1" defaultSubtotal="1">
            <x v="0"/>
          </reference>
        </references>
      </pivotArea>
    </format>
    <format dxfId="362">
      <pivotArea dataOnly="0" labelOnly="1" outline="0" fieldPosition="0">
        <references count="1">
          <reference field="184" count="1" defaultSubtotal="1">
            <x v="1"/>
          </reference>
        </references>
      </pivotArea>
    </format>
    <format dxfId="361">
      <pivotArea dataOnly="0" labelOnly="1" outline="0" fieldPosition="0">
        <references count="1">
          <reference field="184" count="1" defaultSubtotal="1">
            <x v="2"/>
          </reference>
        </references>
      </pivotArea>
    </format>
    <format dxfId="360">
      <pivotArea dataOnly="0" labelOnly="1" outline="0" fieldPosition="0">
        <references count="1">
          <reference field="184" count="1" defaultSubtotal="1">
            <x v="3"/>
          </reference>
        </references>
      </pivotArea>
    </format>
    <format dxfId="359">
      <pivotArea type="origin" dataOnly="0" labelOnly="1" outline="0" fieldPosition="0"/>
    </format>
    <format dxfId="358">
      <pivotArea field="0" type="button" dataOnly="0" labelOnly="1" outline="0" axis="axisRow" fieldPosition="0"/>
    </format>
    <format dxfId="357">
      <pivotArea dataOnly="0" labelOnly="1" outline="0" fieldPosition="0">
        <references count="1">
          <reference field="0" count="0"/>
        </references>
      </pivotArea>
    </format>
    <format dxfId="3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5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35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5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35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35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34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34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34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34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34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34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4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4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4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4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3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3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3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3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3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3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3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3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3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3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2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2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2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2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2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2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2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2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2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2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1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1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1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1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1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1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1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1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1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1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0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0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30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306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305">
      <pivotArea field="-2" type="button" dataOnly="0" labelOnly="1" outline="0" axis="axisRow" fieldPosition="1"/>
    </format>
    <format dxfId="30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0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0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30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0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9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9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9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9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9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9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9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9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9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9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8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28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28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286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285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28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28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28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28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28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27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27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27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27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27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27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27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27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27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27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26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26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26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26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26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26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26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26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26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26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25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25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25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25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25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25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"/>
          </reference>
        </references>
      </pivotArea>
    </format>
    <format dxfId="25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2"/>
          </reference>
        </references>
      </pivotArea>
    </format>
    <format dxfId="25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3"/>
          </reference>
        </references>
      </pivotArea>
    </format>
    <format dxfId="25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4"/>
          </reference>
        </references>
      </pivotArea>
    </format>
    <format dxfId="24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5"/>
          </reference>
        </references>
      </pivotArea>
    </format>
    <format dxfId="24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6"/>
          </reference>
        </references>
      </pivotArea>
    </format>
    <format dxfId="24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7"/>
          </reference>
        </references>
      </pivotArea>
    </format>
    <format dxfId="24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8"/>
          </reference>
        </references>
      </pivotArea>
    </format>
    <format dxfId="24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9"/>
          </reference>
        </references>
      </pivotArea>
    </format>
    <format dxfId="24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0"/>
          </reference>
        </references>
      </pivotArea>
    </format>
    <format dxfId="24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1"/>
          </reference>
        </references>
      </pivotArea>
    </format>
    <format dxfId="24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2"/>
          </reference>
        </references>
      </pivotArea>
    </format>
    <format dxfId="24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3"/>
          </reference>
        </references>
      </pivotArea>
    </format>
    <format dxfId="24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4"/>
          </reference>
        </references>
      </pivotArea>
    </format>
    <format dxfId="23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5"/>
          </reference>
        </references>
      </pivotArea>
    </format>
    <format dxfId="238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37">
      <pivotArea dataOnly="0" labelOnly="1" grandCol="1" outline="0" fieldPosition="0"/>
    </format>
    <format dxfId="2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3" count="1" selected="0">
            <x v="7"/>
          </reference>
          <reference field="184" count="1" selected="0">
            <x v="1"/>
          </reference>
        </references>
      </pivotArea>
    </format>
    <format dxfId="2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3" count="1" selected="0">
            <x v="7"/>
          </reference>
          <reference field="184" count="1" selected="0">
            <x v="1"/>
          </reference>
        </references>
      </pivotArea>
    </format>
    <format dxfId="2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3" count="1" selected="0">
            <x v="7"/>
          </reference>
          <reference field="184" count="1" selected="0">
            <x v="1"/>
          </reference>
        </references>
      </pivotArea>
    </format>
    <format dxfId="233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232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23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2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3" count="1" selected="0">
            <x v="7"/>
          </reference>
          <reference field="184" count="1" selected="0">
            <x v="1"/>
          </reference>
        </references>
      </pivotArea>
    </format>
    <format dxfId="22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22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227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226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2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3" count="1" selected="0">
            <x v="9"/>
          </reference>
          <reference field="184" count="1" selected="0">
            <x v="1"/>
          </reference>
        </references>
      </pivotArea>
    </format>
    <format dxfId="2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2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3" count="4" selected="0">
            <x v="2"/>
            <x v="3"/>
            <x v="4"/>
            <x v="5"/>
          </reference>
          <reference field="184" count="1" selected="0">
            <x v="0"/>
          </reference>
        </references>
      </pivotArea>
    </format>
    <format dxfId="22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22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220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"/>
          </reference>
          <reference field="184" count="1" selected="0" defaultSubtotal="1">
            <x v="3"/>
          </reference>
        </references>
      </pivotArea>
    </format>
    <format dxfId="21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2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21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2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21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3" count="1" selected="0">
            <x v="7"/>
          </reference>
          <reference field="184" count="1" selected="0">
            <x v="1"/>
          </reference>
        </references>
      </pivotArea>
    </format>
    <format dxfId="2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21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214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21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3" count="1" selected="0">
            <x v="8"/>
          </reference>
          <reference field="184" count="1" selected="0">
            <x v="1"/>
          </reference>
        </references>
      </pivotArea>
    </format>
    <format dxfId="21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2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21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20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3" count="1" selected="0">
            <x v="10"/>
          </reference>
          <reference field="184" count="1" selected="0">
            <x v="2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5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3" count="1" selected="0">
            <x v="9"/>
          </reference>
          <reference field="184" count="1" selected="0">
            <x v="1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3" count="1" selected="0">
            <x v="12"/>
          </reference>
          <reference field="184" count="1" selected="0">
            <x v="2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3" count="1" selected="0">
            <x v="8"/>
          </reference>
          <reference field="184" count="1" selected="0">
            <x v="1"/>
          </reference>
        </references>
      </pivotArea>
    </format>
    <format dxfId="20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3" count="1" selected="0">
            <x v="6"/>
          </reference>
          <reference field="184" count="1" selected="0">
            <x v="1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200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6"/>
          </reference>
          <reference field="184" count="1" selected="0" defaultSubtotal="1">
            <x v="3"/>
          </reference>
        </references>
      </pivotArea>
    </format>
    <format dxfId="199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6"/>
          </reference>
          <reference field="184" count="1" selected="0" defaultSubtotal="1">
            <x v="3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3" count="4" selected="0">
            <x v="0"/>
            <x v="1"/>
            <x v="2"/>
            <x v="3"/>
          </reference>
          <reference field="184" count="1" selected="0">
            <x v="0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196">
      <pivotArea outline="0" collapsedLevelsAreSubtotals="1" fieldPosition="0">
        <references count="3">
          <reference field="4294967294" count="1" selected="0">
            <x v="8"/>
          </reference>
          <reference field="0" count="1" selected="0">
            <x v="7"/>
          </reference>
          <reference field="184" count="1" selected="0" defaultSubtotal="1">
            <x v="3"/>
          </reference>
        </references>
      </pivotArea>
    </format>
    <format dxfId="195">
      <pivotArea outline="0" collapsedLevelsAreSubtotals="1" fieldPosition="0">
        <references count="3">
          <reference field="4294967294" count="1" selected="0">
            <x v="14"/>
          </reference>
          <reference field="0" count="1" selected="0">
            <x v="7"/>
          </reference>
          <reference field="184" count="1" selected="0" defaultSubtotal="1">
            <x v="3"/>
          </reference>
        </references>
      </pivotArea>
    </format>
    <format dxfId="194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7"/>
          </reference>
          <reference field="184" count="1" selected="0" defaultSubtotal="1">
            <x v="3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19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19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3" count="1" selected="0">
            <x v="8"/>
          </reference>
          <reference field="184" count="1" selected="0">
            <x v="1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1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183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1"/>
          </reference>
          <reference field="184" count="1" selected="0" defaultSubtotal="1">
            <x v="3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3" count="3" selected="0">
            <x v="7"/>
            <x v="8"/>
            <x v="9"/>
          </reference>
          <reference field="184" count="1" selected="0">
            <x v="1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3" count="1" selected="0">
            <x v="9"/>
          </reference>
          <reference field="184" count="1" selected="0">
            <x v="1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177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12"/>
          </reference>
          <reference field="184" count="1" selected="0" defaultSubtotal="1">
            <x v="3"/>
          </reference>
        </references>
      </pivotArea>
    </format>
    <format dxfId="176">
      <pivotArea outline="0" collapsedLevelsAreSubtotals="1" fieldPosition="0">
        <references count="3">
          <reference field="4294967294" count="1" selected="0">
            <x v="11"/>
          </reference>
          <reference field="0" count="1" selected="0">
            <x v="12"/>
          </reference>
          <reference field="184" count="1" selected="0" defaultSubtotal="1">
            <x v="3"/>
          </reference>
        </references>
      </pivotArea>
    </format>
    <format dxfId="175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2"/>
          </reference>
          <reference field="184" count="1" selected="0" defaultSubtotal="1">
            <x v="3"/>
          </reference>
        </references>
      </pivotArea>
    </format>
    <format dxfId="174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2"/>
          </reference>
          <reference field="184" count="1" selected="0" defaultSubtotal="1">
            <x v="3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3" count="1" selected="0">
            <x v="6"/>
          </reference>
          <reference field="184" count="1" selected="0">
            <x v="1"/>
          </reference>
        </references>
      </pivotArea>
    </format>
    <format dxfId="17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17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16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16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1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3" count="1" selected="0">
            <x v="10"/>
          </reference>
          <reference field="184" count="1" selected="0">
            <x v="2"/>
          </reference>
        </references>
      </pivotArea>
    </format>
    <format dxfId="1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3" count="1" selected="0">
            <x v="11"/>
          </reference>
          <reference field="184" count="1" selected="0">
            <x v="2"/>
          </reference>
        </references>
      </pivotArea>
    </format>
    <format dxfId="1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3" count="1" selected="0">
            <x v="5"/>
          </reference>
          <reference field="184" count="1" selected="0">
            <x v="0"/>
          </reference>
        </references>
      </pivotArea>
    </format>
    <format dxfId="1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1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3" count="1" selected="0">
            <x v="5"/>
          </reference>
          <reference field="184" count="1" selected="0">
            <x v="0"/>
          </reference>
        </references>
      </pivotArea>
    </format>
    <format dxfId="162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U260" firstHeaderRow="1" firstDataRow="3" firstDataCol="2"/>
  <pivotFields count="193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5">
        <item n="Four-Year" x="1"/>
        <item n="Two-Year" x="2"/>
        <item n="Technical" x="3"/>
        <item n="Specialized" x="0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4"/>
    <field x="3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15">
    <dataField name=" Old-Bachelor's" fld="12" baseField="0" baseItem="0" numFmtId="164"/>
    <dataField name=" New-Bachelor's" fld="17" baseField="0" baseItem="0" numFmtId="164"/>
    <dataField name=" %Change-Bachelor's" fld="170" baseField="0" baseItem="0" numFmtId="164"/>
    <dataField name=" Old-Bach-TeachEd by CIP" fld="13" baseField="0" baseItem="0" numFmtId="164"/>
    <dataField name=" New-Bach-TeachEd by CIP" fld="18" baseField="0" baseItem="0" numFmtId="164"/>
    <dataField name=" %Change-Bach-TeachEd by CIP" fld="188" baseField="0" baseItem="0" numFmtId="164"/>
    <dataField name=" Old-Bach-TeachEd by Courses" fld="14" baseField="0" baseItem="0" numFmtId="164"/>
    <dataField name=" New-Bach-TeachEd by Courses" fld="19" baseField="0" baseItem="0" numFmtId="164"/>
    <dataField name=" %Change-Bach-TeachEd by Courses" fld="189" baseField="0" baseItem="0" numFmtId="164"/>
    <dataField name=" Old-Bach-TeachEd-Other" fld="15" baseField="0" baseItem="0" numFmtId="164"/>
    <dataField name=" New-Bach-TeachEd-Other" fld="20" baseField="0" baseItem="0" numFmtId="164"/>
    <dataField name=" %Change-Bach-TeachEd-Other" fld="190" baseField="0" baseItem="0" numFmtId="164"/>
    <dataField name=" Old-Bach-TeachEd-Subtot" fld="16" baseField="0" baseItem="0" numFmtId="164"/>
    <dataField name=" New-Bach-TeachEd-Subtot" fld="21" baseField="0" baseItem="0" numFmtId="164"/>
    <dataField name=" %Change-Bach-TeachEd-Subtot" fld="191" baseField="0" baseItem="0" numFmtId="3"/>
  </dataFields>
  <formats count="84">
    <format dxfId="16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60">
      <pivotArea dataOnly="0" labelOnly="1" outline="0" fieldPosition="0">
        <references count="1">
          <reference field="0" count="1">
            <x v="0"/>
          </reference>
        </references>
      </pivotArea>
    </format>
    <format dxfId="15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5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57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5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1">
      <pivotArea type="origin" dataOnly="0" labelOnly="1" outline="0" fieldPosition="0"/>
    </format>
    <format dxfId="150">
      <pivotArea field="0" type="button" dataOnly="0" labelOnly="1" outline="0" axis="axisRow" fieldPosition="0"/>
    </format>
    <format dxfId="149">
      <pivotArea dataOnly="0" labelOnly="1" outline="0" fieldPosition="0">
        <references count="1">
          <reference field="0" count="0"/>
        </references>
      </pivotArea>
    </format>
    <format dxfId="14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43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4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141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140">
      <pivotArea outline="0" collapsedLevelsAreSubtotals="1" fieldPosition="0">
        <references count="2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39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3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3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3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3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3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3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3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2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2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2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2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2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2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23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122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"/>
          </reference>
        </references>
      </pivotArea>
    </format>
    <format dxfId="12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2"/>
          </reference>
        </references>
      </pivotArea>
    </format>
    <format dxfId="12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3"/>
          </reference>
        </references>
      </pivotArea>
    </format>
    <format dxfId="11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4"/>
          </reference>
        </references>
      </pivotArea>
    </format>
    <format dxfId="11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5"/>
          </reference>
        </references>
      </pivotArea>
    </format>
    <format dxfId="117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6"/>
          </reference>
        </references>
      </pivotArea>
    </format>
    <format dxfId="116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7"/>
          </reference>
        </references>
      </pivotArea>
    </format>
    <format dxfId="115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8"/>
          </reference>
        </references>
      </pivotArea>
    </format>
    <format dxfId="114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9"/>
          </reference>
        </references>
      </pivotArea>
    </format>
    <format dxfId="113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0"/>
          </reference>
        </references>
      </pivotArea>
    </format>
    <format dxfId="112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</references>
      </pivotArea>
    </format>
    <format dxfId="11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2"/>
          </reference>
        </references>
      </pivotArea>
    </format>
    <format dxfId="11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3"/>
          </reference>
        </references>
      </pivotArea>
    </format>
    <format dxfId="10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4"/>
          </reference>
        </references>
      </pivotArea>
    </format>
    <format dxfId="10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5"/>
          </reference>
        </references>
      </pivotArea>
    </format>
    <format dxfId="107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0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05">
      <pivotArea type="all" dataOnly="0" outline="0" fieldPosition="0"/>
    </format>
    <format dxfId="104">
      <pivotArea type="all" dataOnly="0" outline="0" fieldPosition="0"/>
    </format>
    <format dxfId="10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0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01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0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99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98">
      <pivotArea dataOnly="0" labelOnly="1" outline="0" fieldPosition="0">
        <references count="1">
          <reference field="184" count="1" defaultSubtotal="1">
            <x v="3"/>
          </reference>
        </references>
      </pivotArea>
    </format>
    <format dxfId="97">
      <pivotArea dataOnly="0" labelOnly="1" grandCol="1" outline="0" fieldPosition="0"/>
    </format>
    <format dxfId="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3" count="1" selected="0">
            <x v="7"/>
          </reference>
          <reference field="184" count="1" selected="0">
            <x v="1"/>
          </reference>
        </references>
      </pivotArea>
    </format>
    <format dxfId="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3" count="1" selected="0">
            <x v="6"/>
          </reference>
          <reference field="184" count="1" selected="0">
            <x v="1"/>
          </reference>
        </references>
      </pivotArea>
    </format>
    <format dxfId="9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3" count="1" selected="0">
            <x v="6"/>
          </reference>
          <reference field="184" count="1" selected="0">
            <x v="1"/>
          </reference>
        </references>
      </pivotArea>
    </format>
    <format dxfId="9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3" count="1" selected="0">
            <x v="2"/>
          </reference>
          <reference field="184" count="1" selected="0">
            <x v="0"/>
          </reference>
        </references>
      </pivotArea>
    </format>
    <format dxfId="9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3" count="1" selected="0">
            <x v="5"/>
          </reference>
          <reference field="184" count="1" selected="0">
            <x v="0"/>
          </reference>
        </references>
      </pivotArea>
    </format>
    <format dxfId="9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3" count="1" selected="0">
            <x v="6"/>
          </reference>
          <reference field="184" count="1" selected="0">
            <x v="1"/>
          </reference>
        </references>
      </pivotArea>
    </format>
    <format dxfId="9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3" count="1" selected="0">
            <x v="8"/>
          </reference>
          <reference field="184" count="1" selected="0">
            <x v="1"/>
          </reference>
        </references>
      </pivotArea>
    </format>
    <format dxfId="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8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3" count="1" selected="0">
            <x v="6"/>
          </reference>
          <reference field="184" count="1" selected="0">
            <x v="1"/>
          </reference>
        </references>
      </pivotArea>
    </format>
    <format dxfId="8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8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3" count="1" selected="0">
            <x v="1"/>
          </reference>
          <reference field="184" count="1" selected="0">
            <x v="0"/>
          </reference>
        </references>
      </pivotArea>
    </format>
    <format dxfId="8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8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3" count="1" selected="0">
            <x v="3"/>
          </reference>
          <reference field="184" count="1" selected="0">
            <x v="0"/>
          </reference>
        </references>
      </pivotArea>
    </format>
    <format dxfId="8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3" count="1" selected="0">
            <x v="5"/>
          </reference>
          <reference field="184" count="1" selected="0">
            <x v="0"/>
          </reference>
        </references>
      </pivotArea>
    </format>
    <format dxfId="8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3" count="1" selected="0">
            <x v="0"/>
          </reference>
          <reference field="184" count="1" selected="0">
            <x v="0"/>
          </reference>
        </references>
      </pivotArea>
    </format>
    <format dxfId="7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3" count="1" selected="0">
            <x v="4"/>
          </reference>
          <reference field="184" count="1" selected="0">
            <x v="0"/>
          </reference>
        </references>
      </pivotArea>
    </format>
    <format dxfId="7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2"/>
          </reference>
          <reference field="3" count="6" selected="0">
            <x v="0"/>
            <x v="1"/>
            <x v="2"/>
            <x v="3"/>
            <x v="4"/>
            <x v="5"/>
          </reference>
          <reference field="18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U56" firstHeaderRow="1" firstDataRow="3" firstDataCol="2"/>
  <pivotFields count="193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dataField="1" compact="0" numFmtId="3" outline="0" showAll="0"/>
    <pivotField dataField="1" compact="0" numFmtId="167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5">
        <item n="Four-Year" x="1"/>
        <item n="Two-Year" x="2"/>
        <item n="Technical" x="3"/>
        <item n="Specialized" x="0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4"/>
    <field x="3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3">
    <dataField name=" Old-Grand Total" fld="168" baseField="0" baseItem="0" numFmtId="164"/>
    <dataField name=" New-Grand Total" fld="169" baseField="0" baseItem="0" numFmtId="164"/>
    <dataField name=" %Change-Grand Total" fld="192" baseField="0" baseItem="0" numFmtId="164"/>
  </dataFields>
  <formats count="78">
    <format dxfId="77">
      <pivotArea dataOnly="0" labelOnly="1" outline="0" fieldPosition="0">
        <references count="1">
          <reference field="0" count="1">
            <x v="0"/>
          </reference>
        </references>
      </pivotArea>
    </format>
    <format dxfId="76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1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7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6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4"/>
          </reference>
        </references>
      </pivotArea>
    </format>
    <format dxfId="6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5"/>
          </reference>
        </references>
      </pivotArea>
    </format>
    <format dxfId="6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6"/>
          </reference>
        </references>
      </pivotArea>
    </format>
    <format dxfId="6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7"/>
          </reference>
        </references>
      </pivotArea>
    </format>
    <format dxfId="6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8"/>
          </reference>
        </references>
      </pivotArea>
    </format>
    <format dxfId="6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6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0"/>
          </reference>
        </references>
      </pivotArea>
    </format>
    <format dxfId="6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1"/>
          </reference>
        </references>
      </pivotArea>
    </format>
    <format dxfId="5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2"/>
          </reference>
        </references>
      </pivotArea>
    </format>
    <format dxfId="5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3"/>
          </reference>
        </references>
      </pivotArea>
    </format>
    <format dxfId="5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4"/>
          </reference>
        </references>
      </pivotArea>
    </format>
    <format dxfId="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5"/>
          </reference>
        </references>
      </pivotArea>
    </format>
    <format dxfId="55">
      <pivotArea type="all" dataOnly="0" outline="0" fieldPosition="0"/>
    </format>
    <format dxfId="54">
      <pivotArea type="all" dataOnly="0" outline="0" fieldPosition="0"/>
    </format>
    <format dxfId="53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2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4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2"/>
          </reference>
        </references>
      </pivotArea>
    </format>
    <format dxfId="4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3"/>
          </reference>
        </references>
      </pivotArea>
    </format>
    <format dxfId="4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4"/>
          </reference>
        </references>
      </pivotArea>
    </format>
    <format dxfId="4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5"/>
          </reference>
        </references>
      </pivotArea>
    </format>
    <format dxfId="4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6"/>
          </reference>
        </references>
      </pivotArea>
    </format>
    <format dxfId="3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7"/>
          </reference>
        </references>
      </pivotArea>
    </format>
    <format dxfId="38">
      <pivotArea dataOnly="0" labelOnly="1" outline="0" fieldPosition="0">
        <references count="2">
          <reference field="4294967294" count="1">
            <x v="2"/>
          </reference>
          <reference field="0" count="1" selected="0">
            <x v="8"/>
          </reference>
        </references>
      </pivotArea>
    </format>
    <format dxfId="3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3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0"/>
          </reference>
        </references>
      </pivotArea>
    </format>
    <format dxfId="3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1"/>
          </reference>
        </references>
      </pivotArea>
    </format>
    <format dxfId="3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2"/>
          </reference>
        </references>
      </pivotArea>
    </format>
    <format dxfId="3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3"/>
          </reference>
        </references>
      </pivotArea>
    </format>
    <format dxfId="3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4"/>
          </reference>
        </references>
      </pivotArea>
    </format>
    <format dxfId="3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5"/>
          </reference>
        </references>
      </pivotArea>
    </format>
    <format dxfId="30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3"/>
          </reference>
        </references>
      </pivotArea>
    </format>
    <format dxfId="2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4"/>
          </reference>
        </references>
      </pivotArea>
    </format>
    <format dxfId="2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5"/>
          </reference>
        </references>
      </pivotArea>
    </format>
    <format dxfId="25">
      <pivotArea dataOnly="0" labelOnly="1" outline="0" fieldPosition="0">
        <references count="2">
          <reference field="4294967294" count="1">
            <x v="0"/>
          </reference>
          <reference field="0" count="1" selected="0">
            <x v="6"/>
          </reference>
        </references>
      </pivotArea>
    </format>
    <format dxfId="24">
      <pivotArea dataOnly="0" labelOnly="1" outline="0" fieldPosition="0">
        <references count="2">
          <reference field="4294967294" count="1">
            <x v="0"/>
          </reference>
          <reference field="0" count="1" selected="0">
            <x v="7"/>
          </reference>
        </references>
      </pivotArea>
    </format>
    <format dxfId="23">
      <pivotArea dataOnly="0" labelOnly="1" outline="0" fieldPosition="0">
        <references count="2">
          <reference field="4294967294" count="1">
            <x v="0"/>
          </reference>
          <reference field="0" count="1" selected="0">
            <x v="8"/>
          </reference>
        </references>
      </pivotArea>
    </format>
    <format dxfId="22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21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0"/>
          </reference>
        </references>
      </pivotArea>
    </format>
    <format dxfId="20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1"/>
          </reference>
        </references>
      </pivotArea>
    </format>
    <format dxfId="1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2"/>
          </reference>
        </references>
      </pivotArea>
    </format>
    <format dxfId="1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3"/>
          </reference>
        </references>
      </pivotArea>
    </format>
    <format dxfId="1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4"/>
          </reference>
        </references>
      </pivotArea>
    </format>
    <format dxfId="1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5"/>
          </reference>
        </references>
      </pivotArea>
    </format>
    <format dxfId="1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">
      <pivotArea type="origin" dataOnly="0" labelOnly="1" outline="0" fieldPosition="0"/>
    </format>
    <format dxfId="11">
      <pivotArea field="0" type="button" dataOnly="0" labelOnly="1" outline="0" axis="axisRow" fieldPosition="0"/>
    </format>
    <format dxfId="10">
      <pivotArea dataOnly="0" labelOnly="1" outline="0" fieldPosition="0">
        <references count="1">
          <reference field="0" count="0"/>
        </references>
      </pivotArea>
    </format>
    <format dxfId="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5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4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3">
      <pivotArea dataOnly="0" labelOnly="1" outline="0" fieldPosition="0">
        <references count="1">
          <reference field="184" count="1" defaultSubtotal="1">
            <x v="3"/>
          </reference>
        </references>
      </pivotArea>
    </format>
    <format dxfId="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6"/>
  </sheetPr>
  <dimension ref="A1:AP372"/>
  <sheetViews>
    <sheetView showGridLines="0" showZeros="0" view="pageBreakPreview" topLeftCell="A334" zoomScaleNormal="100" zoomScaleSheetLayoutView="100" workbookViewId="0">
      <selection activeCell="E376" sqref="E376"/>
    </sheetView>
  </sheetViews>
  <sheetFormatPr defaultColWidth="8.875" defaultRowHeight="12.75"/>
  <cols>
    <col min="1" max="1" width="11.375" style="3" customWidth="1"/>
    <col min="2" max="2" width="8.375" style="3" customWidth="1"/>
    <col min="3" max="3" width="6.75" style="3" customWidth="1"/>
    <col min="4" max="4" width="7.25" style="3" customWidth="1"/>
    <col min="5" max="5" width="6.25" style="3" customWidth="1"/>
    <col min="6" max="6" width="7.125" style="3" customWidth="1"/>
    <col min="7" max="7" width="7.375" style="3" customWidth="1"/>
    <col min="8" max="9" width="6.25" style="3" customWidth="1"/>
    <col min="10" max="10" width="6.125" style="3" customWidth="1"/>
    <col min="11" max="11" width="6.375" style="3" customWidth="1"/>
    <col min="12" max="12" width="5.75" style="3" customWidth="1"/>
    <col min="13" max="13" width="8.25" style="3" customWidth="1"/>
    <col min="14" max="14" width="8.25" style="86" customWidth="1"/>
    <col min="15" max="15" width="10.375" style="86" customWidth="1"/>
    <col min="16" max="16" width="7.625" style="86" customWidth="1"/>
    <col min="17" max="17" width="9.125" style="85" customWidth="1"/>
    <col min="18" max="18" width="11.625" style="86" customWidth="1"/>
    <col min="19" max="19" width="6.625" style="86" customWidth="1"/>
    <col min="20" max="20" width="7.625" style="86" customWidth="1"/>
    <col min="21" max="21" width="9" style="86" customWidth="1"/>
    <col min="22" max="22" width="9.75" style="86" customWidth="1"/>
    <col min="23" max="23" width="11.5" style="86" customWidth="1"/>
    <col min="24" max="24" width="8.875" style="86" customWidth="1"/>
    <col min="25" max="25" width="7.875" style="86" bestFit="1" customWidth="1"/>
    <col min="26" max="26" width="7.625" style="86" bestFit="1" customWidth="1"/>
    <col min="27" max="42" width="4.25" style="3" customWidth="1"/>
    <col min="43" max="16384" width="8.875" style="3"/>
  </cols>
  <sheetData>
    <row r="1" spans="1:42" ht="18">
      <c r="A1" s="22" t="s">
        <v>284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93"/>
      <c r="O1" s="93"/>
      <c r="P1" s="93"/>
      <c r="Q1" s="701" t="s">
        <v>321</v>
      </c>
    </row>
    <row r="2" spans="1:42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92"/>
      <c r="O2" s="92"/>
      <c r="P2" s="92"/>
      <c r="Q2" s="710"/>
    </row>
    <row r="3" spans="1:42" ht="15.75">
      <c r="A3" s="1" t="s">
        <v>285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93"/>
      <c r="O3" s="93"/>
      <c r="P3" s="93"/>
      <c r="Q3" s="701" t="s">
        <v>321</v>
      </c>
      <c r="R3" s="86" t="s">
        <v>321</v>
      </c>
    </row>
    <row r="4" spans="1:42" ht="15.75">
      <c r="A4" s="1" t="s">
        <v>1255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93"/>
      <c r="O4" s="93"/>
      <c r="P4" s="93"/>
      <c r="Q4" s="701" t="s">
        <v>321</v>
      </c>
    </row>
    <row r="5" spans="1:42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4"/>
      <c r="O5" s="94"/>
      <c r="P5" s="94"/>
      <c r="Q5" s="86" t="s">
        <v>321</v>
      </c>
      <c r="R5" s="86" t="s">
        <v>321</v>
      </c>
      <c r="S5" s="86" t="s">
        <v>321</v>
      </c>
      <c r="T5" s="86" t="s">
        <v>321</v>
      </c>
      <c r="U5" s="86" t="s">
        <v>321</v>
      </c>
      <c r="V5" s="86" t="s">
        <v>321</v>
      </c>
      <c r="X5" s="696"/>
    </row>
    <row r="6" spans="1:42" ht="15.75">
      <c r="A6" s="192"/>
      <c r="B6" s="192"/>
      <c r="C6" s="192"/>
      <c r="D6" s="192"/>
      <c r="E6" s="192"/>
      <c r="F6" s="192"/>
      <c r="G6" s="192"/>
      <c r="H6" s="196" t="s">
        <v>1254</v>
      </c>
      <c r="I6" s="26"/>
      <c r="J6" s="26"/>
      <c r="K6" s="26"/>
      <c r="L6" s="26"/>
      <c r="M6" s="26"/>
      <c r="N6" s="193"/>
      <c r="O6" s="200"/>
      <c r="P6" s="195" t="s">
        <v>321</v>
      </c>
      <c r="Q6" s="86" t="s">
        <v>321</v>
      </c>
      <c r="R6" s="86" t="s">
        <v>321</v>
      </c>
      <c r="S6" s="86" t="s">
        <v>321</v>
      </c>
      <c r="T6" s="86" t="s">
        <v>321</v>
      </c>
      <c r="U6" s="86" t="s">
        <v>321</v>
      </c>
      <c r="V6" s="86" t="s">
        <v>321</v>
      </c>
      <c r="Z6" s="697"/>
    </row>
    <row r="7" spans="1:42" ht="36" customHeight="1">
      <c r="A7" s="14"/>
      <c r="B7" s="15" t="s">
        <v>696</v>
      </c>
      <c r="C7" s="15" t="s">
        <v>286</v>
      </c>
      <c r="D7" s="15" t="s">
        <v>278</v>
      </c>
      <c r="E7" s="15" t="s">
        <v>279</v>
      </c>
      <c r="F7" s="15" t="s">
        <v>288</v>
      </c>
      <c r="G7" s="15" t="s">
        <v>289</v>
      </c>
      <c r="H7" s="16" t="s">
        <v>290</v>
      </c>
      <c r="I7" s="15" t="s">
        <v>291</v>
      </c>
      <c r="J7" s="15" t="s">
        <v>292</v>
      </c>
      <c r="K7" s="15" t="s">
        <v>283</v>
      </c>
      <c r="L7" s="15" t="s">
        <v>293</v>
      </c>
      <c r="M7" s="15" t="s">
        <v>294</v>
      </c>
      <c r="N7" s="191" t="s">
        <v>952</v>
      </c>
      <c r="O7" s="197" t="s">
        <v>1252</v>
      </c>
      <c r="P7" s="191" t="s">
        <v>295</v>
      </c>
      <c r="Q7" s="86" t="s">
        <v>321</v>
      </c>
      <c r="R7" s="86" t="s">
        <v>321</v>
      </c>
      <c r="S7" s="86" t="s">
        <v>321</v>
      </c>
      <c r="T7" s="86" t="s">
        <v>321</v>
      </c>
      <c r="U7" s="86" t="s">
        <v>321</v>
      </c>
      <c r="V7" s="86" t="s">
        <v>321</v>
      </c>
      <c r="Z7" s="698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5"/>
      <c r="AL7" s="244"/>
      <c r="AM7" s="244"/>
      <c r="AN7" s="244"/>
      <c r="AO7" s="245"/>
      <c r="AP7" s="244"/>
    </row>
    <row r="8" spans="1:42" ht="15" customHeight="1">
      <c r="A8" s="5" t="s">
        <v>296</v>
      </c>
      <c r="B8" s="6">
        <f>+GETPIVOTDATA(" New-Less Than 2-Year",'Pivot Table for 1-11'!$A$3)+GETPIVOTDATA(" New-2 But Less Than 4-Year",'Pivot Table for 1-11'!$A$3)</f>
        <v>165493</v>
      </c>
      <c r="C8" s="6">
        <f>+GETPIVOTDATA(" New-Associate's",'Pivot Table for 1-11'!$A$3)</f>
        <v>210232</v>
      </c>
      <c r="D8" s="6">
        <f>+GETPIVOTDATA(" New-Bachelor's",'Pivot Table for 1-11'!$A$3)</f>
        <v>377732</v>
      </c>
      <c r="E8" s="6">
        <f>+GETPIVOTDATA(" New-Post-Bachelor's",'Pivot Table for 1-11'!$A$3)</f>
        <v>1327</v>
      </c>
      <c r="F8" s="6">
        <f>+GETPIVOTDATA(" New-Total Master's#",'Pivot Table for 1-11'!$A$3)</f>
        <v>127081</v>
      </c>
      <c r="G8" s="6">
        <f>+GETPIVOTDATA(" New-Total Doctorates#",'Pivot Table for 1-11'!$A$3)</f>
        <v>14583</v>
      </c>
      <c r="H8" s="17">
        <f>+GETPIVOTDATA(" New-Law",'Pivot Table for 1-11'!$A$3)</f>
        <v>6363</v>
      </c>
      <c r="I8" s="6">
        <f>+GETPIVOTDATA(" New-Medicine",'Pivot Table for 1-11'!$A$3)</f>
        <v>3863</v>
      </c>
      <c r="J8" s="6">
        <f>+GETPIVOTDATA(" New-Dentistry",'Pivot Table for 1-11'!$A$3)</f>
        <v>1203</v>
      </c>
      <c r="K8" s="6">
        <f>+GETPIVOTDATA(" New-Pharmacy",'Pivot Table for 1-11'!$A$3)</f>
        <v>2731</v>
      </c>
      <c r="L8" s="6">
        <f>+GETPIVOTDATA(" New-Optometry",'Pivot Table for 1-11'!$A$3)</f>
        <v>152</v>
      </c>
      <c r="M8" s="6">
        <f>+GETPIVOTDATA(" New-Osteopathic Medicine",'Pivot Table for 1-11'!$A$3)</f>
        <v>300</v>
      </c>
      <c r="N8" s="181">
        <f>+GETPIVOTDATA(" New-Veterinary Medicine",'Pivot Table for 1-11'!$A$3)</f>
        <v>840</v>
      </c>
      <c r="O8" s="198">
        <f>+GETPIVOTDATA(" New-Oth PP",'Pivot Table for 1-11'!$A$3)</f>
        <v>324</v>
      </c>
      <c r="P8" s="182">
        <f>SUM(B8:O8)</f>
        <v>912224</v>
      </c>
      <c r="Q8" s="86" t="s">
        <v>321</v>
      </c>
      <c r="R8" s="86" t="s">
        <v>321</v>
      </c>
      <c r="S8" s="86" t="s">
        <v>321</v>
      </c>
      <c r="T8" s="86" t="s">
        <v>321</v>
      </c>
      <c r="U8" s="86" t="s">
        <v>321</v>
      </c>
      <c r="V8" s="86" t="s">
        <v>321</v>
      </c>
      <c r="AK8" s="246"/>
      <c r="AO8" s="246"/>
    </row>
    <row r="9" spans="1:42" ht="15" customHeight="1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181"/>
      <c r="O9" s="198"/>
      <c r="P9" s="182"/>
      <c r="Q9" s="86" t="s">
        <v>321</v>
      </c>
      <c r="R9" s="86" t="s">
        <v>321</v>
      </c>
      <c r="S9" s="86" t="s">
        <v>321</v>
      </c>
      <c r="T9" s="86" t="s">
        <v>321</v>
      </c>
      <c r="U9" s="86" t="s">
        <v>321</v>
      </c>
      <c r="V9" s="86" t="s">
        <v>321</v>
      </c>
      <c r="AK9" s="246"/>
      <c r="AO9" s="246"/>
    </row>
    <row r="10" spans="1:42" ht="15" customHeight="1">
      <c r="A10" s="5" t="s">
        <v>297</v>
      </c>
      <c r="B10" s="6">
        <f>+GETPIVOTDATA(" New-Less Than 2-Year",'Pivot Table for 1-11'!$A$3,"State","AL")+GETPIVOTDATA(" New-2 But Less Than 4-Year",'Pivot Table for 1-11'!$A$3,"State","AL")</f>
        <v>4413</v>
      </c>
      <c r="C10" s="6">
        <f>+GETPIVOTDATA(" New-Associate's",'Pivot Table for 1-11'!$A$3,"State","AL")</f>
        <v>7693</v>
      </c>
      <c r="D10" s="6">
        <f>+GETPIVOTDATA(" New-Bachelor's",'Pivot Table for 1-11'!$A$3,"State","AL")</f>
        <v>18996</v>
      </c>
      <c r="E10" s="6">
        <f>+GETPIVOTDATA(" New-Post-Bachelor's",'Pivot Table for 1-11'!$A$3,"State","AL")</f>
        <v>115</v>
      </c>
      <c r="F10" s="6">
        <f>+GETPIVOTDATA(" New-Total Master's#",'Pivot Table for 1-11'!$A$3,"State","AL")</f>
        <v>8163</v>
      </c>
      <c r="G10" s="6">
        <f>+GETPIVOTDATA(" New-Total Doctorates#",'Pivot Table for 1-11'!$A$3,"State","AL")</f>
        <v>864</v>
      </c>
      <c r="H10" s="17">
        <f>GETPIVOTDATA(" New-Law",'Pivot Table for 1-11'!$A$3,"State","AL")</f>
        <v>172</v>
      </c>
      <c r="I10" s="6">
        <f>GETPIVOTDATA(" New-Medicine",'Pivot Table for 1-11'!$A$3,"State","AL")</f>
        <v>224</v>
      </c>
      <c r="J10" s="6">
        <f>GETPIVOTDATA(" New-Dentistry",'Pivot Table for 1-11'!$A$3,"State","AL")</f>
        <v>56</v>
      </c>
      <c r="K10" s="6">
        <f>GETPIVOTDATA(" New-Pharmacy",'Pivot Table for 1-11'!$A$3,"State","AL")</f>
        <v>119</v>
      </c>
      <c r="L10" s="6">
        <f>GETPIVOTDATA(" New-Optometry",'Pivot Table for 1-11'!$A$3,"State","AL")</f>
        <v>39</v>
      </c>
      <c r="M10" s="6">
        <f>GETPIVOTDATA(" New-Osteopathic Medicine",'Pivot Table for 1-11'!$A$3,"State","AL")</f>
        <v>0</v>
      </c>
      <c r="N10" s="181">
        <f>GETPIVOTDATA(" New-Veterinary Medicine",'Pivot Table for 1-11'!$A$3,"State","AL")</f>
        <v>96</v>
      </c>
      <c r="O10" s="198">
        <f>+GETPIVOTDATA(" New-Oth PP",'Pivot Table for 1-11'!$A$3,"State","AL")</f>
        <v>50</v>
      </c>
      <c r="P10" s="182">
        <f t="shared" ref="P10:P28" si="0">SUM(B10:O10)</f>
        <v>41000</v>
      </c>
      <c r="Q10" s="86" t="s">
        <v>321</v>
      </c>
      <c r="R10" s="86" t="s">
        <v>321</v>
      </c>
      <c r="S10" s="86" t="s">
        <v>321</v>
      </c>
      <c r="T10" s="86" t="s">
        <v>321</v>
      </c>
      <c r="U10" s="86" t="s">
        <v>321</v>
      </c>
      <c r="V10" s="86" t="s">
        <v>321</v>
      </c>
      <c r="Z10" s="699"/>
      <c r="AK10" s="246"/>
      <c r="AO10" s="246"/>
    </row>
    <row r="11" spans="1:42" ht="15" customHeight="1">
      <c r="A11" s="5" t="s">
        <v>298</v>
      </c>
      <c r="B11" s="6">
        <f>+GETPIVOTDATA(" New-Less Than 2-Year",'Pivot Table for 1-11'!$A$3,"State","AR")+GETPIVOTDATA(" New-2 But Less Than 4-Year",'Pivot Table for 1-11'!$A$3,"State","AR")</f>
        <v>7746</v>
      </c>
      <c r="C11" s="6">
        <f>+GETPIVOTDATA(" New-Associate's",'Pivot Table for 1-11'!$A$3,"State","AR")</f>
        <v>6264</v>
      </c>
      <c r="D11" s="6">
        <f>+GETPIVOTDATA(" New-Bachelor's",'Pivot Table for 1-11'!$A$3,"State","AR")</f>
        <v>9682</v>
      </c>
      <c r="E11" s="6">
        <f>+GETPIVOTDATA(" New-Post-Bachelor's",'Pivot Table for 1-11'!$A$3,"State","AR")</f>
        <v>124</v>
      </c>
      <c r="F11" s="6">
        <f>+GETPIVOTDATA(" New-Total Master's#",'Pivot Table for 1-11'!$A$3,"State","AR")</f>
        <v>3223</v>
      </c>
      <c r="G11" s="6">
        <f>+GETPIVOTDATA(" New-Total Doctorates#",'Pivot Table for 1-11'!$A$3,"State","AR")</f>
        <v>288</v>
      </c>
      <c r="H11" s="17">
        <f>GETPIVOTDATA(" New-Law",'Pivot Table for 1-11'!$A$3,"State","AR")</f>
        <v>243</v>
      </c>
      <c r="I11" s="6">
        <f>GETPIVOTDATA(" New-Medicine",'Pivot Table for 1-11'!$A$3,"State","AR")</f>
        <v>142</v>
      </c>
      <c r="J11" s="6">
        <f>GETPIVOTDATA(" New-Dentistry",'Pivot Table for 1-11'!$A$3,"State","AR")</f>
        <v>0</v>
      </c>
      <c r="K11" s="6">
        <f>GETPIVOTDATA(" New-Pharmacy",'Pivot Table for 1-11'!$A$3,"State","AR")</f>
        <v>121</v>
      </c>
      <c r="L11" s="6">
        <f>GETPIVOTDATA(" New-Optometry",'Pivot Table for 1-11'!$A$3,"State","AR")</f>
        <v>0</v>
      </c>
      <c r="M11" s="6">
        <f>GETPIVOTDATA(" New-Osteopathic Medicine",'Pivot Table for 1-11'!$A$3,"State","AR")</f>
        <v>0</v>
      </c>
      <c r="N11" s="181">
        <f>GETPIVOTDATA(" New-Veterinary Medicine",'Pivot Table for 1-11'!$A$3,"State","AR")</f>
        <v>0</v>
      </c>
      <c r="O11" s="198">
        <f>+GETPIVOTDATA(" New-Oth PP",'Pivot Table for 1-11'!$A$3,"State","AR")</f>
        <v>0</v>
      </c>
      <c r="P11" s="182">
        <f t="shared" si="0"/>
        <v>27833</v>
      </c>
      <c r="Q11" s="86" t="s">
        <v>321</v>
      </c>
      <c r="R11" s="86" t="s">
        <v>321</v>
      </c>
      <c r="S11" s="86" t="s">
        <v>321</v>
      </c>
      <c r="T11" s="86" t="s">
        <v>321</v>
      </c>
      <c r="U11" s="86" t="s">
        <v>321</v>
      </c>
      <c r="V11" s="86" t="s">
        <v>321</v>
      </c>
      <c r="AK11" s="246"/>
      <c r="AO11" s="246"/>
    </row>
    <row r="12" spans="1:42" ht="15" customHeight="1">
      <c r="A12" s="5" t="s">
        <v>299</v>
      </c>
      <c r="B12" s="6">
        <f>+GETPIVOTDATA(" New-Less Than 2-Year",'Pivot Table for 1-11'!$A$3,"State","DE")+GETPIVOTDATA(" New-2 But Less Than 4-Year",'Pivot Table for 1-11'!$A$3,"State","DE")</f>
        <v>748</v>
      </c>
      <c r="C12" s="6">
        <f>+GETPIVOTDATA(" New-Associate's",'Pivot Table for 1-11'!$A$3,"State","DE")</f>
        <v>1438</v>
      </c>
      <c r="D12" s="6">
        <f>+GETPIVOTDATA(" New-Bachelor's",'Pivot Table for 1-11'!$A$3,"State","DE")</f>
        <v>4075</v>
      </c>
      <c r="E12" s="6">
        <f>+GETPIVOTDATA(" New-Post-Bachelor's",'Pivot Table for 1-11'!$A$3,"State","DE")</f>
        <v>0</v>
      </c>
      <c r="F12" s="6">
        <f>+GETPIVOTDATA(" New-Total Master's#",'Pivot Table for 1-11'!$A$3,"State","DE")</f>
        <v>798</v>
      </c>
      <c r="G12" s="6">
        <f>+GETPIVOTDATA(" New-Total Doctorates#",'Pivot Table for 1-11'!$A$3,"State","DE")</f>
        <v>238</v>
      </c>
      <c r="H12" s="17">
        <f>GETPIVOTDATA(" New-Law",'Pivot Table for 1-11'!$A$3,"State","DE")</f>
        <v>0</v>
      </c>
      <c r="I12" s="6">
        <f>GETPIVOTDATA(" New-Medicine",'Pivot Table for 1-11'!$A$3,"State","DE")</f>
        <v>0</v>
      </c>
      <c r="J12" s="6">
        <f>GETPIVOTDATA(" New-Dentistry",'Pivot Table for 1-11'!$A$3,"State","DE")</f>
        <v>0</v>
      </c>
      <c r="K12" s="6">
        <f>GETPIVOTDATA(" New-Pharmacy",'Pivot Table for 1-11'!$A$3,"State","DE")</f>
        <v>0</v>
      </c>
      <c r="L12" s="6">
        <f>GETPIVOTDATA(" New-Optometry",'Pivot Table for 1-11'!$A$3,"State","DE")</f>
        <v>0</v>
      </c>
      <c r="M12" s="6">
        <f>GETPIVOTDATA(" New-Osteopathic Medicine",'Pivot Table for 1-11'!$A$3,"State","DE")</f>
        <v>0</v>
      </c>
      <c r="N12" s="181">
        <f>GETPIVOTDATA(" New-Veterinary Medicine",'Pivot Table for 1-11'!$A$3,"State","DE")</f>
        <v>0</v>
      </c>
      <c r="O12" s="198">
        <f>+GETPIVOTDATA(" New-Oth PP",'Pivot Table for 1-11'!$A$3,"State","DE")</f>
        <v>0</v>
      </c>
      <c r="P12" s="182">
        <f t="shared" si="0"/>
        <v>7297</v>
      </c>
      <c r="Q12" s="86" t="s">
        <v>321</v>
      </c>
      <c r="R12" s="86" t="s">
        <v>321</v>
      </c>
      <c r="S12" s="86" t="s">
        <v>321</v>
      </c>
      <c r="T12" s="86" t="s">
        <v>321</v>
      </c>
      <c r="U12" s="86" t="s">
        <v>321</v>
      </c>
      <c r="V12" s="86" t="s">
        <v>321</v>
      </c>
      <c r="AK12" s="246"/>
      <c r="AO12" s="246"/>
    </row>
    <row r="13" spans="1:42" ht="15" customHeight="1">
      <c r="A13" s="5" t="s">
        <v>300</v>
      </c>
      <c r="B13" s="6">
        <f>+GETPIVOTDATA(" New-Less Than 2-Year",'Pivot Table for 1-11'!$A$3,"State","FL")+GETPIVOTDATA(" New-2 But Less Than 4-Year",'Pivot Table for 1-11'!$A$3,"State","FL")</f>
        <v>21111</v>
      </c>
      <c r="C13" s="6">
        <f>+GETPIVOTDATA(" New-Associate's",'Pivot Table for 1-11'!$A$3,"State","FL")</f>
        <v>54154</v>
      </c>
      <c r="D13" s="6">
        <f>+GETPIVOTDATA(" New-Bachelor's",'Pivot Table for 1-11'!$A$3,"State","FL")</f>
        <v>52487</v>
      </c>
      <c r="E13" s="6">
        <f>+GETPIVOTDATA(" New-Post-Bachelor's",'Pivot Table for 1-11'!$A$3,"State","FL")</f>
        <v>0</v>
      </c>
      <c r="F13" s="6">
        <f>+GETPIVOTDATA(" New-Total Master's#",'Pivot Table for 1-11'!$A$3,"State","FL")</f>
        <v>15162</v>
      </c>
      <c r="G13" s="6">
        <f>+GETPIVOTDATA(" New-Total Doctorates#",'Pivot Table for 1-11'!$A$3,"State","FL")</f>
        <v>1968</v>
      </c>
      <c r="H13" s="17">
        <f>GETPIVOTDATA(" New-Law",'Pivot Table for 1-11'!$A$3,"State","FL")</f>
        <v>970</v>
      </c>
      <c r="I13" s="6">
        <f>GETPIVOTDATA(" New-Medicine",'Pivot Table for 1-11'!$A$3,"State","FL")</f>
        <v>312</v>
      </c>
      <c r="J13" s="6">
        <f>GETPIVOTDATA(" New-Dentistry",'Pivot Table for 1-11'!$A$3,"State","FL")</f>
        <v>81</v>
      </c>
      <c r="K13" s="6">
        <f>GETPIVOTDATA(" New-Pharmacy",'Pivot Table for 1-11'!$A$3,"State","FL")</f>
        <v>590</v>
      </c>
      <c r="L13" s="6">
        <f>GETPIVOTDATA(" New-Optometry",'Pivot Table for 1-11'!$A$3,"State","FL")</f>
        <v>0</v>
      </c>
      <c r="M13" s="6">
        <f>GETPIVOTDATA(" New-Osteopathic Medicine",'Pivot Table for 1-11'!$A$3,"State","FL")</f>
        <v>0</v>
      </c>
      <c r="N13" s="181">
        <f>GETPIVOTDATA(" New-Veterinary Medicine",'Pivot Table for 1-11'!$A$3,"State","FL")</f>
        <v>84</v>
      </c>
      <c r="O13" s="198">
        <f>+GETPIVOTDATA(" New-Oth PP",'Pivot Table for 1-11'!$A$3,"State","FL")</f>
        <v>0</v>
      </c>
      <c r="P13" s="182">
        <f t="shared" si="0"/>
        <v>146919</v>
      </c>
      <c r="Q13" s="711"/>
      <c r="R13" s="700"/>
      <c r="S13" s="700"/>
      <c r="T13" s="700"/>
      <c r="U13" s="700"/>
      <c r="AK13" s="246"/>
      <c r="AO13" s="246"/>
    </row>
    <row r="14" spans="1:42" ht="15" customHeight="1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181"/>
      <c r="O14" s="198"/>
      <c r="P14" s="182"/>
      <c r="Q14" s="711"/>
      <c r="R14" s="700"/>
      <c r="S14" s="700"/>
      <c r="T14" s="700"/>
      <c r="U14" s="700"/>
      <c r="AK14" s="246"/>
      <c r="AO14" s="246"/>
    </row>
    <row r="15" spans="1:42" ht="15" customHeight="1">
      <c r="A15" s="5" t="s">
        <v>301</v>
      </c>
      <c r="B15" s="6">
        <f>+GETPIVOTDATA(" New-Less Than 2-Year",'Pivot Table for 1-11'!$A$3,"State","GA")+GETPIVOTDATA(" New-2 But Less Than 4-Year",'Pivot Table for 1-11'!$A$3,"State","GA")</f>
        <v>35255</v>
      </c>
      <c r="C15" s="6">
        <f>+GETPIVOTDATA(" New-Associate's",'Pivot Table for 1-11'!$A$3,"State","GA")</f>
        <v>10917</v>
      </c>
      <c r="D15" s="6">
        <f>+GETPIVOTDATA(" New-Bachelor's",'Pivot Table for 1-11'!$A$3,"State","GA")</f>
        <v>29176</v>
      </c>
      <c r="E15" s="6">
        <f>+GETPIVOTDATA(" New-Post-Bachelor's",'Pivot Table for 1-11'!$A$3,"State","GA")</f>
        <v>52</v>
      </c>
      <c r="F15" s="6">
        <f>+GETPIVOTDATA(" New-Total Master's#",'Pivot Table for 1-11'!$A$3,"State","GA")</f>
        <v>11139</v>
      </c>
      <c r="G15" s="6">
        <f>+GETPIVOTDATA(" New-Total Doctorates#",'Pivot Table for 1-11'!$A$3,"State","GA")</f>
        <v>1368</v>
      </c>
      <c r="H15" s="17">
        <f>GETPIVOTDATA(" New-Law",'Pivot Table for 1-11'!$A$3,"State","GA")</f>
        <v>391</v>
      </c>
      <c r="I15" s="6">
        <f>GETPIVOTDATA(" New-Medicine",'Pivot Table for 1-11'!$A$3,"State","GA")</f>
        <v>182</v>
      </c>
      <c r="J15" s="6">
        <f>GETPIVOTDATA(" New-Dentistry",'Pivot Table for 1-11'!$A$3,"State","GA")</f>
        <v>59</v>
      </c>
      <c r="K15" s="6">
        <f>GETPIVOTDATA(" New-Pharmacy",'Pivot Table for 1-11'!$A$3,"State","GA")</f>
        <v>122</v>
      </c>
      <c r="L15" s="6">
        <f>GETPIVOTDATA(" New-Optometry",'Pivot Table for 1-11'!$A$3,"State","GA")</f>
        <v>0</v>
      </c>
      <c r="M15" s="6">
        <f>GETPIVOTDATA(" New-Osteopathic Medicine",'Pivot Table for 1-11'!$A$3,"State","GA")</f>
        <v>0</v>
      </c>
      <c r="N15" s="181">
        <f>GETPIVOTDATA(" New-Veterinary Medicine",'Pivot Table for 1-11'!$A$3,"State","GA")</f>
        <v>95</v>
      </c>
      <c r="O15" s="198">
        <f>+GETPIVOTDATA(" New-Oth PP",'Pivot Table for 1-11'!$A$3,"State","GA")</f>
        <v>0</v>
      </c>
      <c r="P15" s="182">
        <f t="shared" si="0"/>
        <v>88756</v>
      </c>
      <c r="Q15" s="711"/>
      <c r="R15" s="700"/>
      <c r="S15" s="700"/>
      <c r="T15" s="700"/>
      <c r="U15" s="700"/>
      <c r="AK15" s="246"/>
      <c r="AO15" s="246"/>
    </row>
    <row r="16" spans="1:42" ht="15" customHeight="1">
      <c r="A16" s="5" t="s">
        <v>302</v>
      </c>
      <c r="B16" s="6">
        <f>+GETPIVOTDATA(" New-Less Than 2-Year",'Pivot Table for 1-11'!$A$3,"State","KY")+GETPIVOTDATA(" New-2 But Less Than 4-Year",'Pivot Table for 1-11'!$A$3,"State","KY")</f>
        <v>15983</v>
      </c>
      <c r="C16" s="6">
        <f>+GETPIVOTDATA(" New-Associate's",'Pivot Table for 1-11'!$A$3,"State","KY")</f>
        <v>7616</v>
      </c>
      <c r="D16" s="6">
        <f>+GETPIVOTDATA(" New-Bachelor's",'Pivot Table for 1-11'!$A$3,"State","KY")</f>
        <v>15134</v>
      </c>
      <c r="E16" s="6">
        <f>+GETPIVOTDATA(" New-Post-Bachelor's",'Pivot Table for 1-11'!$A$3,"State","KY")</f>
        <v>175</v>
      </c>
      <c r="F16" s="6">
        <f>+GETPIVOTDATA(" New-Total Master's#",'Pivot Table for 1-11'!$A$3,"State","KY")</f>
        <v>5815</v>
      </c>
      <c r="G16" s="6">
        <f>+GETPIVOTDATA(" New-Total Doctorates#",'Pivot Table for 1-11'!$A$3,"State","KY")</f>
        <v>454</v>
      </c>
      <c r="H16" s="17">
        <f>GETPIVOTDATA(" New-Law",'Pivot Table for 1-11'!$A$3,"State","KY")</f>
        <v>389</v>
      </c>
      <c r="I16" s="6">
        <f>GETPIVOTDATA(" New-Medicine",'Pivot Table for 1-11'!$A$3,"State","KY")</f>
        <v>230</v>
      </c>
      <c r="J16" s="6">
        <f>GETPIVOTDATA(" New-Dentistry",'Pivot Table for 1-11'!$A$3,"State","KY")</f>
        <v>136</v>
      </c>
      <c r="K16" s="6">
        <f>GETPIVOTDATA(" New-Pharmacy",'Pivot Table for 1-11'!$A$3,"State","KY")</f>
        <v>121</v>
      </c>
      <c r="L16" s="6">
        <f>GETPIVOTDATA(" New-Optometry",'Pivot Table for 1-11'!$A$3,"State","KY")</f>
        <v>0</v>
      </c>
      <c r="M16" s="6">
        <f>GETPIVOTDATA(" New-Osteopathic Medicine",'Pivot Table for 1-11'!$A$3,"State","KY")</f>
        <v>0</v>
      </c>
      <c r="N16" s="181">
        <f>GETPIVOTDATA(" New-Veterinary Medicine",'Pivot Table for 1-11'!$A$3,"State","KY")</f>
        <v>0</v>
      </c>
      <c r="O16" s="198">
        <f>+GETPIVOTDATA(" New-Oth PP",'Pivot Table for 1-11'!$A$3,"State","KY")</f>
        <v>0</v>
      </c>
      <c r="P16" s="182">
        <f t="shared" si="0"/>
        <v>46053</v>
      </c>
      <c r="Q16" s="711"/>
      <c r="R16" s="700"/>
      <c r="S16" s="700"/>
      <c r="T16" s="700"/>
      <c r="U16" s="700"/>
      <c r="AK16" s="246"/>
      <c r="AO16" s="246"/>
    </row>
    <row r="17" spans="1:41" ht="15" customHeight="1">
      <c r="A17" s="5" t="s">
        <v>303</v>
      </c>
      <c r="B17" s="6">
        <f>+GETPIVOTDATA(" New-Less Than 2-Year",'Pivot Table for 1-11'!$A$3,"State","LA")+GETPIVOTDATA(" New-2 But Less Than 4-Year",'Pivot Table for 1-11'!$A$3,"State","LA")</f>
        <v>5561</v>
      </c>
      <c r="C17" s="6">
        <f>+GETPIVOTDATA(" New-Associate's",'Pivot Table for 1-11'!$A$3,"State","LA")</f>
        <v>4073</v>
      </c>
      <c r="D17" s="6">
        <f>+GETPIVOTDATA(" New-Bachelor's",'Pivot Table for 1-11'!$A$3,"State","LA")</f>
        <v>17980</v>
      </c>
      <c r="E17" s="6">
        <f>+GETPIVOTDATA(" New-Post-Bachelor's",'Pivot Table for 1-11'!$A$3,"State","LA")</f>
        <v>21</v>
      </c>
      <c r="F17" s="6">
        <f>+GETPIVOTDATA(" New-Total Master's#",'Pivot Table for 1-11'!$A$3,"State","LA")</f>
        <v>4385</v>
      </c>
      <c r="G17" s="6">
        <f>+GETPIVOTDATA(" New-Total Doctorates#",'Pivot Table for 1-11'!$A$3,"State","LA")</f>
        <v>508</v>
      </c>
      <c r="H17" s="17">
        <f>GETPIVOTDATA(" New-Law",'Pivot Table for 1-11'!$A$3,"State","LA")</f>
        <v>307</v>
      </c>
      <c r="I17" s="6">
        <f>GETPIVOTDATA(" New-Medicine",'Pivot Table for 1-11'!$A$3,"State","LA")</f>
        <v>280</v>
      </c>
      <c r="J17" s="6">
        <f>GETPIVOTDATA(" New-Dentistry",'Pivot Table for 1-11'!$A$3,"State","LA")</f>
        <v>60</v>
      </c>
      <c r="K17" s="6">
        <f>GETPIVOTDATA(" New-Pharmacy",'Pivot Table for 1-11'!$A$3,"State","LA")</f>
        <v>91</v>
      </c>
      <c r="L17" s="6">
        <f>GETPIVOTDATA(" New-Optometry",'Pivot Table for 1-11'!$A$3,"State","LA")</f>
        <v>0</v>
      </c>
      <c r="M17" s="6">
        <f>GETPIVOTDATA(" New-Osteopathic Medicine",'Pivot Table for 1-11'!$A$3,"State","LA")</f>
        <v>0</v>
      </c>
      <c r="N17" s="181">
        <f>GETPIVOTDATA(" New-Veterinary Medicine",'Pivot Table for 1-11'!$A$3,"State","LA")</f>
        <v>81</v>
      </c>
      <c r="O17" s="198">
        <f>+GETPIVOTDATA(" New-Oth PP",'Pivot Table for 1-11'!$A$3,"State","LA")</f>
        <v>0</v>
      </c>
      <c r="P17" s="182">
        <f t="shared" si="0"/>
        <v>33347</v>
      </c>
      <c r="Q17" s="711"/>
      <c r="R17" s="700"/>
      <c r="S17" s="700"/>
      <c r="T17" s="700"/>
      <c r="U17" s="700"/>
      <c r="AK17" s="246"/>
      <c r="AO17" s="246"/>
    </row>
    <row r="18" spans="1:41" ht="15" customHeight="1">
      <c r="A18" s="5" t="s">
        <v>304</v>
      </c>
      <c r="B18" s="6">
        <f>+GETPIVOTDATA(" New-Less Than 2-Year",'Pivot Table for 1-11'!$A$3,"State","MD")+GETPIVOTDATA(" New-2 But Less Than 4-Year",'Pivot Table for 1-11'!$A$3,"State","MD")</f>
        <v>3198</v>
      </c>
      <c r="C18" s="6">
        <f>+GETPIVOTDATA(" New-Associate's",'Pivot Table for 1-11'!$A$3,"State","MD")</f>
        <v>10619</v>
      </c>
      <c r="D18" s="6">
        <f>+GETPIVOTDATA(" New-Bachelor's",'Pivot Table for 1-11'!$A$3,"State","MD")</f>
        <v>20524</v>
      </c>
      <c r="E18" s="6">
        <f>+GETPIVOTDATA(" New-Post-Bachelor's",'Pivot Table for 1-11'!$A$3,"State","MD")</f>
        <v>0</v>
      </c>
      <c r="F18" s="6">
        <f>+GETPIVOTDATA(" New-Total Master's#",'Pivot Table for 1-11'!$A$3,"State","MD")</f>
        <v>8168</v>
      </c>
      <c r="G18" s="6">
        <f>+GETPIVOTDATA(" New-Total Doctorates#",'Pivot Table for 1-11'!$A$3,"State","MD")</f>
        <v>821</v>
      </c>
      <c r="H18" s="17">
        <f>GETPIVOTDATA(" New-Law",'Pivot Table for 1-11'!$A$3,"State","MD")</f>
        <v>548</v>
      </c>
      <c r="I18" s="6">
        <f>GETPIVOTDATA(" New-Medicine",'Pivot Table for 1-11'!$A$3,"State","MD")</f>
        <v>140</v>
      </c>
      <c r="J18" s="6">
        <f>GETPIVOTDATA(" New-Dentistry",'Pivot Table for 1-11'!$A$3,"State","MD")</f>
        <v>115</v>
      </c>
      <c r="K18" s="6">
        <f>GETPIVOTDATA(" New-Pharmacy",'Pivot Table for 1-11'!$A$3,"State","MD")</f>
        <v>121</v>
      </c>
      <c r="L18" s="6">
        <f>GETPIVOTDATA(" New-Optometry",'Pivot Table for 1-11'!$A$3,"State","MD")</f>
        <v>0</v>
      </c>
      <c r="M18" s="6">
        <f>GETPIVOTDATA(" New-Osteopathic Medicine",'Pivot Table for 1-11'!$A$3,"State","MD")</f>
        <v>0</v>
      </c>
      <c r="N18" s="181">
        <f>GETPIVOTDATA(" New-Veterinary Medicine",'Pivot Table for 1-11'!$A$3,"State","MD")</f>
        <v>0</v>
      </c>
      <c r="O18" s="198">
        <f>+GETPIVOTDATA(" New-Oth PP",'Pivot Table for 1-11'!$A$3,"State","MD")</f>
        <v>172</v>
      </c>
      <c r="P18" s="182">
        <f t="shared" si="0"/>
        <v>44426</v>
      </c>
      <c r="Q18" s="711"/>
      <c r="R18" s="700"/>
      <c r="S18" s="700"/>
      <c r="T18" s="700"/>
      <c r="U18" s="700"/>
      <c r="AK18" s="246"/>
      <c r="AO18" s="246"/>
    </row>
    <row r="19" spans="1:41" ht="15" customHeight="1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181"/>
      <c r="O19" s="198"/>
      <c r="P19" s="182"/>
      <c r="Q19" s="711"/>
      <c r="R19" s="700"/>
      <c r="S19" s="700"/>
      <c r="T19" s="700"/>
      <c r="U19" s="700"/>
      <c r="AK19" s="246"/>
      <c r="AO19" s="246"/>
    </row>
    <row r="20" spans="1:41" ht="15" customHeight="1">
      <c r="A20" s="5" t="s">
        <v>305</v>
      </c>
      <c r="B20" s="6">
        <f>+GETPIVOTDATA(" New-Less Than 2-Year",'Pivot Table for 1-11'!$A$3,"State","MS")+GETPIVOTDATA(" New-2 But Less Than 4-Year",'Pivot Table for 1-11'!$A$3,"State","MS")</f>
        <v>2485</v>
      </c>
      <c r="C20" s="6">
        <f>+GETPIVOTDATA(" New-Associate's",'Pivot Table for 1-11'!$A$3,"State","MS")</f>
        <v>8414</v>
      </c>
      <c r="D20" s="6">
        <f>+GETPIVOTDATA(" New-Bachelor's",'Pivot Table for 1-11'!$A$3,"State","MS")</f>
        <v>10404</v>
      </c>
      <c r="E20" s="6">
        <f>+GETPIVOTDATA(" New-Post-Bachelor's",'Pivot Table for 1-11'!$A$3,"State","MS")</f>
        <v>0</v>
      </c>
      <c r="F20" s="6">
        <f>+GETPIVOTDATA(" New-Total Master's#",'Pivot Table for 1-11'!$A$3,"State","MS")</f>
        <v>3222</v>
      </c>
      <c r="G20" s="6">
        <f>+GETPIVOTDATA(" New-Total Doctorates#",'Pivot Table for 1-11'!$A$3,"State","MS")</f>
        <v>499</v>
      </c>
      <c r="H20" s="17">
        <f>GETPIVOTDATA(" New-Law",'Pivot Table for 1-11'!$A$3,"State","MS")</f>
        <v>163</v>
      </c>
      <c r="I20" s="6">
        <f>GETPIVOTDATA(" New-Medicine",'Pivot Table for 1-11'!$A$3,"State","MS")</f>
        <v>94</v>
      </c>
      <c r="J20" s="6">
        <f>GETPIVOTDATA(" New-Dentistry",'Pivot Table for 1-11'!$A$3,"State","MS")</f>
        <v>31</v>
      </c>
      <c r="K20" s="6">
        <f>GETPIVOTDATA(" New-Pharmacy",'Pivot Table for 1-11'!$A$3,"State","MS")</f>
        <v>75</v>
      </c>
      <c r="L20" s="6">
        <f>GETPIVOTDATA(" New-Optometry",'Pivot Table for 1-11'!$A$3,"State","MS")</f>
        <v>0</v>
      </c>
      <c r="M20" s="6">
        <f>GETPIVOTDATA(" New-Osteopathic Medicine",'Pivot Table for 1-11'!$A$3,"State","MS")</f>
        <v>0</v>
      </c>
      <c r="N20" s="181">
        <f>GETPIVOTDATA(" New-Veterinary Medicine",'Pivot Table for 1-11'!$A$3,"State","MS")</f>
        <v>67</v>
      </c>
      <c r="O20" s="198">
        <f>+GETPIVOTDATA(" New-Oth PP",'Pivot Table for 1-11'!$A$3,"State","MS")</f>
        <v>0</v>
      </c>
      <c r="P20" s="182">
        <f t="shared" si="0"/>
        <v>25454</v>
      </c>
      <c r="Q20" s="711"/>
      <c r="R20" s="700"/>
      <c r="S20" s="700"/>
      <c r="T20" s="700"/>
      <c r="U20" s="700"/>
      <c r="AK20" s="246"/>
      <c r="AO20" s="246"/>
    </row>
    <row r="21" spans="1:41" ht="15" customHeight="1">
      <c r="A21" s="5" t="s">
        <v>306</v>
      </c>
      <c r="B21" s="6">
        <f>+GETPIVOTDATA(" New-Less Than 2-Year",'Pivot Table for 1-11'!$A$3,"State","NC")+GETPIVOTDATA(" New-2 But Less Than 4-Year",'Pivot Table for 1-11'!$A$3,"State","NC")</f>
        <v>14360</v>
      </c>
      <c r="C21" s="6">
        <f>+GETPIVOTDATA(" New-Associate's",'Pivot Table for 1-11'!$A$3,"State","NC")</f>
        <v>18363</v>
      </c>
      <c r="D21" s="6">
        <f>+GETPIVOTDATA(" New-Bachelor's",'Pivot Table for 1-11'!$A$3,"State","NC")</f>
        <v>31055</v>
      </c>
      <c r="E21" s="6">
        <f>+GETPIVOTDATA(" New-Post-Bachelor's",'Pivot Table for 1-11'!$A$3,"State","NC")</f>
        <v>68</v>
      </c>
      <c r="F21" s="6">
        <f>+GETPIVOTDATA(" New-Total Master's#",'Pivot Table for 1-11'!$A$3,"State","NC")</f>
        <v>10147</v>
      </c>
      <c r="G21" s="6">
        <f>+GETPIVOTDATA(" New-Total Doctorates#",'Pivot Table for 1-11'!$A$3,"State","NC")</f>
        <v>1249</v>
      </c>
      <c r="H21" s="17">
        <f>GETPIVOTDATA(" New-Law",'Pivot Table for 1-11'!$A$3,"State","NC")</f>
        <v>419</v>
      </c>
      <c r="I21" s="6">
        <f>GETPIVOTDATA(" New-Medicine",'Pivot Table for 1-11'!$A$3,"State","NC")</f>
        <v>222</v>
      </c>
      <c r="J21" s="6">
        <f>GETPIVOTDATA(" New-Dentistry",'Pivot Table for 1-11'!$A$3,"State","NC")</f>
        <v>82</v>
      </c>
      <c r="K21" s="6">
        <f>GETPIVOTDATA(" New-Pharmacy",'Pivot Table for 1-11'!$A$3,"State","NC")</f>
        <v>151</v>
      </c>
      <c r="L21" s="6">
        <f>GETPIVOTDATA(" New-Optometry",'Pivot Table for 1-11'!$A$3,"State","NC")</f>
        <v>0</v>
      </c>
      <c r="M21" s="6">
        <f>GETPIVOTDATA(" New-Osteopathic Medicine",'Pivot Table for 1-11'!$A$3,"State","NC")</f>
        <v>0</v>
      </c>
      <c r="N21" s="181">
        <f>GETPIVOTDATA(" New-Veterinary Medicine",'Pivot Table for 1-11'!$A$3,"State","NC")</f>
        <v>73</v>
      </c>
      <c r="O21" s="198">
        <f>+GETPIVOTDATA(" New-Oth PP",'Pivot Table for 1-11'!$A$3,"State","NC")</f>
        <v>0</v>
      </c>
      <c r="P21" s="182">
        <f t="shared" si="0"/>
        <v>76189</v>
      </c>
      <c r="Q21" s="711"/>
      <c r="R21" s="700"/>
      <c r="S21" s="700"/>
      <c r="T21" s="700"/>
      <c r="U21" s="700"/>
      <c r="AK21" s="246"/>
      <c r="AO21" s="246"/>
    </row>
    <row r="22" spans="1:41" ht="15" customHeight="1">
      <c r="A22" s="5" t="s">
        <v>307</v>
      </c>
      <c r="B22" s="6">
        <f>+GETPIVOTDATA(" New-Less Than 2-Year",'Pivot Table for 1-11'!$A$3,"State","OK")+GETPIVOTDATA(" New-2 But Less Than 4-Year",'Pivot Table for 1-11'!$A$3,"State","OK")</f>
        <v>12291</v>
      </c>
      <c r="C22" s="6">
        <f>+GETPIVOTDATA(" New-Associate's",'Pivot Table for 1-11'!$A$3,"State","OK")</f>
        <v>8291</v>
      </c>
      <c r="D22" s="6">
        <f>+GETPIVOTDATA(" New-Bachelor's",'Pivot Table for 1-11'!$A$3,"State","OK")</f>
        <v>15920</v>
      </c>
      <c r="E22" s="6">
        <f>+GETPIVOTDATA(" New-Post-Bachelor's",'Pivot Table for 1-11'!$A$3,"State","OK")</f>
        <v>87</v>
      </c>
      <c r="F22" s="6">
        <f>+GETPIVOTDATA(" New-Total Master's#",'Pivot Table for 1-11'!$A$3,"State","OK")</f>
        <v>4569</v>
      </c>
      <c r="G22" s="6">
        <f>+GETPIVOTDATA(" New-Total Doctorates#",'Pivot Table for 1-11'!$A$3,"State","OK")</f>
        <v>377</v>
      </c>
      <c r="H22" s="17">
        <f>GETPIVOTDATA(" New-Law",'Pivot Table for 1-11'!$A$3,"State","OK")</f>
        <v>156</v>
      </c>
      <c r="I22" s="6">
        <f>GETPIVOTDATA(" New-Medicine",'Pivot Table for 1-11'!$A$3,"State","OK")</f>
        <v>148</v>
      </c>
      <c r="J22" s="6">
        <f>GETPIVOTDATA(" New-Dentistry",'Pivot Table for 1-11'!$A$3,"State","OK")</f>
        <v>55</v>
      </c>
      <c r="K22" s="6">
        <f>GETPIVOTDATA(" New-Pharmacy",'Pivot Table for 1-11'!$A$3,"State","OK")</f>
        <v>210</v>
      </c>
      <c r="L22" s="6">
        <f>GETPIVOTDATA(" New-Optometry",'Pivot Table for 1-11'!$A$3,"State","OK")</f>
        <v>26</v>
      </c>
      <c r="M22" s="6">
        <f>GETPIVOTDATA(" New-Osteopathic Medicine",'Pivot Table for 1-11'!$A$3,"State","OK")</f>
        <v>75</v>
      </c>
      <c r="N22" s="181">
        <f>GETPIVOTDATA(" New-Veterinary Medicine",'Pivot Table for 1-11'!$A$3,"State","OK")</f>
        <v>78</v>
      </c>
      <c r="O22" s="198">
        <f>+GETPIVOTDATA(" New-Oth PP",'Pivot Table for 1-11'!$A$3,"State","OK")</f>
        <v>75</v>
      </c>
      <c r="P22" s="182">
        <f t="shared" si="0"/>
        <v>42358</v>
      </c>
      <c r="Q22" s="711"/>
      <c r="R22" s="700"/>
      <c r="S22" s="700"/>
      <c r="T22" s="700"/>
      <c r="U22" s="700"/>
      <c r="AK22" s="246"/>
      <c r="AO22" s="246"/>
    </row>
    <row r="23" spans="1:41" ht="15" customHeight="1">
      <c r="A23" s="5" t="s">
        <v>308</v>
      </c>
      <c r="B23" s="6">
        <f>+GETPIVOTDATA(" New-Less Than 2-Year",'Pivot Table for 1-11'!$A$3,"State","SC")+GETPIVOTDATA(" New-2 But Less Than 4-Year",'Pivot Table for 1-11'!$A$3,"State","SC")</f>
        <v>6875</v>
      </c>
      <c r="C23" s="6">
        <f>+GETPIVOTDATA(" New-Associate's",'Pivot Table for 1-11'!$A$3,"State","SC")</f>
        <v>7351</v>
      </c>
      <c r="D23" s="6">
        <f>+GETPIVOTDATA(" New-Bachelor's",'Pivot Table for 1-11'!$A$3,"State","SC")</f>
        <v>15167</v>
      </c>
      <c r="E23" s="6">
        <f>+GETPIVOTDATA(" New-Post-Bachelor's",'Pivot Table for 1-11'!$A$3,"State","SC")</f>
        <v>73</v>
      </c>
      <c r="F23" s="6">
        <f>+GETPIVOTDATA(" New-Total Master's#",'Pivot Table for 1-11'!$A$3,"State","SC")</f>
        <v>3825</v>
      </c>
      <c r="G23" s="6">
        <f>+GETPIVOTDATA(" New-Total Doctorates#",'Pivot Table for 1-11'!$A$3,"State","SC")</f>
        <v>568</v>
      </c>
      <c r="H23" s="17">
        <f>GETPIVOTDATA(" New-Law",'Pivot Table for 1-11'!$A$3,"State","SC")</f>
        <v>245</v>
      </c>
      <c r="I23" s="6">
        <f>GETPIVOTDATA(" New-Medicine",'Pivot Table for 1-11'!$A$3,"State","SC")</f>
        <v>201</v>
      </c>
      <c r="J23" s="6">
        <f>GETPIVOTDATA(" New-Dentistry",'Pivot Table for 1-11'!$A$3,"State","SC")</f>
        <v>57</v>
      </c>
      <c r="K23" s="6">
        <f>GETPIVOTDATA(" New-Pharmacy",'Pivot Table for 1-11'!$A$3,"State","SC")</f>
        <v>198</v>
      </c>
      <c r="L23" s="6">
        <f>GETPIVOTDATA(" New-Optometry",'Pivot Table for 1-11'!$A$3,"State","SC")</f>
        <v>0</v>
      </c>
      <c r="M23" s="6">
        <f>GETPIVOTDATA(" New-Osteopathic Medicine",'Pivot Table for 1-11'!$A$3,"State","SC")</f>
        <v>0</v>
      </c>
      <c r="N23" s="181">
        <f>GETPIVOTDATA(" New-Veterinary Medicine",'Pivot Table for 1-11'!$A$3,"State","SC")</f>
        <v>0</v>
      </c>
      <c r="O23" s="198">
        <f>+GETPIVOTDATA(" New-Oth PP",'Pivot Table for 1-11'!$A$3,"State","SC")</f>
        <v>0</v>
      </c>
      <c r="P23" s="182">
        <f t="shared" si="0"/>
        <v>34560</v>
      </c>
      <c r="Q23" s="711"/>
      <c r="R23" s="700"/>
      <c r="S23" s="700"/>
      <c r="T23" s="700"/>
      <c r="U23" s="700"/>
      <c r="AK23" s="246"/>
      <c r="AO23" s="246"/>
    </row>
    <row r="24" spans="1:41" ht="15" customHeight="1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181"/>
      <c r="O24" s="198"/>
      <c r="P24" s="182"/>
      <c r="Q24" s="711"/>
      <c r="R24" s="700"/>
      <c r="S24" s="700"/>
      <c r="T24" s="700"/>
      <c r="U24" s="700"/>
      <c r="AK24" s="246"/>
      <c r="AO24" s="246"/>
    </row>
    <row r="25" spans="1:41" ht="15" customHeight="1">
      <c r="A25" s="5" t="s">
        <v>309</v>
      </c>
      <c r="B25" s="6">
        <f>+GETPIVOTDATA(" New-Less Than 2-Year",'Pivot Table for 1-11'!$A$3,"State","TN")+GETPIVOTDATA(" New-2 But Less Than 4-Year",'Pivot Table for 1-11'!$A$3,"State","TN")</f>
        <v>6762</v>
      </c>
      <c r="C25" s="6">
        <f>+GETPIVOTDATA(" New-Associate's",'Pivot Table for 1-11'!$A$3,"State","TN")</f>
        <v>7048</v>
      </c>
      <c r="D25" s="6">
        <f>+GETPIVOTDATA(" New-Bachelor's",'Pivot Table for 1-11'!$A$3,"State","TN")</f>
        <v>16552</v>
      </c>
      <c r="E25" s="6">
        <f>+GETPIVOTDATA(" New-Post-Bachelor's",'Pivot Table for 1-11'!$A$3,"State","TN")</f>
        <v>0</v>
      </c>
      <c r="F25" s="6">
        <f>+GETPIVOTDATA(" New-Total Master's#",'Pivot Table for 1-11'!$A$3,"State","TN")</f>
        <v>6885</v>
      </c>
      <c r="G25" s="6">
        <f>+GETPIVOTDATA(" New-Total Doctorates#",'Pivot Table for 1-11'!$A$3,"State","TN")</f>
        <v>768</v>
      </c>
      <c r="H25" s="17">
        <f>GETPIVOTDATA(" New-Law",'Pivot Table for 1-11'!$A$3,"State","TN")</f>
        <v>260</v>
      </c>
      <c r="I25" s="6">
        <f>GETPIVOTDATA(" New-Medicine",'Pivot Table for 1-11'!$A$3,"State","TN")</f>
        <v>201</v>
      </c>
      <c r="J25" s="6">
        <f>GETPIVOTDATA(" New-Dentistry",'Pivot Table for 1-11'!$A$3,"State","TN")</f>
        <v>83</v>
      </c>
      <c r="K25" s="6">
        <f>GETPIVOTDATA(" New-Pharmacy",'Pivot Table for 1-11'!$A$3,"State","TN")</f>
        <v>162</v>
      </c>
      <c r="L25" s="6">
        <f>GETPIVOTDATA(" New-Optometry",'Pivot Table for 1-11'!$A$3,"State","TN")</f>
        <v>0</v>
      </c>
      <c r="M25" s="6">
        <f>GETPIVOTDATA(" New-Osteopathic Medicine",'Pivot Table for 1-11'!$A$3,"State","TN")</f>
        <v>0</v>
      </c>
      <c r="N25" s="181">
        <f>GETPIVOTDATA(" New-Veterinary Medicine",'Pivot Table for 1-11'!$A$3,"State","TN")</f>
        <v>61</v>
      </c>
      <c r="O25" s="198">
        <f>+GETPIVOTDATA(" New-Oth PP",'Pivot Table for 1-11'!$A$3,"State","TN")</f>
        <v>0</v>
      </c>
      <c r="P25" s="182">
        <f t="shared" si="0"/>
        <v>38782</v>
      </c>
      <c r="Q25" s="711"/>
      <c r="R25" s="700"/>
      <c r="S25" s="700"/>
      <c r="T25" s="700"/>
      <c r="U25" s="700"/>
      <c r="AK25" s="246"/>
      <c r="AO25" s="246"/>
    </row>
    <row r="26" spans="1:41" ht="15" customHeight="1">
      <c r="A26" s="5" t="s">
        <v>310</v>
      </c>
      <c r="B26" s="6">
        <f>+GETPIVOTDATA(" New-Less Than 2-Year",'Pivot Table for 1-11'!$A$3,"State","TX")+GETPIVOTDATA(" New-2 But Less Than 4-Year",'Pivot Table for 1-11'!$A$3,"State","TX")</f>
        <v>22805</v>
      </c>
      <c r="C26" s="6">
        <f>+GETPIVOTDATA(" New-Associate's",'Pivot Table for 1-11'!$A$3,"State","TX")</f>
        <v>42143</v>
      </c>
      <c r="D26" s="6">
        <f>+GETPIVOTDATA(" New-Bachelor's",'Pivot Table for 1-11'!$A$3,"State","TX")</f>
        <v>81126</v>
      </c>
      <c r="E26" s="6">
        <f>+GETPIVOTDATA(" New-Post-Bachelor's",'Pivot Table for 1-11'!$A$3,"State","TX")</f>
        <v>0</v>
      </c>
      <c r="F26" s="6">
        <f>+GETPIVOTDATA(" New-Total Master's#",'Pivot Table for 1-11'!$A$3,"State","TX")</f>
        <v>28562</v>
      </c>
      <c r="G26" s="6">
        <f>+GETPIVOTDATA(" New-Total Doctorates#",'Pivot Table for 1-11'!$A$3,"State","TX")</f>
        <v>3083</v>
      </c>
      <c r="H26" s="17">
        <f>GETPIVOTDATA(" New-Law",'Pivot Table for 1-11'!$A$3,"State","TX")</f>
        <v>1121</v>
      </c>
      <c r="I26" s="6">
        <f>GETPIVOTDATA(" New-Medicine",'Pivot Table for 1-11'!$A$3,"State","TX")</f>
        <v>1022</v>
      </c>
      <c r="J26" s="6">
        <f>GETPIVOTDATA(" New-Dentistry",'Pivot Table for 1-11'!$A$3,"State","TX")</f>
        <v>254</v>
      </c>
      <c r="K26" s="6">
        <f>GETPIVOTDATA(" New-Pharmacy",'Pivot Table for 1-11'!$A$3,"State","TX")</f>
        <v>447</v>
      </c>
      <c r="L26" s="6">
        <f>GETPIVOTDATA(" New-Optometry",'Pivot Table for 1-11'!$A$3,"State","TX")</f>
        <v>87</v>
      </c>
      <c r="M26" s="6">
        <f>GETPIVOTDATA(" New-Osteopathic Medicine",'Pivot Table for 1-11'!$A$3,"State","TX")</f>
        <v>128</v>
      </c>
      <c r="N26" s="181">
        <f>GETPIVOTDATA(" New-Veterinary Medicine",'Pivot Table for 1-11'!$A$3,"State","TX")</f>
        <v>119</v>
      </c>
      <c r="O26" s="198">
        <f>+GETPIVOTDATA(" New-Oth PP",'Pivot Table for 1-11'!$A$3,"State","TX")</f>
        <v>27</v>
      </c>
      <c r="P26" s="182">
        <f t="shared" si="0"/>
        <v>180924</v>
      </c>
      <c r="Q26" s="711"/>
      <c r="R26" s="700"/>
      <c r="S26" s="700"/>
      <c r="T26" s="700"/>
      <c r="U26" s="700"/>
      <c r="AK26" s="246"/>
      <c r="AO26" s="246"/>
    </row>
    <row r="27" spans="1:41" ht="15" customHeight="1">
      <c r="A27" s="5" t="s">
        <v>311</v>
      </c>
      <c r="B27" s="6">
        <f>+GETPIVOTDATA(" New-Less Than 2-Year",'Pivot Table for 1-11'!$A$3,"State","VA")+GETPIVOTDATA(" New-2 But Less Than 4-Year",'Pivot Table for 1-11'!$A$3,"State","VA")</f>
        <v>5396</v>
      </c>
      <c r="C27" s="6">
        <f>+GETPIVOTDATA(" New-Associate's",'Pivot Table for 1-11'!$A$3,"State","VA")</f>
        <v>13146</v>
      </c>
      <c r="D27" s="6">
        <f>+GETPIVOTDATA(" New-Bachelor's",'Pivot Table for 1-11'!$A$3,"State","VA")</f>
        <v>31015</v>
      </c>
      <c r="E27" s="6">
        <f>+GETPIVOTDATA(" New-Post-Bachelor's",'Pivot Table for 1-11'!$A$3,"State","VA")</f>
        <v>612</v>
      </c>
      <c r="F27" s="6">
        <f>+GETPIVOTDATA(" New-Total Master's#",'Pivot Table for 1-11'!$A$3,"State","VA")</f>
        <v>10461</v>
      </c>
      <c r="G27" s="6">
        <f>+GETPIVOTDATA(" New-Total Doctorates#",'Pivot Table for 1-11'!$A$3,"State","VA")</f>
        <v>1329</v>
      </c>
      <c r="H27" s="17">
        <f>GETPIVOTDATA(" New-Law",'Pivot Table for 1-11'!$A$3,"State","VA")</f>
        <v>827</v>
      </c>
      <c r="I27" s="6">
        <f>GETPIVOTDATA(" New-Medicine",'Pivot Table for 1-11'!$A$3,"State","VA")</f>
        <v>316</v>
      </c>
      <c r="J27" s="6">
        <f>GETPIVOTDATA(" New-Dentistry",'Pivot Table for 1-11'!$A$3,"State","VA")</f>
        <v>91</v>
      </c>
      <c r="K27" s="6">
        <f>GETPIVOTDATA(" New-Pharmacy",'Pivot Table for 1-11'!$A$3,"State","VA")</f>
        <v>130</v>
      </c>
      <c r="L27" s="6">
        <f>GETPIVOTDATA(" New-Optometry",'Pivot Table for 1-11'!$A$3,"State","VA")</f>
        <v>0</v>
      </c>
      <c r="M27" s="6">
        <f>GETPIVOTDATA(" New-Osteopathic Medicine",'Pivot Table for 1-11'!$A$3,"State","VA")</f>
        <v>0</v>
      </c>
      <c r="N27" s="181">
        <f>GETPIVOTDATA(" New-Veterinary Medicine",'Pivot Table for 1-11'!$A$3,"State","VA")</f>
        <v>86</v>
      </c>
      <c r="O27" s="198">
        <f>+GETPIVOTDATA(" New-Oth PP",'Pivot Table for 1-11'!$A$3,"State","VA")</f>
        <v>0</v>
      </c>
      <c r="P27" s="182">
        <f t="shared" si="0"/>
        <v>63409</v>
      </c>
      <c r="Q27" s="711"/>
      <c r="R27" s="700"/>
      <c r="S27" s="700"/>
      <c r="T27" s="700"/>
      <c r="U27" s="700"/>
      <c r="AK27" s="246"/>
      <c r="AO27" s="246"/>
    </row>
    <row r="28" spans="1:41" ht="15" customHeight="1">
      <c r="A28" s="7" t="s">
        <v>312</v>
      </c>
      <c r="B28" s="8">
        <f>+GETPIVOTDATA(" New-Less Than 2-Year",'Pivot Table for 1-11'!$A$3,"State","WV")+GETPIVOTDATA(" New-2 But Less Than 4-Year",'Pivot Table for 1-11'!$A$3,"State","WV")</f>
        <v>504</v>
      </c>
      <c r="C28" s="8">
        <f>+GETPIVOTDATA(" New-Associate's",'Pivot Table for 1-11'!$A$3,"State","WV")</f>
        <v>2702</v>
      </c>
      <c r="D28" s="8">
        <f>+GETPIVOTDATA(" New-Bachelor's",'Pivot Table for 1-11'!$A$3,"State","WV")</f>
        <v>8439</v>
      </c>
      <c r="E28" s="8">
        <f>+GETPIVOTDATA(" New-Post-Bachelor's",'Pivot Table for 1-11'!$A$3,"State","WV")</f>
        <v>0</v>
      </c>
      <c r="F28" s="8">
        <f>+GETPIVOTDATA(" New-Total Master's#",'Pivot Table for 1-11'!$A$3,"State","WV")</f>
        <v>2557</v>
      </c>
      <c r="G28" s="8">
        <f>+GETPIVOTDATA(" New-Total Doctorates#",'Pivot Table for 1-11'!$A$3,"State","WV")</f>
        <v>201</v>
      </c>
      <c r="H28" s="18">
        <f>GETPIVOTDATA(" New-Law",'Pivot Table for 1-11'!$A$3,"State","WV")</f>
        <v>152</v>
      </c>
      <c r="I28" s="8">
        <f>GETPIVOTDATA(" New-Medicine",'Pivot Table for 1-11'!$A$3,"State","WV")</f>
        <v>149</v>
      </c>
      <c r="J28" s="8">
        <f>GETPIVOTDATA(" New-Dentistry",'Pivot Table for 1-11'!$A$3,"State","WV")</f>
        <v>43</v>
      </c>
      <c r="K28" s="8">
        <f>GETPIVOTDATA(" New-Pharmacy",'Pivot Table for 1-11'!$A$3,"State","WV")</f>
        <v>73</v>
      </c>
      <c r="L28" s="8">
        <f>GETPIVOTDATA(" New-Optometry",'Pivot Table for 1-11'!$A$3,"State","WV")</f>
        <v>0</v>
      </c>
      <c r="M28" s="8">
        <f>GETPIVOTDATA(" New-Osteopathic Medicine",'Pivot Table for 1-11'!$A$3,"State","WV")</f>
        <v>97</v>
      </c>
      <c r="N28" s="189">
        <f>GETPIVOTDATA(" New-Veterinary Medicine",'Pivot Table for 1-11'!$A$3,"State","WV")</f>
        <v>0</v>
      </c>
      <c r="O28" s="199">
        <f>+GETPIVOTDATA(" New-Oth PP",'Pivot Table for 1-11'!$A$3,"State","WV")</f>
        <v>0</v>
      </c>
      <c r="P28" s="183">
        <f t="shared" si="0"/>
        <v>14917</v>
      </c>
      <c r="Q28" s="712"/>
      <c r="R28" s="700"/>
      <c r="S28" s="700"/>
      <c r="T28" s="700"/>
      <c r="U28" s="700"/>
      <c r="AK28" s="246"/>
      <c r="AO28" s="246"/>
    </row>
    <row r="29" spans="1:41" ht="12.75" customHeight="1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81"/>
      <c r="O29" s="181"/>
      <c r="P29" s="181"/>
      <c r="Q29" s="186"/>
    </row>
    <row r="30" spans="1:41" ht="24" customHeight="1">
      <c r="A30" s="767" t="s">
        <v>1253</v>
      </c>
      <c r="B30" s="768"/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768"/>
      <c r="Q30" s="713"/>
    </row>
    <row r="31" spans="1:41" ht="15" customHeight="1">
      <c r="P31" s="184" t="s">
        <v>1267</v>
      </c>
      <c r="Q31" s="714"/>
    </row>
    <row r="32" spans="1:41" ht="18">
      <c r="A32" s="22" t="s">
        <v>313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93"/>
      <c r="O32" s="93"/>
      <c r="P32" s="93"/>
      <c r="Q32" s="701" t="s">
        <v>321</v>
      </c>
    </row>
    <row r="33" spans="1:3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92"/>
      <c r="O33" s="92"/>
      <c r="P33" s="92"/>
      <c r="Q33" s="710"/>
    </row>
    <row r="34" spans="1:38" ht="15.75">
      <c r="A34" s="1" t="s">
        <v>285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93"/>
      <c r="O34" s="93"/>
      <c r="P34" s="93"/>
      <c r="Q34" s="701" t="s">
        <v>321</v>
      </c>
      <c r="R34" s="701" t="s">
        <v>321</v>
      </c>
      <c r="S34" s="701" t="s">
        <v>321</v>
      </c>
      <c r="T34" s="701" t="s">
        <v>321</v>
      </c>
      <c r="U34" s="701" t="s">
        <v>321</v>
      </c>
      <c r="V34" s="701" t="s">
        <v>321</v>
      </c>
      <c r="W34" s="701" t="s">
        <v>321</v>
      </c>
      <c r="X34" s="701" t="s">
        <v>321</v>
      </c>
      <c r="AD34" s="43"/>
      <c r="AE34" s="43"/>
      <c r="AF34" s="43"/>
      <c r="AG34" s="43"/>
      <c r="AH34" s="43"/>
      <c r="AI34" s="43"/>
      <c r="AJ34" s="43"/>
      <c r="AK34" s="43"/>
      <c r="AL34" s="43"/>
    </row>
    <row r="35" spans="1:38" ht="15.75">
      <c r="A35" s="1" t="s">
        <v>1256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93"/>
      <c r="O35" s="93"/>
      <c r="P35" s="93"/>
      <c r="Q35" s="701" t="s">
        <v>321</v>
      </c>
      <c r="R35" s="701"/>
      <c r="S35" s="701" t="s">
        <v>321</v>
      </c>
      <c r="T35" s="701" t="s">
        <v>321</v>
      </c>
      <c r="U35" s="701" t="s">
        <v>321</v>
      </c>
      <c r="V35" s="701" t="s">
        <v>321</v>
      </c>
      <c r="W35" s="701" t="s">
        <v>321</v>
      </c>
      <c r="X35" s="701" t="s">
        <v>321</v>
      </c>
      <c r="AD35" s="43"/>
      <c r="AE35" s="43"/>
      <c r="AF35" s="43"/>
      <c r="AG35" s="43"/>
      <c r="AH35" s="43"/>
      <c r="AI35" s="43"/>
      <c r="AJ35" s="43"/>
      <c r="AK35" s="43"/>
      <c r="AL35" s="43"/>
    </row>
    <row r="36" spans="1:38" ht="15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94"/>
      <c r="O36" s="94"/>
      <c r="P36" s="94"/>
      <c r="Q36" s="86" t="s">
        <v>721</v>
      </c>
      <c r="R36" s="701"/>
      <c r="S36" s="701" t="s">
        <v>321</v>
      </c>
      <c r="T36" s="701" t="s">
        <v>321</v>
      </c>
      <c r="U36" s="701" t="s">
        <v>321</v>
      </c>
      <c r="V36" s="701" t="s">
        <v>321</v>
      </c>
      <c r="W36" s="701" t="s">
        <v>321</v>
      </c>
      <c r="X36" s="701" t="s">
        <v>321</v>
      </c>
    </row>
    <row r="37" spans="1:38" ht="15" customHeight="1">
      <c r="A37" s="192"/>
      <c r="B37" s="192"/>
      <c r="C37" s="192"/>
      <c r="D37" s="192"/>
      <c r="E37" s="192"/>
      <c r="F37" s="192"/>
      <c r="G37" s="192"/>
      <c r="H37" s="196" t="s">
        <v>1254</v>
      </c>
      <c r="I37" s="26"/>
      <c r="J37" s="26"/>
      <c r="K37" s="26"/>
      <c r="L37" s="26"/>
      <c r="M37" s="26"/>
      <c r="N37" s="193"/>
      <c r="O37" s="200"/>
      <c r="P37" s="195" t="s">
        <v>321</v>
      </c>
      <c r="Q37" s="86"/>
      <c r="R37" s="701" t="s">
        <v>321</v>
      </c>
      <c r="S37" s="701" t="s">
        <v>321</v>
      </c>
      <c r="T37" s="701" t="s">
        <v>321</v>
      </c>
      <c r="U37" s="701" t="s">
        <v>321</v>
      </c>
      <c r="V37" s="701" t="s">
        <v>321</v>
      </c>
      <c r="W37" s="701" t="s">
        <v>321</v>
      </c>
      <c r="X37" s="701" t="s">
        <v>321</v>
      </c>
      <c r="AD37" s="43"/>
      <c r="AE37" s="176"/>
      <c r="AF37" s="176"/>
      <c r="AG37" s="177"/>
      <c r="AH37" s="43"/>
      <c r="AI37" s="43"/>
      <c r="AJ37" s="43"/>
      <c r="AK37" s="43"/>
      <c r="AL37" s="43"/>
    </row>
    <row r="38" spans="1:38" ht="39.75" customHeight="1">
      <c r="A38" s="14"/>
      <c r="B38" s="15" t="s">
        <v>696</v>
      </c>
      <c r="C38" s="15" t="s">
        <v>286</v>
      </c>
      <c r="D38" s="15" t="s">
        <v>278</v>
      </c>
      <c r="E38" s="15" t="s">
        <v>279</v>
      </c>
      <c r="F38" s="15" t="s">
        <v>288</v>
      </c>
      <c r="G38" s="15" t="s">
        <v>289</v>
      </c>
      <c r="H38" s="16" t="s">
        <v>290</v>
      </c>
      <c r="I38" s="15" t="s">
        <v>291</v>
      </c>
      <c r="J38" s="15" t="s">
        <v>292</v>
      </c>
      <c r="K38" s="15" t="s">
        <v>283</v>
      </c>
      <c r="L38" s="15" t="s">
        <v>293</v>
      </c>
      <c r="M38" s="15" t="s">
        <v>294</v>
      </c>
      <c r="N38" s="191" t="s">
        <v>952</v>
      </c>
      <c r="O38" s="197" t="s">
        <v>1252</v>
      </c>
      <c r="P38" s="191" t="s">
        <v>295</v>
      </c>
      <c r="Q38" s="86" t="s">
        <v>1324</v>
      </c>
      <c r="R38" s="701"/>
      <c r="S38" s="701" t="s">
        <v>321</v>
      </c>
      <c r="T38" s="701" t="s">
        <v>321</v>
      </c>
      <c r="U38" s="701" t="s">
        <v>321</v>
      </c>
      <c r="V38" s="701" t="s">
        <v>321</v>
      </c>
      <c r="W38" s="701" t="s">
        <v>321</v>
      </c>
      <c r="X38" s="701" t="s">
        <v>321</v>
      </c>
      <c r="AD38" s="43"/>
      <c r="AE38" s="178"/>
      <c r="AF38" s="176"/>
      <c r="AG38" s="178"/>
      <c r="AH38" s="43"/>
      <c r="AI38" s="43"/>
      <c r="AJ38" s="43"/>
      <c r="AK38" s="43"/>
      <c r="AL38" s="43"/>
    </row>
    <row r="39" spans="1:38" ht="15" customHeight="1">
      <c r="A39" s="5" t="s">
        <v>296</v>
      </c>
      <c r="B39" s="6">
        <f>+GETPIVOTDATA(" New-Less Than 2-Year",'Pivot Table for 1-11'!$A$3,"SREB Type2","Four-Year")+GETPIVOTDATA(" New-2 But Less Than 4-Year",'Pivot Table for 1-11'!$A$3,"SREB Type2","Four-Year")</f>
        <v>1525</v>
      </c>
      <c r="C39" s="6">
        <f>+GETPIVOTDATA(" New-Associate's",'Pivot Table for 1-11'!$A$3,"SREB Type2","Four-Year")</f>
        <v>8041</v>
      </c>
      <c r="D39" s="6">
        <f>+GETPIVOTDATA(" New-Bachelor's",'Pivot Table for 1-11'!$A$3,"SREB Type2","Four-Year")</f>
        <v>368898</v>
      </c>
      <c r="E39" s="6">
        <f>+GETPIVOTDATA(" New-Post-Bachelor's",'Pivot Table for 1-11'!$A$3,"SREB Type2","Four-Year")</f>
        <v>1296</v>
      </c>
      <c r="F39" s="6">
        <f>+GETPIVOTDATA(" New-Total Master's#",'Pivot Table for 1-11'!$A$3,"SREB Type2","Four-Year")</f>
        <v>121024</v>
      </c>
      <c r="G39" s="6">
        <f>+GETPIVOTDATA(" New-Total Doctorates#",'Pivot Table for 1-11'!$A$3,"SREB Type2","Four-Year")</f>
        <v>13464</v>
      </c>
      <c r="H39" s="17">
        <f>+GETPIVOTDATA(" New-Law",'Pivot Table for 1-11'!$A$3,"SREB Type2","Four-Year")</f>
        <v>6121</v>
      </c>
      <c r="I39" s="6">
        <f>+GETPIVOTDATA(" New-Medicine",'Pivot Table for 1-11'!$A$3,"SREB Type2","Four-Year")</f>
        <v>1730</v>
      </c>
      <c r="J39" s="6">
        <f>+GETPIVOTDATA(" New-Dentistry",'Pivot Table for 1-11'!$A$3,"SREB Type2","Four-Year")</f>
        <v>544</v>
      </c>
      <c r="K39" s="6">
        <f>+GETPIVOTDATA(" New-Pharmacy",'Pivot Table for 1-11'!$A$3,"SREB Type2","Four-Year")</f>
        <v>2168</v>
      </c>
      <c r="L39" s="6">
        <f>+GETPIVOTDATA(" New-Optometry",'Pivot Table for 1-11'!$A$3,"SREB Type2","Four-Year")</f>
        <v>152</v>
      </c>
      <c r="M39" s="6">
        <f>+GETPIVOTDATA(" New-Osteopathic Medicine",'Pivot Table for 1-11'!$A$3,"SREB Type2","Four-Year")</f>
        <v>75</v>
      </c>
      <c r="N39" s="181">
        <f>+GETPIVOTDATA(" New-Veterinary Medicine",'Pivot Table for 1-11'!$A$3,"SREB Type2","Four-Year")</f>
        <v>840</v>
      </c>
      <c r="O39" s="198">
        <f>+GETPIVOTDATA(" New-Oth PP",'Pivot Table for 1-11'!$A$3,"SREB Type2","Four-Year")</f>
        <v>223</v>
      </c>
      <c r="P39" s="182">
        <f>SUM(B39:O39)</f>
        <v>526101</v>
      </c>
      <c r="Q39" s="715">
        <f>('New Tables 1-12'!P39-'Old 1-12'!P39)/'Old 1-12'!P39</f>
        <v>3.4381672545388056E-2</v>
      </c>
      <c r="R39" s="701" t="s">
        <v>321</v>
      </c>
      <c r="S39" s="701" t="s">
        <v>321</v>
      </c>
      <c r="T39" s="701" t="s">
        <v>321</v>
      </c>
      <c r="U39" s="701" t="s">
        <v>321</v>
      </c>
      <c r="V39" s="701" t="s">
        <v>321</v>
      </c>
      <c r="W39" s="701" t="s">
        <v>321</v>
      </c>
      <c r="X39" s="701" t="s">
        <v>321</v>
      </c>
      <c r="AD39" s="43"/>
      <c r="AE39" s="179"/>
      <c r="AF39" s="180"/>
      <c r="AG39" s="179"/>
      <c r="AH39" s="39"/>
      <c r="AI39" s="43"/>
      <c r="AJ39" s="43"/>
      <c r="AK39" s="43"/>
      <c r="AL39" s="43"/>
    </row>
    <row r="40" spans="1:38" ht="15" customHeight="1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181"/>
      <c r="O40" s="198"/>
      <c r="P40" s="182"/>
      <c r="Q40" s="715"/>
      <c r="R40" s="701" t="s">
        <v>321</v>
      </c>
      <c r="S40" s="701" t="s">
        <v>321</v>
      </c>
      <c r="T40" s="701" t="s">
        <v>321</v>
      </c>
      <c r="U40" s="701" t="s">
        <v>321</v>
      </c>
      <c r="V40" s="701" t="s">
        <v>321</v>
      </c>
      <c r="W40" s="701" t="s">
        <v>321</v>
      </c>
      <c r="X40" s="701" t="s">
        <v>321</v>
      </c>
      <c r="AD40" s="43"/>
      <c r="AE40" s="179"/>
      <c r="AF40" s="180"/>
      <c r="AG40" s="179"/>
      <c r="AH40" s="39"/>
      <c r="AI40" s="43"/>
      <c r="AJ40" s="43"/>
      <c r="AK40" s="43"/>
      <c r="AL40" s="43"/>
    </row>
    <row r="41" spans="1:38" ht="15" customHeight="1">
      <c r="A41" s="5" t="s">
        <v>297</v>
      </c>
      <c r="B41" s="6">
        <f>+GETPIVOTDATA(" New-Less Than 2-Year",'Pivot Table for 1-11'!$A$3,"State","AL","SREB Type2","Four-Year")+GETPIVOTDATA(" New-2 But Less Than 4-Year",'Pivot Table for 1-11'!$A$3,"State","AL","SREB Type2","Four-Year")</f>
        <v>110</v>
      </c>
      <c r="C41" s="6">
        <f>+GETPIVOTDATA(" New-Associate's",'Pivot Table for 1-11'!$A$3,"State","AL","SREB Type2","Four-Year")</f>
        <v>184</v>
      </c>
      <c r="D41" s="6">
        <f>+GETPIVOTDATA(" New-Bachelor's",'Pivot Table for 1-11'!$A$3,"State","AL","SREB Type2","Four-Year")</f>
        <v>18996</v>
      </c>
      <c r="E41" s="6">
        <f>+GETPIVOTDATA(" New-Post-Bachelor's",'Pivot Table for 1-11'!$A$3,"State","AL","SREB Type2","Four-Year")</f>
        <v>115</v>
      </c>
      <c r="F41" s="6">
        <f>+GETPIVOTDATA(" New-Total Master's#",'Pivot Table for 1-11'!$A$3,"State","AL","SREB Type2","Four-Year")</f>
        <v>8163</v>
      </c>
      <c r="G41" s="6">
        <f>+GETPIVOTDATA(" New-Total Doctorates#",'Pivot Table for 1-11'!$A$3,"State","AL","SREB Type2","Four-Year")</f>
        <v>864</v>
      </c>
      <c r="H41" s="17">
        <f>+GETPIVOTDATA(" New-Law",'Pivot Table for 1-11'!$A$3,"State","AL","SREB Type2","Four-Year")</f>
        <v>172</v>
      </c>
      <c r="I41" s="6">
        <f>+GETPIVOTDATA(" New-Medicine",'Pivot Table for 1-11'!$A$3,"State","AL","SREB Type2","Four-Year")</f>
        <v>224</v>
      </c>
      <c r="J41" s="6">
        <f>+GETPIVOTDATA(" New-Dentistry",'Pivot Table for 1-11'!$A$3,"State","AL","SREB Type2","Four-Year")</f>
        <v>56</v>
      </c>
      <c r="K41" s="6">
        <f>+GETPIVOTDATA(" New-Pharmacy",'Pivot Table for 1-11'!$A$3,"State","AL","SREB Type2","Four-Year")</f>
        <v>119</v>
      </c>
      <c r="L41" s="6">
        <f>+GETPIVOTDATA(" New-Optometry",'Pivot Table for 1-11'!$A$3,"State","AL","SREB Type2","Four-Year")</f>
        <v>39</v>
      </c>
      <c r="M41" s="6">
        <f>+GETPIVOTDATA(" New-Osteopathic Medicine",'Pivot Table for 1-11'!$A$3,"State","AL","SREB Type2","Four-Year")</f>
        <v>0</v>
      </c>
      <c r="N41" s="181">
        <f>+GETPIVOTDATA(" New-Veterinary Medicine",'Pivot Table for 1-11'!$A$3,"State","AL","SREB Type2","Four-Year")</f>
        <v>96</v>
      </c>
      <c r="O41" s="198">
        <f>+GETPIVOTDATA(" New-Oth PP",'Pivot Table for 1-11'!$A$3,"State","AL","SREB Type2","Four-Year")</f>
        <v>50</v>
      </c>
      <c r="P41" s="182">
        <f t="shared" ref="P41:P59" si="1">SUM(B41:O41)</f>
        <v>29188</v>
      </c>
      <c r="Q41" s="715">
        <f>('New Tables 1-12'!P41-'Old 1-12'!P41)/'Old 1-12'!P41</f>
        <v>5.1592448479608012E-2</v>
      </c>
      <c r="R41" s="701" t="s">
        <v>321</v>
      </c>
      <c r="S41" s="701" t="s">
        <v>321</v>
      </c>
      <c r="T41" s="701" t="s">
        <v>321</v>
      </c>
      <c r="U41" s="701" t="s">
        <v>321</v>
      </c>
      <c r="V41" s="701" t="s">
        <v>321</v>
      </c>
      <c r="W41" s="701" t="s">
        <v>321</v>
      </c>
      <c r="X41" s="701" t="s">
        <v>321</v>
      </c>
      <c r="AD41" s="43"/>
      <c r="AE41" s="179"/>
      <c r="AF41" s="180"/>
      <c r="AG41" s="179"/>
      <c r="AH41" s="39"/>
      <c r="AI41" s="43"/>
      <c r="AJ41" s="43"/>
      <c r="AK41" s="43"/>
      <c r="AL41" s="43"/>
    </row>
    <row r="42" spans="1:38" ht="15" customHeight="1">
      <c r="A42" s="5" t="s">
        <v>298</v>
      </c>
      <c r="B42" s="6">
        <f>+GETPIVOTDATA(" New-Less Than 2-Year",'Pivot Table for 1-11'!$A$3,"State","AR","SREB Type2","Four-Year")+GETPIVOTDATA(" New-2 But Less Than 4-Year",'Pivot Table for 1-11'!$A$3,"State","AR","SREB Type2","Four-Year")</f>
        <v>804</v>
      </c>
      <c r="C42" s="6">
        <f>+GETPIVOTDATA(" New-Associate's",'Pivot Table for 1-11'!$A$3,"State","AR","SREB Type2","Four-Year")</f>
        <v>1502</v>
      </c>
      <c r="D42" s="6">
        <f>+GETPIVOTDATA(" New-Bachelor's",'Pivot Table for 1-11'!$A$3,"State","AR","SREB Type2","Four-Year")</f>
        <v>9392</v>
      </c>
      <c r="E42" s="6">
        <f>+GETPIVOTDATA(" New-Post-Bachelor's",'Pivot Table for 1-11'!$A$3,"State","AR","SREB Type2","Four-Year")</f>
        <v>105</v>
      </c>
      <c r="F42" s="6">
        <f>+GETPIVOTDATA(" New-Total Master's#",'Pivot Table for 1-11'!$A$3,"State","AR","SREB Type2","Four-Year")</f>
        <v>3090</v>
      </c>
      <c r="G42" s="6">
        <f>+GETPIVOTDATA(" New-Total Doctorates#",'Pivot Table for 1-11'!$A$3,"State","AR","SREB Type2","Four-Year")</f>
        <v>250</v>
      </c>
      <c r="H42" s="17">
        <f>+GETPIVOTDATA(" New-Law",'Pivot Table for 1-11'!$A$3,"State","AR","SREB Type2","Four-Year")</f>
        <v>243</v>
      </c>
      <c r="I42" s="6">
        <f>+GETPIVOTDATA(" New-Medicine",'Pivot Table for 1-11'!$A$3,"State","AR","SREB Type2","Four-Year")</f>
        <v>0</v>
      </c>
      <c r="J42" s="6">
        <f>+GETPIVOTDATA(" New-Dentistry",'Pivot Table for 1-11'!$A$3,"State","AR","SREB Type2","Four-Year")</f>
        <v>0</v>
      </c>
      <c r="K42" s="6">
        <f>+GETPIVOTDATA(" New-Pharmacy",'Pivot Table for 1-11'!$A$3,"State","AR","SREB Type2","Four-Year")</f>
        <v>0</v>
      </c>
      <c r="L42" s="6">
        <f>+GETPIVOTDATA(" New-Optometry",'Pivot Table for 1-11'!$A$3,"State","AR","SREB Type2","Four-Year")</f>
        <v>0</v>
      </c>
      <c r="M42" s="6">
        <f>+GETPIVOTDATA(" New-Osteopathic Medicine",'Pivot Table for 1-11'!$A$3,"State","AR","SREB Type2","Four-Year")</f>
        <v>0</v>
      </c>
      <c r="N42" s="181">
        <f>+GETPIVOTDATA(" New-Veterinary Medicine",'Pivot Table for 1-11'!$A$3,"State","AR","SREB Type2","Four-Year")</f>
        <v>0</v>
      </c>
      <c r="O42" s="198">
        <f>+GETPIVOTDATA(" New-Oth PP",'Pivot Table for 1-11'!$A$3,"State","AR","SREB Type2","Four-Year")</f>
        <v>0</v>
      </c>
      <c r="P42" s="182">
        <f t="shared" si="1"/>
        <v>15386</v>
      </c>
      <c r="Q42" s="715">
        <f>('New Tables 1-12'!P42-'Old 1-12'!P42)/'Old 1-12'!P42</f>
        <v>7.4816625916870411E-2</v>
      </c>
      <c r="R42" s="701" t="s">
        <v>321</v>
      </c>
      <c r="S42" s="701" t="s">
        <v>321</v>
      </c>
      <c r="T42" s="701" t="s">
        <v>321</v>
      </c>
      <c r="U42" s="701" t="s">
        <v>321</v>
      </c>
      <c r="V42" s="701" t="s">
        <v>321</v>
      </c>
      <c r="W42" s="701" t="s">
        <v>321</v>
      </c>
      <c r="X42" s="701" t="s">
        <v>321</v>
      </c>
      <c r="AD42" s="43"/>
      <c r="AE42" s="179"/>
      <c r="AF42" s="180"/>
      <c r="AG42" s="179"/>
      <c r="AH42" s="39"/>
      <c r="AI42" s="43"/>
      <c r="AJ42" s="43"/>
      <c r="AK42" s="43"/>
      <c r="AL42" s="43"/>
    </row>
    <row r="43" spans="1:38" ht="15" customHeight="1">
      <c r="A43" s="5" t="s">
        <v>299</v>
      </c>
      <c r="B43" s="6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6">
        <f>+GETPIVOTDATA(" New-Associate's",'Pivot Table for 1-11'!$A$3,"State","DE","SREB Type2","Four-Year")</f>
        <v>195</v>
      </c>
      <c r="D43" s="6">
        <f>+GETPIVOTDATA(" New-Bachelor's",'Pivot Table for 1-11'!$A$3,"State","DE","SREB Type2","Four-Year")</f>
        <v>4075</v>
      </c>
      <c r="E43" s="6">
        <f>+GETPIVOTDATA(" New-Post-Bachelor's",'Pivot Table for 1-11'!$A$3,"State","DE","SREB Type2","Four-Year")</f>
        <v>0</v>
      </c>
      <c r="F43" s="6">
        <f>+GETPIVOTDATA(" New-Total Master's#",'Pivot Table for 1-11'!$A$3,"State","DE","SREB Type2","Four-Year")</f>
        <v>798</v>
      </c>
      <c r="G43" s="6">
        <f>+GETPIVOTDATA(" New-Total Doctorates#",'Pivot Table for 1-11'!$A$3,"State","DE","SREB Type2","Four-Year")</f>
        <v>238</v>
      </c>
      <c r="H43" s="17">
        <f>+GETPIVOTDATA(" New-Law",'Pivot Table for 1-11'!$A$3,"State","DE","SREB Type2","Four-Year")</f>
        <v>0</v>
      </c>
      <c r="I43" s="6">
        <f>+GETPIVOTDATA(" New-Medicine",'Pivot Table for 1-11'!$A$3,"State","DE","SREB Type2","Four-Year")</f>
        <v>0</v>
      </c>
      <c r="J43" s="6">
        <f>+GETPIVOTDATA(" New-Dentistry",'Pivot Table for 1-11'!$A$3,"State","DE","SREB Type2","Four-Year")</f>
        <v>0</v>
      </c>
      <c r="K43" s="6">
        <f>+GETPIVOTDATA(" New-Pharmacy",'Pivot Table for 1-11'!$A$3,"State","DE","SREB Type2","Four-Year")</f>
        <v>0</v>
      </c>
      <c r="L43" s="6">
        <f>+GETPIVOTDATA(" New-Optometry",'Pivot Table for 1-11'!$A$3,"State","DE","SREB Type2","Four-Year")</f>
        <v>0</v>
      </c>
      <c r="M43" s="6">
        <f>+GETPIVOTDATA(" New-Osteopathic Medicine",'Pivot Table for 1-11'!$A$3,"State","DE","SREB Type2","Four-Year")</f>
        <v>0</v>
      </c>
      <c r="N43" s="181">
        <f>+GETPIVOTDATA(" New-Veterinary Medicine",'Pivot Table for 1-11'!$A$3,"State","DE","SREB Type2","Four-Year")</f>
        <v>0</v>
      </c>
      <c r="O43" s="198">
        <f>+GETPIVOTDATA(" New-Oth PP",'Pivot Table for 1-11'!$A$3,"State","DE","SREB Type2","Four-Year")</f>
        <v>0</v>
      </c>
      <c r="P43" s="182">
        <f t="shared" si="1"/>
        <v>5306</v>
      </c>
      <c r="Q43" s="715">
        <f>('New Tables 1-12'!P43-'Old 1-12'!P43)/'Old 1-12'!P43</f>
        <v>2.2941970310391364E-2</v>
      </c>
      <c r="R43" s="701" t="s">
        <v>321</v>
      </c>
      <c r="S43" s="701" t="s">
        <v>321</v>
      </c>
      <c r="T43" s="701" t="s">
        <v>321</v>
      </c>
      <c r="U43" s="701" t="s">
        <v>321</v>
      </c>
      <c r="V43" s="701" t="s">
        <v>321</v>
      </c>
      <c r="W43" s="701" t="s">
        <v>321</v>
      </c>
      <c r="X43" s="701" t="s">
        <v>321</v>
      </c>
      <c r="AD43" s="43"/>
      <c r="AE43" s="179"/>
      <c r="AF43" s="180"/>
      <c r="AG43" s="179"/>
      <c r="AH43" s="39"/>
      <c r="AI43" s="43"/>
      <c r="AJ43" s="43"/>
      <c r="AK43" s="43"/>
      <c r="AL43" s="43"/>
    </row>
    <row r="44" spans="1:38" ht="15" customHeight="1">
      <c r="A44" s="5" t="s">
        <v>300</v>
      </c>
      <c r="B44" s="6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6">
        <f>+GETPIVOTDATA(" New-Associate's",'Pivot Table for 1-11'!$A$3,"State","FL","SREB Type2","Four-Year")</f>
        <v>1902</v>
      </c>
      <c r="D44" s="6">
        <f>+GETPIVOTDATA(" New-Bachelor's",'Pivot Table for 1-11'!$A$3,"State","FL","SREB Type2","Four-Year")</f>
        <v>51449</v>
      </c>
      <c r="E44" s="6">
        <f>+GETPIVOTDATA(" New-Post-Bachelor's",'Pivot Table for 1-11'!$A$3,"State","FL","SREB Type2","Four-Year")</f>
        <v>0</v>
      </c>
      <c r="F44" s="6">
        <f>+GETPIVOTDATA(" New-Total Master's#",'Pivot Table for 1-11'!$A$3,"State","FL","SREB Type2","Four-Year")</f>
        <v>15162</v>
      </c>
      <c r="G44" s="6">
        <f>+GETPIVOTDATA(" New-Total Doctorates#",'Pivot Table for 1-11'!$A$3,"State","FL","SREB Type2","Four-Year")</f>
        <v>1968</v>
      </c>
      <c r="H44" s="17">
        <f>+GETPIVOTDATA(" New-Law",'Pivot Table for 1-11'!$A$3,"State","FL","SREB Type2","Four-Year")</f>
        <v>970</v>
      </c>
      <c r="I44" s="6">
        <f>+GETPIVOTDATA(" New-Medicine",'Pivot Table for 1-11'!$A$3,"State","FL","SREB Type2","Four-Year")</f>
        <v>312</v>
      </c>
      <c r="J44" s="6">
        <f>+GETPIVOTDATA(" New-Dentistry",'Pivot Table for 1-11'!$A$3,"State","FL","SREB Type2","Four-Year")</f>
        <v>81</v>
      </c>
      <c r="K44" s="6">
        <f>+GETPIVOTDATA(" New-Pharmacy",'Pivot Table for 1-11'!$A$3,"State","FL","SREB Type2","Four-Year")</f>
        <v>590</v>
      </c>
      <c r="L44" s="6">
        <f>+GETPIVOTDATA(" New-Optometry",'Pivot Table for 1-11'!$A$3,"State","FL","SREB Type2","Four-Year")</f>
        <v>0</v>
      </c>
      <c r="M44" s="6">
        <f>+GETPIVOTDATA(" New-Osteopathic Medicine",'Pivot Table for 1-11'!$A$3,"State","FL","SREB Type2","Four-Year")</f>
        <v>0</v>
      </c>
      <c r="N44" s="181">
        <f>+GETPIVOTDATA(" New-Veterinary Medicine",'Pivot Table for 1-11'!$A$3,"State","FL","SREB Type2","Four-Year")</f>
        <v>84</v>
      </c>
      <c r="O44" s="198">
        <f>+GETPIVOTDATA(" New-Oth PP",'Pivot Table for 1-11'!$A$3,"State","FL","SREB Type2","Four-Year")</f>
        <v>0</v>
      </c>
      <c r="P44" s="182">
        <f t="shared" si="1"/>
        <v>72518</v>
      </c>
      <c r="Q44" s="715">
        <f>('New Tables 1-12'!P44-'Old 1-12'!P44)/'Old 1-12'!P44</f>
        <v>2.8157432087563092E-2</v>
      </c>
      <c r="R44" s="701" t="s">
        <v>321</v>
      </c>
      <c r="S44" s="701" t="s">
        <v>321</v>
      </c>
      <c r="T44" s="701" t="s">
        <v>321</v>
      </c>
      <c r="U44" s="701" t="s">
        <v>321</v>
      </c>
      <c r="V44" s="701" t="s">
        <v>321</v>
      </c>
      <c r="W44" s="701" t="s">
        <v>321</v>
      </c>
      <c r="X44" s="701" t="s">
        <v>321</v>
      </c>
      <c r="AD44" s="43"/>
      <c r="AE44" s="179"/>
      <c r="AF44" s="180"/>
      <c r="AG44" s="179"/>
      <c r="AH44" s="39"/>
      <c r="AI44" s="43"/>
      <c r="AJ44" s="43"/>
      <c r="AK44" s="43"/>
      <c r="AL44" s="43"/>
    </row>
    <row r="45" spans="1:38" ht="15" customHeight="1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181"/>
      <c r="O45" s="198"/>
      <c r="P45" s="182"/>
      <c r="Q45" s="715"/>
      <c r="R45" s="701"/>
      <c r="S45" s="701"/>
      <c r="T45" s="701"/>
      <c r="U45" s="701"/>
      <c r="V45" s="701"/>
      <c r="W45" s="701"/>
      <c r="X45" s="701"/>
      <c r="AD45" s="43"/>
      <c r="AE45" s="179"/>
      <c r="AF45" s="180"/>
      <c r="AG45" s="179"/>
      <c r="AH45" s="39"/>
      <c r="AI45" s="43"/>
      <c r="AJ45" s="43"/>
      <c r="AK45" s="43"/>
      <c r="AL45" s="43"/>
    </row>
    <row r="46" spans="1:38" ht="15" customHeight="1">
      <c r="A46" s="5" t="s">
        <v>301</v>
      </c>
      <c r="B46" s="6">
        <f>+GETPIVOTDATA(" New-Less Than 2-Year",'Pivot Table for 1-11'!$A$3,"State","GA","SREB Type2","Four-Year")+GETPIVOTDATA(" New-2 But Less Than 4-Year",'Pivot Table for 1-11'!$A$3,"State","GA","SREB Type2","Four-Year")</f>
        <v>272</v>
      </c>
      <c r="C46" s="6">
        <f>+GETPIVOTDATA(" New-Associate's",'Pivot Table for 1-11'!$A$3,"State","GA","SREB Type2","Four-Year")</f>
        <v>891</v>
      </c>
      <c r="D46" s="6">
        <f>+GETPIVOTDATA(" New-Bachelor's",'Pivot Table for 1-11'!$A$3,"State","GA","SREB Type2","Four-Year")</f>
        <v>28041</v>
      </c>
      <c r="E46" s="6">
        <f>+GETPIVOTDATA(" New-Post-Bachelor's",'Pivot Table for 1-11'!$A$3,"State","GA","SREB Type2","Four-Year")</f>
        <v>42</v>
      </c>
      <c r="F46" s="6">
        <f>+GETPIVOTDATA(" New-Total Master's#",'Pivot Table for 1-11'!$A$3,"State","GA","SREB Type2","Four-Year")</f>
        <v>10801</v>
      </c>
      <c r="G46" s="6">
        <f>+GETPIVOTDATA(" New-Total Doctorates#",'Pivot Table for 1-11'!$A$3,"State","GA","SREB Type2","Four-Year")</f>
        <v>1232</v>
      </c>
      <c r="H46" s="17">
        <f>+GETPIVOTDATA(" New-Law",'Pivot Table for 1-11'!$A$3,"State","GA","SREB Type2","Four-Year")</f>
        <v>391</v>
      </c>
      <c r="I46" s="6">
        <f>+GETPIVOTDATA(" New-Medicine",'Pivot Table for 1-11'!$A$3,"State","GA","SREB Type2","Four-Year")</f>
        <v>0</v>
      </c>
      <c r="J46" s="6">
        <f>+GETPIVOTDATA(" New-Dentistry",'Pivot Table for 1-11'!$A$3,"State","GA","SREB Type2","Four-Year")</f>
        <v>0</v>
      </c>
      <c r="K46" s="6">
        <f>+GETPIVOTDATA(" New-Pharmacy",'Pivot Table for 1-11'!$A$3,"State","GA","SREB Type2","Four-Year")</f>
        <v>122</v>
      </c>
      <c r="L46" s="6">
        <f>+GETPIVOTDATA(" New-Optometry",'Pivot Table for 1-11'!$A$3,"State","GA","SREB Type2","Four-Year")</f>
        <v>0</v>
      </c>
      <c r="M46" s="6">
        <f>+GETPIVOTDATA(" New-Osteopathic Medicine",'Pivot Table for 1-11'!$A$3,"State","GA","SREB Type2","Four-Year")</f>
        <v>0</v>
      </c>
      <c r="N46" s="181">
        <f>+GETPIVOTDATA(" New-Veterinary Medicine",'Pivot Table for 1-11'!$A$3,"State","GA","SREB Type2","Four-Year")</f>
        <v>95</v>
      </c>
      <c r="O46" s="198">
        <f>+GETPIVOTDATA(" New-Oth PP",'Pivot Table for 1-11'!$A$3,"State","GA","SREB Type2","Four-Year")</f>
        <v>0</v>
      </c>
      <c r="P46" s="182">
        <f t="shared" si="1"/>
        <v>41887</v>
      </c>
      <c r="Q46" s="715">
        <f>('New Tables 1-12'!P46-'Old 1-12'!P46)/'Old 1-12'!P46</f>
        <v>6.7375073261473378E-2</v>
      </c>
      <c r="R46" s="701" t="s">
        <v>321</v>
      </c>
      <c r="S46" s="701" t="s">
        <v>321</v>
      </c>
      <c r="T46" s="701" t="s">
        <v>321</v>
      </c>
      <c r="U46" s="701" t="s">
        <v>321</v>
      </c>
      <c r="V46" s="701" t="s">
        <v>321</v>
      </c>
      <c r="W46" s="701" t="s">
        <v>321</v>
      </c>
      <c r="X46" s="701" t="s">
        <v>321</v>
      </c>
      <c r="AD46" s="43"/>
      <c r="AE46" s="179"/>
      <c r="AF46" s="180"/>
      <c r="AG46" s="179"/>
      <c r="AH46" s="39"/>
      <c r="AI46" s="43"/>
      <c r="AJ46" s="43"/>
      <c r="AK46" s="43"/>
      <c r="AL46" s="43"/>
    </row>
    <row r="47" spans="1:38" ht="15" customHeight="1">
      <c r="A47" s="5" t="s">
        <v>302</v>
      </c>
      <c r="B47" s="6">
        <f>+GETPIVOTDATA(" New-Less Than 2-Year",'Pivot Table for 1-11'!$A$3,"State","KY","SREB Type2","Four-Year")+GETPIVOTDATA(" New-2 But Less Than 4-Year",'Pivot Table for 1-11'!$A$3,"State","KY","SREB Type2","Four-Year")</f>
        <v>100</v>
      </c>
      <c r="C47" s="6">
        <f>+GETPIVOTDATA(" New-Associate's",'Pivot Table for 1-11'!$A$3,"State","KY","SREB Type2","Four-Year")</f>
        <v>755</v>
      </c>
      <c r="D47" s="6">
        <f>+GETPIVOTDATA(" New-Bachelor's",'Pivot Table for 1-11'!$A$3,"State","KY","SREB Type2","Four-Year")</f>
        <v>15134</v>
      </c>
      <c r="E47" s="6">
        <f>+GETPIVOTDATA(" New-Post-Bachelor's",'Pivot Table for 1-11'!$A$3,"State","KY","SREB Type2","Four-Year")</f>
        <v>175</v>
      </c>
      <c r="F47" s="6">
        <f>+GETPIVOTDATA(" New-Total Master's#",'Pivot Table for 1-11'!$A$3,"State","KY","SREB Type2","Four-Year")</f>
        <v>5815</v>
      </c>
      <c r="G47" s="6">
        <f>+GETPIVOTDATA(" New-Total Doctorates#",'Pivot Table for 1-11'!$A$3,"State","KY","SREB Type2","Four-Year")</f>
        <v>454</v>
      </c>
      <c r="H47" s="17">
        <f>+GETPIVOTDATA(" New-Law",'Pivot Table for 1-11'!$A$3,"State","KY","SREB Type2","Four-Year")</f>
        <v>389</v>
      </c>
      <c r="I47" s="6">
        <f>+GETPIVOTDATA(" New-Medicine",'Pivot Table for 1-11'!$A$3,"State","KY","SREB Type2","Four-Year")</f>
        <v>230</v>
      </c>
      <c r="J47" s="6">
        <f>+GETPIVOTDATA(" New-Dentistry",'Pivot Table for 1-11'!$A$3,"State","KY","SREB Type2","Four-Year")</f>
        <v>136</v>
      </c>
      <c r="K47" s="6">
        <f>+GETPIVOTDATA(" New-Pharmacy",'Pivot Table for 1-11'!$A$3,"State","KY","SREB Type2","Four-Year")</f>
        <v>121</v>
      </c>
      <c r="L47" s="6">
        <f>+GETPIVOTDATA(" New-Optometry",'Pivot Table for 1-11'!$A$3,"State","KY","SREB Type2","Four-Year")</f>
        <v>0</v>
      </c>
      <c r="M47" s="6">
        <f>+GETPIVOTDATA(" New-Osteopathic Medicine",'Pivot Table for 1-11'!$A$3,"State","KY","SREB Type2","Four-Year")</f>
        <v>0</v>
      </c>
      <c r="N47" s="181">
        <f>+GETPIVOTDATA(" New-Veterinary Medicine",'Pivot Table for 1-11'!$A$3,"State","KY","SREB Type2","Four-Year")</f>
        <v>0</v>
      </c>
      <c r="O47" s="198">
        <f>+GETPIVOTDATA(" New-Oth PP",'Pivot Table for 1-11'!$A$3,"State","KY","SREB Type2","Four-Year")</f>
        <v>0</v>
      </c>
      <c r="P47" s="182">
        <f t="shared" si="1"/>
        <v>23309</v>
      </c>
      <c r="Q47" s="715">
        <f>('New Tables 1-12'!P47-'Old 1-12'!P47)/'Old 1-12'!P47</f>
        <v>8.0875356803044723E-3</v>
      </c>
      <c r="R47" s="701" t="s">
        <v>321</v>
      </c>
      <c r="S47" s="701" t="s">
        <v>321</v>
      </c>
      <c r="T47" s="701" t="s">
        <v>321</v>
      </c>
      <c r="U47" s="701" t="s">
        <v>321</v>
      </c>
      <c r="V47" s="701" t="s">
        <v>321</v>
      </c>
      <c r="W47" s="701" t="s">
        <v>321</v>
      </c>
      <c r="X47" s="701" t="s">
        <v>321</v>
      </c>
      <c r="AD47" s="43"/>
      <c r="AE47" s="179"/>
      <c r="AF47" s="180"/>
      <c r="AG47" s="179"/>
      <c r="AH47" s="39"/>
      <c r="AI47" s="43"/>
      <c r="AJ47" s="43"/>
      <c r="AK47" s="43"/>
      <c r="AL47" s="43"/>
    </row>
    <row r="48" spans="1:38" ht="15" customHeight="1">
      <c r="A48" s="5" t="s">
        <v>303</v>
      </c>
      <c r="B48" s="6">
        <f>+GETPIVOTDATA(" New-Less Than 2-Year",'Pivot Table for 1-11'!$A$3,"State","LA","SREB Type2","Four-Year")+GETPIVOTDATA(" New-2 But Less Than 4-Year",'Pivot Table for 1-11'!$A$3,"State","LA","SREB Type2","Four-Year")</f>
        <v>0</v>
      </c>
      <c r="C48" s="6">
        <f>+GETPIVOTDATA(" New-Associate's",'Pivot Table for 1-11'!$A$3,"State","LA","SREB Type2","Four-Year")</f>
        <v>826</v>
      </c>
      <c r="D48" s="6">
        <f>+GETPIVOTDATA(" New-Bachelor's",'Pivot Table for 1-11'!$A$3,"State","LA","SREB Type2","Four-Year")</f>
        <v>17497</v>
      </c>
      <c r="E48" s="6">
        <f>+GETPIVOTDATA(" New-Post-Bachelor's",'Pivot Table for 1-11'!$A$3,"State","LA","SREB Type2","Four-Year")</f>
        <v>21</v>
      </c>
      <c r="F48" s="6">
        <f>+GETPIVOTDATA(" New-Total Master's#",'Pivot Table for 1-11'!$A$3,"State","LA","SREB Type2","Four-Year")</f>
        <v>4212</v>
      </c>
      <c r="G48" s="6">
        <f>+GETPIVOTDATA(" New-Total Doctorates#",'Pivot Table for 1-11'!$A$3,"State","LA","SREB Type2","Four-Year")</f>
        <v>394</v>
      </c>
      <c r="H48" s="17">
        <f>+GETPIVOTDATA(" New-Law",'Pivot Table for 1-11'!$A$3,"State","LA","SREB Type2","Four-Year")</f>
        <v>307</v>
      </c>
      <c r="I48" s="6">
        <f>+GETPIVOTDATA(" New-Medicine",'Pivot Table for 1-11'!$A$3,"State","LA","SREB Type2","Four-Year")</f>
        <v>0</v>
      </c>
      <c r="J48" s="6">
        <f>+GETPIVOTDATA(" New-Dentistry",'Pivot Table for 1-11'!$A$3,"State","LA","SREB Type2","Four-Year")</f>
        <v>0</v>
      </c>
      <c r="K48" s="6">
        <f>+GETPIVOTDATA(" New-Pharmacy",'Pivot Table for 1-11'!$A$3,"State","LA","SREB Type2","Four-Year")</f>
        <v>91</v>
      </c>
      <c r="L48" s="6">
        <f>+GETPIVOTDATA(" New-Optometry",'Pivot Table for 1-11'!$A$3,"State","LA","SREB Type2","Four-Year")</f>
        <v>0</v>
      </c>
      <c r="M48" s="6">
        <f>+GETPIVOTDATA(" New-Osteopathic Medicine",'Pivot Table for 1-11'!$A$3,"State","LA","SREB Type2","Four-Year")</f>
        <v>0</v>
      </c>
      <c r="N48" s="181">
        <f>+GETPIVOTDATA(" New-Veterinary Medicine",'Pivot Table for 1-11'!$A$3,"State","LA","SREB Type2","Four-Year")</f>
        <v>81</v>
      </c>
      <c r="O48" s="198">
        <f>+GETPIVOTDATA(" New-Oth PP",'Pivot Table for 1-11'!$A$3,"State","LA","SREB Type2","Four-Year")</f>
        <v>0</v>
      </c>
      <c r="P48" s="182">
        <f t="shared" si="1"/>
        <v>23429</v>
      </c>
      <c r="Q48" s="715">
        <f>('New Tables 1-12'!P48-'Old 1-12'!P48)/'Old 1-12'!P48</f>
        <v>1.0960086299892126E-2</v>
      </c>
      <c r="R48" s="701" t="s">
        <v>321</v>
      </c>
      <c r="S48" s="701" t="s">
        <v>321</v>
      </c>
      <c r="T48" s="701" t="s">
        <v>321</v>
      </c>
      <c r="U48" s="701" t="s">
        <v>321</v>
      </c>
      <c r="V48" s="701" t="s">
        <v>321</v>
      </c>
      <c r="W48" s="701" t="s">
        <v>321</v>
      </c>
      <c r="X48" s="701" t="s">
        <v>321</v>
      </c>
      <c r="AD48" s="43"/>
      <c r="AE48" s="179"/>
      <c r="AF48" s="180"/>
      <c r="AG48" s="179"/>
      <c r="AH48" s="39"/>
      <c r="AI48" s="43"/>
      <c r="AJ48" s="43"/>
      <c r="AK48" s="43"/>
      <c r="AL48" s="43"/>
    </row>
    <row r="49" spans="1:38" ht="15" customHeight="1">
      <c r="A49" s="5" t="s">
        <v>304</v>
      </c>
      <c r="B49" s="6">
        <f>+GETPIVOTDATA(" New-Less Than 2-Year",'Pivot Table for 1-11'!$A$3,"State","MD","SREB Type2","Four-Year")+GETPIVOTDATA(" New-2 But Less Than 4-Year",'Pivot Table for 1-11'!$A$3,"State","MD","SREB Type2","Four-Year")</f>
        <v>199</v>
      </c>
      <c r="C49" s="6">
        <f>+GETPIVOTDATA(" New-Associate's",'Pivot Table for 1-11'!$A$3,"State","MD","SREB Type2","Four-Year")</f>
        <v>0</v>
      </c>
      <c r="D49" s="6">
        <f>+GETPIVOTDATA(" New-Bachelor's",'Pivot Table for 1-11'!$A$3,"State","MD","SREB Type2","Four-Year")</f>
        <v>17477</v>
      </c>
      <c r="E49" s="6">
        <f>+GETPIVOTDATA(" New-Post-Bachelor's",'Pivot Table for 1-11'!$A$3,"State","MD","SREB Type2","Four-Year")</f>
        <v>0</v>
      </c>
      <c r="F49" s="6">
        <f>+GETPIVOTDATA(" New-Total Master's#",'Pivot Table for 1-11'!$A$3,"State","MD","SREB Type2","Four-Year")</f>
        <v>5151</v>
      </c>
      <c r="G49" s="6">
        <f>+GETPIVOTDATA(" New-Total Doctorates#",'Pivot Table for 1-11'!$A$3,"State","MD","SREB Type2","Four-Year")</f>
        <v>735</v>
      </c>
      <c r="H49" s="17">
        <f>+GETPIVOTDATA(" New-Law",'Pivot Table for 1-11'!$A$3,"State","MD","SREB Type2","Four-Year")</f>
        <v>306</v>
      </c>
      <c r="I49" s="6">
        <f>+GETPIVOTDATA(" New-Medicine",'Pivot Table for 1-11'!$A$3,"State","MD","SREB Type2","Four-Year")</f>
        <v>0</v>
      </c>
      <c r="J49" s="6">
        <f>+GETPIVOTDATA(" New-Dentistry",'Pivot Table for 1-11'!$A$3,"State","MD","SREB Type2","Four-Year")</f>
        <v>0</v>
      </c>
      <c r="K49" s="6">
        <f>+GETPIVOTDATA(" New-Pharmacy",'Pivot Table for 1-11'!$A$3,"State","MD","SREB Type2","Four-Year")</f>
        <v>0</v>
      </c>
      <c r="L49" s="6">
        <f>+GETPIVOTDATA(" New-Optometry",'Pivot Table for 1-11'!$A$3,"State","MD","SREB Type2","Four-Year")</f>
        <v>0</v>
      </c>
      <c r="M49" s="6">
        <f>+GETPIVOTDATA(" New-Osteopathic Medicine",'Pivot Table for 1-11'!$A$3,"State","MD","SREB Type2","Four-Year")</f>
        <v>0</v>
      </c>
      <c r="N49" s="181">
        <f>+GETPIVOTDATA(" New-Veterinary Medicine",'Pivot Table for 1-11'!$A$3,"State","MD","SREB Type2","Four-Year")</f>
        <v>0</v>
      </c>
      <c r="O49" s="198">
        <f>+GETPIVOTDATA(" New-Oth PP",'Pivot Table for 1-11'!$A$3,"State","MD","SREB Type2","Four-Year")</f>
        <v>71</v>
      </c>
      <c r="P49" s="182">
        <f t="shared" si="1"/>
        <v>23939</v>
      </c>
      <c r="Q49" s="715">
        <f>('New Tables 1-12'!P49-'Old 1-12'!P49)/'Old 1-12'!P49</f>
        <v>1.7901182073305554E-2</v>
      </c>
      <c r="R49" s="701" t="s">
        <v>321</v>
      </c>
      <c r="S49" s="701" t="s">
        <v>321</v>
      </c>
      <c r="T49" s="701" t="s">
        <v>321</v>
      </c>
      <c r="U49" s="701" t="s">
        <v>321</v>
      </c>
      <c r="V49" s="701" t="s">
        <v>321</v>
      </c>
      <c r="W49" s="701" t="s">
        <v>321</v>
      </c>
      <c r="X49" s="701" t="s">
        <v>321</v>
      </c>
      <c r="AD49" s="43"/>
      <c r="AE49" s="179"/>
      <c r="AF49" s="180"/>
      <c r="AG49" s="179"/>
      <c r="AH49" s="39"/>
      <c r="AI49" s="43"/>
      <c r="AJ49" s="43"/>
      <c r="AK49" s="43"/>
      <c r="AL49" s="43"/>
    </row>
    <row r="50" spans="1:38" ht="15" customHeight="1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181"/>
      <c r="O50" s="198"/>
      <c r="P50" s="182"/>
      <c r="Q50" s="715"/>
      <c r="R50" s="701"/>
      <c r="S50" s="701"/>
      <c r="T50" s="701"/>
      <c r="U50" s="701"/>
      <c r="V50" s="701"/>
      <c r="W50" s="701"/>
      <c r="X50" s="701"/>
      <c r="AD50" s="43"/>
      <c r="AE50" s="179"/>
      <c r="AF50" s="180"/>
      <c r="AG50" s="179"/>
      <c r="AH50" s="39"/>
      <c r="AI50" s="43"/>
      <c r="AJ50" s="43"/>
      <c r="AK50" s="43"/>
      <c r="AL50" s="43"/>
    </row>
    <row r="51" spans="1:38" ht="15" customHeight="1">
      <c r="A51" s="5" t="s">
        <v>305</v>
      </c>
      <c r="B51" s="6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6">
        <f>+GETPIVOTDATA(" New-Associate's",'Pivot Table for 1-11'!$A$3,"State","MS","SREB Type2","Four-Year")</f>
        <v>60</v>
      </c>
      <c r="D51" s="6">
        <f>+GETPIVOTDATA(" New-Bachelor's",'Pivot Table for 1-11'!$A$3,"State","MS","SREB Type2","Four-Year")</f>
        <v>10193</v>
      </c>
      <c r="E51" s="6">
        <f>+GETPIVOTDATA(" New-Post-Bachelor's",'Pivot Table for 1-11'!$A$3,"State","MS","SREB Type2","Four-Year")</f>
        <v>0</v>
      </c>
      <c r="F51" s="6">
        <f>+GETPIVOTDATA(" New-Total Master's#",'Pivot Table for 1-11'!$A$3,"State","MS","SREB Type2","Four-Year")</f>
        <v>3124</v>
      </c>
      <c r="G51" s="6">
        <f>+GETPIVOTDATA(" New-Total Doctorates#",'Pivot Table for 1-11'!$A$3,"State","MS","SREB Type2","Four-Year")</f>
        <v>413</v>
      </c>
      <c r="H51" s="17">
        <f>+GETPIVOTDATA(" New-Law",'Pivot Table for 1-11'!$A$3,"State","MS","SREB Type2","Four-Year")</f>
        <v>163</v>
      </c>
      <c r="I51" s="6">
        <f>+GETPIVOTDATA(" New-Medicine",'Pivot Table for 1-11'!$A$3,"State","MS","SREB Type2","Four-Year")</f>
        <v>0</v>
      </c>
      <c r="J51" s="6">
        <f>+GETPIVOTDATA(" New-Dentistry",'Pivot Table for 1-11'!$A$3,"State","MS","SREB Type2","Four-Year")</f>
        <v>0</v>
      </c>
      <c r="K51" s="6">
        <f>+GETPIVOTDATA(" New-Pharmacy",'Pivot Table for 1-11'!$A$3,"State","MS","SREB Type2","Four-Year")</f>
        <v>75</v>
      </c>
      <c r="L51" s="6">
        <f>+GETPIVOTDATA(" New-Optometry",'Pivot Table for 1-11'!$A$3,"State","MS","SREB Type2","Four-Year")</f>
        <v>0</v>
      </c>
      <c r="M51" s="6">
        <f>+GETPIVOTDATA(" New-Osteopathic Medicine",'Pivot Table for 1-11'!$A$3,"State","MS","SREB Type2","Four-Year")</f>
        <v>0</v>
      </c>
      <c r="N51" s="181">
        <f>+GETPIVOTDATA(" New-Veterinary Medicine",'Pivot Table for 1-11'!$A$3,"State","MS","SREB Type2","Four-Year")</f>
        <v>67</v>
      </c>
      <c r="O51" s="198">
        <f>+GETPIVOTDATA(" New-Oth PP",'Pivot Table for 1-11'!$A$3,"State","MS","SREB Type2","Four-Year")</f>
        <v>0</v>
      </c>
      <c r="P51" s="182">
        <f t="shared" si="1"/>
        <v>14095</v>
      </c>
      <c r="Q51" s="715">
        <f>('New Tables 1-12'!P51-'Old 1-12'!P51)/'Old 1-12'!P51</f>
        <v>1.9234941065876057E-2</v>
      </c>
      <c r="R51" s="701" t="s">
        <v>321</v>
      </c>
      <c r="S51" s="701" t="s">
        <v>321</v>
      </c>
      <c r="T51" s="701" t="s">
        <v>321</v>
      </c>
      <c r="U51" s="701" t="s">
        <v>321</v>
      </c>
      <c r="V51" s="701" t="s">
        <v>321</v>
      </c>
      <c r="W51" s="701" t="s">
        <v>321</v>
      </c>
      <c r="X51" s="701" t="s">
        <v>321</v>
      </c>
      <c r="AD51" s="43"/>
      <c r="AE51" s="179"/>
      <c r="AF51" s="180"/>
      <c r="AG51" s="179"/>
      <c r="AH51" s="39"/>
      <c r="AI51" s="43"/>
      <c r="AJ51" s="43"/>
      <c r="AK51" s="43"/>
      <c r="AL51" s="43"/>
    </row>
    <row r="52" spans="1:38" ht="15" customHeight="1">
      <c r="A52" s="5" t="s">
        <v>306</v>
      </c>
      <c r="B52" s="6">
        <f>+GETPIVOTDATA(" New-Less Than 2-Year",'Pivot Table for 1-11'!$A$3,"State","NC","SREB Type2","Four-Year")+GETPIVOTDATA(" New-2 But Less Than 4-Year",'Pivot Table for 1-11'!$A$3,"State","NC","SREB Type2","Four-Year")</f>
        <v>20</v>
      </c>
      <c r="C52" s="6">
        <f>+GETPIVOTDATA(" New-Associate's",'Pivot Table for 1-11'!$A$3,"State","NC","SREB Type2","Four-Year")</f>
        <v>182</v>
      </c>
      <c r="D52" s="6">
        <f>+GETPIVOTDATA(" New-Bachelor's",'Pivot Table for 1-11'!$A$3,"State","NC","SREB Type2","Four-Year")</f>
        <v>30905</v>
      </c>
      <c r="E52" s="6">
        <f>+GETPIVOTDATA(" New-Post-Bachelor's",'Pivot Table for 1-11'!$A$3,"State","NC","SREB Type2","Four-Year")</f>
        <v>68</v>
      </c>
      <c r="F52" s="6">
        <f>+GETPIVOTDATA(" New-Total Master's#",'Pivot Table for 1-11'!$A$3,"State","NC","SREB Type2","Four-Year")</f>
        <v>10110</v>
      </c>
      <c r="G52" s="6">
        <f>+GETPIVOTDATA(" New-Total Doctorates#",'Pivot Table for 1-11'!$A$3,"State","NC","SREB Type2","Four-Year")</f>
        <v>1249</v>
      </c>
      <c r="H52" s="17">
        <f>+GETPIVOTDATA(" New-Law",'Pivot Table for 1-11'!$A$3,"State","NC","SREB Type2","Four-Year")</f>
        <v>419</v>
      </c>
      <c r="I52" s="6">
        <f>+GETPIVOTDATA(" New-Medicine",'Pivot Table for 1-11'!$A$3,"State","NC","SREB Type2","Four-Year")</f>
        <v>222</v>
      </c>
      <c r="J52" s="6">
        <f>+GETPIVOTDATA(" New-Dentistry",'Pivot Table for 1-11'!$A$3,"State","NC","SREB Type2","Four-Year")</f>
        <v>82</v>
      </c>
      <c r="K52" s="6">
        <f>+GETPIVOTDATA(" New-Pharmacy",'Pivot Table for 1-11'!$A$3,"State","NC","SREB Type2","Four-Year")</f>
        <v>151</v>
      </c>
      <c r="L52" s="6">
        <f>+GETPIVOTDATA(" New-Optometry",'Pivot Table for 1-11'!$A$3,"State","NC","SREB Type2","Four-Year")</f>
        <v>0</v>
      </c>
      <c r="M52" s="6">
        <f>+GETPIVOTDATA(" New-Osteopathic Medicine",'Pivot Table for 1-11'!$A$3,"State","NC","SREB Type2","Four-Year")</f>
        <v>0</v>
      </c>
      <c r="N52" s="181">
        <f>+GETPIVOTDATA(" New-Veterinary Medicine",'Pivot Table for 1-11'!$A$3,"State","NC","SREB Type2","Four-Year")</f>
        <v>73</v>
      </c>
      <c r="O52" s="198">
        <f>+GETPIVOTDATA(" New-Oth PP",'Pivot Table for 1-11'!$A$3,"State","NC","SREB Type2","Four-Year")</f>
        <v>0</v>
      </c>
      <c r="P52" s="182">
        <f t="shared" si="1"/>
        <v>43481</v>
      </c>
      <c r="Q52" s="715">
        <f>('New Tables 1-12'!P52-'Old 1-12'!P52)/'Old 1-12'!P52</f>
        <v>3.7386076251371858E-2</v>
      </c>
      <c r="R52" s="701" t="s">
        <v>321</v>
      </c>
      <c r="S52" s="701" t="s">
        <v>321</v>
      </c>
      <c r="T52" s="701" t="s">
        <v>321</v>
      </c>
      <c r="U52" s="701" t="s">
        <v>321</v>
      </c>
      <c r="V52" s="701" t="s">
        <v>321</v>
      </c>
      <c r="W52" s="701" t="s">
        <v>321</v>
      </c>
      <c r="X52" s="701" t="s">
        <v>321</v>
      </c>
      <c r="AD52" s="43"/>
      <c r="AE52" s="179"/>
      <c r="AF52" s="180"/>
      <c r="AG52" s="179"/>
      <c r="AH52" s="39"/>
      <c r="AI52" s="43"/>
      <c r="AJ52" s="43"/>
      <c r="AK52" s="43"/>
      <c r="AL52" s="43"/>
    </row>
    <row r="53" spans="1:38" ht="15" customHeight="1">
      <c r="A53" s="5" t="s">
        <v>307</v>
      </c>
      <c r="B53" s="6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6">
        <f>+GETPIVOTDATA(" New-Associate's",'Pivot Table for 1-11'!$A$3,"State","OK","SREB Type2","Four-Year")</f>
        <v>559</v>
      </c>
      <c r="D53" s="6">
        <f>+GETPIVOTDATA(" New-Bachelor's",'Pivot Table for 1-11'!$A$3,"State","OK","SREB Type2","Four-Year")</f>
        <v>15874</v>
      </c>
      <c r="E53" s="6">
        <f>+GETPIVOTDATA(" New-Post-Bachelor's",'Pivot Table for 1-11'!$A$3,"State","OK","SREB Type2","Four-Year")</f>
        <v>87</v>
      </c>
      <c r="F53" s="6">
        <f>+GETPIVOTDATA(" New-Total Master's#",'Pivot Table for 1-11'!$A$3,"State","OK","SREB Type2","Four-Year")</f>
        <v>4569</v>
      </c>
      <c r="G53" s="6">
        <f>+GETPIVOTDATA(" New-Total Doctorates#",'Pivot Table for 1-11'!$A$3,"State","OK","SREB Type2","Four-Year")</f>
        <v>377</v>
      </c>
      <c r="H53" s="17">
        <f>+GETPIVOTDATA(" New-Law",'Pivot Table for 1-11'!$A$3,"State","OK","SREB Type2","Four-Year")</f>
        <v>156</v>
      </c>
      <c r="I53" s="6">
        <f>+GETPIVOTDATA(" New-Medicine",'Pivot Table for 1-11'!$A$3,"State","OK","SREB Type2","Four-Year")</f>
        <v>148</v>
      </c>
      <c r="J53" s="6">
        <f>+GETPIVOTDATA(" New-Dentistry",'Pivot Table for 1-11'!$A$3,"State","OK","SREB Type2","Four-Year")</f>
        <v>55</v>
      </c>
      <c r="K53" s="6">
        <f>+GETPIVOTDATA(" New-Pharmacy",'Pivot Table for 1-11'!$A$3,"State","OK","SREB Type2","Four-Year")</f>
        <v>210</v>
      </c>
      <c r="L53" s="6">
        <f>+GETPIVOTDATA(" New-Optometry",'Pivot Table for 1-11'!$A$3,"State","OK","SREB Type2","Four-Year")</f>
        <v>26</v>
      </c>
      <c r="M53" s="6">
        <f>+GETPIVOTDATA(" New-Osteopathic Medicine",'Pivot Table for 1-11'!$A$3,"State","OK","SREB Type2","Four-Year")</f>
        <v>75</v>
      </c>
      <c r="N53" s="181">
        <f>+GETPIVOTDATA(" New-Veterinary Medicine",'Pivot Table for 1-11'!$A$3,"State","OK","SREB Type2","Four-Year")</f>
        <v>78</v>
      </c>
      <c r="O53" s="198">
        <f>+GETPIVOTDATA(" New-Oth PP",'Pivot Table for 1-11'!$A$3,"State","OK","SREB Type2","Four-Year")</f>
        <v>75</v>
      </c>
      <c r="P53" s="182">
        <f t="shared" si="1"/>
        <v>22289</v>
      </c>
      <c r="Q53" s="715">
        <f>('New Tables 1-12'!P53-'Old 1-12'!P53)/'Old 1-12'!P53</f>
        <v>4.8746059379852255E-2</v>
      </c>
      <c r="R53" s="701" t="s">
        <v>321</v>
      </c>
      <c r="S53" s="701" t="s">
        <v>321</v>
      </c>
      <c r="T53" s="701" t="s">
        <v>321</v>
      </c>
      <c r="U53" s="701" t="s">
        <v>321</v>
      </c>
      <c r="V53" s="701" t="s">
        <v>321</v>
      </c>
      <c r="W53" s="701" t="s">
        <v>321</v>
      </c>
      <c r="X53" s="701" t="s">
        <v>321</v>
      </c>
      <c r="AD53" s="43"/>
      <c r="AE53" s="179"/>
      <c r="AF53" s="180"/>
      <c r="AG53" s="179"/>
      <c r="AH53" s="39"/>
      <c r="AI53" s="43"/>
      <c r="AJ53" s="43"/>
      <c r="AK53" s="43"/>
      <c r="AL53" s="43"/>
    </row>
    <row r="54" spans="1:38" ht="15" customHeight="1">
      <c r="A54" s="5" t="s">
        <v>308</v>
      </c>
      <c r="B54" s="6">
        <f>+GETPIVOTDATA(" New-Less Than 2-Year",'Pivot Table for 1-11'!$A$3,"State","SC","SREB Type2","Four-Year")+GETPIVOTDATA(" New-2 But Less Than 4-Year",'Pivot Table for 1-11'!$A$3,"State","SC","SREB Type2","Four-Year")</f>
        <v>20</v>
      </c>
      <c r="C54" s="6">
        <f>+GETPIVOTDATA(" New-Associate's",'Pivot Table for 1-11'!$A$3,"State","SC","SREB Type2","Four-Year")</f>
        <v>10</v>
      </c>
      <c r="D54" s="6">
        <f>+GETPIVOTDATA(" New-Bachelor's",'Pivot Table for 1-11'!$A$3,"State","SC","SREB Type2","Four-Year")</f>
        <v>14973</v>
      </c>
      <c r="E54" s="6">
        <f>+GETPIVOTDATA(" New-Post-Bachelor's",'Pivot Table for 1-11'!$A$3,"State","SC","SREB Type2","Four-Year")</f>
        <v>71</v>
      </c>
      <c r="F54" s="6">
        <f>+GETPIVOTDATA(" New-Total Master's#",'Pivot Table for 1-11'!$A$3,"State","SC","SREB Type2","Four-Year")</f>
        <v>3526</v>
      </c>
      <c r="G54" s="6">
        <f>+GETPIVOTDATA(" New-Total Doctorates#",'Pivot Table for 1-11'!$A$3,"State","SC","SREB Type2","Four-Year")</f>
        <v>461</v>
      </c>
      <c r="H54" s="17">
        <f>+GETPIVOTDATA(" New-Law",'Pivot Table for 1-11'!$A$3,"State","SC","SREB Type2","Four-Year")</f>
        <v>245</v>
      </c>
      <c r="I54" s="6">
        <f>+GETPIVOTDATA(" New-Medicine",'Pivot Table for 1-11'!$A$3,"State","SC","SREB Type2","Four-Year")</f>
        <v>68</v>
      </c>
      <c r="J54" s="6">
        <f>+GETPIVOTDATA(" New-Dentistry",'Pivot Table for 1-11'!$A$3,"State","SC","SREB Type2","Four-Year")</f>
        <v>0</v>
      </c>
      <c r="K54" s="6">
        <f>+GETPIVOTDATA(" New-Pharmacy",'Pivot Table for 1-11'!$A$3,"State","SC","SREB Type2","Four-Year")</f>
        <v>120</v>
      </c>
      <c r="L54" s="6">
        <f>+GETPIVOTDATA(" New-Optometry",'Pivot Table for 1-11'!$A$3,"State","SC","SREB Type2","Four-Year")</f>
        <v>0</v>
      </c>
      <c r="M54" s="6">
        <f>+GETPIVOTDATA(" New-Osteopathic Medicine",'Pivot Table for 1-11'!$A$3,"State","SC","SREB Type2","Four-Year")</f>
        <v>0</v>
      </c>
      <c r="N54" s="181">
        <f>+GETPIVOTDATA(" New-Veterinary Medicine",'Pivot Table for 1-11'!$A$3,"State","SC","SREB Type2","Four-Year")</f>
        <v>0</v>
      </c>
      <c r="O54" s="198">
        <f>+GETPIVOTDATA(" New-Oth PP",'Pivot Table for 1-11'!$A$3,"State","SC","SREB Type2","Four-Year")</f>
        <v>0</v>
      </c>
      <c r="P54" s="182">
        <f t="shared" si="1"/>
        <v>19494</v>
      </c>
      <c r="Q54" s="715">
        <f>('New Tables 1-12'!P54-'Old 1-12'!P54)/'Old 1-12'!P54</f>
        <v>2.773091522564319E-2</v>
      </c>
      <c r="R54" s="701" t="s">
        <v>321</v>
      </c>
      <c r="S54" s="701" t="s">
        <v>321</v>
      </c>
      <c r="T54" s="701" t="s">
        <v>321</v>
      </c>
      <c r="U54" s="701" t="s">
        <v>321</v>
      </c>
      <c r="V54" s="701" t="s">
        <v>321</v>
      </c>
      <c r="W54" s="701" t="s">
        <v>321</v>
      </c>
      <c r="X54" s="701" t="s">
        <v>321</v>
      </c>
      <c r="AD54" s="43"/>
      <c r="AE54" s="179"/>
      <c r="AF54" s="180"/>
      <c r="AG54" s="179"/>
      <c r="AH54" s="39"/>
      <c r="AI54" s="43"/>
      <c r="AJ54" s="43"/>
      <c r="AK54" s="43"/>
      <c r="AL54" s="43"/>
    </row>
    <row r="55" spans="1:38" ht="11.25" customHeight="1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181"/>
      <c r="O55" s="198"/>
      <c r="P55" s="182"/>
      <c r="Q55" s="715"/>
      <c r="R55" s="701"/>
      <c r="S55" s="701"/>
      <c r="T55" s="701"/>
      <c r="U55" s="701"/>
      <c r="V55" s="701"/>
      <c r="W55" s="701"/>
      <c r="X55" s="701"/>
      <c r="AD55" s="43"/>
      <c r="AE55" s="179"/>
      <c r="AF55" s="180"/>
      <c r="AG55" s="179"/>
      <c r="AH55" s="39"/>
      <c r="AI55" s="43"/>
      <c r="AJ55" s="43"/>
      <c r="AK55" s="43"/>
      <c r="AL55" s="43"/>
    </row>
    <row r="56" spans="1:38" ht="15" customHeight="1">
      <c r="A56" s="5" t="s">
        <v>309</v>
      </c>
      <c r="B56" s="6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6">
        <f>+GETPIVOTDATA(" New-Associate's",'Pivot Table for 1-11'!$A$3,"State","TN","SREB Type2","Four-Year")</f>
        <v>230</v>
      </c>
      <c r="D56" s="6">
        <f>+GETPIVOTDATA(" New-Bachelor's",'Pivot Table for 1-11'!$A$3,"State","TN","SREB Type2","Four-Year")</f>
        <v>16505</v>
      </c>
      <c r="E56" s="6">
        <f>+GETPIVOTDATA(" New-Post-Bachelor's",'Pivot Table for 1-11'!$A$3,"State","TN","SREB Type2","Four-Year")</f>
        <v>0</v>
      </c>
      <c r="F56" s="6">
        <f>+GETPIVOTDATA(" New-Total Master's#",'Pivot Table for 1-11'!$A$3,"State","TN","SREB Type2","Four-Year")</f>
        <v>6374</v>
      </c>
      <c r="G56" s="6">
        <f>+GETPIVOTDATA(" New-Total Doctorates#",'Pivot Table for 1-11'!$A$3,"State","TN","SREB Type2","Four-Year")</f>
        <v>635</v>
      </c>
      <c r="H56" s="17">
        <f>+GETPIVOTDATA(" New-Law",'Pivot Table for 1-11'!$A$3,"State","TN","SREB Type2","Four-Year")</f>
        <v>260</v>
      </c>
      <c r="I56" s="6">
        <f>+GETPIVOTDATA(" New-Medicine",'Pivot Table for 1-11'!$A$3,"State","TN","SREB Type2","Four-Year")</f>
        <v>61</v>
      </c>
      <c r="J56" s="6">
        <f>+GETPIVOTDATA(" New-Dentistry",'Pivot Table for 1-11'!$A$3,"State","TN","SREB Type2","Four-Year")</f>
        <v>0</v>
      </c>
      <c r="K56" s="6">
        <f>+GETPIVOTDATA(" New-Pharmacy",'Pivot Table for 1-11'!$A$3,"State","TN","SREB Type2","Four-Year")</f>
        <v>0</v>
      </c>
      <c r="L56" s="6">
        <f>+GETPIVOTDATA(" New-Optometry",'Pivot Table for 1-11'!$A$3,"State","TN","SREB Type2","Four-Year")</f>
        <v>0</v>
      </c>
      <c r="M56" s="6">
        <f>+GETPIVOTDATA(" New-Osteopathic Medicine",'Pivot Table for 1-11'!$A$3,"State","TN","SREB Type2","Four-Year")</f>
        <v>0</v>
      </c>
      <c r="N56" s="181">
        <f>+GETPIVOTDATA(" New-Veterinary Medicine",'Pivot Table for 1-11'!$A$3,"State","TN","SREB Type2","Four-Year")</f>
        <v>61</v>
      </c>
      <c r="O56" s="198">
        <f>+GETPIVOTDATA(" New-Oth PP",'Pivot Table for 1-11'!$A$3,"State","TN","SREB Type2","Four-Year")</f>
        <v>0</v>
      </c>
      <c r="P56" s="182">
        <f t="shared" si="1"/>
        <v>24126</v>
      </c>
      <c r="Q56" s="715">
        <f>('New Tables 1-12'!P56-'Old 1-12'!P56)/'Old 1-12'!P56</f>
        <v>1.0724759111855886E-2</v>
      </c>
      <c r="R56" s="701" t="s">
        <v>321</v>
      </c>
      <c r="S56" s="701" t="s">
        <v>321</v>
      </c>
      <c r="T56" s="701" t="s">
        <v>321</v>
      </c>
      <c r="U56" s="701" t="s">
        <v>321</v>
      </c>
      <c r="V56" s="701" t="s">
        <v>321</v>
      </c>
      <c r="W56" s="701" t="s">
        <v>321</v>
      </c>
      <c r="X56" s="701" t="s">
        <v>321</v>
      </c>
      <c r="AD56" s="43"/>
      <c r="AE56" s="179"/>
      <c r="AF56" s="180"/>
      <c r="AG56" s="179"/>
      <c r="AH56" s="39"/>
      <c r="AI56" s="43"/>
      <c r="AJ56" s="43"/>
      <c r="AK56" s="43"/>
      <c r="AL56" s="43"/>
    </row>
    <row r="57" spans="1:38" ht="15" customHeight="1">
      <c r="A57" s="5" t="s">
        <v>310</v>
      </c>
      <c r="B57" s="6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6">
        <f>+GETPIVOTDATA(" New-Associate's",'Pivot Table for 1-11'!$A$3,"State","TX","SREB Type2","Four-Year")</f>
        <v>252</v>
      </c>
      <c r="D57" s="6">
        <f>+GETPIVOTDATA(" New-Bachelor's",'Pivot Table for 1-11'!$A$3,"State","TX","SREB Type2","Four-Year")</f>
        <v>79420</v>
      </c>
      <c r="E57" s="6">
        <f>+GETPIVOTDATA(" New-Post-Bachelor's",'Pivot Table for 1-11'!$A$3,"State","TX","SREB Type2","Four-Year")</f>
        <v>0</v>
      </c>
      <c r="F57" s="6">
        <f>+GETPIVOTDATA(" New-Total Master's#",'Pivot Table for 1-11'!$A$3,"State","TX","SREB Type2","Four-Year")</f>
        <v>27111</v>
      </c>
      <c r="G57" s="6">
        <f>+GETPIVOTDATA(" New-Total Doctorates#",'Pivot Table for 1-11'!$A$3,"State","TX","SREB Type2","Four-Year")</f>
        <v>2664</v>
      </c>
      <c r="H57" s="17">
        <f>+GETPIVOTDATA(" New-Law",'Pivot Table for 1-11'!$A$3,"State","TX","SREB Type2","Four-Year")</f>
        <v>1121</v>
      </c>
      <c r="I57" s="6">
        <f>+GETPIVOTDATA(" New-Medicine",'Pivot Table for 1-11'!$A$3,"State","TX","SREB Type2","Four-Year")</f>
        <v>0</v>
      </c>
      <c r="J57" s="6">
        <f>+GETPIVOTDATA(" New-Dentistry",'Pivot Table for 1-11'!$A$3,"State","TX","SREB Type2","Four-Year")</f>
        <v>0</v>
      </c>
      <c r="K57" s="6">
        <f>+GETPIVOTDATA(" New-Pharmacy",'Pivot Table for 1-11'!$A$3,"State","TX","SREB Type2","Four-Year")</f>
        <v>366</v>
      </c>
      <c r="L57" s="6">
        <f>+GETPIVOTDATA(" New-Optometry",'Pivot Table for 1-11'!$A$3,"State","TX","SREB Type2","Four-Year")</f>
        <v>87</v>
      </c>
      <c r="M57" s="6">
        <f>+GETPIVOTDATA(" New-Osteopathic Medicine",'Pivot Table for 1-11'!$A$3,"State","TX","SREB Type2","Four-Year")</f>
        <v>0</v>
      </c>
      <c r="N57" s="181">
        <f>+GETPIVOTDATA(" New-Veterinary Medicine",'Pivot Table for 1-11'!$A$3,"State","TX","SREB Type2","Four-Year")</f>
        <v>119</v>
      </c>
      <c r="O57" s="198">
        <f>+GETPIVOTDATA(" New-Oth PP",'Pivot Table for 1-11'!$A$3,"State","TX","SREB Type2","Four-Year")</f>
        <v>27</v>
      </c>
      <c r="P57" s="182">
        <f t="shared" si="1"/>
        <v>111167</v>
      </c>
      <c r="Q57" s="715">
        <f>('New Tables 1-12'!P57-'Old 1-12'!P57)/'Old 1-12'!P57</f>
        <v>4.2969592914708171E-2</v>
      </c>
      <c r="R57" s="701" t="s">
        <v>321</v>
      </c>
      <c r="S57" s="701" t="s">
        <v>321</v>
      </c>
      <c r="T57" s="701" t="s">
        <v>321</v>
      </c>
      <c r="U57" s="701" t="s">
        <v>321</v>
      </c>
      <c r="V57" s="701" t="s">
        <v>321</v>
      </c>
      <c r="W57" s="701" t="s">
        <v>321</v>
      </c>
      <c r="X57" s="701" t="s">
        <v>321</v>
      </c>
      <c r="AD57" s="43"/>
      <c r="AE57" s="43"/>
      <c r="AF57" s="43"/>
      <c r="AG57" s="43"/>
      <c r="AH57" s="43"/>
      <c r="AI57" s="43"/>
      <c r="AJ57" s="43"/>
      <c r="AK57" s="43"/>
      <c r="AL57" s="43"/>
    </row>
    <row r="58" spans="1:38" ht="15" customHeight="1">
      <c r="A58" s="5" t="s">
        <v>311</v>
      </c>
      <c r="B58" s="6">
        <f>+GETPIVOTDATA(" New-Less Than 2-Year",'Pivot Table for 1-11'!$A$3,"State","VA","SREB Type2","Four-Year")+GETPIVOTDATA(" New-2 But Less Than 4-Year",'Pivot Table for 1-11'!$A$3,"State","VA","SREB Type2","Four-Year")</f>
        <v>0</v>
      </c>
      <c r="C58" s="6">
        <f>+GETPIVOTDATA(" New-Associate's",'Pivot Table for 1-11'!$A$3,"State","VA","SREB Type2","Four-Year")</f>
        <v>119</v>
      </c>
      <c r="D58" s="6">
        <f>+GETPIVOTDATA(" New-Bachelor's",'Pivot Table for 1-11'!$A$3,"State","VA","SREB Type2","Four-Year")</f>
        <v>30725</v>
      </c>
      <c r="E58" s="6">
        <f>+GETPIVOTDATA(" New-Post-Bachelor's",'Pivot Table for 1-11'!$A$3,"State","VA","SREB Type2","Four-Year")</f>
        <v>612</v>
      </c>
      <c r="F58" s="6">
        <f>+GETPIVOTDATA(" New-Total Master's#",'Pivot Table for 1-11'!$A$3,"State","VA","SREB Type2","Four-Year")</f>
        <v>10461</v>
      </c>
      <c r="G58" s="6">
        <f>+GETPIVOTDATA(" New-Total Doctorates#",'Pivot Table for 1-11'!$A$3,"State","VA","SREB Type2","Four-Year")</f>
        <v>1329</v>
      </c>
      <c r="H58" s="17">
        <f>+GETPIVOTDATA(" New-Law",'Pivot Table for 1-11'!$A$3,"State","VA","SREB Type2","Four-Year")</f>
        <v>827</v>
      </c>
      <c r="I58" s="6">
        <f>+GETPIVOTDATA(" New-Medicine",'Pivot Table for 1-11'!$A$3,"State","VA","SREB Type2","Four-Year")</f>
        <v>316</v>
      </c>
      <c r="J58" s="6">
        <f>+GETPIVOTDATA(" New-Dentistry",'Pivot Table for 1-11'!$A$3,"State","VA","SREB Type2","Four-Year")</f>
        <v>91</v>
      </c>
      <c r="K58" s="6">
        <f>+GETPIVOTDATA(" New-Pharmacy",'Pivot Table for 1-11'!$A$3,"State","VA","SREB Type2","Four-Year")</f>
        <v>130</v>
      </c>
      <c r="L58" s="6">
        <f>+GETPIVOTDATA(" New-Optometry",'Pivot Table for 1-11'!$A$3,"State","VA","SREB Type2","Four-Year")</f>
        <v>0</v>
      </c>
      <c r="M58" s="6">
        <f>+GETPIVOTDATA(" New-Osteopathic Medicine",'Pivot Table for 1-11'!$A$3,"State","VA","SREB Type2","Four-Year")</f>
        <v>0</v>
      </c>
      <c r="N58" s="181">
        <f>+GETPIVOTDATA(" New-Veterinary Medicine",'Pivot Table for 1-11'!$A$3,"State","VA","SREB Type2","Four-Year")</f>
        <v>86</v>
      </c>
      <c r="O58" s="198">
        <f>+GETPIVOTDATA(" New-Oth PP",'Pivot Table for 1-11'!$A$3,"State","VA","SREB Type2","Four-Year")</f>
        <v>0</v>
      </c>
      <c r="P58" s="182">
        <f t="shared" si="1"/>
        <v>44696</v>
      </c>
      <c r="Q58" s="715">
        <f>('New Tables 1-12'!P58-'Old 1-12'!P58)/'Old 1-12'!P58</f>
        <v>2.692767208896241E-2</v>
      </c>
      <c r="R58" s="701" t="s">
        <v>321</v>
      </c>
      <c r="S58" s="701" t="s">
        <v>321</v>
      </c>
      <c r="T58" s="701" t="s">
        <v>321</v>
      </c>
      <c r="U58" s="701" t="s">
        <v>321</v>
      </c>
      <c r="V58" s="701" t="s">
        <v>321</v>
      </c>
      <c r="W58" s="701" t="s">
        <v>321</v>
      </c>
      <c r="X58" s="701" t="s">
        <v>321</v>
      </c>
      <c r="AD58" s="43"/>
      <c r="AE58" s="43"/>
      <c r="AF58" s="43"/>
      <c r="AG58" s="43"/>
      <c r="AH58" s="43"/>
      <c r="AI58" s="43"/>
      <c r="AJ58" s="43"/>
      <c r="AK58" s="43"/>
      <c r="AL58" s="43"/>
    </row>
    <row r="59" spans="1:38" ht="15" customHeight="1">
      <c r="A59" s="7" t="s">
        <v>312</v>
      </c>
      <c r="B59" s="8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8">
        <f>+GETPIVOTDATA(" New-Associate's",'Pivot Table for 1-11'!$A$3,"State","WV","SREB Type2","Four-Year")</f>
        <v>374</v>
      </c>
      <c r="D59" s="8">
        <f>+GETPIVOTDATA(" New-Bachelor's",'Pivot Table for 1-11'!$A$3,"State","WV","SREB Type2","Four-Year")</f>
        <v>8242</v>
      </c>
      <c r="E59" s="8">
        <f>+GETPIVOTDATA(" New-Post-Bachelor's",'Pivot Table for 1-11'!$A$3,"State","WV","SREB Type2","Four-Year")</f>
        <v>0</v>
      </c>
      <c r="F59" s="8">
        <f>+GETPIVOTDATA(" New-Total Master's#",'Pivot Table for 1-11'!$A$3,"State","WV","SREB Type2","Four-Year")</f>
        <v>2557</v>
      </c>
      <c r="G59" s="8">
        <f>+GETPIVOTDATA(" New-Total Doctorates#",'Pivot Table for 1-11'!$A$3,"State","WV","SREB Type2","Four-Year")</f>
        <v>201</v>
      </c>
      <c r="H59" s="18">
        <f>+GETPIVOTDATA(" New-Law",'Pivot Table for 1-11'!$A$3,"State","WV","SREB Type2","Four-Year")</f>
        <v>152</v>
      </c>
      <c r="I59" s="8">
        <f>+GETPIVOTDATA(" New-Medicine",'Pivot Table for 1-11'!$A$3,"State","WV","SREB Type2","Four-Year")</f>
        <v>149</v>
      </c>
      <c r="J59" s="8">
        <f>+GETPIVOTDATA(" New-Dentistry",'Pivot Table for 1-11'!$A$3,"State","WV","SREB Type2","Four-Year")</f>
        <v>43</v>
      </c>
      <c r="K59" s="8">
        <f>+GETPIVOTDATA(" New-Pharmacy",'Pivot Table for 1-11'!$A$3,"State","WV","SREB Type2","Four-Year")</f>
        <v>73</v>
      </c>
      <c r="L59" s="8">
        <f>+GETPIVOTDATA(" New-Optometry",'Pivot Table for 1-11'!$A$3,"State","WV","SREB Type2","Four-Year")</f>
        <v>0</v>
      </c>
      <c r="M59" s="8">
        <f>+GETPIVOTDATA(" New-Osteopathic Medicine",'Pivot Table for 1-11'!$A$3,"State","WV","SREB Type2","Four-Year")</f>
        <v>0</v>
      </c>
      <c r="N59" s="189">
        <f>+GETPIVOTDATA(" New-Veterinary Medicine",'Pivot Table for 1-11'!$A$3,"State","WV","SREB Type2","Four-Year")</f>
        <v>0</v>
      </c>
      <c r="O59" s="199">
        <f>+GETPIVOTDATA(" New-Oth PP",'Pivot Table for 1-11'!$A$3,"State","WV","SREB Type2","Four-Year")</f>
        <v>0</v>
      </c>
      <c r="P59" s="183">
        <f t="shared" si="1"/>
        <v>11791</v>
      </c>
      <c r="Q59" s="715">
        <f>('New Tables 1-12'!P59-'Old 1-12'!P59)/'Old 1-12'!P59</f>
        <v>-2.5378563573301752E-3</v>
      </c>
      <c r="R59" s="701" t="s">
        <v>321</v>
      </c>
      <c r="S59" s="701" t="s">
        <v>321</v>
      </c>
      <c r="T59" s="701" t="s">
        <v>321</v>
      </c>
      <c r="U59" s="701" t="s">
        <v>321</v>
      </c>
      <c r="V59" s="701" t="s">
        <v>321</v>
      </c>
      <c r="W59" s="701" t="s">
        <v>321</v>
      </c>
      <c r="X59" s="701" t="s">
        <v>321</v>
      </c>
      <c r="AD59" s="43"/>
      <c r="AE59" s="43"/>
      <c r="AF59" s="43"/>
      <c r="AG59" s="43"/>
      <c r="AH59" s="43"/>
      <c r="AI59" s="43"/>
      <c r="AJ59" s="43"/>
      <c r="AK59" s="43"/>
      <c r="AL59" s="43"/>
    </row>
    <row r="60" spans="1:38" ht="15.7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181"/>
      <c r="O60" s="181"/>
      <c r="P60" s="181"/>
      <c r="Q60" s="701" t="s">
        <v>321</v>
      </c>
      <c r="R60" s="701" t="s">
        <v>321</v>
      </c>
      <c r="S60" s="701" t="s">
        <v>321</v>
      </c>
      <c r="T60" s="701" t="s">
        <v>321</v>
      </c>
      <c r="U60" s="701" t="s">
        <v>321</v>
      </c>
      <c r="V60" s="701" t="s">
        <v>321</v>
      </c>
      <c r="W60" s="701" t="s">
        <v>321</v>
      </c>
      <c r="X60" s="701" t="s">
        <v>321</v>
      </c>
      <c r="AD60" s="43"/>
      <c r="AE60" s="43"/>
      <c r="AF60" s="43"/>
      <c r="AG60" s="43"/>
      <c r="AH60" s="43"/>
      <c r="AI60" s="43"/>
      <c r="AJ60" s="43"/>
      <c r="AK60" s="43"/>
      <c r="AL60" s="43"/>
    </row>
    <row r="61" spans="1:38" ht="24" customHeight="1">
      <c r="A61" s="767" t="s">
        <v>1253</v>
      </c>
      <c r="B61" s="768"/>
      <c r="C61" s="768"/>
      <c r="D61" s="768"/>
      <c r="E61" s="768"/>
      <c r="F61" s="768"/>
      <c r="G61" s="768"/>
      <c r="H61" s="768"/>
      <c r="I61" s="768"/>
      <c r="J61" s="768"/>
      <c r="K61" s="768"/>
      <c r="L61" s="768"/>
      <c r="M61" s="768"/>
      <c r="N61" s="768"/>
      <c r="O61" s="768"/>
      <c r="P61" s="768"/>
      <c r="Q61" s="701" t="s">
        <v>321</v>
      </c>
      <c r="R61" s="701" t="s">
        <v>321</v>
      </c>
      <c r="S61" s="701" t="s">
        <v>321</v>
      </c>
      <c r="T61" s="701" t="s">
        <v>321</v>
      </c>
      <c r="U61" s="701" t="s">
        <v>321</v>
      </c>
      <c r="V61" s="701" t="s">
        <v>321</v>
      </c>
      <c r="W61" s="701" t="s">
        <v>321</v>
      </c>
      <c r="X61" s="701" t="s">
        <v>321</v>
      </c>
      <c r="AD61" s="43"/>
      <c r="AE61" s="43"/>
      <c r="AF61" s="43"/>
      <c r="AG61" s="43"/>
      <c r="AH61" s="43"/>
      <c r="AI61" s="43"/>
      <c r="AJ61" s="43"/>
      <c r="AK61" s="43"/>
      <c r="AL61" s="43"/>
    </row>
    <row r="62" spans="1:38" ht="1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107"/>
      <c r="O62" s="107"/>
      <c r="P62" s="107"/>
      <c r="Q62" s="713"/>
    </row>
    <row r="63" spans="1:38">
      <c r="P63" s="184" t="s">
        <v>1267</v>
      </c>
      <c r="Q63" s="714"/>
    </row>
    <row r="64" spans="1:38" ht="18">
      <c r="A64" s="22" t="s">
        <v>314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93"/>
      <c r="O64" s="93"/>
      <c r="P64" s="93"/>
      <c r="Q64" s="701" t="s">
        <v>321</v>
      </c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92"/>
      <c r="O65" s="92"/>
      <c r="P65" s="92"/>
      <c r="Q65" s="710"/>
    </row>
    <row r="66" spans="1:23" ht="15.75">
      <c r="A66" s="1" t="s">
        <v>285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93"/>
      <c r="O66" s="93"/>
      <c r="P66" s="93"/>
      <c r="Q66" s="701" t="s">
        <v>321</v>
      </c>
    </row>
    <row r="67" spans="1:23" ht="15.75">
      <c r="A67" s="1" t="s">
        <v>1257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93"/>
      <c r="O67" s="93"/>
      <c r="P67" s="93"/>
      <c r="Q67" s="701" t="s">
        <v>321</v>
      </c>
    </row>
    <row r="68" spans="1:23" ht="1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94"/>
      <c r="O68" s="94"/>
      <c r="P68" s="94"/>
      <c r="Q68" s="716"/>
    </row>
    <row r="69" spans="1:23" ht="15.75">
      <c r="A69" s="192"/>
      <c r="B69" s="192"/>
      <c r="C69" s="192"/>
      <c r="D69" s="192"/>
      <c r="E69" s="192"/>
      <c r="F69" s="192"/>
      <c r="G69" s="192"/>
      <c r="H69" s="196" t="s">
        <v>1254</v>
      </c>
      <c r="I69" s="26"/>
      <c r="J69" s="26"/>
      <c r="K69" s="26"/>
      <c r="L69" s="26"/>
      <c r="M69" s="26"/>
      <c r="N69" s="193"/>
      <c r="O69" s="200"/>
      <c r="P69" s="195" t="s">
        <v>321</v>
      </c>
      <c r="Q69" s="716"/>
      <c r="R69" s="696"/>
      <c r="W69" s="696"/>
    </row>
    <row r="70" spans="1:23" ht="36.75" customHeight="1">
      <c r="A70" s="14"/>
      <c r="B70" s="15" t="s">
        <v>696</v>
      </c>
      <c r="C70" s="15" t="s">
        <v>286</v>
      </c>
      <c r="D70" s="15" t="s">
        <v>278</v>
      </c>
      <c r="E70" s="15" t="s">
        <v>279</v>
      </c>
      <c r="F70" s="15" t="s">
        <v>288</v>
      </c>
      <c r="G70" s="15" t="s">
        <v>289</v>
      </c>
      <c r="H70" s="16" t="s">
        <v>290</v>
      </c>
      <c r="I70" s="15" t="s">
        <v>291</v>
      </c>
      <c r="J70" s="15" t="s">
        <v>292</v>
      </c>
      <c r="K70" s="15" t="s">
        <v>283</v>
      </c>
      <c r="L70" s="15" t="s">
        <v>293</v>
      </c>
      <c r="M70" s="15" t="s">
        <v>294</v>
      </c>
      <c r="N70" s="191" t="s">
        <v>952</v>
      </c>
      <c r="O70" s="197" t="s">
        <v>1252</v>
      </c>
      <c r="P70" s="191" t="s">
        <v>295</v>
      </c>
      <c r="Q70" s="717"/>
    </row>
    <row r="71" spans="1:23" ht="15" customHeight="1">
      <c r="A71" s="5" t="s">
        <v>296</v>
      </c>
      <c r="B71" s="6">
        <f>+GETPIVOTDATA(" New-Less Than 2-Year",'Pivot Table for 1-11'!$A$3,"SREB Type",1,"SREB Type2","Four-Year")+GETPIVOTDATA(" New-2 But Less Than 4-Year",'Pivot Table for 1-11'!$A$3,"SREB Type",1,"SREB Type2","Four-Year")</f>
        <v>125</v>
      </c>
      <c r="C71" s="6">
        <f>+GETPIVOTDATA(" New-Associate's",'Pivot Table for 1-11'!$A$3,"SREB Type",1,"SREB Type2","Four-Year")</f>
        <v>1326</v>
      </c>
      <c r="D71" s="6">
        <f>+GETPIVOTDATA(" New-Bachelor's",'Pivot Table for 1-11'!$A$3,"SREB Type",1,"SREB Type2","Four-Year")</f>
        <v>176199</v>
      </c>
      <c r="E71" s="6">
        <f>+GETPIVOTDATA(" New-Post-Bachelor's",'Pivot Table for 1-11'!$A$3,"SREB Type",1,"SREB Type2","Four-Year")</f>
        <v>662</v>
      </c>
      <c r="F71" s="6">
        <f>+GETPIVOTDATA(" New-Total Master's#",'Pivot Table for 1-11'!$A$3,"SREB Type",1,"SREB Type2","Four-Year")</f>
        <v>61153</v>
      </c>
      <c r="G71" s="6">
        <f>+GETPIVOTDATA(" New-Total Doctorates#",'Pivot Table for 1-11'!$A$3,"SREB Type",1,"SREB Type2","Four-Year")</f>
        <v>10529</v>
      </c>
      <c r="H71" s="17">
        <f>+GETPIVOTDATA(" New-Law",'Pivot Table for 1-11'!$A$3,"SREB Type",1,"SREB Type2","Four-Year")</f>
        <v>4529</v>
      </c>
      <c r="I71" s="6">
        <f>+GETPIVOTDATA(" New-Medicine",'Pivot Table for 1-11'!$A$3,"SREB Type",1,"SREB Type2","Four-Year")</f>
        <v>1317</v>
      </c>
      <c r="J71" s="6">
        <f>+GETPIVOTDATA(" New-Dentistry",'Pivot Table for 1-11'!$A$3,"SREB Type",1,"SREB Type2","Four-Year")</f>
        <v>453</v>
      </c>
      <c r="K71" s="6">
        <f>+GETPIVOTDATA(" New-Pharmacy",'Pivot Table for 1-11'!$A$3,"SREB Type",1,"SREB Type2","Four-Year")</f>
        <v>1554</v>
      </c>
      <c r="L71" s="6">
        <f>+GETPIVOTDATA(" New-Optometry",'Pivot Table for 1-11'!$A$3,"SREB Type",1,"SREB Type2","Four-Year")</f>
        <v>126</v>
      </c>
      <c r="M71" s="6">
        <f>+GETPIVOTDATA(" New-Osteopathic Medicine",'Pivot Table for 1-11'!$A$3,"SREB Type",1,"SREB Type2","Four-Year")</f>
        <v>75</v>
      </c>
      <c r="N71" s="181">
        <f>+GETPIVOTDATA(" New-Veterinary Medicine",'Pivot Table for 1-11'!$A$3,"SREB Type",1,"SREB Type2","Four-Year")</f>
        <v>840</v>
      </c>
      <c r="O71" s="198">
        <f>+GETPIVOTDATA(" New-Oth PP",'Pivot Table for 1-11'!$A$3,"SREB Type",1,"SREB Type2","Four-Year")</f>
        <v>124</v>
      </c>
      <c r="P71" s="182">
        <f t="shared" ref="P71" si="2">SUM(B71:O71)</f>
        <v>259012</v>
      </c>
      <c r="Q71" s="186"/>
    </row>
    <row r="72" spans="1:23" ht="15" customHeight="1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181"/>
      <c r="O72" s="198"/>
      <c r="P72" s="182"/>
      <c r="Q72" s="186"/>
    </row>
    <row r="73" spans="1:23" ht="15" customHeight="1">
      <c r="A73" s="5" t="s">
        <v>297</v>
      </c>
      <c r="B73" s="6">
        <f>GETPIVOTDATA(" New-Less Than 2-Year",'Pivot Table for 1-11'!$A$3,"State","AL","SREB Type",1,"SREB Type2","Four-Year")+GETPIVOTDATA(" New-2 But Less Than 4-Year",'Pivot Table for 1-11'!$A$3,"State","AL","SREB Type",1,"SREB Type2","Four-Year")</f>
        <v>0</v>
      </c>
      <c r="C73" s="6">
        <f>+GETPIVOTDATA(" New-Associate's",'Pivot Table for 1-11'!$A$3,"State","AL","SREB Type",1,"SREB Type2","Four-Year")</f>
        <v>0</v>
      </c>
      <c r="D73" s="6">
        <f>+GETPIVOTDATA(" New-Bachelor's",'Pivot Table for 1-11'!$A$3,"State","AL","SREB Type",1,"SREB Type2","Four-Year")</f>
        <v>9571</v>
      </c>
      <c r="E73" s="6">
        <f>+GETPIVOTDATA(" New-Post-Bachelor's",'Pivot Table for 1-11'!$A$3,"State","AL","SREB Type",1,"SREB Type2","Four-Year")</f>
        <v>11</v>
      </c>
      <c r="F73" s="6">
        <f>+GETPIVOTDATA(" New-Total Master's#",'Pivot Table for 1-11'!$A$3,"State","AL","SREB Type",1,"SREB Type2","Four-Year")</f>
        <v>3255</v>
      </c>
      <c r="G73" s="6">
        <f>+GETPIVOTDATA(" New-Total Doctorates#",'Pivot Table for 1-11'!$A$3,"State","AL","SREB Type",1,"SREB Type2","Four-Year")</f>
        <v>600</v>
      </c>
      <c r="H73" s="17">
        <f>+GETPIVOTDATA(" New-Law",'Pivot Table for 1-11'!$A$3,"State","AL","SREB Type",1,"SREB Type2","Four-Year")</f>
        <v>172</v>
      </c>
      <c r="I73" s="6">
        <f>+GETPIVOTDATA(" New-Medicine",'Pivot Table for 1-11'!$A$3,"State","AL","SREB Type",1,"SREB Type2","Four-Year")</f>
        <v>161</v>
      </c>
      <c r="J73" s="6">
        <f>+GETPIVOTDATA(" New-Dentistry",'Pivot Table for 1-11'!$A$3,"State","AL","SREB Type",1,"SREB Type2","Four-Year")</f>
        <v>56</v>
      </c>
      <c r="K73" s="6">
        <f>+GETPIVOTDATA(" New-Pharmacy",'Pivot Table for 1-11'!$A$3,"State","AL","SREB Type",1,"SREB Type2","Four-Year")</f>
        <v>119</v>
      </c>
      <c r="L73" s="6">
        <f>+GETPIVOTDATA(" New-Optometry",'Pivot Table for 1-11'!$A$3,"State","AL","SREB Type",1,"SREB Type2","Four-Year")</f>
        <v>39</v>
      </c>
      <c r="M73" s="6">
        <f>+GETPIVOTDATA(" New-Osteopathic Medicine",'Pivot Table for 1-11'!$A$3,"State","AL","SREB Type",1,"SREB Type2","Four-Year")</f>
        <v>0</v>
      </c>
      <c r="N73" s="181">
        <f>+GETPIVOTDATA(" New-Veterinary Medicine",'Pivot Table for 1-11'!$A$3,"State","AL","SREB Type",1,"SREB Type2","Four-Year")</f>
        <v>96</v>
      </c>
      <c r="O73" s="198">
        <f>+GETPIVOTDATA(" New-Oth PP",'Pivot Table for 1-11'!$A$3,"State","AL","SREB Type",1,"SREB Type2","Four-Year")</f>
        <v>0</v>
      </c>
      <c r="P73" s="182">
        <f t="shared" ref="P73" si="3">SUM(B73:O73)</f>
        <v>14080</v>
      </c>
      <c r="Q73" s="186"/>
    </row>
    <row r="74" spans="1:23" ht="15" customHeight="1">
      <c r="A74" s="5" t="s">
        <v>298</v>
      </c>
      <c r="B74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74" s="6">
        <f>+GETPIVOTDATA(" New-Associate's",'Pivot Table for 1-11'!$A$3,"State","AR","SREB Type",1,"SREB Type2","Four-Year")</f>
        <v>0</v>
      </c>
      <c r="D74" s="6">
        <f>+GETPIVOTDATA(" New-Bachelor's",'Pivot Table for 1-11'!$A$3,"State","AR","SREB Type",1,"SREB Type2","Four-Year")</f>
        <v>2494</v>
      </c>
      <c r="E74" s="6">
        <f>+GETPIVOTDATA(" New-Post-Bachelor's",'Pivot Table for 1-11'!$A$3,"State","AR","SREB Type",1,"SREB Type2","Four-Year")</f>
        <v>4</v>
      </c>
      <c r="F74" s="6">
        <f>+GETPIVOTDATA(" New-Total Master's#",'Pivot Table for 1-11'!$A$3,"State","AR","SREB Type",1,"SREB Type2","Four-Year")</f>
        <v>959</v>
      </c>
      <c r="G74" s="6">
        <f>+GETPIVOTDATA(" New-Total Doctorates#",'Pivot Table for 1-11'!$A$3,"State","AR","SREB Type",1,"SREB Type2","Four-Year")</f>
        <v>160</v>
      </c>
      <c r="H74" s="17">
        <f>+GETPIVOTDATA(" New-Law",'Pivot Table for 1-11'!$A$3,"State","AR","SREB Type",1,"SREB Type2","Four-Year")</f>
        <v>122</v>
      </c>
      <c r="I74" s="6">
        <f>+GETPIVOTDATA(" New-Medicine",'Pivot Table for 1-11'!$A$3,"State","AR","SREB Type",1,"SREB Type2","Four-Year")</f>
        <v>0</v>
      </c>
      <c r="J74" s="6">
        <f>+GETPIVOTDATA(" New-Dentistry",'Pivot Table for 1-11'!$A$3,"State","AR","SREB Type",1,"SREB Type2","Four-Year")</f>
        <v>0</v>
      </c>
      <c r="K74" s="6">
        <f>+GETPIVOTDATA(" New-Pharmacy",'Pivot Table for 1-11'!$A$3,"State","AR","SREB Type",1,"SREB Type2","Four-Year")</f>
        <v>0</v>
      </c>
      <c r="L74" s="6">
        <f>+GETPIVOTDATA(" New-Optometry",'Pivot Table for 1-11'!$A$3,"State","AR","SREB Type",1,"SREB Type2","Four-Year")</f>
        <v>0</v>
      </c>
      <c r="M74" s="6">
        <f>+GETPIVOTDATA(" New-Osteopathic Medicine",'Pivot Table for 1-11'!$A$3,"State","AR","SREB Type",1,"SREB Type2","Four-Year")</f>
        <v>0</v>
      </c>
      <c r="N74" s="181">
        <f>+GETPIVOTDATA(" New-Veterinary Medicine",'Pivot Table for 1-11'!$A$3,"State","AR","SREB Type",1,"SREB Type2","Four-Year")</f>
        <v>0</v>
      </c>
      <c r="O74" s="198">
        <f>+GETPIVOTDATA(" New-Oth PP",'Pivot Table for 1-11'!$A$3,"State","AR","SREB Type",1,"SREB Type2","Four-Year")</f>
        <v>0</v>
      </c>
      <c r="P74" s="182">
        <f t="shared" ref="P74" si="4">SUM(B74:O74)</f>
        <v>3739</v>
      </c>
      <c r="Q74" s="186"/>
    </row>
    <row r="75" spans="1:23" ht="15" customHeight="1">
      <c r="A75" s="5" t="s">
        <v>299</v>
      </c>
      <c r="B75" s="6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6">
        <f>+GETPIVOTDATA(" New-Associate's",'Pivot Table for 1-11'!$A$3,"State","DE","SREB Type",1,"SREB Type2","Four-Year")</f>
        <v>195</v>
      </c>
      <c r="D75" s="6">
        <f>+GETPIVOTDATA(" New-Bachelor's",'Pivot Table for 1-11'!$A$3,"State","DE","SREB Type",1,"SREB Type2","Four-Year")</f>
        <v>3569</v>
      </c>
      <c r="E75" s="6">
        <f>+GETPIVOTDATA(" New-Post-Bachelor's",'Pivot Table for 1-11'!$A$3,"State","DE","SREB Type",1,"SREB Type2","Four-Year")</f>
        <v>0</v>
      </c>
      <c r="F75" s="6">
        <f>+GETPIVOTDATA(" New-Total Master's#",'Pivot Table for 1-11'!$A$3,"State","DE","SREB Type",1,"SREB Type2","Four-Year")</f>
        <v>674</v>
      </c>
      <c r="G75" s="6">
        <f>+GETPIVOTDATA(" New-Total Doctorates#",'Pivot Table for 1-11'!$A$3,"State","DE","SREB Type",1,"SREB Type2","Four-Year")</f>
        <v>224</v>
      </c>
      <c r="H75" s="17">
        <f>+GETPIVOTDATA(" New-Law",'Pivot Table for 1-11'!$A$3,"State","DE","SREB Type",1,"SREB Type2","Four-Year")</f>
        <v>0</v>
      </c>
      <c r="I75" s="6">
        <f>+GETPIVOTDATA(" New-Medicine",'Pivot Table for 1-11'!$A$3,"State","DE","SREB Type",1,"SREB Type2","Four-Year")</f>
        <v>0</v>
      </c>
      <c r="J75" s="6">
        <f>+GETPIVOTDATA(" New-Dentistry",'Pivot Table for 1-11'!$A$3,"State","DE","SREB Type",1,"SREB Type2","Four-Year")</f>
        <v>0</v>
      </c>
      <c r="K75" s="6">
        <f>+GETPIVOTDATA(" New-Pharmacy",'Pivot Table for 1-11'!$A$3,"State","DE","SREB Type",1,"SREB Type2","Four-Year")</f>
        <v>0</v>
      </c>
      <c r="L75" s="6">
        <f>+GETPIVOTDATA(" New-Optometry",'Pivot Table for 1-11'!$A$3,"State","DE","SREB Type",1,"SREB Type2","Four-Year")</f>
        <v>0</v>
      </c>
      <c r="M75" s="6">
        <f>+GETPIVOTDATA(" New-Osteopathic Medicine",'Pivot Table for 1-11'!$A$3,"State","DE","SREB Type",1,"SREB Type2","Four-Year")</f>
        <v>0</v>
      </c>
      <c r="N75" s="181">
        <f>+GETPIVOTDATA(" New-Veterinary Medicine",'Pivot Table for 1-11'!$A$3,"State","DE","SREB Type",1,"SREB Type2","Four-Year")</f>
        <v>0</v>
      </c>
      <c r="O75" s="198">
        <f>+GETPIVOTDATA(" New-Oth PP",'Pivot Table for 1-11'!$A$3,"State","DE","SREB Type",1,"SREB Type2","Four-Year")</f>
        <v>0</v>
      </c>
      <c r="P75" s="182">
        <f t="shared" ref="P75:P91" si="5">SUM(B75:O75)</f>
        <v>4662</v>
      </c>
      <c r="Q75" s="186"/>
    </row>
    <row r="76" spans="1:23" ht="15" customHeight="1">
      <c r="A76" s="5" t="s">
        <v>300</v>
      </c>
      <c r="B76" s="6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6">
        <f>+GETPIVOTDATA(" New-Associate's",'Pivot Table for 1-11'!$A$3,"State","FL","SREB Type",1,"SREB Type2","Four-Year")</f>
        <v>873</v>
      </c>
      <c r="D76" s="6">
        <f>+GETPIVOTDATA(" New-Bachelor's",'Pivot Table for 1-11'!$A$3,"State","FL","SREB Type",1,"SREB Type2","Four-Year")</f>
        <v>39352</v>
      </c>
      <c r="E76" s="6">
        <f>+GETPIVOTDATA(" New-Post-Bachelor's",'Pivot Table for 1-11'!$A$3,"State","FL","SREB Type",1,"SREB Type2","Four-Year")</f>
        <v>0</v>
      </c>
      <c r="F76" s="6">
        <f>+GETPIVOTDATA(" New-Total Master's#",'Pivot Table for 1-11'!$A$3,"State","FL","SREB Type",1,"SREB Type2","Four-Year")</f>
        <v>12402</v>
      </c>
      <c r="G76" s="6">
        <f>+GETPIVOTDATA(" New-Total Doctorates#",'Pivot Table for 1-11'!$A$3,"State","FL","SREB Type",1,"SREB Type2","Four-Year")</f>
        <v>1791</v>
      </c>
      <c r="H76" s="17">
        <f>+GETPIVOTDATA(" New-Law",'Pivot Table for 1-11'!$A$3,"State","FL","SREB Type",1,"SREB Type2","Four-Year")</f>
        <v>810</v>
      </c>
      <c r="I76" s="6">
        <f>+GETPIVOTDATA(" New-Medicine",'Pivot Table for 1-11'!$A$3,"State","FL","SREB Type",1,"SREB Type2","Four-Year")</f>
        <v>312</v>
      </c>
      <c r="J76" s="6">
        <f>+GETPIVOTDATA(" New-Dentistry",'Pivot Table for 1-11'!$A$3,"State","FL","SREB Type",1,"SREB Type2","Four-Year")</f>
        <v>81</v>
      </c>
      <c r="K76" s="6">
        <f>+GETPIVOTDATA(" New-Pharmacy",'Pivot Table for 1-11'!$A$3,"State","FL","SREB Type",1,"SREB Type2","Four-Year")</f>
        <v>474</v>
      </c>
      <c r="L76" s="6">
        <f>+GETPIVOTDATA(" New-Optometry",'Pivot Table for 1-11'!$A$3,"State","FL","SREB Type",1,"SREB Type2","Four-Year")</f>
        <v>0</v>
      </c>
      <c r="M76" s="6">
        <f>+GETPIVOTDATA(" New-Osteopathic Medicine",'Pivot Table for 1-11'!$A$3,"State","FL","SREB Type",1,"SREB Type2","Four-Year")</f>
        <v>0</v>
      </c>
      <c r="N76" s="181">
        <f>+GETPIVOTDATA(" New-Veterinary Medicine",'Pivot Table for 1-11'!$A$3,"State","FL","SREB Type",1,"SREB Type2","Four-Year")</f>
        <v>84</v>
      </c>
      <c r="O76" s="198">
        <f>+GETPIVOTDATA(" New-Oth PP",'Pivot Table for 1-11'!$A$3,"State","FL","SREB Type",1,"SREB Type2","Four-Year")</f>
        <v>0</v>
      </c>
      <c r="P76" s="182">
        <f t="shared" si="5"/>
        <v>56179</v>
      </c>
      <c r="Q76" s="186"/>
    </row>
    <row r="77" spans="1:23" ht="15" customHeight="1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181"/>
      <c r="O77" s="198"/>
      <c r="P77" s="182"/>
      <c r="Q77" s="186"/>
    </row>
    <row r="78" spans="1:23" ht="15" customHeight="1">
      <c r="A78" s="5" t="s">
        <v>301</v>
      </c>
      <c r="B78" s="6">
        <f>+GETPIVOTDATA(" New-Less Than 2-Year",'Pivot Table for 1-11'!$A$3,"State","GA","SREB Type",1,"SREB Type2","Four-Year")+GETPIVOTDATA(" New-2 But Less Than 4-Year",'Pivot Table for 1-11'!$A$3,"State","GA","SREB Type",1,"SREB Type2","Four-Year")</f>
        <v>2</v>
      </c>
      <c r="C78" s="6">
        <f>+GETPIVOTDATA(" New-Associate's",'Pivot Table for 1-11'!$A$3,"State","GA","SREB Type",1,"SREB Type2","Four-Year")</f>
        <v>0</v>
      </c>
      <c r="D78" s="6">
        <f>+GETPIVOTDATA(" New-Bachelor's",'Pivot Table for 1-11'!$A$3,"State","GA","SREB Type",1,"SREB Type2","Four-Year")</f>
        <v>10091</v>
      </c>
      <c r="E78" s="6">
        <f>+GETPIVOTDATA(" New-Post-Bachelor's",'Pivot Table for 1-11'!$A$3,"State","GA","SREB Type",1,"SREB Type2","Four-Year")</f>
        <v>31</v>
      </c>
      <c r="F78" s="6">
        <f>+GETPIVOTDATA(" New-Total Master's#",'Pivot Table for 1-11'!$A$3,"State","GA","SREB Type",1,"SREB Type2","Four-Year")</f>
        <v>4091</v>
      </c>
      <c r="G78" s="6">
        <f>+GETPIVOTDATA(" New-Total Doctorates#",'Pivot Table for 1-11'!$A$3,"State","GA","SREB Type",1,"SREB Type2","Four-Year")</f>
        <v>674</v>
      </c>
      <c r="H78" s="17">
        <f>+GETPIVOTDATA(" New-Law",'Pivot Table for 1-11'!$A$3,"State","GA","SREB Type",1,"SREB Type2","Four-Year")</f>
        <v>391</v>
      </c>
      <c r="I78" s="6">
        <f>+GETPIVOTDATA(" New-Medicine",'Pivot Table for 1-11'!$A$3,"State","GA","SREB Type",1,"SREB Type2","Four-Year")</f>
        <v>0</v>
      </c>
      <c r="J78" s="6">
        <f>+GETPIVOTDATA(" New-Dentistry",'Pivot Table for 1-11'!$A$3,"State","GA","SREB Type",1,"SREB Type2","Four-Year")</f>
        <v>0</v>
      </c>
      <c r="K78" s="6">
        <f>+GETPIVOTDATA(" New-Pharmacy",'Pivot Table for 1-11'!$A$3,"State","GA","SREB Type",1,"SREB Type2","Four-Year")</f>
        <v>122</v>
      </c>
      <c r="L78" s="6">
        <f>+GETPIVOTDATA(" New-Optometry",'Pivot Table for 1-11'!$A$3,"State","GA","SREB Type",1,"SREB Type2","Four-Year")</f>
        <v>0</v>
      </c>
      <c r="M78" s="6">
        <f>+GETPIVOTDATA(" New-Osteopathic Medicine",'Pivot Table for 1-11'!$A$3,"State","GA","SREB Type",1,"SREB Type2","Four-Year")</f>
        <v>0</v>
      </c>
      <c r="N78" s="181">
        <f>+GETPIVOTDATA(" New-Veterinary Medicine",'Pivot Table for 1-11'!$A$3,"State","GA","SREB Type",1,"SREB Type2","Four-Year")</f>
        <v>95</v>
      </c>
      <c r="O78" s="198">
        <f>+GETPIVOTDATA(" New-Oth PP",'Pivot Table for 1-11'!$A$3,"State","GA","SREB Type",1,"SREB Type2","Four-Year")</f>
        <v>0</v>
      </c>
      <c r="P78" s="182">
        <f t="shared" si="5"/>
        <v>15497</v>
      </c>
      <c r="Q78" s="186"/>
    </row>
    <row r="79" spans="1:23" ht="15" customHeight="1">
      <c r="A79" s="5" t="s">
        <v>302</v>
      </c>
      <c r="B79" s="6">
        <f>+GETPIVOTDATA(" New-Less Than 2-Year",'Pivot Table for 1-11'!$A$3,"State","KY","SREB Type",1,"SREB Type2","Four-Year")+GETPIVOTDATA(" New-2 But Less Than 4-Year",'Pivot Table for 1-11'!$A$3,"State","KY","SREB Type",1,"SREB Type2","Four-Year")</f>
        <v>31</v>
      </c>
      <c r="C79" s="6">
        <f>+GETPIVOTDATA(" New-Associate's",'Pivot Table for 1-11'!$A$3,"State","KY","SREB Type",1,"SREB Type2","Four-Year")</f>
        <v>20</v>
      </c>
      <c r="D79" s="6">
        <f>+GETPIVOTDATA(" New-Bachelor's",'Pivot Table for 1-11'!$A$3,"State","KY","SREB Type",1,"SREB Type2","Four-Year")</f>
        <v>6132</v>
      </c>
      <c r="E79" s="6">
        <f>+GETPIVOTDATA(" New-Post-Bachelor's",'Pivot Table for 1-11'!$A$3,"State","KY","SREB Type",1,"SREB Type2","Four-Year")</f>
        <v>100</v>
      </c>
      <c r="F79" s="6">
        <f>+GETPIVOTDATA(" New-Total Master's#",'Pivot Table for 1-11'!$A$3,"State","KY","SREB Type",1,"SREB Type2","Four-Year")</f>
        <v>2728</v>
      </c>
      <c r="G79" s="6">
        <f>+GETPIVOTDATA(" New-Total Doctorates#",'Pivot Table for 1-11'!$A$3,"State","KY","SREB Type",1,"SREB Type2","Four-Year")</f>
        <v>454</v>
      </c>
      <c r="H79" s="17">
        <f>+GETPIVOTDATA(" New-Law",'Pivot Table for 1-11'!$A$3,"State","KY","SREB Type",1,"SREB Type2","Four-Year")</f>
        <v>252</v>
      </c>
      <c r="I79" s="6">
        <f>+GETPIVOTDATA(" New-Medicine",'Pivot Table for 1-11'!$A$3,"State","KY","SREB Type",1,"SREB Type2","Four-Year")</f>
        <v>230</v>
      </c>
      <c r="J79" s="6">
        <f>+GETPIVOTDATA(" New-Dentistry",'Pivot Table for 1-11'!$A$3,"State","KY","SREB Type",1,"SREB Type2","Four-Year")</f>
        <v>136</v>
      </c>
      <c r="K79" s="6">
        <f>+GETPIVOTDATA(" New-Pharmacy",'Pivot Table for 1-11'!$A$3,"State","KY","SREB Type",1,"SREB Type2","Four-Year")</f>
        <v>121</v>
      </c>
      <c r="L79" s="6">
        <f>+GETPIVOTDATA(" New-Optometry",'Pivot Table for 1-11'!$A$3,"State","KY","SREB Type",1,"SREB Type2","Four-Year")</f>
        <v>0</v>
      </c>
      <c r="M79" s="6">
        <f>+GETPIVOTDATA(" New-Osteopathic Medicine",'Pivot Table for 1-11'!$A$3,"State","KY","SREB Type",1,"SREB Type2","Four-Year")</f>
        <v>0</v>
      </c>
      <c r="N79" s="181">
        <f>+GETPIVOTDATA(" New-Veterinary Medicine",'Pivot Table for 1-11'!$A$3,"State","KY","SREB Type",1,"SREB Type2","Four-Year")</f>
        <v>0</v>
      </c>
      <c r="O79" s="198">
        <f>+GETPIVOTDATA(" New-Oth PP",'Pivot Table for 1-11'!$A$3,"State","KY","SREB Type",1,"SREB Type2","Four-Year")</f>
        <v>0</v>
      </c>
      <c r="P79" s="182">
        <f t="shared" si="5"/>
        <v>10204</v>
      </c>
      <c r="Q79" s="186"/>
    </row>
    <row r="80" spans="1:23" ht="15" customHeight="1">
      <c r="A80" s="5" t="s">
        <v>303</v>
      </c>
      <c r="B80" s="6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6">
        <f>+GETPIVOTDATA(" New-Associate's",'Pivot Table for 1-11'!$A$3,"State","LA","SREB Type",1,"SREB Type2","Four-Year")</f>
        <v>0</v>
      </c>
      <c r="D80" s="6">
        <f>+GETPIVOTDATA(" New-Bachelor's",'Pivot Table for 1-11'!$A$3,"State","LA","SREB Type",1,"SREB Type2","Four-Year")</f>
        <v>4734</v>
      </c>
      <c r="E80" s="6">
        <f>+GETPIVOTDATA(" New-Post-Bachelor's",'Pivot Table for 1-11'!$A$3,"State","LA","SREB Type",1,"SREB Type2","Four-Year")</f>
        <v>0</v>
      </c>
      <c r="F80" s="6">
        <f>+GETPIVOTDATA(" New-Total Master's#",'Pivot Table for 1-11'!$A$3,"State","LA","SREB Type",1,"SREB Type2","Four-Year")</f>
        <v>989</v>
      </c>
      <c r="G80" s="6">
        <f>+GETPIVOTDATA(" New-Total Doctorates#",'Pivot Table for 1-11'!$A$3,"State","LA","SREB Type",1,"SREB Type2","Four-Year")</f>
        <v>240</v>
      </c>
      <c r="H80" s="17">
        <f>+GETPIVOTDATA(" New-Law",'Pivot Table for 1-11'!$A$3,"State","LA","SREB Type",1,"SREB Type2","Four-Year")</f>
        <v>179</v>
      </c>
      <c r="I80" s="6">
        <f>+GETPIVOTDATA(" New-Medicine",'Pivot Table for 1-11'!$A$3,"State","LA","SREB Type",1,"SREB Type2","Four-Year")</f>
        <v>0</v>
      </c>
      <c r="J80" s="6">
        <f>+GETPIVOTDATA(" New-Dentistry",'Pivot Table for 1-11'!$A$3,"State","LA","SREB Type",1,"SREB Type2","Four-Year")</f>
        <v>0</v>
      </c>
      <c r="K80" s="6">
        <f>+GETPIVOTDATA(" New-Pharmacy",'Pivot Table for 1-11'!$A$3,"State","LA","SREB Type",1,"SREB Type2","Four-Year")</f>
        <v>0</v>
      </c>
      <c r="L80" s="6">
        <f>+GETPIVOTDATA(" New-Optometry",'Pivot Table for 1-11'!$A$3,"State","LA","SREB Type",1,"SREB Type2","Four-Year")</f>
        <v>0</v>
      </c>
      <c r="M80" s="6">
        <f>+GETPIVOTDATA(" New-Osteopathic Medicine",'Pivot Table for 1-11'!$A$3,"State","LA","SREB Type",1,"SREB Type2","Four-Year")</f>
        <v>0</v>
      </c>
      <c r="N80" s="181">
        <f>+GETPIVOTDATA(" New-Veterinary Medicine",'Pivot Table for 1-11'!$A$3,"State","LA","SREB Type",1,"SREB Type2","Four-Year")</f>
        <v>81</v>
      </c>
      <c r="O80" s="198">
        <f>+GETPIVOTDATA(" New-Oth PP",'Pivot Table for 1-11'!$A$3,"State","LA","SREB Type",1,"SREB Type2","Four-Year")</f>
        <v>0</v>
      </c>
      <c r="P80" s="182">
        <f t="shared" si="5"/>
        <v>6223</v>
      </c>
      <c r="Q80" s="186"/>
    </row>
    <row r="81" spans="1:17" ht="15" customHeight="1">
      <c r="A81" s="5" t="s">
        <v>304</v>
      </c>
      <c r="B81" s="6">
        <f>+GETPIVOTDATA(" New-Less Than 2-Year",'Pivot Table for 1-11'!$A$3,"State","MD","SREB Type",1,"SREB Type2","Four-Year")+GETPIVOTDATA(" New-2 But Less Than 4-Year",'Pivot Table for 1-11'!$A$3,"State","MD","SREB Type",1,"SREB Type2","Four-Year")</f>
        <v>59</v>
      </c>
      <c r="C81" s="6">
        <f>+GETPIVOTDATA(" New-Associate's",'Pivot Table for 1-11'!$A$3,"State","MD","SREB Type",1,"SREB Type2","Four-Year")</f>
        <v>0</v>
      </c>
      <c r="D81" s="6">
        <f>+GETPIVOTDATA(" New-Bachelor's",'Pivot Table for 1-11'!$A$3,"State","MD","SREB Type",1,"SREB Type2","Four-Year")</f>
        <v>6704</v>
      </c>
      <c r="E81" s="6">
        <f>+GETPIVOTDATA(" New-Post-Bachelor's",'Pivot Table for 1-11'!$A$3,"State","MD","SREB Type",1,"SREB Type2","Four-Year")</f>
        <v>0</v>
      </c>
      <c r="F81" s="6">
        <f>+GETPIVOTDATA(" New-Total Master's#",'Pivot Table for 1-11'!$A$3,"State","MD","SREB Type",1,"SREB Type2","Four-Year")</f>
        <v>2163</v>
      </c>
      <c r="G81" s="6">
        <f>+GETPIVOTDATA(" New-Total Doctorates#",'Pivot Table for 1-11'!$A$3,"State","MD","SREB Type",1,"SREB Type2","Four-Year")</f>
        <v>577</v>
      </c>
      <c r="H81" s="17">
        <f>+GETPIVOTDATA(" New-Law",'Pivot Table for 1-11'!$A$3,"State","MD","SREB Type",1,"SREB Type2","Four-Year")</f>
        <v>0</v>
      </c>
      <c r="I81" s="6">
        <f>+GETPIVOTDATA(" New-Medicine",'Pivot Table for 1-11'!$A$3,"State","MD","SREB Type",1,"SREB Type2","Four-Year")</f>
        <v>0</v>
      </c>
      <c r="J81" s="6">
        <f>+GETPIVOTDATA(" New-Dentistry",'Pivot Table for 1-11'!$A$3,"State","MD","SREB Type",1,"SREB Type2","Four-Year")</f>
        <v>0</v>
      </c>
      <c r="K81" s="6">
        <f>+GETPIVOTDATA(" New-Pharmacy",'Pivot Table for 1-11'!$A$3,"State","MD","SREB Type",1,"SREB Type2","Four-Year")</f>
        <v>0</v>
      </c>
      <c r="L81" s="6">
        <f>+GETPIVOTDATA(" New-Optometry",'Pivot Table for 1-11'!$A$3,"State","MD","SREB Type",1,"SREB Type2","Four-Year")</f>
        <v>0</v>
      </c>
      <c r="M81" s="6">
        <f>+GETPIVOTDATA(" New-Osteopathic Medicine",'Pivot Table for 1-11'!$A$3,"State","MD","SREB Type",1,"SREB Type2","Four-Year")</f>
        <v>0</v>
      </c>
      <c r="N81" s="181">
        <f>+GETPIVOTDATA(" New-Veterinary Medicine",'Pivot Table for 1-11'!$A$3,"State","MD","SREB Type",1,"SREB Type2","Four-Year")</f>
        <v>0</v>
      </c>
      <c r="O81" s="198">
        <f>+GETPIVOTDATA(" New-Oth PP",'Pivot Table for 1-11'!$A$3,"State","MD","SREB Type",1,"SREB Type2","Four-Year")</f>
        <v>40</v>
      </c>
      <c r="P81" s="182">
        <f t="shared" si="5"/>
        <v>9543</v>
      </c>
      <c r="Q81" s="712"/>
    </row>
    <row r="82" spans="1:17" ht="15" customHeight="1">
      <c r="A82" s="5"/>
      <c r="B82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181"/>
      <c r="O82" s="198"/>
      <c r="P82" s="182"/>
      <c r="Q82" s="186"/>
    </row>
    <row r="83" spans="1:17" ht="15" customHeight="1">
      <c r="A83" s="5" t="s">
        <v>305</v>
      </c>
      <c r="B83" s="6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6">
        <f>+GETPIVOTDATA(" New-Associate's",'Pivot Table for 1-11'!$A$3,"State","MS","SREB Type",1,"SREB Type2","Four-Year")</f>
        <v>0</v>
      </c>
      <c r="D83" s="6">
        <f>+GETPIVOTDATA(" New-Bachelor's",'Pivot Table for 1-11'!$A$3,"State","MS","SREB Type",1,"SREB Type2","Four-Year")</f>
        <v>5031</v>
      </c>
      <c r="E83" s="6">
        <f>+GETPIVOTDATA(" New-Post-Bachelor's",'Pivot Table for 1-11'!$A$3,"State","MS","SREB Type",1,"SREB Type2","Four-Year")</f>
        <v>0</v>
      </c>
      <c r="F83" s="6">
        <f>+GETPIVOTDATA(" New-Total Master's#",'Pivot Table for 1-11'!$A$3,"State","MS","SREB Type",1,"SREB Type2","Four-Year")</f>
        <v>1626</v>
      </c>
      <c r="G83" s="6">
        <f>+GETPIVOTDATA(" New-Total Doctorates#",'Pivot Table for 1-11'!$A$3,"State","MS","SREB Type",1,"SREB Type2","Four-Year")</f>
        <v>242</v>
      </c>
      <c r="H83" s="17">
        <f>+GETPIVOTDATA(" New-Law",'Pivot Table for 1-11'!$A$3,"State","MS","SREB Type",1,"SREB Type2","Four-Year")</f>
        <v>0</v>
      </c>
      <c r="I83" s="6">
        <f>+GETPIVOTDATA(" New-Medicine",'Pivot Table for 1-11'!$A$3,"State","MS","SREB Type",1,"SREB Type2","Four-Year")</f>
        <v>0</v>
      </c>
      <c r="J83" s="6">
        <f>+GETPIVOTDATA(" New-Dentistry",'Pivot Table for 1-11'!$A$3,"State","MS","SREB Type",1,"SREB Type2","Four-Year")</f>
        <v>0</v>
      </c>
      <c r="K83" s="6">
        <f>+GETPIVOTDATA(" New-Pharmacy",'Pivot Table for 1-11'!$A$3,"State","MS","SREB Type",1,"SREB Type2","Four-Year")</f>
        <v>0</v>
      </c>
      <c r="L83" s="6">
        <f>+GETPIVOTDATA(" New-Optometry",'Pivot Table for 1-11'!$A$3,"State","MS","SREB Type",1,"SREB Type2","Four-Year")</f>
        <v>0</v>
      </c>
      <c r="M83" s="6">
        <f>+GETPIVOTDATA(" New-Osteopathic Medicine",'Pivot Table for 1-11'!$A$3,"State","MS","SREB Type",1,"SREB Type2","Four-Year")</f>
        <v>0</v>
      </c>
      <c r="N83" s="181">
        <f>+GETPIVOTDATA(" New-Veterinary Medicine",'Pivot Table for 1-11'!$A$3,"State","MS","SREB Type",1,"SREB Type2","Four-Year")</f>
        <v>67</v>
      </c>
      <c r="O83" s="198">
        <f>+GETPIVOTDATA(" New-Oth PP",'Pivot Table for 1-11'!$A$3,"State","MS","SREB Type",1,"SREB Type2","Four-Year")</f>
        <v>0</v>
      </c>
      <c r="P83" s="182">
        <f t="shared" si="5"/>
        <v>6966</v>
      </c>
      <c r="Q83" s="186"/>
    </row>
    <row r="84" spans="1:17" ht="15" customHeight="1">
      <c r="A84" s="5" t="s">
        <v>306</v>
      </c>
      <c r="B84" s="6">
        <f>+GETPIVOTDATA(" New-Less Than 2-Year",'Pivot Table for 1-11'!$A$3,"State","NC","SREB Type",1,"SREB Type2","Four-Year")+GETPIVOTDATA(" New-2 But Less Than 4-Year",'Pivot Table for 1-11'!$A$3,"State","NC","SREB Type",1,"SREB Type2","Four-Year")</f>
        <v>20</v>
      </c>
      <c r="C84" s="6">
        <f>+GETPIVOTDATA(" New-Associate's",'Pivot Table for 1-11'!$A$3,"State","NC","SREB Type",1,"SREB Type2","Four-Year")</f>
        <v>182</v>
      </c>
      <c r="D84" s="6">
        <f>+GETPIVOTDATA(" New-Bachelor's",'Pivot Table for 1-11'!$A$3,"State","NC","SREB Type",1,"SREB Type2","Four-Year")</f>
        <v>8859</v>
      </c>
      <c r="E84" s="6">
        <f>+GETPIVOTDATA(" New-Post-Bachelor's",'Pivot Table for 1-11'!$A$3,"State","NC","SREB Type",1,"SREB Type2","Four-Year")</f>
        <v>0</v>
      </c>
      <c r="F84" s="6">
        <f>+GETPIVOTDATA(" New-Total Master's#",'Pivot Table for 1-11'!$A$3,"State","NC","SREB Type",1,"SREB Type2","Four-Year")</f>
        <v>3490</v>
      </c>
      <c r="G84" s="6">
        <f>+GETPIVOTDATA(" New-Total Doctorates#",'Pivot Table for 1-11'!$A$3,"State","NC","SREB Type",1,"SREB Type2","Four-Year")</f>
        <v>940</v>
      </c>
      <c r="H84" s="17">
        <f>+GETPIVOTDATA(" New-Law",'Pivot Table for 1-11'!$A$3,"State","NC","SREB Type",1,"SREB Type2","Four-Year")</f>
        <v>228</v>
      </c>
      <c r="I84" s="6">
        <f>+GETPIVOTDATA(" New-Medicine",'Pivot Table for 1-11'!$A$3,"State","NC","SREB Type",1,"SREB Type2","Four-Year")</f>
        <v>157</v>
      </c>
      <c r="J84" s="6">
        <f>+GETPIVOTDATA(" New-Dentistry",'Pivot Table for 1-11'!$A$3,"State","NC","SREB Type",1,"SREB Type2","Four-Year")</f>
        <v>82</v>
      </c>
      <c r="K84" s="6">
        <f>+GETPIVOTDATA(" New-Pharmacy",'Pivot Table for 1-11'!$A$3,"State","NC","SREB Type",1,"SREB Type2","Four-Year")</f>
        <v>151</v>
      </c>
      <c r="L84" s="6">
        <f>+GETPIVOTDATA(" New-Optometry",'Pivot Table for 1-11'!$A$3,"State","NC","SREB Type",1,"SREB Type2","Four-Year")</f>
        <v>0</v>
      </c>
      <c r="M84" s="6">
        <f>+GETPIVOTDATA(" New-Osteopathic Medicine",'Pivot Table for 1-11'!$A$3,"State","NC","SREB Type",1,"SREB Type2","Four-Year")</f>
        <v>0</v>
      </c>
      <c r="N84" s="181">
        <f>+GETPIVOTDATA(" New-Veterinary Medicine",'Pivot Table for 1-11'!$A$3,"State","NC","SREB Type",1,"SREB Type2","Four-Year")</f>
        <v>73</v>
      </c>
      <c r="O84" s="198">
        <f>+GETPIVOTDATA(" New-Oth PP",'Pivot Table for 1-11'!$A$3,"State","NC","SREB Type",1,"SREB Type2","Four-Year")</f>
        <v>0</v>
      </c>
      <c r="P84" s="182">
        <f t="shared" si="5"/>
        <v>14182</v>
      </c>
      <c r="Q84" s="186"/>
    </row>
    <row r="85" spans="1:17" ht="15" customHeight="1">
      <c r="A85" s="5" t="s">
        <v>307</v>
      </c>
      <c r="B85" s="6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6">
        <f>+GETPIVOTDATA(" New-Associate's",'Pivot Table for 1-11'!$A$3,"State","OK","SREB Type",1,"SREB Type2","Four-Year")</f>
        <v>0</v>
      </c>
      <c r="D85" s="6">
        <f>+GETPIVOTDATA(" New-Bachelor's",'Pivot Table for 1-11'!$A$3,"State","OK","SREB Type",1,"SREB Type2","Four-Year")</f>
        <v>8309</v>
      </c>
      <c r="E85" s="6">
        <f>+GETPIVOTDATA(" New-Post-Bachelor's",'Pivot Table for 1-11'!$A$3,"State","OK","SREB Type",1,"SREB Type2","Four-Year")</f>
        <v>86</v>
      </c>
      <c r="F85" s="6">
        <f>+GETPIVOTDATA(" New-Total Master's#",'Pivot Table for 1-11'!$A$3,"State","OK","SREB Type",1,"SREB Type2","Four-Year")</f>
        <v>3020</v>
      </c>
      <c r="G85" s="6">
        <f>+GETPIVOTDATA(" New-Total Doctorates#",'Pivot Table for 1-11'!$A$3,"State","OK","SREB Type",1,"SREB Type2","Four-Year")</f>
        <v>377</v>
      </c>
      <c r="H85" s="17">
        <f>+GETPIVOTDATA(" New-Law",'Pivot Table for 1-11'!$A$3,"State","OK","SREB Type",1,"SREB Type2","Four-Year")</f>
        <v>156</v>
      </c>
      <c r="I85" s="6">
        <f>+GETPIVOTDATA(" New-Medicine",'Pivot Table for 1-11'!$A$3,"State","OK","SREB Type",1,"SREB Type2","Four-Year")</f>
        <v>148</v>
      </c>
      <c r="J85" s="6">
        <f>+GETPIVOTDATA(" New-Dentistry",'Pivot Table for 1-11'!$A$3,"State","OK","SREB Type",1,"SREB Type2","Four-Year")</f>
        <v>55</v>
      </c>
      <c r="K85" s="6">
        <f>+GETPIVOTDATA(" New-Pharmacy",'Pivot Table for 1-11'!$A$3,"State","OK","SREB Type",1,"SREB Type2","Four-Year")</f>
        <v>130</v>
      </c>
      <c r="L85" s="6">
        <f>+GETPIVOTDATA(" New-Optometry",'Pivot Table for 1-11'!$A$3,"State","OK","SREB Type",1,"SREB Type2","Four-Year")</f>
        <v>0</v>
      </c>
      <c r="M85" s="6">
        <f>+GETPIVOTDATA(" New-Osteopathic Medicine",'Pivot Table for 1-11'!$A$3,"State","OK","SREB Type",1,"SREB Type2","Four-Year")</f>
        <v>75</v>
      </c>
      <c r="N85" s="181">
        <f>+GETPIVOTDATA(" New-Veterinary Medicine",'Pivot Table for 1-11'!$A$3,"State","OK","SREB Type",1,"SREB Type2","Four-Year")</f>
        <v>78</v>
      </c>
      <c r="O85" s="198">
        <f>+GETPIVOTDATA(" New-Oth PP",'Pivot Table for 1-11'!$A$3,"State","OK","SREB Type",1,"SREB Type2","Four-Year")</f>
        <v>64</v>
      </c>
      <c r="P85" s="182">
        <f t="shared" si="5"/>
        <v>12498</v>
      </c>
      <c r="Q85" s="186"/>
    </row>
    <row r="86" spans="1:17" ht="15" customHeight="1">
      <c r="A86" s="5" t="s">
        <v>308</v>
      </c>
      <c r="B86" s="6">
        <f>+GETPIVOTDATA(" New-Less Than 2-Year",'Pivot Table for 1-11'!$A$3,"State","SC","SREB Type",1,"SREB Type2","Four-Year")+GETPIVOTDATA(" New-2 But Less Than 4-Year",'Pivot Table for 1-11'!$A$3,"State","SC","SREB Type",1,"SREB Type2","Four-Year")</f>
        <v>13</v>
      </c>
      <c r="C86" s="6">
        <f>+GETPIVOTDATA(" New-Associate's",'Pivot Table for 1-11'!$A$3,"State","SC","SREB Type",1,"SREB Type2","Four-Year")</f>
        <v>5</v>
      </c>
      <c r="D86" s="6">
        <f>+GETPIVOTDATA(" New-Bachelor's",'Pivot Table for 1-11'!$A$3,"State","SC","SREB Type",1,"SREB Type2","Four-Year")</f>
        <v>7290</v>
      </c>
      <c r="E86" s="6">
        <f>+GETPIVOTDATA(" New-Post-Bachelor's",'Pivot Table for 1-11'!$A$3,"State","SC","SREB Type",1,"SREB Type2","Four-Year")</f>
        <v>64</v>
      </c>
      <c r="F86" s="6">
        <f>+GETPIVOTDATA(" New-Total Master's#",'Pivot Table for 1-11'!$A$3,"State","SC","SREB Type",1,"SREB Type2","Four-Year")</f>
        <v>2374</v>
      </c>
      <c r="G86" s="6">
        <f>+GETPIVOTDATA(" New-Total Doctorates#",'Pivot Table for 1-11'!$A$3,"State","SC","SREB Type",1,"SREB Type2","Four-Year")</f>
        <v>432</v>
      </c>
      <c r="H86" s="17">
        <f>+GETPIVOTDATA(" New-Law",'Pivot Table for 1-11'!$A$3,"State","SC","SREB Type",1,"SREB Type2","Four-Year")</f>
        <v>245</v>
      </c>
      <c r="I86" s="6">
        <f>+GETPIVOTDATA(" New-Medicine",'Pivot Table for 1-11'!$A$3,"State","SC","SREB Type",1,"SREB Type2","Four-Year")</f>
        <v>68</v>
      </c>
      <c r="J86" s="6">
        <f>+GETPIVOTDATA(" New-Dentistry",'Pivot Table for 1-11'!$A$3,"State","SC","SREB Type",1,"SREB Type2","Four-Year")</f>
        <v>0</v>
      </c>
      <c r="K86" s="6">
        <f>+GETPIVOTDATA(" New-Pharmacy",'Pivot Table for 1-11'!$A$3,"State","SC","SREB Type",1,"SREB Type2","Four-Year")</f>
        <v>120</v>
      </c>
      <c r="L86" s="6">
        <f>+GETPIVOTDATA(" New-Optometry",'Pivot Table for 1-11'!$A$3,"State","SC","SREB Type",1,"SREB Type2","Four-Year")</f>
        <v>0</v>
      </c>
      <c r="M86" s="6">
        <f>+GETPIVOTDATA(" New-Osteopathic Medicine",'Pivot Table for 1-11'!$A$3,"State","SC","SREB Type",1,"SREB Type2","Four-Year")</f>
        <v>0</v>
      </c>
      <c r="N86" s="181">
        <f>+GETPIVOTDATA(" New-Veterinary Medicine",'Pivot Table for 1-11'!$A$3,"State","SC","SREB Type",1,"SREB Type2","Four-Year")</f>
        <v>0</v>
      </c>
      <c r="O86" s="198">
        <f>+GETPIVOTDATA(" New-Oth PP",'Pivot Table for 1-11'!$A$3,"State","SC","SREB Type",1,"SREB Type2","Four-Year")</f>
        <v>0</v>
      </c>
      <c r="P86" s="182">
        <f t="shared" si="5"/>
        <v>10611</v>
      </c>
      <c r="Q86" s="186"/>
    </row>
    <row r="87" spans="1:17" ht="15" customHeight="1">
      <c r="A87" s="5"/>
      <c r="B87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7" s="6">
        <f>+GETPIVOTDATA(" New-Associate's",'Pivot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181"/>
      <c r="O87" s="198"/>
      <c r="P87" s="182"/>
      <c r="Q87" s="186"/>
    </row>
    <row r="88" spans="1:17" ht="15" customHeight="1">
      <c r="A88" s="5" t="s">
        <v>309</v>
      </c>
      <c r="B88" s="6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6">
        <f>+GETPIVOTDATA(" New-Associate's",'Pivot Table for 1-11'!$A$3,"State","TN","SREB Type",1,"SREB Type2","Four-Year")</f>
        <v>0</v>
      </c>
      <c r="D88" s="6">
        <f>+GETPIVOTDATA(" New-Bachelor's",'Pivot Table for 1-11'!$A$3,"State","TN","SREB Type",1,"SREB Type2","Four-Year")</f>
        <v>5898</v>
      </c>
      <c r="E88" s="6">
        <f>+GETPIVOTDATA(" New-Post-Bachelor's",'Pivot Table for 1-11'!$A$3,"State","TN","SREB Type",1,"SREB Type2","Four-Year")</f>
        <v>0</v>
      </c>
      <c r="F88" s="6">
        <f>+GETPIVOTDATA(" New-Total Master's#",'Pivot Table for 1-11'!$A$3,"State","TN","SREB Type",1,"SREB Type2","Four-Year")</f>
        <v>2925</v>
      </c>
      <c r="G88" s="6">
        <f>+GETPIVOTDATA(" New-Total Doctorates#",'Pivot Table for 1-11'!$A$3,"State","TN","SREB Type",1,"SREB Type2","Four-Year")</f>
        <v>409</v>
      </c>
      <c r="H88" s="17">
        <f>+GETPIVOTDATA(" New-Law",'Pivot Table for 1-11'!$A$3,"State","TN","SREB Type",1,"SREB Type2","Four-Year")</f>
        <v>260</v>
      </c>
      <c r="I88" s="6">
        <f>+GETPIVOTDATA(" New-Medicine",'Pivot Table for 1-11'!$A$3,"State","TN","SREB Type",1,"SREB Type2","Four-Year")</f>
        <v>0</v>
      </c>
      <c r="J88" s="6">
        <f>+GETPIVOTDATA(" New-Dentistry",'Pivot Table for 1-11'!$A$3,"State","TN","SREB Type",1,"SREB Type2","Four-Year")</f>
        <v>0</v>
      </c>
      <c r="K88" s="6">
        <f>+GETPIVOTDATA(" New-Pharmacy",'Pivot Table for 1-11'!$A$3,"State","TN","SREB Type",1,"SREB Type2","Four-Year")</f>
        <v>0</v>
      </c>
      <c r="L88" s="6">
        <f>+GETPIVOTDATA(" New-Optometry",'Pivot Table for 1-11'!$A$3,"State","TN","SREB Type",1,"SREB Type2","Four-Year")</f>
        <v>0</v>
      </c>
      <c r="M88" s="6">
        <f>+GETPIVOTDATA(" New-Osteopathic Medicine",'Pivot Table for 1-11'!$A$3,"State","TN","SREB Type",1,"SREB Type2","Four-Year")</f>
        <v>0</v>
      </c>
      <c r="N88" s="181">
        <f>+GETPIVOTDATA(" New-Veterinary Medicine",'Pivot Table for 1-11'!$A$3,"State","TN","SREB Type",1,"SREB Type2","Four-Year")</f>
        <v>61</v>
      </c>
      <c r="O88" s="198">
        <f>+GETPIVOTDATA(" New-Oth PP",'Pivot Table for 1-11'!$A$3,"State","TN","SREB Type",1,"SREB Type2","Four-Year")</f>
        <v>0</v>
      </c>
      <c r="P88" s="182">
        <f t="shared" si="5"/>
        <v>9553</v>
      </c>
      <c r="Q88" s="186"/>
    </row>
    <row r="89" spans="1:17" ht="15" customHeight="1">
      <c r="A89" s="5" t="s">
        <v>310</v>
      </c>
      <c r="B89" s="6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6">
        <f>+GETPIVOTDATA(" New-Associate's",'Pivot Table for 1-11'!$A$3,"State","TX","SREB Type",1,"SREB Type2","Four-Year")</f>
        <v>0</v>
      </c>
      <c r="D89" s="6">
        <f>+GETPIVOTDATA(" New-Bachelor's",'Pivot Table for 1-11'!$A$3,"State","TX","SREB Type",1,"SREB Type2","Four-Year")</f>
        <v>38442</v>
      </c>
      <c r="E89" s="6">
        <f>+GETPIVOTDATA(" New-Post-Bachelor's",'Pivot Table for 1-11'!$A$3,"State","TX","SREB Type",1,"SREB Type2","Four-Year")</f>
        <v>0</v>
      </c>
      <c r="F89" s="6">
        <f>+GETPIVOTDATA(" New-Total Master's#",'Pivot Table for 1-11'!$A$3,"State","TX","SREB Type",1,"SREB Type2","Four-Year")</f>
        <v>12510</v>
      </c>
      <c r="G89" s="6">
        <f>+GETPIVOTDATA(" New-Total Doctorates#",'Pivot Table for 1-11'!$A$3,"State","TX","SREB Type",1,"SREB Type2","Four-Year")</f>
        <v>2214</v>
      </c>
      <c r="H89" s="17">
        <f>+GETPIVOTDATA(" New-Law",'Pivot Table for 1-11'!$A$3,"State","TX","SREB Type",1,"SREB Type2","Four-Year")</f>
        <v>929</v>
      </c>
      <c r="I89" s="6">
        <f>+GETPIVOTDATA(" New-Medicine",'Pivot Table for 1-11'!$A$3,"State","TX","SREB Type",1,"SREB Type2","Four-Year")</f>
        <v>0</v>
      </c>
      <c r="J89" s="6">
        <f>+GETPIVOTDATA(" New-Dentistry",'Pivot Table for 1-11'!$A$3,"State","TX","SREB Type",1,"SREB Type2","Four-Year")</f>
        <v>0</v>
      </c>
      <c r="K89" s="6">
        <f>+GETPIVOTDATA(" New-Pharmacy",'Pivot Table for 1-11'!$A$3,"State","TX","SREB Type",1,"SREB Type2","Four-Year")</f>
        <v>244</v>
      </c>
      <c r="L89" s="6">
        <f>+GETPIVOTDATA(" New-Optometry",'Pivot Table for 1-11'!$A$3,"State","TX","SREB Type",1,"SREB Type2","Four-Year")</f>
        <v>87</v>
      </c>
      <c r="M89" s="6">
        <f>+GETPIVOTDATA(" New-Osteopathic Medicine",'Pivot Table for 1-11'!$A$3,"State","TX","SREB Type",1,"SREB Type2","Four-Year")</f>
        <v>0</v>
      </c>
      <c r="N89" s="181">
        <f>+GETPIVOTDATA(" New-Veterinary Medicine",'Pivot Table for 1-11'!$A$3,"State","TX","SREB Type",1,"SREB Type2","Four-Year")</f>
        <v>119</v>
      </c>
      <c r="O89" s="198">
        <f>+GETPIVOTDATA(" New-Oth PP",'Pivot Table for 1-11'!$A$3,"State","TX","SREB Type",1,"SREB Type2","Four-Year")</f>
        <v>20</v>
      </c>
      <c r="P89" s="182">
        <f t="shared" si="5"/>
        <v>54565</v>
      </c>
      <c r="Q89" s="186"/>
    </row>
    <row r="90" spans="1:17" ht="15" customHeight="1">
      <c r="A90" s="5" t="s">
        <v>311</v>
      </c>
      <c r="B90" s="6">
        <f>+GETPIVOTDATA(" New-Less Than 2-Year",'Pivot Table for 1-11'!$A$3,"State","VA","SREB Type",1,"SREB Type2","Four-Year")+GETPIVOTDATA(" New-2 But Less Than 4-Year",'Pivot Table for 1-11'!$A$3,"State","VA","SREB Type",1,"SREB Type2","Four-Year")</f>
        <v>0</v>
      </c>
      <c r="C90" s="6">
        <f>+GETPIVOTDATA(" New-Associate's",'Pivot Table for 1-11'!$A$3,"State","VA","SREB Type",1,"SREB Type2","Four-Year")</f>
        <v>51</v>
      </c>
      <c r="D90" s="6">
        <f>+GETPIVOTDATA(" New-Bachelor's",'Pivot Table for 1-11'!$A$3,"State","VA","SREB Type",1,"SREB Type2","Four-Year")</f>
        <v>15831</v>
      </c>
      <c r="E90" s="6">
        <f>+GETPIVOTDATA(" New-Post-Bachelor's",'Pivot Table for 1-11'!$A$3,"State","VA","SREB Type",1,"SREB Type2","Four-Year")</f>
        <v>366</v>
      </c>
      <c r="F90" s="6">
        <f>+GETPIVOTDATA(" New-Total Master's#",'Pivot Table for 1-11'!$A$3,"State","VA","SREB Type",1,"SREB Type2","Four-Year")</f>
        <v>6466</v>
      </c>
      <c r="G90" s="6">
        <f>+GETPIVOTDATA(" New-Total Doctorates#",'Pivot Table for 1-11'!$A$3,"State","VA","SREB Type",1,"SREB Type2","Four-Year")</f>
        <v>1009</v>
      </c>
      <c r="H90" s="17">
        <f>+GETPIVOTDATA(" New-Law",'Pivot Table for 1-11'!$A$3,"State","VA","SREB Type",1,"SREB Type2","Four-Year")</f>
        <v>633</v>
      </c>
      <c r="I90" s="6">
        <f>+GETPIVOTDATA(" New-Medicine",'Pivot Table for 1-11'!$A$3,"State","VA","SREB Type",1,"SREB Type2","Four-Year")</f>
        <v>142</v>
      </c>
      <c r="J90" s="6">
        <f>+GETPIVOTDATA(" New-Dentistry",'Pivot Table for 1-11'!$A$3,"State","VA","SREB Type",1,"SREB Type2","Four-Year")</f>
        <v>0</v>
      </c>
      <c r="K90" s="6">
        <f>+GETPIVOTDATA(" New-Pharmacy",'Pivot Table for 1-11'!$A$3,"State","VA","SREB Type",1,"SREB Type2","Four-Year")</f>
        <v>0</v>
      </c>
      <c r="L90" s="6">
        <f>+GETPIVOTDATA(" New-Optometry",'Pivot Table for 1-11'!$A$3,"State","VA","SREB Type",1,"SREB Type2","Four-Year")</f>
        <v>0</v>
      </c>
      <c r="M90" s="6">
        <f>+GETPIVOTDATA(" New-Osteopathic Medicine",'Pivot Table for 1-11'!$A$3,"State","VA","SREB Type",1,"SREB Type2","Four-Year")</f>
        <v>0</v>
      </c>
      <c r="N90" s="181">
        <f>+GETPIVOTDATA(" New-Veterinary Medicine",'Pivot Table for 1-11'!$A$3,"State","VA","SREB Type",1,"SREB Type2","Four-Year")</f>
        <v>86</v>
      </c>
      <c r="O90" s="198">
        <f>+GETPIVOTDATA(" New-Oth PP",'Pivot Table for 1-11'!$A$3,"State","VA","SREB Type",1,"SREB Type2","Four-Year")</f>
        <v>0</v>
      </c>
      <c r="P90" s="182">
        <f t="shared" si="5"/>
        <v>24584</v>
      </c>
      <c r="Q90" s="186"/>
    </row>
    <row r="91" spans="1:17" ht="15" customHeight="1">
      <c r="A91" s="7" t="s">
        <v>312</v>
      </c>
      <c r="B91" s="8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8">
        <f>+GETPIVOTDATA(" New-Associate's",'Pivot Table for 1-11'!$A$3,"State","WV","SREB Type",1,"SREB Type2","Four-Year")</f>
        <v>0</v>
      </c>
      <c r="D91" s="8">
        <f>+GETPIVOTDATA(" New-Bachelor's",'Pivot Table for 1-11'!$A$3,"State","WV","SREB Type",1,"SREB Type2","Four-Year")</f>
        <v>3892</v>
      </c>
      <c r="E91" s="8">
        <f>+GETPIVOTDATA(" New-Post-Bachelor's",'Pivot Table for 1-11'!$A$3,"State","WV","SREB Type",1,"SREB Type2","Four-Year")</f>
        <v>0</v>
      </c>
      <c r="F91" s="8">
        <f>+GETPIVOTDATA(" New-Total Master's#",'Pivot Table for 1-11'!$A$3,"State","WV","SREB Type",1,"SREB Type2","Four-Year")</f>
        <v>1481</v>
      </c>
      <c r="G91" s="8">
        <f>+GETPIVOTDATA(" New-Total Doctorates#",'Pivot Table for 1-11'!$A$3,"State","WV","SREB Type",1,"SREB Type2","Four-Year")</f>
        <v>186</v>
      </c>
      <c r="H91" s="18">
        <f>+GETPIVOTDATA(" New-Law",'Pivot Table for 1-11'!$A$3,"State","WV","SREB Type",1,"SREB Type2","Four-Year")</f>
        <v>152</v>
      </c>
      <c r="I91" s="8">
        <f>+GETPIVOTDATA(" New-Medicine",'Pivot Table for 1-11'!$A$3,"State","WV","SREB Type",1,"SREB Type2","Four-Year")</f>
        <v>99</v>
      </c>
      <c r="J91" s="8">
        <f>+GETPIVOTDATA(" New-Dentistry",'Pivot Table for 1-11'!$A$3,"State","WV","SREB Type",1,"SREB Type2","Four-Year")</f>
        <v>43</v>
      </c>
      <c r="K91" s="8">
        <f>+GETPIVOTDATA(" New-Pharmacy",'Pivot Table for 1-11'!$A$3,"State","WV","SREB Type",1,"SREB Type2","Four-Year")</f>
        <v>73</v>
      </c>
      <c r="L91" s="8">
        <f>+GETPIVOTDATA(" New-Optometry",'Pivot Table for 1-11'!$A$3,"State","WV","SREB Type",1,"SREB Type2","Four-Year")</f>
        <v>0</v>
      </c>
      <c r="M91" s="8">
        <f>+GETPIVOTDATA(" New-Osteopathic Medicine",'Pivot Table for 1-11'!$A$3,"State","WV","SREB Type",1,"SREB Type2","Four-Year")</f>
        <v>0</v>
      </c>
      <c r="N91" s="189">
        <f>+GETPIVOTDATA(" New-Veterinary Medicine",'Pivot Table for 1-11'!$A$3,"State","WV","SREB Type",1,"SREB Type2","Four-Year")</f>
        <v>0</v>
      </c>
      <c r="O91" s="199">
        <f>+GETPIVOTDATA(" New-Oth PP",'Pivot Table for 1-11'!$A$3,"State","WV","SREB Type",1,"SREB Type2","Four-Year")</f>
        <v>0</v>
      </c>
      <c r="P91" s="183">
        <f t="shared" si="5"/>
        <v>5926</v>
      </c>
      <c r="Q91" s="186"/>
    </row>
    <row r="92" spans="1:17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181"/>
      <c r="O92" s="181"/>
      <c r="P92" s="181"/>
      <c r="Q92" s="186"/>
    </row>
    <row r="93" spans="1:17" ht="27" customHeight="1">
      <c r="A93" s="767" t="s">
        <v>1253</v>
      </c>
      <c r="B93" s="768"/>
      <c r="C93" s="768"/>
      <c r="D93" s="768"/>
      <c r="E93" s="768"/>
      <c r="F93" s="768"/>
      <c r="G93" s="768"/>
      <c r="H93" s="768"/>
      <c r="I93" s="768"/>
      <c r="J93" s="768"/>
      <c r="K93" s="768"/>
      <c r="L93" s="768"/>
      <c r="M93" s="768"/>
      <c r="N93" s="768"/>
      <c r="O93" s="768"/>
      <c r="P93" s="768"/>
      <c r="Q93" s="713"/>
    </row>
    <row r="94" spans="1:17">
      <c r="P94" s="184" t="s">
        <v>1267</v>
      </c>
      <c r="Q94" s="714"/>
    </row>
    <row r="95" spans="1:17" ht="18">
      <c r="A95" s="22" t="s">
        <v>315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93"/>
      <c r="O95" s="93"/>
      <c r="P95" s="93"/>
      <c r="Q95" s="701" t="s">
        <v>321</v>
      </c>
    </row>
    <row r="96" spans="1:17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92"/>
      <c r="O96" s="92"/>
      <c r="P96" s="92"/>
      <c r="Q96" s="710"/>
    </row>
    <row r="97" spans="1:23" ht="15.75">
      <c r="A97" s="1" t="s">
        <v>285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93"/>
      <c r="O97" s="93"/>
      <c r="P97" s="93"/>
      <c r="Q97" s="701" t="s">
        <v>321</v>
      </c>
    </row>
    <row r="98" spans="1:23" ht="15.75">
      <c r="A98" s="1" t="s">
        <v>1258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93"/>
      <c r="O98" s="93"/>
      <c r="P98" s="93"/>
      <c r="Q98" s="701" t="s">
        <v>321</v>
      </c>
    </row>
    <row r="99" spans="1:23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94"/>
      <c r="O99" s="94"/>
      <c r="P99" s="94"/>
      <c r="Q99" s="716"/>
    </row>
    <row r="100" spans="1:23" ht="15.75">
      <c r="A100" s="192"/>
      <c r="B100" s="192"/>
      <c r="C100" s="192"/>
      <c r="D100" s="192"/>
      <c r="E100" s="192"/>
      <c r="F100" s="192"/>
      <c r="G100" s="192"/>
      <c r="H100" s="196" t="s">
        <v>1254</v>
      </c>
      <c r="I100" s="26"/>
      <c r="J100" s="26"/>
      <c r="K100" s="26"/>
      <c r="L100" s="26"/>
      <c r="M100" s="26"/>
      <c r="N100" s="193"/>
      <c r="O100" s="200"/>
      <c r="P100" s="195" t="s">
        <v>321</v>
      </c>
      <c r="Q100" s="716"/>
      <c r="R100" s="696"/>
      <c r="W100" s="696"/>
    </row>
    <row r="101" spans="1:23" ht="42" customHeight="1">
      <c r="A101" s="14"/>
      <c r="B101" s="15" t="s">
        <v>696</v>
      </c>
      <c r="C101" s="15" t="s">
        <v>286</v>
      </c>
      <c r="D101" s="15" t="s">
        <v>278</v>
      </c>
      <c r="E101" s="15" t="s">
        <v>279</v>
      </c>
      <c r="F101" s="15" t="s">
        <v>288</v>
      </c>
      <c r="G101" s="15" t="s">
        <v>289</v>
      </c>
      <c r="H101" s="16" t="s">
        <v>290</v>
      </c>
      <c r="I101" s="15" t="s">
        <v>291</v>
      </c>
      <c r="J101" s="15" t="s">
        <v>292</v>
      </c>
      <c r="K101" s="15" t="s">
        <v>282</v>
      </c>
      <c r="L101" s="15" t="s">
        <v>293</v>
      </c>
      <c r="M101" s="15" t="s">
        <v>294</v>
      </c>
      <c r="N101" s="191" t="s">
        <v>952</v>
      </c>
      <c r="O101" s="197" t="s">
        <v>1252</v>
      </c>
      <c r="P101" s="191" t="s">
        <v>295</v>
      </c>
      <c r="Q101" s="717"/>
    </row>
    <row r="102" spans="1:23" ht="15" customHeight="1">
      <c r="A102" s="3" t="s">
        <v>296</v>
      </c>
      <c r="B102" s="6">
        <f>+GETPIVOTDATA(" New-Less Than 2-Year",'Pivot Table for 1-11'!$A$3,"SREB Type",2,"SREB Type2","Four-Year")+GETPIVOTDATA(" New-2 But Less Than 4-Year",'Pivot Table for 1-11'!$A$3,"SREB Type",2,"SREB Type2","Four-Year")</f>
        <v>110</v>
      </c>
      <c r="C102" s="6">
        <f>+GETPIVOTDATA(" New-Associate's",'Pivot Table for 1-11'!$A$3,"SREB Type",2,"SREB Type2","Four-Year")</f>
        <v>251</v>
      </c>
      <c r="D102" s="6">
        <f>+GETPIVOTDATA(" New-Bachelor's",'Pivot Table for 1-11'!$A$3,"SREB Type",2,"SREB Type2","Four-Year")</f>
        <v>37597</v>
      </c>
      <c r="E102" s="6">
        <f>+GETPIVOTDATA(" New-Post-Bachelor's",'Pivot Table for 1-11'!$A$3,"SREB Type",2,"SREB Type2","Four-Year")</f>
        <v>291</v>
      </c>
      <c r="F102" s="6">
        <f>+GETPIVOTDATA(" New-Total Master's#",'Pivot Table for 1-11'!$A$3,"SREB Type",2,"SREB Type2","Four-Year")</f>
        <v>13336</v>
      </c>
      <c r="G102" s="6">
        <f>+GETPIVOTDATA(" New-Total Doctorates#",'Pivot Table for 1-11'!$A$3,"SREB Type",2,"SREB Type2","Four-Year")</f>
        <v>1627</v>
      </c>
      <c r="H102" s="17">
        <f>+GETPIVOTDATA(" New-Law",'Pivot Table for 1-11'!$A$3,"SREB Type",2,"SREB Type2","Four-Year")</f>
        <v>357</v>
      </c>
      <c r="I102" s="6">
        <f>+GETPIVOTDATA(" New-Medicine",'Pivot Table for 1-11'!$A$3,"SREB Type",2,"SREB Type2","Four-Year")</f>
        <v>174</v>
      </c>
      <c r="J102" s="6">
        <f>+GETPIVOTDATA(" New-Dentistry",'Pivot Table for 1-11'!$A$3,"SREB Type",2,"SREB Type2","Four-Year")</f>
        <v>91</v>
      </c>
      <c r="K102" s="6">
        <f>+GETPIVOTDATA(" New-Pharmacy",'Pivot Table for 1-11'!$A$3,"SREB Type",2,"SREB Type2","Four-Year")</f>
        <v>205</v>
      </c>
      <c r="L102" s="6">
        <f>+GETPIVOTDATA(" New-Optometry",'Pivot Table for 1-11'!$A$3,"SREB Type",2,"SREB Type2","Four-Year")</f>
        <v>0</v>
      </c>
      <c r="M102" s="6">
        <f>+GETPIVOTDATA(" New-Osteopathic Medicine",'Pivot Table for 1-11'!$A$3,"SREB Type",2,"SREB Type2","Four-Year")</f>
        <v>0</v>
      </c>
      <c r="N102" s="181">
        <f>+GETPIVOTDATA(" New-Veterinary Medicine",'Pivot Table for 1-11'!$A$3,"SREB Type",2,"SREB Type2","Four-Year")</f>
        <v>0</v>
      </c>
      <c r="O102" s="198">
        <f>+GETPIVOTDATA(" New-Oth PP",'Pivot Table for 1-11'!$A$3,"SREB Type",2,"SREB Type2","Four-Year")</f>
        <v>0</v>
      </c>
      <c r="P102" s="182">
        <f>SUM(C102:O102)</f>
        <v>53929</v>
      </c>
      <c r="Q102" s="186"/>
    </row>
    <row r="103" spans="1:23" ht="15" customHeight="1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181"/>
      <c r="O103" s="198"/>
      <c r="P103" s="182"/>
      <c r="Q103" s="186"/>
    </row>
    <row r="104" spans="1:23" ht="15" customHeight="1">
      <c r="A104" s="5" t="s">
        <v>297</v>
      </c>
      <c r="B104" s="6">
        <f>GETPIVOTDATA(" New-Less Than 2-Year",'Pivot Table for 1-11'!$A$3,"State","AL","SREB Type",2,"SREB Type2","Four-Year")+GETPIVOTDATA(" New-2 But Less Than 4-Year",'Pivot Table for 1-11'!$A$3,"State","AL","SREB Type",2,"SREB Type2","Four-Year")</f>
        <v>0</v>
      </c>
      <c r="C104" s="6">
        <f>+GETPIVOTDATA(" New-Associate's",'Pivot Table for 1-11'!$A$3,"State","AL","SREB Type",2,"SREB Type2","Four-Year")</f>
        <v>0</v>
      </c>
      <c r="D104" s="6">
        <f>+GETPIVOTDATA(" New-Bachelor's",'Pivot Table for 1-11'!$A$3,"State","AL","SREB Type",2,"SREB Type2","Four-Year")</f>
        <v>900</v>
      </c>
      <c r="E104" s="6">
        <f>+GETPIVOTDATA(" New-Post-Bachelor's",'Pivot Table for 1-11'!$A$3,"State","AL","SREB Type",2,"SREB Type2","Four-Year")</f>
        <v>26</v>
      </c>
      <c r="F104" s="6">
        <f>+GETPIVOTDATA(" New-Total Master's#",'Pivot Table for 1-11'!$A$3,"State","AL","SREB Type",2,"SREB Type2","Four-Year")</f>
        <v>379</v>
      </c>
      <c r="G104" s="6">
        <f>+GETPIVOTDATA(" New-Total Doctorates#",'Pivot Table for 1-11'!$A$3,"State","AL","SREB Type",2,"SREB Type2","Four-Year")</f>
        <v>32</v>
      </c>
      <c r="H104" s="17">
        <f>+GETPIVOTDATA(" New-Law",'Pivot Table for 1-11'!$A$3,"State","AL","SREB Type",2,"SREB Type2","Four-Year")</f>
        <v>0</v>
      </c>
      <c r="I104" s="6">
        <f>+GETPIVOTDATA(" New-Medicine",'Pivot Table for 1-11'!$A$3,"State","AL","SREB Type",2,"SREB Type2","Four-Year")</f>
        <v>0</v>
      </c>
      <c r="J104" s="6">
        <f>+GETPIVOTDATA(" New-Dentistry",'Pivot Table for 1-11'!$A$3,"State","AL","SREB Type",2,"SREB Type2","Four-Year")</f>
        <v>0</v>
      </c>
      <c r="K104" s="6">
        <f>+GETPIVOTDATA(" New-Pharmacy",'Pivot Table for 1-11'!$A$3,"State","AL","SREB Type",2,"SREB Type2","Four-Year")</f>
        <v>0</v>
      </c>
      <c r="L104" s="6">
        <f>+GETPIVOTDATA(" New-Optometry",'Pivot Table for 1-11'!$A$3,"State","AL","SREB Type",2,"SREB Type2","Four-Year")</f>
        <v>0</v>
      </c>
      <c r="M104" s="6">
        <f>+GETPIVOTDATA(" New-Osteopathic Medicine",'Pivot Table for 1-11'!$A$3,"State","AL","SREB Type",2,"SREB Type2","Four-Year")</f>
        <v>0</v>
      </c>
      <c r="N104" s="181">
        <f>+GETPIVOTDATA(" New-Veterinary Medicine",'Pivot Table for 1-11'!$A$3,"State","AL","SREB Type",2,"SREB Type2","Four-Year")</f>
        <v>0</v>
      </c>
      <c r="O104" s="198">
        <f>+GETPIVOTDATA(" New-Oth PP",'Pivot Table for 1-11'!$A$3,"State","AL","SREB Type",2,"SREB Type2","Four-Year")</f>
        <v>0</v>
      </c>
      <c r="P104" s="182">
        <f t="shared" ref="P104:P122" si="6">SUM(C104:O104)</f>
        <v>1337</v>
      </c>
      <c r="Q104" s="186"/>
    </row>
    <row r="105" spans="1:23" ht="15" customHeight="1">
      <c r="A105" s="5" t="s">
        <v>298</v>
      </c>
      <c r="B105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05" s="6">
        <f>+GETPIVOTDATA(" New-Associate's",'Pivot Table for 1-11'!$A$3,"State","AR","SREB Type",2,"SREB Type2","Four-Year")</f>
        <v>0</v>
      </c>
      <c r="D105" s="6">
        <f>+GETPIVOTDATA(" New-Bachelor's",'Pivot Table for 1-11'!$A$3,"State","AR","SREB Type",2,"SREB Type2","Four-Year")</f>
        <v>0</v>
      </c>
      <c r="E105" s="6">
        <f>+GETPIVOTDATA(" New-Post-Bachelor's",'Pivot Table for 1-11'!$A$3,"State","AR","SREB Type",2,"SREB Type2","Four-Year")</f>
        <v>0</v>
      </c>
      <c r="F105" s="6">
        <f>+GETPIVOTDATA(" New-Total Master's#",'Pivot Table for 1-11'!$A$3,"State","AR","SREB Type",2,"SREB Type2","Four-Year")</f>
        <v>0</v>
      </c>
      <c r="G105" s="6">
        <f>+GETPIVOTDATA(" New-Total Doctorates#",'Pivot Table for 1-11'!$A$3,"State","AR","SREB Type",2,"SREB Type2","Four-Year")</f>
        <v>0</v>
      </c>
      <c r="H105" s="17">
        <f>+GETPIVOTDATA(" New-Law",'Pivot Table for 1-11'!$A$3,"State","AR","SREB Type",2,"SREB Type2","Four-Year")</f>
        <v>0</v>
      </c>
      <c r="I105" s="6">
        <f>+GETPIVOTDATA(" New-Medicine",'Pivot Table for 1-11'!$A$3,"State","AR","SREB Type",2,"SREB Type2","Four-Year")</f>
        <v>0</v>
      </c>
      <c r="J105" s="6">
        <f>+GETPIVOTDATA(" New-Dentistry",'Pivot Table for 1-11'!$A$3,"State","AR","SREB Type",2,"SREB Type2","Four-Year")</f>
        <v>0</v>
      </c>
      <c r="K105" s="6">
        <f>+GETPIVOTDATA(" New-Pharmacy",'Pivot Table for 1-11'!$A$3,"State","AR","SREB Type",2,"SREB Type2","Four-Year")</f>
        <v>0</v>
      </c>
      <c r="L105" s="6">
        <f>+GETPIVOTDATA(" New-Optometry",'Pivot Table for 1-11'!$A$3,"State","AR","SREB Type",2,"SREB Type2","Four-Year")</f>
        <v>0</v>
      </c>
      <c r="M105" s="6">
        <f>+GETPIVOTDATA(" New-Osteopathic Medicine",'Pivot Table for 1-11'!$A$3,"State","AR","SREB Type",2,"SREB Type2","Four-Year")</f>
        <v>0</v>
      </c>
      <c r="N105" s="181">
        <f>+GETPIVOTDATA(" New-Veterinary Medicine",'Pivot Table for 1-11'!$A$3,"State","AR","SREB Type",2,"SREB Type2","Four-Year")</f>
        <v>0</v>
      </c>
      <c r="O105" s="198">
        <f>+GETPIVOTDATA(" New-Oth PP",'Pivot Table for 1-11'!$A$3,"State","AR","SREB Type",2,"SREB Type2","Four-Year")</f>
        <v>0</v>
      </c>
      <c r="P105" s="182">
        <f t="shared" si="6"/>
        <v>0</v>
      </c>
      <c r="Q105" s="186"/>
    </row>
    <row r="106" spans="1:23" ht="15" customHeight="1">
      <c r="A106" s="5" t="s">
        <v>299</v>
      </c>
      <c r="B106" s="6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6">
        <f>+GETPIVOTDATA(" New-Associate's",'Pivot Table for 1-11'!$A$3,"State","DE","SREB Type",2,"SREB Type2","Four-Year")</f>
        <v>0</v>
      </c>
      <c r="D106" s="6">
        <f>+GETPIVOTDATA(" New-Bachelor's",'Pivot Table for 1-11'!$A$3,"State","DE","SREB Type",2,"SREB Type2","Four-Year")</f>
        <v>0</v>
      </c>
      <c r="E106" s="6">
        <f>+GETPIVOTDATA(" New-Post-Bachelor's",'Pivot Table for 1-11'!$A$3,"State","DE","SREB Type",2,"SREB Type2","Four-Year")</f>
        <v>0</v>
      </c>
      <c r="F106" s="6">
        <f>+GETPIVOTDATA(" New-Total Master's#",'Pivot Table for 1-11'!$A$3,"State","DE","SREB Type",2,"SREB Type2","Four-Year")</f>
        <v>0</v>
      </c>
      <c r="G106" s="6">
        <f>+GETPIVOTDATA(" New-Total Doctorates#",'Pivot Table for 1-11'!$A$3,"State","DE","SREB Type",2,"SREB Type2","Four-Year")</f>
        <v>0</v>
      </c>
      <c r="H106" s="17">
        <f>+GETPIVOTDATA(" New-Law",'Pivot Table for 1-11'!$A$3,"State","DE","SREB Type",2,"SREB Type2","Four-Year")</f>
        <v>0</v>
      </c>
      <c r="I106" s="6">
        <f>+GETPIVOTDATA(" New-Medicine",'Pivot Table for 1-11'!$A$3,"State","DE","SREB Type",2,"SREB Type2","Four-Year")</f>
        <v>0</v>
      </c>
      <c r="J106" s="6">
        <f>+GETPIVOTDATA(" New-Dentistry",'Pivot Table for 1-11'!$A$3,"State","DE","SREB Type",2,"SREB Type2","Four-Year")</f>
        <v>0</v>
      </c>
      <c r="K106" s="6">
        <f>+GETPIVOTDATA(" New-Pharmacy",'Pivot Table for 1-11'!$A$3,"State","DE","SREB Type",2,"SREB Type2","Four-Year")</f>
        <v>0</v>
      </c>
      <c r="L106" s="6">
        <f>+GETPIVOTDATA(" New-Optometry",'Pivot Table for 1-11'!$A$3,"State","DE","SREB Type",2,"SREB Type2","Four-Year")</f>
        <v>0</v>
      </c>
      <c r="M106" s="6">
        <f>+GETPIVOTDATA(" New-Osteopathic Medicine",'Pivot Table for 1-11'!$A$3,"State","DE","SREB Type",2,"SREB Type2","Four-Year")</f>
        <v>0</v>
      </c>
      <c r="N106" s="181">
        <f>+GETPIVOTDATA(" New-Veterinary Medicine",'Pivot Table for 1-11'!$A$3,"State","DE","SREB Type",2,"SREB Type2","Four-Year")</f>
        <v>0</v>
      </c>
      <c r="O106" s="198">
        <f>+GETPIVOTDATA(" New-Oth PP",'Pivot Table for 1-11'!$A$3,"State","DE","SREB Type",2,"SREB Type2","Four-Year")</f>
        <v>0</v>
      </c>
      <c r="P106" s="182">
        <f t="shared" si="6"/>
        <v>0</v>
      </c>
      <c r="Q106" s="186"/>
    </row>
    <row r="107" spans="1:23" ht="15" customHeight="1">
      <c r="A107" s="5" t="s">
        <v>300</v>
      </c>
      <c r="B107" s="6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6">
        <f>+GETPIVOTDATA(" New-Associate's",'Pivot Table for 1-11'!$A$3,"State","FL","SREB Type",2,"SREB Type2","Four-Year")</f>
        <v>157</v>
      </c>
      <c r="D107" s="6">
        <f>+GETPIVOTDATA(" New-Bachelor's",'Pivot Table for 1-11'!$A$3,"State","FL","SREB Type",2,"SREB Type2","Four-Year")</f>
        <v>4467</v>
      </c>
      <c r="E107" s="6">
        <f>+GETPIVOTDATA(" New-Post-Bachelor's",'Pivot Table for 1-11'!$A$3,"State","FL","SREB Type",2,"SREB Type2","Four-Year")</f>
        <v>0</v>
      </c>
      <c r="F107" s="6">
        <f>+GETPIVOTDATA(" New-Total Master's#",'Pivot Table for 1-11'!$A$3,"State","FL","SREB Type",2,"SREB Type2","Four-Year")</f>
        <v>1146</v>
      </c>
      <c r="G107" s="6">
        <f>+GETPIVOTDATA(" New-Total Doctorates#",'Pivot Table for 1-11'!$A$3,"State","FL","SREB Type",2,"SREB Type2","Four-Year")</f>
        <v>90</v>
      </c>
      <c r="H107" s="17">
        <f>+GETPIVOTDATA(" New-Law",'Pivot Table for 1-11'!$A$3,"State","FL","SREB Type",2,"SREB Type2","Four-Year")</f>
        <v>0</v>
      </c>
      <c r="I107" s="6">
        <f>+GETPIVOTDATA(" New-Medicine",'Pivot Table for 1-11'!$A$3,"State","FL","SREB Type",2,"SREB Type2","Four-Year")</f>
        <v>0</v>
      </c>
      <c r="J107" s="6">
        <f>+GETPIVOTDATA(" New-Dentistry",'Pivot Table for 1-11'!$A$3,"State","FL","SREB Type",2,"SREB Type2","Four-Year")</f>
        <v>0</v>
      </c>
      <c r="K107" s="6">
        <f>+GETPIVOTDATA(" New-Pharmacy",'Pivot Table for 1-11'!$A$3,"State","FL","SREB Type",2,"SREB Type2","Four-Year")</f>
        <v>0</v>
      </c>
      <c r="L107" s="6">
        <f>+GETPIVOTDATA(" New-Optometry",'Pivot Table for 1-11'!$A$3,"State","FL","SREB Type",2,"SREB Type2","Four-Year")</f>
        <v>0</v>
      </c>
      <c r="M107" s="6">
        <f>+GETPIVOTDATA(" New-Osteopathic Medicine",'Pivot Table for 1-11'!$A$3,"State","FL","SREB Type",2,"SREB Type2","Four-Year")</f>
        <v>0</v>
      </c>
      <c r="N107" s="181">
        <f>+GETPIVOTDATA(" New-Veterinary Medicine",'Pivot Table for 1-11'!$A$3,"State","FL","SREB Type",2,"SREB Type2","Four-Year")</f>
        <v>0</v>
      </c>
      <c r="O107" s="198">
        <f>+GETPIVOTDATA(" New-Oth PP",'Pivot Table for 1-11'!$A$3,"State","FL","SREB Type",2,"SREB Type2","Four-Year")</f>
        <v>0</v>
      </c>
      <c r="P107" s="182">
        <f t="shared" si="6"/>
        <v>5860</v>
      </c>
      <c r="Q107" s="186"/>
    </row>
    <row r="108" spans="1:23" ht="15" customHeight="1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181"/>
      <c r="O108" s="198"/>
      <c r="P108" s="182">
        <f t="shared" si="6"/>
        <v>0</v>
      </c>
      <c r="Q108" s="186"/>
    </row>
    <row r="109" spans="1:23" ht="15" customHeight="1">
      <c r="A109" s="5" t="s">
        <v>301</v>
      </c>
      <c r="B109" s="6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6">
        <f>+GETPIVOTDATA(" New-Associate's",'Pivot Table for 1-11'!$A$3,"State","GA","SREB Type",2,"SREB Type2","Four-Year")</f>
        <v>0</v>
      </c>
      <c r="D109" s="6">
        <f>+GETPIVOTDATA(" New-Bachelor's",'Pivot Table for 1-11'!$A$3,"State","GA","SREB Type",2,"SREB Type2","Four-Year")</f>
        <v>2696</v>
      </c>
      <c r="E109" s="6">
        <f>+GETPIVOTDATA(" New-Post-Bachelor's",'Pivot Table for 1-11'!$A$3,"State","GA","SREB Type",2,"SREB Type2","Four-Year")</f>
        <v>0</v>
      </c>
      <c r="F109" s="6">
        <f>+GETPIVOTDATA(" New-Total Master's#",'Pivot Table for 1-11'!$A$3,"State","GA","SREB Type",2,"SREB Type2","Four-Year")</f>
        <v>1879</v>
      </c>
      <c r="G109" s="6">
        <f>+GETPIVOTDATA(" New-Total Doctorates#",'Pivot Table for 1-11'!$A$3,"State","GA","SREB Type",2,"SREB Type2","Four-Year")</f>
        <v>490</v>
      </c>
      <c r="H109" s="17">
        <f>+GETPIVOTDATA(" New-Law",'Pivot Table for 1-11'!$A$3,"State","GA","SREB Type",2,"SREB Type2","Four-Year")</f>
        <v>0</v>
      </c>
      <c r="I109" s="6">
        <f>+GETPIVOTDATA(" New-Medicine",'Pivot Table for 1-11'!$A$3,"State","GA","SREB Type",2,"SREB Type2","Four-Year")</f>
        <v>0</v>
      </c>
      <c r="J109" s="6">
        <f>+GETPIVOTDATA(" New-Dentistry",'Pivot Table for 1-11'!$A$3,"State","GA","SREB Type",2,"SREB Type2","Four-Year")</f>
        <v>0</v>
      </c>
      <c r="K109" s="6">
        <f>+GETPIVOTDATA(" New-Pharmacy",'Pivot Table for 1-11'!$A$3,"State","GA","SREB Type",2,"SREB Type2","Four-Year")</f>
        <v>0</v>
      </c>
      <c r="L109" s="6">
        <f>+GETPIVOTDATA(" New-Optometry",'Pivot Table for 1-11'!$A$3,"State","GA","SREB Type",2,"SREB Type2","Four-Year")</f>
        <v>0</v>
      </c>
      <c r="M109" s="6">
        <f>+GETPIVOTDATA(" New-Osteopathic Medicine",'Pivot Table for 1-11'!$A$3,"State","GA","SREB Type",2,"SREB Type2","Four-Year")</f>
        <v>0</v>
      </c>
      <c r="N109" s="181">
        <f>+GETPIVOTDATA(" New-Veterinary Medicine",'Pivot Table for 1-11'!$A$3,"State","GA","SREB Type",2,"SREB Type2","Four-Year")</f>
        <v>0</v>
      </c>
      <c r="O109" s="198">
        <f>+GETPIVOTDATA(" New-Oth PP",'Pivot Table for 1-11'!$A$3,"State","GA","SREB Type",2,"SREB Type2","Four-Year")</f>
        <v>0</v>
      </c>
      <c r="P109" s="182">
        <f t="shared" si="6"/>
        <v>5065</v>
      </c>
      <c r="Q109" s="186"/>
    </row>
    <row r="110" spans="1:23" ht="15" customHeight="1">
      <c r="A110" s="5" t="s">
        <v>302</v>
      </c>
      <c r="B110" s="6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6">
        <f>+GETPIVOTDATA(" New-Associate's",'Pivot Table for 1-11'!$A$3,"State","KY","SREB Type",2,"SREB Type2","Four-Year")</f>
        <v>0</v>
      </c>
      <c r="D110" s="6">
        <f>+GETPIVOTDATA(" New-Bachelor's",'Pivot Table for 1-11'!$A$3,"State","KY","SREB Type",2,"SREB Type2","Four-Year")</f>
        <v>0</v>
      </c>
      <c r="E110" s="6">
        <f>+GETPIVOTDATA(" New-Post-Bachelor's",'Pivot Table for 1-11'!$A$3,"State","KY","SREB Type",2,"SREB Type2","Four-Year")</f>
        <v>0</v>
      </c>
      <c r="F110" s="6">
        <f>+GETPIVOTDATA(" New-Total Master's#",'Pivot Table for 1-11'!$A$3,"State","KY","SREB Type",2,"SREB Type2","Four-Year")</f>
        <v>0</v>
      </c>
      <c r="G110" s="6">
        <f>+GETPIVOTDATA(" New-Total Doctorates#",'Pivot Table for 1-11'!$A$3,"State","KY","SREB Type",2,"SREB Type2","Four-Year")</f>
        <v>0</v>
      </c>
      <c r="H110" s="17">
        <f>+GETPIVOTDATA(" New-Law",'Pivot Table for 1-11'!$A$3,"State","KY","SREB Type",2,"SREB Type2","Four-Year")</f>
        <v>0</v>
      </c>
      <c r="I110" s="6">
        <f>+GETPIVOTDATA(" New-Medicine",'Pivot Table for 1-11'!$A$3,"State","KY","SREB Type",2,"SREB Type2","Four-Year")</f>
        <v>0</v>
      </c>
      <c r="J110" s="6">
        <f>+GETPIVOTDATA(" New-Dentistry",'Pivot Table for 1-11'!$A$3,"State","KY","SREB Type",2,"SREB Type2","Four-Year")</f>
        <v>0</v>
      </c>
      <c r="K110" s="6">
        <f>+GETPIVOTDATA(" New-Pharmacy",'Pivot Table for 1-11'!$A$3,"State","KY","SREB Type",2,"SREB Type2","Four-Year")</f>
        <v>0</v>
      </c>
      <c r="L110" s="6">
        <f>+GETPIVOTDATA(" New-Optometry",'Pivot Table for 1-11'!$A$3,"State","KY","SREB Type",2,"SREB Type2","Four-Year")</f>
        <v>0</v>
      </c>
      <c r="M110" s="6">
        <f>+GETPIVOTDATA(" New-Osteopathic Medicine",'Pivot Table for 1-11'!$A$3,"State","KY","SREB Type",2,"SREB Type2","Four-Year")</f>
        <v>0</v>
      </c>
      <c r="N110" s="181">
        <f>+GETPIVOTDATA(" New-Veterinary Medicine",'Pivot Table for 1-11'!$A$3,"State","KY","SREB Type",2,"SREB Type2","Four-Year")</f>
        <v>0</v>
      </c>
      <c r="O110" s="198">
        <f>+GETPIVOTDATA(" New-Oth PP",'Pivot Table for 1-11'!$A$3,"State","KY","SREB Type",2,"SREB Type2","Four-Year")</f>
        <v>0</v>
      </c>
      <c r="P110" s="182">
        <f t="shared" si="6"/>
        <v>0</v>
      </c>
      <c r="Q110" s="186"/>
    </row>
    <row r="111" spans="1:23" ht="15" customHeight="1">
      <c r="A111" s="5" t="s">
        <v>303</v>
      </c>
      <c r="B111" s="6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6">
        <f>+GETPIVOTDATA(" New-Associate's",'Pivot Table for 1-11'!$A$3,"State","LA","SREB Type",2,"SREB Type2","Four-Year")</f>
        <v>94</v>
      </c>
      <c r="D111" s="6">
        <f>+GETPIVOTDATA(" New-Bachelor's",'Pivot Table for 1-11'!$A$3,"State","LA","SREB Type",2,"SREB Type2","Four-Year")</f>
        <v>4802</v>
      </c>
      <c r="E111" s="6">
        <f>+GETPIVOTDATA(" New-Post-Bachelor's",'Pivot Table for 1-11'!$A$3,"State","LA","SREB Type",2,"SREB Type2","Four-Year")</f>
        <v>20</v>
      </c>
      <c r="F111" s="6">
        <f>+GETPIVOTDATA(" New-Total Master's#",'Pivot Table for 1-11'!$A$3,"State","LA","SREB Type",2,"SREB Type2","Four-Year")</f>
        <v>1294</v>
      </c>
      <c r="G111" s="6">
        <f>+GETPIVOTDATA(" New-Total Doctorates#",'Pivot Table for 1-11'!$A$3,"State","LA","SREB Type",2,"SREB Type2","Four-Year")</f>
        <v>114</v>
      </c>
      <c r="H111" s="17">
        <f>+GETPIVOTDATA(" New-Law",'Pivot Table for 1-11'!$A$3,"State","LA","SREB Type",2,"SREB Type2","Four-Year")</f>
        <v>0</v>
      </c>
      <c r="I111" s="6">
        <f>+GETPIVOTDATA(" New-Medicine",'Pivot Table for 1-11'!$A$3,"State","LA","SREB Type",2,"SREB Type2","Four-Year")</f>
        <v>0</v>
      </c>
      <c r="J111" s="6">
        <f>+GETPIVOTDATA(" New-Dentistry",'Pivot Table for 1-11'!$A$3,"State","LA","SREB Type",2,"SREB Type2","Four-Year")</f>
        <v>0</v>
      </c>
      <c r="K111" s="6">
        <f>+GETPIVOTDATA(" New-Pharmacy",'Pivot Table for 1-11'!$A$3,"State","LA","SREB Type",2,"SREB Type2","Four-Year")</f>
        <v>0</v>
      </c>
      <c r="L111" s="6">
        <f>+GETPIVOTDATA(" New-Optometry",'Pivot Table for 1-11'!$A$3,"State","LA","SREB Type",2,"SREB Type2","Four-Year")</f>
        <v>0</v>
      </c>
      <c r="M111" s="6">
        <f>+GETPIVOTDATA(" New-Osteopathic Medicine",'Pivot Table for 1-11'!$A$3,"State","LA","SREB Type",2,"SREB Type2","Four-Year")</f>
        <v>0</v>
      </c>
      <c r="N111" s="181">
        <f>+GETPIVOTDATA(" New-Veterinary Medicine",'Pivot Table for 1-11'!$A$3,"State","LA","SREB Type",2,"SREB Type2","Four-Year")</f>
        <v>0</v>
      </c>
      <c r="O111" s="198">
        <f>+GETPIVOTDATA(" New-Oth PP",'Pivot Table for 1-11'!$A$3,"State","LA","SREB Type",2,"SREB Type2","Four-Year")</f>
        <v>0</v>
      </c>
      <c r="P111" s="182">
        <f t="shared" si="6"/>
        <v>6324</v>
      </c>
      <c r="Q111" s="186"/>
    </row>
    <row r="112" spans="1:23" ht="15" customHeight="1">
      <c r="A112" s="5" t="s">
        <v>304</v>
      </c>
      <c r="B112" s="6">
        <f>+GETPIVOTDATA(" New-Less Than 2-Year",'Pivot Table for 1-11'!$A$3,"State","MD","SREB Type",2,"SREB Type2","Four-Year")+GETPIVOTDATA(" New-2 But Less Than 4-Year",'Pivot Table for 1-11'!$A$3,"State","MD","SREB Type",2,"SREB Type2","Four-Year")</f>
        <v>110</v>
      </c>
      <c r="C112" s="6">
        <f>+GETPIVOTDATA(" New-Associate's",'Pivot Table for 1-11'!$A$3,"State","MD","SREB Type",2,"SREB Type2","Four-Year")</f>
        <v>0</v>
      </c>
      <c r="D112" s="6">
        <f>+GETPIVOTDATA(" New-Bachelor's",'Pivot Table for 1-11'!$A$3,"State","MD","SREB Type",2,"SREB Type2","Four-Year")</f>
        <v>1798</v>
      </c>
      <c r="E112" s="6">
        <f>+GETPIVOTDATA(" New-Post-Bachelor's",'Pivot Table for 1-11'!$A$3,"State","MD","SREB Type",2,"SREB Type2","Four-Year")</f>
        <v>0</v>
      </c>
      <c r="F112" s="6">
        <f>+GETPIVOTDATA(" New-Total Master's#",'Pivot Table for 1-11'!$A$3,"State","MD","SREB Type",2,"SREB Type2","Four-Year")</f>
        <v>476</v>
      </c>
      <c r="G112" s="6">
        <f>+GETPIVOTDATA(" New-Total Doctorates#",'Pivot Table for 1-11'!$A$3,"State","MD","SREB Type",2,"SREB Type2","Four-Year")</f>
        <v>86</v>
      </c>
      <c r="H112" s="17">
        <f>+GETPIVOTDATA(" New-Law",'Pivot Table for 1-11'!$A$3,"State","MD","SREB Type",2,"SREB Type2","Four-Year")</f>
        <v>0</v>
      </c>
      <c r="I112" s="6">
        <f>+GETPIVOTDATA(" New-Medicine",'Pivot Table for 1-11'!$A$3,"State","MD","SREB Type",2,"SREB Type2","Four-Year")</f>
        <v>0</v>
      </c>
      <c r="J112" s="6">
        <f>+GETPIVOTDATA(" New-Dentistry",'Pivot Table for 1-11'!$A$3,"State","MD","SREB Type",2,"SREB Type2","Four-Year")</f>
        <v>0</v>
      </c>
      <c r="K112" s="6">
        <f>+GETPIVOTDATA(" New-Pharmacy",'Pivot Table for 1-11'!$A$3,"State","MD","SREB Type",2,"SREB Type2","Four-Year")</f>
        <v>0</v>
      </c>
      <c r="L112" s="6">
        <f>+GETPIVOTDATA(" New-Optometry",'Pivot Table for 1-11'!$A$3,"State","MD","SREB Type",2,"SREB Type2","Four-Year")</f>
        <v>0</v>
      </c>
      <c r="M112" s="6">
        <f>+GETPIVOTDATA(" New-Osteopathic Medicine",'Pivot Table for 1-11'!$A$3,"State","MD","SREB Type",2,"SREB Type2","Four-Year")</f>
        <v>0</v>
      </c>
      <c r="N112" s="181">
        <f>+GETPIVOTDATA(" New-Veterinary Medicine",'Pivot Table for 1-11'!$A$3,"State","MD","SREB Type",2,"SREB Type2","Four-Year")</f>
        <v>0</v>
      </c>
      <c r="O112" s="198">
        <f>+GETPIVOTDATA(" New-Oth PP",'Pivot Table for 1-11'!$A$3,"State","MD","SREB Type",2,"SREB Type2","Four-Year")</f>
        <v>0</v>
      </c>
      <c r="P112" s="182">
        <f t="shared" si="6"/>
        <v>2360</v>
      </c>
      <c r="Q112" s="186"/>
    </row>
    <row r="113" spans="1:17" ht="15" customHeight="1">
      <c r="A113" s="5"/>
      <c r="B113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181"/>
      <c r="O113" s="198"/>
      <c r="P113" s="182">
        <f t="shared" si="6"/>
        <v>0</v>
      </c>
      <c r="Q113" s="186"/>
    </row>
    <row r="114" spans="1:17" ht="15" customHeight="1">
      <c r="A114" s="5" t="s">
        <v>305</v>
      </c>
      <c r="B114" s="6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6">
        <f>+GETPIVOTDATA(" New-Associate's",'Pivot Table for 1-11'!$A$3,"State","MS","SREB Type",2,"SREB Type2","Four-Year")</f>
        <v>0</v>
      </c>
      <c r="D114" s="6">
        <f>+GETPIVOTDATA(" New-Bachelor's",'Pivot Table for 1-11'!$A$3,"State","MS","SREB Type",2,"SREB Type2","Four-Year")</f>
        <v>3411</v>
      </c>
      <c r="E114" s="6">
        <f>+GETPIVOTDATA(" New-Post-Bachelor's",'Pivot Table for 1-11'!$A$3,"State","MS","SREB Type",2,"SREB Type2","Four-Year")</f>
        <v>0</v>
      </c>
      <c r="F114" s="6">
        <f>+GETPIVOTDATA(" New-Total Master's#",'Pivot Table for 1-11'!$A$3,"State","MS","SREB Type",2,"SREB Type2","Four-Year")</f>
        <v>863</v>
      </c>
      <c r="G114" s="6">
        <f>+GETPIVOTDATA(" New-Total Doctorates#",'Pivot Table for 1-11'!$A$3,"State","MS","SREB Type",2,"SREB Type2","Four-Year")</f>
        <v>166</v>
      </c>
      <c r="H114" s="17">
        <f>+GETPIVOTDATA(" New-Law",'Pivot Table for 1-11'!$A$3,"State","MS","SREB Type",2,"SREB Type2","Four-Year")</f>
        <v>163</v>
      </c>
      <c r="I114" s="6">
        <f>+GETPIVOTDATA(" New-Medicine",'Pivot Table for 1-11'!$A$3,"State","MS","SREB Type",2,"SREB Type2","Four-Year")</f>
        <v>0</v>
      </c>
      <c r="J114" s="6">
        <f>+GETPIVOTDATA(" New-Dentistry",'Pivot Table for 1-11'!$A$3,"State","MS","SREB Type",2,"SREB Type2","Four-Year")</f>
        <v>0</v>
      </c>
      <c r="K114" s="6">
        <f>+GETPIVOTDATA(" New-Pharmacy",'Pivot Table for 1-11'!$A$3,"State","MS","SREB Type",2,"SREB Type2","Four-Year")</f>
        <v>75</v>
      </c>
      <c r="L114" s="6">
        <f>+GETPIVOTDATA(" New-Optometry",'Pivot Table for 1-11'!$A$3,"State","MS","SREB Type",2,"SREB Type2","Four-Year")</f>
        <v>0</v>
      </c>
      <c r="M114" s="6">
        <f>+GETPIVOTDATA(" New-Osteopathic Medicine",'Pivot Table for 1-11'!$A$3,"State","MS","SREB Type",2,"SREB Type2","Four-Year")</f>
        <v>0</v>
      </c>
      <c r="N114" s="181">
        <f>+GETPIVOTDATA(" New-Veterinary Medicine",'Pivot Table for 1-11'!$A$3,"State","MS","SREB Type",2,"SREB Type2","Four-Year")</f>
        <v>0</v>
      </c>
      <c r="O114" s="198">
        <f>+GETPIVOTDATA(" New-Oth PP",'Pivot Table for 1-11'!$A$3,"State","MS","SREB Type",2,"SREB Type2","Four-Year")</f>
        <v>0</v>
      </c>
      <c r="P114" s="182">
        <f t="shared" si="6"/>
        <v>4678</v>
      </c>
      <c r="Q114" s="186"/>
    </row>
    <row r="115" spans="1:17" ht="15" customHeight="1">
      <c r="A115" s="5" t="s">
        <v>306</v>
      </c>
      <c r="B115" s="6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6">
        <f>+GETPIVOTDATA(" New-Associate's",'Pivot Table for 1-11'!$A$3,"State","NC","SREB Type",2,"SREB Type2","Four-Year")</f>
        <v>0</v>
      </c>
      <c r="D115" s="6">
        <f>+GETPIVOTDATA(" New-Bachelor's",'Pivot Table for 1-11'!$A$3,"State","NC","SREB Type",2,"SREB Type2","Four-Year")</f>
        <v>5896</v>
      </c>
      <c r="E115" s="6">
        <f>+GETPIVOTDATA(" New-Post-Bachelor's",'Pivot Table for 1-11'!$A$3,"State","NC","SREB Type",2,"SREB Type2","Four-Year")</f>
        <v>34</v>
      </c>
      <c r="F115" s="6">
        <f>+GETPIVOTDATA(" New-Total Master's#",'Pivot Table for 1-11'!$A$3,"State","NC","SREB Type",2,"SREB Type2","Four-Year")</f>
        <v>2043</v>
      </c>
      <c r="G115" s="6">
        <f>+GETPIVOTDATA(" New-Total Doctorates#",'Pivot Table for 1-11'!$A$3,"State","NC","SREB Type",2,"SREB Type2","Four-Year")</f>
        <v>175</v>
      </c>
      <c r="H115" s="17">
        <f>+GETPIVOTDATA(" New-Law",'Pivot Table for 1-11'!$A$3,"State","NC","SREB Type",2,"SREB Type2","Four-Year")</f>
        <v>0</v>
      </c>
      <c r="I115" s="6">
        <f>+GETPIVOTDATA(" New-Medicine",'Pivot Table for 1-11'!$A$3,"State","NC","SREB Type",2,"SREB Type2","Four-Year")</f>
        <v>0</v>
      </c>
      <c r="J115" s="6">
        <f>+GETPIVOTDATA(" New-Dentistry",'Pivot Table for 1-11'!$A$3,"State","NC","SREB Type",2,"SREB Type2","Four-Year")</f>
        <v>0</v>
      </c>
      <c r="K115" s="6">
        <f>+GETPIVOTDATA(" New-Pharmacy",'Pivot Table for 1-11'!$A$3,"State","NC","SREB Type",2,"SREB Type2","Four-Year")</f>
        <v>0</v>
      </c>
      <c r="L115" s="6">
        <f>+GETPIVOTDATA(" New-Optometry",'Pivot Table for 1-11'!$A$3,"State","NC","SREB Type",2,"SREB Type2","Four-Year")</f>
        <v>0</v>
      </c>
      <c r="M115" s="6">
        <f>+GETPIVOTDATA(" New-Osteopathic Medicine",'Pivot Table for 1-11'!$A$3,"State","NC","SREB Type",2,"SREB Type2","Four-Year")</f>
        <v>0</v>
      </c>
      <c r="N115" s="181">
        <f>+GETPIVOTDATA(" New-Veterinary Medicine",'Pivot Table for 1-11'!$A$3,"State","NC","SREB Type",2,"SREB Type2","Four-Year")</f>
        <v>0</v>
      </c>
      <c r="O115" s="198">
        <f>+GETPIVOTDATA(" New-Oth PP",'Pivot Table for 1-11'!$A$3,"State","NC","SREB Type",2,"SREB Type2","Four-Year")</f>
        <v>0</v>
      </c>
      <c r="P115" s="182">
        <f t="shared" si="6"/>
        <v>8148</v>
      </c>
      <c r="Q115" s="186"/>
    </row>
    <row r="116" spans="1:17" ht="15" customHeight="1">
      <c r="A116" s="5" t="s">
        <v>307</v>
      </c>
      <c r="B116" s="6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6">
        <f>+GETPIVOTDATA(" New-Associate's",'Pivot Table for 1-11'!$A$3,"State","OK","SREB Type",2,"SREB Type2","Four-Year")</f>
        <v>0</v>
      </c>
      <c r="D116" s="6">
        <f>+GETPIVOTDATA(" New-Bachelor's",'Pivot Table for 1-11'!$A$3,"State","OK","SREB Type",2,"SREB Type2","Four-Year")</f>
        <v>0</v>
      </c>
      <c r="E116" s="6">
        <f>+GETPIVOTDATA(" New-Post-Bachelor's",'Pivot Table for 1-11'!$A$3,"State","OK","SREB Type",2,"SREB Type2","Four-Year")</f>
        <v>0</v>
      </c>
      <c r="F116" s="6">
        <f>+GETPIVOTDATA(" New-Total Master's#",'Pivot Table for 1-11'!$A$3,"State","OK","SREB Type",2,"SREB Type2","Four-Year")</f>
        <v>0</v>
      </c>
      <c r="G116" s="6">
        <f>+GETPIVOTDATA(" New-Total Doctorates#",'Pivot Table for 1-11'!$A$3,"State","OK","SREB Type",2,"SREB Type2","Four-Year")</f>
        <v>0</v>
      </c>
      <c r="H116" s="17">
        <f>+GETPIVOTDATA(" New-Law",'Pivot Table for 1-11'!$A$3,"State","OK","SREB Type",2,"SREB Type2","Four-Year")</f>
        <v>0</v>
      </c>
      <c r="I116" s="6">
        <f>+GETPIVOTDATA(" New-Medicine",'Pivot Table for 1-11'!$A$3,"State","OK","SREB Type",2,"SREB Type2","Four-Year")</f>
        <v>0</v>
      </c>
      <c r="J116" s="6">
        <f>+GETPIVOTDATA(" New-Dentistry",'Pivot Table for 1-11'!$A$3,"State","OK","SREB Type",2,"SREB Type2","Four-Year")</f>
        <v>0</v>
      </c>
      <c r="K116" s="6">
        <f>+GETPIVOTDATA(" New-Pharmacy",'Pivot Table for 1-11'!$A$3,"State","OK","SREB Type",2,"SREB Type2","Four-Year")</f>
        <v>0</v>
      </c>
      <c r="L116" s="6">
        <f>+GETPIVOTDATA(" New-Optometry",'Pivot Table for 1-11'!$A$3,"State","OK","SREB Type",2,"SREB Type2","Four-Year")</f>
        <v>0</v>
      </c>
      <c r="M116" s="6">
        <f>+GETPIVOTDATA(" New-Osteopathic Medicine",'Pivot Table for 1-11'!$A$3,"State","OK","SREB Type",2,"SREB Type2","Four-Year")</f>
        <v>0</v>
      </c>
      <c r="N116" s="181">
        <f>+GETPIVOTDATA(" New-Veterinary Medicine",'Pivot Table for 1-11'!$A$3,"State","OK","SREB Type",2,"SREB Type2","Four-Year")</f>
        <v>0</v>
      </c>
      <c r="O116" s="198">
        <f>+GETPIVOTDATA(" New-Oth PP",'Pivot Table for 1-11'!$A$3,"State","OK","SREB Type",2,"SREB Type2","Four-Year")</f>
        <v>0</v>
      </c>
      <c r="P116" s="182">
        <f t="shared" si="6"/>
        <v>0</v>
      </c>
      <c r="Q116" s="186"/>
    </row>
    <row r="117" spans="1:17" ht="15" customHeight="1">
      <c r="A117" s="5" t="s">
        <v>308</v>
      </c>
      <c r="B117" s="6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6">
        <f>+GETPIVOTDATA(" New-Associate's",'Pivot Table for 1-11'!$A$3,"State","SC","SREB Type",2,"SREB Type2","Four-Year")</f>
        <v>0</v>
      </c>
      <c r="D117" s="6">
        <f>+GETPIVOTDATA(" New-Bachelor's",'Pivot Table for 1-11'!$A$3,"State","SC","SREB Type",2,"SREB Type2","Four-Year")</f>
        <v>0</v>
      </c>
      <c r="E117" s="6">
        <f>+GETPIVOTDATA(" New-Post-Bachelor's",'Pivot Table for 1-11'!$A$3,"State","SC","SREB Type",2,"SREB Type2","Four-Year")</f>
        <v>0</v>
      </c>
      <c r="F117" s="6">
        <f>+GETPIVOTDATA(" New-Total Master's#",'Pivot Table for 1-11'!$A$3,"State","SC","SREB Type",2,"SREB Type2","Four-Year")</f>
        <v>0</v>
      </c>
      <c r="G117" s="6">
        <f>+GETPIVOTDATA(" New-Total Doctorates#",'Pivot Table for 1-11'!$A$3,"State","SC","SREB Type",2,"SREB Type2","Four-Year")</f>
        <v>0</v>
      </c>
      <c r="H117" s="17">
        <f>+GETPIVOTDATA(" New-Law",'Pivot Table for 1-11'!$A$3,"State","SC","SREB Type",2,"SREB Type2","Four-Year")</f>
        <v>0</v>
      </c>
      <c r="I117" s="6">
        <f>+GETPIVOTDATA(" New-Medicine",'Pivot Table for 1-11'!$A$3,"State","SC","SREB Type",2,"SREB Type2","Four-Year")</f>
        <v>0</v>
      </c>
      <c r="J117" s="6">
        <f>+GETPIVOTDATA(" New-Dentistry",'Pivot Table for 1-11'!$A$3,"State","SC","SREB Type",2,"SREB Type2","Four-Year")</f>
        <v>0</v>
      </c>
      <c r="K117" s="6">
        <f>+GETPIVOTDATA(" New-Pharmacy",'Pivot Table for 1-11'!$A$3,"State","SC","SREB Type",2,"SREB Type2","Four-Year")</f>
        <v>0</v>
      </c>
      <c r="L117" s="6">
        <f>+GETPIVOTDATA(" New-Optometry",'Pivot Table for 1-11'!$A$3,"State","SC","SREB Type",2,"SREB Type2","Four-Year")</f>
        <v>0</v>
      </c>
      <c r="M117" s="6">
        <f>+GETPIVOTDATA(" New-Osteopathic Medicine",'Pivot Table for 1-11'!$A$3,"State","SC","SREB Type",2,"SREB Type2","Four-Year")</f>
        <v>0</v>
      </c>
      <c r="N117" s="181">
        <f>+GETPIVOTDATA(" New-Veterinary Medicine",'Pivot Table for 1-11'!$A$3,"State","SC","SREB Type",2,"SREB Type2","Four-Year")</f>
        <v>0</v>
      </c>
      <c r="O117" s="198">
        <f>+GETPIVOTDATA(" New-Oth PP",'Pivot Table for 1-11'!$A$3,"State","SC","SREB Type",2,"SREB Type2","Four-Year")</f>
        <v>0</v>
      </c>
      <c r="P117" s="182">
        <f t="shared" si="6"/>
        <v>0</v>
      </c>
      <c r="Q117" s="186"/>
    </row>
    <row r="118" spans="1:17" ht="15" customHeight="1">
      <c r="A118" s="5"/>
      <c r="B118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8" s="6">
        <f>+GETPIVOTDATA(" New-Associate's",'Pivot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181"/>
      <c r="O118" s="198"/>
      <c r="P118" s="182">
        <f t="shared" si="6"/>
        <v>0</v>
      </c>
      <c r="Q118" s="186"/>
    </row>
    <row r="119" spans="1:17" ht="15" customHeight="1">
      <c r="A119" s="5" t="s">
        <v>309</v>
      </c>
      <c r="B119" s="6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6">
        <f>+GETPIVOTDATA(" New-Associate's",'Pivot Table for 1-11'!$A$3,"State","TN","SREB Type",2,"SREB Type2","Four-Year")</f>
        <v>0</v>
      </c>
      <c r="D119" s="6">
        <f>+GETPIVOTDATA(" New-Bachelor's",'Pivot Table for 1-11'!$A$3,"State","TN","SREB Type",2,"SREB Type2","Four-Year")</f>
        <v>0</v>
      </c>
      <c r="E119" s="6">
        <f>+GETPIVOTDATA(" New-Post-Bachelor's",'Pivot Table for 1-11'!$A$3,"State","TN","SREB Type",2,"SREB Type2","Four-Year")</f>
        <v>0</v>
      </c>
      <c r="F119" s="6">
        <f>+GETPIVOTDATA(" New-Total Master's#",'Pivot Table for 1-11'!$A$3,"State","TN","SREB Type",2,"SREB Type2","Four-Year")</f>
        <v>0</v>
      </c>
      <c r="G119" s="6">
        <f>+GETPIVOTDATA(" New-Total Doctorates#",'Pivot Table for 1-11'!$A$3,"State","TN","SREB Type",2,"SREB Type2","Four-Year")</f>
        <v>0</v>
      </c>
      <c r="H119" s="17">
        <f>+GETPIVOTDATA(" New-Law",'Pivot Table for 1-11'!$A$3,"State","TN","SREB Type",2,"SREB Type2","Four-Year")</f>
        <v>0</v>
      </c>
      <c r="I119" s="6">
        <f>+GETPIVOTDATA(" New-Medicine",'Pivot Table for 1-11'!$A$3,"State","TN","SREB Type",2,"SREB Type2","Four-Year")</f>
        <v>0</v>
      </c>
      <c r="J119" s="6">
        <f>+GETPIVOTDATA(" New-Dentistry",'Pivot Table for 1-11'!$A$3,"State","TN","SREB Type",2,"SREB Type2","Four-Year")</f>
        <v>0</v>
      </c>
      <c r="K119" s="6">
        <f>+GETPIVOTDATA(" New-Pharmacy",'Pivot Table for 1-11'!$A$3,"State","TN","SREB Type",2,"SREB Type2","Four-Year")</f>
        <v>0</v>
      </c>
      <c r="L119" s="6">
        <f>+GETPIVOTDATA(" New-Optometry",'Pivot Table for 1-11'!$A$3,"State","TN","SREB Type",2,"SREB Type2","Four-Year")</f>
        <v>0</v>
      </c>
      <c r="M119" s="6">
        <f>+GETPIVOTDATA(" New-Osteopathic Medicine",'Pivot Table for 1-11'!$A$3,"State","TN","SREB Type",2,"SREB Type2","Four-Year")</f>
        <v>0</v>
      </c>
      <c r="N119" s="181">
        <f>+GETPIVOTDATA(" New-Veterinary Medicine",'Pivot Table for 1-11'!$A$3,"State","TN","SREB Type",2,"SREB Type2","Four-Year")</f>
        <v>0</v>
      </c>
      <c r="O119" s="198">
        <f>+GETPIVOTDATA(" New-Oth PP",'Pivot Table for 1-11'!$A$3,"State","TN","SREB Type",2,"SREB Type2","Four-Year")</f>
        <v>0</v>
      </c>
      <c r="P119" s="182">
        <f t="shared" si="6"/>
        <v>0</v>
      </c>
      <c r="Q119" s="186"/>
    </row>
    <row r="120" spans="1:17" ht="15" customHeight="1">
      <c r="A120" s="5" t="s">
        <v>310</v>
      </c>
      <c r="B120" s="6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6">
        <f>+GETPIVOTDATA(" New-Associate's",'Pivot Table for 1-11'!$A$3,"State","TX","SREB Type",2,"SREB Type2","Four-Year")</f>
        <v>0</v>
      </c>
      <c r="D120" s="6">
        <f>+GETPIVOTDATA(" New-Bachelor's",'Pivot Table for 1-11'!$A$3,"State","TX","SREB Type",2,"SREB Type2","Four-Year")</f>
        <v>8442</v>
      </c>
      <c r="E120" s="6">
        <f>+GETPIVOTDATA(" New-Post-Bachelor's",'Pivot Table for 1-11'!$A$3,"State","TX","SREB Type",2,"SREB Type2","Four-Year")</f>
        <v>0</v>
      </c>
      <c r="F120" s="6">
        <f>+GETPIVOTDATA(" New-Total Master's#",'Pivot Table for 1-11'!$A$3,"State","TX","SREB Type",2,"SREB Type2","Four-Year")</f>
        <v>3152</v>
      </c>
      <c r="G120" s="6">
        <f>+GETPIVOTDATA(" New-Total Doctorates#",'Pivot Table for 1-11'!$A$3,"State","TX","SREB Type",2,"SREB Type2","Four-Year")</f>
        <v>186</v>
      </c>
      <c r="H120" s="17">
        <f>+GETPIVOTDATA(" New-Law",'Pivot Table for 1-11'!$A$3,"State","TX","SREB Type",2,"SREB Type2","Four-Year")</f>
        <v>0</v>
      </c>
      <c r="I120" s="6">
        <f>+GETPIVOTDATA(" New-Medicine",'Pivot Table for 1-11'!$A$3,"State","TX","SREB Type",2,"SREB Type2","Four-Year")</f>
        <v>0</v>
      </c>
      <c r="J120" s="6">
        <f>+GETPIVOTDATA(" New-Dentistry",'Pivot Table for 1-11'!$A$3,"State","TX","SREB Type",2,"SREB Type2","Four-Year")</f>
        <v>0</v>
      </c>
      <c r="K120" s="6">
        <f>+GETPIVOTDATA(" New-Pharmacy",'Pivot Table for 1-11'!$A$3,"State","TX","SREB Type",2,"SREB Type2","Four-Year")</f>
        <v>0</v>
      </c>
      <c r="L120" s="6">
        <f>+GETPIVOTDATA(" New-Optometry",'Pivot Table for 1-11'!$A$3,"State","TX","SREB Type",2,"SREB Type2","Four-Year")</f>
        <v>0</v>
      </c>
      <c r="M120" s="6">
        <f>+GETPIVOTDATA(" New-Osteopathic Medicine",'Pivot Table for 1-11'!$A$3,"State","TX","SREB Type",2,"SREB Type2","Four-Year")</f>
        <v>0</v>
      </c>
      <c r="N120" s="181">
        <f>+GETPIVOTDATA(" New-Veterinary Medicine",'Pivot Table for 1-11'!$A$3,"State","TX","SREB Type",2,"SREB Type2","Four-Year")</f>
        <v>0</v>
      </c>
      <c r="O120" s="198">
        <f>+GETPIVOTDATA(" New-Oth PP",'Pivot Table for 1-11'!$A$3,"State","TX","SREB Type",2,"SREB Type2","Four-Year")</f>
        <v>0</v>
      </c>
      <c r="P120" s="182">
        <f t="shared" si="6"/>
        <v>11780</v>
      </c>
      <c r="Q120" s="186"/>
    </row>
    <row r="121" spans="1:17" ht="15" customHeight="1">
      <c r="A121" s="5" t="s">
        <v>311</v>
      </c>
      <c r="B121" s="6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6">
        <f>+GETPIVOTDATA(" New-Associate's",'Pivot Table for 1-11'!$A$3,"State","VA","SREB Type",2,"SREB Type2","Four-Year")</f>
        <v>0</v>
      </c>
      <c r="D121" s="6">
        <f>+GETPIVOTDATA(" New-Bachelor's",'Pivot Table for 1-11'!$A$3,"State","VA","SREB Type",2,"SREB Type2","Four-Year")</f>
        <v>5185</v>
      </c>
      <c r="E121" s="6">
        <f>+GETPIVOTDATA(" New-Post-Bachelor's",'Pivot Table for 1-11'!$A$3,"State","VA","SREB Type",2,"SREB Type2","Four-Year")</f>
        <v>211</v>
      </c>
      <c r="F121" s="6">
        <f>+GETPIVOTDATA(" New-Total Master's#",'Pivot Table for 1-11'!$A$3,"State","VA","SREB Type",2,"SREB Type2","Four-Year")</f>
        <v>2104</v>
      </c>
      <c r="G121" s="6">
        <f>+GETPIVOTDATA(" New-Total Doctorates#",'Pivot Table for 1-11'!$A$3,"State","VA","SREB Type",2,"SREB Type2","Four-Year")</f>
        <v>288</v>
      </c>
      <c r="H121" s="17">
        <f>+GETPIVOTDATA(" New-Law",'Pivot Table for 1-11'!$A$3,"State","VA","SREB Type",2,"SREB Type2","Four-Year")</f>
        <v>194</v>
      </c>
      <c r="I121" s="6">
        <f>+GETPIVOTDATA(" New-Medicine",'Pivot Table for 1-11'!$A$3,"State","VA","SREB Type",2,"SREB Type2","Four-Year")</f>
        <v>174</v>
      </c>
      <c r="J121" s="6">
        <f>+GETPIVOTDATA(" New-Dentistry",'Pivot Table for 1-11'!$A$3,"State","VA","SREB Type",2,"SREB Type2","Four-Year")</f>
        <v>91</v>
      </c>
      <c r="K121" s="6">
        <f>+GETPIVOTDATA(" New-Pharmacy",'Pivot Table for 1-11'!$A$3,"State","VA","SREB Type",2,"SREB Type2","Four-Year")</f>
        <v>130</v>
      </c>
      <c r="L121" s="6">
        <f>+GETPIVOTDATA(" New-Optometry",'Pivot Table for 1-11'!$A$3,"State","VA","SREB Type",2,"SREB Type2","Four-Year")</f>
        <v>0</v>
      </c>
      <c r="M121" s="6">
        <f>+GETPIVOTDATA(" New-Osteopathic Medicine",'Pivot Table for 1-11'!$A$3,"State","VA","SREB Type",2,"SREB Type2","Four-Year")</f>
        <v>0</v>
      </c>
      <c r="N121" s="181">
        <f>+GETPIVOTDATA(" New-Veterinary Medicine",'Pivot Table for 1-11'!$A$3,"State","VA","SREB Type",2,"SREB Type2","Four-Year")</f>
        <v>0</v>
      </c>
      <c r="O121" s="198">
        <f>+GETPIVOTDATA(" New-Oth PP",'Pivot Table for 1-11'!$A$3,"State","VA","SREB Type",2,"SREB Type2","Four-Year")</f>
        <v>0</v>
      </c>
      <c r="P121" s="182">
        <f t="shared" si="6"/>
        <v>8377</v>
      </c>
      <c r="Q121" s="186"/>
    </row>
    <row r="122" spans="1:17" ht="15" customHeight="1">
      <c r="A122" s="7" t="s">
        <v>312</v>
      </c>
      <c r="B122" s="8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8">
        <f>+GETPIVOTDATA(" New-Associate's",'Pivot Table for 1-11'!$A$3,"State","WV","SREB Type",2,"SREB Type2","Four-Year")</f>
        <v>0</v>
      </c>
      <c r="D122" s="8">
        <f>+GETPIVOTDATA(" New-Bachelor's",'Pivot Table for 1-11'!$A$3,"State","WV","SREB Type",2,"SREB Type2","Four-Year")</f>
        <v>0</v>
      </c>
      <c r="E122" s="8">
        <f>+GETPIVOTDATA(" New-Post-Bachelor's",'Pivot Table for 1-11'!$A$3,"State","WV","SREB Type",2,"SREB Type2","Four-Year")</f>
        <v>0</v>
      </c>
      <c r="F122" s="8">
        <f>+GETPIVOTDATA(" New-Total Master's#",'Pivot Table for 1-11'!$A$3,"State","WV","SREB Type",2,"SREB Type2","Four-Year")</f>
        <v>0</v>
      </c>
      <c r="G122" s="8">
        <f>+GETPIVOTDATA(" New-Total Doctorates#",'Pivot Table for 1-11'!$A$3,"State","WV","SREB Type",2,"SREB Type2","Four-Year")</f>
        <v>0</v>
      </c>
      <c r="H122" s="18">
        <f>+GETPIVOTDATA(" New-Law",'Pivot Table for 1-11'!$A$3,"State","WV","SREB Type",2,"SREB Type2","Four-Year")</f>
        <v>0</v>
      </c>
      <c r="I122" s="8">
        <f>+GETPIVOTDATA(" New-Medicine",'Pivot Table for 1-11'!$A$3,"State","WV","SREB Type",2,"SREB Type2","Four-Year")</f>
        <v>0</v>
      </c>
      <c r="J122" s="8">
        <f>+GETPIVOTDATA(" New-Dentistry",'Pivot Table for 1-11'!$A$3,"State","WV","SREB Type",2,"SREB Type2","Four-Year")</f>
        <v>0</v>
      </c>
      <c r="K122" s="8">
        <f>+GETPIVOTDATA(" New-Pharmacy",'Pivot Table for 1-11'!$A$3,"State","WV","SREB Type",2,"SREB Type2","Four-Year")</f>
        <v>0</v>
      </c>
      <c r="L122" s="8">
        <f>+GETPIVOTDATA(" New-Optometry",'Pivot Table for 1-11'!$A$3,"State","WV","SREB Type",2,"SREB Type2","Four-Year")</f>
        <v>0</v>
      </c>
      <c r="M122" s="8">
        <f>+GETPIVOTDATA(" New-Osteopathic Medicine",'Pivot Table for 1-11'!$A$3,"State","WV","SREB Type",2,"SREB Type2","Four-Year")</f>
        <v>0</v>
      </c>
      <c r="N122" s="189">
        <f>+GETPIVOTDATA(" New-Veterinary Medicine",'Pivot Table for 1-11'!$A$3,"State","WV","SREB Type",2,"SREB Type2","Four-Year")</f>
        <v>0</v>
      </c>
      <c r="O122" s="199">
        <f>+GETPIVOTDATA(" New-Oth PP",'Pivot Table for 1-11'!$A$3,"State","WV","SREB Type",2,"SREB Type2","Four-Year")</f>
        <v>0</v>
      </c>
      <c r="P122" s="183">
        <f t="shared" si="6"/>
        <v>0</v>
      </c>
      <c r="Q122" s="186"/>
    </row>
    <row r="123" spans="1:17" ht="15" customHeight="1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181"/>
      <c r="O123" s="181"/>
      <c r="P123" s="181"/>
      <c r="Q123" s="186"/>
    </row>
    <row r="124" spans="1:17" ht="24" customHeight="1">
      <c r="A124" s="767" t="s">
        <v>1253</v>
      </c>
      <c r="B124" s="768"/>
      <c r="C124" s="768"/>
      <c r="D124" s="768"/>
      <c r="E124" s="768"/>
      <c r="F124" s="768"/>
      <c r="G124" s="768"/>
      <c r="H124" s="768"/>
      <c r="I124" s="768"/>
      <c r="J124" s="768"/>
      <c r="K124" s="768"/>
      <c r="L124" s="768"/>
      <c r="M124" s="768"/>
      <c r="N124" s="768"/>
      <c r="O124" s="768"/>
      <c r="P124" s="768"/>
      <c r="Q124" s="713"/>
    </row>
    <row r="125" spans="1:17">
      <c r="P125" s="184" t="s">
        <v>1267</v>
      </c>
      <c r="Q125" s="714"/>
    </row>
    <row r="126" spans="1:17" ht="18">
      <c r="A126" s="22" t="s">
        <v>316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93"/>
      <c r="O126" s="93"/>
      <c r="P126" s="93"/>
      <c r="Q126" s="701" t="s">
        <v>321</v>
      </c>
    </row>
    <row r="127" spans="1:1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92"/>
      <c r="O127" s="92"/>
      <c r="P127" s="92"/>
      <c r="Q127" s="710"/>
    </row>
    <row r="128" spans="1:17" ht="15.75">
      <c r="A128" s="1" t="s">
        <v>285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93"/>
      <c r="O128" s="93"/>
      <c r="P128" s="93"/>
      <c r="Q128" s="701" t="s">
        <v>321</v>
      </c>
    </row>
    <row r="129" spans="1:23" ht="15.75">
      <c r="A129" s="1" t="s">
        <v>1259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93"/>
      <c r="O129" s="93"/>
      <c r="P129" s="93"/>
      <c r="Q129" s="701" t="s">
        <v>321</v>
      </c>
    </row>
    <row r="130" spans="1:23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94"/>
      <c r="O130" s="94"/>
      <c r="P130" s="94"/>
      <c r="Q130" s="716"/>
    </row>
    <row r="131" spans="1:23" ht="15.75">
      <c r="A131" s="192"/>
      <c r="B131" s="192"/>
      <c r="C131" s="192"/>
      <c r="D131" s="192"/>
      <c r="E131" s="192"/>
      <c r="F131" s="192"/>
      <c r="G131" s="192"/>
      <c r="H131" s="196" t="s">
        <v>1254</v>
      </c>
      <c r="I131" s="26"/>
      <c r="J131" s="26"/>
      <c r="K131" s="26"/>
      <c r="L131" s="26"/>
      <c r="M131" s="26"/>
      <c r="N131" s="193"/>
      <c r="O131" s="200"/>
      <c r="P131" s="195" t="s">
        <v>321</v>
      </c>
      <c r="Q131" s="716"/>
      <c r="R131" s="696"/>
      <c r="W131" s="696"/>
    </row>
    <row r="132" spans="1:23" ht="41.25" customHeight="1">
      <c r="A132" s="14"/>
      <c r="B132" s="15" t="s">
        <v>696</v>
      </c>
      <c r="C132" s="15" t="s">
        <v>286</v>
      </c>
      <c r="D132" s="15" t="s">
        <v>278</v>
      </c>
      <c r="E132" s="15" t="s">
        <v>279</v>
      </c>
      <c r="F132" s="15" t="s">
        <v>288</v>
      </c>
      <c r="G132" s="15" t="s">
        <v>289</v>
      </c>
      <c r="H132" s="16" t="s">
        <v>290</v>
      </c>
      <c r="I132" s="15" t="s">
        <v>291</v>
      </c>
      <c r="J132" s="15" t="s">
        <v>292</v>
      </c>
      <c r="K132" s="15" t="s">
        <v>283</v>
      </c>
      <c r="L132" s="15" t="s">
        <v>293</v>
      </c>
      <c r="M132" s="15" t="s">
        <v>294</v>
      </c>
      <c r="N132" s="191" t="s">
        <v>952</v>
      </c>
      <c r="O132" s="197" t="s">
        <v>1252</v>
      </c>
      <c r="P132" s="191" t="s">
        <v>295</v>
      </c>
      <c r="Q132" s="717"/>
    </row>
    <row r="133" spans="1:23" ht="15" customHeight="1">
      <c r="A133" s="5" t="s">
        <v>296</v>
      </c>
      <c r="B133" s="6">
        <f>+GETPIVOTDATA(" New-Less Than 2-Year",'Pivot Table for 1-11'!$A$3,"SREB Type",3,"SREB Type2","Four-Year")+GETPIVOTDATA(" New-2 But Less Than 4-Year",'Pivot Table for 1-11'!$A$3,"SREB Type",3,"SREB Type2","Four-Year")</f>
        <v>177</v>
      </c>
      <c r="C133" s="6">
        <f>+GETPIVOTDATA(" New-Associate's",'Pivot Table for 1-11'!$A$3,"SREB Type",3,"SREB Type2","Four-Year")</f>
        <v>2449</v>
      </c>
      <c r="D133" s="6">
        <f>+GETPIVOTDATA(" New-Bachelor's",'Pivot Table for 1-11'!$A$3,"SREB Type",3,"SREB Type2","Four-Year")</f>
        <v>95922</v>
      </c>
      <c r="E133" s="6">
        <f>+GETPIVOTDATA(" New-Post-Bachelor's",'Pivot Table for 1-11'!$A$3,"SREB Type",3,"SREB Type2","Four-Year")</f>
        <v>274</v>
      </c>
      <c r="F133" s="6">
        <f>+GETPIVOTDATA(" New-Total Master's#",'Pivot Table for 1-11'!$A$3,"SREB Type",3,"SREB Type2","Four-Year")</f>
        <v>31675</v>
      </c>
      <c r="G133" s="6">
        <f>+GETPIVOTDATA(" New-Total Doctorates#",'Pivot Table for 1-11'!$A$3,"SREB Type",3,"SREB Type2","Four-Year")</f>
        <v>1146</v>
      </c>
      <c r="H133" s="17">
        <f>+GETPIVOTDATA(" New-Law",'Pivot Table for 1-11'!$A$3,"SREB Type",3,"SREB Type2","Four-Year")</f>
        <v>792</v>
      </c>
      <c r="I133" s="6">
        <f>+GETPIVOTDATA(" New-Medicine",'Pivot Table for 1-11'!$A$3,"SREB Type",3,"SREB Type2","Four-Year")</f>
        <v>239</v>
      </c>
      <c r="J133" s="6">
        <f>+GETPIVOTDATA(" New-Dentistry",'Pivot Table for 1-11'!$A$3,"SREB Type",3,"SREB Type2","Four-Year")</f>
        <v>0</v>
      </c>
      <c r="K133" s="6">
        <f>+GETPIVOTDATA(" New-Pharmacy",'Pivot Table for 1-11'!$A$3,"SREB Type",3,"SREB Type2","Four-Year")</f>
        <v>329</v>
      </c>
      <c r="L133" s="6">
        <f>+GETPIVOTDATA(" New-Optometry",'Pivot Table for 1-11'!$A$3,"SREB Type",3,"SREB Type2","Four-Year")</f>
        <v>26</v>
      </c>
      <c r="M133" s="6">
        <f>+GETPIVOTDATA(" New-Osteopathic Medicine",'Pivot Table for 1-11'!$A$3,"SREB Type",3,"SREB Type2","Four-Year")</f>
        <v>0</v>
      </c>
      <c r="N133" s="181">
        <f>+GETPIVOTDATA(" New-Veterinary Medicine",'Pivot Table for 1-11'!$A$3,"SREB Type",3,"SREB Type2","Four-Year")</f>
        <v>0</v>
      </c>
      <c r="O133" s="198">
        <f>+GETPIVOTDATA(" New-Oth PP",'Pivot Table for 1-11'!$A$3,"SREB Type",3,"SREB Type2","Four-Year")</f>
        <v>17</v>
      </c>
      <c r="P133" s="182">
        <f>SUM(B133:O133)</f>
        <v>133046</v>
      </c>
      <c r="Q133" s="186"/>
    </row>
    <row r="134" spans="1:23" ht="15" customHeight="1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181"/>
      <c r="O134" s="198"/>
      <c r="P134" s="182"/>
      <c r="Q134" s="186"/>
    </row>
    <row r="135" spans="1:23" ht="15" customHeight="1">
      <c r="A135" s="5" t="s">
        <v>297</v>
      </c>
      <c r="B135" s="6">
        <f>GETPIVOTDATA(" New-Less Than 2-Year",'Pivot Table for 1-11'!$A$3,"State","AL","SREB Type",3,"SREB Type2","Four-Year")+GETPIVOTDATA(" New-2 But Less Than 4-Year",'Pivot Table for 1-11'!$A$3,"State","AL","SREB Type",3,"SREB Type2","Four-Year")</f>
        <v>110</v>
      </c>
      <c r="C135" s="6">
        <f>+GETPIVOTDATA(" New-Associate's",'Pivot Table for 1-11'!$A$3,"State","AL","SREB Type",3,"SREB Type2","Four-Year")</f>
        <v>145</v>
      </c>
      <c r="D135" s="6">
        <f>+GETPIVOTDATA(" New-Bachelor's",'Pivot Table for 1-11'!$A$3,"State","AL","SREB Type",3,"SREB Type2","Four-Year")</f>
        <v>4987</v>
      </c>
      <c r="E135" s="6">
        <f>+GETPIVOTDATA(" New-Post-Bachelor's",'Pivot Table for 1-11'!$A$3,"State","AL","SREB Type",3,"SREB Type2","Four-Year")</f>
        <v>78</v>
      </c>
      <c r="F135" s="6">
        <f>+GETPIVOTDATA(" New-Total Master's#",'Pivot Table for 1-11'!$A$3,"State","AL","SREB Type",3,"SREB Type2","Four-Year")</f>
        <v>2426</v>
      </c>
      <c r="G135" s="6">
        <f>+GETPIVOTDATA(" New-Total Doctorates#",'Pivot Table for 1-11'!$A$3,"State","AL","SREB Type",3,"SREB Type2","Four-Year")</f>
        <v>174</v>
      </c>
      <c r="H135" s="17">
        <f>+GETPIVOTDATA(" New-Law",'Pivot Table for 1-11'!$A$3,"State","AL","SREB Type",3,"SREB Type2","Four-Year")</f>
        <v>0</v>
      </c>
      <c r="I135" s="6">
        <f>+GETPIVOTDATA(" New-Medicine",'Pivot Table for 1-11'!$A$3,"State","AL","SREB Type",3,"SREB Type2","Four-Year")</f>
        <v>63</v>
      </c>
      <c r="J135" s="6">
        <f>+GETPIVOTDATA(" New-Dentistry",'Pivot Table for 1-11'!$A$3,"State","AL","SREB Type",3,"SREB Type2","Four-Year")</f>
        <v>0</v>
      </c>
      <c r="K135" s="6">
        <f>+GETPIVOTDATA(" New-Pharmacy",'Pivot Table for 1-11'!$A$3,"State","AL","SREB Type",3,"SREB Type2","Four-Year")</f>
        <v>0</v>
      </c>
      <c r="L135" s="6">
        <f>+GETPIVOTDATA(" New-Optometry",'Pivot Table for 1-11'!$A$3,"State","AL","SREB Type",3,"SREB Type2","Four-Year")</f>
        <v>0</v>
      </c>
      <c r="M135" s="6">
        <f>+GETPIVOTDATA(" New-Osteopathic Medicine",'Pivot Table for 1-11'!$A$3,"State","AL","SREB Type",3,"SREB Type2","Four-Year")</f>
        <v>0</v>
      </c>
      <c r="N135" s="181">
        <f>+GETPIVOTDATA(" New-Veterinary Medicine",'Pivot Table for 1-11'!$A$3,"State","AL","SREB Type",3,"SREB Type2","Four-Year")</f>
        <v>0</v>
      </c>
      <c r="O135" s="198">
        <f>+GETPIVOTDATA(" New-Oth PP",'Pivot Table for 1-11'!$A$3,"State","AL","SREB Type",3,"SREB Type2","Four-Year")</f>
        <v>0</v>
      </c>
      <c r="P135" s="182">
        <f t="shared" ref="P135:P153" si="7">SUM(B135:O135)</f>
        <v>7983</v>
      </c>
      <c r="Q135" s="186"/>
    </row>
    <row r="136" spans="1:23" ht="15" customHeight="1">
      <c r="A136" s="5" t="s">
        <v>298</v>
      </c>
      <c r="B136" s="6">
        <f>+GETPIVOTDATA(" New-Less Than 2-Year",'Pivot Table for 1-11'!$A$3,"State","AR","SREB Type",3,"SREB Type2","Four-Year")+GETPIVOTDATA(" New-2 But Less Than 4-Year",'Pivot Table for 1-11'!$A$3,"State","AR","SREB Type",3,"SREB Type2","Four-Year")</f>
        <v>0</v>
      </c>
      <c r="C136" s="6">
        <f>+GETPIVOTDATA(" New-Associate's",'Pivot Table for 1-11'!$A$3,"State","AR","SREB Type",3,"SREB Type2","Four-Year")</f>
        <v>563</v>
      </c>
      <c r="D136" s="6">
        <f>+GETPIVOTDATA(" New-Bachelor's",'Pivot Table for 1-11'!$A$3,"State","AR","SREB Type",3,"SREB Type2","Four-Year")</f>
        <v>4030</v>
      </c>
      <c r="E136" s="6">
        <f>+GETPIVOTDATA(" New-Post-Bachelor's",'Pivot Table for 1-11'!$A$3,"State","AR","SREB Type",3,"SREB Type2","Four-Year")</f>
        <v>101</v>
      </c>
      <c r="F136" s="6">
        <f>+GETPIVOTDATA(" New-Total Master's#",'Pivot Table for 1-11'!$A$3,"State","AR","SREB Type",3,"SREB Type2","Four-Year")</f>
        <v>1542</v>
      </c>
      <c r="G136" s="6">
        <f>+GETPIVOTDATA(" New-Total Doctorates#",'Pivot Table for 1-11'!$A$3,"State","AR","SREB Type",3,"SREB Type2","Four-Year")</f>
        <v>90</v>
      </c>
      <c r="H136" s="17">
        <f>+GETPIVOTDATA(" New-Law",'Pivot Table for 1-11'!$A$3,"State","AR","SREB Type",3,"SREB Type2","Four-Year")</f>
        <v>121</v>
      </c>
      <c r="I136" s="6">
        <f>+GETPIVOTDATA(" New-Medicine",'Pivot Table for 1-11'!$A$3,"State","AR","SREB Type",3,"SREB Type2","Four-Year")</f>
        <v>0</v>
      </c>
      <c r="J136" s="6">
        <f>+GETPIVOTDATA(" New-Dentistry",'Pivot Table for 1-11'!$A$3,"State","AR","SREB Type",3,"SREB Type2","Four-Year")</f>
        <v>0</v>
      </c>
      <c r="K136" s="6">
        <f>+GETPIVOTDATA(" New-Pharmacy",'Pivot Table for 1-11'!$A$3,"State","AR","SREB Type",3,"SREB Type2","Four-Year")</f>
        <v>0</v>
      </c>
      <c r="L136" s="6">
        <f>+GETPIVOTDATA(" New-Optometry",'Pivot Table for 1-11'!$A$3,"State","AR","SREB Type",3,"SREB Type2","Four-Year")</f>
        <v>0</v>
      </c>
      <c r="M136" s="6">
        <f>+GETPIVOTDATA(" New-Osteopathic Medicine",'Pivot Table for 1-11'!$A$3,"State","AR","SREB Type",3,"SREB Type2","Four-Year")</f>
        <v>0</v>
      </c>
      <c r="N136" s="181">
        <f>+GETPIVOTDATA(" New-Veterinary Medicine",'Pivot Table for 1-11'!$A$3,"State","AR","SREB Type",3,"SREB Type2","Four-Year")</f>
        <v>0</v>
      </c>
      <c r="O136" s="198">
        <f>+GETPIVOTDATA(" New-Oth PP",'Pivot Table for 1-11'!$A$3,"State","AR","SREB Type",3,"SREB Type2","Four-Year")</f>
        <v>0</v>
      </c>
      <c r="P136" s="182">
        <f t="shared" si="7"/>
        <v>6447</v>
      </c>
      <c r="Q136" s="186"/>
    </row>
    <row r="137" spans="1:23" ht="15" customHeight="1">
      <c r="A137" s="5" t="s">
        <v>299</v>
      </c>
      <c r="B137" s="6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6">
        <f>+GETPIVOTDATA(" New-Associate's",'Pivot Table for 1-11'!$A$3,"State","DE","SREB Type",3,"SREB Type2","Four-Year")</f>
        <v>0</v>
      </c>
      <c r="D137" s="6">
        <f>+GETPIVOTDATA(" New-Bachelor's",'Pivot Table for 1-11'!$A$3,"State","DE","SREB Type",3,"SREB Type2","Four-Year")</f>
        <v>0</v>
      </c>
      <c r="E137" s="6">
        <f>+GETPIVOTDATA(" New-Post-Bachelor's",'Pivot Table for 1-11'!$A$3,"State","DE","SREB Type",3,"SREB Type2","Four-Year")</f>
        <v>0</v>
      </c>
      <c r="F137" s="6">
        <f>+GETPIVOTDATA(" New-Total Master's#",'Pivot Table for 1-11'!$A$3,"State","DE","SREB Type",3,"SREB Type2","Four-Year")</f>
        <v>0</v>
      </c>
      <c r="G137" s="6">
        <f>+GETPIVOTDATA(" New-Total Doctorates#",'Pivot Table for 1-11'!$A$3,"State","DE","SREB Type",3,"SREB Type2","Four-Year")</f>
        <v>0</v>
      </c>
      <c r="H137" s="17">
        <f>+GETPIVOTDATA(" New-Law",'Pivot Table for 1-11'!$A$3,"State","DE","SREB Type",3,"SREB Type2","Four-Year")</f>
        <v>0</v>
      </c>
      <c r="I137" s="6">
        <f>+GETPIVOTDATA(" New-Medicine",'Pivot Table for 1-11'!$A$3,"State","DE","SREB Type",3,"SREB Type2","Four-Year")</f>
        <v>0</v>
      </c>
      <c r="J137" s="6">
        <f>+GETPIVOTDATA(" New-Dentistry",'Pivot Table for 1-11'!$A$3,"State","DE","SREB Type",3,"SREB Type2","Four-Year")</f>
        <v>0</v>
      </c>
      <c r="K137" s="6">
        <f>+GETPIVOTDATA(" New-Pharmacy",'Pivot Table for 1-11'!$A$3,"State","DE","SREB Type",3,"SREB Type2","Four-Year")</f>
        <v>0</v>
      </c>
      <c r="L137" s="6">
        <f>+GETPIVOTDATA(" New-Optometry",'Pivot Table for 1-11'!$A$3,"State","DE","SREB Type",3,"SREB Type2","Four-Year")</f>
        <v>0</v>
      </c>
      <c r="M137" s="6">
        <f>+GETPIVOTDATA(" New-Osteopathic Medicine",'Pivot Table for 1-11'!$A$3,"State","DE","SREB Type",3,"SREB Type2","Four-Year")</f>
        <v>0</v>
      </c>
      <c r="N137" s="181">
        <f>+GETPIVOTDATA(" New-Veterinary Medicine",'Pivot Table for 1-11'!$A$3,"State","DE","SREB Type",3,"SREB Type2","Four-Year")</f>
        <v>0</v>
      </c>
      <c r="O137" s="198">
        <f>+GETPIVOTDATA(" New-Oth PP",'Pivot Table for 1-11'!$A$3,"State","DE","SREB Type",3,"SREB Type2","Four-Year")</f>
        <v>0</v>
      </c>
      <c r="P137" s="182">
        <f t="shared" si="7"/>
        <v>0</v>
      </c>
      <c r="Q137" s="186"/>
    </row>
    <row r="138" spans="1:23" ht="15" customHeight="1">
      <c r="A138" s="5" t="s">
        <v>300</v>
      </c>
      <c r="B138" s="6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6">
        <f>+GETPIVOTDATA(" New-Associate's",'Pivot Table for 1-11'!$A$3,"State","FL","SREB Type",3,"SREB Type2","Four-Year")</f>
        <v>645</v>
      </c>
      <c r="D138" s="6">
        <f>+GETPIVOTDATA(" New-Bachelor's",'Pivot Table for 1-11'!$A$3,"State","FL","SREB Type",3,"SREB Type2","Four-Year")</f>
        <v>6126</v>
      </c>
      <c r="E138" s="6">
        <f>+GETPIVOTDATA(" New-Post-Bachelor's",'Pivot Table for 1-11'!$A$3,"State","FL","SREB Type",3,"SREB Type2","Four-Year")</f>
        <v>0</v>
      </c>
      <c r="F138" s="6">
        <f>+GETPIVOTDATA(" New-Total Master's#",'Pivot Table for 1-11'!$A$3,"State","FL","SREB Type",3,"SREB Type2","Four-Year")</f>
        <v>1312</v>
      </c>
      <c r="G138" s="6">
        <f>+GETPIVOTDATA(" New-Total Doctorates#",'Pivot Table for 1-11'!$A$3,"State","FL","SREB Type",3,"SREB Type2","Four-Year")</f>
        <v>87</v>
      </c>
      <c r="H138" s="17">
        <f>+GETPIVOTDATA(" New-Law",'Pivot Table for 1-11'!$A$3,"State","FL","SREB Type",3,"SREB Type2","Four-Year")</f>
        <v>160</v>
      </c>
      <c r="I138" s="6">
        <f>+GETPIVOTDATA(" New-Medicine",'Pivot Table for 1-11'!$A$3,"State","FL","SREB Type",3,"SREB Type2","Four-Year")</f>
        <v>0</v>
      </c>
      <c r="J138" s="6">
        <f>+GETPIVOTDATA(" New-Dentistry",'Pivot Table for 1-11'!$A$3,"State","FL","SREB Type",3,"SREB Type2","Four-Year")</f>
        <v>0</v>
      </c>
      <c r="K138" s="6">
        <f>+GETPIVOTDATA(" New-Pharmacy",'Pivot Table for 1-11'!$A$3,"State","FL","SREB Type",3,"SREB Type2","Four-Year")</f>
        <v>116</v>
      </c>
      <c r="L138" s="6">
        <f>+GETPIVOTDATA(" New-Optometry",'Pivot Table for 1-11'!$A$3,"State","FL","SREB Type",3,"SREB Type2","Four-Year")</f>
        <v>0</v>
      </c>
      <c r="M138" s="6">
        <f>+GETPIVOTDATA(" New-Osteopathic Medicine",'Pivot Table for 1-11'!$A$3,"State","FL","SREB Type",3,"SREB Type2","Four-Year")</f>
        <v>0</v>
      </c>
      <c r="N138" s="181">
        <f>+GETPIVOTDATA(" New-Veterinary Medicine",'Pivot Table for 1-11'!$A$3,"State","FL","SREB Type",3,"SREB Type2","Four-Year")</f>
        <v>0</v>
      </c>
      <c r="O138" s="198">
        <f>+GETPIVOTDATA(" New-Oth PP",'Pivot Table for 1-11'!$A$3,"State","FL","SREB Type",3,"SREB Type2","Four-Year")</f>
        <v>0</v>
      </c>
      <c r="P138" s="182">
        <f t="shared" si="7"/>
        <v>8446</v>
      </c>
      <c r="Q138" s="186"/>
    </row>
    <row r="139" spans="1:23" ht="15" customHeight="1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181"/>
      <c r="O139" s="198"/>
      <c r="P139" s="182">
        <f t="shared" si="7"/>
        <v>0</v>
      </c>
      <c r="Q139" s="186"/>
    </row>
    <row r="140" spans="1:23" ht="15" customHeight="1">
      <c r="A140" s="5" t="s">
        <v>301</v>
      </c>
      <c r="B140" s="6">
        <f>+GETPIVOTDATA(" New-Less Than 2-Year",'Pivot Table for 1-11'!$A$3,"State","GA","SREB Type",3,"SREB Type2","Four-Year")+GETPIVOTDATA(" New-2 But Less Than 4-Year",'Pivot Table for 1-11'!$A$3,"State","GA","SREB Type",3,"SREB Type2","Four-Year")</f>
        <v>0</v>
      </c>
      <c r="C140" s="6">
        <f>+GETPIVOTDATA(" New-Associate's",'Pivot Table for 1-11'!$A$3,"State","GA","SREB Type",3,"SREB Type2","Four-Year")</f>
        <v>57</v>
      </c>
      <c r="D140" s="6">
        <f>+GETPIVOTDATA(" New-Bachelor's",'Pivot Table for 1-11'!$A$3,"State","GA","SREB Type",3,"SREB Type2","Four-Year")</f>
        <v>5346</v>
      </c>
      <c r="E140" s="6">
        <f>+GETPIVOTDATA(" New-Post-Bachelor's",'Pivot Table for 1-11'!$A$3,"State","GA","SREB Type",3,"SREB Type2","Four-Year")</f>
        <v>11</v>
      </c>
      <c r="F140" s="6">
        <f>+GETPIVOTDATA(" New-Total Master's#",'Pivot Table for 1-11'!$A$3,"State","GA","SREB Type",3,"SREB Type2","Four-Year")</f>
        <v>1650</v>
      </c>
      <c r="G140" s="6">
        <f>+GETPIVOTDATA(" New-Total Doctorates#",'Pivot Table for 1-11'!$A$3,"State","GA","SREB Type",3,"SREB Type2","Four-Year")</f>
        <v>68</v>
      </c>
      <c r="H140" s="17">
        <f>+GETPIVOTDATA(" New-Law",'Pivot Table for 1-11'!$A$3,"State","GA","SREB Type",3,"SREB Type2","Four-Year")</f>
        <v>0</v>
      </c>
      <c r="I140" s="6">
        <f>+GETPIVOTDATA(" New-Medicine",'Pivot Table for 1-11'!$A$3,"State","GA","SREB Type",3,"SREB Type2","Four-Year")</f>
        <v>0</v>
      </c>
      <c r="J140" s="6">
        <f>+GETPIVOTDATA(" New-Dentistry",'Pivot Table for 1-11'!$A$3,"State","GA","SREB Type",3,"SREB Type2","Four-Year")</f>
        <v>0</v>
      </c>
      <c r="K140" s="6">
        <f>+GETPIVOTDATA(" New-Pharmacy",'Pivot Table for 1-11'!$A$3,"State","GA","SREB Type",3,"SREB Type2","Four-Year")</f>
        <v>0</v>
      </c>
      <c r="L140" s="6">
        <f>+GETPIVOTDATA(" New-Optometry",'Pivot Table for 1-11'!$A$3,"State","GA","SREB Type",3,"SREB Type2","Four-Year")</f>
        <v>0</v>
      </c>
      <c r="M140" s="6">
        <f>+GETPIVOTDATA(" New-Osteopathic Medicine",'Pivot Table for 1-11'!$A$3,"State","GA","SREB Type",3,"SREB Type2","Four-Year")</f>
        <v>0</v>
      </c>
      <c r="N140" s="181">
        <f>+GETPIVOTDATA(" New-Veterinary Medicine",'Pivot Table for 1-11'!$A$3,"State","GA","SREB Type",3,"SREB Type2","Four-Year")</f>
        <v>0</v>
      </c>
      <c r="O140" s="198">
        <f>+GETPIVOTDATA(" New-Oth PP",'Pivot Table for 1-11'!$A$3,"State","GA","SREB Type",3,"SREB Type2","Four-Year")</f>
        <v>0</v>
      </c>
      <c r="P140" s="182">
        <f t="shared" si="7"/>
        <v>7132</v>
      </c>
      <c r="Q140" s="186"/>
    </row>
    <row r="141" spans="1:23" ht="15" customHeight="1">
      <c r="A141" s="5" t="s">
        <v>302</v>
      </c>
      <c r="B141" s="6">
        <f>+GETPIVOTDATA(" New-Less Than 2-Year",'Pivot Table for 1-11'!$A$3,"State","KY","SREB Type",3,"SREB Type2","Four-Year")+GETPIVOTDATA(" New-2 But Less Than 4-Year",'Pivot Table for 1-11'!$A$3,"State","KY","SREB Type",3,"SREB Type2","Four-Year")</f>
        <v>64</v>
      </c>
      <c r="C141" s="6">
        <f>+GETPIVOTDATA(" New-Associate's",'Pivot Table for 1-11'!$A$3,"State","KY","SREB Type",3,"SREB Type2","Four-Year")</f>
        <v>422</v>
      </c>
      <c r="D141" s="6">
        <f>+GETPIVOTDATA(" New-Bachelor's",'Pivot Table for 1-11'!$A$3,"State","KY","SREB Type",3,"SREB Type2","Four-Year")</f>
        <v>6052</v>
      </c>
      <c r="E141" s="6">
        <f>+GETPIVOTDATA(" New-Post-Bachelor's",'Pivot Table for 1-11'!$A$3,"State","KY","SREB Type",3,"SREB Type2","Four-Year")</f>
        <v>43</v>
      </c>
      <c r="F141" s="6">
        <f>+GETPIVOTDATA(" New-Total Master's#",'Pivot Table for 1-11'!$A$3,"State","KY","SREB Type",3,"SREB Type2","Four-Year")</f>
        <v>2129</v>
      </c>
      <c r="G141" s="6">
        <f>+GETPIVOTDATA(" New-Total Doctorates#",'Pivot Table for 1-11'!$A$3,"State","KY","SREB Type",3,"SREB Type2","Four-Year")</f>
        <v>0</v>
      </c>
      <c r="H141" s="17">
        <f>+GETPIVOTDATA(" New-Law",'Pivot Table for 1-11'!$A$3,"State","KY","SREB Type",3,"SREB Type2","Four-Year")</f>
        <v>0</v>
      </c>
      <c r="I141" s="6">
        <f>+GETPIVOTDATA(" New-Medicine",'Pivot Table for 1-11'!$A$3,"State","KY","SREB Type",3,"SREB Type2","Four-Year")</f>
        <v>0</v>
      </c>
      <c r="J141" s="6">
        <f>+GETPIVOTDATA(" New-Dentistry",'Pivot Table for 1-11'!$A$3,"State","KY","SREB Type",3,"SREB Type2","Four-Year")</f>
        <v>0</v>
      </c>
      <c r="K141" s="6">
        <f>+GETPIVOTDATA(" New-Pharmacy",'Pivot Table for 1-11'!$A$3,"State","KY","SREB Type",3,"SREB Type2","Four-Year")</f>
        <v>0</v>
      </c>
      <c r="L141" s="6">
        <f>+GETPIVOTDATA(" New-Optometry",'Pivot Table for 1-11'!$A$3,"State","KY","SREB Type",3,"SREB Type2","Four-Year")</f>
        <v>0</v>
      </c>
      <c r="M141" s="6">
        <f>+GETPIVOTDATA(" New-Osteopathic Medicine",'Pivot Table for 1-11'!$A$3,"State","KY","SREB Type",3,"SREB Type2","Four-Year")</f>
        <v>0</v>
      </c>
      <c r="N141" s="181">
        <f>+GETPIVOTDATA(" New-Veterinary Medicine",'Pivot Table for 1-11'!$A$3,"State","KY","SREB Type",3,"SREB Type2","Four-Year")</f>
        <v>0</v>
      </c>
      <c r="O141" s="198">
        <f>+GETPIVOTDATA(" New-Oth PP",'Pivot Table for 1-11'!$A$3,"State","KY","SREB Type",3,"SREB Type2","Four-Year")</f>
        <v>0</v>
      </c>
      <c r="P141" s="182">
        <f t="shared" si="7"/>
        <v>8710</v>
      </c>
      <c r="Q141" s="186"/>
    </row>
    <row r="142" spans="1:23" ht="15" customHeight="1">
      <c r="A142" s="5" t="s">
        <v>303</v>
      </c>
      <c r="B142" s="6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6">
        <f>+GETPIVOTDATA(" New-Associate's",'Pivot Table for 1-11'!$A$3,"State","LA","SREB Type",3,"SREB Type2","Four-Year")</f>
        <v>102</v>
      </c>
      <c r="D142" s="6">
        <f>+GETPIVOTDATA(" New-Bachelor's",'Pivot Table for 1-11'!$A$3,"State","LA","SREB Type",3,"SREB Type2","Four-Year")</f>
        <v>3666</v>
      </c>
      <c r="E142" s="6">
        <f>+GETPIVOTDATA(" New-Post-Bachelor's",'Pivot Table for 1-11'!$A$3,"State","LA","SREB Type",3,"SREB Type2","Four-Year")</f>
        <v>1</v>
      </c>
      <c r="F142" s="6">
        <f>+GETPIVOTDATA(" New-Total Master's#",'Pivot Table for 1-11'!$A$3,"State","LA","SREB Type",3,"SREB Type2","Four-Year")</f>
        <v>901</v>
      </c>
      <c r="G142" s="6">
        <f>+GETPIVOTDATA(" New-Total Doctorates#",'Pivot Table for 1-11'!$A$3,"State","LA","SREB Type",3,"SREB Type2","Four-Year")</f>
        <v>31</v>
      </c>
      <c r="H142" s="17">
        <f>+GETPIVOTDATA(" New-Law",'Pivot Table for 1-11'!$A$3,"State","LA","SREB Type",3,"SREB Type2","Four-Year")</f>
        <v>128</v>
      </c>
      <c r="I142" s="6">
        <f>+GETPIVOTDATA(" New-Medicine",'Pivot Table for 1-11'!$A$3,"State","LA","SREB Type",3,"SREB Type2","Four-Year")</f>
        <v>0</v>
      </c>
      <c r="J142" s="6">
        <f>+GETPIVOTDATA(" New-Dentistry",'Pivot Table for 1-11'!$A$3,"State","LA","SREB Type",3,"SREB Type2","Four-Year")</f>
        <v>0</v>
      </c>
      <c r="K142" s="6">
        <f>+GETPIVOTDATA(" New-Pharmacy",'Pivot Table for 1-11'!$A$3,"State","LA","SREB Type",3,"SREB Type2","Four-Year")</f>
        <v>91</v>
      </c>
      <c r="L142" s="6">
        <f>+GETPIVOTDATA(" New-Optometry",'Pivot Table for 1-11'!$A$3,"State","LA","SREB Type",3,"SREB Type2","Four-Year")</f>
        <v>0</v>
      </c>
      <c r="M142" s="6">
        <f>+GETPIVOTDATA(" New-Osteopathic Medicine",'Pivot Table for 1-11'!$A$3,"State","LA","SREB Type",3,"SREB Type2","Four-Year")</f>
        <v>0</v>
      </c>
      <c r="N142" s="181">
        <f>+GETPIVOTDATA(" New-Veterinary Medicine",'Pivot Table for 1-11'!$A$3,"State","LA","SREB Type",3,"SREB Type2","Four-Year")</f>
        <v>0</v>
      </c>
      <c r="O142" s="198">
        <f>+GETPIVOTDATA(" New-Oth PP",'Pivot Table for 1-11'!$A$3,"State","LA","SREB Type",3,"SREB Type2","Four-Year")</f>
        <v>0</v>
      </c>
      <c r="P142" s="182">
        <f t="shared" si="7"/>
        <v>4920</v>
      </c>
      <c r="Q142" s="186"/>
    </row>
    <row r="143" spans="1:23" ht="15" customHeight="1">
      <c r="A143" s="5" t="s">
        <v>304</v>
      </c>
      <c r="B143" s="6">
        <f>+GETPIVOTDATA(" New-Less Than 2-Year",'Pivot Table for 1-11'!$A$3,"State","MD","SREB Type",3,"SREB Type2","Four-Year")+GETPIVOTDATA(" New-2 But Less Than 4-Year",'Pivot Table for 1-11'!$A$3,"State","MD","SREB Type",3,"SREB Type2","Four-Year")</f>
        <v>0</v>
      </c>
      <c r="C143" s="6">
        <f>+GETPIVOTDATA(" New-Associate's",'Pivot Table for 1-11'!$A$3,"State","MD","SREB Type",3,"SREB Type2","Four-Year")</f>
        <v>0</v>
      </c>
      <c r="D143" s="6">
        <f>+GETPIVOTDATA(" New-Bachelor's",'Pivot Table for 1-11'!$A$3,"State","MD","SREB Type",3,"SREB Type2","Four-Year")</f>
        <v>4223</v>
      </c>
      <c r="E143" s="6">
        <f>+GETPIVOTDATA(" New-Post-Bachelor's",'Pivot Table for 1-11'!$A$3,"State","MD","SREB Type",3,"SREB Type2","Four-Year")</f>
        <v>0</v>
      </c>
      <c r="F143" s="6">
        <f>+GETPIVOTDATA(" New-Total Master's#",'Pivot Table for 1-11'!$A$3,"State","MD","SREB Type",3,"SREB Type2","Four-Year")</f>
        <v>1177</v>
      </c>
      <c r="G143" s="6">
        <f>+GETPIVOTDATA(" New-Total Doctorates#",'Pivot Table for 1-11'!$A$3,"State","MD","SREB Type",3,"SREB Type2","Four-Year")</f>
        <v>41</v>
      </c>
      <c r="H143" s="17">
        <f>+GETPIVOTDATA(" New-Law",'Pivot Table for 1-11'!$A$3,"State","MD","SREB Type",3,"SREB Type2","Four-Year")</f>
        <v>0</v>
      </c>
      <c r="I143" s="6">
        <f>+GETPIVOTDATA(" New-Medicine",'Pivot Table for 1-11'!$A$3,"State","MD","SREB Type",3,"SREB Type2","Four-Year")</f>
        <v>0</v>
      </c>
      <c r="J143" s="6">
        <f>+GETPIVOTDATA(" New-Dentistry",'Pivot Table for 1-11'!$A$3,"State","MD","SREB Type",3,"SREB Type2","Four-Year")</f>
        <v>0</v>
      </c>
      <c r="K143" s="6">
        <f>+GETPIVOTDATA(" New-Pharmacy",'Pivot Table for 1-11'!$A$3,"State","MD","SREB Type",3,"SREB Type2","Four-Year")</f>
        <v>0</v>
      </c>
      <c r="L143" s="6">
        <f>+GETPIVOTDATA(" New-Optometry",'Pivot Table for 1-11'!$A$3,"State","MD","SREB Type",3,"SREB Type2","Four-Year")</f>
        <v>0</v>
      </c>
      <c r="M143" s="6">
        <f>+GETPIVOTDATA(" New-Osteopathic Medicine",'Pivot Table for 1-11'!$A$3,"State","MD","SREB Type",3,"SREB Type2","Four-Year")</f>
        <v>0</v>
      </c>
      <c r="N143" s="181">
        <f>+GETPIVOTDATA(" New-Veterinary Medicine",'Pivot Table for 1-11'!$A$3,"State","MD","SREB Type",3,"SREB Type2","Four-Year")</f>
        <v>0</v>
      </c>
      <c r="O143" s="198">
        <f>+GETPIVOTDATA(" New-Oth PP",'Pivot Table for 1-11'!$A$3,"State","MD","SREB Type",3,"SREB Type2","Four-Year")</f>
        <v>10</v>
      </c>
      <c r="P143" s="182">
        <f t="shared" si="7"/>
        <v>5451</v>
      </c>
      <c r="Q143" s="186"/>
    </row>
    <row r="144" spans="1:23" ht="15" customHeight="1">
      <c r="A144" s="5"/>
      <c r="B144" s="6">
        <f>+GETPIVOTDATA(" New-Less Than 2-Year",'Pivot Table for 1-11'!$A$3,"State","AR","SREB Type",3,"SREB Type2","Four-Year")+GETPIVOTDATA(" New-2 But Less Than 4-Year",'Pivot Table for 1-11'!$A$3,"State","AR","SREB Type",3,"SREB Type2","Four-Year")</f>
        <v>0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181"/>
      <c r="O144" s="198"/>
      <c r="P144" s="182">
        <f t="shared" si="7"/>
        <v>0</v>
      </c>
      <c r="Q144" s="186"/>
    </row>
    <row r="145" spans="1:17" ht="15" customHeight="1">
      <c r="A145" s="5" t="s">
        <v>305</v>
      </c>
      <c r="B145" s="6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6">
        <f>+GETPIVOTDATA(" New-Associate's",'Pivot Table for 1-11'!$A$3,"State","MS","SREB Type",3,"SREB Type2","Four-Year")</f>
        <v>0</v>
      </c>
      <c r="D145" s="6">
        <f>+GETPIVOTDATA(" New-Bachelor's",'Pivot Table for 1-11'!$A$3,"State","MS","SREB Type",3,"SREB Type2","Four-Year")</f>
        <v>0</v>
      </c>
      <c r="E145" s="6">
        <f>+GETPIVOTDATA(" New-Post-Bachelor's",'Pivot Table for 1-11'!$A$3,"State","MS","SREB Type",3,"SREB Type2","Four-Year")</f>
        <v>0</v>
      </c>
      <c r="F145" s="6">
        <f>+GETPIVOTDATA(" New-Total Master's#",'Pivot Table for 1-11'!$A$3,"State","MS","SREB Type",3,"SREB Type2","Four-Year")</f>
        <v>0</v>
      </c>
      <c r="G145" s="6">
        <f>+GETPIVOTDATA(" New-Total Doctorates#",'Pivot Table for 1-11'!$A$3,"State","MS","SREB Type",3,"SREB Type2","Four-Year")</f>
        <v>0</v>
      </c>
      <c r="H145" s="17">
        <f>+GETPIVOTDATA(" New-Law",'Pivot Table for 1-11'!$A$3,"State","MS","SREB Type",3,"SREB Type2","Four-Year")</f>
        <v>0</v>
      </c>
      <c r="I145" s="6">
        <f>+GETPIVOTDATA(" New-Medicine",'Pivot Table for 1-11'!$A$3,"State","MS","SREB Type",3,"SREB Type2","Four-Year")</f>
        <v>0</v>
      </c>
      <c r="J145" s="6">
        <f>+GETPIVOTDATA(" New-Dentistry",'Pivot Table for 1-11'!$A$3,"State","MS","SREB Type",3,"SREB Type2","Four-Year")</f>
        <v>0</v>
      </c>
      <c r="K145" s="6">
        <f>+GETPIVOTDATA(" New-Pharmacy",'Pivot Table for 1-11'!$A$3,"State","MS","SREB Type",3,"SREB Type2","Four-Year")</f>
        <v>0</v>
      </c>
      <c r="L145" s="6">
        <f>+GETPIVOTDATA(" New-Optometry",'Pivot Table for 1-11'!$A$3,"State","MS","SREB Type",3,"SREB Type2","Four-Year")</f>
        <v>0</v>
      </c>
      <c r="M145" s="6">
        <f>+GETPIVOTDATA(" New-Osteopathic Medicine",'Pivot Table for 1-11'!$A$3,"State","MS","SREB Type",3,"SREB Type2","Four-Year")</f>
        <v>0</v>
      </c>
      <c r="N145" s="181">
        <f>+GETPIVOTDATA(" New-Veterinary Medicine",'Pivot Table for 1-11'!$A$3,"State","MS","SREB Type",3,"SREB Type2","Four-Year")</f>
        <v>0</v>
      </c>
      <c r="O145" s="198">
        <f>+GETPIVOTDATA(" New-Oth PP",'Pivot Table for 1-11'!$A$3,"State","MS","SREB Type",3,"SREB Type2","Four-Year")</f>
        <v>0</v>
      </c>
      <c r="P145" s="182">
        <f t="shared" si="7"/>
        <v>0</v>
      </c>
      <c r="Q145" s="186"/>
    </row>
    <row r="146" spans="1:17" ht="15" customHeight="1">
      <c r="A146" s="5" t="s">
        <v>306</v>
      </c>
      <c r="B146" s="6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6">
        <f>+GETPIVOTDATA(" New-Associate's",'Pivot Table for 1-11'!$A$3,"State","NC","SREB Type",3,"SREB Type2","Four-Year")</f>
        <v>0</v>
      </c>
      <c r="D146" s="6">
        <f>+GETPIVOTDATA(" New-Bachelor's",'Pivot Table for 1-11'!$A$3,"State","NC","SREB Type",3,"SREB Type2","Four-Year")</f>
        <v>12626</v>
      </c>
      <c r="E146" s="6">
        <f>+GETPIVOTDATA(" New-Post-Bachelor's",'Pivot Table for 1-11'!$A$3,"State","NC","SREB Type",3,"SREB Type2","Four-Year")</f>
        <v>34</v>
      </c>
      <c r="F146" s="6">
        <f>+GETPIVOTDATA(" New-Total Master's#",'Pivot Table for 1-11'!$A$3,"State","NC","SREB Type",3,"SREB Type2","Four-Year")</f>
        <v>4083</v>
      </c>
      <c r="G146" s="6">
        <f>+GETPIVOTDATA(" New-Total Doctorates#",'Pivot Table for 1-11'!$A$3,"State","NC","SREB Type",3,"SREB Type2","Four-Year")</f>
        <v>125</v>
      </c>
      <c r="H146" s="17">
        <f>+GETPIVOTDATA(" New-Law",'Pivot Table for 1-11'!$A$3,"State","NC","SREB Type",3,"SREB Type2","Four-Year")</f>
        <v>191</v>
      </c>
      <c r="I146" s="6">
        <f>+GETPIVOTDATA(" New-Medicine",'Pivot Table for 1-11'!$A$3,"State","NC","SREB Type",3,"SREB Type2","Four-Year")</f>
        <v>65</v>
      </c>
      <c r="J146" s="6">
        <f>+GETPIVOTDATA(" New-Dentistry",'Pivot Table for 1-11'!$A$3,"State","NC","SREB Type",3,"SREB Type2","Four-Year")</f>
        <v>0</v>
      </c>
      <c r="K146" s="6">
        <f>+GETPIVOTDATA(" New-Pharmacy",'Pivot Table for 1-11'!$A$3,"State","NC","SREB Type",3,"SREB Type2","Four-Year")</f>
        <v>0</v>
      </c>
      <c r="L146" s="6">
        <f>+GETPIVOTDATA(" New-Optometry",'Pivot Table for 1-11'!$A$3,"State","NC","SREB Type",3,"SREB Type2","Four-Year")</f>
        <v>0</v>
      </c>
      <c r="M146" s="6">
        <f>+GETPIVOTDATA(" New-Osteopathic Medicine",'Pivot Table for 1-11'!$A$3,"State","NC","SREB Type",3,"SREB Type2","Four-Year")</f>
        <v>0</v>
      </c>
      <c r="N146" s="181">
        <f>+GETPIVOTDATA(" New-Veterinary Medicine",'Pivot Table for 1-11'!$A$3,"State","NC","SREB Type",3,"SREB Type2","Four-Year")</f>
        <v>0</v>
      </c>
      <c r="O146" s="198">
        <f>+GETPIVOTDATA(" New-Oth PP",'Pivot Table for 1-11'!$A$3,"State","NC","SREB Type",3,"SREB Type2","Four-Year")</f>
        <v>0</v>
      </c>
      <c r="P146" s="182">
        <f t="shared" si="7"/>
        <v>17124</v>
      </c>
      <c r="Q146" s="186"/>
    </row>
    <row r="147" spans="1:17" ht="15" customHeight="1">
      <c r="A147" s="5" t="s">
        <v>307</v>
      </c>
      <c r="B147" s="6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6">
        <f>+GETPIVOTDATA(" New-Associate's",'Pivot Table for 1-11'!$A$3,"State","OK","SREB Type",3,"SREB Type2","Four-Year")</f>
        <v>0</v>
      </c>
      <c r="D147" s="6">
        <f>+GETPIVOTDATA(" New-Bachelor's",'Pivot Table for 1-11'!$A$3,"State","OK","SREB Type",3,"SREB Type2","Four-Year")</f>
        <v>3856</v>
      </c>
      <c r="E147" s="6">
        <f>+GETPIVOTDATA(" New-Post-Bachelor's",'Pivot Table for 1-11'!$A$3,"State","OK","SREB Type",3,"SREB Type2","Four-Year")</f>
        <v>1</v>
      </c>
      <c r="F147" s="6">
        <f>+GETPIVOTDATA(" New-Total Master's#",'Pivot Table for 1-11'!$A$3,"State","OK","SREB Type",3,"SREB Type2","Four-Year")</f>
        <v>701</v>
      </c>
      <c r="G147" s="6">
        <f>+GETPIVOTDATA(" New-Total Doctorates#",'Pivot Table for 1-11'!$A$3,"State","OK","SREB Type",3,"SREB Type2","Four-Year")</f>
        <v>0</v>
      </c>
      <c r="H147" s="17">
        <f>+GETPIVOTDATA(" New-Law",'Pivot Table for 1-11'!$A$3,"State","OK","SREB Type",3,"SREB Type2","Four-Year")</f>
        <v>0</v>
      </c>
      <c r="I147" s="6">
        <f>+GETPIVOTDATA(" New-Medicine",'Pivot Table for 1-11'!$A$3,"State","OK","SREB Type",3,"SREB Type2","Four-Year")</f>
        <v>0</v>
      </c>
      <c r="J147" s="6">
        <f>+GETPIVOTDATA(" New-Dentistry",'Pivot Table for 1-11'!$A$3,"State","OK","SREB Type",3,"SREB Type2","Four-Year")</f>
        <v>0</v>
      </c>
      <c r="K147" s="6">
        <f>+GETPIVOTDATA(" New-Pharmacy",'Pivot Table for 1-11'!$A$3,"State","OK","SREB Type",3,"SREB Type2","Four-Year")</f>
        <v>0</v>
      </c>
      <c r="L147" s="6">
        <f>+GETPIVOTDATA(" New-Optometry",'Pivot Table for 1-11'!$A$3,"State","OK","SREB Type",3,"SREB Type2","Four-Year")</f>
        <v>26</v>
      </c>
      <c r="M147" s="6">
        <f>+GETPIVOTDATA(" New-Osteopathic Medicine",'Pivot Table for 1-11'!$A$3,"State","OK","SREB Type",3,"SREB Type2","Four-Year")</f>
        <v>0</v>
      </c>
      <c r="N147" s="181">
        <f>+GETPIVOTDATA(" New-Veterinary Medicine",'Pivot Table for 1-11'!$A$3,"State","OK","SREB Type",3,"SREB Type2","Four-Year")</f>
        <v>0</v>
      </c>
      <c r="O147" s="198">
        <f>+GETPIVOTDATA(" New-Oth PP",'Pivot Table for 1-11'!$A$3,"State","OK","SREB Type",3,"SREB Type2","Four-Year")</f>
        <v>0</v>
      </c>
      <c r="P147" s="182">
        <f t="shared" si="7"/>
        <v>4584</v>
      </c>
      <c r="Q147" s="186"/>
    </row>
    <row r="148" spans="1:17" ht="15" customHeight="1">
      <c r="A148" s="5" t="s">
        <v>308</v>
      </c>
      <c r="B148" s="6">
        <f>+GETPIVOTDATA(" New-Less Than 2-Year",'Pivot Table for 1-11'!$A$3,"State","SC","SREB Type",3,"SREB Type2","Four-Year")+GETPIVOTDATA(" New-2 But Less Than 4-Year",'Pivot Table for 1-11'!$A$3,"State","SC","SREB Type",3,"SREB Type2","Four-Year")</f>
        <v>3</v>
      </c>
      <c r="C148" s="6">
        <f>+GETPIVOTDATA(" New-Associate's",'Pivot Table for 1-11'!$A$3,"State","SC","SREB Type",3,"SREB Type2","Four-Year")</f>
        <v>0</v>
      </c>
      <c r="D148" s="6">
        <f>+GETPIVOTDATA(" New-Bachelor's",'Pivot Table for 1-11'!$A$3,"State","SC","SREB Type",3,"SREB Type2","Four-Year")</f>
        <v>2937</v>
      </c>
      <c r="E148" s="6">
        <f>+GETPIVOTDATA(" New-Post-Bachelor's",'Pivot Table for 1-11'!$A$3,"State","SC","SREB Type",3,"SREB Type2","Four-Year")</f>
        <v>5</v>
      </c>
      <c r="F148" s="6">
        <f>+GETPIVOTDATA(" New-Total Master's#",'Pivot Table for 1-11'!$A$3,"State","SC","SREB Type",3,"SREB Type2","Four-Year")</f>
        <v>449</v>
      </c>
      <c r="G148" s="6">
        <f>+GETPIVOTDATA(" New-Total Doctorates#",'Pivot Table for 1-11'!$A$3,"State","SC","SREB Type",3,"SREB Type2","Four-Year")</f>
        <v>0</v>
      </c>
      <c r="H148" s="17">
        <f>+GETPIVOTDATA(" New-Law",'Pivot Table for 1-11'!$A$3,"State","SC","SREB Type",3,"SREB Type2","Four-Year")</f>
        <v>0</v>
      </c>
      <c r="I148" s="6">
        <f>+GETPIVOTDATA(" New-Medicine",'Pivot Table for 1-11'!$A$3,"State","SC","SREB Type",3,"SREB Type2","Four-Year")</f>
        <v>0</v>
      </c>
      <c r="J148" s="6">
        <f>+GETPIVOTDATA(" New-Dentistry",'Pivot Table for 1-11'!$A$3,"State","SC","SREB Type",3,"SREB Type2","Four-Year")</f>
        <v>0</v>
      </c>
      <c r="K148" s="6">
        <f>+GETPIVOTDATA(" New-Pharmacy",'Pivot Table for 1-11'!$A$3,"State","SC","SREB Type",3,"SREB Type2","Four-Year")</f>
        <v>0</v>
      </c>
      <c r="L148" s="6">
        <f>+GETPIVOTDATA(" New-Optometry",'Pivot Table for 1-11'!$A$3,"State","SC","SREB Type",3,"SREB Type2","Four-Year")</f>
        <v>0</v>
      </c>
      <c r="M148" s="6">
        <f>+GETPIVOTDATA(" New-Osteopathic Medicine",'Pivot Table for 1-11'!$A$3,"State","SC","SREB Type",3,"SREB Type2","Four-Year")</f>
        <v>0</v>
      </c>
      <c r="N148" s="181">
        <f>+GETPIVOTDATA(" New-Veterinary Medicine",'Pivot Table for 1-11'!$A$3,"State","SC","SREB Type",3,"SREB Type2","Four-Year")</f>
        <v>0</v>
      </c>
      <c r="O148" s="198">
        <f>+GETPIVOTDATA(" New-Oth PP",'Pivot Table for 1-11'!$A$3,"State","SC","SREB Type",3,"SREB Type2","Four-Year")</f>
        <v>0</v>
      </c>
      <c r="P148" s="182">
        <f t="shared" si="7"/>
        <v>3394</v>
      </c>
      <c r="Q148" s="186"/>
    </row>
    <row r="149" spans="1:17" ht="15" customHeight="1">
      <c r="A149" s="5"/>
      <c r="B149" s="6">
        <f>+GETPIVOTDATA(" New-Less Than 2-Year",'Pivot Table for 1-11'!$A$3,"State","AR","SREB Type",3,"SREB Type2","Four-Year")+GETPIVOTDATA(" New-2 But Less Than 4-Year",'Pivot Table for 1-11'!$A$3,"State","AR","SREB Type",3,"SREB Type2","Four-Year")</f>
        <v>0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181"/>
      <c r="O149" s="198"/>
      <c r="P149" s="182"/>
      <c r="Q149" s="186"/>
    </row>
    <row r="150" spans="1:17" ht="15" customHeight="1">
      <c r="A150" s="5" t="s">
        <v>309</v>
      </c>
      <c r="B150" s="6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6">
        <f>+GETPIVOTDATA(" New-Associate's",'Pivot Table for 1-11'!$A$3,"State","TN","SREB Type",3,"SREB Type2","Four-Year")</f>
        <v>92</v>
      </c>
      <c r="D150" s="6">
        <f>+GETPIVOTDATA(" New-Bachelor's",'Pivot Table for 1-11'!$A$3,"State","TN","SREB Type",3,"SREB Type2","Four-Year")</f>
        <v>8713</v>
      </c>
      <c r="E150" s="6">
        <f>+GETPIVOTDATA(" New-Post-Bachelor's",'Pivot Table for 1-11'!$A$3,"State","TN","SREB Type",3,"SREB Type2","Four-Year")</f>
        <v>0</v>
      </c>
      <c r="F150" s="6">
        <f>+GETPIVOTDATA(" New-Total Master's#",'Pivot Table for 1-11'!$A$3,"State","TN","SREB Type",3,"SREB Type2","Four-Year")</f>
        <v>3080</v>
      </c>
      <c r="G150" s="6">
        <f>+GETPIVOTDATA(" New-Total Doctorates#",'Pivot Table for 1-11'!$A$3,"State","TN","SREB Type",3,"SREB Type2","Four-Year")</f>
        <v>226</v>
      </c>
      <c r="H150" s="17">
        <f>+GETPIVOTDATA(" New-Law",'Pivot Table for 1-11'!$A$3,"State","TN","SREB Type",3,"SREB Type2","Four-Year")</f>
        <v>0</v>
      </c>
      <c r="I150" s="6">
        <f>+GETPIVOTDATA(" New-Medicine",'Pivot Table for 1-11'!$A$3,"State","TN","SREB Type",3,"SREB Type2","Four-Year")</f>
        <v>61</v>
      </c>
      <c r="J150" s="6">
        <f>+GETPIVOTDATA(" New-Dentistry",'Pivot Table for 1-11'!$A$3,"State","TN","SREB Type",3,"SREB Type2","Four-Year")</f>
        <v>0</v>
      </c>
      <c r="K150" s="6">
        <f>+GETPIVOTDATA(" New-Pharmacy",'Pivot Table for 1-11'!$A$3,"State","TN","SREB Type",3,"SREB Type2","Four-Year")</f>
        <v>0</v>
      </c>
      <c r="L150" s="6">
        <f>+GETPIVOTDATA(" New-Optometry",'Pivot Table for 1-11'!$A$3,"State","TN","SREB Type",3,"SREB Type2","Four-Year")</f>
        <v>0</v>
      </c>
      <c r="M150" s="6">
        <f>+GETPIVOTDATA(" New-Osteopathic Medicine",'Pivot Table for 1-11'!$A$3,"State","TN","SREB Type",3,"SREB Type2","Four-Year")</f>
        <v>0</v>
      </c>
      <c r="N150" s="181">
        <f>+GETPIVOTDATA(" New-Veterinary Medicine",'Pivot Table for 1-11'!$A$3,"State","TN","SREB Type",3,"SREB Type2","Four-Year")</f>
        <v>0</v>
      </c>
      <c r="O150" s="198">
        <f>+GETPIVOTDATA(" New-Oth PP",'Pivot Table for 1-11'!$A$3,"State","TN","SREB Type",3,"SREB Type2","Four-Year")</f>
        <v>0</v>
      </c>
      <c r="P150" s="182">
        <f t="shared" si="7"/>
        <v>12172</v>
      </c>
      <c r="Q150" s="186"/>
    </row>
    <row r="151" spans="1:17" ht="15" customHeight="1">
      <c r="A151" s="5" t="s">
        <v>310</v>
      </c>
      <c r="B151" s="6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6">
        <f>+GETPIVOTDATA(" New-Associate's",'Pivot Table for 1-11'!$A$3,"State","TX","SREB Type",3,"SREB Type2","Four-Year")</f>
        <v>252</v>
      </c>
      <c r="D151" s="6">
        <f>+GETPIVOTDATA(" New-Bachelor's",'Pivot Table for 1-11'!$A$3,"State","TX","SREB Type",3,"SREB Type2","Four-Year")</f>
        <v>27553</v>
      </c>
      <c r="E151" s="6">
        <f>+GETPIVOTDATA(" New-Post-Bachelor's",'Pivot Table for 1-11'!$A$3,"State","TX","SREB Type",3,"SREB Type2","Four-Year")</f>
        <v>0</v>
      </c>
      <c r="F151" s="6">
        <f>+GETPIVOTDATA(" New-Total Master's#",'Pivot Table for 1-11'!$A$3,"State","TX","SREB Type",3,"SREB Type2","Four-Year")</f>
        <v>10413</v>
      </c>
      <c r="G151" s="6">
        <f>+GETPIVOTDATA(" New-Total Doctorates#",'Pivot Table for 1-11'!$A$3,"State","TX","SREB Type",3,"SREB Type2","Four-Year")</f>
        <v>264</v>
      </c>
      <c r="H151" s="17">
        <f>+GETPIVOTDATA(" New-Law",'Pivot Table for 1-11'!$A$3,"State","TX","SREB Type",3,"SREB Type2","Four-Year")</f>
        <v>192</v>
      </c>
      <c r="I151" s="6">
        <f>+GETPIVOTDATA(" New-Medicine",'Pivot Table for 1-11'!$A$3,"State","TX","SREB Type",3,"SREB Type2","Four-Year")</f>
        <v>0</v>
      </c>
      <c r="J151" s="6">
        <f>+GETPIVOTDATA(" New-Dentistry",'Pivot Table for 1-11'!$A$3,"State","TX","SREB Type",3,"SREB Type2","Four-Year")</f>
        <v>0</v>
      </c>
      <c r="K151" s="6">
        <f>+GETPIVOTDATA(" New-Pharmacy",'Pivot Table for 1-11'!$A$3,"State","TX","SREB Type",3,"SREB Type2","Four-Year")</f>
        <v>122</v>
      </c>
      <c r="L151" s="6">
        <f>+GETPIVOTDATA(" New-Optometry",'Pivot Table for 1-11'!$A$3,"State","TX","SREB Type",3,"SREB Type2","Four-Year")</f>
        <v>0</v>
      </c>
      <c r="M151" s="6">
        <f>+GETPIVOTDATA(" New-Osteopathic Medicine",'Pivot Table for 1-11'!$A$3,"State","TX","SREB Type",3,"SREB Type2","Four-Year")</f>
        <v>0</v>
      </c>
      <c r="N151" s="181">
        <f>+GETPIVOTDATA(" New-Veterinary Medicine",'Pivot Table for 1-11'!$A$3,"State","TX","SREB Type",3,"SREB Type2","Four-Year")</f>
        <v>0</v>
      </c>
      <c r="O151" s="198">
        <f>+GETPIVOTDATA(" New-Oth PP",'Pivot Table for 1-11'!$A$3,"State","TX","SREB Type",3,"SREB Type2","Four-Year")</f>
        <v>7</v>
      </c>
      <c r="P151" s="182">
        <f t="shared" si="7"/>
        <v>38803</v>
      </c>
      <c r="Q151" s="186"/>
    </row>
    <row r="152" spans="1:17" ht="15" customHeight="1">
      <c r="A152" s="5" t="s">
        <v>311</v>
      </c>
      <c r="B152" s="6">
        <f>+GETPIVOTDATA(" New-Less Than 2-Year",'Pivot Table for 1-11'!$A$3,"State","VA","SREB Type",3,"SREB Type2","Four-Year")+GETPIVOTDATA(" New-2 But Less Than 4-Year",'Pivot Table for 1-11'!$A$3,"State","VA","SREB Type",3,"SREB Type2","Four-Year")</f>
        <v>0</v>
      </c>
      <c r="C152" s="6">
        <f>+GETPIVOTDATA(" New-Associate's",'Pivot Table for 1-11'!$A$3,"State","VA","SREB Type",3,"SREB Type2","Four-Year")</f>
        <v>60</v>
      </c>
      <c r="D152" s="6">
        <f>+GETPIVOTDATA(" New-Bachelor's",'Pivot Table for 1-11'!$A$3,"State","VA","SREB Type",3,"SREB Type2","Four-Year")</f>
        <v>4407</v>
      </c>
      <c r="E152" s="6">
        <f>+GETPIVOTDATA(" New-Post-Bachelor's",'Pivot Table for 1-11'!$A$3,"State","VA","SREB Type",3,"SREB Type2","Four-Year")</f>
        <v>0</v>
      </c>
      <c r="F152" s="6">
        <f>+GETPIVOTDATA(" New-Total Master's#",'Pivot Table for 1-11'!$A$3,"State","VA","SREB Type",3,"SREB Type2","Four-Year")</f>
        <v>905</v>
      </c>
      <c r="G152" s="6">
        <f>+GETPIVOTDATA(" New-Total Doctorates#",'Pivot Table for 1-11'!$A$3,"State","VA","SREB Type",3,"SREB Type2","Four-Year")</f>
        <v>25</v>
      </c>
      <c r="H152" s="17">
        <f>+GETPIVOTDATA(" New-Law",'Pivot Table for 1-11'!$A$3,"State","VA","SREB Type",3,"SREB Type2","Four-Year")</f>
        <v>0</v>
      </c>
      <c r="I152" s="6">
        <f>+GETPIVOTDATA(" New-Medicine",'Pivot Table for 1-11'!$A$3,"State","VA","SREB Type",3,"SREB Type2","Four-Year")</f>
        <v>0</v>
      </c>
      <c r="J152" s="6">
        <f>+GETPIVOTDATA(" New-Dentistry",'Pivot Table for 1-11'!$A$3,"State","VA","SREB Type",3,"SREB Type2","Four-Year")</f>
        <v>0</v>
      </c>
      <c r="K152" s="6">
        <f>+GETPIVOTDATA(" New-Pharmacy",'Pivot Table for 1-11'!$A$3,"State","VA","SREB Type",3,"SREB Type2","Four-Year")</f>
        <v>0</v>
      </c>
      <c r="L152" s="6">
        <f>+GETPIVOTDATA(" New-Optometry",'Pivot Table for 1-11'!$A$3,"State","VA","SREB Type",3,"SREB Type2","Four-Year")</f>
        <v>0</v>
      </c>
      <c r="M152" s="6">
        <f>+GETPIVOTDATA(" New-Osteopathic Medicine",'Pivot Table for 1-11'!$A$3,"State","VA","SREB Type",3,"SREB Type2","Four-Year")</f>
        <v>0</v>
      </c>
      <c r="N152" s="181">
        <f>+GETPIVOTDATA(" New-Veterinary Medicine",'Pivot Table for 1-11'!$A$3,"State","VA","SREB Type",3,"SREB Type2","Four-Year")</f>
        <v>0</v>
      </c>
      <c r="O152" s="198">
        <f>+GETPIVOTDATA(" New-Oth PP",'Pivot Table for 1-11'!$A$3,"State","VA","SREB Type",3,"SREB Type2","Four-Year")</f>
        <v>0</v>
      </c>
      <c r="P152" s="182">
        <f t="shared" si="7"/>
        <v>5397</v>
      </c>
      <c r="Q152" s="186"/>
    </row>
    <row r="153" spans="1:17" ht="15" customHeight="1">
      <c r="A153" s="7" t="s">
        <v>312</v>
      </c>
      <c r="B153" s="8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8">
        <f>+GETPIVOTDATA(" New-Associate's",'Pivot Table for 1-11'!$A$3,"State","WV","SREB Type",3,"SREB Type2","Four-Year")</f>
        <v>111</v>
      </c>
      <c r="D153" s="8">
        <f>+GETPIVOTDATA(" New-Bachelor's",'Pivot Table for 1-11'!$A$3,"State","WV","SREB Type",3,"SREB Type2","Four-Year")</f>
        <v>1400</v>
      </c>
      <c r="E153" s="8">
        <f>+GETPIVOTDATA(" New-Post-Bachelor's",'Pivot Table for 1-11'!$A$3,"State","WV","SREB Type",3,"SREB Type2","Four-Year")</f>
        <v>0</v>
      </c>
      <c r="F153" s="8">
        <f>+GETPIVOTDATA(" New-Total Master's#",'Pivot Table for 1-11'!$A$3,"State","WV","SREB Type",3,"SREB Type2","Four-Year")</f>
        <v>907</v>
      </c>
      <c r="G153" s="8">
        <f>+GETPIVOTDATA(" New-Total Doctorates#",'Pivot Table for 1-11'!$A$3,"State","WV","SREB Type",3,"SREB Type2","Four-Year")</f>
        <v>15</v>
      </c>
      <c r="H153" s="18">
        <f>+GETPIVOTDATA(" New-Law",'Pivot Table for 1-11'!$A$3,"State","WV","SREB Type",3,"SREB Type2","Four-Year")</f>
        <v>0</v>
      </c>
      <c r="I153" s="8">
        <f>+GETPIVOTDATA(" New-Medicine",'Pivot Table for 1-11'!$A$3,"State","WV","SREB Type",3,"SREB Type2","Four-Year")</f>
        <v>50</v>
      </c>
      <c r="J153" s="8">
        <f>+GETPIVOTDATA(" New-Dentistry",'Pivot Table for 1-11'!$A$3,"State","WV","SREB Type",3,"SREB Type2","Four-Year")</f>
        <v>0</v>
      </c>
      <c r="K153" s="8">
        <f>+GETPIVOTDATA(" New-Pharmacy",'Pivot Table for 1-11'!$A$3,"State","WV","SREB Type",3,"SREB Type2","Four-Year")</f>
        <v>0</v>
      </c>
      <c r="L153" s="8">
        <f>+GETPIVOTDATA(" New-Optometry",'Pivot Table for 1-11'!$A$3,"State","WV","SREB Type",3,"SREB Type2","Four-Year")</f>
        <v>0</v>
      </c>
      <c r="M153" s="8">
        <f>+GETPIVOTDATA(" New-Osteopathic Medicine",'Pivot Table for 1-11'!$A$3,"State","WV","SREB Type",3,"SREB Type2","Four-Year")</f>
        <v>0</v>
      </c>
      <c r="N153" s="189">
        <f>+GETPIVOTDATA(" New-Veterinary Medicine",'Pivot Table for 1-11'!$A$3,"State","WV","SREB Type",3,"SREB Type2","Four-Year")</f>
        <v>0</v>
      </c>
      <c r="O153" s="199">
        <f>+GETPIVOTDATA(" New-Oth PP",'Pivot Table for 1-11'!$A$3,"State","WV","SREB Type",3,"SREB Type2","Four-Year")</f>
        <v>0</v>
      </c>
      <c r="P153" s="183">
        <f t="shared" si="7"/>
        <v>2483</v>
      </c>
      <c r="Q153" s="186"/>
    </row>
    <row r="154" spans="1:17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181"/>
      <c r="O154" s="181"/>
      <c r="P154" s="181"/>
      <c r="Q154" s="186"/>
    </row>
    <row r="155" spans="1:17" ht="27.75" customHeight="1">
      <c r="A155" s="767" t="s">
        <v>1253</v>
      </c>
      <c r="B155" s="768"/>
      <c r="C155" s="768"/>
      <c r="D155" s="768"/>
      <c r="E155" s="768"/>
      <c r="F155" s="768"/>
      <c r="G155" s="768"/>
      <c r="H155" s="768"/>
      <c r="I155" s="768"/>
      <c r="J155" s="768"/>
      <c r="K155" s="768"/>
      <c r="L155" s="768"/>
      <c r="M155" s="768"/>
      <c r="N155" s="768"/>
      <c r="O155" s="768"/>
      <c r="P155" s="768"/>
      <c r="Q155" s="713"/>
    </row>
    <row r="156" spans="1:17" ht="13.5" customHeight="1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181"/>
      <c r="O156" s="181"/>
      <c r="P156" s="184" t="s">
        <v>1267</v>
      </c>
      <c r="Q156" s="714"/>
    </row>
    <row r="157" spans="1:17" ht="18">
      <c r="A157" s="22" t="s">
        <v>317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93"/>
      <c r="O157" s="93"/>
      <c r="P157" s="93"/>
      <c r="Q157" s="701" t="s">
        <v>321</v>
      </c>
    </row>
    <row r="158" spans="1:17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92"/>
      <c r="O158" s="92"/>
      <c r="P158" s="92"/>
      <c r="Q158" s="710"/>
    </row>
    <row r="159" spans="1:17" ht="15.75">
      <c r="A159" s="1" t="s">
        <v>285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93"/>
      <c r="O159" s="93"/>
      <c r="P159" s="93"/>
      <c r="Q159" s="701" t="s">
        <v>321</v>
      </c>
    </row>
    <row r="160" spans="1:17" ht="15.75">
      <c r="A160" s="1" t="s">
        <v>1260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93"/>
      <c r="O160" s="93"/>
      <c r="P160" s="93"/>
      <c r="Q160" s="701" t="s">
        <v>321</v>
      </c>
    </row>
    <row r="161" spans="1:23" ht="15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94"/>
      <c r="O161" s="94"/>
      <c r="P161" s="94"/>
      <c r="Q161" s="716"/>
    </row>
    <row r="162" spans="1:23" ht="15.75">
      <c r="A162" s="192"/>
      <c r="B162" s="192"/>
      <c r="C162" s="192"/>
      <c r="D162" s="192"/>
      <c r="E162" s="192"/>
      <c r="F162" s="192"/>
      <c r="G162" s="192"/>
      <c r="H162" s="196" t="s">
        <v>1254</v>
      </c>
      <c r="I162" s="26"/>
      <c r="J162" s="26"/>
      <c r="K162" s="26"/>
      <c r="L162" s="26"/>
      <c r="M162" s="26"/>
      <c r="N162" s="193"/>
      <c r="O162" s="200"/>
      <c r="P162" s="195" t="s">
        <v>321</v>
      </c>
      <c r="Q162" s="716"/>
      <c r="R162" s="696"/>
      <c r="W162" s="696"/>
    </row>
    <row r="163" spans="1:23" ht="42" customHeight="1">
      <c r="A163" s="14"/>
      <c r="B163" s="15" t="s">
        <v>696</v>
      </c>
      <c r="C163" s="15" t="s">
        <v>286</v>
      </c>
      <c r="D163" s="15" t="s">
        <v>278</v>
      </c>
      <c r="E163" s="15" t="s">
        <v>279</v>
      </c>
      <c r="F163" s="15" t="s">
        <v>288</v>
      </c>
      <c r="G163" s="15" t="s">
        <v>289</v>
      </c>
      <c r="H163" s="16" t="s">
        <v>290</v>
      </c>
      <c r="I163" s="15" t="s">
        <v>291</v>
      </c>
      <c r="J163" s="15" t="s">
        <v>292</v>
      </c>
      <c r="K163" s="15" t="s">
        <v>283</v>
      </c>
      <c r="L163" s="15" t="s">
        <v>293</v>
      </c>
      <c r="M163" s="15" t="s">
        <v>294</v>
      </c>
      <c r="N163" s="191" t="s">
        <v>952</v>
      </c>
      <c r="O163" s="197" t="s">
        <v>689</v>
      </c>
      <c r="P163" s="191" t="s">
        <v>295</v>
      </c>
      <c r="Q163" s="717"/>
    </row>
    <row r="164" spans="1:23" ht="15" customHeight="1">
      <c r="A164" s="5" t="s">
        <v>296</v>
      </c>
      <c r="B164" s="6">
        <f>+GETPIVOTDATA(" New-Less Than 2-Year",'Pivot Table for 1-11'!$A$3,"SREB Type",4,"SREB Type2","Four-Year")+GETPIVOTDATA(" New-2 But Less Than 4-Year",'Pivot Table for 1-11'!$A$3,"SREB Type",4,"SREB Type2","Four-Year")</f>
        <v>438</v>
      </c>
      <c r="C164" s="6">
        <f>+GETPIVOTDATA(" New-Associate's",'Pivot Table for 1-11'!$A$3,"SREB Type",4,"SREB Type2","Four-Year")</f>
        <v>1598</v>
      </c>
      <c r="D164" s="6">
        <f>+GETPIVOTDATA(" New-Bachelor's",'Pivot Table for 1-11'!$A$3,"SREB Type",4,"SREB Type2","Four-Year")</f>
        <v>31300</v>
      </c>
      <c r="E164" s="6">
        <f>+GETPIVOTDATA(" New-Post-Bachelor's",'Pivot Table for 1-11'!$A$3,"SREB Type",4,"SREB Type2","Four-Year")</f>
        <v>50</v>
      </c>
      <c r="F164" s="6">
        <f>+GETPIVOTDATA(" New-Total Master's#",'Pivot Table for 1-11'!$A$3,"SREB Type",4,"SREB Type2","Four-Year")</f>
        <v>10166</v>
      </c>
      <c r="G164" s="6">
        <f>+GETPIVOTDATA(" New-Total Doctorates#",'Pivot Table for 1-11'!$A$3,"SREB Type",4,"SREB Type2","Four-Year")</f>
        <v>133</v>
      </c>
      <c r="H164" s="17">
        <f>+GETPIVOTDATA(" New-Law",'Pivot Table for 1-11'!$A$3,"SREB Type",4,"SREB Type2","Four-Year")</f>
        <v>443</v>
      </c>
      <c r="I164" s="6">
        <f>+GETPIVOTDATA(" New-Medicine",'Pivot Table for 1-11'!$A$3,"SREB Type",4,"SREB Type2","Four-Year")</f>
        <v>0</v>
      </c>
      <c r="J164" s="6">
        <f>+GETPIVOTDATA(" New-Dentistry",'Pivot Table for 1-11'!$A$3,"SREB Type",4,"SREB Type2","Four-Year")</f>
        <v>0</v>
      </c>
      <c r="K164" s="6">
        <f>+GETPIVOTDATA(" New-Pharmacy",'Pivot Table for 1-11'!$A$3,"SREB Type",4,"SREB Type2","Four-Year")</f>
        <v>0</v>
      </c>
      <c r="L164" s="6">
        <f>+GETPIVOTDATA(" New-Optometry",'Pivot Table for 1-11'!$A$3,"SREB Type",4,"SREB Type2","Four-Year")</f>
        <v>0</v>
      </c>
      <c r="M164" s="6">
        <f>+GETPIVOTDATA(" New-Osteopathic Medicine",'Pivot Table for 1-11'!$A$3,"SREB Type",4,"SREB Type2","Four-Year")</f>
        <v>0</v>
      </c>
      <c r="N164" s="181">
        <f>+GETPIVOTDATA(" New-Veterinary Medicine",'Pivot Table for 1-11'!$A$3,"SREB Type",4,"SREB Type2","Four-Year")</f>
        <v>0</v>
      </c>
      <c r="O164" s="198">
        <f>+GETPIVOTDATA(" New-Oth PP",'Pivot Table for 1-11'!$A$3,"SREB Type",4,"SREB Type2","Four-Year")</f>
        <v>71</v>
      </c>
      <c r="P164" s="182">
        <f>SUM(B164:O164)</f>
        <v>44199</v>
      </c>
      <c r="Q164" s="186"/>
    </row>
    <row r="165" spans="1:23" ht="15" customHeight="1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181"/>
      <c r="O165" s="198"/>
      <c r="P165" s="182"/>
      <c r="Q165" s="186"/>
    </row>
    <row r="166" spans="1:23" ht="15" customHeight="1">
      <c r="A166" s="5" t="s">
        <v>297</v>
      </c>
      <c r="B166" s="6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6">
        <f>+GETPIVOTDATA(" New-Associate's",'Pivot Table for 1-11'!$A$3,"State","AL","SREB Type",4,"SREB Type2","Four-Year")</f>
        <v>0</v>
      </c>
      <c r="D166" s="6">
        <f>+GETPIVOTDATA(" New-Bachelor's",'Pivot Table for 1-11'!$A$3,"State","AL","SREB Type",4,"SREB Type2","Four-Year")</f>
        <v>2049</v>
      </c>
      <c r="E166" s="6">
        <f>+GETPIVOTDATA(" New-Post-Bachelor's",'Pivot Table for 1-11'!$A$3,"State","AL","SREB Type",4,"SREB Type2","Four-Year")</f>
        <v>0</v>
      </c>
      <c r="F166" s="6">
        <f>+GETPIVOTDATA(" New-Total Master's#",'Pivot Table for 1-11'!$A$3,"State","AL","SREB Type",4,"SREB Type2","Four-Year")</f>
        <v>1087</v>
      </c>
      <c r="G166" s="6">
        <f>+GETPIVOTDATA(" New-Total Doctorates#",'Pivot Table for 1-11'!$A$3,"State","AL","SREB Type",4,"SREB Type2","Four-Year")</f>
        <v>58</v>
      </c>
      <c r="H166" s="17">
        <f>+GETPIVOTDATA(" New-Law",'Pivot Table for 1-11'!$A$3,"State","AL","SREB Type",4,"SREB Type2","Four-Year")</f>
        <v>0</v>
      </c>
      <c r="I166" s="6">
        <f>+GETPIVOTDATA(" New-Medicine",'Pivot Table for 1-11'!$A$3,"State","AL","SREB Type",4,"SREB Type2","Four-Year")</f>
        <v>0</v>
      </c>
      <c r="J166" s="6">
        <f>+GETPIVOTDATA(" New-Dentistry",'Pivot Table for 1-11'!$A$3,"State","AL","SREB Type",4,"SREB Type2","Four-Year")</f>
        <v>0</v>
      </c>
      <c r="K166" s="6">
        <f>+GETPIVOTDATA(" New-Pharmacy",'Pivot Table for 1-11'!$A$3,"State","AL","SREB Type",4,"SREB Type2","Four-Year")</f>
        <v>0</v>
      </c>
      <c r="L166" s="6">
        <f>+GETPIVOTDATA(" New-Optometry",'Pivot Table for 1-11'!$A$3,"State","AL","SREB Type",4,"SREB Type2","Four-Year")</f>
        <v>0</v>
      </c>
      <c r="M166" s="6">
        <f>+GETPIVOTDATA(" New-Osteopathic Medicine",'Pivot Table for 1-11'!$A$3,"State","AL","SREB Type",4,"SREB Type2","Four-Year")</f>
        <v>0</v>
      </c>
      <c r="N166" s="181">
        <f>+GETPIVOTDATA(" New-Veterinary Medicine",'Pivot Table for 1-11'!$A$3,"State","AL","SREB Type",4,"SREB Type2","Four-Year")</f>
        <v>0</v>
      </c>
      <c r="O166" s="198">
        <f>+GETPIVOTDATA(" New-Oth PP",'Pivot Table for 1-11'!$A$3,"State","AL","SREB Type",4,"SREB Type2","Four-Year")</f>
        <v>50</v>
      </c>
      <c r="P166" s="182">
        <f t="shared" ref="P166:P184" si="8">SUM(B166:O166)</f>
        <v>3244</v>
      </c>
      <c r="Q166" s="186"/>
    </row>
    <row r="167" spans="1:23" ht="15" customHeight="1">
      <c r="A167" s="5" t="s">
        <v>298</v>
      </c>
      <c r="B167" s="6">
        <f>+GETPIVOTDATA(" New-Less Than 2-Year",'Pivot Table for 1-11'!$A$3,"State","AR","SREB Type",4,"SREB Type2","Four-Year")+GETPIVOTDATA(" New-2 But Less Than 4-Year",'Pivot Table for 1-11'!$A$3,"State","AR","SREB Type",4,"SREB Type2","Four-Year")</f>
        <v>247</v>
      </c>
      <c r="C167" s="6">
        <f>+GETPIVOTDATA(" New-Associate's",'Pivot Table for 1-11'!$A$3,"State","AR","SREB Type",4,"SREB Type2","Four-Year")</f>
        <v>165</v>
      </c>
      <c r="D167" s="6">
        <f>+GETPIVOTDATA(" New-Bachelor's",'Pivot Table for 1-11'!$A$3,"State","AR","SREB Type",4,"SREB Type2","Four-Year")</f>
        <v>1436</v>
      </c>
      <c r="E167" s="6">
        <f>+GETPIVOTDATA(" New-Post-Bachelor's",'Pivot Table for 1-11'!$A$3,"State","AR","SREB Type",4,"SREB Type2","Four-Year")</f>
        <v>0</v>
      </c>
      <c r="F167" s="6">
        <f>+GETPIVOTDATA(" New-Total Master's#",'Pivot Table for 1-11'!$A$3,"State","AR","SREB Type",4,"SREB Type2","Four-Year")</f>
        <v>384</v>
      </c>
      <c r="G167" s="6">
        <f>+GETPIVOTDATA(" New-Total Doctorates#",'Pivot Table for 1-11'!$A$3,"State","AR","SREB Type",4,"SREB Type2","Four-Year")</f>
        <v>0</v>
      </c>
      <c r="H167" s="17">
        <f>+GETPIVOTDATA(" New-Law",'Pivot Table for 1-11'!$A$3,"State","AR","SREB Type",4,"SREB Type2","Four-Year")</f>
        <v>0</v>
      </c>
      <c r="I167" s="6">
        <f>+GETPIVOTDATA(" New-Medicine",'Pivot Table for 1-11'!$A$3,"State","AR","SREB Type",4,"SREB Type2","Four-Year")</f>
        <v>0</v>
      </c>
      <c r="J167" s="6">
        <f>+GETPIVOTDATA(" New-Dentistry",'Pivot Table for 1-11'!$A$3,"State","AR","SREB Type",4,"SREB Type2","Four-Year")</f>
        <v>0</v>
      </c>
      <c r="K167" s="6">
        <f>+GETPIVOTDATA(" New-Pharmacy",'Pivot Table for 1-11'!$A$3,"State","AR","SREB Type",4,"SREB Type2","Four-Year")</f>
        <v>0</v>
      </c>
      <c r="L167" s="6">
        <f>+GETPIVOTDATA(" New-Optometry",'Pivot Table for 1-11'!$A$3,"State","AR","SREB Type",4,"SREB Type2","Four-Year")</f>
        <v>0</v>
      </c>
      <c r="M167" s="6">
        <f>+GETPIVOTDATA(" New-Osteopathic Medicine",'Pivot Table for 1-11'!$A$3,"State","AR","SREB Type",4,"SREB Type2","Four-Year")</f>
        <v>0</v>
      </c>
      <c r="N167" s="181">
        <f>+GETPIVOTDATA(" New-Veterinary Medicine",'Pivot Table for 1-11'!$A$3,"State","AR","SREB Type",4,"SREB Type2","Four-Year")</f>
        <v>0</v>
      </c>
      <c r="O167" s="198">
        <f>+GETPIVOTDATA(" New-Oth PP",'Pivot Table for 1-11'!$A$3,"State","AR","SREB Type",4,"SREB Type2","Four-Year")</f>
        <v>0</v>
      </c>
      <c r="P167" s="182">
        <f t="shared" si="8"/>
        <v>2232</v>
      </c>
      <c r="Q167" s="186"/>
    </row>
    <row r="168" spans="1:23" ht="15" customHeight="1">
      <c r="A168" s="5" t="s">
        <v>299</v>
      </c>
      <c r="B168" s="6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6">
        <f>+GETPIVOTDATA(" New-Associate's",'Pivot Table for 1-11'!$A$3,"State","DE","SREB Type",4,"SREB Type2","Four-Year")</f>
        <v>0</v>
      </c>
      <c r="D168" s="6">
        <f>+GETPIVOTDATA(" New-Bachelor's",'Pivot Table for 1-11'!$A$3,"State","DE","SREB Type",4,"SREB Type2","Four-Year")</f>
        <v>506</v>
      </c>
      <c r="E168" s="6">
        <f>+GETPIVOTDATA(" New-Post-Bachelor's",'Pivot Table for 1-11'!$A$3,"State","DE","SREB Type",4,"SREB Type2","Four-Year")</f>
        <v>0</v>
      </c>
      <c r="F168" s="6">
        <f>+GETPIVOTDATA(" New-Total Master's#",'Pivot Table for 1-11'!$A$3,"State","DE","SREB Type",4,"SREB Type2","Four-Year")</f>
        <v>124</v>
      </c>
      <c r="G168" s="6">
        <f>+GETPIVOTDATA(" New-Total Doctorates#",'Pivot Table for 1-11'!$A$3,"State","DE","SREB Type",4,"SREB Type2","Four-Year")</f>
        <v>14</v>
      </c>
      <c r="H168" s="17">
        <f>+GETPIVOTDATA(" New-Law",'Pivot Table for 1-11'!$A$3,"State","DE","SREB Type",4,"SREB Type2","Four-Year")</f>
        <v>0</v>
      </c>
      <c r="I168" s="6">
        <f>+GETPIVOTDATA(" New-Medicine",'Pivot Table for 1-11'!$A$3,"State","DE","SREB Type",4,"SREB Type2","Four-Year")</f>
        <v>0</v>
      </c>
      <c r="J168" s="6">
        <f>+GETPIVOTDATA(" New-Dentistry",'Pivot Table for 1-11'!$A$3,"State","DE","SREB Type",4,"SREB Type2","Four-Year")</f>
        <v>0</v>
      </c>
      <c r="K168" s="6">
        <f>+GETPIVOTDATA(" New-Pharmacy",'Pivot Table for 1-11'!$A$3,"State","DE","SREB Type",4,"SREB Type2","Four-Year")</f>
        <v>0</v>
      </c>
      <c r="L168" s="6">
        <f>+GETPIVOTDATA(" New-Optometry",'Pivot Table for 1-11'!$A$3,"State","DE","SREB Type",4,"SREB Type2","Four-Year")</f>
        <v>0</v>
      </c>
      <c r="M168" s="6">
        <f>+GETPIVOTDATA(" New-Osteopathic Medicine",'Pivot Table for 1-11'!$A$3,"State","DE","SREB Type",4,"SREB Type2","Four-Year")</f>
        <v>0</v>
      </c>
      <c r="N168" s="181">
        <f>+GETPIVOTDATA(" New-Veterinary Medicine",'Pivot Table for 1-11'!$A$3,"State","DE","SREB Type",4,"SREB Type2","Four-Year")</f>
        <v>0</v>
      </c>
      <c r="O168" s="198">
        <f>+GETPIVOTDATA(" New-Oth PP",'Pivot Table for 1-11'!$A$3,"State","DE","SREB Type",4,"SREB Type2","Four-Year")</f>
        <v>0</v>
      </c>
      <c r="P168" s="182">
        <f t="shared" si="8"/>
        <v>644</v>
      </c>
      <c r="Q168" s="186"/>
    </row>
    <row r="169" spans="1:23" ht="15" customHeight="1">
      <c r="A169" s="5" t="s">
        <v>300</v>
      </c>
      <c r="B169" s="6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6">
        <f>+GETPIVOTDATA(" New-Associate's",'Pivot Table for 1-11'!$A$3,"State","FL","SREB Type",4,"SREB Type2","Four-Year")</f>
        <v>227</v>
      </c>
      <c r="D169" s="6">
        <f>+GETPIVOTDATA(" New-Bachelor's",'Pivot Table for 1-11'!$A$3,"State","FL","SREB Type",4,"SREB Type2","Four-Year")</f>
        <v>1346</v>
      </c>
      <c r="E169" s="6">
        <f>+GETPIVOTDATA(" New-Post-Bachelor's",'Pivot Table for 1-11'!$A$3,"State","FL","SREB Type",4,"SREB Type2","Four-Year")</f>
        <v>0</v>
      </c>
      <c r="F169" s="6">
        <f>+GETPIVOTDATA(" New-Total Master's#",'Pivot Table for 1-11'!$A$3,"State","FL","SREB Type",4,"SREB Type2","Four-Year")</f>
        <v>302</v>
      </c>
      <c r="G169" s="6">
        <f>+GETPIVOTDATA(" New-Total Doctorates#",'Pivot Table for 1-11'!$A$3,"State","FL","SREB Type",4,"SREB Type2","Four-Year")</f>
        <v>0</v>
      </c>
      <c r="H169" s="17">
        <f>+GETPIVOTDATA(" New-Law",'Pivot Table for 1-11'!$A$3,"State","FL","SREB Type",4,"SREB Type2","Four-Year")</f>
        <v>0</v>
      </c>
      <c r="I169" s="6">
        <f>+GETPIVOTDATA(" New-Medicine",'Pivot Table for 1-11'!$A$3,"State","FL","SREB Type",4,"SREB Type2","Four-Year")</f>
        <v>0</v>
      </c>
      <c r="J169" s="6">
        <f>+GETPIVOTDATA(" New-Dentistry",'Pivot Table for 1-11'!$A$3,"State","FL","SREB Type",4,"SREB Type2","Four-Year")</f>
        <v>0</v>
      </c>
      <c r="K169" s="6">
        <f>+GETPIVOTDATA(" New-Pharmacy",'Pivot Table for 1-11'!$A$3,"State","FL","SREB Type",4,"SREB Type2","Four-Year")</f>
        <v>0</v>
      </c>
      <c r="L169" s="6">
        <f>+GETPIVOTDATA(" New-Optometry",'Pivot Table for 1-11'!$A$3,"State","FL","SREB Type",4,"SREB Type2","Four-Year")</f>
        <v>0</v>
      </c>
      <c r="M169" s="6">
        <f>+GETPIVOTDATA(" New-Osteopathic Medicine",'Pivot Table for 1-11'!$A$3,"State","FL","SREB Type",4,"SREB Type2","Four-Year")</f>
        <v>0</v>
      </c>
      <c r="N169" s="181">
        <f>+GETPIVOTDATA(" New-Veterinary Medicine",'Pivot Table for 1-11'!$A$3,"State","FL","SREB Type",4,"SREB Type2","Four-Year")</f>
        <v>0</v>
      </c>
      <c r="O169" s="198">
        <f>+GETPIVOTDATA(" New-Oth PP",'Pivot Table for 1-11'!$A$3,"State","FL","SREB Type",4,"SREB Type2","Four-Year")</f>
        <v>0</v>
      </c>
      <c r="P169" s="182">
        <f t="shared" si="8"/>
        <v>1875</v>
      </c>
      <c r="Q169" s="186"/>
    </row>
    <row r="170" spans="1:23" ht="15" customHeight="1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181"/>
      <c r="O170" s="198"/>
      <c r="P170" s="182">
        <f t="shared" si="8"/>
        <v>0</v>
      </c>
      <c r="Q170" s="186"/>
    </row>
    <row r="171" spans="1:23" ht="15" customHeight="1">
      <c r="A171" s="5" t="s">
        <v>301</v>
      </c>
      <c r="B171" s="6">
        <f>+GETPIVOTDATA(" New-Less Than 2-Year",'Pivot Table for 1-11'!$A$3,"State","GA","SREB Type",4,"SREB Type2","Four-Year")+GETPIVOTDATA(" New-2 But Less Than 4-Year",'Pivot Table for 1-11'!$A$3,"State","GA","SREB Type",4,"SREB Type2","Four-Year")</f>
        <v>156</v>
      </c>
      <c r="C171" s="6">
        <f>+GETPIVOTDATA(" New-Associate's",'Pivot Table for 1-11'!$A$3,"State","GA","SREB Type",4,"SREB Type2","Four-Year")</f>
        <v>129</v>
      </c>
      <c r="D171" s="6">
        <f>+GETPIVOTDATA(" New-Bachelor's",'Pivot Table for 1-11'!$A$3,"State","GA","SREB Type",4,"SREB Type2","Four-Year")</f>
        <v>6266</v>
      </c>
      <c r="E171" s="6">
        <f>+GETPIVOTDATA(" New-Post-Bachelor's",'Pivot Table for 1-11'!$A$3,"State","GA","SREB Type",4,"SREB Type2","Four-Year")</f>
        <v>0</v>
      </c>
      <c r="F171" s="6">
        <f>+GETPIVOTDATA(" New-Total Master's#",'Pivot Table for 1-11'!$A$3,"State","GA","SREB Type",4,"SREB Type2","Four-Year")</f>
        <v>2308</v>
      </c>
      <c r="G171" s="6">
        <f>+GETPIVOTDATA(" New-Total Doctorates#",'Pivot Table for 1-11'!$A$3,"State","GA","SREB Type",4,"SREB Type2","Four-Year")</f>
        <v>0</v>
      </c>
      <c r="H171" s="17">
        <f>+GETPIVOTDATA(" New-Law",'Pivot Table for 1-11'!$A$3,"State","GA","SREB Type",4,"SREB Type2","Four-Year")</f>
        <v>0</v>
      </c>
      <c r="I171" s="6">
        <f>+GETPIVOTDATA(" New-Medicine",'Pivot Table for 1-11'!$A$3,"State","GA","SREB Type",4,"SREB Type2","Four-Year")</f>
        <v>0</v>
      </c>
      <c r="J171" s="6">
        <f>+GETPIVOTDATA(" New-Dentistry",'Pivot Table for 1-11'!$A$3,"State","GA","SREB Type",4,"SREB Type2","Four-Year")</f>
        <v>0</v>
      </c>
      <c r="K171" s="6">
        <f>+GETPIVOTDATA(" New-Pharmacy",'Pivot Table for 1-11'!$A$3,"State","GA","SREB Type",4,"SREB Type2","Four-Year")</f>
        <v>0</v>
      </c>
      <c r="L171" s="6">
        <f>+GETPIVOTDATA(" New-Optometry",'Pivot Table for 1-11'!$A$3,"State","GA","SREB Type",4,"SREB Type2","Four-Year")</f>
        <v>0</v>
      </c>
      <c r="M171" s="6">
        <f>+GETPIVOTDATA(" New-Osteopathic Medicine",'Pivot Table for 1-11'!$A$3,"State","GA","SREB Type",4,"SREB Type2","Four-Year")</f>
        <v>0</v>
      </c>
      <c r="N171" s="181">
        <f>+GETPIVOTDATA(" New-Veterinary Medicine",'Pivot Table for 1-11'!$A$3,"State","GA","SREB Type",4,"SREB Type2","Four-Year")</f>
        <v>0</v>
      </c>
      <c r="O171" s="198">
        <f>+GETPIVOTDATA(" New-Oth PP",'Pivot Table for 1-11'!$A$3,"State","GA","SREB Type",4,"SREB Type2","Four-Year")</f>
        <v>0</v>
      </c>
      <c r="P171" s="182">
        <f t="shared" si="8"/>
        <v>8859</v>
      </c>
      <c r="Q171" s="186"/>
    </row>
    <row r="172" spans="1:23" ht="15" customHeight="1">
      <c r="A172" s="5" t="s">
        <v>302</v>
      </c>
      <c r="B172" s="6">
        <f>+GETPIVOTDATA(" New-Less Than 2-Year",'Pivot Table for 1-11'!$A$3,"State","KY","SREB Type",4,"SREB Type2","Four-Year")+GETPIVOTDATA(" New-2 But Less Than 4-Year",'Pivot Table for 1-11'!$A$3,"State","KY","SREB Type",4,"SREB Type2","Four-Year")</f>
        <v>5</v>
      </c>
      <c r="C172" s="6">
        <f>+GETPIVOTDATA(" New-Associate's",'Pivot Table for 1-11'!$A$3,"State","KY","SREB Type",4,"SREB Type2","Four-Year")</f>
        <v>274</v>
      </c>
      <c r="D172" s="6">
        <f>+GETPIVOTDATA(" New-Bachelor's",'Pivot Table for 1-11'!$A$3,"State","KY","SREB Type",4,"SREB Type2","Four-Year")</f>
        <v>2766</v>
      </c>
      <c r="E172" s="6">
        <f>+GETPIVOTDATA(" New-Post-Bachelor's",'Pivot Table for 1-11'!$A$3,"State","KY","SREB Type",4,"SREB Type2","Four-Year")</f>
        <v>32</v>
      </c>
      <c r="F172" s="6">
        <f>+GETPIVOTDATA(" New-Total Master's#",'Pivot Table for 1-11'!$A$3,"State","KY","SREB Type",4,"SREB Type2","Four-Year")</f>
        <v>918</v>
      </c>
      <c r="G172" s="6">
        <f>+GETPIVOTDATA(" New-Total Doctorates#",'Pivot Table for 1-11'!$A$3,"State","KY","SREB Type",4,"SREB Type2","Four-Year")</f>
        <v>0</v>
      </c>
      <c r="H172" s="17">
        <f>+GETPIVOTDATA(" New-Law",'Pivot Table for 1-11'!$A$3,"State","KY","SREB Type",4,"SREB Type2","Four-Year")</f>
        <v>137</v>
      </c>
      <c r="I172" s="6">
        <f>+GETPIVOTDATA(" New-Medicine",'Pivot Table for 1-11'!$A$3,"State","KY","SREB Type",4,"SREB Type2","Four-Year")</f>
        <v>0</v>
      </c>
      <c r="J172" s="6">
        <f>+GETPIVOTDATA(" New-Dentistry",'Pivot Table for 1-11'!$A$3,"State","KY","SREB Type",4,"SREB Type2","Four-Year")</f>
        <v>0</v>
      </c>
      <c r="K172" s="6">
        <f>+GETPIVOTDATA(" New-Pharmacy",'Pivot Table for 1-11'!$A$3,"State","KY","SREB Type",4,"SREB Type2","Four-Year")</f>
        <v>0</v>
      </c>
      <c r="L172" s="6">
        <f>+GETPIVOTDATA(" New-Optometry",'Pivot Table for 1-11'!$A$3,"State","KY","SREB Type",4,"SREB Type2","Four-Year")</f>
        <v>0</v>
      </c>
      <c r="M172" s="6">
        <f>+GETPIVOTDATA(" New-Osteopathic Medicine",'Pivot Table for 1-11'!$A$3,"State","KY","SREB Type",4,"SREB Type2","Four-Year")</f>
        <v>0</v>
      </c>
      <c r="N172" s="181">
        <f>+GETPIVOTDATA(" New-Veterinary Medicine",'Pivot Table for 1-11'!$A$3,"State","KY","SREB Type",4,"SREB Type2","Four-Year")</f>
        <v>0</v>
      </c>
      <c r="O172" s="198">
        <f>+GETPIVOTDATA(" New-Oth PP",'Pivot Table for 1-11'!$A$3,"State","KY","SREB Type",4,"SREB Type2","Four-Year")</f>
        <v>0</v>
      </c>
      <c r="P172" s="182">
        <f t="shared" si="8"/>
        <v>4132</v>
      </c>
      <c r="Q172" s="186"/>
    </row>
    <row r="173" spans="1:23" ht="15" customHeight="1">
      <c r="A173" s="5" t="s">
        <v>303</v>
      </c>
      <c r="B173" s="6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6">
        <f>+GETPIVOTDATA(" New-Associate's",'Pivot Table for 1-11'!$A$3,"State","LA","SREB Type",4,"SREB Type2","Four-Year")</f>
        <v>630</v>
      </c>
      <c r="D173" s="6">
        <f>+GETPIVOTDATA(" New-Bachelor's",'Pivot Table for 1-11'!$A$3,"State","LA","SREB Type",4,"SREB Type2","Four-Year")</f>
        <v>4295</v>
      </c>
      <c r="E173" s="6">
        <f>+GETPIVOTDATA(" New-Post-Bachelor's",'Pivot Table for 1-11'!$A$3,"State","LA","SREB Type",4,"SREB Type2","Four-Year")</f>
        <v>0</v>
      </c>
      <c r="F173" s="6">
        <f>+GETPIVOTDATA(" New-Total Master's#",'Pivot Table for 1-11'!$A$3,"State","LA","SREB Type",4,"SREB Type2","Four-Year")</f>
        <v>1028</v>
      </c>
      <c r="G173" s="6">
        <f>+GETPIVOTDATA(" New-Total Doctorates#",'Pivot Table for 1-11'!$A$3,"State","LA","SREB Type",4,"SREB Type2","Four-Year")</f>
        <v>9</v>
      </c>
      <c r="H173" s="17">
        <f>+GETPIVOTDATA(" New-Law",'Pivot Table for 1-11'!$A$3,"State","LA","SREB Type",4,"SREB Type2","Four-Year")</f>
        <v>0</v>
      </c>
      <c r="I173" s="6">
        <f>+GETPIVOTDATA(" New-Medicine",'Pivot Table for 1-11'!$A$3,"State","LA","SREB Type",4,"SREB Type2","Four-Year")</f>
        <v>0</v>
      </c>
      <c r="J173" s="6">
        <f>+GETPIVOTDATA(" New-Dentistry",'Pivot Table for 1-11'!$A$3,"State","LA","SREB Type",4,"SREB Type2","Four-Year")</f>
        <v>0</v>
      </c>
      <c r="K173" s="6">
        <f>+GETPIVOTDATA(" New-Pharmacy",'Pivot Table for 1-11'!$A$3,"State","LA","SREB Type",4,"SREB Type2","Four-Year")</f>
        <v>0</v>
      </c>
      <c r="L173" s="6">
        <f>+GETPIVOTDATA(" New-Optometry",'Pivot Table for 1-11'!$A$3,"State","LA","SREB Type",4,"SREB Type2","Four-Year")</f>
        <v>0</v>
      </c>
      <c r="M173" s="6">
        <f>+GETPIVOTDATA(" New-Osteopathic Medicine",'Pivot Table for 1-11'!$A$3,"State","LA","SREB Type",4,"SREB Type2","Four-Year")</f>
        <v>0</v>
      </c>
      <c r="N173" s="181">
        <f>+GETPIVOTDATA(" New-Veterinary Medicine",'Pivot Table for 1-11'!$A$3,"State","LA","SREB Type",4,"SREB Type2","Four-Year")</f>
        <v>0</v>
      </c>
      <c r="O173" s="198">
        <f>+GETPIVOTDATA(" New-Oth PP",'Pivot Table for 1-11'!$A$3,"State","LA","SREB Type",4,"SREB Type2","Four-Year")</f>
        <v>0</v>
      </c>
      <c r="P173" s="182">
        <f t="shared" si="8"/>
        <v>5962</v>
      </c>
      <c r="Q173" s="186"/>
    </row>
    <row r="174" spans="1:23" ht="15" customHeight="1">
      <c r="A174" s="5" t="s">
        <v>304</v>
      </c>
      <c r="B174" s="6">
        <f>+GETPIVOTDATA(" New-Less Than 2-Year",'Pivot Table for 1-11'!$A$3,"State","MD","SREB Type",4,"SREB Type2","Four-Year")+GETPIVOTDATA(" New-2 But Less Than 4-Year",'Pivot Table for 1-11'!$A$3,"State","MD","SREB Type",4,"SREB Type2","Four-Year")</f>
        <v>30</v>
      </c>
      <c r="C174" s="6">
        <f>+GETPIVOTDATA(" New-Associate's",'Pivot Table for 1-11'!$A$3,"State","MD","SREB Type",4,"SREB Type2","Four-Year")</f>
        <v>0</v>
      </c>
      <c r="D174" s="6">
        <f>+GETPIVOTDATA(" New-Bachelor's",'Pivot Table for 1-11'!$A$3,"State","MD","SREB Type",4,"SREB Type2","Four-Year")</f>
        <v>4264</v>
      </c>
      <c r="E174" s="6">
        <f>+GETPIVOTDATA(" New-Post-Bachelor's",'Pivot Table for 1-11'!$A$3,"State","MD","SREB Type",4,"SREB Type2","Four-Year")</f>
        <v>0</v>
      </c>
      <c r="F174" s="6">
        <f>+GETPIVOTDATA(" New-Total Master's#",'Pivot Table for 1-11'!$A$3,"State","MD","SREB Type",4,"SREB Type2","Four-Year")</f>
        <v>1307</v>
      </c>
      <c r="G174" s="6">
        <f>+GETPIVOTDATA(" New-Total Doctorates#",'Pivot Table for 1-11'!$A$3,"State","MD","SREB Type",4,"SREB Type2","Four-Year")</f>
        <v>31</v>
      </c>
      <c r="H174" s="17">
        <f>+GETPIVOTDATA(" New-Law",'Pivot Table for 1-11'!$A$3,"State","MD","SREB Type",4,"SREB Type2","Four-Year")</f>
        <v>306</v>
      </c>
      <c r="I174" s="6">
        <f>+GETPIVOTDATA(" New-Medicine",'Pivot Table for 1-11'!$A$3,"State","MD","SREB Type",4,"SREB Type2","Four-Year")</f>
        <v>0</v>
      </c>
      <c r="J174" s="6">
        <f>+GETPIVOTDATA(" New-Dentistry",'Pivot Table for 1-11'!$A$3,"State","MD","SREB Type",4,"SREB Type2","Four-Year")</f>
        <v>0</v>
      </c>
      <c r="K174" s="6">
        <f>+GETPIVOTDATA(" New-Pharmacy",'Pivot Table for 1-11'!$A$3,"State","MD","SREB Type",4,"SREB Type2","Four-Year")</f>
        <v>0</v>
      </c>
      <c r="L174" s="6">
        <f>+GETPIVOTDATA(" New-Optometry",'Pivot Table for 1-11'!$A$3,"State","MD","SREB Type",4,"SREB Type2","Four-Year")</f>
        <v>0</v>
      </c>
      <c r="M174" s="6">
        <f>+GETPIVOTDATA(" New-Osteopathic Medicine",'Pivot Table for 1-11'!$A$3,"State","MD","SREB Type",4,"SREB Type2","Four-Year")</f>
        <v>0</v>
      </c>
      <c r="N174" s="181">
        <f>+GETPIVOTDATA(" New-Veterinary Medicine",'Pivot Table for 1-11'!$A$3,"State","MD","SREB Type",4,"SREB Type2","Four-Year")</f>
        <v>0</v>
      </c>
      <c r="O174" s="198">
        <f>+GETPIVOTDATA(" New-Oth PP",'Pivot Table for 1-11'!$A$3,"State","MD","SREB Type",4,"SREB Type2","Four-Year")</f>
        <v>21</v>
      </c>
      <c r="P174" s="182">
        <f t="shared" si="8"/>
        <v>5959</v>
      </c>
      <c r="Q174" s="186"/>
    </row>
    <row r="175" spans="1:23" ht="15" customHeight="1">
      <c r="A175" s="5"/>
      <c r="B175" s="6">
        <f>+GETPIVOTDATA(" New-Less Than 2-Year",'Pivot Table for 1-11'!$A$3,"State","AR","SREB Type",4,"SREB Type2","Four-Year")+GETPIVOTDATA(" New-2 But Less Than 4-Year",'Pivot Table for 1-11'!$A$3,"State","AR","SREB Type",4,"SREB Type2","Four-Year")</f>
        <v>247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181"/>
      <c r="O175" s="198"/>
      <c r="P175" s="182">
        <f t="shared" si="8"/>
        <v>247</v>
      </c>
      <c r="Q175" s="186"/>
    </row>
    <row r="176" spans="1:23" ht="15" customHeight="1">
      <c r="A176" s="5" t="s">
        <v>305</v>
      </c>
      <c r="B176" s="6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6">
        <f>+GETPIVOTDATA(" New-Associate's",'Pivot Table for 1-11'!$A$3,"State","MS","SREB Type",4,"SREB Type2","Four-Year")</f>
        <v>27</v>
      </c>
      <c r="D176" s="6">
        <f>+GETPIVOTDATA(" New-Bachelor's",'Pivot Table for 1-11'!$A$3,"State","MS","SREB Type",4,"SREB Type2","Four-Year")</f>
        <v>1345</v>
      </c>
      <c r="E176" s="6">
        <f>+GETPIVOTDATA(" New-Post-Bachelor's",'Pivot Table for 1-11'!$A$3,"State","MS","SREB Type",4,"SREB Type2","Four-Year")</f>
        <v>0</v>
      </c>
      <c r="F176" s="6">
        <f>+GETPIVOTDATA(" New-Total Master's#",'Pivot Table for 1-11'!$A$3,"State","MS","SREB Type",4,"SREB Type2","Four-Year")</f>
        <v>566</v>
      </c>
      <c r="G176" s="6">
        <f>+GETPIVOTDATA(" New-Total Doctorates#",'Pivot Table for 1-11'!$A$3,"State","MS","SREB Type",4,"SREB Type2","Four-Year")</f>
        <v>5</v>
      </c>
      <c r="H176" s="17">
        <f>+GETPIVOTDATA(" New-Law",'Pivot Table for 1-11'!$A$3,"State","MS","SREB Type",4,"SREB Type2","Four-Year")</f>
        <v>0</v>
      </c>
      <c r="I176" s="6">
        <f>+GETPIVOTDATA(" New-Medicine",'Pivot Table for 1-11'!$A$3,"State","MS","SREB Type",4,"SREB Type2","Four-Year")</f>
        <v>0</v>
      </c>
      <c r="J176" s="6">
        <f>+GETPIVOTDATA(" New-Dentistry",'Pivot Table for 1-11'!$A$3,"State","MS","SREB Type",4,"SREB Type2","Four-Year")</f>
        <v>0</v>
      </c>
      <c r="K176" s="6">
        <f>+GETPIVOTDATA(" New-Pharmacy",'Pivot Table for 1-11'!$A$3,"State","MS","SREB Type",4,"SREB Type2","Four-Year")</f>
        <v>0</v>
      </c>
      <c r="L176" s="6">
        <f>+GETPIVOTDATA(" New-Optometry",'Pivot Table for 1-11'!$A$3,"State","MS","SREB Type",4,"SREB Type2","Four-Year")</f>
        <v>0</v>
      </c>
      <c r="M176" s="6">
        <f>+GETPIVOTDATA(" New-Osteopathic Medicine",'Pivot Table for 1-11'!$A$3,"State","MS","SREB Type",4,"SREB Type2","Four-Year")</f>
        <v>0</v>
      </c>
      <c r="N176" s="181">
        <f>+GETPIVOTDATA(" New-Veterinary Medicine",'Pivot Table for 1-11'!$A$3,"State","MS","SREB Type",4,"SREB Type2","Four-Year")</f>
        <v>0</v>
      </c>
      <c r="O176" s="198">
        <f>+GETPIVOTDATA(" New-Oth PP",'Pivot Table for 1-11'!$A$3,"State","MS","SREB Type",4,"SREB Type2","Four-Year")</f>
        <v>0</v>
      </c>
      <c r="P176" s="182">
        <f t="shared" si="8"/>
        <v>1943</v>
      </c>
      <c r="Q176" s="186"/>
    </row>
    <row r="177" spans="1:17" ht="15" customHeight="1">
      <c r="A177" s="5" t="s">
        <v>306</v>
      </c>
      <c r="B177" s="6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6">
        <f>+GETPIVOTDATA(" New-Associate's",'Pivot Table for 1-11'!$A$3,"State","NC","SREB Type",4,"SREB Type2","Four-Year")</f>
        <v>0</v>
      </c>
      <c r="D177" s="6">
        <f>+GETPIVOTDATA(" New-Bachelor's",'Pivot Table for 1-11'!$A$3,"State","NC","SREB Type",4,"SREB Type2","Four-Year")</f>
        <v>773</v>
      </c>
      <c r="E177" s="6">
        <f>+GETPIVOTDATA(" New-Post-Bachelor's",'Pivot Table for 1-11'!$A$3,"State","NC","SREB Type",4,"SREB Type2","Four-Year")</f>
        <v>0</v>
      </c>
      <c r="F177" s="6">
        <f>+GETPIVOTDATA(" New-Total Master's#",'Pivot Table for 1-11'!$A$3,"State","NC","SREB Type",4,"SREB Type2","Four-Year")</f>
        <v>145</v>
      </c>
      <c r="G177" s="6">
        <f>+GETPIVOTDATA(" New-Total Doctorates#",'Pivot Table for 1-11'!$A$3,"State","NC","SREB Type",4,"SREB Type2","Four-Year")</f>
        <v>9</v>
      </c>
      <c r="H177" s="17">
        <f>+GETPIVOTDATA(" New-Law",'Pivot Table for 1-11'!$A$3,"State","NC","SREB Type",4,"SREB Type2","Four-Year")</f>
        <v>0</v>
      </c>
      <c r="I177" s="6">
        <f>+GETPIVOTDATA(" New-Medicine",'Pivot Table for 1-11'!$A$3,"State","NC","SREB Type",4,"SREB Type2","Four-Year")</f>
        <v>0</v>
      </c>
      <c r="J177" s="6">
        <f>+GETPIVOTDATA(" New-Dentistry",'Pivot Table for 1-11'!$A$3,"State","NC","SREB Type",4,"SREB Type2","Four-Year")</f>
        <v>0</v>
      </c>
      <c r="K177" s="6">
        <f>+GETPIVOTDATA(" New-Pharmacy",'Pivot Table for 1-11'!$A$3,"State","NC","SREB Type",4,"SREB Type2","Four-Year")</f>
        <v>0</v>
      </c>
      <c r="L177" s="6">
        <f>+GETPIVOTDATA(" New-Optometry",'Pivot Table for 1-11'!$A$3,"State","NC","SREB Type",4,"SREB Type2","Four-Year")</f>
        <v>0</v>
      </c>
      <c r="M177" s="6">
        <f>+GETPIVOTDATA(" New-Osteopathic Medicine",'Pivot Table for 1-11'!$A$3,"State","NC","SREB Type",4,"SREB Type2","Four-Year")</f>
        <v>0</v>
      </c>
      <c r="N177" s="181">
        <f>+GETPIVOTDATA(" New-Veterinary Medicine",'Pivot Table for 1-11'!$A$3,"State","NC","SREB Type",4,"SREB Type2","Four-Year")</f>
        <v>0</v>
      </c>
      <c r="O177" s="198">
        <f>+GETPIVOTDATA(" New-Oth PP",'Pivot Table for 1-11'!$A$3,"State","NC","SREB Type",4,"SREB Type2","Four-Year")</f>
        <v>0</v>
      </c>
      <c r="P177" s="182">
        <f t="shared" si="8"/>
        <v>927</v>
      </c>
      <c r="Q177" s="186"/>
    </row>
    <row r="178" spans="1:17" ht="15" customHeight="1">
      <c r="A178" s="5" t="s">
        <v>307</v>
      </c>
      <c r="B178" s="6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6">
        <f>+GETPIVOTDATA(" New-Associate's",'Pivot Table for 1-11'!$A$3,"State","OK","SREB Type",4,"SREB Type2","Four-Year")</f>
        <v>0</v>
      </c>
      <c r="D178" s="6">
        <f>+GETPIVOTDATA(" New-Bachelor's",'Pivot Table for 1-11'!$A$3,"State","OK","SREB Type",4,"SREB Type2","Four-Year")</f>
        <v>0</v>
      </c>
      <c r="E178" s="6">
        <f>+GETPIVOTDATA(" New-Post-Bachelor's",'Pivot Table for 1-11'!$A$3,"State","OK","SREB Type",4,"SREB Type2","Four-Year")</f>
        <v>0</v>
      </c>
      <c r="F178" s="6">
        <f>+GETPIVOTDATA(" New-Total Master's#",'Pivot Table for 1-11'!$A$3,"State","OK","SREB Type",4,"SREB Type2","Four-Year")</f>
        <v>0</v>
      </c>
      <c r="G178" s="6">
        <f>+GETPIVOTDATA(" New-Total Doctorates#",'Pivot Table for 1-11'!$A$3,"State","OK","SREB Type",4,"SREB Type2","Four-Year")</f>
        <v>0</v>
      </c>
      <c r="H178" s="17">
        <f>+GETPIVOTDATA(" New-Law",'Pivot Table for 1-11'!$A$3,"State","OK","SREB Type",4,"SREB Type2","Four-Year")</f>
        <v>0</v>
      </c>
      <c r="I178" s="6">
        <f>+GETPIVOTDATA(" New-Medicine",'Pivot Table for 1-11'!$A$3,"State","OK","SREB Type",4,"SREB Type2","Four-Year")</f>
        <v>0</v>
      </c>
      <c r="J178" s="6">
        <f>+GETPIVOTDATA(" New-Dentistry",'Pivot Table for 1-11'!$A$3,"State","OK","SREB Type",4,"SREB Type2","Four-Year")</f>
        <v>0</v>
      </c>
      <c r="K178" s="6">
        <f>+GETPIVOTDATA(" New-Pharmacy",'Pivot Table for 1-11'!$A$3,"State","OK","SREB Type",4,"SREB Type2","Four-Year")</f>
        <v>0</v>
      </c>
      <c r="L178" s="6">
        <f>+GETPIVOTDATA(" New-Optometry",'Pivot Table for 1-11'!$A$3,"State","OK","SREB Type",4,"SREB Type2","Four-Year")</f>
        <v>0</v>
      </c>
      <c r="M178" s="6">
        <f>+GETPIVOTDATA(" New-Osteopathic Medicine",'Pivot Table for 1-11'!$A$3,"State","OK","SREB Type",4,"SREB Type2","Four-Year")</f>
        <v>0</v>
      </c>
      <c r="N178" s="181">
        <f>+GETPIVOTDATA(" New-Veterinary Medicine",'Pivot Table for 1-11'!$A$3,"State","OK","SREB Type",4,"SREB Type2","Four-Year")</f>
        <v>0</v>
      </c>
      <c r="O178" s="198">
        <f>+GETPIVOTDATA(" New-Oth PP",'Pivot Table for 1-11'!$A$3,"State","OK","SREB Type",4,"SREB Type2","Four-Year")</f>
        <v>0</v>
      </c>
      <c r="P178" s="182">
        <f t="shared" si="8"/>
        <v>0</v>
      </c>
      <c r="Q178" s="186"/>
    </row>
    <row r="179" spans="1:17" ht="15" customHeight="1">
      <c r="A179" s="5" t="s">
        <v>308</v>
      </c>
      <c r="B179" s="6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6">
        <f>+GETPIVOTDATA(" New-Associate's",'Pivot Table for 1-11'!$A$3,"State","SC","SREB Type",4,"SREB Type2","Four-Year")</f>
        <v>0</v>
      </c>
      <c r="D179" s="6">
        <f>+GETPIVOTDATA(" New-Bachelor's",'Pivot Table for 1-11'!$A$3,"State","SC","SREB Type",4,"SREB Type2","Four-Year")</f>
        <v>483</v>
      </c>
      <c r="E179" s="6">
        <f>+GETPIVOTDATA(" New-Post-Bachelor's",'Pivot Table for 1-11'!$A$3,"State","SC","SREB Type",4,"SREB Type2","Four-Year")</f>
        <v>0</v>
      </c>
      <c r="F179" s="6">
        <f>+GETPIVOTDATA(" New-Total Master's#",'Pivot Table for 1-11'!$A$3,"State","SC","SREB Type",4,"SREB Type2","Four-Year")</f>
        <v>285</v>
      </c>
      <c r="G179" s="6">
        <f>+GETPIVOTDATA(" New-Total Doctorates#",'Pivot Table for 1-11'!$A$3,"State","SC","SREB Type",4,"SREB Type2","Four-Year")</f>
        <v>0</v>
      </c>
      <c r="H179" s="17">
        <f>+GETPIVOTDATA(" New-Law",'Pivot Table for 1-11'!$A$3,"State","SC","SREB Type",4,"SREB Type2","Four-Year")</f>
        <v>0</v>
      </c>
      <c r="I179" s="6">
        <f>+GETPIVOTDATA(" New-Medicine",'Pivot Table for 1-11'!$A$3,"State","SC","SREB Type",4,"SREB Type2","Four-Year")</f>
        <v>0</v>
      </c>
      <c r="J179" s="6">
        <f>+GETPIVOTDATA(" New-Dentistry",'Pivot Table for 1-11'!$A$3,"State","SC","SREB Type",4,"SREB Type2","Four-Year")</f>
        <v>0</v>
      </c>
      <c r="K179" s="6">
        <f>+GETPIVOTDATA(" New-Pharmacy",'Pivot Table for 1-11'!$A$3,"State","SC","SREB Type",4,"SREB Type2","Four-Year")</f>
        <v>0</v>
      </c>
      <c r="L179" s="6">
        <f>+GETPIVOTDATA(" New-Optometry",'Pivot Table for 1-11'!$A$3,"State","SC","SREB Type",4,"SREB Type2","Four-Year")</f>
        <v>0</v>
      </c>
      <c r="M179" s="6">
        <f>+GETPIVOTDATA(" New-Osteopathic Medicine",'Pivot Table for 1-11'!$A$3,"State","SC","SREB Type",4,"SREB Type2","Four-Year")</f>
        <v>0</v>
      </c>
      <c r="N179" s="181">
        <f>+GETPIVOTDATA(" New-Veterinary Medicine",'Pivot Table for 1-11'!$A$3,"State","SC","SREB Type",4,"SREB Type2","Four-Year")</f>
        <v>0</v>
      </c>
      <c r="O179" s="198">
        <f>+GETPIVOTDATA(" New-Oth PP",'Pivot Table for 1-11'!$A$3,"State","SC","SREB Type",4,"SREB Type2","Four-Year")</f>
        <v>0</v>
      </c>
      <c r="P179" s="182">
        <f t="shared" si="8"/>
        <v>768</v>
      </c>
      <c r="Q179" s="186"/>
    </row>
    <row r="180" spans="1:17" ht="15" customHeight="1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181"/>
      <c r="O180" s="198"/>
      <c r="P180" s="182"/>
      <c r="Q180" s="186"/>
    </row>
    <row r="181" spans="1:17" ht="15" customHeight="1">
      <c r="A181" s="5" t="s">
        <v>309</v>
      </c>
      <c r="B181" s="6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6">
        <f>+GETPIVOTDATA(" New-Associate's",'Pivot Table for 1-11'!$A$3,"State","TN","SREB Type",4,"SREB Type2","Four-Year")</f>
        <v>138</v>
      </c>
      <c r="D181" s="6">
        <f>+GETPIVOTDATA(" New-Bachelor's",'Pivot Table for 1-11'!$A$3,"State","TN","SREB Type",4,"SREB Type2","Four-Year")</f>
        <v>1004</v>
      </c>
      <c r="E181" s="6">
        <f>+GETPIVOTDATA(" New-Post-Bachelor's",'Pivot Table for 1-11'!$A$3,"State","TN","SREB Type",4,"SREB Type2","Four-Year")</f>
        <v>0</v>
      </c>
      <c r="F181" s="6">
        <f>+GETPIVOTDATA(" New-Total Master's#",'Pivot Table for 1-11'!$A$3,"State","TN","SREB Type",4,"SREB Type2","Four-Year")</f>
        <v>254</v>
      </c>
      <c r="G181" s="6">
        <f>+GETPIVOTDATA(" New-Total Doctorates#",'Pivot Table for 1-11'!$A$3,"State","TN","SREB Type",4,"SREB Type2","Four-Year")</f>
        <v>0</v>
      </c>
      <c r="H181" s="17">
        <f>+GETPIVOTDATA(" New-Law",'Pivot Table for 1-11'!$A$3,"State","TN","SREB Type",4,"SREB Type2","Four-Year")</f>
        <v>0</v>
      </c>
      <c r="I181" s="6">
        <f>+GETPIVOTDATA(" New-Medicine",'Pivot Table for 1-11'!$A$3,"State","TN","SREB Type",4,"SREB Type2","Four-Year")</f>
        <v>0</v>
      </c>
      <c r="J181" s="6">
        <f>+GETPIVOTDATA(" New-Dentistry",'Pivot Table for 1-11'!$A$3,"State","TN","SREB Type",4,"SREB Type2","Four-Year")</f>
        <v>0</v>
      </c>
      <c r="K181" s="6">
        <f>+GETPIVOTDATA(" New-Pharmacy",'Pivot Table for 1-11'!$A$3,"State","TN","SREB Type",4,"SREB Type2","Four-Year")</f>
        <v>0</v>
      </c>
      <c r="L181" s="6">
        <f>+GETPIVOTDATA(" New-Optometry",'Pivot Table for 1-11'!$A$3,"State","TN","SREB Type",4,"SREB Type2","Four-Year")</f>
        <v>0</v>
      </c>
      <c r="M181" s="6">
        <f>+GETPIVOTDATA(" New-Osteopathic Medicine",'Pivot Table for 1-11'!$A$3,"State","TN","SREB Type",4,"SREB Type2","Four-Year")</f>
        <v>0</v>
      </c>
      <c r="N181" s="181">
        <f>+GETPIVOTDATA(" New-Veterinary Medicine",'Pivot Table for 1-11'!$A$3,"State","TN","SREB Type",4,"SREB Type2","Four-Year")</f>
        <v>0</v>
      </c>
      <c r="O181" s="198"/>
      <c r="P181" s="182">
        <f t="shared" si="8"/>
        <v>1396</v>
      </c>
      <c r="Q181" s="186"/>
    </row>
    <row r="182" spans="1:17" ht="15" customHeight="1">
      <c r="A182" s="5" t="s">
        <v>310</v>
      </c>
      <c r="B182" s="6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6">
        <f>+GETPIVOTDATA(" New-Associate's",'Pivot Table for 1-11'!$A$3,"State","TX","SREB Type",4,"SREB Type2","Four-Year")</f>
        <v>0</v>
      </c>
      <c r="D182" s="6">
        <f>+GETPIVOTDATA(" New-Bachelor's",'Pivot Table for 1-11'!$A$3,"State","TX","SREB Type",4,"SREB Type2","Four-Year")</f>
        <v>2396</v>
      </c>
      <c r="E182" s="6">
        <f>+GETPIVOTDATA(" New-Post-Bachelor's",'Pivot Table for 1-11'!$A$3,"State","TX","SREB Type",4,"SREB Type2","Four-Year")</f>
        <v>0</v>
      </c>
      <c r="F182" s="6">
        <f>+GETPIVOTDATA(" New-Total Master's#",'Pivot Table for 1-11'!$A$3,"State","TX","SREB Type",4,"SREB Type2","Four-Year")</f>
        <v>934</v>
      </c>
      <c r="G182" s="6">
        <f>+GETPIVOTDATA(" New-Total Doctorates#",'Pivot Table for 1-11'!$A$3,"State","TX","SREB Type",4,"SREB Type2","Four-Year")</f>
        <v>0</v>
      </c>
      <c r="H182" s="17">
        <f>+GETPIVOTDATA(" New-Law",'Pivot Table for 1-11'!$A$3,"State","TX","SREB Type",4,"SREB Type2","Four-Year")</f>
        <v>0</v>
      </c>
      <c r="I182" s="6">
        <f>+GETPIVOTDATA(" New-Medicine",'Pivot Table for 1-11'!$A$3,"State","TX","SREB Type",4,"SREB Type2","Four-Year")</f>
        <v>0</v>
      </c>
      <c r="J182" s="6">
        <f>+GETPIVOTDATA(" New-Dentistry",'Pivot Table for 1-11'!$A$3,"State","TX","SREB Type",4,"SREB Type2","Four-Year")</f>
        <v>0</v>
      </c>
      <c r="K182" s="6">
        <f>+GETPIVOTDATA(" New-Pharmacy",'Pivot Table for 1-11'!$A$3,"State","TX","SREB Type",4,"SREB Type2","Four-Year")</f>
        <v>0</v>
      </c>
      <c r="L182" s="6">
        <f>+GETPIVOTDATA(" New-Optometry",'Pivot Table for 1-11'!$A$3,"State","TX","SREB Type",4,"SREB Type2","Four-Year")</f>
        <v>0</v>
      </c>
      <c r="M182" s="6">
        <f>+GETPIVOTDATA(" New-Osteopathic Medicine",'Pivot Table for 1-11'!$A$3,"State","TX","SREB Type",4,"SREB Type2","Four-Year")</f>
        <v>0</v>
      </c>
      <c r="N182" s="181">
        <f>+GETPIVOTDATA(" New-Veterinary Medicine",'Pivot Table for 1-11'!$A$3,"State","TX","SREB Type",4,"SREB Type2","Four-Year")</f>
        <v>0</v>
      </c>
      <c r="O182" s="198"/>
      <c r="P182" s="182">
        <f t="shared" si="8"/>
        <v>3330</v>
      </c>
      <c r="Q182" s="186"/>
    </row>
    <row r="183" spans="1:17" ht="15" customHeight="1">
      <c r="A183" s="5" t="s">
        <v>311</v>
      </c>
      <c r="B183" s="6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6">
        <f>+GETPIVOTDATA(" New-Associate's",'Pivot Table for 1-11'!$A$3,"State","VA","SREB Type",4,"SREB Type2","Four-Year")</f>
        <v>8</v>
      </c>
      <c r="D183" s="6">
        <f>+GETPIVOTDATA(" New-Bachelor's",'Pivot Table for 1-11'!$A$3,"State","VA","SREB Type",4,"SREB Type2","Four-Year")</f>
        <v>2371</v>
      </c>
      <c r="E183" s="6">
        <f>+GETPIVOTDATA(" New-Post-Bachelor's",'Pivot Table for 1-11'!$A$3,"State","VA","SREB Type",4,"SREB Type2","Four-Year")</f>
        <v>18</v>
      </c>
      <c r="F183" s="6">
        <f>+GETPIVOTDATA(" New-Total Master's#",'Pivot Table for 1-11'!$A$3,"State","VA","SREB Type",4,"SREB Type2","Four-Year")</f>
        <v>524</v>
      </c>
      <c r="G183" s="6">
        <f>+GETPIVOTDATA(" New-Total Doctorates#",'Pivot Table for 1-11'!$A$3,"State","VA","SREB Type",4,"SREB Type2","Four-Year")</f>
        <v>7</v>
      </c>
      <c r="H183" s="17">
        <f>+GETPIVOTDATA(" New-Law",'Pivot Table for 1-11'!$A$3,"State","VA","SREB Type",4,"SREB Type2","Four-Year")</f>
        <v>0</v>
      </c>
      <c r="I183" s="6">
        <f>+GETPIVOTDATA(" New-Medicine",'Pivot Table for 1-11'!$A$3,"State","VA","SREB Type",4,"SREB Type2","Four-Year")</f>
        <v>0</v>
      </c>
      <c r="J183" s="6">
        <f>+GETPIVOTDATA(" New-Dentistry",'Pivot Table for 1-11'!$A$3,"State","VA","SREB Type",4,"SREB Type2","Four-Year")</f>
        <v>0</v>
      </c>
      <c r="K183" s="6">
        <f>+GETPIVOTDATA(" New-Pharmacy",'Pivot Table for 1-11'!$A$3,"State","VA","SREB Type",4,"SREB Type2","Four-Year")</f>
        <v>0</v>
      </c>
      <c r="L183" s="6">
        <f>+GETPIVOTDATA(" New-Optometry",'Pivot Table for 1-11'!$A$3,"State","VA","SREB Type",4,"SREB Type2","Four-Year")</f>
        <v>0</v>
      </c>
      <c r="M183" s="6">
        <f>+GETPIVOTDATA(" New-Osteopathic Medicine",'Pivot Table for 1-11'!$A$3,"State","VA","SREB Type",4,"SREB Type2","Four-Year")</f>
        <v>0</v>
      </c>
      <c r="N183" s="181">
        <f>+GETPIVOTDATA(" New-Veterinary Medicine",'Pivot Table for 1-11'!$A$3,"State","VA","SREB Type",4,"SREB Type2","Four-Year")</f>
        <v>0</v>
      </c>
      <c r="O183" s="198"/>
      <c r="P183" s="182">
        <f t="shared" si="8"/>
        <v>2928</v>
      </c>
      <c r="Q183" s="186"/>
    </row>
    <row r="184" spans="1:17" ht="15" customHeight="1">
      <c r="A184" s="9" t="s">
        <v>312</v>
      </c>
      <c r="B184" s="8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8">
        <f>+GETPIVOTDATA(" New-Associate's",'Pivot Table for 1-11'!$A$3,"State","WV","SREB Type",4,"SREB Type2","Four-Year")</f>
        <v>0</v>
      </c>
      <c r="D184" s="8">
        <f>+GETPIVOTDATA(" New-Bachelor's",'Pivot Table for 1-11'!$A$3,"State","WV","SREB Type",4,"SREB Type2","Four-Year")</f>
        <v>0</v>
      </c>
      <c r="E184" s="8">
        <f>+GETPIVOTDATA(" New-Post-Bachelor's",'Pivot Table for 1-11'!$A$3,"State","WV","SREB Type",4,"SREB Type2","Four-Year")</f>
        <v>0</v>
      </c>
      <c r="F184" s="8">
        <f>+GETPIVOTDATA(" New-Total Master's#",'Pivot Table for 1-11'!$A$3,"State","WV","SREB Type",4,"SREB Type2","Four-Year")</f>
        <v>0</v>
      </c>
      <c r="G184" s="8">
        <f>+GETPIVOTDATA(" New-Total Doctorates#",'Pivot Table for 1-11'!$A$3,"State","WV","SREB Type",4,"SREB Type2","Four-Year")</f>
        <v>0</v>
      </c>
      <c r="H184" s="18">
        <f>+GETPIVOTDATA(" New-Law",'Pivot Table for 1-11'!$A$3,"State","WV","SREB Type",4,"SREB Type2","Four-Year")</f>
        <v>0</v>
      </c>
      <c r="I184" s="8">
        <f>+GETPIVOTDATA(" New-Medicine",'Pivot Table for 1-11'!$A$3,"State","WV","SREB Type",4,"SREB Type2","Four-Year")</f>
        <v>0</v>
      </c>
      <c r="J184" s="8">
        <f>+GETPIVOTDATA(" New-Dentistry",'Pivot Table for 1-11'!$A$3,"State","WV","SREB Type",4,"SREB Type2","Four-Year")</f>
        <v>0</v>
      </c>
      <c r="K184" s="8">
        <f>+GETPIVOTDATA(" New-Pharmacy",'Pivot Table for 1-11'!$A$3,"State","WV","SREB Type",4,"SREB Type2","Four-Year")</f>
        <v>0</v>
      </c>
      <c r="L184" s="8">
        <f>+GETPIVOTDATA(" New-Optometry",'Pivot Table for 1-11'!$A$3,"State","WV","SREB Type",4,"SREB Type2","Four-Year")</f>
        <v>0</v>
      </c>
      <c r="M184" s="8">
        <f>+GETPIVOTDATA(" New-Osteopathic Medicine",'Pivot Table for 1-11'!$A$3,"State","WV","SREB Type",4,"SREB Type2","Four-Year")</f>
        <v>0</v>
      </c>
      <c r="N184" s="189">
        <f>+GETPIVOTDATA(" New-Veterinary Medicine",'Pivot Table for 1-11'!$A$3,"State","WV","SREB Type",4,"SREB Type2","Four-Year")</f>
        <v>0</v>
      </c>
      <c r="O184" s="199"/>
      <c r="P184" s="183">
        <f t="shared" si="8"/>
        <v>0</v>
      </c>
      <c r="Q184" s="186"/>
    </row>
    <row r="185" spans="1:17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181"/>
      <c r="O185" s="181"/>
      <c r="P185" s="181"/>
      <c r="Q185" s="186"/>
    </row>
    <row r="186" spans="1:17" ht="27" customHeight="1">
      <c r="A186" s="767" t="s">
        <v>1253</v>
      </c>
      <c r="B186" s="768"/>
      <c r="C186" s="768"/>
      <c r="D186" s="768"/>
      <c r="E186" s="768"/>
      <c r="F186" s="768"/>
      <c r="G186" s="768"/>
      <c r="H186" s="768"/>
      <c r="I186" s="768"/>
      <c r="J186" s="768"/>
      <c r="K186" s="768"/>
      <c r="L186" s="768"/>
      <c r="M186" s="768"/>
      <c r="N186" s="768"/>
      <c r="O186" s="768"/>
      <c r="P186" s="768"/>
      <c r="Q186" s="713"/>
    </row>
    <row r="187" spans="1:17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181"/>
      <c r="O187" s="181"/>
      <c r="P187" s="184" t="s">
        <v>1267</v>
      </c>
      <c r="Q187" s="714"/>
    </row>
    <row r="188" spans="1:17" ht="18">
      <c r="A188" s="22" t="s">
        <v>318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93"/>
      <c r="O188" s="93"/>
      <c r="P188" s="93"/>
      <c r="Q188" s="701" t="s">
        <v>321</v>
      </c>
    </row>
    <row r="189" spans="1:17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92"/>
      <c r="O189" s="92"/>
      <c r="P189" s="92"/>
      <c r="Q189" s="710"/>
    </row>
    <row r="190" spans="1:17" ht="15.75">
      <c r="A190" s="1" t="s">
        <v>285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93"/>
      <c r="O190" s="93"/>
      <c r="P190" s="93"/>
      <c r="Q190" s="701" t="s">
        <v>321</v>
      </c>
    </row>
    <row r="191" spans="1:17" ht="15.75">
      <c r="A191" s="1" t="s">
        <v>1261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93"/>
      <c r="O191" s="93"/>
      <c r="P191" s="93"/>
      <c r="Q191" s="701" t="s">
        <v>321</v>
      </c>
    </row>
    <row r="192" spans="1:17" ht="15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94"/>
      <c r="O192" s="94"/>
      <c r="P192" s="94"/>
      <c r="Q192" s="716"/>
    </row>
    <row r="193" spans="1:23" ht="15.75">
      <c r="A193" s="192"/>
      <c r="B193" s="192"/>
      <c r="C193" s="192"/>
      <c r="D193" s="192"/>
      <c r="E193" s="192"/>
      <c r="F193" s="192"/>
      <c r="G193" s="192"/>
      <c r="H193" s="196" t="s">
        <v>1254</v>
      </c>
      <c r="I193" s="26"/>
      <c r="J193" s="26"/>
      <c r="K193" s="26"/>
      <c r="L193" s="26"/>
      <c r="M193" s="26"/>
      <c r="N193" s="193"/>
      <c r="O193" s="200"/>
      <c r="P193" s="195" t="s">
        <v>321</v>
      </c>
      <c r="Q193" s="716"/>
      <c r="R193" s="696"/>
      <c r="W193" s="696"/>
    </row>
    <row r="194" spans="1:23" ht="50.25" customHeight="1">
      <c r="A194" s="14"/>
      <c r="B194" s="15" t="s">
        <v>696</v>
      </c>
      <c r="C194" s="15" t="s">
        <v>286</v>
      </c>
      <c r="D194" s="15" t="s">
        <v>278</v>
      </c>
      <c r="E194" s="15" t="s">
        <v>279</v>
      </c>
      <c r="F194" s="15" t="s">
        <v>288</v>
      </c>
      <c r="G194" s="15" t="s">
        <v>289</v>
      </c>
      <c r="H194" s="16" t="s">
        <v>290</v>
      </c>
      <c r="I194" s="15" t="s">
        <v>291</v>
      </c>
      <c r="J194" s="15" t="s">
        <v>292</v>
      </c>
      <c r="K194" s="15" t="s">
        <v>283</v>
      </c>
      <c r="L194" s="15" t="s">
        <v>293</v>
      </c>
      <c r="M194" s="15" t="s">
        <v>294</v>
      </c>
      <c r="N194" s="191" t="s">
        <v>952</v>
      </c>
      <c r="O194" s="197" t="s">
        <v>689</v>
      </c>
      <c r="P194" s="191" t="s">
        <v>295</v>
      </c>
      <c r="Q194" s="717"/>
    </row>
    <row r="195" spans="1:23" ht="15" customHeight="1">
      <c r="A195" s="10" t="s">
        <v>296</v>
      </c>
      <c r="B195" s="6">
        <f>+GETPIVOTDATA(" New-Less Than 2-Year",'Pivot Table for 1-11'!$A$3,"SREB Type",5,"SREB Type2","Four-Year")+GETPIVOTDATA(" New-2 But Less Than 4-Year",'Pivot Table for 1-11'!$A$3,"SREB Type",5,"SREB Type2","Four-Year")</f>
        <v>234</v>
      </c>
      <c r="C195" s="6">
        <f>+GETPIVOTDATA(" New-Associate's",'Pivot Table for 1-11'!$A$3,"SREB Type",5,"SREB Type2","Four-Year")</f>
        <v>1069</v>
      </c>
      <c r="D195" s="6">
        <f>+GETPIVOTDATA(" New-Bachelor's",'Pivot Table for 1-11'!$A$3,"SREB Type",5,"SREB Type2","Four-Year")</f>
        <v>17850</v>
      </c>
      <c r="E195" s="6">
        <f>+GETPIVOTDATA(" New-Post-Bachelor's",'Pivot Table for 1-11'!$A$3,"SREB Type",5,"SREB Type2","Four-Year")</f>
        <v>17</v>
      </c>
      <c r="F195" s="6">
        <f>+GETPIVOTDATA(" New-Total Master's#",'Pivot Table for 1-11'!$A$3,"SREB Type",5,"SREB Type2","Four-Year")</f>
        <v>4441</v>
      </c>
      <c r="G195" s="6">
        <f>+GETPIVOTDATA(" New-Total Doctorates#",'Pivot Table for 1-11'!$A$3,"SREB Type",5,"SREB Type2","Four-Year")</f>
        <v>29</v>
      </c>
      <c r="H195" s="17">
        <f>+GETPIVOTDATA(" New-Law",'Pivot Table for 1-11'!$A$3,"SREB Type",5,"SREB Type2","Four-Year")</f>
        <v>0</v>
      </c>
      <c r="I195" s="6">
        <f>+GETPIVOTDATA(" New-Medicine",'Pivot Table for 1-11'!$A$3,"SREB Type",5,"SREB Type2","Four-Year")</f>
        <v>0</v>
      </c>
      <c r="J195" s="6">
        <f>+GETPIVOTDATA(" New-Dentistry",'Pivot Table for 1-11'!$A$3,"SREB Type",5,"SREB Type2","Four-Year")</f>
        <v>0</v>
      </c>
      <c r="K195" s="6">
        <f>+GETPIVOTDATA(" New-Pharmacy",'Pivot Table for 1-11'!$A$3,"SREB Type",5,"SREB Type2","Four-Year")</f>
        <v>80</v>
      </c>
      <c r="L195" s="6">
        <f>+GETPIVOTDATA(" New-Optometry",'Pivot Table for 1-11'!$A$3,"SREB Type",5,"SREB Type2","Four-Year")</f>
        <v>0</v>
      </c>
      <c r="M195" s="6">
        <f>+GETPIVOTDATA(" New-Osteopathic Medicine",'Pivot Table for 1-11'!$A$3,"SREB Type",5,"SREB Type2","Four-Year")</f>
        <v>0</v>
      </c>
      <c r="N195" s="181">
        <f>+GETPIVOTDATA(" New-Veterinary Medicine",'Pivot Table for 1-11'!$A$3,"SREB Type",5,"SREB Type2","Four-Year")</f>
        <v>0</v>
      </c>
      <c r="O195" s="198">
        <f>+GETPIVOTDATA(" New-Oth PP",'Pivot Table for 1-11'!$A$3,"SREB Type",5,"SREB Type2","Four-Year")</f>
        <v>11</v>
      </c>
      <c r="P195" s="182">
        <f>SUM(B195:O195)</f>
        <v>23731</v>
      </c>
      <c r="Q195" s="186"/>
    </row>
    <row r="196" spans="1:23" ht="15" customHeight="1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181"/>
      <c r="O196" s="198"/>
      <c r="P196" s="182"/>
      <c r="Q196" s="186"/>
    </row>
    <row r="197" spans="1:23" ht="15" customHeight="1">
      <c r="A197" s="5" t="s">
        <v>297</v>
      </c>
      <c r="B197" s="6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6">
        <f>+GETPIVOTDATA(" New-Associate's",'Pivot Table for 1-11'!$A$3,"State","AL","SREB Type",5,"SREB Type2","Four-Year")</f>
        <v>39</v>
      </c>
      <c r="D197" s="6">
        <f>+GETPIVOTDATA(" New-Bachelor's",'Pivot Table for 1-11'!$A$3,"State","AL","SREB Type",5,"SREB Type2","Four-Year")</f>
        <v>656</v>
      </c>
      <c r="E197" s="6">
        <f>+GETPIVOTDATA(" New-Post-Bachelor's",'Pivot Table for 1-11'!$A$3,"State","AL","SREB Type",5,"SREB Type2","Four-Year")</f>
        <v>0</v>
      </c>
      <c r="F197" s="6">
        <f>+GETPIVOTDATA(" New-Total Master's#",'Pivot Table for 1-11'!$A$3,"State","AL","SREB Type",5,"SREB Type2","Four-Year")</f>
        <v>1016</v>
      </c>
      <c r="G197" s="6">
        <f>+GETPIVOTDATA(" New-Total Doctorates#",'Pivot Table for 1-11'!$A$3,"State","AL","SREB Type",5,"SREB Type2","Four-Year")</f>
        <v>0</v>
      </c>
      <c r="H197" s="17">
        <f>+GETPIVOTDATA(" New-Law",'Pivot Table for 1-11'!$A$3,"State","AL","SREB Type",5,"SREB Type2","Four-Year")</f>
        <v>0</v>
      </c>
      <c r="I197" s="6">
        <f>+GETPIVOTDATA(" New-Medicine",'Pivot Table for 1-11'!$A$3,"State","AL","SREB Type",5,"SREB Type2","Four-Year")</f>
        <v>0</v>
      </c>
      <c r="J197" s="6">
        <f>+GETPIVOTDATA(" New-Dentistry",'Pivot Table for 1-11'!$A$3,"State","AL","SREB Type",5,"SREB Type2","Four-Year")</f>
        <v>0</v>
      </c>
      <c r="K197" s="6">
        <f>+GETPIVOTDATA(" New-Pharmacy",'Pivot Table for 1-11'!$A$3,"State","AL","SREB Type",5,"SREB Type2","Four-Year")</f>
        <v>0</v>
      </c>
      <c r="L197" s="6">
        <f>+GETPIVOTDATA(" New-Optometry",'Pivot Table for 1-11'!$A$3,"State","AL","SREB Type",5,"SREB Type2","Four-Year")</f>
        <v>0</v>
      </c>
      <c r="M197" s="6">
        <f>+GETPIVOTDATA(" New-Osteopathic Medicine",'Pivot Table for 1-11'!$A$3,"State","AL","SREB Type",5,"SREB Type2","Four-Year")</f>
        <v>0</v>
      </c>
      <c r="N197" s="181">
        <f>+GETPIVOTDATA(" New-Veterinary Medicine",'Pivot Table for 1-11'!$A$3,"State","AL","SREB Type",5,"SREB Type2","Four-Year")</f>
        <v>0</v>
      </c>
      <c r="O197" s="198">
        <f>+GETPIVOTDATA(" New-Oth PP",'Pivot Table for 1-11'!$A$3,"State","AL","SREB Type",5,"SREB Type2","Four-Year")</f>
        <v>0</v>
      </c>
      <c r="P197" s="182">
        <f t="shared" ref="P197:P215" si="9">SUM(B197:O197)</f>
        <v>1711</v>
      </c>
      <c r="Q197" s="186"/>
    </row>
    <row r="198" spans="1:23" ht="15" customHeight="1">
      <c r="A198" s="5" t="s">
        <v>298</v>
      </c>
      <c r="B198" s="6">
        <f>+GETPIVOTDATA(" New-Less Than 2-Year",'Pivot Table for 1-11'!$A$3,"State","AR","SREB Type",5,"SREB Type2","Four-Year")+GETPIVOTDATA(" New-2 But Less Than 4-Year",'Pivot Table for 1-11'!$A$3,"State","AR","SREB Type",5,"SREB Type2","Four-Year")</f>
        <v>233</v>
      </c>
      <c r="C198" s="6">
        <f>+GETPIVOTDATA(" New-Associate's",'Pivot Table for 1-11'!$A$3,"State","AR","SREB Type",5,"SREB Type2","Four-Year")</f>
        <v>303</v>
      </c>
      <c r="D198" s="6">
        <f>+GETPIVOTDATA(" New-Bachelor's",'Pivot Table for 1-11'!$A$3,"State","AR","SREB Type",5,"SREB Type2","Four-Year")</f>
        <v>635</v>
      </c>
      <c r="E198" s="6">
        <f>+GETPIVOTDATA(" New-Post-Bachelor's",'Pivot Table for 1-11'!$A$3,"State","AR","SREB Type",5,"SREB Type2","Four-Year")</f>
        <v>0</v>
      </c>
      <c r="F198" s="6">
        <f>+GETPIVOTDATA(" New-Total Master's#",'Pivot Table for 1-11'!$A$3,"State","AR","SREB Type",5,"SREB Type2","Four-Year")</f>
        <v>181</v>
      </c>
      <c r="G198" s="6">
        <f>+GETPIVOTDATA(" New-Total Doctorates#",'Pivot Table for 1-11'!$A$3,"State","AR","SREB Type",5,"SREB Type2","Four-Year")</f>
        <v>0</v>
      </c>
      <c r="H198" s="17">
        <f>+GETPIVOTDATA(" New-Law",'Pivot Table for 1-11'!$A$3,"State","AR","SREB Type",5,"SREB Type2","Four-Year")</f>
        <v>0</v>
      </c>
      <c r="I198" s="6">
        <f>+GETPIVOTDATA(" New-Medicine",'Pivot Table for 1-11'!$A$3,"State","AR","SREB Type",5,"SREB Type2","Four-Year")</f>
        <v>0</v>
      </c>
      <c r="J198" s="6">
        <f>+GETPIVOTDATA(" New-Dentistry",'Pivot Table for 1-11'!$A$3,"State","AR","SREB Type",5,"SREB Type2","Four-Year")</f>
        <v>0</v>
      </c>
      <c r="K198" s="6">
        <f>+GETPIVOTDATA(" New-Pharmacy",'Pivot Table for 1-11'!$A$3,"State","AR","SREB Type",5,"SREB Type2","Four-Year")</f>
        <v>0</v>
      </c>
      <c r="L198" s="6">
        <f>+GETPIVOTDATA(" New-Optometry",'Pivot Table for 1-11'!$A$3,"State","AR","SREB Type",5,"SREB Type2","Four-Year")</f>
        <v>0</v>
      </c>
      <c r="M198" s="6">
        <f>+GETPIVOTDATA(" New-Osteopathic Medicine",'Pivot Table for 1-11'!$A$3,"State","AR","SREB Type",5,"SREB Type2","Four-Year")</f>
        <v>0</v>
      </c>
      <c r="N198" s="181">
        <f>+GETPIVOTDATA(" New-Veterinary Medicine",'Pivot Table for 1-11'!$A$3,"State","AR","SREB Type",5,"SREB Type2","Four-Year")</f>
        <v>0</v>
      </c>
      <c r="O198" s="198">
        <f>+GETPIVOTDATA(" New-Oth PP",'Pivot Table for 1-11'!$A$3,"State","AR","SREB Type",5,"SREB Type2","Four-Year")</f>
        <v>0</v>
      </c>
      <c r="P198" s="182">
        <f t="shared" si="9"/>
        <v>1352</v>
      </c>
      <c r="Q198" s="186"/>
    </row>
    <row r="199" spans="1:23" ht="15" customHeight="1">
      <c r="A199" s="5" t="s">
        <v>299</v>
      </c>
      <c r="B199" s="6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6">
        <f>+GETPIVOTDATA(" New-Associate's",'Pivot Table for 1-11'!$A$3,"State","DE","SREB Type",5,"SREB Type2","Four-Year")</f>
        <v>0</v>
      </c>
      <c r="D199" s="6">
        <f>+GETPIVOTDATA(" New-Bachelor's",'Pivot Table for 1-11'!$A$3,"State","DE","SREB Type",5,"SREB Type2","Four-Year")</f>
        <v>0</v>
      </c>
      <c r="E199" s="6">
        <f>+GETPIVOTDATA(" New-Post-Bachelor's",'Pivot Table for 1-11'!$A$3,"State","DE","SREB Type",5,"SREB Type2","Four-Year")</f>
        <v>0</v>
      </c>
      <c r="F199" s="6">
        <f>+GETPIVOTDATA(" New-Total Master's#",'Pivot Table for 1-11'!$A$3,"State","DE","SREB Type",5,"SREB Type2","Four-Year")</f>
        <v>0</v>
      </c>
      <c r="G199" s="6">
        <f>+GETPIVOTDATA(" New-Total Doctorates#",'Pivot Table for 1-11'!$A$3,"State","DE","SREB Type",5,"SREB Type2","Four-Year")</f>
        <v>0</v>
      </c>
      <c r="H199" s="17">
        <f>+GETPIVOTDATA(" New-Law",'Pivot Table for 1-11'!$A$3,"State","DE","SREB Type",5,"SREB Type2","Four-Year")</f>
        <v>0</v>
      </c>
      <c r="I199" s="6">
        <f>+GETPIVOTDATA(" New-Medicine",'Pivot Table for 1-11'!$A$3,"State","DE","SREB Type",5,"SREB Type2","Four-Year")</f>
        <v>0</v>
      </c>
      <c r="J199" s="6">
        <f>+GETPIVOTDATA(" New-Dentistry",'Pivot Table for 1-11'!$A$3,"State","DE","SREB Type",5,"SREB Type2","Four-Year")</f>
        <v>0</v>
      </c>
      <c r="K199" s="6">
        <f>+GETPIVOTDATA(" New-Pharmacy",'Pivot Table for 1-11'!$A$3,"State","DE","SREB Type",5,"SREB Type2","Four-Year")</f>
        <v>0</v>
      </c>
      <c r="L199" s="6">
        <f>+GETPIVOTDATA(" New-Optometry",'Pivot Table for 1-11'!$A$3,"State","DE","SREB Type",5,"SREB Type2","Four-Year")</f>
        <v>0</v>
      </c>
      <c r="M199" s="6">
        <f>+GETPIVOTDATA(" New-Osteopathic Medicine",'Pivot Table for 1-11'!$A$3,"State","DE","SREB Type",5,"SREB Type2","Four-Year")</f>
        <v>0</v>
      </c>
      <c r="N199" s="181">
        <f>+GETPIVOTDATA(" New-Veterinary Medicine",'Pivot Table for 1-11'!$A$3,"State","DE","SREB Type",5,"SREB Type2","Four-Year")</f>
        <v>0</v>
      </c>
      <c r="O199" s="198">
        <f>+GETPIVOTDATA(" New-Oth PP",'Pivot Table for 1-11'!$A$3,"State","DE","SREB Type",5,"SREB Type2","Four-Year")</f>
        <v>0</v>
      </c>
      <c r="P199" s="182">
        <f t="shared" si="9"/>
        <v>0</v>
      </c>
      <c r="Q199" s="186"/>
    </row>
    <row r="200" spans="1:23" ht="15" customHeight="1">
      <c r="A200" s="5" t="s">
        <v>300</v>
      </c>
      <c r="B200" s="6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6">
        <f>+GETPIVOTDATA(" New-Associate's",'Pivot Table for 1-11'!$A$3,"State","FL","SREB Type",5,"SREB Type2","Four-Year")</f>
        <v>0</v>
      </c>
      <c r="D200" s="6">
        <f>+GETPIVOTDATA(" New-Bachelor's",'Pivot Table for 1-11'!$A$3,"State","FL","SREB Type",5,"SREB Type2","Four-Year")</f>
        <v>0</v>
      </c>
      <c r="E200" s="6">
        <f>+GETPIVOTDATA(" New-Post-Bachelor's",'Pivot Table for 1-11'!$A$3,"State","FL","SREB Type",5,"SREB Type2","Four-Year")</f>
        <v>0</v>
      </c>
      <c r="F200" s="6">
        <f>+GETPIVOTDATA(" New-Total Master's#",'Pivot Table for 1-11'!$A$3,"State","FL","SREB Type",5,"SREB Type2","Four-Year")</f>
        <v>0</v>
      </c>
      <c r="G200" s="6">
        <f>+GETPIVOTDATA(" New-Total Doctorates#",'Pivot Table for 1-11'!$A$3,"State","FL","SREB Type",5,"SREB Type2","Four-Year")</f>
        <v>0</v>
      </c>
      <c r="H200" s="17">
        <f>+GETPIVOTDATA(" New-Law",'Pivot Table for 1-11'!$A$3,"State","FL","SREB Type",5,"SREB Type2","Four-Year")</f>
        <v>0</v>
      </c>
      <c r="I200" s="6">
        <f>+GETPIVOTDATA(" New-Medicine",'Pivot Table for 1-11'!$A$3,"State","FL","SREB Type",5,"SREB Type2","Four-Year")</f>
        <v>0</v>
      </c>
      <c r="J200" s="6">
        <f>+GETPIVOTDATA(" New-Dentistry",'Pivot Table for 1-11'!$A$3,"State","FL","SREB Type",5,"SREB Type2","Four-Year")</f>
        <v>0</v>
      </c>
      <c r="K200" s="6">
        <f>+GETPIVOTDATA(" New-Pharmacy",'Pivot Table for 1-11'!$A$3,"State","FL","SREB Type",5,"SREB Type2","Four-Year")</f>
        <v>0</v>
      </c>
      <c r="L200" s="6">
        <f>+GETPIVOTDATA(" New-Optometry",'Pivot Table for 1-11'!$A$3,"State","FL","SREB Type",5,"SREB Type2","Four-Year")</f>
        <v>0</v>
      </c>
      <c r="M200" s="6">
        <f>+GETPIVOTDATA(" New-Osteopathic Medicine",'Pivot Table for 1-11'!$A$3,"State","FL","SREB Type",5,"SREB Type2","Four-Year")</f>
        <v>0</v>
      </c>
      <c r="N200" s="181">
        <f>+GETPIVOTDATA(" New-Veterinary Medicine",'Pivot Table for 1-11'!$A$3,"State","FL","SREB Type",5,"SREB Type2","Four-Year")</f>
        <v>0</v>
      </c>
      <c r="O200" s="198">
        <f>+GETPIVOTDATA(" New-Oth PP",'Pivot Table for 1-11'!$A$3,"State","FL","SREB Type",5,"SREB Type2","Four-Year")</f>
        <v>0</v>
      </c>
      <c r="P200" s="182">
        <f t="shared" si="9"/>
        <v>0</v>
      </c>
      <c r="Q200" s="186"/>
    </row>
    <row r="201" spans="1:23" ht="15" customHeight="1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181"/>
      <c r="O201" s="198"/>
      <c r="P201" s="182">
        <f t="shared" si="9"/>
        <v>0</v>
      </c>
      <c r="Q201" s="186"/>
    </row>
    <row r="202" spans="1:23" ht="15" customHeight="1">
      <c r="A202" s="5" t="s">
        <v>301</v>
      </c>
      <c r="B202" s="6">
        <f>+GETPIVOTDATA(" New-Less Than 2-Year",'Pivot Table for 1-11'!$A$3,"State","GA","SREB Type",5,"SREB Type2","Four-Year")+GETPIVOTDATA(" New-2 But Less Than 4-Year",'Pivot Table for 1-11'!$A$3,"State","GA","SREB Type",5,"SREB Type2","Four-Year")</f>
        <v>1</v>
      </c>
      <c r="C202" s="6">
        <f>+GETPIVOTDATA(" New-Associate's",'Pivot Table for 1-11'!$A$3,"State","GA","SREB Type",5,"SREB Type2","Four-Year")</f>
        <v>241</v>
      </c>
      <c r="D202" s="6">
        <f>+GETPIVOTDATA(" New-Bachelor's",'Pivot Table for 1-11'!$A$3,"State","GA","SREB Type",5,"SREB Type2","Four-Year")</f>
        <v>2330</v>
      </c>
      <c r="E202" s="6">
        <f>+GETPIVOTDATA(" New-Post-Bachelor's",'Pivot Table for 1-11'!$A$3,"State","GA","SREB Type",5,"SREB Type2","Four-Year")</f>
        <v>0</v>
      </c>
      <c r="F202" s="6">
        <f>+GETPIVOTDATA(" New-Total Master's#",'Pivot Table for 1-11'!$A$3,"State","GA","SREB Type",5,"SREB Type2","Four-Year")</f>
        <v>840</v>
      </c>
      <c r="G202" s="6">
        <f>+GETPIVOTDATA(" New-Total Doctorates#",'Pivot Table for 1-11'!$A$3,"State","GA","SREB Type",5,"SREB Type2","Four-Year")</f>
        <v>0</v>
      </c>
      <c r="H202" s="17">
        <f>+GETPIVOTDATA(" New-Law",'Pivot Table for 1-11'!$A$3,"State","GA","SREB Type",5,"SREB Type2","Four-Year")</f>
        <v>0</v>
      </c>
      <c r="I202" s="6">
        <f>+GETPIVOTDATA(" New-Medicine",'Pivot Table for 1-11'!$A$3,"State","GA","SREB Type",5,"SREB Type2","Four-Year")</f>
        <v>0</v>
      </c>
      <c r="J202" s="6">
        <f>+GETPIVOTDATA(" New-Dentistry",'Pivot Table for 1-11'!$A$3,"State","GA","SREB Type",5,"SREB Type2","Four-Year")</f>
        <v>0</v>
      </c>
      <c r="K202" s="6">
        <f>+GETPIVOTDATA(" New-Pharmacy",'Pivot Table for 1-11'!$A$3,"State","GA","SREB Type",5,"SREB Type2","Four-Year")</f>
        <v>0</v>
      </c>
      <c r="L202" s="6">
        <f>+GETPIVOTDATA(" New-Optometry",'Pivot Table for 1-11'!$A$3,"State","GA","SREB Type",5,"SREB Type2","Four-Year")</f>
        <v>0</v>
      </c>
      <c r="M202" s="6">
        <f>+GETPIVOTDATA(" New-Osteopathic Medicine",'Pivot Table for 1-11'!$A$3,"State","GA","SREB Type",5,"SREB Type2","Four-Year")</f>
        <v>0</v>
      </c>
      <c r="N202" s="181">
        <f>+GETPIVOTDATA(" New-Veterinary Medicine",'Pivot Table for 1-11'!$A$3,"State","GA","SREB Type",5,"SREB Type2","Four-Year")</f>
        <v>0</v>
      </c>
      <c r="O202" s="198">
        <f>+GETPIVOTDATA(" New-Oth PP",'Pivot Table for 1-11'!$A$3,"State","GA","SREB Type",5,"SREB Type2","Four-Year")</f>
        <v>0</v>
      </c>
      <c r="P202" s="182">
        <f t="shared" si="9"/>
        <v>3412</v>
      </c>
      <c r="Q202" s="186"/>
    </row>
    <row r="203" spans="1:23" ht="15" customHeight="1">
      <c r="A203" s="5" t="s">
        <v>302</v>
      </c>
      <c r="B203" s="6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6">
        <f>+GETPIVOTDATA(" New-Associate's",'Pivot Table for 1-11'!$A$3,"State","KY","SREB Type",5,"SREB Type2","Four-Year")</f>
        <v>39</v>
      </c>
      <c r="D203" s="6">
        <f>+GETPIVOTDATA(" New-Bachelor's",'Pivot Table for 1-11'!$A$3,"State","KY","SREB Type",5,"SREB Type2","Four-Year")</f>
        <v>184</v>
      </c>
      <c r="E203" s="6">
        <f>+GETPIVOTDATA(" New-Post-Bachelor's",'Pivot Table for 1-11'!$A$3,"State","KY","SREB Type",5,"SREB Type2","Four-Year")</f>
        <v>0</v>
      </c>
      <c r="F203" s="6">
        <f>+GETPIVOTDATA(" New-Total Master's#",'Pivot Table for 1-11'!$A$3,"State","KY","SREB Type",5,"SREB Type2","Four-Year")</f>
        <v>40</v>
      </c>
      <c r="G203" s="6">
        <f>+GETPIVOTDATA(" New-Total Doctorates#",'Pivot Table for 1-11'!$A$3,"State","KY","SREB Type",5,"SREB Type2","Four-Year")</f>
        <v>0</v>
      </c>
      <c r="H203" s="17">
        <f>+GETPIVOTDATA(" New-Law",'Pivot Table for 1-11'!$A$3,"State","KY","SREB Type",5,"SREB Type2","Four-Year")</f>
        <v>0</v>
      </c>
      <c r="I203" s="6">
        <f>+GETPIVOTDATA(" New-Medicine",'Pivot Table for 1-11'!$A$3,"State","KY","SREB Type",5,"SREB Type2","Four-Year")</f>
        <v>0</v>
      </c>
      <c r="J203" s="6">
        <f>+GETPIVOTDATA(" New-Dentistry",'Pivot Table for 1-11'!$A$3,"State","KY","SREB Type",5,"SREB Type2","Four-Year")</f>
        <v>0</v>
      </c>
      <c r="K203" s="6">
        <f>+GETPIVOTDATA(" New-Pharmacy",'Pivot Table for 1-11'!$A$3,"State","KY","SREB Type",5,"SREB Type2","Four-Year")</f>
        <v>0</v>
      </c>
      <c r="L203" s="6">
        <f>+GETPIVOTDATA(" New-Optometry",'Pivot Table for 1-11'!$A$3,"State","KY","SREB Type",5,"SREB Type2","Four-Year")</f>
        <v>0</v>
      </c>
      <c r="M203" s="6">
        <f>+GETPIVOTDATA(" New-Osteopathic Medicine",'Pivot Table for 1-11'!$A$3,"State","KY","SREB Type",5,"SREB Type2","Four-Year")</f>
        <v>0</v>
      </c>
      <c r="N203" s="181">
        <f>+GETPIVOTDATA(" New-Veterinary Medicine",'Pivot Table for 1-11'!$A$3,"State","KY","SREB Type",5,"SREB Type2","Four-Year")</f>
        <v>0</v>
      </c>
      <c r="O203" s="198">
        <f>+GETPIVOTDATA(" New-Oth PP",'Pivot Table for 1-11'!$A$3,"State","KY","SREB Type",5,"SREB Type2","Four-Year")</f>
        <v>0</v>
      </c>
      <c r="P203" s="182">
        <f t="shared" si="9"/>
        <v>263</v>
      </c>
      <c r="Q203" s="186"/>
    </row>
    <row r="204" spans="1:23" ht="15" customHeight="1">
      <c r="A204" s="5" t="s">
        <v>303</v>
      </c>
      <c r="B204" s="6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6">
        <f>+GETPIVOTDATA(" New-Associate's",'Pivot Table for 1-11'!$A$3,"State","LA","SREB Type",5,"SREB Type2","Four-Year")</f>
        <v>0</v>
      </c>
      <c r="D204" s="6">
        <f>+GETPIVOTDATA(" New-Bachelor's",'Pivot Table for 1-11'!$A$3,"State","LA","SREB Type",5,"SREB Type2","Four-Year")</f>
        <v>0</v>
      </c>
      <c r="E204" s="6">
        <f>+GETPIVOTDATA(" New-Post-Bachelor's",'Pivot Table for 1-11'!$A$3,"State","LA","SREB Type",5,"SREB Type2","Four-Year")</f>
        <v>0</v>
      </c>
      <c r="F204" s="6">
        <f>+GETPIVOTDATA(" New-Total Master's#",'Pivot Table for 1-11'!$A$3,"State","LA","SREB Type",5,"SREB Type2","Four-Year")</f>
        <v>0</v>
      </c>
      <c r="G204" s="6">
        <f>+GETPIVOTDATA(" New-Total Doctorates#",'Pivot Table for 1-11'!$A$3,"State","LA","SREB Type",5,"SREB Type2","Four-Year")</f>
        <v>0</v>
      </c>
      <c r="H204" s="17">
        <f>+GETPIVOTDATA(" New-Law",'Pivot Table for 1-11'!$A$3,"State","LA","SREB Type",5,"SREB Type2","Four-Year")</f>
        <v>0</v>
      </c>
      <c r="I204" s="6">
        <f>+GETPIVOTDATA(" New-Medicine",'Pivot Table for 1-11'!$A$3,"State","LA","SREB Type",5,"SREB Type2","Four-Year")</f>
        <v>0</v>
      </c>
      <c r="J204" s="6">
        <f>+GETPIVOTDATA(" New-Dentistry",'Pivot Table for 1-11'!$A$3,"State","LA","SREB Type",5,"SREB Type2","Four-Year")</f>
        <v>0</v>
      </c>
      <c r="K204" s="6">
        <f>+GETPIVOTDATA(" New-Pharmacy",'Pivot Table for 1-11'!$A$3,"State","LA","SREB Type",5,"SREB Type2","Four-Year")</f>
        <v>0</v>
      </c>
      <c r="L204" s="6">
        <f>+GETPIVOTDATA(" New-Optometry",'Pivot Table for 1-11'!$A$3,"State","LA","SREB Type",5,"SREB Type2","Four-Year")</f>
        <v>0</v>
      </c>
      <c r="M204" s="6">
        <f>+GETPIVOTDATA(" New-Osteopathic Medicine",'Pivot Table for 1-11'!$A$3,"State","LA","SREB Type",5,"SREB Type2","Four-Year")</f>
        <v>0</v>
      </c>
      <c r="N204" s="181">
        <f>+GETPIVOTDATA(" New-Veterinary Medicine",'Pivot Table for 1-11'!$A$3,"State","LA","SREB Type",5,"SREB Type2","Four-Year")</f>
        <v>0</v>
      </c>
      <c r="O204" s="198">
        <f>+GETPIVOTDATA(" New-Oth PP",'Pivot Table for 1-11'!$A$3,"State","LA","SREB Type",5,"SREB Type2","Four-Year")</f>
        <v>0</v>
      </c>
      <c r="P204" s="182">
        <f t="shared" si="9"/>
        <v>0</v>
      </c>
      <c r="Q204" s="186"/>
    </row>
    <row r="205" spans="1:23" ht="15" customHeight="1">
      <c r="A205" s="5" t="s">
        <v>304</v>
      </c>
      <c r="B205" s="6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6">
        <f>+GETPIVOTDATA(" New-Associate's",'Pivot Table for 1-11'!$A$3,"State","MD","SREB Type",5,"SREB Type2","Four-Year")</f>
        <v>0</v>
      </c>
      <c r="D205" s="6">
        <f>+GETPIVOTDATA(" New-Bachelor's",'Pivot Table for 1-11'!$A$3,"State","MD","SREB Type",5,"SREB Type2","Four-Year")</f>
        <v>0</v>
      </c>
      <c r="E205" s="6">
        <f>+GETPIVOTDATA(" New-Post-Bachelor's",'Pivot Table for 1-11'!$A$3,"State","MD","SREB Type",5,"SREB Type2","Four-Year")</f>
        <v>0</v>
      </c>
      <c r="F205" s="6">
        <f>+GETPIVOTDATA(" New-Total Master's#",'Pivot Table for 1-11'!$A$3,"State","MD","SREB Type",5,"SREB Type2","Four-Year")</f>
        <v>0</v>
      </c>
      <c r="G205" s="6">
        <f>+GETPIVOTDATA(" New-Total Doctorates#",'Pivot Table for 1-11'!$A$3,"State","MD","SREB Type",5,"SREB Type2","Four-Year")</f>
        <v>0</v>
      </c>
      <c r="H205" s="17">
        <f>+GETPIVOTDATA(" New-Law",'Pivot Table for 1-11'!$A$3,"State","MD","SREB Type",5,"SREB Type2","Four-Year")</f>
        <v>0</v>
      </c>
      <c r="I205" s="6">
        <f>+GETPIVOTDATA(" New-Medicine",'Pivot Table for 1-11'!$A$3,"State","MD","SREB Type",5,"SREB Type2","Four-Year")</f>
        <v>0</v>
      </c>
      <c r="J205" s="6">
        <f>+GETPIVOTDATA(" New-Dentistry",'Pivot Table for 1-11'!$A$3,"State","MD","SREB Type",5,"SREB Type2","Four-Year")</f>
        <v>0</v>
      </c>
      <c r="K205" s="6">
        <f>+GETPIVOTDATA(" New-Pharmacy",'Pivot Table for 1-11'!$A$3,"State","MD","SREB Type",5,"SREB Type2","Four-Year")</f>
        <v>0</v>
      </c>
      <c r="L205" s="6">
        <f>+GETPIVOTDATA(" New-Optometry",'Pivot Table for 1-11'!$A$3,"State","MD","SREB Type",5,"SREB Type2","Four-Year")</f>
        <v>0</v>
      </c>
      <c r="M205" s="6">
        <f>+GETPIVOTDATA(" New-Osteopathic Medicine",'Pivot Table for 1-11'!$A$3,"State","MD","SREB Type",5,"SREB Type2","Four-Year")</f>
        <v>0</v>
      </c>
      <c r="N205" s="181">
        <f>+GETPIVOTDATA(" New-Veterinary Medicine",'Pivot Table for 1-11'!$A$3,"State","MD","SREB Type",5,"SREB Type2","Four-Year")</f>
        <v>0</v>
      </c>
      <c r="O205" s="198">
        <f>+GETPIVOTDATA(" New-Oth PP",'Pivot Table for 1-11'!$A$3,"State","MD","SREB Type",5,"SREB Type2","Four-Year")</f>
        <v>0</v>
      </c>
      <c r="P205" s="182">
        <f t="shared" si="9"/>
        <v>0</v>
      </c>
      <c r="Q205" s="186"/>
    </row>
    <row r="206" spans="1:23" ht="15" customHeight="1">
      <c r="A206" s="5"/>
      <c r="B206" s="6">
        <f>+GETPIVOTDATA(" New-Less Than 2-Year",'Pivot Table for 1-11'!$A$3,"State","AR","SREB Type",5,"SREB Type2","Four-Year")+GETPIVOTDATA(" New-2 But Less Than 4-Year",'Pivot Table for 1-11'!$A$3,"State","AR","SREB Type",5,"SREB Type2","Four-Year")</f>
        <v>233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181"/>
      <c r="O206" s="198"/>
      <c r="P206" s="182">
        <f t="shared" si="9"/>
        <v>233</v>
      </c>
      <c r="Q206" s="186"/>
    </row>
    <row r="207" spans="1:23" ht="15" customHeight="1">
      <c r="A207" s="5" t="s">
        <v>305</v>
      </c>
      <c r="B207" s="6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6">
        <f>+GETPIVOTDATA(" New-Associate's",'Pivot Table for 1-11'!$A$3,"State","MS","SREB Type",5,"SREB Type2","Four-Year")</f>
        <v>33</v>
      </c>
      <c r="D207" s="6">
        <f>+GETPIVOTDATA(" New-Bachelor's",'Pivot Table for 1-11'!$A$3,"State","MS","SREB Type",5,"SREB Type2","Four-Year")</f>
        <v>406</v>
      </c>
      <c r="E207" s="6">
        <f>+GETPIVOTDATA(" New-Post-Bachelor's",'Pivot Table for 1-11'!$A$3,"State","MS","SREB Type",5,"SREB Type2","Four-Year")</f>
        <v>0</v>
      </c>
      <c r="F207" s="6">
        <f>+GETPIVOTDATA(" New-Total Master's#",'Pivot Table for 1-11'!$A$3,"State","MS","SREB Type",5,"SREB Type2","Four-Year")</f>
        <v>69</v>
      </c>
      <c r="G207" s="6">
        <f>+GETPIVOTDATA(" New-Total Doctorates#",'Pivot Table for 1-11'!$A$3,"State","MS","SREB Type",5,"SREB Type2","Four-Year")</f>
        <v>0</v>
      </c>
      <c r="H207" s="17">
        <f>+GETPIVOTDATA(" New-Law",'Pivot Table for 1-11'!$A$3,"State","MS","SREB Type",5,"SREB Type2","Four-Year")</f>
        <v>0</v>
      </c>
      <c r="I207" s="6">
        <f>+GETPIVOTDATA(" New-Medicine",'Pivot Table for 1-11'!$A$3,"State","MS","SREB Type",5,"SREB Type2","Four-Year")</f>
        <v>0</v>
      </c>
      <c r="J207" s="6">
        <f>+GETPIVOTDATA(" New-Dentistry",'Pivot Table for 1-11'!$A$3,"State","MS","SREB Type",5,"SREB Type2","Four-Year")</f>
        <v>0</v>
      </c>
      <c r="K207" s="6">
        <f>+GETPIVOTDATA(" New-Pharmacy",'Pivot Table for 1-11'!$A$3,"State","MS","SREB Type",5,"SREB Type2","Four-Year")</f>
        <v>0</v>
      </c>
      <c r="L207" s="6">
        <f>+GETPIVOTDATA(" New-Optometry",'Pivot Table for 1-11'!$A$3,"State","MS","SREB Type",5,"SREB Type2","Four-Year")</f>
        <v>0</v>
      </c>
      <c r="M207" s="6">
        <f>+GETPIVOTDATA(" New-Osteopathic Medicine",'Pivot Table for 1-11'!$A$3,"State","MS","SREB Type",5,"SREB Type2","Four-Year")</f>
        <v>0</v>
      </c>
      <c r="N207" s="181">
        <f>+GETPIVOTDATA(" New-Veterinary Medicine",'Pivot Table for 1-11'!$A$3,"State","MS","SREB Type",5,"SREB Type2","Four-Year")</f>
        <v>0</v>
      </c>
      <c r="O207" s="198">
        <f>+GETPIVOTDATA(" New-Oth PP",'Pivot Table for 1-11'!$A$3,"State","MS","SREB Type",5,"SREB Type2","Four-Year")</f>
        <v>0</v>
      </c>
      <c r="P207" s="182">
        <f t="shared" si="9"/>
        <v>508</v>
      </c>
      <c r="Q207" s="186"/>
    </row>
    <row r="208" spans="1:23" ht="15" customHeight="1">
      <c r="A208" s="5" t="s">
        <v>306</v>
      </c>
      <c r="B208" s="6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6">
        <f>+GETPIVOTDATA(" New-Associate's",'Pivot Table for 1-11'!$A$3,"State","NC","SREB Type",5,"SREB Type2","Four-Year")</f>
        <v>0</v>
      </c>
      <c r="D208" s="6">
        <f>+GETPIVOTDATA(" New-Bachelor's",'Pivot Table for 1-11'!$A$3,"State","NC","SREB Type",5,"SREB Type2","Four-Year")</f>
        <v>1751</v>
      </c>
      <c r="E208" s="6">
        <f>+GETPIVOTDATA(" New-Post-Bachelor's",'Pivot Table for 1-11'!$A$3,"State","NC","SREB Type",5,"SREB Type2","Four-Year")</f>
        <v>0</v>
      </c>
      <c r="F208" s="6">
        <f>+GETPIVOTDATA(" New-Total Master's#",'Pivot Table for 1-11'!$A$3,"State","NC","SREB Type",5,"SREB Type2","Four-Year")</f>
        <v>321</v>
      </c>
      <c r="G208" s="6">
        <f>+GETPIVOTDATA(" New-Total Doctorates#",'Pivot Table for 1-11'!$A$3,"State","NC","SREB Type",5,"SREB Type2","Four-Year")</f>
        <v>0</v>
      </c>
      <c r="H208" s="17">
        <f>+GETPIVOTDATA(" New-Law",'Pivot Table for 1-11'!$A$3,"State","NC","SREB Type",5,"SREB Type2","Four-Year")</f>
        <v>0</v>
      </c>
      <c r="I208" s="6">
        <f>+GETPIVOTDATA(" New-Medicine",'Pivot Table for 1-11'!$A$3,"State","NC","SREB Type",5,"SREB Type2","Four-Year")</f>
        <v>0</v>
      </c>
      <c r="J208" s="6">
        <f>+GETPIVOTDATA(" New-Dentistry",'Pivot Table for 1-11'!$A$3,"State","NC","SREB Type",5,"SREB Type2","Four-Year")</f>
        <v>0</v>
      </c>
      <c r="K208" s="6">
        <f>+GETPIVOTDATA(" New-Pharmacy",'Pivot Table for 1-11'!$A$3,"State","NC","SREB Type",5,"SREB Type2","Four-Year")</f>
        <v>0</v>
      </c>
      <c r="L208" s="6">
        <f>+GETPIVOTDATA(" New-Optometry",'Pivot Table for 1-11'!$A$3,"State","NC","SREB Type",5,"SREB Type2","Four-Year")</f>
        <v>0</v>
      </c>
      <c r="M208" s="6">
        <f>+GETPIVOTDATA(" New-Osteopathic Medicine",'Pivot Table for 1-11'!$A$3,"State","NC","SREB Type",5,"SREB Type2","Four-Year")</f>
        <v>0</v>
      </c>
      <c r="N208" s="181">
        <f>+GETPIVOTDATA(" New-Veterinary Medicine",'Pivot Table for 1-11'!$A$3,"State","NC","SREB Type",5,"SREB Type2","Four-Year")</f>
        <v>0</v>
      </c>
      <c r="O208" s="198">
        <f>+GETPIVOTDATA(" New-Oth PP",'Pivot Table for 1-11'!$A$3,"State","NC","SREB Type",5,"SREB Type2","Four-Year")</f>
        <v>0</v>
      </c>
      <c r="P208" s="182">
        <f t="shared" si="9"/>
        <v>2072</v>
      </c>
      <c r="Q208" s="186"/>
    </row>
    <row r="209" spans="1:23" ht="15" customHeight="1">
      <c r="A209" s="5" t="s">
        <v>307</v>
      </c>
      <c r="B209" s="6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6">
        <f>+GETPIVOTDATA(" New-Associate's",'Pivot Table for 1-11'!$A$3,"State","OK","SREB Type",5,"SREB Type2","Four-Year")</f>
        <v>307</v>
      </c>
      <c r="D209" s="6">
        <f>+GETPIVOTDATA(" New-Bachelor's",'Pivot Table for 1-11'!$A$3,"State","OK","SREB Type",5,"SREB Type2","Four-Year")</f>
        <v>3121</v>
      </c>
      <c r="E209" s="6">
        <f>+GETPIVOTDATA(" New-Post-Bachelor's",'Pivot Table for 1-11'!$A$3,"State","OK","SREB Type",5,"SREB Type2","Four-Year")</f>
        <v>0</v>
      </c>
      <c r="F209" s="6">
        <f>+GETPIVOTDATA(" New-Total Master's#",'Pivot Table for 1-11'!$A$3,"State","OK","SREB Type",5,"SREB Type2","Four-Year")</f>
        <v>848</v>
      </c>
      <c r="G209" s="6">
        <f>+GETPIVOTDATA(" New-Total Doctorates#",'Pivot Table for 1-11'!$A$3,"State","OK","SREB Type",5,"SREB Type2","Four-Year")</f>
        <v>0</v>
      </c>
      <c r="H209" s="17">
        <f>+GETPIVOTDATA(" New-Law",'Pivot Table for 1-11'!$A$3,"State","OK","SREB Type",5,"SREB Type2","Four-Year")</f>
        <v>0</v>
      </c>
      <c r="I209" s="6">
        <f>+GETPIVOTDATA(" New-Medicine",'Pivot Table for 1-11'!$A$3,"State","OK","SREB Type",5,"SREB Type2","Four-Year")</f>
        <v>0</v>
      </c>
      <c r="J209" s="6">
        <f>+GETPIVOTDATA(" New-Dentistry",'Pivot Table for 1-11'!$A$3,"State","OK","SREB Type",5,"SREB Type2","Four-Year")</f>
        <v>0</v>
      </c>
      <c r="K209" s="6">
        <f>+GETPIVOTDATA(" New-Pharmacy",'Pivot Table for 1-11'!$A$3,"State","OK","SREB Type",5,"SREB Type2","Four-Year")</f>
        <v>80</v>
      </c>
      <c r="L209" s="6">
        <f>+GETPIVOTDATA(" New-Optometry",'Pivot Table for 1-11'!$A$3,"State","OK","SREB Type",5,"SREB Type2","Four-Year")</f>
        <v>0</v>
      </c>
      <c r="M209" s="6">
        <f>+GETPIVOTDATA(" New-Osteopathic Medicine",'Pivot Table for 1-11'!$A$3,"State","OK","SREB Type",5,"SREB Type2","Four-Year")</f>
        <v>0</v>
      </c>
      <c r="N209" s="181">
        <f>+GETPIVOTDATA(" New-Veterinary Medicine",'Pivot Table for 1-11'!$A$3,"State","OK","SREB Type",5,"SREB Type2","Four-Year")</f>
        <v>0</v>
      </c>
      <c r="O209" s="198">
        <f>+GETPIVOTDATA(" New-Oth PP",'Pivot Table for 1-11'!$A$3,"State","OK","SREB Type",5,"SREB Type2","Four-Year")</f>
        <v>11</v>
      </c>
      <c r="P209" s="182">
        <f t="shared" si="9"/>
        <v>4367</v>
      </c>
      <c r="Q209" s="186"/>
    </row>
    <row r="210" spans="1:23" ht="15" customHeight="1">
      <c r="A210" s="5" t="s">
        <v>308</v>
      </c>
      <c r="B210" s="6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6">
        <f>+GETPIVOTDATA(" New-Associate's",'Pivot Table for 1-11'!$A$3,"State","SC","SREB Type",5,"SREB Type2","Four-Year")</f>
        <v>0</v>
      </c>
      <c r="D210" s="6">
        <f>+GETPIVOTDATA(" New-Bachelor's",'Pivot Table for 1-11'!$A$3,"State","SC","SREB Type",5,"SREB Type2","Four-Year")</f>
        <v>2240</v>
      </c>
      <c r="E210" s="6">
        <f>+GETPIVOTDATA(" New-Post-Bachelor's",'Pivot Table for 1-11'!$A$3,"State","SC","SREB Type",5,"SREB Type2","Four-Year")</f>
        <v>0</v>
      </c>
      <c r="F210" s="6">
        <f>+GETPIVOTDATA(" New-Total Master's#",'Pivot Table for 1-11'!$A$3,"State","SC","SREB Type",5,"SREB Type2","Four-Year")</f>
        <v>373</v>
      </c>
      <c r="G210" s="6">
        <f>+GETPIVOTDATA(" New-Total Doctorates#",'Pivot Table for 1-11'!$A$3,"State","SC","SREB Type",5,"SREB Type2","Four-Year")</f>
        <v>29</v>
      </c>
      <c r="H210" s="17">
        <f>+GETPIVOTDATA(" New-Law",'Pivot Table for 1-11'!$A$3,"State","SC","SREB Type",5,"SREB Type2","Four-Year")</f>
        <v>0</v>
      </c>
      <c r="I210" s="6">
        <f>+GETPIVOTDATA(" New-Medicine",'Pivot Table for 1-11'!$A$3,"State","SC","SREB Type",5,"SREB Type2","Four-Year")</f>
        <v>0</v>
      </c>
      <c r="J210" s="6">
        <f>+GETPIVOTDATA(" New-Dentistry",'Pivot Table for 1-11'!$A$3,"State","SC","SREB Type",5,"SREB Type2","Four-Year")</f>
        <v>0</v>
      </c>
      <c r="K210" s="6">
        <f>+GETPIVOTDATA(" New-Pharmacy",'Pivot Table for 1-11'!$A$3,"State","SC","SREB Type",5,"SREB Type2","Four-Year")</f>
        <v>0</v>
      </c>
      <c r="L210" s="6">
        <f>+GETPIVOTDATA(" New-Optometry",'Pivot Table for 1-11'!$A$3,"State","SC","SREB Type",5,"SREB Type2","Four-Year")</f>
        <v>0</v>
      </c>
      <c r="M210" s="6">
        <f>+GETPIVOTDATA(" New-Osteopathic Medicine",'Pivot Table for 1-11'!$A$3,"State","SC","SREB Type",5,"SREB Type2","Four-Year")</f>
        <v>0</v>
      </c>
      <c r="N210" s="181">
        <f>+GETPIVOTDATA(" New-Veterinary Medicine",'Pivot Table for 1-11'!$A$3,"State","SC","SREB Type",5,"SREB Type2","Four-Year")</f>
        <v>0</v>
      </c>
      <c r="O210" s="198">
        <f>+GETPIVOTDATA(" New-Oth PP",'Pivot Table for 1-11'!$A$3,"State","SC","SREB Type",5,"SREB Type2","Four-Year")</f>
        <v>0</v>
      </c>
      <c r="P210" s="182">
        <f t="shared" si="9"/>
        <v>2642</v>
      </c>
      <c r="Q210" s="186"/>
    </row>
    <row r="211" spans="1:23" ht="15" customHeight="1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181"/>
      <c r="O211" s="198"/>
      <c r="P211" s="182"/>
      <c r="Q211" s="186"/>
    </row>
    <row r="212" spans="1:23" ht="15" customHeight="1">
      <c r="A212" s="5" t="s">
        <v>309</v>
      </c>
      <c r="B212" s="6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6">
        <f>+GETPIVOTDATA(" New-Associate's",'Pivot Table for 1-11'!$A$3,"State","TN","SREB Type",5,"SREB Type2","Four-Year")</f>
        <v>0</v>
      </c>
      <c r="D212" s="6">
        <f>+GETPIVOTDATA(" New-Bachelor's",'Pivot Table for 1-11'!$A$3,"State","TN","SREB Type",5,"SREB Type2","Four-Year")</f>
        <v>890</v>
      </c>
      <c r="E212" s="6">
        <f>+GETPIVOTDATA(" New-Post-Bachelor's",'Pivot Table for 1-11'!$A$3,"State","TN","SREB Type",5,"SREB Type2","Four-Year")</f>
        <v>0</v>
      </c>
      <c r="F212" s="6">
        <f>+GETPIVOTDATA(" New-Total Master's#",'Pivot Table for 1-11'!$A$3,"State","TN","SREB Type",5,"SREB Type2","Four-Year")</f>
        <v>115</v>
      </c>
      <c r="G212" s="6">
        <f>+GETPIVOTDATA(" New-Total Doctorates#",'Pivot Table for 1-11'!$A$3,"State","TN","SREB Type",5,"SREB Type2","Four-Year")</f>
        <v>0</v>
      </c>
      <c r="H212" s="17">
        <f>+GETPIVOTDATA(" New-Law",'Pivot Table for 1-11'!$A$3,"State","TN","SREB Type",5,"SREB Type2","Four-Year")</f>
        <v>0</v>
      </c>
      <c r="I212" s="6">
        <f>+GETPIVOTDATA(" New-Medicine",'Pivot Table for 1-11'!$A$3,"State","TN","SREB Type",5,"SREB Type2","Four-Year")</f>
        <v>0</v>
      </c>
      <c r="J212" s="6">
        <f>+GETPIVOTDATA(" New-Dentistry",'Pivot Table for 1-11'!$A$3,"State","TN","SREB Type",5,"SREB Type2","Four-Year")</f>
        <v>0</v>
      </c>
      <c r="K212" s="6">
        <f>+GETPIVOTDATA(" New-Pharmacy",'Pivot Table for 1-11'!$A$3,"State","TN","SREB Type",5,"SREB Type2","Four-Year")</f>
        <v>0</v>
      </c>
      <c r="L212" s="6">
        <f>+GETPIVOTDATA(" New-Optometry",'Pivot Table for 1-11'!$A$3,"State","TN","SREB Type",5,"SREB Type2","Four-Year")</f>
        <v>0</v>
      </c>
      <c r="M212" s="6">
        <f>+GETPIVOTDATA(" New-Osteopathic Medicine",'Pivot Table for 1-11'!$A$3,"State","TN","SREB Type",5,"SREB Type2","Four-Year")</f>
        <v>0</v>
      </c>
      <c r="N212" s="181">
        <f>+GETPIVOTDATA(" New-Veterinary Medicine",'Pivot Table for 1-11'!$A$3,"State","TN","SREB Type",5,"SREB Type2","Four-Year")</f>
        <v>0</v>
      </c>
      <c r="O212" s="198">
        <f>+GETPIVOTDATA(" New-Oth PP",'Pivot Table for 1-11'!$A$3,"State","TN","SREB Type",5,"SREB Type2","Four-Year")</f>
        <v>0</v>
      </c>
      <c r="P212" s="182">
        <f t="shared" si="9"/>
        <v>1005</v>
      </c>
      <c r="Q212" s="186"/>
    </row>
    <row r="213" spans="1:23" ht="15" customHeight="1">
      <c r="A213" s="5" t="s">
        <v>310</v>
      </c>
      <c r="B213" s="6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6">
        <f>+GETPIVOTDATA(" New-Associate's",'Pivot Table for 1-11'!$A$3,"State","TX","SREB Type",5,"SREB Type2","Four-Year")</f>
        <v>0</v>
      </c>
      <c r="D213" s="6">
        <f>+GETPIVOTDATA(" New-Bachelor's",'Pivot Table for 1-11'!$A$3,"State","TX","SREB Type",5,"SREB Type2","Four-Year")</f>
        <v>2348</v>
      </c>
      <c r="E213" s="6">
        <f>+GETPIVOTDATA(" New-Post-Bachelor's",'Pivot Table for 1-11'!$A$3,"State","TX","SREB Type",5,"SREB Type2","Four-Year")</f>
        <v>0</v>
      </c>
      <c r="F213" s="6">
        <f>+GETPIVOTDATA(" New-Total Master's#",'Pivot Table for 1-11'!$A$3,"State","TX","SREB Type",5,"SREB Type2","Four-Year")</f>
        <v>91</v>
      </c>
      <c r="G213" s="6">
        <f>+GETPIVOTDATA(" New-Total Doctorates#",'Pivot Table for 1-11'!$A$3,"State","TX","SREB Type",5,"SREB Type2","Four-Year")</f>
        <v>0</v>
      </c>
      <c r="H213" s="17">
        <f>+GETPIVOTDATA(" New-Law",'Pivot Table for 1-11'!$A$3,"State","TX","SREB Type",5,"SREB Type2","Four-Year")</f>
        <v>0</v>
      </c>
      <c r="I213" s="6">
        <f>+GETPIVOTDATA(" New-Medicine",'Pivot Table for 1-11'!$A$3,"State","TX","SREB Type",5,"SREB Type2","Four-Year")</f>
        <v>0</v>
      </c>
      <c r="J213" s="6">
        <f>+GETPIVOTDATA(" New-Dentistry",'Pivot Table for 1-11'!$A$3,"State","TX","SREB Type",5,"SREB Type2","Four-Year")</f>
        <v>0</v>
      </c>
      <c r="K213" s="6">
        <f>+GETPIVOTDATA(" New-Pharmacy",'Pivot Table for 1-11'!$A$3,"State","TX","SREB Type",5,"SREB Type2","Four-Year")</f>
        <v>0</v>
      </c>
      <c r="L213" s="6">
        <f>+GETPIVOTDATA(" New-Optometry",'Pivot Table for 1-11'!$A$3,"State","TX","SREB Type",5,"SREB Type2","Four-Year")</f>
        <v>0</v>
      </c>
      <c r="M213" s="6">
        <f>+GETPIVOTDATA(" New-Osteopathic Medicine",'Pivot Table for 1-11'!$A$3,"State","TX","SREB Type",5,"SREB Type2","Four-Year")</f>
        <v>0</v>
      </c>
      <c r="N213" s="181">
        <f>+GETPIVOTDATA(" New-Veterinary Medicine",'Pivot Table for 1-11'!$A$3,"State","TX","SREB Type",5,"SREB Type2","Four-Year")</f>
        <v>0</v>
      </c>
      <c r="O213" s="198">
        <f>+GETPIVOTDATA(" New-Oth PP",'Pivot Table for 1-11'!$A$3,"State","TX","SREB Type",5,"SREB Type2","Four-Year")</f>
        <v>0</v>
      </c>
      <c r="P213" s="182">
        <f t="shared" si="9"/>
        <v>2439</v>
      </c>
      <c r="Q213" s="186"/>
    </row>
    <row r="214" spans="1:23" ht="15" customHeight="1">
      <c r="A214" s="5" t="s">
        <v>311</v>
      </c>
      <c r="B214" s="6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6">
        <f>+GETPIVOTDATA(" New-Associate's",'Pivot Table for 1-11'!$A$3,"State","VA","SREB Type",5,"SREB Type2","Four-Year")</f>
        <v>0</v>
      </c>
      <c r="D214" s="6">
        <f>+GETPIVOTDATA(" New-Bachelor's",'Pivot Table for 1-11'!$A$3,"State","VA","SREB Type",5,"SREB Type2","Four-Year")</f>
        <v>2644</v>
      </c>
      <c r="E214" s="6">
        <f>+GETPIVOTDATA(" New-Post-Bachelor's",'Pivot Table for 1-11'!$A$3,"State","VA","SREB Type",5,"SREB Type2","Four-Year")</f>
        <v>17</v>
      </c>
      <c r="F214" s="6">
        <f>+GETPIVOTDATA(" New-Total Master's#",'Pivot Table for 1-11'!$A$3,"State","VA","SREB Type",5,"SREB Type2","Four-Year")</f>
        <v>462</v>
      </c>
      <c r="G214" s="6">
        <f>+GETPIVOTDATA(" New-Total Doctorates#",'Pivot Table for 1-11'!$A$3,"State","VA","SREB Type",5,"SREB Type2","Four-Year")</f>
        <v>0</v>
      </c>
      <c r="H214" s="17">
        <f>+GETPIVOTDATA(" New-Law",'Pivot Table for 1-11'!$A$3,"State","VA","SREB Type",5,"SREB Type2","Four-Year")</f>
        <v>0</v>
      </c>
      <c r="I214" s="6">
        <f>+GETPIVOTDATA(" New-Medicine",'Pivot Table for 1-11'!$A$3,"State","VA","SREB Type",5,"SREB Type2","Four-Year")</f>
        <v>0</v>
      </c>
      <c r="J214" s="6">
        <f>+GETPIVOTDATA(" New-Dentistry",'Pivot Table for 1-11'!$A$3,"State","VA","SREB Type",5,"SREB Type2","Four-Year")</f>
        <v>0</v>
      </c>
      <c r="K214" s="6">
        <f>+GETPIVOTDATA(" New-Pharmacy",'Pivot Table for 1-11'!$A$3,"State","VA","SREB Type",5,"SREB Type2","Four-Year")</f>
        <v>0</v>
      </c>
      <c r="L214" s="6">
        <f>+GETPIVOTDATA(" New-Optometry",'Pivot Table for 1-11'!$A$3,"State","VA","SREB Type",5,"SREB Type2","Four-Year")</f>
        <v>0</v>
      </c>
      <c r="M214" s="6">
        <f>+GETPIVOTDATA(" New-Osteopathic Medicine",'Pivot Table for 1-11'!$A$3,"State","VA","SREB Type",5,"SREB Type2","Four-Year")</f>
        <v>0</v>
      </c>
      <c r="N214" s="181">
        <f>+GETPIVOTDATA(" New-Veterinary Medicine",'Pivot Table for 1-11'!$A$3,"State","VA","SREB Type",5,"SREB Type2","Four-Year")</f>
        <v>0</v>
      </c>
      <c r="O214" s="198">
        <f>+GETPIVOTDATA(" New-Oth PP",'Pivot Table for 1-11'!$A$3,"State","VA","SREB Type",5,"SREB Type2","Four-Year")</f>
        <v>0</v>
      </c>
      <c r="P214" s="182">
        <f t="shared" si="9"/>
        <v>3123</v>
      </c>
      <c r="Q214" s="186"/>
    </row>
    <row r="215" spans="1:23" ht="15" customHeight="1">
      <c r="A215" s="9" t="s">
        <v>312</v>
      </c>
      <c r="B215" s="8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8">
        <f>+GETPIVOTDATA(" New-Associate's",'Pivot Table for 1-11'!$A$3,"State","WV","SREB Type",5,"SREB Type2","Four-Year")</f>
        <v>107</v>
      </c>
      <c r="D215" s="8">
        <f>+GETPIVOTDATA(" New-Bachelor's",'Pivot Table for 1-11'!$A$3,"State","WV","SREB Type",5,"SREB Type2","Four-Year")</f>
        <v>645</v>
      </c>
      <c r="E215" s="8">
        <f>+GETPIVOTDATA(" New-Post-Bachelor's",'Pivot Table for 1-11'!$A$3,"State","WV","SREB Type",5,"SREB Type2","Four-Year")</f>
        <v>0</v>
      </c>
      <c r="F215" s="8">
        <f>+GETPIVOTDATA(" New-Total Master's#",'Pivot Table for 1-11'!$A$3,"State","WV","SREB Type",5,"SREB Type2","Four-Year")</f>
        <v>85</v>
      </c>
      <c r="G215" s="8">
        <f>+GETPIVOTDATA(" New-Total Doctorates#",'Pivot Table for 1-11'!$A$3,"State","WV","SREB Type",5,"SREB Type2","Four-Year")</f>
        <v>0</v>
      </c>
      <c r="H215" s="18">
        <f>+GETPIVOTDATA(" New-Law",'Pivot Table for 1-11'!$A$3,"State","WV","SREB Type",5,"SREB Type2","Four-Year")</f>
        <v>0</v>
      </c>
      <c r="I215" s="8">
        <f>+GETPIVOTDATA(" New-Medicine",'Pivot Table for 1-11'!$A$3,"State","WV","SREB Type",5,"SREB Type2","Four-Year")</f>
        <v>0</v>
      </c>
      <c r="J215" s="8">
        <f>+GETPIVOTDATA(" New-Dentistry",'Pivot Table for 1-11'!$A$3,"State","WV","SREB Type",5,"SREB Type2","Four-Year")</f>
        <v>0</v>
      </c>
      <c r="K215" s="8">
        <f>+GETPIVOTDATA(" New-Pharmacy",'Pivot Table for 1-11'!$A$3,"State","WV","SREB Type",5,"SREB Type2","Four-Year")</f>
        <v>0</v>
      </c>
      <c r="L215" s="8">
        <f>+GETPIVOTDATA(" New-Optometry",'Pivot Table for 1-11'!$A$3,"State","WV","SREB Type",5,"SREB Type2","Four-Year")</f>
        <v>0</v>
      </c>
      <c r="M215" s="8">
        <f>+GETPIVOTDATA(" New-Osteopathic Medicine",'Pivot Table for 1-11'!$A$3,"State","WV","SREB Type",5,"SREB Type2","Four-Year")</f>
        <v>0</v>
      </c>
      <c r="N215" s="189">
        <f>+GETPIVOTDATA(" New-Veterinary Medicine",'Pivot Table for 1-11'!$A$3,"State","WV","SREB Type",5,"SREB Type2","Four-Year")</f>
        <v>0</v>
      </c>
      <c r="O215" s="199">
        <f>+GETPIVOTDATA(" New-Oth PP",'Pivot Table for 1-11'!$A$3,"State","WV","SREB Type",5,"SREB Type2","Four-Year")</f>
        <v>0</v>
      </c>
      <c r="P215" s="183">
        <f t="shared" si="9"/>
        <v>837</v>
      </c>
      <c r="Q215" s="186"/>
    </row>
    <row r="216" spans="1:23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181"/>
      <c r="O216" s="181"/>
      <c r="P216" s="181"/>
      <c r="Q216" s="186"/>
    </row>
    <row r="217" spans="1:23" ht="24.75" customHeight="1">
      <c r="A217" s="767" t="s">
        <v>1253</v>
      </c>
      <c r="B217" s="768"/>
      <c r="C217" s="768"/>
      <c r="D217" s="768"/>
      <c r="E217" s="768"/>
      <c r="F217" s="768"/>
      <c r="G217" s="768"/>
      <c r="H217" s="768"/>
      <c r="I217" s="768"/>
      <c r="J217" s="768"/>
      <c r="K217" s="768"/>
      <c r="L217" s="768"/>
      <c r="M217" s="768"/>
      <c r="N217" s="768"/>
      <c r="O217" s="768"/>
      <c r="P217" s="768"/>
      <c r="Q217" s="713"/>
    </row>
    <row r="218" spans="1:23" ht="1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90"/>
      <c r="O218" s="190"/>
      <c r="P218" s="184" t="s">
        <v>1267</v>
      </c>
      <c r="Q218" s="714"/>
    </row>
    <row r="219" spans="1:23" ht="18">
      <c r="A219" s="22" t="s">
        <v>319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93"/>
      <c r="O219" s="93"/>
      <c r="P219" s="93"/>
      <c r="Q219" s="701" t="s">
        <v>321</v>
      </c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92"/>
      <c r="O220" s="92"/>
      <c r="P220" s="92"/>
      <c r="Q220" s="710"/>
    </row>
    <row r="221" spans="1:23" ht="15.75">
      <c r="A221" s="1" t="s">
        <v>285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93"/>
      <c r="O221" s="93"/>
      <c r="P221" s="93"/>
      <c r="Q221" s="701" t="s">
        <v>321</v>
      </c>
    </row>
    <row r="222" spans="1:23" ht="15.75">
      <c r="A222" s="1" t="s">
        <v>1262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93"/>
      <c r="O222" s="93"/>
      <c r="P222" s="93"/>
      <c r="Q222" s="701" t="s">
        <v>321</v>
      </c>
    </row>
    <row r="223" spans="1:23" ht="15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94"/>
      <c r="O223" s="94"/>
      <c r="P223" s="94"/>
      <c r="Q223" s="716"/>
    </row>
    <row r="224" spans="1:23" ht="15.75">
      <c r="A224" s="192"/>
      <c r="B224" s="192"/>
      <c r="C224" s="192"/>
      <c r="D224" s="192"/>
      <c r="E224" s="192"/>
      <c r="F224" s="192"/>
      <c r="G224" s="192"/>
      <c r="H224" s="196" t="s">
        <v>1254</v>
      </c>
      <c r="I224" s="26"/>
      <c r="J224" s="26"/>
      <c r="K224" s="26"/>
      <c r="L224" s="26"/>
      <c r="M224" s="26"/>
      <c r="N224" s="193"/>
      <c r="O224" s="200"/>
      <c r="P224" s="195" t="s">
        <v>321</v>
      </c>
      <c r="Q224" s="716"/>
      <c r="R224" s="696"/>
      <c r="W224" s="696"/>
    </row>
    <row r="225" spans="1:17" ht="39.75" customHeight="1">
      <c r="A225" s="14"/>
      <c r="B225" s="15" t="s">
        <v>696</v>
      </c>
      <c r="C225" s="15" t="s">
        <v>286</v>
      </c>
      <c r="D225" s="15" t="s">
        <v>278</v>
      </c>
      <c r="E225" s="15" t="s">
        <v>279</v>
      </c>
      <c r="F225" s="15" t="s">
        <v>288</v>
      </c>
      <c r="G225" s="15" t="s">
        <v>289</v>
      </c>
      <c r="H225" s="16" t="s">
        <v>290</v>
      </c>
      <c r="I225" s="15" t="s">
        <v>291</v>
      </c>
      <c r="J225" s="15" t="s">
        <v>292</v>
      </c>
      <c r="K225" s="15" t="s">
        <v>283</v>
      </c>
      <c r="L225" s="15" t="s">
        <v>293</v>
      </c>
      <c r="M225" s="15" t="s">
        <v>294</v>
      </c>
      <c r="N225" s="191" t="s">
        <v>952</v>
      </c>
      <c r="O225" s="197" t="s">
        <v>689</v>
      </c>
      <c r="P225" s="191" t="s">
        <v>295</v>
      </c>
      <c r="Q225" s="717"/>
    </row>
    <row r="226" spans="1:17" ht="15" customHeight="1">
      <c r="A226" s="5" t="s">
        <v>296</v>
      </c>
      <c r="B226" s="6">
        <f>+GETPIVOTDATA(" New-Less Than 2-Year",'Pivot Table for 1-11'!$A$3,"SREB Type",6,"SREB Type2","Four-Year")+GETPIVOTDATA(" New-2 But Less Than 4-Year",'Pivot Table for 1-11'!$A$3,"SREB Type",6,"SREB Type2","Four-Year")</f>
        <v>441</v>
      </c>
      <c r="C226" s="6">
        <f>+GETPIVOTDATA(" New-Associate's",'Pivot Table for 1-11'!$A$3,"SREB Type",6,"SREB Type2","Four-Year")</f>
        <v>1348</v>
      </c>
      <c r="D226" s="6">
        <f>+GETPIVOTDATA(" New-Bachelor's",'Pivot Table for 1-11'!$A$3,"SREB Type",6,"SREB Type2","Four-Year")</f>
        <v>10030</v>
      </c>
      <c r="E226" s="6">
        <f>+GETPIVOTDATA(" New-Post-Bachelor's",'Pivot Table for 1-11'!$A$3,"SREB Type",6,"SREB Type2","Four-Year")</f>
        <v>2</v>
      </c>
      <c r="F226" s="6">
        <f>+GETPIVOTDATA(" New-Total Master's#",'Pivot Table for 1-11'!$A$3,"SREB Type",6,"SREB Type2","Four-Year")</f>
        <v>253</v>
      </c>
      <c r="G226" s="6">
        <f>+GETPIVOTDATA(" New-Total Doctorates#",'Pivot Table for 1-11'!$A$3,"SREB Type",6,"SREB Type2","Four-Year")</f>
        <v>0</v>
      </c>
      <c r="H226" s="17">
        <f>+GETPIVOTDATA(" New-Law",'Pivot Table for 1-11'!$A$3,"SREB Type",6,"SREB Type2","Four-Year")</f>
        <v>0</v>
      </c>
      <c r="I226" s="6">
        <f>+GETPIVOTDATA(" New-Medicine",'Pivot Table for 1-11'!$A$3,"SREB Type",6,"SREB Type2","Four-Year")</f>
        <v>0</v>
      </c>
      <c r="J226" s="6">
        <f>+GETPIVOTDATA(" New-Dentistry",'Pivot Table for 1-11'!$A$3,"SREB Type",6,"SREB Type2","Four-Year")</f>
        <v>0</v>
      </c>
      <c r="K226" s="6">
        <f>+GETPIVOTDATA(" New-Pharmacy",'Pivot Table for 1-11'!$A$3,"SREB Type",6,"SREB Type2","Four-Year")</f>
        <v>0</v>
      </c>
      <c r="L226" s="6">
        <f>+GETPIVOTDATA(" New-Optometry",'Pivot Table for 1-11'!$A$3,"SREB Type",6,"SREB Type2","Four-Year")</f>
        <v>0</v>
      </c>
      <c r="M226" s="6">
        <f>+GETPIVOTDATA(" New-Osteopathic Medicine",'Pivot Table for 1-11'!$A$3,"SREB Type",6,"SREB Type2","Four-Year")</f>
        <v>0</v>
      </c>
      <c r="N226" s="181">
        <f>+GETPIVOTDATA(" New-Veterinary Medicine",'Pivot Table for 1-11'!$A$3,"SREB Type",6,"SREB Type2","Four-Year")</f>
        <v>0</v>
      </c>
      <c r="O226" s="198">
        <f>+GETPIVOTDATA(" New-Oth PP",'Pivot Table for 1-11'!$A$3,"SREB Type",6,"SREB Type2","Four-Year")</f>
        <v>0</v>
      </c>
      <c r="P226" s="182">
        <f>SUM(B226:O226)</f>
        <v>12074</v>
      </c>
      <c r="Q226" s="186"/>
    </row>
    <row r="227" spans="1:17" ht="15" customHeight="1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181"/>
      <c r="O227" s="198"/>
      <c r="P227" s="182"/>
      <c r="Q227" s="186"/>
    </row>
    <row r="228" spans="1:17" ht="15" customHeight="1">
      <c r="A228" s="5" t="s">
        <v>297</v>
      </c>
      <c r="B228" s="6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6">
        <f>+GETPIVOTDATA(" New-Associate's",'Pivot Table for 1-11'!$A$3,"State","AL","SREB Type",6,"SREB Type2","Four-Year")</f>
        <v>0</v>
      </c>
      <c r="D228" s="6">
        <f>+GETPIVOTDATA(" New-Bachelor's",'Pivot Table for 1-11'!$A$3,"State","AL","SREB Type",6,"SREB Type2","Four-Year")</f>
        <v>833</v>
      </c>
      <c r="E228" s="6">
        <f>+GETPIVOTDATA(" New-Post-Bachelor's",'Pivot Table for 1-11'!$A$3,"State","AL","SREB Type",6,"SREB Type2","Four-Year")</f>
        <v>0</v>
      </c>
      <c r="F228" s="6">
        <f>+GETPIVOTDATA(" New-Total Master's#",'Pivot Table for 1-11'!$A$3,"State","AL","SREB Type",6,"SREB Type2","Four-Year")</f>
        <v>0</v>
      </c>
      <c r="G228" s="6">
        <f>+GETPIVOTDATA(" New-Total Doctorates#",'Pivot Table for 1-11'!$A$3,"State","AL","SREB Type",6,"SREB Type2","Four-Year")</f>
        <v>0</v>
      </c>
      <c r="H228" s="17">
        <f>+GETPIVOTDATA(" New-Law",'Pivot Table for 1-11'!$A$3,"State","AL","SREB Type",6,"SREB Type2","Four-Year")</f>
        <v>0</v>
      </c>
      <c r="I228" s="6">
        <f>+GETPIVOTDATA(" New-Medicine",'Pivot Table for 1-11'!$A$3,"State","AL","SREB Type",6,"SREB Type2","Four-Year")</f>
        <v>0</v>
      </c>
      <c r="J228" s="6">
        <f>+GETPIVOTDATA(" New-Dentistry",'Pivot Table for 1-11'!$A$3,"State","AL","SREB Type",6,"SREB Type2","Four-Year")</f>
        <v>0</v>
      </c>
      <c r="K228" s="6">
        <f>+GETPIVOTDATA(" New-Pharmacy",'Pivot Table for 1-11'!$A$3,"State","AL","SREB Type",6,"SREB Type2","Four-Year")</f>
        <v>0</v>
      </c>
      <c r="L228" s="6">
        <f>+GETPIVOTDATA(" New-Optometry",'Pivot Table for 1-11'!$A$3,"State","AL","SREB Type",6,"SREB Type2","Four-Year")</f>
        <v>0</v>
      </c>
      <c r="M228" s="6">
        <f>+GETPIVOTDATA(" New-Osteopathic Medicine",'Pivot Table for 1-11'!$A$3,"State","AL","SREB Type",6,"SREB Type2","Four-Year")</f>
        <v>0</v>
      </c>
      <c r="N228" s="181">
        <f>+GETPIVOTDATA(" New-Veterinary Medicine",'Pivot Table for 1-11'!$A$3,"State","AL","SREB Type",6,"SREB Type2","Four-Year")</f>
        <v>0</v>
      </c>
      <c r="O228" s="198">
        <f>+GETPIVOTDATA(" New-Oth PP",'Pivot Table for 1-11'!$A$3,"State","AL","SREB Type",6,"SREB Type2","Four-Year")</f>
        <v>0</v>
      </c>
      <c r="P228" s="182">
        <f t="shared" ref="P228:P246" si="10">SUM(B228:O228)</f>
        <v>833</v>
      </c>
      <c r="Q228" s="186"/>
    </row>
    <row r="229" spans="1:17" ht="15" customHeight="1">
      <c r="A229" s="5" t="s">
        <v>298</v>
      </c>
      <c r="B229" s="6">
        <f>+GETPIVOTDATA(" New-Less Than 2-Year",'Pivot Table for 1-11'!$A$3,"State","AR","SREB Type",6,"SREB Type2","Four-Year")+GETPIVOTDATA(" New-2 But Less Than 4-Year",'Pivot Table for 1-11'!$A$3,"State","AR","SREB Type",6,"SREB Type2","Four-Year")</f>
        <v>324</v>
      </c>
      <c r="C229" s="6">
        <f>+GETPIVOTDATA(" New-Associate's",'Pivot Table for 1-11'!$A$3,"State","AR","SREB Type",6,"SREB Type2","Four-Year")</f>
        <v>471</v>
      </c>
      <c r="D229" s="6">
        <f>+GETPIVOTDATA(" New-Bachelor's",'Pivot Table for 1-11'!$A$3,"State","AR","SREB Type",6,"SREB Type2","Four-Year")</f>
        <v>797</v>
      </c>
      <c r="E229" s="6">
        <f>+GETPIVOTDATA(" New-Post-Bachelor's",'Pivot Table for 1-11'!$A$3,"State","AR","SREB Type",6,"SREB Type2","Four-Year")</f>
        <v>0</v>
      </c>
      <c r="F229" s="6">
        <f>+GETPIVOTDATA(" New-Total Master's#",'Pivot Table for 1-11'!$A$3,"State","AR","SREB Type",6,"SREB Type2","Four-Year")</f>
        <v>24</v>
      </c>
      <c r="G229" s="6">
        <f>+GETPIVOTDATA(" New-Total Doctorates#",'Pivot Table for 1-11'!$A$3,"State","AR","SREB Type",6,"SREB Type2","Four-Year")</f>
        <v>0</v>
      </c>
      <c r="H229" s="17">
        <f>+GETPIVOTDATA(" New-Law",'Pivot Table for 1-11'!$A$3,"State","AR","SREB Type",6,"SREB Type2","Four-Year")</f>
        <v>0</v>
      </c>
      <c r="I229" s="6">
        <f>+GETPIVOTDATA(" New-Medicine",'Pivot Table for 1-11'!$A$3,"State","AR","SREB Type",6,"SREB Type2","Four-Year")</f>
        <v>0</v>
      </c>
      <c r="J229" s="6">
        <f>+GETPIVOTDATA(" New-Dentistry",'Pivot Table for 1-11'!$A$3,"State","AR","SREB Type",6,"SREB Type2","Four-Year")</f>
        <v>0</v>
      </c>
      <c r="K229" s="6">
        <f>+GETPIVOTDATA(" New-Pharmacy",'Pivot Table for 1-11'!$A$3,"State","AR","SREB Type",6,"SREB Type2","Four-Year")</f>
        <v>0</v>
      </c>
      <c r="L229" s="6">
        <f>+GETPIVOTDATA(" New-Optometry",'Pivot Table for 1-11'!$A$3,"State","AR","SREB Type",6,"SREB Type2","Four-Year")</f>
        <v>0</v>
      </c>
      <c r="M229" s="6">
        <f>+GETPIVOTDATA(" New-Osteopathic Medicine",'Pivot Table for 1-11'!$A$3,"State","AR","SREB Type",6,"SREB Type2","Four-Year")</f>
        <v>0</v>
      </c>
      <c r="N229" s="181">
        <f>+GETPIVOTDATA(" New-Veterinary Medicine",'Pivot Table for 1-11'!$A$3,"State","AR","SREB Type",6,"SREB Type2","Four-Year")</f>
        <v>0</v>
      </c>
      <c r="O229" s="198">
        <f>+GETPIVOTDATA(" New-Oth PP",'Pivot Table for 1-11'!$A$3,"State","AR","SREB Type",6,"SREB Type2","Four-Year")</f>
        <v>0</v>
      </c>
      <c r="P229" s="182">
        <f t="shared" si="10"/>
        <v>1616</v>
      </c>
      <c r="Q229" s="186"/>
    </row>
    <row r="230" spans="1:17" ht="15" customHeight="1">
      <c r="A230" s="5" t="s">
        <v>299</v>
      </c>
      <c r="B230" s="6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6">
        <f>+GETPIVOTDATA(" New-Associate's",'Pivot Table for 1-11'!$A$3,"State","DE","SREB Type",6,"SREB Type2","Four-Year")</f>
        <v>0</v>
      </c>
      <c r="D230" s="6">
        <f>+GETPIVOTDATA(" New-Bachelor's",'Pivot Table for 1-11'!$A$3,"State","DE","SREB Type",6,"SREB Type2","Four-Year")</f>
        <v>0</v>
      </c>
      <c r="E230" s="6">
        <f>+GETPIVOTDATA(" New-Post-Bachelor's",'Pivot Table for 1-11'!$A$3,"State","DE","SREB Type",6,"SREB Type2","Four-Year")</f>
        <v>0</v>
      </c>
      <c r="F230" s="6">
        <f>+GETPIVOTDATA(" New-Total Master's#",'Pivot Table for 1-11'!$A$3,"State","DE","SREB Type",6,"SREB Type2","Four-Year")</f>
        <v>0</v>
      </c>
      <c r="G230" s="6">
        <f>+GETPIVOTDATA(" New-Total Doctorates#",'Pivot Table for 1-11'!$A$3,"State","DE","SREB Type",6,"SREB Type2","Four-Year")</f>
        <v>0</v>
      </c>
      <c r="H230" s="17">
        <f>+GETPIVOTDATA(" New-Law",'Pivot Table for 1-11'!$A$3,"State","DE","SREB Type",6,"SREB Type2","Four-Year")</f>
        <v>0</v>
      </c>
      <c r="I230" s="6">
        <f>+GETPIVOTDATA(" New-Medicine",'Pivot Table for 1-11'!$A$3,"State","DE","SREB Type",6,"SREB Type2","Four-Year")</f>
        <v>0</v>
      </c>
      <c r="J230" s="6">
        <f>+GETPIVOTDATA(" New-Dentistry",'Pivot Table for 1-11'!$A$3,"State","DE","SREB Type",6,"SREB Type2","Four-Year")</f>
        <v>0</v>
      </c>
      <c r="K230" s="6">
        <f>+GETPIVOTDATA(" New-Pharmacy",'Pivot Table for 1-11'!$A$3,"State","DE","SREB Type",6,"SREB Type2","Four-Year")</f>
        <v>0</v>
      </c>
      <c r="L230" s="6">
        <f>+GETPIVOTDATA(" New-Optometry",'Pivot Table for 1-11'!$A$3,"State","DE","SREB Type",6,"SREB Type2","Four-Year")</f>
        <v>0</v>
      </c>
      <c r="M230" s="6">
        <f>+GETPIVOTDATA(" New-Osteopathic Medicine",'Pivot Table for 1-11'!$A$3,"State","DE","SREB Type",6,"SREB Type2","Four-Year")</f>
        <v>0</v>
      </c>
      <c r="N230" s="181">
        <f>+GETPIVOTDATA(" New-Veterinary Medicine",'Pivot Table for 1-11'!$A$3,"State","DE","SREB Type",6,"SREB Type2","Four-Year")</f>
        <v>0</v>
      </c>
      <c r="O230" s="198">
        <f>+GETPIVOTDATA(" New-Oth PP",'Pivot Table for 1-11'!$A$3,"State","DE","SREB Type",6,"SREB Type2","Four-Year")</f>
        <v>0</v>
      </c>
      <c r="P230" s="182">
        <f t="shared" si="10"/>
        <v>0</v>
      </c>
      <c r="Q230" s="186"/>
    </row>
    <row r="231" spans="1:17" ht="15" customHeight="1">
      <c r="A231" s="5" t="s">
        <v>300</v>
      </c>
      <c r="B231" s="6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6">
        <f>+GETPIVOTDATA(" New-Associate's",'Pivot Table for 1-11'!$A$3,"State","FL","SREB Type",6,"SREB Type2","Four-Year")</f>
        <v>0</v>
      </c>
      <c r="D231" s="6">
        <f>+GETPIVOTDATA(" New-Bachelor's",'Pivot Table for 1-11'!$A$3,"State","FL","SREB Type",6,"SREB Type2","Four-Year")</f>
        <v>158</v>
      </c>
      <c r="E231" s="6">
        <f>+GETPIVOTDATA(" New-Post-Bachelor's",'Pivot Table for 1-11'!$A$3,"State","FL","SREB Type",6,"SREB Type2","Four-Year")</f>
        <v>0</v>
      </c>
      <c r="F231" s="6">
        <f>+GETPIVOTDATA(" New-Total Master's#",'Pivot Table for 1-11'!$A$3,"State","FL","SREB Type",6,"SREB Type2","Four-Year")</f>
        <v>0</v>
      </c>
      <c r="G231" s="6">
        <f>+GETPIVOTDATA(" New-Total Doctorates#",'Pivot Table for 1-11'!$A$3,"State","FL","SREB Type",6,"SREB Type2","Four-Year")</f>
        <v>0</v>
      </c>
      <c r="H231" s="17">
        <f>+GETPIVOTDATA(" New-Law",'Pivot Table for 1-11'!$A$3,"State","FL","SREB Type",6,"SREB Type2","Four-Year")</f>
        <v>0</v>
      </c>
      <c r="I231" s="6">
        <f>+GETPIVOTDATA(" New-Medicine",'Pivot Table for 1-11'!$A$3,"State","FL","SREB Type",6,"SREB Type2","Four-Year")</f>
        <v>0</v>
      </c>
      <c r="J231" s="6">
        <f>+GETPIVOTDATA(" New-Dentistry",'Pivot Table for 1-11'!$A$3,"State","FL","SREB Type",6,"SREB Type2","Four-Year")</f>
        <v>0</v>
      </c>
      <c r="K231" s="6">
        <f>+GETPIVOTDATA(" New-Pharmacy",'Pivot Table for 1-11'!$A$3,"State","FL","SREB Type",6,"SREB Type2","Four-Year")</f>
        <v>0</v>
      </c>
      <c r="L231" s="6">
        <f>+GETPIVOTDATA(" New-Optometry",'Pivot Table for 1-11'!$A$3,"State","FL","SREB Type",6,"SREB Type2","Four-Year")</f>
        <v>0</v>
      </c>
      <c r="M231" s="6">
        <f>+GETPIVOTDATA(" New-Osteopathic Medicine",'Pivot Table for 1-11'!$A$3,"State","FL","SREB Type",6,"SREB Type2","Four-Year")</f>
        <v>0</v>
      </c>
      <c r="N231" s="181">
        <f>+GETPIVOTDATA(" New-Veterinary Medicine",'Pivot Table for 1-11'!$A$3,"State","FL","SREB Type",6,"SREB Type2","Four-Year")</f>
        <v>0</v>
      </c>
      <c r="O231" s="198">
        <f>+GETPIVOTDATA(" New-Oth PP",'Pivot Table for 1-11'!$A$3,"State","FL","SREB Type",6,"SREB Type2","Four-Year")</f>
        <v>0</v>
      </c>
      <c r="P231" s="182">
        <f t="shared" si="10"/>
        <v>158</v>
      </c>
      <c r="Q231" s="186"/>
    </row>
    <row r="232" spans="1:17" ht="15" customHeight="1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181"/>
      <c r="O232" s="198"/>
      <c r="P232" s="182">
        <f t="shared" si="10"/>
        <v>0</v>
      </c>
      <c r="Q232" s="186"/>
    </row>
    <row r="233" spans="1:17" ht="15" customHeight="1">
      <c r="A233" s="5" t="s">
        <v>301</v>
      </c>
      <c r="B233" s="6">
        <f>+GETPIVOTDATA(" New-Less Than 2-Year",'Pivot Table for 1-11'!$A$3,"State","GA","SREB Type",6,"SREB Type2","Four-Year")+GETPIVOTDATA(" New-2 But Less Than 4-Year",'Pivot Table for 1-11'!$A$3,"State","GA","SREB Type",6,"SREB Type2","Four-Year")</f>
        <v>113</v>
      </c>
      <c r="C233" s="6">
        <f>+GETPIVOTDATA(" New-Associate's",'Pivot Table for 1-11'!$A$3,"State","GA","SREB Type",6,"SREB Type2","Four-Year")</f>
        <v>464</v>
      </c>
      <c r="D233" s="6">
        <f>+GETPIVOTDATA(" New-Bachelor's",'Pivot Table for 1-11'!$A$3,"State","GA","SREB Type",6,"SREB Type2","Four-Year")</f>
        <v>1312</v>
      </c>
      <c r="E233" s="6">
        <f>+GETPIVOTDATA(" New-Post-Bachelor's",'Pivot Table for 1-11'!$A$3,"State","GA","SREB Type",6,"SREB Type2","Four-Year")</f>
        <v>0</v>
      </c>
      <c r="F233" s="6">
        <f>+GETPIVOTDATA(" New-Total Master's#",'Pivot Table for 1-11'!$A$3,"State","GA","SREB Type",6,"SREB Type2","Four-Year")</f>
        <v>33</v>
      </c>
      <c r="G233" s="6">
        <f>+GETPIVOTDATA(" New-Total Doctorates#",'Pivot Table for 1-11'!$A$3,"State","GA","SREB Type",6,"SREB Type2","Four-Year")</f>
        <v>0</v>
      </c>
      <c r="H233" s="17">
        <f>+GETPIVOTDATA(" New-Law",'Pivot Table for 1-11'!$A$3,"State","GA","SREB Type",6,"SREB Type2","Four-Year")</f>
        <v>0</v>
      </c>
      <c r="I233" s="6">
        <f>+GETPIVOTDATA(" New-Medicine",'Pivot Table for 1-11'!$A$3,"State","GA","SREB Type",6,"SREB Type2","Four-Year")</f>
        <v>0</v>
      </c>
      <c r="J233" s="6">
        <f>+GETPIVOTDATA(" New-Dentistry",'Pivot Table for 1-11'!$A$3,"State","GA","SREB Type",6,"SREB Type2","Four-Year")</f>
        <v>0</v>
      </c>
      <c r="K233" s="6">
        <f>+GETPIVOTDATA(" New-Pharmacy",'Pivot Table for 1-11'!$A$3,"State","GA","SREB Type",6,"SREB Type2","Four-Year")</f>
        <v>0</v>
      </c>
      <c r="L233" s="6">
        <f>+GETPIVOTDATA(" New-Optometry",'Pivot Table for 1-11'!$A$3,"State","GA","SREB Type",6,"SREB Type2","Four-Year")</f>
        <v>0</v>
      </c>
      <c r="M233" s="6">
        <f>+GETPIVOTDATA(" New-Osteopathic Medicine",'Pivot Table for 1-11'!$A$3,"State","GA","SREB Type",6,"SREB Type2","Four-Year")</f>
        <v>0</v>
      </c>
      <c r="N233" s="181">
        <f>+GETPIVOTDATA(" New-Veterinary Medicine",'Pivot Table for 1-11'!$A$3,"State","GA","SREB Type",6,"SREB Type2","Four-Year")</f>
        <v>0</v>
      </c>
      <c r="O233" s="198">
        <f>+GETPIVOTDATA(" New-Oth PP",'Pivot Table for 1-11'!$A$3,"State","GA","SREB Type",6,"SREB Type2","Four-Year")</f>
        <v>0</v>
      </c>
      <c r="P233" s="182">
        <f t="shared" si="10"/>
        <v>1922</v>
      </c>
      <c r="Q233" s="186"/>
    </row>
    <row r="234" spans="1:17" ht="15" customHeight="1">
      <c r="A234" s="5" t="s">
        <v>302</v>
      </c>
      <c r="B234" s="6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6">
        <f>+GETPIVOTDATA(" New-Associate's",'Pivot Table for 1-11'!$A$3,"State","KY","SREB Type",6,"SREB Type2","Four-Year")</f>
        <v>0</v>
      </c>
      <c r="D234" s="6">
        <f>+GETPIVOTDATA(" New-Bachelor's",'Pivot Table for 1-11'!$A$3,"State","KY","SREB Type",6,"SREB Type2","Four-Year")</f>
        <v>0</v>
      </c>
      <c r="E234" s="6">
        <f>+GETPIVOTDATA(" New-Post-Bachelor's",'Pivot Table for 1-11'!$A$3,"State","KY","SREB Type",6,"SREB Type2","Four-Year")</f>
        <v>0</v>
      </c>
      <c r="F234" s="6">
        <f>+GETPIVOTDATA(" New-Total Master's#",'Pivot Table for 1-11'!$A$3,"State","KY","SREB Type",6,"SREB Type2","Four-Year")</f>
        <v>0</v>
      </c>
      <c r="G234" s="6">
        <f>+GETPIVOTDATA(" New-Total Doctorates#",'Pivot Table for 1-11'!$A$3,"State","KY","SREB Type",6,"SREB Type2","Four-Year")</f>
        <v>0</v>
      </c>
      <c r="H234" s="17">
        <f>+GETPIVOTDATA(" New-Law",'Pivot Table for 1-11'!$A$3,"State","KY","SREB Type",6,"SREB Type2","Four-Year")</f>
        <v>0</v>
      </c>
      <c r="I234" s="6">
        <f>+GETPIVOTDATA(" New-Medicine",'Pivot Table for 1-11'!$A$3,"State","KY","SREB Type",6,"SREB Type2","Four-Year")</f>
        <v>0</v>
      </c>
      <c r="J234" s="6">
        <f>+GETPIVOTDATA(" New-Dentistry",'Pivot Table for 1-11'!$A$3,"State","KY","SREB Type",6,"SREB Type2","Four-Year")</f>
        <v>0</v>
      </c>
      <c r="K234" s="6">
        <f>+GETPIVOTDATA(" New-Pharmacy",'Pivot Table for 1-11'!$A$3,"State","KY","SREB Type",6,"SREB Type2","Four-Year")</f>
        <v>0</v>
      </c>
      <c r="L234" s="6">
        <f>+GETPIVOTDATA(" New-Optometry",'Pivot Table for 1-11'!$A$3,"State","KY","SREB Type",6,"SREB Type2","Four-Year")</f>
        <v>0</v>
      </c>
      <c r="M234" s="6">
        <f>+GETPIVOTDATA(" New-Osteopathic Medicine",'Pivot Table for 1-11'!$A$3,"State","KY","SREB Type",6,"SREB Type2","Four-Year")</f>
        <v>0</v>
      </c>
      <c r="N234" s="181">
        <f>+GETPIVOTDATA(" New-Veterinary Medicine",'Pivot Table for 1-11'!$A$3,"State","KY","SREB Type",6,"SREB Type2","Four-Year")</f>
        <v>0</v>
      </c>
      <c r="O234" s="198">
        <f>+GETPIVOTDATA(" New-Oth PP",'Pivot Table for 1-11'!$A$3,"State","KY","SREB Type",6,"SREB Type2","Four-Year")</f>
        <v>0</v>
      </c>
      <c r="P234" s="182">
        <f t="shared" si="10"/>
        <v>0</v>
      </c>
      <c r="Q234" s="186"/>
    </row>
    <row r="235" spans="1:17" ht="15" customHeight="1">
      <c r="A235" s="5" t="s">
        <v>303</v>
      </c>
      <c r="B235" s="6">
        <f>+GETPIVOTDATA(" New-Less Than 2-Year",'Pivot Table for 1-11'!$A$3,"State","LA","SREB Type",6,"SREB Type2","Four-Year")+GETPIVOTDATA(" New-2 But Less Than 4-Year",'Pivot Table for 1-11'!$A$3,"State","LA","SREB Type",6,"SREB Type2","Four-Year")</f>
        <v>0</v>
      </c>
      <c r="C235" s="6">
        <f>+GETPIVOTDATA(" New-Associate's",'Pivot Table for 1-11'!$A$3,"State","LA","SREB Type",6,"SREB Type2","Four-Year")</f>
        <v>0</v>
      </c>
      <c r="D235" s="6">
        <f>+GETPIVOTDATA(" New-Bachelor's",'Pivot Table for 1-11'!$A$3,"State","LA","SREB Type",6,"SREB Type2","Four-Year")</f>
        <v>0</v>
      </c>
      <c r="E235" s="6">
        <f>+GETPIVOTDATA(" New-Post-Bachelor's",'Pivot Table for 1-11'!$A$3,"State","LA","SREB Type",6,"SREB Type2","Four-Year")</f>
        <v>0</v>
      </c>
      <c r="F235" s="6">
        <f>+GETPIVOTDATA(" New-Total Master's#",'Pivot Table for 1-11'!$A$3,"State","LA","SREB Type",6,"SREB Type2","Four-Year")</f>
        <v>0</v>
      </c>
      <c r="G235" s="6">
        <f>+GETPIVOTDATA(" New-Total Doctorates#",'Pivot Table for 1-11'!$A$3,"State","LA","SREB Type",6,"SREB Type2","Four-Year")</f>
        <v>0</v>
      </c>
      <c r="H235" s="17">
        <f>+GETPIVOTDATA(" New-Law",'Pivot Table for 1-11'!$A$3,"State","LA","SREB Type",6,"SREB Type2","Four-Year")</f>
        <v>0</v>
      </c>
      <c r="I235" s="6">
        <f>+GETPIVOTDATA(" New-Medicine",'Pivot Table for 1-11'!$A$3,"State","LA","SREB Type",6,"SREB Type2","Four-Year")</f>
        <v>0</v>
      </c>
      <c r="J235" s="6">
        <f>+GETPIVOTDATA(" New-Dentistry",'Pivot Table for 1-11'!$A$3,"State","LA","SREB Type",6,"SREB Type2","Four-Year")</f>
        <v>0</v>
      </c>
      <c r="K235" s="6">
        <f>+GETPIVOTDATA(" New-Pharmacy",'Pivot Table for 1-11'!$A$3,"State","LA","SREB Type",6,"SREB Type2","Four-Year")</f>
        <v>0</v>
      </c>
      <c r="L235" s="6">
        <f>+GETPIVOTDATA(" New-Optometry",'Pivot Table for 1-11'!$A$3,"State","LA","SREB Type",6,"SREB Type2","Four-Year")</f>
        <v>0</v>
      </c>
      <c r="M235" s="6">
        <f>+GETPIVOTDATA(" New-Osteopathic Medicine",'Pivot Table for 1-11'!$A$3,"State","LA","SREB Type",6,"SREB Type2","Four-Year")</f>
        <v>0</v>
      </c>
      <c r="N235" s="181">
        <f>+GETPIVOTDATA(" New-Veterinary Medicine",'Pivot Table for 1-11'!$A$3,"State","LA","SREB Type",6,"SREB Type2","Four-Year")</f>
        <v>0</v>
      </c>
      <c r="O235" s="198">
        <f>+GETPIVOTDATA(" New-Oth PP",'Pivot Table for 1-11'!$A$3,"State","LA","SREB Type",6,"SREB Type2","Four-Year")</f>
        <v>0</v>
      </c>
      <c r="P235" s="182">
        <f t="shared" si="10"/>
        <v>0</v>
      </c>
      <c r="Q235" s="186"/>
    </row>
    <row r="236" spans="1:17" ht="15" customHeight="1">
      <c r="A236" s="5" t="s">
        <v>304</v>
      </c>
      <c r="B236" s="6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6">
        <f>+GETPIVOTDATA(" New-Associate's",'Pivot Table for 1-11'!$A$3,"State","MD","SREB Type",6,"SREB Type2","Four-Year")</f>
        <v>0</v>
      </c>
      <c r="D236" s="6">
        <f>+GETPIVOTDATA(" New-Bachelor's",'Pivot Table for 1-11'!$A$3,"State","MD","SREB Type",6,"SREB Type2","Four-Year")</f>
        <v>488</v>
      </c>
      <c r="E236" s="6">
        <f>+GETPIVOTDATA(" New-Post-Bachelor's",'Pivot Table for 1-11'!$A$3,"State","MD","SREB Type",6,"SREB Type2","Four-Year")</f>
        <v>0</v>
      </c>
      <c r="F236" s="6">
        <f>+GETPIVOTDATA(" New-Total Master's#",'Pivot Table for 1-11'!$A$3,"State","MD","SREB Type",6,"SREB Type2","Four-Year")</f>
        <v>28</v>
      </c>
      <c r="G236" s="6">
        <f>+GETPIVOTDATA(" New-Total Doctorates#",'Pivot Table for 1-11'!$A$3,"State","MD","SREB Type",6,"SREB Type2","Four-Year")</f>
        <v>0</v>
      </c>
      <c r="H236" s="17">
        <f>+GETPIVOTDATA(" New-Law",'Pivot Table for 1-11'!$A$3,"State","MD","SREB Type",6,"SREB Type2","Four-Year")</f>
        <v>0</v>
      </c>
      <c r="I236" s="6">
        <f>+GETPIVOTDATA(" New-Medicine",'Pivot Table for 1-11'!$A$3,"State","MD","SREB Type",6,"SREB Type2","Four-Year")</f>
        <v>0</v>
      </c>
      <c r="J236" s="6">
        <f>+GETPIVOTDATA(" New-Dentistry",'Pivot Table for 1-11'!$A$3,"State","MD","SREB Type",6,"SREB Type2","Four-Year")</f>
        <v>0</v>
      </c>
      <c r="K236" s="6">
        <f>+GETPIVOTDATA(" New-Pharmacy",'Pivot Table for 1-11'!$A$3,"State","MD","SREB Type",6,"SREB Type2","Four-Year")</f>
        <v>0</v>
      </c>
      <c r="L236" s="6">
        <f>+GETPIVOTDATA(" New-Optometry",'Pivot Table for 1-11'!$A$3,"State","MD","SREB Type",6,"SREB Type2","Four-Year")</f>
        <v>0</v>
      </c>
      <c r="M236" s="6">
        <f>+GETPIVOTDATA(" New-Osteopathic Medicine",'Pivot Table for 1-11'!$A$3,"State","MD","SREB Type",6,"SREB Type2","Four-Year")</f>
        <v>0</v>
      </c>
      <c r="N236" s="181">
        <f>+GETPIVOTDATA(" New-Veterinary Medicine",'Pivot Table for 1-11'!$A$3,"State","MD","SREB Type",6,"SREB Type2","Four-Year")</f>
        <v>0</v>
      </c>
      <c r="O236" s="198">
        <f>+GETPIVOTDATA(" New-Oth PP",'Pivot Table for 1-11'!$A$3,"State","MD","SREB Type",6,"SREB Type2","Four-Year")</f>
        <v>0</v>
      </c>
      <c r="P236" s="182">
        <f t="shared" si="10"/>
        <v>516</v>
      </c>
      <c r="Q236" s="186"/>
    </row>
    <row r="237" spans="1:17" ht="15" customHeight="1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181"/>
      <c r="O237" s="198"/>
      <c r="P237" s="182"/>
      <c r="Q237" s="186"/>
    </row>
    <row r="238" spans="1:17" ht="15" customHeight="1">
      <c r="A238" s="5" t="s">
        <v>305</v>
      </c>
      <c r="B238" s="6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6">
        <f>+GETPIVOTDATA(" New-Associate's",'Pivot Table for 1-11'!$A$3,"State","MS","SREB Type",6,"SREB Type2","Four-Year")</f>
        <v>0</v>
      </c>
      <c r="D238" s="6">
        <f>+GETPIVOTDATA(" New-Bachelor's",'Pivot Table for 1-11'!$A$3,"State","MS","SREB Type",6,"SREB Type2","Four-Year")</f>
        <v>0</v>
      </c>
      <c r="E238" s="6">
        <f>+GETPIVOTDATA(" New-Post-Bachelor's",'Pivot Table for 1-11'!$A$3,"State","MS","SREB Type",6,"SREB Type2","Four-Year")</f>
        <v>0</v>
      </c>
      <c r="F238" s="6">
        <f>+GETPIVOTDATA(" New-Total Master's#",'Pivot Table for 1-11'!$A$3,"State","MS","SREB Type",6,"SREB Type2","Four-Year")</f>
        <v>0</v>
      </c>
      <c r="G238" s="6">
        <f>+GETPIVOTDATA(" New-Total Doctorates#",'Pivot Table for 1-11'!$A$3,"State","MS","SREB Type",6,"SREB Type2","Four-Year")</f>
        <v>0</v>
      </c>
      <c r="H238" s="17">
        <f>+GETPIVOTDATA(" New-Law",'Pivot Table for 1-11'!$A$3,"State","MS","SREB Type",6,"SREB Type2","Four-Year")</f>
        <v>0</v>
      </c>
      <c r="I238" s="6">
        <f>+GETPIVOTDATA(" New-Medicine",'Pivot Table for 1-11'!$A$3,"State","MS","SREB Type",6,"SREB Type2","Four-Year")</f>
        <v>0</v>
      </c>
      <c r="J238" s="6">
        <f>+GETPIVOTDATA(" New-Dentistry",'Pivot Table for 1-11'!$A$3,"State","MS","SREB Type",6,"SREB Type2","Four-Year")</f>
        <v>0</v>
      </c>
      <c r="K238" s="6">
        <f>+GETPIVOTDATA(" New-Pharmacy",'Pivot Table for 1-11'!$A$3,"State","MS","SREB Type",6,"SREB Type2","Four-Year")</f>
        <v>0</v>
      </c>
      <c r="L238" s="6">
        <f>+GETPIVOTDATA(" New-Optometry",'Pivot Table for 1-11'!$A$3,"State","MS","SREB Type",6,"SREB Type2","Four-Year")</f>
        <v>0</v>
      </c>
      <c r="M238" s="6">
        <f>+GETPIVOTDATA(" New-Osteopathic Medicine",'Pivot Table for 1-11'!$A$3,"State","MS","SREB Type",6,"SREB Type2","Four-Year")</f>
        <v>0</v>
      </c>
      <c r="N238" s="181">
        <f>+GETPIVOTDATA(" New-Veterinary Medicine",'Pivot Table for 1-11'!$A$3,"State","MS","SREB Type",6,"SREB Type2","Four-Year")</f>
        <v>0</v>
      </c>
      <c r="O238" s="198">
        <f>+GETPIVOTDATA(" New-Oth PP",'Pivot Table for 1-11'!$A$3,"State","MS","SREB Type",6,"SREB Type2","Four-Year")</f>
        <v>0</v>
      </c>
      <c r="P238" s="182">
        <f t="shared" si="10"/>
        <v>0</v>
      </c>
      <c r="Q238" s="186"/>
    </row>
    <row r="239" spans="1:17" ht="15" customHeight="1">
      <c r="A239" s="5" t="s">
        <v>306</v>
      </c>
      <c r="B239" s="6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6">
        <f>+GETPIVOTDATA(" New-Associate's",'Pivot Table for 1-11'!$A$3,"State","NC","SREB Type",6,"SREB Type2","Four-Year")</f>
        <v>0</v>
      </c>
      <c r="D239" s="6">
        <f>+GETPIVOTDATA(" New-Bachelor's",'Pivot Table for 1-11'!$A$3,"State","NC","SREB Type",6,"SREB Type2","Four-Year")</f>
        <v>1000</v>
      </c>
      <c r="E239" s="6">
        <f>+GETPIVOTDATA(" New-Post-Bachelor's",'Pivot Table for 1-11'!$A$3,"State","NC","SREB Type",6,"SREB Type2","Four-Year")</f>
        <v>0</v>
      </c>
      <c r="F239" s="6">
        <f>+GETPIVOTDATA(" New-Total Master's#",'Pivot Table for 1-11'!$A$3,"State","NC","SREB Type",6,"SREB Type2","Four-Year")</f>
        <v>28</v>
      </c>
      <c r="G239" s="6">
        <f>+GETPIVOTDATA(" New-Total Doctorates#",'Pivot Table for 1-11'!$A$3,"State","NC","SREB Type",6,"SREB Type2","Four-Year")</f>
        <v>0</v>
      </c>
      <c r="H239" s="17">
        <f>+GETPIVOTDATA(" New-Law",'Pivot Table for 1-11'!$A$3,"State","NC","SREB Type",6,"SREB Type2","Four-Year")</f>
        <v>0</v>
      </c>
      <c r="I239" s="6">
        <f>+GETPIVOTDATA(" New-Medicine",'Pivot Table for 1-11'!$A$3,"State","NC","SREB Type",6,"SREB Type2","Four-Year")</f>
        <v>0</v>
      </c>
      <c r="J239" s="6">
        <f>+GETPIVOTDATA(" New-Dentistry",'Pivot Table for 1-11'!$A$3,"State","NC","SREB Type",6,"SREB Type2","Four-Year")</f>
        <v>0</v>
      </c>
      <c r="K239" s="6">
        <f>+GETPIVOTDATA(" New-Pharmacy",'Pivot Table for 1-11'!$A$3,"State","NC","SREB Type",6,"SREB Type2","Four-Year")</f>
        <v>0</v>
      </c>
      <c r="L239" s="6">
        <f>+GETPIVOTDATA(" New-Optometry",'Pivot Table for 1-11'!$A$3,"State","NC","SREB Type",6,"SREB Type2","Four-Year")</f>
        <v>0</v>
      </c>
      <c r="M239" s="6">
        <f>+GETPIVOTDATA(" New-Osteopathic Medicine",'Pivot Table for 1-11'!$A$3,"State","NC","SREB Type",6,"SREB Type2","Four-Year")</f>
        <v>0</v>
      </c>
      <c r="N239" s="181">
        <f>+GETPIVOTDATA(" New-Veterinary Medicine",'Pivot Table for 1-11'!$A$3,"State","NC","SREB Type",6,"SREB Type2","Four-Year")</f>
        <v>0</v>
      </c>
      <c r="O239" s="198">
        <f>+GETPIVOTDATA(" New-Oth PP",'Pivot Table for 1-11'!$A$3,"State","NC","SREB Type",6,"SREB Type2","Four-Year")</f>
        <v>0</v>
      </c>
      <c r="P239" s="182">
        <f t="shared" si="10"/>
        <v>1028</v>
      </c>
      <c r="Q239" s="186"/>
    </row>
    <row r="240" spans="1:17" ht="15" customHeight="1">
      <c r="A240" s="5" t="s">
        <v>307</v>
      </c>
      <c r="B240" s="6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6">
        <f>+GETPIVOTDATA(" New-Associate's",'Pivot Table for 1-11'!$A$3,"State","OK","SREB Type",6,"SREB Type2","Four-Year")</f>
        <v>252</v>
      </c>
      <c r="D240" s="6">
        <f>+GETPIVOTDATA(" New-Bachelor's",'Pivot Table for 1-11'!$A$3,"State","OK","SREB Type",6,"SREB Type2","Four-Year")</f>
        <v>588</v>
      </c>
      <c r="E240" s="6">
        <f>+GETPIVOTDATA(" New-Post-Bachelor's",'Pivot Table for 1-11'!$A$3,"State","OK","SREB Type",6,"SREB Type2","Four-Year")</f>
        <v>0</v>
      </c>
      <c r="F240" s="6">
        <f>+GETPIVOTDATA(" New-Total Master's#",'Pivot Table for 1-11'!$A$3,"State","OK","SREB Type",6,"SREB Type2","Four-Year")</f>
        <v>0</v>
      </c>
      <c r="G240" s="6">
        <f>+GETPIVOTDATA(" New-Total Doctorates#",'Pivot Table for 1-11'!$A$3,"State","OK","SREB Type",6,"SREB Type2","Four-Year")</f>
        <v>0</v>
      </c>
      <c r="H240" s="17">
        <f>+GETPIVOTDATA(" New-Law",'Pivot Table for 1-11'!$A$3,"State","OK","SREB Type",6,"SREB Type2","Four-Year")</f>
        <v>0</v>
      </c>
      <c r="I240" s="6">
        <f>+GETPIVOTDATA(" New-Medicine",'Pivot Table for 1-11'!$A$3,"State","OK","SREB Type",6,"SREB Type2","Four-Year")</f>
        <v>0</v>
      </c>
      <c r="J240" s="6">
        <f>+GETPIVOTDATA(" New-Dentistry",'Pivot Table for 1-11'!$A$3,"State","OK","SREB Type",6,"SREB Type2","Four-Year")</f>
        <v>0</v>
      </c>
      <c r="K240" s="6">
        <f>+GETPIVOTDATA(" New-Pharmacy",'Pivot Table for 1-11'!$A$3,"State","OK","SREB Type",6,"SREB Type2","Four-Year")</f>
        <v>0</v>
      </c>
      <c r="L240" s="6">
        <f>+GETPIVOTDATA(" New-Optometry",'Pivot Table for 1-11'!$A$3,"State","OK","SREB Type",6,"SREB Type2","Four-Year")</f>
        <v>0</v>
      </c>
      <c r="M240" s="6">
        <f>+GETPIVOTDATA(" New-Osteopathic Medicine",'Pivot Table for 1-11'!$A$3,"State","OK","SREB Type",6,"SREB Type2","Four-Year")</f>
        <v>0</v>
      </c>
      <c r="N240" s="181">
        <f>+GETPIVOTDATA(" New-Veterinary Medicine",'Pivot Table for 1-11'!$A$3,"State","OK","SREB Type",6,"SREB Type2","Four-Year")</f>
        <v>0</v>
      </c>
      <c r="O240" s="198">
        <f>+GETPIVOTDATA(" New-Oth PP",'Pivot Table for 1-11'!$A$3,"State","OK","SREB Type",6,"SREB Type2","Four-Year")</f>
        <v>0</v>
      </c>
      <c r="P240" s="182">
        <f t="shared" si="10"/>
        <v>840</v>
      </c>
      <c r="Q240" s="186"/>
    </row>
    <row r="241" spans="1:42" ht="15" customHeight="1">
      <c r="A241" s="5" t="s">
        <v>308</v>
      </c>
      <c r="B241" s="6">
        <f>+GETPIVOTDATA(" New-Less Than 2-Year",'Pivot Table for 1-11'!$A$3,"State","SC","SREB Type",6,"SREB Type2","Four-Year")+GETPIVOTDATA(" New-2 But Less Than 4-Year",'Pivot Table for 1-11'!$A$3,"State","SC","SREB Type",6,"SREB Type2","Four-Year")</f>
        <v>4</v>
      </c>
      <c r="C241" s="6">
        <f>+GETPIVOTDATA(" New-Associate's",'Pivot Table for 1-11'!$A$3,"State","SC","SREB Type",6,"SREB Type2","Four-Year")</f>
        <v>5</v>
      </c>
      <c r="D241" s="6">
        <f>+GETPIVOTDATA(" New-Bachelor's",'Pivot Table for 1-11'!$A$3,"State","SC","SREB Type",6,"SREB Type2","Four-Year")</f>
        <v>2023</v>
      </c>
      <c r="E241" s="6">
        <f>+GETPIVOTDATA(" New-Post-Bachelor's",'Pivot Table for 1-11'!$A$3,"State","SC","SREB Type",6,"SREB Type2","Four-Year")</f>
        <v>2</v>
      </c>
      <c r="F241" s="6">
        <f>+GETPIVOTDATA(" New-Total Master's#",'Pivot Table for 1-11'!$A$3,"State","SC","SREB Type",6,"SREB Type2","Four-Year")</f>
        <v>45</v>
      </c>
      <c r="G241" s="6">
        <f>+GETPIVOTDATA(" New-Total Doctorates#",'Pivot Table for 1-11'!$A$3,"State","SC","SREB Type",6,"SREB Type2","Four-Year")</f>
        <v>0</v>
      </c>
      <c r="H241" s="17">
        <f>+GETPIVOTDATA(" New-Law",'Pivot Table for 1-11'!$A$3,"State","SC","SREB Type",6,"SREB Type2","Four-Year")</f>
        <v>0</v>
      </c>
      <c r="I241" s="6">
        <f>+GETPIVOTDATA(" New-Medicine",'Pivot Table for 1-11'!$A$3,"State","SC","SREB Type",6,"SREB Type2","Four-Year")</f>
        <v>0</v>
      </c>
      <c r="J241" s="6">
        <f>+GETPIVOTDATA(" New-Dentistry",'Pivot Table for 1-11'!$A$3,"State","SC","SREB Type",6,"SREB Type2","Four-Year")</f>
        <v>0</v>
      </c>
      <c r="K241" s="6">
        <f>+GETPIVOTDATA(" New-Pharmacy",'Pivot Table for 1-11'!$A$3,"State","SC","SREB Type",6,"SREB Type2","Four-Year")</f>
        <v>0</v>
      </c>
      <c r="L241" s="6">
        <f>+GETPIVOTDATA(" New-Optometry",'Pivot Table for 1-11'!$A$3,"State","SC","SREB Type",6,"SREB Type2","Four-Year")</f>
        <v>0</v>
      </c>
      <c r="M241" s="6">
        <f>+GETPIVOTDATA(" New-Osteopathic Medicine",'Pivot Table for 1-11'!$A$3,"State","SC","SREB Type",6,"SREB Type2","Four-Year")</f>
        <v>0</v>
      </c>
      <c r="N241" s="181">
        <f>+GETPIVOTDATA(" New-Veterinary Medicine",'Pivot Table for 1-11'!$A$3,"State","SC","SREB Type",6,"SREB Type2","Four-Year")</f>
        <v>0</v>
      </c>
      <c r="O241" s="198">
        <f>+GETPIVOTDATA(" New-Oth PP",'Pivot Table for 1-11'!$A$3,"State","SC","SREB Type",6,"SREB Type2","Four-Year")</f>
        <v>0</v>
      </c>
      <c r="P241" s="182">
        <f t="shared" si="10"/>
        <v>2079</v>
      </c>
      <c r="Q241" s="186"/>
    </row>
    <row r="242" spans="1:42" ht="15" customHeight="1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181"/>
      <c r="O242" s="198"/>
      <c r="P242" s="182"/>
      <c r="Q242" s="186"/>
    </row>
    <row r="243" spans="1:42" ht="15" customHeight="1">
      <c r="A243" s="5" t="s">
        <v>309</v>
      </c>
      <c r="B243" s="6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6">
        <f>+GETPIVOTDATA(" New-Associate's",'Pivot Table for 1-11'!$A$3,"State","TN","SREB Type",6,"SREB Type2","Four-Year")</f>
        <v>0</v>
      </c>
      <c r="D243" s="6">
        <f>+GETPIVOTDATA(" New-Bachelor's",'Pivot Table for 1-11'!$A$3,"State","TN","SREB Type",6,"SREB Type2","Four-Year")</f>
        <v>0</v>
      </c>
      <c r="E243" s="6">
        <f>+GETPIVOTDATA(" New-Post-Bachelor's",'Pivot Table for 1-11'!$A$3,"State","TN","SREB Type",6,"SREB Type2","Four-Year")</f>
        <v>0</v>
      </c>
      <c r="F243" s="6">
        <f>+GETPIVOTDATA(" New-Total Master's#",'Pivot Table for 1-11'!$A$3,"State","TN","SREB Type",6,"SREB Type2","Four-Year")</f>
        <v>0</v>
      </c>
      <c r="G243" s="6">
        <f>+GETPIVOTDATA(" New-Total Doctorates#",'Pivot Table for 1-11'!$A$3,"State","TN","SREB Type",6,"SREB Type2","Four-Year")</f>
        <v>0</v>
      </c>
      <c r="H243" s="17">
        <f>+GETPIVOTDATA(" New-Law",'Pivot Table for 1-11'!$A$3,"State","TN","SREB Type",6,"SREB Type2","Four-Year")</f>
        <v>0</v>
      </c>
      <c r="I243" s="6">
        <f>+GETPIVOTDATA(" New-Medicine",'Pivot Table for 1-11'!$A$3,"State","TN","SREB Type",6,"SREB Type2","Four-Year")</f>
        <v>0</v>
      </c>
      <c r="J243" s="6">
        <f>+GETPIVOTDATA(" New-Dentistry",'Pivot Table for 1-11'!$A$3,"State","TN","SREB Type",6,"SREB Type2","Four-Year")</f>
        <v>0</v>
      </c>
      <c r="K243" s="6">
        <f>+GETPIVOTDATA(" New-Pharmacy",'Pivot Table for 1-11'!$A$3,"State","TN","SREB Type",6,"SREB Type2","Four-Year")</f>
        <v>0</v>
      </c>
      <c r="L243" s="6">
        <f>+GETPIVOTDATA(" New-Optometry",'Pivot Table for 1-11'!$A$3,"State","TN","SREB Type",6,"SREB Type2","Four-Year")</f>
        <v>0</v>
      </c>
      <c r="M243" s="6">
        <f>+GETPIVOTDATA(" New-Osteopathic Medicine",'Pivot Table for 1-11'!$A$3,"State","TN","SREB Type",6,"SREB Type2","Four-Year")</f>
        <v>0</v>
      </c>
      <c r="N243" s="181">
        <f>+GETPIVOTDATA(" New-Veterinary Medicine",'Pivot Table for 1-11'!$A$3,"State","TN","SREB Type",6,"SREB Type2","Four-Year")</f>
        <v>0</v>
      </c>
      <c r="O243" s="198">
        <f>+GETPIVOTDATA(" New-Oth PP",'Pivot Table for 1-11'!$A$3,"State","TN","SREB Type",6,"SREB Type2","Four-Year")</f>
        <v>0</v>
      </c>
      <c r="P243" s="182">
        <f t="shared" si="10"/>
        <v>0</v>
      </c>
      <c r="Q243" s="186"/>
    </row>
    <row r="244" spans="1:42" ht="15" customHeight="1">
      <c r="A244" s="5" t="s">
        <v>310</v>
      </c>
      <c r="B244" s="6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6">
        <f>+GETPIVOTDATA(" New-Associate's",'Pivot Table for 1-11'!$A$3,"State","TX","SREB Type",6,"SREB Type2","Four-Year")</f>
        <v>0</v>
      </c>
      <c r="D244" s="6">
        <f>+GETPIVOTDATA(" New-Bachelor's",'Pivot Table for 1-11'!$A$3,"State","TX","SREB Type",6,"SREB Type2","Four-Year")</f>
        <v>239</v>
      </c>
      <c r="E244" s="6">
        <f>+GETPIVOTDATA(" New-Post-Bachelor's",'Pivot Table for 1-11'!$A$3,"State","TX","SREB Type",6,"SREB Type2","Four-Year")</f>
        <v>0</v>
      </c>
      <c r="F244" s="6">
        <f>+GETPIVOTDATA(" New-Total Master's#",'Pivot Table for 1-11'!$A$3,"State","TX","SREB Type",6,"SREB Type2","Four-Year")</f>
        <v>11</v>
      </c>
      <c r="G244" s="6">
        <f>+GETPIVOTDATA(" New-Total Doctorates#",'Pivot Table for 1-11'!$A$3,"State","TX","SREB Type",6,"SREB Type2","Four-Year")</f>
        <v>0</v>
      </c>
      <c r="H244" s="17">
        <f>+GETPIVOTDATA(" New-Law",'Pivot Table for 1-11'!$A$3,"State","TX","SREB Type",6,"SREB Type2","Four-Year")</f>
        <v>0</v>
      </c>
      <c r="I244" s="6">
        <f>+GETPIVOTDATA(" New-Medicine",'Pivot Table for 1-11'!$A$3,"State","TX","SREB Type",6,"SREB Type2","Four-Year")</f>
        <v>0</v>
      </c>
      <c r="J244" s="6">
        <f>+GETPIVOTDATA(" New-Dentistry",'Pivot Table for 1-11'!$A$3,"State","TX","SREB Type",6,"SREB Type2","Four-Year")</f>
        <v>0</v>
      </c>
      <c r="K244" s="6">
        <f>+GETPIVOTDATA(" New-Pharmacy",'Pivot Table for 1-11'!$A$3,"State","TX","SREB Type",6,"SREB Type2","Four-Year")</f>
        <v>0</v>
      </c>
      <c r="L244" s="6">
        <f>+GETPIVOTDATA(" New-Optometry",'Pivot Table for 1-11'!$A$3,"State","TX","SREB Type",6,"SREB Type2","Four-Year")</f>
        <v>0</v>
      </c>
      <c r="M244" s="6">
        <f>+GETPIVOTDATA(" New-Osteopathic Medicine",'Pivot Table for 1-11'!$A$3,"State","TX","SREB Type",6,"SREB Type2","Four-Year")</f>
        <v>0</v>
      </c>
      <c r="N244" s="181">
        <f>+GETPIVOTDATA(" New-Veterinary Medicine",'Pivot Table for 1-11'!$A$3,"State","TX","SREB Type",6,"SREB Type2","Four-Year")</f>
        <v>0</v>
      </c>
      <c r="O244" s="198">
        <f>+GETPIVOTDATA(" New-Oth PP",'Pivot Table for 1-11'!$A$3,"State","TX","SREB Type",6,"SREB Type2","Four-Year")</f>
        <v>0</v>
      </c>
      <c r="P244" s="182">
        <f t="shared" si="10"/>
        <v>250</v>
      </c>
      <c r="Q244" s="186"/>
    </row>
    <row r="245" spans="1:42" ht="15" customHeight="1">
      <c r="A245" s="5" t="s">
        <v>311</v>
      </c>
      <c r="B245" s="6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6">
        <f>+GETPIVOTDATA(" New-Associate's",'Pivot Table for 1-11'!$A$3,"State","VA","SREB Type",6,"SREB Type2","Four-Year")</f>
        <v>0</v>
      </c>
      <c r="D245" s="6">
        <f>+GETPIVOTDATA(" New-Bachelor's",'Pivot Table for 1-11'!$A$3,"State","VA","SREB Type",6,"SREB Type2","Four-Year")</f>
        <v>287</v>
      </c>
      <c r="E245" s="6">
        <f>+GETPIVOTDATA(" New-Post-Bachelor's",'Pivot Table for 1-11'!$A$3,"State","VA","SREB Type",6,"SREB Type2","Four-Year")</f>
        <v>0</v>
      </c>
      <c r="F245" s="6">
        <f>+GETPIVOTDATA(" New-Total Master's#",'Pivot Table for 1-11'!$A$3,"State","VA","SREB Type",6,"SREB Type2","Four-Year")</f>
        <v>0</v>
      </c>
      <c r="G245" s="6">
        <f>+GETPIVOTDATA(" New-Total Doctorates#",'Pivot Table for 1-11'!$A$3,"State","VA","SREB Type",6,"SREB Type2","Four-Year")</f>
        <v>0</v>
      </c>
      <c r="H245" s="17">
        <f>+GETPIVOTDATA(" New-Law",'Pivot Table for 1-11'!$A$3,"State","VA","SREB Type",6,"SREB Type2","Four-Year")</f>
        <v>0</v>
      </c>
      <c r="I245" s="6">
        <f>+GETPIVOTDATA(" New-Medicine",'Pivot Table for 1-11'!$A$3,"State","VA","SREB Type",6,"SREB Type2","Four-Year")</f>
        <v>0</v>
      </c>
      <c r="J245" s="6">
        <f>+GETPIVOTDATA(" New-Dentistry",'Pivot Table for 1-11'!$A$3,"State","VA","SREB Type",6,"SREB Type2","Four-Year")</f>
        <v>0</v>
      </c>
      <c r="K245" s="6">
        <f>+GETPIVOTDATA(" New-Pharmacy",'Pivot Table for 1-11'!$A$3,"State","VA","SREB Type",6,"SREB Type2","Four-Year")</f>
        <v>0</v>
      </c>
      <c r="L245" s="6">
        <f>+GETPIVOTDATA(" New-Optometry",'Pivot Table for 1-11'!$A$3,"State","VA","SREB Type",6,"SREB Type2","Four-Year")</f>
        <v>0</v>
      </c>
      <c r="M245" s="6">
        <f>+GETPIVOTDATA(" New-Osteopathic Medicine",'Pivot Table for 1-11'!$A$3,"State","VA","SREB Type",6,"SREB Type2","Four-Year")</f>
        <v>0</v>
      </c>
      <c r="N245" s="181">
        <f>+GETPIVOTDATA(" New-Veterinary Medicine",'Pivot Table for 1-11'!$A$3,"State","VA","SREB Type",6,"SREB Type2","Four-Year")</f>
        <v>0</v>
      </c>
      <c r="O245" s="198">
        <f>+GETPIVOTDATA(" New-Oth PP",'Pivot Table for 1-11'!$A$3,"State","VA","SREB Type",6,"SREB Type2","Four-Year")</f>
        <v>0</v>
      </c>
      <c r="P245" s="182">
        <f t="shared" si="10"/>
        <v>287</v>
      </c>
      <c r="Q245" s="186"/>
    </row>
    <row r="246" spans="1:42" ht="15" customHeight="1">
      <c r="A246" s="7" t="s">
        <v>312</v>
      </c>
      <c r="B246" s="8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8">
        <f>+GETPIVOTDATA(" New-Associate's",'Pivot Table for 1-11'!$A$3,"State","WV","SREB Type",6,"SREB Type2","Four-Year")</f>
        <v>156</v>
      </c>
      <c r="D246" s="8">
        <f>+GETPIVOTDATA(" New-Bachelor's",'Pivot Table for 1-11'!$A$3,"State","WV","SREB Type",6,"SREB Type2","Four-Year")</f>
        <v>2305</v>
      </c>
      <c r="E246" s="8">
        <f>+GETPIVOTDATA(" New-Post-Bachelor's",'Pivot Table for 1-11'!$A$3,"State","WV","SREB Type",6,"SREB Type2","Four-Year")</f>
        <v>0</v>
      </c>
      <c r="F246" s="8">
        <f>+GETPIVOTDATA(" New-Total Master's#",'Pivot Table for 1-11'!$A$3,"State","WV","SREB Type",6,"SREB Type2","Four-Year")</f>
        <v>84</v>
      </c>
      <c r="G246" s="8">
        <f>+GETPIVOTDATA(" New-Total Doctorates#",'Pivot Table for 1-11'!$A$3,"State","WV","SREB Type",6,"SREB Type2","Four-Year")</f>
        <v>0</v>
      </c>
      <c r="H246" s="18">
        <f>+GETPIVOTDATA(" New-Law",'Pivot Table for 1-11'!$A$3,"State","WV","SREB Type",6,"SREB Type2","Four-Year")</f>
        <v>0</v>
      </c>
      <c r="I246" s="8">
        <f>+GETPIVOTDATA(" New-Medicine",'Pivot Table for 1-11'!$A$3,"State","WV","SREB Type",6,"SREB Type2","Four-Year")</f>
        <v>0</v>
      </c>
      <c r="J246" s="8">
        <f>+GETPIVOTDATA(" New-Dentistry",'Pivot Table for 1-11'!$A$3,"State","WV","SREB Type",6,"SREB Type2","Four-Year")</f>
        <v>0</v>
      </c>
      <c r="K246" s="8">
        <f>+GETPIVOTDATA(" New-Pharmacy",'Pivot Table for 1-11'!$A$3,"State","WV","SREB Type",6,"SREB Type2","Four-Year")</f>
        <v>0</v>
      </c>
      <c r="L246" s="8">
        <f>+GETPIVOTDATA(" New-Optometry",'Pivot Table for 1-11'!$A$3,"State","WV","SREB Type",6,"SREB Type2","Four-Year")</f>
        <v>0</v>
      </c>
      <c r="M246" s="8">
        <f>+GETPIVOTDATA(" New-Osteopathic Medicine",'Pivot Table for 1-11'!$A$3,"State","WV","SREB Type",6,"SREB Type2","Four-Year")</f>
        <v>0</v>
      </c>
      <c r="N246" s="189">
        <f>+GETPIVOTDATA(" New-Veterinary Medicine",'Pivot Table for 1-11'!$A$3,"State","WV","SREB Type",6,"SREB Type2","Four-Year")</f>
        <v>0</v>
      </c>
      <c r="O246" s="199">
        <f>+GETPIVOTDATA(" New-Oth PP",'Pivot Table for 1-11'!$A$3,"State","WV","SREB Type",6,"SREB Type2","Four-Year")</f>
        <v>0</v>
      </c>
      <c r="P246" s="183">
        <f t="shared" si="10"/>
        <v>2545</v>
      </c>
      <c r="Q246" s="186"/>
    </row>
    <row r="247" spans="1:4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181"/>
      <c r="O247" s="181"/>
      <c r="P247" s="181"/>
      <c r="Q247" s="186"/>
    </row>
    <row r="248" spans="1:42" ht="29.25" customHeight="1">
      <c r="A248" s="767" t="s">
        <v>1253</v>
      </c>
      <c r="B248" s="768"/>
      <c r="C248" s="768"/>
      <c r="D248" s="768"/>
      <c r="E248" s="768"/>
      <c r="F248" s="768"/>
      <c r="G248" s="768"/>
      <c r="H248" s="768"/>
      <c r="I248" s="768"/>
      <c r="J248" s="768"/>
      <c r="K248" s="768"/>
      <c r="L248" s="768"/>
      <c r="M248" s="768"/>
      <c r="N248" s="768"/>
      <c r="O248" s="768"/>
      <c r="P248" s="768"/>
      <c r="Q248" s="713"/>
    </row>
    <row r="249" spans="1:42" ht="1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90"/>
      <c r="O249" s="190"/>
      <c r="P249" s="184" t="s">
        <v>1267</v>
      </c>
      <c r="Q249" s="714"/>
    </row>
    <row r="250" spans="1:42" ht="18">
      <c r="A250" s="22" t="s">
        <v>320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93" t="s">
        <v>321</v>
      </c>
      <c r="O250" s="93"/>
      <c r="P250" s="93"/>
      <c r="Q250" s="701" t="s">
        <v>321</v>
      </c>
    </row>
    <row r="251" spans="1:4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92" t="s">
        <v>321</v>
      </c>
      <c r="O251" s="92"/>
      <c r="P251" s="92"/>
      <c r="Q251" s="710"/>
    </row>
    <row r="252" spans="1:42" ht="15.75">
      <c r="A252" s="1" t="s">
        <v>285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93" t="s">
        <v>321</v>
      </c>
      <c r="O252" s="93"/>
      <c r="P252" s="93"/>
      <c r="Q252" s="701" t="s">
        <v>321</v>
      </c>
    </row>
    <row r="253" spans="1:42" ht="15.75">
      <c r="A253" s="1" t="s">
        <v>1263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93" t="s">
        <v>321</v>
      </c>
      <c r="O253" s="93"/>
      <c r="P253" s="93"/>
      <c r="Q253" s="86" t="s">
        <v>721</v>
      </c>
      <c r="R253" s="86" t="s">
        <v>721</v>
      </c>
    </row>
    <row r="254" spans="1:42">
      <c r="A254" s="4"/>
      <c r="B254" s="4"/>
      <c r="C254" s="4"/>
      <c r="D254" s="4"/>
      <c r="E254" s="4"/>
      <c r="F254" s="4"/>
      <c r="G254" s="4"/>
      <c r="H254" s="4"/>
      <c r="I254" s="4"/>
      <c r="N254" s="92" t="s">
        <v>321</v>
      </c>
      <c r="O254" s="92"/>
      <c r="Q254" s="86"/>
    </row>
    <row r="255" spans="1:42">
      <c r="A255" s="11"/>
      <c r="B255" s="12" t="s">
        <v>322</v>
      </c>
      <c r="C255" s="12"/>
      <c r="D255" s="88"/>
      <c r="E255" s="13" t="s">
        <v>323</v>
      </c>
      <c r="F255" s="12"/>
      <c r="G255" s="88"/>
      <c r="H255" s="13" t="s">
        <v>324</v>
      </c>
      <c r="I255" s="88"/>
      <c r="J255" s="13" t="s">
        <v>325</v>
      </c>
      <c r="K255" s="88"/>
      <c r="L255" s="13" t="s">
        <v>326</v>
      </c>
      <c r="M255" s="12"/>
      <c r="N255" s="92" t="s">
        <v>321</v>
      </c>
      <c r="O255" s="92"/>
      <c r="Q255" s="760"/>
      <c r="R255" s="760"/>
      <c r="S255" s="85"/>
      <c r="T255" s="85"/>
      <c r="U255" s="85"/>
      <c r="V255" s="85"/>
      <c r="W255" s="85"/>
      <c r="X255" s="85"/>
      <c r="Z255" s="702"/>
    </row>
    <row r="256" spans="1:42" ht="24">
      <c r="A256" s="14"/>
      <c r="B256" s="15" t="s">
        <v>696</v>
      </c>
      <c r="C256" s="15" t="s">
        <v>327</v>
      </c>
      <c r="D256" s="89" t="s">
        <v>1331</v>
      </c>
      <c r="E256" s="16" t="s">
        <v>696</v>
      </c>
      <c r="F256" s="15" t="s">
        <v>327</v>
      </c>
      <c r="G256" s="89" t="s">
        <v>280</v>
      </c>
      <c r="H256" s="16" t="s">
        <v>696</v>
      </c>
      <c r="I256" s="89" t="s">
        <v>327</v>
      </c>
      <c r="J256" s="16" t="s">
        <v>696</v>
      </c>
      <c r="K256" s="89" t="s">
        <v>327</v>
      </c>
      <c r="L256" s="16" t="s">
        <v>696</v>
      </c>
      <c r="M256" s="15" t="s">
        <v>327</v>
      </c>
      <c r="N256" s="92"/>
      <c r="O256" s="92"/>
      <c r="Q256" s="761" t="s">
        <v>1325</v>
      </c>
      <c r="R256" s="761" t="s">
        <v>1326</v>
      </c>
      <c r="S256" s="762" t="s">
        <v>1324</v>
      </c>
      <c r="T256" s="85"/>
      <c r="U256" s="765" t="s">
        <v>1328</v>
      </c>
      <c r="V256" s="765" t="s">
        <v>1329</v>
      </c>
      <c r="W256" s="765" t="s">
        <v>1330</v>
      </c>
      <c r="X256" s="765" t="s">
        <v>758</v>
      </c>
      <c r="Z256" s="698"/>
      <c r="AA256" s="244"/>
      <c r="AB256" s="244"/>
      <c r="AC256" s="244"/>
      <c r="AD256" s="244"/>
      <c r="AE256" s="244"/>
      <c r="AF256" s="244"/>
      <c r="AG256" s="244"/>
      <c r="AH256" s="244"/>
      <c r="AI256" s="244"/>
      <c r="AJ256" s="244"/>
      <c r="AK256" s="245"/>
      <c r="AL256" s="244"/>
      <c r="AM256" s="244"/>
      <c r="AN256" s="244"/>
      <c r="AO256" s="245"/>
      <c r="AP256" s="244"/>
    </row>
    <row r="257" spans="1:41" ht="15" customHeight="1">
      <c r="A257" s="5" t="s">
        <v>296</v>
      </c>
      <c r="B257" s="6">
        <f>+GETPIVOTDATA(" New-Less Than 2-Year",'Pivot Table for 1-11'!$A$3,"SREB Type2","Two-Year")+GETPIVOTDATA(" New-2 But Less Than 4-Year",'Pivot Table for 1-11'!$A$3,"SREB Type2","Two-Year")</f>
        <v>103627</v>
      </c>
      <c r="C257" s="6">
        <f>+GETPIVOTDATA(" New-Associate's",'Pivot Table for 1-11'!$A$3,"SREB Type2","Two-Year")</f>
        <v>196097</v>
      </c>
      <c r="D257" s="6">
        <f>+GETPIVOTDATA(" New-Bachelor's",'Pivot Table for 1-11'!$A$3,"SREB Type2","Two-Year")</f>
        <v>1816</v>
      </c>
      <c r="E257" s="375">
        <f>+GETPIVOTDATA(" New-Less Than 2-Year",'Pivot Table for 1-11'!$A$3,"SREB Type",7,"SREB Type2","Two-Year")+GETPIVOTDATA(" New-2 But Less Than 4-Year",'Pivot Table for 1-11'!$A$3,"SREB Type",7,"SREB Type2","Two-Year")</f>
        <v>5123</v>
      </c>
      <c r="F257" s="376">
        <f>+GETPIVOTDATA(" New-Associate's",'Pivot Table for 1-11'!$A$3,"SREB Type",7,"SREB Type2","Two-Year")</f>
        <v>17682</v>
      </c>
      <c r="G257" s="377">
        <f>+GETPIVOTDATA(" New-Bachelor's",'Pivot Table for 1-11'!$A$3,"SREB Type",7,"SREB Type2","Two-Year")</f>
        <v>1670</v>
      </c>
      <c r="H257" s="375">
        <f>+GETPIVOTDATA(" New-Less Than 2-Year",'Pivot Table for 1-11'!$A$3,"SREB Type",8,"SREB Type2","Two-Year")+GETPIVOTDATA(" New-2 But Less Than 4-Year",'Pivot Table for 1-11'!$A$3,"SREB Type",8,"SREB Type2","Two-Year")</f>
        <v>44391</v>
      </c>
      <c r="I257" s="377">
        <f>+GETPIVOTDATA(" New-Associate's",'Pivot Table for 1-11'!$A$3,"SREB Type",8,"SREB Type2","Two-Year")</f>
        <v>99944</v>
      </c>
      <c r="J257" s="375">
        <f>+GETPIVOTDATA(" New-Less Than 2-Year",'Pivot Table for 1-11'!$A$3,"SREB Type",9,"SREB Type2","Two-Year")+GETPIVOTDATA(" New-2 But Less Than 4-Year",'Pivot Table for 1-11'!$A$3,"SREB Type",9,"SREB Type2","Two-Year")</f>
        <v>39503</v>
      </c>
      <c r="K257" s="377">
        <f>+GETPIVOTDATA(" New-Associate's",'Pivot Table for 1-11'!$A$3,"SREB Type",9,"SREB Type2","Two-Year")</f>
        <v>59655</v>
      </c>
      <c r="L257" s="6">
        <f>+GETPIVOTDATA(" New-Less Than 2-Year",'Pivot Table for 1-11'!$A$3,"SREB Type",10,"SREB Type2","Two-Year")+GETPIVOTDATA(" New-2 But Less Than 4-Year",'Pivot Table for 1-11'!$A$3,"SREB Type",10,"SREB Type2","Two-Year")</f>
        <v>14610</v>
      </c>
      <c r="M257" s="6">
        <f>+GETPIVOTDATA(" New-Associate's",'Pivot Table for 1-11'!$A$3,"SREB Type",10,"SREB Type2","Two-Year")</f>
        <v>18816</v>
      </c>
      <c r="N257" s="181"/>
      <c r="O257" s="181"/>
      <c r="Q257" s="763">
        <f>SUM(B257:D257)</f>
        <v>301540</v>
      </c>
      <c r="R257" s="763">
        <f>SUM('Old 1-12'!B257:D257)</f>
        <v>290275</v>
      </c>
      <c r="S257" s="764">
        <f>('New Tables 1-12'!Q257-'New Tables 1-12'!R257)/R257</f>
        <v>3.8808026871070538E-2</v>
      </c>
      <c r="T257" s="39" t="s">
        <v>296</v>
      </c>
      <c r="U257" s="765">
        <f>E257+H257+J257+L257</f>
        <v>103627</v>
      </c>
      <c r="V257" s="765">
        <f>F257+I257+K257+M257</f>
        <v>196097</v>
      </c>
      <c r="W257" s="765">
        <f>G257</f>
        <v>1670</v>
      </c>
      <c r="X257" s="765">
        <f>SUM(U257:W257)</f>
        <v>301394</v>
      </c>
      <c r="AK257" s="246"/>
      <c r="AO257" s="246"/>
    </row>
    <row r="258" spans="1:41" ht="15" customHeight="1">
      <c r="A258" s="5"/>
      <c r="B258" s="6"/>
      <c r="C258" s="6"/>
      <c r="D258" s="6"/>
      <c r="E258" s="17"/>
      <c r="F258" s="40"/>
      <c r="G258" s="90"/>
      <c r="H258" s="17"/>
      <c r="I258" s="90"/>
      <c r="J258" s="17"/>
      <c r="K258" s="90"/>
      <c r="L258" s="6"/>
      <c r="M258" s="6"/>
      <c r="N258" s="181"/>
      <c r="O258" s="181"/>
      <c r="P258" s="106"/>
      <c r="Q258" s="763"/>
      <c r="R258" s="763"/>
      <c r="S258" s="764"/>
      <c r="T258" s="39"/>
      <c r="U258" s="765">
        <f t="shared" ref="U258:U277" si="11">E258+H258+J258+L258</f>
        <v>0</v>
      </c>
      <c r="V258" s="765">
        <f t="shared" ref="V258:V277" si="12">F258+I258+K258+M258</f>
        <v>0</v>
      </c>
      <c r="W258" s="765">
        <f t="shared" ref="W258:W277" si="13">G258</f>
        <v>0</v>
      </c>
      <c r="X258" s="765">
        <f t="shared" ref="X258:X277" si="14">SUM(U258:W258)</f>
        <v>0</v>
      </c>
      <c r="AK258" s="246"/>
      <c r="AO258" s="246"/>
    </row>
    <row r="259" spans="1:41" ht="15" customHeight="1">
      <c r="A259" s="5" t="s">
        <v>297</v>
      </c>
      <c r="B259" s="6">
        <f>+GETPIVOTDATA(" New-Less Than 2-Year",'Pivot Table for 1-11'!$A$3,"State","AL","SREB Type2","Two-Year")+GETPIVOTDATA(" New-2 But Less Than 4-Year",'Pivot Table for 1-11'!$A$3,"State","AL","SREB Type2","Two-Year")</f>
        <v>3536</v>
      </c>
      <c r="C259" s="6">
        <f>+GETPIVOTDATA(" New-Associate's",'Pivot Table for 1-11'!$A$3,"State","AL","SREB Type2","Two-Year")</f>
        <v>7191</v>
      </c>
      <c r="D259" s="6">
        <f>+GETPIVOTDATA(" New-Bachelor's",'Pivot Table for 1-11'!$A$3,"State","AL","SREB Type2","Two-Year")</f>
        <v>0</v>
      </c>
      <c r="E259" s="766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186">
        <f>+GETPIVOTDATA(" New-Associate's",'Pivot Table for 1-11'!$A$3,"State","AL","SREB Type",7,"SREB Type2","Two-Year")</f>
        <v>0</v>
      </c>
      <c r="G259" s="198">
        <f>+GETPIVOTDATA(" New-Bachelor's",'Pivot Table for 1-11'!$A$3,"State","AL","SREB Type",7,"SREB Type2","Two-Year")</f>
        <v>0</v>
      </c>
      <c r="H259" s="766">
        <f>+GETPIVOTDATA(" New-Less Than 2-Year",'Pivot Table for 1-11'!$A$3,"State","AL","SREB Type",8,"SREB Type2","Two-Year")+GETPIVOTDATA(" New-2 But Less Than 4-Year",'Pivot Table for 1-11'!$A$3,"State","AL","SREB Type",8,"SREB Type2","Two-Year")</f>
        <v>524</v>
      </c>
      <c r="I259" s="198">
        <f>+GETPIVOTDATA(" New-Associate's",'Pivot Table for 1-11'!$A$3,"State","AL","SREB Type",8,"SREB Type2","Two-Year")</f>
        <v>1302</v>
      </c>
      <c r="J259" s="766">
        <f>+GETPIVOTDATA(" New-Less Than 2-Year",'Pivot Table for 1-11'!$A$3,"State","AL","SREB Type",9,"SREB Type2","Two-Year")+GETPIVOTDATA(" New-2 But Less Than 4-Year",'Pivot Table for 1-11'!$A$3,"State","AL","SREB Type",9,"SREB Type2","Two-Year")</f>
        <v>2013</v>
      </c>
      <c r="K259" s="198">
        <f>+GETPIVOTDATA(" New-Associate's",'Pivot Table for 1-11'!$A$3,"State","AL","SREB Type",9,"SREB Type2","Two-Year")</f>
        <v>3892</v>
      </c>
      <c r="L259" s="181">
        <f>+GETPIVOTDATA(" New-Less Than 2-Year",'Pivot Table for 1-11'!$A$3,"State","AL","SREB Type",10,"SREB Type2","Two-Year")+GETPIVOTDATA(" New-2 But Less Than 4-Year",'Pivot Table for 1-11'!$A$3,"State","AL","SREB Type",10,"SREB Type2","Two-Year")</f>
        <v>999</v>
      </c>
      <c r="M259" s="181">
        <f>+GETPIVOTDATA(" New-Associate's",'Pivot Table for 1-11'!$A$3,"State","AL","SREB Type",10,"SREB Type2","Two-Year")</f>
        <v>1997</v>
      </c>
      <c r="N259" s="181"/>
      <c r="O259" s="181"/>
      <c r="Q259" s="763">
        <f t="shared" ref="Q259:Q277" si="15">SUM(B259:D259)</f>
        <v>10727</v>
      </c>
      <c r="R259" s="763">
        <f>SUM('Old 1-12'!B259:D259)</f>
        <v>10669</v>
      </c>
      <c r="S259" s="764">
        <f>('New Tables 1-12'!Q259-'New Tables 1-12'!R259)/R259</f>
        <v>5.4363108070109665E-3</v>
      </c>
      <c r="T259" s="39" t="s">
        <v>297</v>
      </c>
      <c r="U259" s="765">
        <f t="shared" si="11"/>
        <v>3536</v>
      </c>
      <c r="V259" s="765">
        <f t="shared" si="12"/>
        <v>7191</v>
      </c>
      <c r="W259" s="765">
        <f t="shared" si="13"/>
        <v>0</v>
      </c>
      <c r="X259" s="765">
        <f t="shared" si="14"/>
        <v>10727</v>
      </c>
      <c r="Z259" s="706"/>
      <c r="AK259" s="246"/>
      <c r="AO259" s="246"/>
    </row>
    <row r="260" spans="1:41" ht="15" customHeight="1">
      <c r="A260" s="5" t="s">
        <v>298</v>
      </c>
      <c r="B260" s="6">
        <f>+GETPIVOTDATA(" New-Less Than 2-Year",'Pivot Table for 1-11'!$A$3,"State","AR","SREB Type2","Two-Year")+GETPIVOTDATA(" New-2 But Less Than 4-Year",'Pivot Table for 1-11'!$A$3,"State","AR","SREB Type2","Two-Year")</f>
        <v>6932</v>
      </c>
      <c r="C260" s="6">
        <f>+GETPIVOTDATA(" New-Associate's",'Pivot Table for 1-11'!$A$3,"State","AR","SREB Type2","Two-Year")</f>
        <v>4709</v>
      </c>
      <c r="D260" s="6">
        <f>+GETPIVOTDATA(" New-Bachelor's",'Pivot Table for 1-11'!$A$3,"State","AR","SREB Type2","Two-Year")</f>
        <v>0</v>
      </c>
      <c r="E260" s="17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40">
        <f>+GETPIVOTDATA(" New-Associate's",'Pivot Table for 1-11'!$A$3,"State","AR","SREB Type",7,"SREB Type2","Two-Year")</f>
        <v>0</v>
      </c>
      <c r="G260" s="90">
        <f>+GETPIVOTDATA(" New-Bachelor's",'Pivot Table for 1-11'!$A$3,"State","AR","SREB Type",7,"SREB Type2","Two-Year")</f>
        <v>0</v>
      </c>
      <c r="H260" s="17">
        <f>+GETPIVOTDATA(" New-Less Than 2-Year",'Pivot Table for 1-11'!$A$3,"State","AR","SREB Type",8,"SREB Type2","Two-Year")+GETPIVOTDATA(" New-2 But Less Than 4-Year",'Pivot Table for 1-11'!$A$3,"State","AR","SREB Type",8,"SREB Type2","Two-Year")</f>
        <v>726</v>
      </c>
      <c r="I260" s="90">
        <f>+GETPIVOTDATA(" New-Associate's",'Pivot Table for 1-11'!$A$3,"State","AR","SREB Type",8,"SREB Type2","Two-Year")</f>
        <v>711</v>
      </c>
      <c r="J260" s="17">
        <f>+GETPIVOTDATA(" New-Less Than 2-Year",'Pivot Table for 1-11'!$A$3,"State","AR","SREB Type",9,"SREB Type2","Two-Year")+GETPIVOTDATA(" New-2 But Less Than 4-Year",'Pivot Table for 1-11'!$A$3,"State","AR","SREB Type",9,"SREB Type2","Two-Year")</f>
        <v>770</v>
      </c>
      <c r="K260" s="90">
        <f>+GETPIVOTDATA(" New-Associate's",'Pivot Table for 1-11'!$A$3,"State","AR","SREB Type",9,"SREB Type2","Two-Year")</f>
        <v>1079</v>
      </c>
      <c r="L260" s="6">
        <f>+GETPIVOTDATA(" New-Less Than 2-Year",'Pivot Table for 1-11'!$A$3,"State","AR","SREB Type",10,"SREB Type2","Two-Year")+GETPIVOTDATA(" New-2 But Less Than 4-Year",'Pivot Table for 1-11'!$A$3,"State","AR","SREB Type",10,"SREB Type2","Two-Year")</f>
        <v>5436</v>
      </c>
      <c r="M260" s="6">
        <f>+GETPIVOTDATA(" New-Associate's",'Pivot Table for 1-11'!$A$3,"State","AR","SREB Type",10,"SREB Type2","Two-Year")</f>
        <v>2919</v>
      </c>
      <c r="N260" s="181"/>
      <c r="O260" s="181"/>
      <c r="P260" s="106"/>
      <c r="Q260" s="763">
        <f t="shared" si="15"/>
        <v>11641</v>
      </c>
      <c r="R260" s="763">
        <f>SUM('Old 1-12'!B260:D260)</f>
        <v>9831</v>
      </c>
      <c r="S260" s="764">
        <f>('New Tables 1-12'!Q260-'New Tables 1-12'!R260)/R260</f>
        <v>0.18411148408096836</v>
      </c>
      <c r="T260" s="39" t="s">
        <v>298</v>
      </c>
      <c r="U260" s="765">
        <f t="shared" si="11"/>
        <v>6932</v>
      </c>
      <c r="V260" s="765">
        <f t="shared" si="12"/>
        <v>4709</v>
      </c>
      <c r="W260" s="765">
        <f t="shared" si="13"/>
        <v>0</v>
      </c>
      <c r="X260" s="765">
        <f t="shared" si="14"/>
        <v>11641</v>
      </c>
      <c r="AK260" s="246"/>
      <c r="AO260" s="246"/>
    </row>
    <row r="261" spans="1:41" ht="15" customHeight="1">
      <c r="A261" s="5" t="s">
        <v>299</v>
      </c>
      <c r="B261" s="6">
        <f>+GETPIVOTDATA(" New-Less Than 2-Year",'Pivot Table for 1-11'!$A$3,"State","DE","SREB Type2","Two-Year")+GETPIVOTDATA(" New-2 But Less Than 4-Year",'Pivot Table for 1-11'!$A$3,"State","DE","SREB Type2","Two-Year")</f>
        <v>748</v>
      </c>
      <c r="C261" s="6">
        <f>+GETPIVOTDATA(" New-Associate's",'Pivot Table for 1-11'!$A$3,"State","DE","SREB Type2","Two-Year")</f>
        <v>1243</v>
      </c>
      <c r="D261" s="6">
        <f>+GETPIVOTDATA(" New-Bachelor's",'Pivot Table for 1-11'!$A$3,"State","DE","SREB Type2","Two-Year")</f>
        <v>0</v>
      </c>
      <c r="E261" s="17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40">
        <f>+GETPIVOTDATA(" New-Associate's",'Pivot Table for 1-11'!$A$3,"State","DE","SREB Type",7,"SREB Type2","Two-Year")</f>
        <v>0</v>
      </c>
      <c r="G261" s="90">
        <f>+GETPIVOTDATA(" New-Bachelor's",'Pivot Table for 1-11'!$A$3,"State","DE","SREB Type",7,"SREB Type2","Two-Year")</f>
        <v>0</v>
      </c>
      <c r="H261" s="17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90">
        <f>+GETPIVOTDATA(" New-Associate's",'Pivot Table for 1-11'!$A$3,"State","DE","SREB Type",8,"SREB Type2","Two-Year")</f>
        <v>0</v>
      </c>
      <c r="J261" s="17">
        <f>+GETPIVOTDATA(" New-Less Than 2-Year",'Pivot Table for 1-11'!$A$3,"State","DE","SREB Type",9,"SREB Type2","Two-Year")+GETPIVOTDATA(" New-2 But Less Than 4-Year",'Pivot Table for 1-11'!$A$3,"State","DE","SREB Type",9,"SREB Type2","Two-Year")</f>
        <v>748</v>
      </c>
      <c r="K261" s="90">
        <f>+GETPIVOTDATA(" New-Associate's",'Pivot Table for 1-11'!$A$3,"State","DE","SREB Type",9,"SREB Type2","Two-Year")</f>
        <v>1243</v>
      </c>
      <c r="L261" s="6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6">
        <f>+GETPIVOTDATA(" New-Associate's",'Pivot Table for 1-11'!$A$3,"State","DE","SREB Type",10,"SREB Type2","Two-Year")</f>
        <v>0</v>
      </c>
      <c r="N261" s="181"/>
      <c r="O261" s="181"/>
      <c r="P261" s="106"/>
      <c r="Q261" s="763">
        <f t="shared" si="15"/>
        <v>1991</v>
      </c>
      <c r="R261" s="763">
        <f>SUM('Old 1-12'!B261:D261)</f>
        <v>2009</v>
      </c>
      <c r="S261" s="764">
        <f>('New Tables 1-12'!Q261-'New Tables 1-12'!R261)/R261</f>
        <v>-8.9596814335490289E-3</v>
      </c>
      <c r="T261" s="39" t="s">
        <v>299</v>
      </c>
      <c r="U261" s="765">
        <f t="shared" si="11"/>
        <v>748</v>
      </c>
      <c r="V261" s="765">
        <f t="shared" si="12"/>
        <v>1243</v>
      </c>
      <c r="W261" s="765">
        <f t="shared" si="13"/>
        <v>0</v>
      </c>
      <c r="X261" s="765">
        <f t="shared" si="14"/>
        <v>1991</v>
      </c>
      <c r="AK261" s="246"/>
      <c r="AO261" s="246"/>
    </row>
    <row r="262" spans="1:41" ht="15" customHeight="1">
      <c r="A262" s="5" t="s">
        <v>300</v>
      </c>
      <c r="B262" s="6">
        <f>+GETPIVOTDATA(" New-Less Than 2-Year",'Pivot Table for 1-11'!$A$3,"State","FL","SREB Type2","Two-Year")+GETPIVOTDATA(" New-2 But Less Than 4-Year",'Pivot Table for 1-11'!$A$3,"State","FL","SREB Type2","Two-Year")</f>
        <v>21111</v>
      </c>
      <c r="C262" s="6">
        <f>+GETPIVOTDATA(" New-Associate's",'Pivot Table for 1-11'!$A$3,"State","FL","SREB Type2","Two-Year")</f>
        <v>52252</v>
      </c>
      <c r="D262" s="6">
        <f>+GETPIVOTDATA(" New-Bachelor's",'Pivot Table for 1-11'!$A$3,"State","FL","SREB Type2","Two-Year")</f>
        <v>1038</v>
      </c>
      <c r="E262" s="17">
        <f>+GETPIVOTDATA(" New-Less Than 2-Year",'Pivot Table for 1-11'!$A$3,"State","FL","SREB Type",7,"SREB Type2","Two-Year")+GETPIVOTDATA(" New-2 But Less Than 4-Year",'Pivot Table for 1-11'!$A$3,"State","FL","SREB Type",7,"SREB Type2","Two-Year")</f>
        <v>4030</v>
      </c>
      <c r="F262" s="40">
        <f>+GETPIVOTDATA(" New-Associate's",'Pivot Table for 1-11'!$A$3,"State","FL","SREB Type",7,"SREB Type2","Two-Year")</f>
        <v>13963</v>
      </c>
      <c r="G262" s="90">
        <f>+GETPIVOTDATA(" New-Bachelor's",'Pivot Table for 1-11'!$A$3,"State","FL","SREB Type",7,"SREB Type2","Two-Year")</f>
        <v>988</v>
      </c>
      <c r="H262" s="17">
        <f>+GETPIVOTDATA(" New-Less Than 2-Year",'Pivot Table for 1-11'!$A$3,"State","FL","SREB Type",8,"SREB Type2","Two-Year")+GETPIVOTDATA(" New-2 But Less Than 4-Year",'Pivot Table for 1-11'!$A$3,"State","FL","SREB Type",8,"SREB Type2","Two-Year")</f>
        <v>15117</v>
      </c>
      <c r="I262" s="90">
        <f>+GETPIVOTDATA(" New-Associate's",'Pivot Table for 1-11'!$A$3,"State","FL","SREB Type",8,"SREB Type2","Two-Year")</f>
        <v>34516</v>
      </c>
      <c r="J262" s="17">
        <f>+GETPIVOTDATA(" New-Less Than 2-Year",'Pivot Table for 1-11'!$A$3,"State","FL","SREB Type",9,"SREB Type2","Two-Year")+GETPIVOTDATA(" New-2 But Less Than 4-Year",'Pivot Table for 1-11'!$A$3,"State","FL","SREB Type",9,"SREB Type2","Two-Year")</f>
        <v>1728</v>
      </c>
      <c r="K262" s="90">
        <f>+GETPIVOTDATA(" New-Associate's",'Pivot Table for 1-11'!$A$3,"State","FL","SREB Type",9,"SREB Type2","Two-Year")</f>
        <v>3494</v>
      </c>
      <c r="L262" s="6">
        <f>+GETPIVOTDATA(" New-Less Than 2-Year",'Pivot Table for 1-11'!$A$3,"State","FL","SREB Type",10,"SREB Type2","Two-Year")+GETPIVOTDATA(" New-2 But Less Than 4-Year",'Pivot Table for 1-11'!$A$3,"State","FL","SREB Type",10,"SREB Type2","Two-Year")</f>
        <v>236</v>
      </c>
      <c r="M262" s="6">
        <f>+GETPIVOTDATA(" New-Associate's",'Pivot Table for 1-11'!$A$3,"State","FL","SREB Type",10,"SREB Type2","Two-Year")</f>
        <v>279</v>
      </c>
      <c r="N262" s="181"/>
      <c r="O262" s="181"/>
      <c r="P262" s="106"/>
      <c r="Q262" s="763">
        <f t="shared" si="15"/>
        <v>74401</v>
      </c>
      <c r="R262" s="763">
        <f>SUM('Old 1-12'!B262:D262)</f>
        <v>71222</v>
      </c>
      <c r="S262" s="764">
        <f>('New Tables 1-12'!Q262-'New Tables 1-12'!R262)/R262</f>
        <v>4.4635084664850749E-2</v>
      </c>
      <c r="T262" s="39" t="s">
        <v>300</v>
      </c>
      <c r="U262" s="765">
        <f t="shared" si="11"/>
        <v>21111</v>
      </c>
      <c r="V262" s="765">
        <f t="shared" si="12"/>
        <v>52252</v>
      </c>
      <c r="W262" s="765">
        <f t="shared" si="13"/>
        <v>988</v>
      </c>
      <c r="X262" s="765">
        <f t="shared" si="14"/>
        <v>74351</v>
      </c>
      <c r="AK262" s="246"/>
      <c r="AO262" s="246"/>
    </row>
    <row r="263" spans="1:41" ht="15" customHeight="1">
      <c r="A263" s="5"/>
      <c r="B263" s="6"/>
      <c r="C263" s="6"/>
      <c r="D263" s="6"/>
      <c r="E263" s="17"/>
      <c r="F263" s="40"/>
      <c r="G263" s="90"/>
      <c r="H263" s="17"/>
      <c r="I263" s="90"/>
      <c r="J263" s="17"/>
      <c r="K263" s="90"/>
      <c r="L263" s="6"/>
      <c r="M263" s="6"/>
      <c r="N263" s="181"/>
      <c r="O263" s="181"/>
      <c r="P263" s="106"/>
      <c r="Q263" s="763"/>
      <c r="R263" s="763"/>
      <c r="S263" s="764"/>
      <c r="T263" s="39"/>
      <c r="U263" s="765">
        <f t="shared" si="11"/>
        <v>0</v>
      </c>
      <c r="V263" s="765">
        <f t="shared" si="12"/>
        <v>0</v>
      </c>
      <c r="W263" s="765">
        <f t="shared" si="13"/>
        <v>0</v>
      </c>
      <c r="X263" s="765">
        <f t="shared" si="14"/>
        <v>0</v>
      </c>
      <c r="AK263" s="246"/>
      <c r="AO263" s="246"/>
    </row>
    <row r="264" spans="1:41" ht="15" customHeight="1">
      <c r="A264" s="5" t="s">
        <v>301</v>
      </c>
      <c r="B264" s="6">
        <f>+GETPIVOTDATA(" New-Less Than 2-Year",'Pivot Table for 1-11'!$A$3,"State","GA","SREB Type2","Two-Year")+GETPIVOTDATA(" New-2 But Less Than 4-Year",'Pivot Table for 1-11'!$A$3,"State","GA","SREB Type2","Two-Year")</f>
        <v>786</v>
      </c>
      <c r="C264" s="6">
        <f>+GETPIVOTDATA(" New-Associate's",'Pivot Table for 1-11'!$A$3,"State","GA","SREB Type2","Two-Year")</f>
        <v>5671</v>
      </c>
      <c r="D264" s="6">
        <f>+GETPIVOTDATA(" New-Bachelor's",'Pivot Table for 1-11'!$A$3,"State","GA","SREB Type2","Two-Year")</f>
        <v>257</v>
      </c>
      <c r="E264" s="17">
        <f>+GETPIVOTDATA(" New-Less Than 2-Year",'Pivot Table for 1-11'!$A$3,"State","GA","SREB Type",7,"SREB Type2","Two-Year")+GETPIVOTDATA(" New-2 But Less Than 4-Year",'Pivot Table for 1-11'!$A$3,"State","GA","SREB Type",7,"SREB Type2","Two-Year")</f>
        <v>85</v>
      </c>
      <c r="F264" s="40">
        <f>+GETPIVOTDATA(" New-Associate's",'Pivot Table for 1-11'!$A$3,"State","GA","SREB Type",7,"SREB Type2","Two-Year")</f>
        <v>339</v>
      </c>
      <c r="G264" s="90">
        <f>+GETPIVOTDATA(" New-Bachelor's",'Pivot Table for 1-11'!$A$3,"State","GA","SREB Type",7,"SREB Type2","Two-Year")</f>
        <v>164</v>
      </c>
      <c r="H264" s="17">
        <f>+GETPIVOTDATA(" New-Less Than 2-Year",'Pivot Table for 1-11'!$A$3,"State","GA","SREB Type",8,"SREB Type2","Two-Year")+GETPIVOTDATA(" New-2 But Less Than 4-Year",'Pivot Table for 1-11'!$A$3,"State","GA","SREB Type",8,"SREB Type2","Two-Year")</f>
        <v>8</v>
      </c>
      <c r="I264" s="90">
        <f>+GETPIVOTDATA(" New-Associate's",'Pivot Table for 1-11'!$A$3,"State","GA","SREB Type",8,"SREB Type2","Two-Year")</f>
        <v>1506</v>
      </c>
      <c r="J264" s="17">
        <f>+GETPIVOTDATA(" New-Less Than 2-Year",'Pivot Table for 1-11'!$A$3,"State","GA","SREB Type",9,"SREB Type2","Two-Year")+GETPIVOTDATA(" New-2 But Less Than 4-Year",'Pivot Table for 1-11'!$A$3,"State","GA","SREB Type",9,"SREB Type2","Two-Year")</f>
        <v>693</v>
      </c>
      <c r="K264" s="90">
        <f>+GETPIVOTDATA(" New-Associate's",'Pivot Table for 1-11'!$A$3,"State","GA","SREB Type",9,"SREB Type2","Two-Year")</f>
        <v>3154</v>
      </c>
      <c r="L264" s="6">
        <f>+GETPIVOTDATA(" New-Less Than 2-Year",'Pivot Table for 1-11'!$A$3,"State","GA","SREB Type",10,"SREB Type2","Two-Year")+GETPIVOTDATA(" New-2 But Less Than 4-Year",'Pivot Table for 1-11'!$A$3,"State","GA","SREB Type",10,"SREB Type2","Two-Year")</f>
        <v>0</v>
      </c>
      <c r="M264" s="6">
        <f>+GETPIVOTDATA(" New-Associate's",'Pivot Table for 1-11'!$A$3,"State","GA","SREB Type",10,"SREB Type2","Two-Year")</f>
        <v>672</v>
      </c>
      <c r="N264" s="181"/>
      <c r="O264" s="181"/>
      <c r="P264" s="106"/>
      <c r="Q264" s="763">
        <f t="shared" si="15"/>
        <v>6714</v>
      </c>
      <c r="R264" s="763">
        <f>SUM('Old 1-12'!B264:D264)</f>
        <v>6892</v>
      </c>
      <c r="S264" s="764">
        <f>('New Tables 1-12'!Q264-'New Tables 1-12'!R264)/R264</f>
        <v>-2.5827045850261174E-2</v>
      </c>
      <c r="T264" s="39" t="s">
        <v>301</v>
      </c>
      <c r="U264" s="765">
        <f t="shared" si="11"/>
        <v>786</v>
      </c>
      <c r="V264" s="765">
        <f t="shared" si="12"/>
        <v>5671</v>
      </c>
      <c r="W264" s="765">
        <f t="shared" si="13"/>
        <v>164</v>
      </c>
      <c r="X264" s="765">
        <f t="shared" si="14"/>
        <v>6621</v>
      </c>
      <c r="AK264" s="246"/>
      <c r="AO264" s="246"/>
    </row>
    <row r="265" spans="1:41" ht="15" customHeight="1">
      <c r="A265" s="5" t="s">
        <v>302</v>
      </c>
      <c r="B265" s="6">
        <f>+GETPIVOTDATA(" New-Less Than 2-Year",'Pivot Table for 1-11'!$A$3,"State","KY","SREB Type2","Two-Year")+GETPIVOTDATA(" New-2 But Less Than 4-Year",'Pivot Table for 1-11'!$A$3,"State","KY","SREB Type2","Two-Year")</f>
        <v>14215</v>
      </c>
      <c r="C265" s="6">
        <f>+GETPIVOTDATA(" New-Associate's",'Pivot Table for 1-11'!$A$3,"State","KY","SREB Type2","Two-Year")</f>
        <v>6450</v>
      </c>
      <c r="D265" s="6">
        <f>+GETPIVOTDATA(" New-Bachelor's",'Pivot Table for 1-11'!$A$3,"State","KY","SREB Type2","Two-Year")</f>
        <v>0</v>
      </c>
      <c r="E265" s="17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40">
        <f>+GETPIVOTDATA(" New-Associate's",'Pivot Table for 1-11'!$A$3,"State","KY","SREB Type",7,"SREB Type2","Two-Year")</f>
        <v>0</v>
      </c>
      <c r="G265" s="90">
        <f>+GETPIVOTDATA(" New-Bachelor's",'Pivot Table for 1-11'!$A$3,"State","KY","SREB Type",7,"SREB Type2","Two-Year")</f>
        <v>0</v>
      </c>
      <c r="H265" s="17">
        <f>+GETPIVOTDATA(" New-Less Than 2-Year",'Pivot Table for 1-11'!$A$3,"State","KY","SREB Type",8,"SREB Type2","Two-Year")+GETPIVOTDATA(" New-2 But Less Than 4-Year",'Pivot Table for 1-11'!$A$3,"State","KY","SREB Type",8,"SREB Type2","Two-Year")</f>
        <v>3990</v>
      </c>
      <c r="I265" s="90">
        <f>+GETPIVOTDATA(" New-Associate's",'Pivot Table for 1-11'!$A$3,"State","KY","SREB Type",8,"SREB Type2","Two-Year")</f>
        <v>1988</v>
      </c>
      <c r="J265" s="17">
        <f>+GETPIVOTDATA(" New-Less Than 2-Year",'Pivot Table for 1-11'!$A$3,"State","KY","SREB Type",9,"SREB Type2","Two-Year")+GETPIVOTDATA(" New-2 But Less Than 4-Year",'Pivot Table for 1-11'!$A$3,"State","KY","SREB Type",9,"SREB Type2","Two-Year")</f>
        <v>8932</v>
      </c>
      <c r="K265" s="90">
        <f>+GETPIVOTDATA(" New-Associate's",'Pivot Table for 1-11'!$A$3,"State","KY","SREB Type",9,"SREB Type2","Two-Year")</f>
        <v>3627</v>
      </c>
      <c r="L265" s="6">
        <f>+GETPIVOTDATA(" New-Less Than 2-Year",'Pivot Table for 1-11'!$A$3,"State","KY","SREB Type",10,"SREB Type2","Two-Year")+GETPIVOTDATA(" New-2 But Less Than 4-Year",'Pivot Table for 1-11'!$A$3,"State","KY","SREB Type",10,"SREB Type2","Two-Year")</f>
        <v>1293</v>
      </c>
      <c r="M265" s="6">
        <f>+GETPIVOTDATA(" New-Associate's",'Pivot Table for 1-11'!$A$3,"State","KY","SREB Type",10,"SREB Type2","Two-Year")</f>
        <v>835</v>
      </c>
      <c r="N265" s="181"/>
      <c r="O265" s="181"/>
      <c r="P265" s="106"/>
      <c r="Q265" s="763">
        <f t="shared" si="15"/>
        <v>20665</v>
      </c>
      <c r="R265" s="763">
        <f>SUM('Old 1-12'!B265:D265)</f>
        <v>20841</v>
      </c>
      <c r="S265" s="764">
        <f>('New Tables 1-12'!Q265-'New Tables 1-12'!R265)/R265</f>
        <v>-8.4448922796410923E-3</v>
      </c>
      <c r="T265" s="39" t="s">
        <v>302</v>
      </c>
      <c r="U265" s="765">
        <f t="shared" si="11"/>
        <v>14215</v>
      </c>
      <c r="V265" s="765">
        <f t="shared" si="12"/>
        <v>6450</v>
      </c>
      <c r="W265" s="765">
        <f t="shared" si="13"/>
        <v>0</v>
      </c>
      <c r="X265" s="765">
        <f t="shared" si="14"/>
        <v>20665</v>
      </c>
      <c r="AK265" s="246"/>
      <c r="AO265" s="246"/>
    </row>
    <row r="266" spans="1:41" ht="15" customHeight="1">
      <c r="A266" s="5" t="s">
        <v>303</v>
      </c>
      <c r="B266" s="6">
        <f>+GETPIVOTDATA(" New-Less Than 2-Year",'Pivot Table for 1-11'!$A$3,"State","LA","SREB Type2","Two-Year")+GETPIVOTDATA(" New-2 But Less Than 4-Year",'Pivot Table for 1-11'!$A$3,"State","LA","SREB Type2","Two-Year")</f>
        <v>831</v>
      </c>
      <c r="C266" s="6">
        <f>+GETPIVOTDATA(" New-Associate's",'Pivot Table for 1-11'!$A$3,"State","LA","SREB Type2","Two-Year")</f>
        <v>2697</v>
      </c>
      <c r="D266" s="6">
        <f>+GETPIVOTDATA(" New-Bachelor's",'Pivot Table for 1-11'!$A$3,"State","LA","SREB Type2","Two-Year")</f>
        <v>166</v>
      </c>
      <c r="E266" s="17">
        <f>+GETPIVOTDATA(" New-Less Than 2-Year",'Pivot Table for 1-11'!$A$3,"State","LA","SREB Type",7,"SREB Type2","Two-Year")+GETPIVOTDATA(" New-2 But Less Than 4-Year",'Pivot Table for 1-11'!$A$3,"State","LA","SREB Type",7,"SREB Type2","Two-Year")</f>
        <v>11</v>
      </c>
      <c r="F266" s="40">
        <f>+GETPIVOTDATA(" New-Associate's",'Pivot Table for 1-11'!$A$3,"State","LA","SREB Type",7,"SREB Type2","Two-Year")</f>
        <v>151</v>
      </c>
      <c r="G266" s="90">
        <f>+GETPIVOTDATA(" New-Bachelor's",'Pivot Table for 1-11'!$A$3,"State","LA","SREB Type",7,"SREB Type2","Two-Year")</f>
        <v>166</v>
      </c>
      <c r="H266" s="17">
        <f>+GETPIVOTDATA(" New-Less Than 2-Year",'Pivot Table for 1-11'!$A$3,"State","LA","SREB Type",8,"SREB Type2","Two-Year")+GETPIVOTDATA(" New-2 But Less Than 4-Year",'Pivot Table for 1-11'!$A$3,"State","LA","SREB Type",8,"SREB Type2","Two-Year")</f>
        <v>251</v>
      </c>
      <c r="I266" s="90">
        <f>+GETPIVOTDATA(" New-Associate's",'Pivot Table for 1-11'!$A$3,"State","LA","SREB Type",8,"SREB Type2","Two-Year")</f>
        <v>881</v>
      </c>
      <c r="J266" s="17">
        <f>+GETPIVOTDATA(" New-Less Than 2-Year",'Pivot Table for 1-11'!$A$3,"State","LA","SREB Type",9,"SREB Type2","Two-Year")+GETPIVOTDATA(" New-2 But Less Than 4-Year",'Pivot Table for 1-11'!$A$3,"State","LA","SREB Type",9,"SREB Type2","Two-Year")</f>
        <v>133</v>
      </c>
      <c r="K266" s="90">
        <f>+GETPIVOTDATA(" New-Associate's",'Pivot Table for 1-11'!$A$3,"State","LA","SREB Type",9,"SREB Type2","Two-Year")</f>
        <v>1008</v>
      </c>
      <c r="L266" s="6">
        <f>+GETPIVOTDATA(" New-Less Than 2-Year",'Pivot Table for 1-11'!$A$3,"State","LA","SREB Type",10,"SREB Type2","Two-Year")+GETPIVOTDATA(" New-2 But Less Than 4-Year",'Pivot Table for 1-11'!$A$3,"State","LA","SREB Type",10,"SREB Type2","Two-Year")</f>
        <v>436</v>
      </c>
      <c r="M266" s="6">
        <f>+GETPIVOTDATA(" New-Associate's",'Pivot Table for 1-11'!$A$3,"State","LA","SREB Type",10,"SREB Type2","Two-Year")</f>
        <v>657</v>
      </c>
      <c r="N266" s="181"/>
      <c r="O266" s="181"/>
      <c r="P266" s="106"/>
      <c r="Q266" s="763">
        <f t="shared" si="15"/>
        <v>3694</v>
      </c>
      <c r="R266" s="763">
        <f>SUM('Old 1-12'!B266:D266)</f>
        <v>3094</v>
      </c>
      <c r="S266" s="764">
        <f>('New Tables 1-12'!Q266-'New Tables 1-12'!R266)/R266</f>
        <v>0.19392372333548805</v>
      </c>
      <c r="T266" s="39" t="s">
        <v>303</v>
      </c>
      <c r="U266" s="765">
        <f t="shared" si="11"/>
        <v>831</v>
      </c>
      <c r="V266" s="765">
        <f t="shared" si="12"/>
        <v>2697</v>
      </c>
      <c r="W266" s="765">
        <f t="shared" si="13"/>
        <v>166</v>
      </c>
      <c r="X266" s="765">
        <f t="shared" si="14"/>
        <v>3694</v>
      </c>
      <c r="AK266" s="246"/>
      <c r="AO266" s="246"/>
    </row>
    <row r="267" spans="1:41" ht="15" customHeight="1">
      <c r="A267" s="5" t="s">
        <v>304</v>
      </c>
      <c r="B267" s="6">
        <f>+GETPIVOTDATA(" New-Less Than 2-Year",'Pivot Table for 1-11'!$A$3,"State","MD","SREB Type2","Two-Year")+GETPIVOTDATA(" New-2 But Less Than 4-Year",'Pivot Table for 1-11'!$A$3,"State","MD","SREB Type2","Two-Year")</f>
        <v>2550</v>
      </c>
      <c r="C267" s="6">
        <f>+GETPIVOTDATA(" New-Associate's",'Pivot Table for 1-11'!$A$3,"State","MD","SREB Type2","Two-Year")</f>
        <v>10371</v>
      </c>
      <c r="D267" s="6">
        <f>+GETPIVOTDATA(" New-Bachelor's",'Pivot Table for 1-11'!$A$3,"State","MD","SREB Type2","Two-Year")</f>
        <v>0</v>
      </c>
      <c r="E267" s="17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40">
        <f>+GETPIVOTDATA(" New-Associate's",'Pivot Table for 1-11'!$A$3,"State","MD","SREB Type",7,"SREB Type2","Two-Year")</f>
        <v>0</v>
      </c>
      <c r="G267" s="90">
        <f>+GETPIVOTDATA(" New-Bachelor's",'Pivot Table for 1-11'!$A$3,"State","MD","SREB Type",7,"SREB Type2","Two-Year")</f>
        <v>0</v>
      </c>
      <c r="H267" s="17">
        <f>+GETPIVOTDATA(" New-Less Than 2-Year",'Pivot Table for 1-11'!$A$3,"State","MD","SREB Type",8,"SREB Type2","Two-Year")+GETPIVOTDATA(" New-2 But Less Than 4-Year",'Pivot Table for 1-11'!$A$3,"State","MD","SREB Type",8,"SREB Type2","Two-Year")</f>
        <v>1182</v>
      </c>
      <c r="I267" s="90">
        <f>+GETPIVOTDATA(" New-Associate's",'Pivot Table for 1-11'!$A$3,"State","MD","SREB Type",8,"SREB Type2","Two-Year")</f>
        <v>5226</v>
      </c>
      <c r="J267" s="17">
        <f>+GETPIVOTDATA(" New-Less Than 2-Year",'Pivot Table for 1-11'!$A$3,"State","MD","SREB Type",9,"SREB Type2","Two-Year")+GETPIVOTDATA(" New-2 But Less Than 4-Year",'Pivot Table for 1-11'!$A$3,"State","MD","SREB Type",9,"SREB Type2","Two-Year")</f>
        <v>1082</v>
      </c>
      <c r="K267" s="90">
        <f>+GETPIVOTDATA(" New-Associate's",'Pivot Table for 1-11'!$A$3,"State","MD","SREB Type",9,"SREB Type2","Two-Year")</f>
        <v>3961</v>
      </c>
      <c r="L267" s="6">
        <f>+GETPIVOTDATA(" New-Less Than 2-Year",'Pivot Table for 1-11'!$A$3,"State","MD","SREB Type",10,"SREB Type2","Two-Year")+GETPIVOTDATA(" New-2 But Less Than 4-Year",'Pivot Table for 1-11'!$A$3,"State","MD","SREB Type",10,"SREB Type2","Two-Year")</f>
        <v>286</v>
      </c>
      <c r="M267" s="6">
        <f>+GETPIVOTDATA(" New-Associate's",'Pivot Table for 1-11'!$A$3,"State","MD","SREB Type",10,"SREB Type2","Two-Year")</f>
        <v>1184</v>
      </c>
      <c r="N267" s="181"/>
      <c r="O267" s="181"/>
      <c r="P267" s="106"/>
      <c r="Q267" s="763">
        <f t="shared" si="15"/>
        <v>12921</v>
      </c>
      <c r="R267" s="763">
        <f>SUM('Old 1-12'!B267:D267)</f>
        <v>12712</v>
      </c>
      <c r="S267" s="764">
        <f>('New Tables 1-12'!Q267-'New Tables 1-12'!R267)/R267</f>
        <v>1.644115796098175E-2</v>
      </c>
      <c r="T267" s="39" t="s">
        <v>304</v>
      </c>
      <c r="U267" s="765">
        <f t="shared" si="11"/>
        <v>2550</v>
      </c>
      <c r="V267" s="765">
        <f t="shared" si="12"/>
        <v>10371</v>
      </c>
      <c r="W267" s="765">
        <f t="shared" si="13"/>
        <v>0</v>
      </c>
      <c r="X267" s="765">
        <f t="shared" si="14"/>
        <v>12921</v>
      </c>
      <c r="AK267" s="246"/>
      <c r="AO267" s="246"/>
    </row>
    <row r="268" spans="1:41" ht="15" customHeight="1">
      <c r="A268" s="5"/>
      <c r="B268" s="6"/>
      <c r="C268" s="6"/>
      <c r="D268" s="6"/>
      <c r="E268" s="17"/>
      <c r="F268" s="40"/>
      <c r="G268" s="90"/>
      <c r="H268" s="17"/>
      <c r="I268" s="90"/>
      <c r="J268" s="17"/>
      <c r="K268" s="90"/>
      <c r="L268" s="6"/>
      <c r="M268" s="6"/>
      <c r="N268" s="181"/>
      <c r="O268" s="181"/>
      <c r="P268" s="106"/>
      <c r="Q268" s="763"/>
      <c r="R268" s="763"/>
      <c r="S268" s="764"/>
      <c r="T268" s="39"/>
      <c r="U268" s="765">
        <f t="shared" si="11"/>
        <v>0</v>
      </c>
      <c r="V268" s="765">
        <f t="shared" si="12"/>
        <v>0</v>
      </c>
      <c r="W268" s="765">
        <f t="shared" si="13"/>
        <v>0</v>
      </c>
      <c r="X268" s="765">
        <f t="shared" si="14"/>
        <v>0</v>
      </c>
      <c r="AK268" s="246"/>
      <c r="AO268" s="246"/>
    </row>
    <row r="269" spans="1:41" ht="15" customHeight="1">
      <c r="A269" s="5" t="s">
        <v>305</v>
      </c>
      <c r="B269" s="6">
        <f>+GETPIVOTDATA(" New-Less Than 2-Year",'Pivot Table for 1-11'!$A$3,"State","MS","SREB Type2","Two-Year")+GETPIVOTDATA(" New-2 But Less Than 4-Year",'Pivot Table for 1-11'!$A$3,"State","MS","SREB Type2","Two-Year")</f>
        <v>2445</v>
      </c>
      <c r="C269" s="6">
        <f>+GETPIVOTDATA(" New-Associate's",'Pivot Table for 1-11'!$A$3,"State","MS","SREB Type2","Two-Year")</f>
        <v>8354</v>
      </c>
      <c r="D269" s="6">
        <f>+GETPIVOTDATA(" New-Bachelor's",'Pivot Table for 1-11'!$A$3,"State","MS","SREB Type2","Two-Year")</f>
        <v>0</v>
      </c>
      <c r="E269" s="17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40">
        <f>+GETPIVOTDATA(" New-Associate's",'Pivot Table for 1-11'!$A$3,"State","MS","SREB Type",7,"SREB Type2","Two-Year")</f>
        <v>0</v>
      </c>
      <c r="G269" s="90">
        <f>+GETPIVOTDATA(" New-Bachelor's",'Pivot Table for 1-11'!$A$3,"State","MS","SREB Type",7,"SREB Type2","Two-Year")</f>
        <v>0</v>
      </c>
      <c r="H269" s="17">
        <f>+GETPIVOTDATA(" New-Less Than 2-Year",'Pivot Table for 1-11'!$A$3,"State","MS","SREB Type",8,"SREB Type2","Two-Year")+GETPIVOTDATA(" New-2 But Less Than 4-Year",'Pivot Table for 1-11'!$A$3,"State","MS","SREB Type",8,"SREB Type2","Two-Year")</f>
        <v>892</v>
      </c>
      <c r="I269" s="90">
        <f>+GETPIVOTDATA(" New-Associate's",'Pivot Table for 1-11'!$A$3,"State","MS","SREB Type",8,"SREB Type2","Two-Year")</f>
        <v>3095</v>
      </c>
      <c r="J269" s="17">
        <f>+GETPIVOTDATA(" New-Less Than 2-Year",'Pivot Table for 1-11'!$A$3,"State","MS","SREB Type",9,"SREB Type2","Two-Year")+GETPIVOTDATA(" New-2 But Less Than 4-Year",'Pivot Table for 1-11'!$A$3,"State","MS","SREB Type",9,"SREB Type2","Two-Year")</f>
        <v>1343</v>
      </c>
      <c r="K269" s="90">
        <f>+GETPIVOTDATA(" New-Associate's",'Pivot Table for 1-11'!$A$3,"State","MS","SREB Type",9,"SREB Type2","Two-Year")</f>
        <v>4796</v>
      </c>
      <c r="L269" s="6">
        <f>+GETPIVOTDATA(" New-Less Than 2-Year",'Pivot Table for 1-11'!$A$3,"State","MS","SREB Type",10,"SREB Type2","Two-Year")+GETPIVOTDATA(" New-2 But Less Than 4-Year",'Pivot Table for 1-11'!$A$3,"State","MS","SREB Type",10,"SREB Type2","Two-Year")</f>
        <v>210</v>
      </c>
      <c r="M269" s="6">
        <f>+GETPIVOTDATA(" New-Associate's",'Pivot Table for 1-11'!$A$3,"State","MS","SREB Type",10,"SREB Type2","Two-Year")</f>
        <v>463</v>
      </c>
      <c r="N269" s="181"/>
      <c r="O269" s="181"/>
      <c r="P269" s="106"/>
      <c r="Q269" s="763">
        <f t="shared" si="15"/>
        <v>10799</v>
      </c>
      <c r="R269" s="763">
        <f>SUM('Old 1-12'!B269:D269)</f>
        <v>10169</v>
      </c>
      <c r="S269" s="764">
        <f>('New Tables 1-12'!Q269-'New Tables 1-12'!R269)/R269</f>
        <v>6.195299439472908E-2</v>
      </c>
      <c r="T269" s="39" t="s">
        <v>305</v>
      </c>
      <c r="U269" s="765">
        <f t="shared" si="11"/>
        <v>2445</v>
      </c>
      <c r="V269" s="765">
        <f t="shared" si="12"/>
        <v>8354</v>
      </c>
      <c r="W269" s="765">
        <f t="shared" si="13"/>
        <v>0</v>
      </c>
      <c r="X269" s="765">
        <f t="shared" si="14"/>
        <v>10799</v>
      </c>
      <c r="AK269" s="246"/>
      <c r="AO269" s="246"/>
    </row>
    <row r="270" spans="1:41" ht="15" customHeight="1">
      <c r="A270" s="5" t="s">
        <v>306</v>
      </c>
      <c r="B270" s="6">
        <f>+GETPIVOTDATA(" New-Less Than 2-Year",'Pivot Table for 1-11'!$A$3,"State","NC","SREB Type2","Two-Year")+GETPIVOTDATA(" New-2 But Less Than 4-Year",'Pivot Table for 1-11'!$A$3,"State","NC","SREB Type2","Two-Year")</f>
        <v>14315</v>
      </c>
      <c r="C270" s="6">
        <f>+GETPIVOTDATA(" New-Associate's",'Pivot Table for 1-11'!$A$3,"State","NC","SREB Type2","Two-Year")</f>
        <v>18181</v>
      </c>
      <c r="D270" s="6">
        <f>+GETPIVOTDATA(" New-Bachelor's",'Pivot Table for 1-11'!$A$3,"State","NC","SREB Type2","Two-Year")</f>
        <v>0</v>
      </c>
      <c r="E270" s="17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40">
        <f>+GETPIVOTDATA(" New-Associate's",'Pivot Table for 1-11'!$A$3,"State","NC","SREB Type",7,"SREB Type2","Two-Year")</f>
        <v>0</v>
      </c>
      <c r="G270" s="90">
        <f>+GETPIVOTDATA(" New-Bachelor's",'Pivot Table for 1-11'!$A$3,"State","NC","SREB Type",7,"SREB Type2","Two-Year")</f>
        <v>0</v>
      </c>
      <c r="H270" s="17">
        <f>+GETPIVOTDATA(" New-Less Than 2-Year",'Pivot Table for 1-11'!$A$3,"State","NC","SREB Type",8,"SREB Type2","Two-Year")+GETPIVOTDATA(" New-2 But Less Than 4-Year",'Pivot Table for 1-11'!$A$3,"State","NC","SREB Type",8,"SREB Type2","Two-Year")</f>
        <v>4962</v>
      </c>
      <c r="I270" s="90">
        <f>+GETPIVOTDATA(" New-Associate's",'Pivot Table for 1-11'!$A$3,"State","NC","SREB Type",8,"SREB Type2","Two-Year")</f>
        <v>8357</v>
      </c>
      <c r="J270" s="17">
        <f>+GETPIVOTDATA(" New-Less Than 2-Year",'Pivot Table for 1-11'!$A$3,"State","NC","SREB Type",9,"SREB Type2","Two-Year")+GETPIVOTDATA(" New-2 But Less Than 4-Year",'Pivot Table for 1-11'!$A$3,"State","NC","SREB Type",9,"SREB Type2","Two-Year")</f>
        <v>7360</v>
      </c>
      <c r="K270" s="90">
        <f>+GETPIVOTDATA(" New-Associate's",'Pivot Table for 1-11'!$A$3,"State","NC","SREB Type",9,"SREB Type2","Two-Year")</f>
        <v>8561</v>
      </c>
      <c r="L270" s="6">
        <f>+GETPIVOTDATA(" New-Less Than 2-Year",'Pivot Table for 1-11'!$A$3,"State","NC","SREB Type",10,"SREB Type2","Two-Year")+GETPIVOTDATA(" New-2 But Less Than 4-Year",'Pivot Table for 1-11'!$A$3,"State","NC","SREB Type",10,"SREB Type2","Two-Year")</f>
        <v>1993</v>
      </c>
      <c r="M270" s="6">
        <f>+GETPIVOTDATA(" New-Associate's",'Pivot Table for 1-11'!$A$3,"State","NC","SREB Type",10,"SREB Type2","Two-Year")</f>
        <v>1263</v>
      </c>
      <c r="N270" s="181"/>
      <c r="O270" s="181"/>
      <c r="P270" s="106"/>
      <c r="Q270" s="763">
        <f t="shared" si="15"/>
        <v>32496</v>
      </c>
      <c r="R270" s="763">
        <f>SUM('Old 1-12'!B270:D270)</f>
        <v>33073</v>
      </c>
      <c r="S270" s="764">
        <f>('New Tables 1-12'!Q270-'New Tables 1-12'!R270)/R270</f>
        <v>-1.7446255253530069E-2</v>
      </c>
      <c r="T270" s="39" t="s">
        <v>306</v>
      </c>
      <c r="U270" s="765">
        <f t="shared" si="11"/>
        <v>14315</v>
      </c>
      <c r="V270" s="765">
        <f t="shared" si="12"/>
        <v>18181</v>
      </c>
      <c r="W270" s="765">
        <f t="shared" si="13"/>
        <v>0</v>
      </c>
      <c r="X270" s="765">
        <f t="shared" si="14"/>
        <v>32496</v>
      </c>
      <c r="AK270" s="246"/>
      <c r="AO270" s="246"/>
    </row>
    <row r="271" spans="1:41" ht="15" customHeight="1">
      <c r="A271" s="5" t="s">
        <v>307</v>
      </c>
      <c r="B271" s="6">
        <f>+GETPIVOTDATA(" New-Less Than 2-Year",'Pivot Table for 1-11'!$A$3,"State","OK","SREB Type2","Two-Year")+GETPIVOTDATA(" New-2 But Less Than 4-Year",'Pivot Table for 1-11'!$A$3,"State","OK","SREB Type2","Two-Year")</f>
        <v>598</v>
      </c>
      <c r="C271" s="6">
        <f>+GETPIVOTDATA(" New-Associate's",'Pivot Table for 1-11'!$A$3,"State","OK","SREB Type2","Two-Year")</f>
        <v>7732</v>
      </c>
      <c r="D271" s="6">
        <f>+GETPIVOTDATA(" New-Bachelor's",'Pivot Table for 1-11'!$A$3,"State","OK","SREB Type2","Two-Year")</f>
        <v>46</v>
      </c>
      <c r="E271" s="17">
        <f>+GETPIVOTDATA(" New-Less Than 2-Year",'Pivot Table for 1-11'!$A$3,"State","OK","SREB Type",7,"SREB Type2","Two-Year")+GETPIVOTDATA(" New-2 But Less Than 4-Year",'Pivot Table for 1-11'!$A$3,"State","OK","SREB Type",7,"SREB Type2","Two-Year")</f>
        <v>0</v>
      </c>
      <c r="F271" s="40">
        <f>+GETPIVOTDATA(" New-Associate's",'Pivot Table for 1-11'!$A$3,"State","OK","SREB Type",7,"SREB Type2","Two-Year")</f>
        <v>516</v>
      </c>
      <c r="G271" s="90">
        <f>+GETPIVOTDATA(" New-Bachelor's",'Pivot Table for 1-11'!$A$3,"State","OK","SREB Type",7,"SREB Type2","Two-Year")</f>
        <v>43</v>
      </c>
      <c r="H271" s="17">
        <f>+GETPIVOTDATA(" New-Less Than 2-Year",'Pivot Table for 1-11'!$A$3,"State","OK","SREB Type",8,"SREB Type2","Two-Year")+GETPIVOTDATA(" New-2 But Less Than 4-Year",'Pivot Table for 1-11'!$A$3,"State","OK","SREB Type",8,"SREB Type2","Two-Year")</f>
        <v>378</v>
      </c>
      <c r="I271" s="90">
        <f>+GETPIVOTDATA(" New-Associate's",'Pivot Table for 1-11'!$A$3,"State","OK","SREB Type",8,"SREB Type2","Two-Year")</f>
        <v>2899</v>
      </c>
      <c r="J271" s="17">
        <f>+GETPIVOTDATA(" New-Less Than 2-Year",'Pivot Table for 1-11'!$A$3,"State","OK","SREB Type",9,"SREB Type2","Two-Year")+GETPIVOTDATA(" New-2 But Less Than 4-Year",'Pivot Table for 1-11'!$A$3,"State","OK","SREB Type",9,"SREB Type2","Two-Year")</f>
        <v>32</v>
      </c>
      <c r="K271" s="90">
        <f>+GETPIVOTDATA(" New-Associate's",'Pivot Table for 1-11'!$A$3,"State","OK","SREB Type",9,"SREB Type2","Two-Year")</f>
        <v>1927</v>
      </c>
      <c r="L271" s="6">
        <f>+GETPIVOTDATA(" New-Less Than 2-Year",'Pivot Table for 1-11'!$A$3,"State","OK","SREB Type",10,"SREB Type2","Two-Year")+GETPIVOTDATA(" New-2 But Less Than 4-Year",'Pivot Table for 1-11'!$A$3,"State","OK","SREB Type",10,"SREB Type2","Two-Year")</f>
        <v>188</v>
      </c>
      <c r="M271" s="6">
        <f>+GETPIVOTDATA(" New-Associate's",'Pivot Table for 1-11'!$A$3,"State","OK","SREB Type",10,"SREB Type2","Two-Year")</f>
        <v>2390</v>
      </c>
      <c r="N271" s="181"/>
      <c r="O271" s="181"/>
      <c r="P271" s="106"/>
      <c r="Q271" s="763">
        <f t="shared" si="15"/>
        <v>8376</v>
      </c>
      <c r="R271" s="763">
        <f>SUM('Old 1-12'!B271:D271)</f>
        <v>8311</v>
      </c>
      <c r="S271" s="764">
        <f>('New Tables 1-12'!Q271-'New Tables 1-12'!R271)/R271</f>
        <v>7.8209601732643491E-3</v>
      </c>
      <c r="T271" s="39" t="s">
        <v>307</v>
      </c>
      <c r="U271" s="765">
        <f t="shared" si="11"/>
        <v>598</v>
      </c>
      <c r="V271" s="765">
        <f t="shared" si="12"/>
        <v>7732</v>
      </c>
      <c r="W271" s="765">
        <f t="shared" si="13"/>
        <v>43</v>
      </c>
      <c r="X271" s="765">
        <f t="shared" si="14"/>
        <v>8373</v>
      </c>
      <c r="AK271" s="246"/>
      <c r="AO271" s="246"/>
    </row>
    <row r="272" spans="1:41" ht="15" customHeight="1">
      <c r="A272" s="5" t="s">
        <v>308</v>
      </c>
      <c r="B272" s="6">
        <f>+GETPIVOTDATA(" New-Less Than 2-Year",'Pivot Table for 1-11'!$A$3,"State","SC","SREB Type2","Two-Year")+GETPIVOTDATA(" New-2 But Less Than 4-Year",'Pivot Table for 1-11'!$A$3,"State","SC","SREB Type2","Two-Year")</f>
        <v>6855</v>
      </c>
      <c r="C272" s="6">
        <f>+GETPIVOTDATA(" New-Associate's",'Pivot Table for 1-11'!$A$3,"State","SC","SREB Type2","Two-Year")</f>
        <v>7341</v>
      </c>
      <c r="D272" s="6">
        <f>+GETPIVOTDATA(" New-Bachelor's",'Pivot Table for 1-11'!$A$3,"State","SC","SREB Type2","Two-Year")</f>
        <v>0</v>
      </c>
      <c r="E272" s="17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40">
        <f>+GETPIVOTDATA(" New-Associate's",'Pivot Table for 1-11'!$A$3,"State","SC","SREB Type",7,"SREB Type2","Two-Year")</f>
        <v>0</v>
      </c>
      <c r="G272" s="90">
        <f>+GETPIVOTDATA(" New-Bachelor's",'Pivot Table for 1-11'!$A$3,"State","SC","SREB Type",7,"SREB Type2","Two-Year")</f>
        <v>0</v>
      </c>
      <c r="H272" s="17">
        <f>+GETPIVOTDATA(" New-Less Than 2-Year",'Pivot Table for 1-11'!$A$3,"State","SC","SREB Type",8,"SREB Type2","Two-Year")+GETPIVOTDATA(" New-2 But Less Than 4-Year",'Pivot Table for 1-11'!$A$3,"State","SC","SREB Type",8,"SREB Type2","Two-Year")</f>
        <v>3167</v>
      </c>
      <c r="I272" s="90">
        <f>+GETPIVOTDATA(" New-Associate's",'Pivot Table for 1-11'!$A$3,"State","SC","SREB Type",8,"SREB Type2","Two-Year")</f>
        <v>2962</v>
      </c>
      <c r="J272" s="17">
        <f>+GETPIVOTDATA(" New-Less Than 2-Year",'Pivot Table for 1-11'!$A$3,"State","SC","SREB Type",9,"SREB Type2","Two-Year")+GETPIVOTDATA(" New-2 But Less Than 4-Year",'Pivot Table for 1-11'!$A$3,"State","SC","SREB Type",9,"SREB Type2","Two-Year")</f>
        <v>3175</v>
      </c>
      <c r="K272" s="90">
        <f>+GETPIVOTDATA(" New-Associate's",'Pivot Table for 1-11'!$A$3,"State","SC","SREB Type",9,"SREB Type2","Two-Year")</f>
        <v>3569</v>
      </c>
      <c r="L272" s="6">
        <f>+GETPIVOTDATA(" New-Less Than 2-Year",'Pivot Table for 1-11'!$A$3,"State","SC","SREB Type",10,"SREB Type2","Two-Year")+GETPIVOTDATA(" New-2 But Less Than 4-Year",'Pivot Table for 1-11'!$A$3,"State","SC","SREB Type",10,"SREB Type2","Two-Year")</f>
        <v>513</v>
      </c>
      <c r="M272" s="6">
        <f>+GETPIVOTDATA(" New-Associate's",'Pivot Table for 1-11'!$A$3,"State","SC","SREB Type",10,"SREB Type2","Two-Year")</f>
        <v>810</v>
      </c>
      <c r="N272" s="181"/>
      <c r="O272" s="181"/>
      <c r="P272" s="106"/>
      <c r="Q272" s="763">
        <f t="shared" si="15"/>
        <v>14196</v>
      </c>
      <c r="R272" s="763">
        <f>SUM('Old 1-12'!B272:D272)</f>
        <v>13884</v>
      </c>
      <c r="S272" s="764">
        <f>('New Tables 1-12'!Q272-'New Tables 1-12'!R272)/R272</f>
        <v>2.247191011235955E-2</v>
      </c>
      <c r="T272" s="39" t="s">
        <v>308</v>
      </c>
      <c r="U272" s="765">
        <f t="shared" si="11"/>
        <v>6855</v>
      </c>
      <c r="V272" s="765">
        <f t="shared" si="12"/>
        <v>7341</v>
      </c>
      <c r="W272" s="765">
        <f t="shared" si="13"/>
        <v>0</v>
      </c>
      <c r="X272" s="765">
        <f t="shared" si="14"/>
        <v>14196</v>
      </c>
      <c r="AK272" s="246"/>
      <c r="AO272" s="246"/>
    </row>
    <row r="273" spans="1:41" ht="15" customHeight="1">
      <c r="A273" s="5"/>
      <c r="B273" s="6"/>
      <c r="C273" s="6"/>
      <c r="D273" s="6"/>
      <c r="E273" s="17"/>
      <c r="F273" s="40"/>
      <c r="G273" s="90"/>
      <c r="H273" s="17"/>
      <c r="I273" s="90"/>
      <c r="J273" s="17"/>
      <c r="K273" s="90"/>
      <c r="L273" s="6"/>
      <c r="M273" s="6"/>
      <c r="N273" s="181"/>
      <c r="O273" s="181"/>
      <c r="P273" s="106"/>
      <c r="Q273" s="763"/>
      <c r="R273" s="763"/>
      <c r="S273" s="764"/>
      <c r="T273" s="39"/>
      <c r="U273" s="765">
        <f t="shared" si="11"/>
        <v>0</v>
      </c>
      <c r="V273" s="765">
        <f t="shared" si="12"/>
        <v>0</v>
      </c>
      <c r="W273" s="765">
        <f t="shared" si="13"/>
        <v>0</v>
      </c>
      <c r="X273" s="765">
        <f t="shared" si="14"/>
        <v>0</v>
      </c>
      <c r="AK273" s="246"/>
      <c r="AO273" s="246"/>
    </row>
    <row r="274" spans="1:41" ht="15" customHeight="1">
      <c r="A274" s="5" t="s">
        <v>309</v>
      </c>
      <c r="B274" s="6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6">
        <f>+GETPIVOTDATA(" New-Associate's",'Pivot Table for 1-11'!$A$3,"State","TN","SREB Type2","Two-Year")</f>
        <v>6818</v>
      </c>
      <c r="D274" s="6">
        <f>+GETPIVOTDATA(" New-Bachelor's",'Pivot Table for 1-11'!$A$3,"State","TN","SREB Type2","Two-Year")</f>
        <v>0</v>
      </c>
      <c r="E274" s="17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40">
        <f>+GETPIVOTDATA(" New-Associate's",'Pivot Table for 1-11'!$A$3,"State","TN","SREB Type",7,"SREB Type2","Two-Year")</f>
        <v>0</v>
      </c>
      <c r="G274" s="90">
        <f>+GETPIVOTDATA(" New-Bachelor's",'Pivot Table for 1-11'!$A$3,"State","TN","SREB Type",7,"SREB Type2","Two-Year")</f>
        <v>0</v>
      </c>
      <c r="H274" s="17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90">
        <f>+GETPIVOTDATA(" New-Associate's",'Pivot Table for 1-11'!$A$3,"State","TN","SREB Type",8,"SREB Type2","Two-Year")</f>
        <v>2090</v>
      </c>
      <c r="J274" s="17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90">
        <f>+GETPIVOTDATA(" New-Associate's",'Pivot Table for 1-11'!$A$3,"State","TN","SREB Type",9,"SREB Type2","Two-Year")</f>
        <v>4501</v>
      </c>
      <c r="L274" s="6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6">
        <f>+GETPIVOTDATA(" New-Associate's",'Pivot Table for 1-11'!$A$3,"State","TN","SREB Type",10,"SREB Type2","Two-Year")</f>
        <v>227</v>
      </c>
      <c r="N274" s="181"/>
      <c r="O274" s="181"/>
      <c r="P274" s="106"/>
      <c r="Q274" s="763">
        <f t="shared" si="15"/>
        <v>6818</v>
      </c>
      <c r="R274" s="763">
        <f>SUM('Old 1-12'!B274:D274)</f>
        <v>8234</v>
      </c>
      <c r="S274" s="764">
        <f>('New Tables 1-12'!Q274-'New Tables 1-12'!R274)/R274</f>
        <v>-0.17196988098129706</v>
      </c>
      <c r="T274" s="39" t="s">
        <v>309</v>
      </c>
      <c r="U274" s="765">
        <f t="shared" si="11"/>
        <v>0</v>
      </c>
      <c r="V274" s="765">
        <f t="shared" si="12"/>
        <v>6818</v>
      </c>
      <c r="W274" s="765">
        <f t="shared" si="13"/>
        <v>0</v>
      </c>
      <c r="X274" s="765">
        <f t="shared" si="14"/>
        <v>6818</v>
      </c>
      <c r="AK274" s="246"/>
      <c r="AO274" s="246"/>
    </row>
    <row r="275" spans="1:41" ht="15" customHeight="1">
      <c r="A275" s="5" t="s">
        <v>310</v>
      </c>
      <c r="B275" s="6">
        <f>+GETPIVOTDATA(" New-Less Than 2-Year",'Pivot Table for 1-11'!$A$3,"State","TX","SREB Type2","Two-Year")+GETPIVOTDATA(" New-2 But Less Than 4-Year",'Pivot Table for 1-11'!$A$3,"State","TX","SREB Type2","Two-Year")</f>
        <v>22805</v>
      </c>
      <c r="C275" s="6">
        <f>+GETPIVOTDATA(" New-Associate's",'Pivot Table for 1-11'!$A$3,"State","TX","SREB Type2","Two-Year")</f>
        <v>41732</v>
      </c>
      <c r="D275" s="6">
        <f>+GETPIVOTDATA(" New-Bachelor's",'Pivot Table for 1-11'!$A$3,"State","TX","SREB Type2","Two-Year")</f>
        <v>112</v>
      </c>
      <c r="E275" s="17">
        <f>+GETPIVOTDATA(" New-Less Than 2-Year",'Pivot Table for 1-11'!$A$3,"State","TX","SREB Type",7,"SREB Type2","Two-Year")+GETPIVOTDATA(" New-2 But Less Than 4-Year",'Pivot Table for 1-11'!$A$3,"State","TX","SREB Type",7,"SREB Type2","Two-Year")</f>
        <v>964</v>
      </c>
      <c r="F275" s="40">
        <f>+GETPIVOTDATA(" New-Associate's",'Pivot Table for 1-11'!$A$3,"State","TX","SREB Type",7,"SREB Type2","Two-Year")</f>
        <v>2203</v>
      </c>
      <c r="G275" s="90">
        <f>+GETPIVOTDATA(" New-Bachelor's",'Pivot Table for 1-11'!$A$3,"State","TX","SREB Type",7,"SREB Type2","Two-Year")</f>
        <v>112</v>
      </c>
      <c r="H275" s="17">
        <f>+GETPIVOTDATA(" New-Less Than 2-Year",'Pivot Table for 1-11'!$A$3,"State","TX","SREB Type",8,"SREB Type2","Two-Year")+GETPIVOTDATA(" New-2 But Less Than 4-Year",'Pivot Table for 1-11'!$A$3,"State","TX","SREB Type",8,"SREB Type2","Two-Year")</f>
        <v>11677</v>
      </c>
      <c r="I275" s="90">
        <f>+GETPIVOTDATA(" New-Associate's",'Pivot Table for 1-11'!$A$3,"State","TX","SREB Type",8,"SREB Type2","Two-Year")</f>
        <v>27501</v>
      </c>
      <c r="J275" s="17">
        <f>+GETPIVOTDATA(" New-Less Than 2-Year",'Pivot Table for 1-11'!$A$3,"State","TX","SREB Type",9,"SREB Type2","Two-Year")+GETPIVOTDATA(" New-2 But Less Than 4-Year",'Pivot Table for 1-11'!$A$3,"State","TX","SREB Type",9,"SREB Type2","Two-Year")</f>
        <v>8788</v>
      </c>
      <c r="K275" s="90">
        <f>+GETPIVOTDATA(" New-Associate's",'Pivot Table for 1-11'!$A$3,"State","TX","SREB Type",9,"SREB Type2","Two-Year")</f>
        <v>10392</v>
      </c>
      <c r="L275" s="6">
        <f>+GETPIVOTDATA(" New-Less Than 2-Year",'Pivot Table for 1-11'!$A$3,"State","TX","SREB Type",10,"SREB Type2","Two-Year")+GETPIVOTDATA(" New-2 But Less Than 4-Year",'Pivot Table for 1-11'!$A$3,"State","TX","SREB Type",10,"SREB Type2","Two-Year")</f>
        <v>1376</v>
      </c>
      <c r="M275" s="6">
        <f>+GETPIVOTDATA(" New-Associate's",'Pivot Table for 1-11'!$A$3,"State","TX","SREB Type",10,"SREB Type2","Two-Year")</f>
        <v>1636</v>
      </c>
      <c r="N275" s="181"/>
      <c r="O275" s="181"/>
      <c r="P275" s="106"/>
      <c r="Q275" s="763">
        <f t="shared" si="15"/>
        <v>64649</v>
      </c>
      <c r="R275" s="763">
        <f>SUM('Old 1-12'!B275:D275)</f>
        <v>59049</v>
      </c>
      <c r="S275" s="764">
        <f>('New Tables 1-12'!Q275-'New Tables 1-12'!R275)/R275</f>
        <v>9.4836491727209607E-2</v>
      </c>
      <c r="T275" s="39" t="s">
        <v>310</v>
      </c>
      <c r="U275" s="765">
        <f t="shared" si="11"/>
        <v>22805</v>
      </c>
      <c r="V275" s="765">
        <f t="shared" si="12"/>
        <v>41732</v>
      </c>
      <c r="W275" s="765">
        <f t="shared" si="13"/>
        <v>112</v>
      </c>
      <c r="X275" s="765">
        <f t="shared" si="14"/>
        <v>64649</v>
      </c>
      <c r="AK275" s="246"/>
      <c r="AO275" s="246"/>
    </row>
    <row r="276" spans="1:41" ht="15" customHeight="1">
      <c r="A276" s="5" t="s">
        <v>311</v>
      </c>
      <c r="B276" s="6">
        <f>+GETPIVOTDATA(" New-Less Than 2-Year",'Pivot Table for 1-11'!$A$3,"State","VA","SREB Type2","Two-Year")+GETPIVOTDATA(" New-2 But Less Than 4-Year",'Pivot Table for 1-11'!$A$3,"State","VA","SREB Type2","Two-Year")</f>
        <v>5396</v>
      </c>
      <c r="C276" s="6">
        <f>+GETPIVOTDATA(" New-Associate's",'Pivot Table for 1-11'!$A$3,"State","VA","SREB Type2","Two-Year")</f>
        <v>13027</v>
      </c>
      <c r="D276" s="6">
        <f>+GETPIVOTDATA(" New-Bachelor's",'Pivot Table for 1-11'!$A$3,"State","VA","SREB Type2","Two-Year")</f>
        <v>0</v>
      </c>
      <c r="E276" s="17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40">
        <f>+GETPIVOTDATA(" New-Associate's",'Pivot Table for 1-11'!$A$3,"State","VA","SREB Type",7,"SREB Type2","Two-Year")</f>
        <v>0</v>
      </c>
      <c r="G276" s="90">
        <f>+GETPIVOTDATA(" New-Bachelor's",'Pivot Table for 1-11'!$A$3,"State","VA","SREB Type",7,"SREB Type2","Two-Year")</f>
        <v>0</v>
      </c>
      <c r="H276" s="17">
        <f>+GETPIVOTDATA(" New-Less Than 2-Year",'Pivot Table for 1-11'!$A$3,"State","VA","SREB Type",8,"SREB Type2","Two-Year")+GETPIVOTDATA(" New-2 But Less Than 4-Year",'Pivot Table for 1-11'!$A$3,"State","VA","SREB Type",8,"SREB Type2","Two-Year")</f>
        <v>1517</v>
      </c>
      <c r="I276" s="90">
        <f>+GETPIVOTDATA(" New-Associate's",'Pivot Table for 1-11'!$A$3,"State","VA","SREB Type",8,"SREB Type2","Two-Year")</f>
        <v>6910</v>
      </c>
      <c r="J276" s="17">
        <f>+GETPIVOTDATA(" New-Less Than 2-Year",'Pivot Table for 1-11'!$A$3,"State","VA","SREB Type",9,"SREB Type2","Two-Year")+GETPIVOTDATA(" New-2 But Less Than 4-Year",'Pivot Table for 1-11'!$A$3,"State","VA","SREB Type",9,"SREB Type2","Two-Year")</f>
        <v>2588</v>
      </c>
      <c r="K276" s="90">
        <f>+GETPIVOTDATA(" New-Associate's",'Pivot Table for 1-11'!$A$3,"State","VA","SREB Type",9,"SREB Type2","Two-Year")</f>
        <v>4178</v>
      </c>
      <c r="L276" s="6">
        <f>+GETPIVOTDATA(" New-Less Than 2-Year",'Pivot Table for 1-11'!$A$3,"State","VA","SREB Type",10,"SREB Type2","Two-Year")+GETPIVOTDATA(" New-2 But Less Than 4-Year",'Pivot Table for 1-11'!$A$3,"State","VA","SREB Type",10,"SREB Type2","Two-Year")</f>
        <v>1291</v>
      </c>
      <c r="M276" s="6">
        <f>+GETPIVOTDATA(" New-Associate's",'Pivot Table for 1-11'!$A$3,"State","VA","SREB Type",10,"SREB Type2","Two-Year")</f>
        <v>1939</v>
      </c>
      <c r="N276" s="181"/>
      <c r="O276" s="181"/>
      <c r="P276" s="106"/>
      <c r="Q276" s="763">
        <f t="shared" si="15"/>
        <v>18423</v>
      </c>
      <c r="R276" s="763">
        <f>SUM('Old 1-12'!B276:D276)</f>
        <v>17160</v>
      </c>
      <c r="S276" s="764">
        <f>('New Tables 1-12'!Q276-'New Tables 1-12'!R276)/R276</f>
        <v>7.3601398601398596E-2</v>
      </c>
      <c r="T276" s="39" t="s">
        <v>311</v>
      </c>
      <c r="U276" s="765">
        <f t="shared" si="11"/>
        <v>5396</v>
      </c>
      <c r="V276" s="765">
        <f t="shared" si="12"/>
        <v>13027</v>
      </c>
      <c r="W276" s="765">
        <f t="shared" si="13"/>
        <v>0</v>
      </c>
      <c r="X276" s="765">
        <f t="shared" si="14"/>
        <v>18423</v>
      </c>
      <c r="AK276" s="246"/>
      <c r="AO276" s="246"/>
    </row>
    <row r="277" spans="1:41" ht="15" customHeight="1">
      <c r="A277" s="7" t="s">
        <v>312</v>
      </c>
      <c r="B277" s="8">
        <f>+GETPIVOTDATA(" New-Less Than 2-Year",'Pivot Table for 1-11'!$A$3,"State","WV","SREB Type2","Two-Year")+GETPIVOTDATA(" New-2 But Less Than 4-Year",'Pivot Table for 1-11'!$A$3,"State","WV","SREB Type2","Two-Year")</f>
        <v>504</v>
      </c>
      <c r="C277" s="8">
        <f>+GETPIVOTDATA(" New-Associate's",'Pivot Table for 1-11'!$A$3,"State","WV","SREB Type2","Two-Year")</f>
        <v>2328</v>
      </c>
      <c r="D277" s="8">
        <f>+GETPIVOTDATA(" New-Bachelor's",'Pivot Table for 1-11'!$A$3,"State","WV","SREB Type2","Two-Year")</f>
        <v>197</v>
      </c>
      <c r="E277" s="18">
        <f>+GETPIVOTDATA(" New-Less Than 2-Year",'Pivot Table for 1-11'!$A$3,"State","WV","SREB Type",7,"SREB Type2","Two-Year")+GETPIVOTDATA(" New-2 But Less Than 4-Year",'Pivot Table for 1-11'!$A$3,"State","WV","SREB Type",7,"SREB Type2","Two-Year")</f>
        <v>33</v>
      </c>
      <c r="F277" s="8">
        <f>+GETPIVOTDATA(" New-Associate's",'Pivot Table for 1-11'!$A$3,"State","WV","SREB Type",7,"SREB Type2","Two-Year")</f>
        <v>510</v>
      </c>
      <c r="G277" s="91">
        <f>+GETPIVOTDATA(" New-Bachelor's",'Pivot Table for 1-11'!$A$3,"State","WV","SREB Type",7,"SREB Type2","Two-Year")</f>
        <v>197</v>
      </c>
      <c r="H277" s="18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91">
        <f>+GETPIVOTDATA(" New-Associate's",'Pivot Table for 1-11'!$A$3,"State","WV","SREB Type",8,"SREB Type2","Two-Year")</f>
        <v>0</v>
      </c>
      <c r="J277" s="18">
        <f>+GETPIVOTDATA(" New-Less Than 2-Year",'Pivot Table for 1-11'!$A$3,"State","WV","SREB Type",9,"SREB Type2","Two-Year")+GETPIVOTDATA(" New-2 But Less Than 4-Year",'Pivot Table for 1-11'!$A$3,"State","WV","SREB Type",9,"SREB Type2","Two-Year")</f>
        <v>118</v>
      </c>
      <c r="K277" s="91">
        <f>+GETPIVOTDATA(" New-Associate's",'Pivot Table for 1-11'!$A$3,"State","WV","SREB Type",9,"SREB Type2","Two-Year")</f>
        <v>273</v>
      </c>
      <c r="L277" s="8">
        <f>+GETPIVOTDATA(" New-Less Than 2-Year",'Pivot Table for 1-11'!$A$3,"State","WV","SREB Type",10,"SREB Type2","Two-Year")+GETPIVOTDATA(" New-2 But Less Than 4-Year",'Pivot Table for 1-11'!$A$3,"State","WV","SREB Type",10,"SREB Type2","Two-Year")</f>
        <v>353</v>
      </c>
      <c r="M277" s="8">
        <f>+GETPIVOTDATA(" New-Associate's",'Pivot Table for 1-11'!$A$3,"State","WV","SREB Type",10,"SREB Type2","Two-Year")</f>
        <v>1545</v>
      </c>
      <c r="N277" s="186"/>
      <c r="O277" s="186"/>
      <c r="Q277" s="763">
        <f t="shared" si="15"/>
        <v>3029</v>
      </c>
      <c r="R277" s="763">
        <f>SUM('Old 1-12'!B277:D277)</f>
        <v>3125</v>
      </c>
      <c r="S277" s="764">
        <f>('New Tables 1-12'!Q277-'New Tables 1-12'!R277)/R277</f>
        <v>-3.0720000000000001E-2</v>
      </c>
      <c r="T277" s="39" t="s">
        <v>312</v>
      </c>
      <c r="U277" s="765">
        <f t="shared" si="11"/>
        <v>504</v>
      </c>
      <c r="V277" s="765">
        <f t="shared" si="12"/>
        <v>2328</v>
      </c>
      <c r="W277" s="765">
        <f t="shared" si="13"/>
        <v>197</v>
      </c>
      <c r="X277" s="765">
        <f t="shared" si="14"/>
        <v>3029</v>
      </c>
      <c r="AK277" s="246"/>
      <c r="AO277" s="246"/>
    </row>
    <row r="278" spans="1:41" s="43" customFormat="1" ht="15" customHeight="1">
      <c r="A278" s="96" t="s">
        <v>1332</v>
      </c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87"/>
      <c r="O278" s="87"/>
      <c r="P278" s="85"/>
      <c r="Q278" s="85"/>
      <c r="R278" s="85"/>
      <c r="S278" s="85"/>
      <c r="T278" s="85"/>
      <c r="U278" s="85"/>
      <c r="V278" s="707"/>
      <c r="W278" s="85"/>
      <c r="X278" s="85"/>
      <c r="Y278" s="85"/>
      <c r="Z278" s="85"/>
    </row>
    <row r="279" spans="1:41" s="43" customFormat="1" ht="15.75" customHeight="1">
      <c r="A279" s="767" t="s">
        <v>34</v>
      </c>
      <c r="B279" s="768"/>
      <c r="C279" s="768"/>
      <c r="D279" s="768"/>
      <c r="E279" s="768"/>
      <c r="F279" s="768"/>
      <c r="G279" s="768"/>
      <c r="H279" s="768"/>
      <c r="I279" s="768"/>
      <c r="J279" s="768"/>
      <c r="K279" s="768"/>
      <c r="L279" s="768"/>
      <c r="M279" s="768"/>
      <c r="N279" s="768"/>
      <c r="O279" s="768"/>
      <c r="P279" s="768"/>
      <c r="Q279" s="1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41" s="43" customFormat="1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184" t="s">
        <v>1267</v>
      </c>
      <c r="N280" s="184"/>
      <c r="O280" s="184"/>
      <c r="P280" s="185"/>
      <c r="Q280" s="1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41" ht="18">
      <c r="A281" s="22" t="s">
        <v>328</v>
      </c>
      <c r="B281" s="1"/>
      <c r="C281" s="1"/>
      <c r="D281" s="1"/>
      <c r="E281" s="1"/>
      <c r="F281" s="1"/>
      <c r="G281" s="1"/>
      <c r="H281" s="1"/>
      <c r="I281" s="1"/>
      <c r="J281" s="1" t="s">
        <v>321</v>
      </c>
      <c r="K281" s="1"/>
      <c r="L281" s="1"/>
      <c r="N281" s="93"/>
      <c r="O281" s="93"/>
      <c r="P281" s="93"/>
      <c r="Q281" s="701" t="s">
        <v>321</v>
      </c>
    </row>
    <row r="282" spans="1:41" ht="9" customHeight="1">
      <c r="A282" s="4"/>
      <c r="B282" s="4"/>
      <c r="C282" s="4"/>
      <c r="D282" s="4"/>
      <c r="E282" s="4"/>
      <c r="F282" s="4"/>
      <c r="G282" s="4"/>
      <c r="H282" s="4"/>
      <c r="I282" s="4"/>
      <c r="J282" s="4" t="s">
        <v>321</v>
      </c>
      <c r="K282" s="4"/>
      <c r="L282" s="4"/>
      <c r="M282" s="4"/>
      <c r="N282" s="92"/>
      <c r="O282" s="92"/>
      <c r="P282" s="92"/>
      <c r="Q282" s="710"/>
    </row>
    <row r="283" spans="1:41" ht="15.75">
      <c r="A283" s="1" t="s">
        <v>285</v>
      </c>
      <c r="B283" s="1"/>
      <c r="C283" s="1"/>
      <c r="D283" s="1"/>
      <c r="E283" s="1"/>
      <c r="F283" s="1"/>
      <c r="G283" s="1"/>
      <c r="H283" s="1"/>
      <c r="I283" s="1"/>
      <c r="J283" s="1" t="s">
        <v>321</v>
      </c>
      <c r="K283" s="1"/>
      <c r="L283" s="1"/>
      <c r="M283" s="1"/>
      <c r="N283" s="93"/>
      <c r="O283" s="93"/>
      <c r="P283" s="93"/>
      <c r="Q283" s="701" t="s">
        <v>321</v>
      </c>
    </row>
    <row r="284" spans="1:41" ht="15.75">
      <c r="A284" s="1" t="s">
        <v>1264</v>
      </c>
      <c r="B284" s="1"/>
      <c r="C284" s="1"/>
      <c r="D284" s="1"/>
      <c r="E284" s="1"/>
      <c r="F284" s="1"/>
      <c r="G284" s="1"/>
      <c r="H284" s="1"/>
      <c r="I284" s="1"/>
      <c r="J284" s="1" t="s">
        <v>321</v>
      </c>
      <c r="K284" s="1"/>
      <c r="L284" s="1"/>
      <c r="M284" s="1"/>
      <c r="N284" s="93"/>
      <c r="O284" s="93"/>
      <c r="P284" s="93"/>
      <c r="Q284" s="701" t="s">
        <v>321</v>
      </c>
    </row>
    <row r="285" spans="1:41" ht="9.75" customHeight="1">
      <c r="A285" s="4"/>
      <c r="B285" s="4"/>
      <c r="C285" s="4"/>
      <c r="D285" s="4"/>
      <c r="E285" s="4"/>
      <c r="F285" s="4"/>
      <c r="G285" s="4"/>
      <c r="H285" s="4"/>
      <c r="I285" s="4"/>
      <c r="Q285" s="86" t="s">
        <v>721</v>
      </c>
    </row>
    <row r="286" spans="1:41" ht="52.5" customHeight="1">
      <c r="A286" s="11"/>
      <c r="B286" s="585" t="s">
        <v>329</v>
      </c>
      <c r="C286" s="586"/>
      <c r="D286" s="585" t="s">
        <v>330</v>
      </c>
      <c r="E286" s="586"/>
      <c r="F286" s="585" t="s">
        <v>331</v>
      </c>
      <c r="G286" s="586"/>
      <c r="H286" s="585" t="s">
        <v>33</v>
      </c>
      <c r="I286" s="585"/>
      <c r="Q286" s="86"/>
      <c r="R286" s="696"/>
      <c r="Z286" s="702"/>
    </row>
    <row r="287" spans="1:41" ht="36" customHeight="1">
      <c r="A287" s="14"/>
      <c r="B287" s="15" t="s">
        <v>696</v>
      </c>
      <c r="C287" s="15" t="s">
        <v>327</v>
      </c>
      <c r="D287" s="16" t="s">
        <v>696</v>
      </c>
      <c r="E287" s="15" t="s">
        <v>327</v>
      </c>
      <c r="F287" s="16" t="s">
        <v>696</v>
      </c>
      <c r="G287" s="15" t="s">
        <v>327</v>
      </c>
      <c r="H287" s="16" t="s">
        <v>696</v>
      </c>
      <c r="I287" s="15" t="s">
        <v>327</v>
      </c>
      <c r="Q287" s="703" t="s">
        <v>1325</v>
      </c>
      <c r="R287" s="703" t="s">
        <v>1326</v>
      </c>
      <c r="S287" s="704" t="s">
        <v>1324</v>
      </c>
      <c r="Z287" s="698"/>
      <c r="AA287" s="244"/>
      <c r="AB287" s="244"/>
    </row>
    <row r="288" spans="1:41" ht="15" customHeight="1">
      <c r="A288" s="5" t="s">
        <v>296</v>
      </c>
      <c r="B288" s="6">
        <f>+GETPIVOTDATA(" New-Less Than 2-Year",'Pivot Table for 1-11'!$A$3,"SREB Type2","Technical")+GETPIVOTDATA(" New-2 But Less Than 4-Year",'Pivot Table for 1-11'!$A$3,"SREB Type2","Technical")</f>
        <v>59799</v>
      </c>
      <c r="C288" s="6">
        <f>+GETPIVOTDATA(" New-Associate's",'Pivot Table for 1-11'!$A$3,"SREB Type2","Technical")</f>
        <v>5565</v>
      </c>
      <c r="D288" s="375">
        <f>+GETPIVOTDATA(" New-Less Than 2-Year",'Pivot Table for 1-11'!$A$3,"SREB Type",12,"SREB Type2","Technical")+GETPIVOTDATA(" New-2 But Less Than 4-Year",'Pivot Table for 1-11'!$A$3,"SREB Type",12,"SREB Type2","Technical")</f>
        <v>37232</v>
      </c>
      <c r="E288" s="377">
        <f>+GETPIVOTDATA(" New-Associate's",'Pivot Table for 1-11'!$A$3,"SREB Type",12,"SREB Type2","Technical")</f>
        <v>5048</v>
      </c>
      <c r="F288" s="375">
        <f>+GETPIVOTDATA(" New-Less Than 2-Year",'Pivot Table for 1-11'!$A$3,"SREB Type",13,"SREB Type2","Technical")+GETPIVOTDATA(" New-2 But Less Than 4-Year",'Pivot Table for 1-11'!$A$3,"SREB Type",13,"SREB Type2","Technical")</f>
        <v>18064</v>
      </c>
      <c r="G288" s="377">
        <f>+GETPIVOTDATA(" New-Associate's",'Pivot Table for 1-11'!$A$3,"SREB Type",13,"SREB Type2","Technical")</f>
        <v>225</v>
      </c>
      <c r="H288" s="6">
        <f>+GETPIVOTDATA(" New-Less Than 2-Year",'Pivot Table for 1-11'!$A$3,"SREB Type",14,"SREB Type2","Technical")+GETPIVOTDATA(" New-2 But Less Than 4-Year",'Pivot Table for 1-11'!$A$3,"SREB Type",14,"SREB Type2","Technical")</f>
        <v>4503</v>
      </c>
      <c r="I288" s="6">
        <f>+GETPIVOTDATA(" New-Associate's",'Pivot Table for 1-11'!$A$3,"SREB Type",14,"SREB Type2","Technical")</f>
        <v>292</v>
      </c>
      <c r="Q288" s="700">
        <f t="shared" ref="Q288:Q308" si="16">SUM(B288:C288)</f>
        <v>65364</v>
      </c>
      <c r="R288" s="700">
        <f>SUM('Old 1-12'!B288:C288)</f>
        <v>55341</v>
      </c>
      <c r="S288" s="705">
        <f>('New Tables 1-12'!Q288-'New Tables 1-12'!R288)/R288</f>
        <v>0.18111346018322763</v>
      </c>
    </row>
    <row r="289" spans="1:26" ht="15" customHeight="1">
      <c r="A289" s="5"/>
      <c r="B289" s="6"/>
      <c r="C289" s="6"/>
      <c r="D289" s="17"/>
      <c r="E289" s="90"/>
      <c r="F289" s="17"/>
      <c r="G289" s="90"/>
      <c r="H289" s="6"/>
      <c r="I289" s="6"/>
      <c r="Q289" s="700">
        <f t="shared" si="16"/>
        <v>0</v>
      </c>
      <c r="R289" s="700">
        <f>SUM('Old 1-12'!B289:C289)</f>
        <v>0</v>
      </c>
      <c r="S289" s="705" t="e">
        <f>('New Tables 1-12'!Q289-'New Tables 1-12'!R289)/R289</f>
        <v>#DIV/0!</v>
      </c>
    </row>
    <row r="290" spans="1:26" ht="15" customHeight="1">
      <c r="A290" s="5" t="s">
        <v>297</v>
      </c>
      <c r="B290" s="6">
        <f>+GETPIVOTDATA(" New-Less Than 2-Year",'Pivot Table for 1-11'!$A$3,"State","AL","SREB Type2","Technical")+GETPIVOTDATA(" New-2 But Less Than 4-Year",'Pivot Table for 1-11'!$A$3,"State","AL","SREB Type2","Technical")</f>
        <v>767</v>
      </c>
      <c r="C290" s="6">
        <f>+GETPIVOTDATA(" New-Associate's",'Pivot Table for 1-11'!$A$3,"State","AL","SREB Type2","Technical")</f>
        <v>257</v>
      </c>
      <c r="D290" s="17">
        <f>GETPIVOTDATA(" New-Less Than 2-Year",'Pivot Table for 1-11'!$A$3,"State","AL")+GETPIVOTDATA(" New-2 But Less Than 4-Year",'Pivot Table for 1-11'!$A$3,"State","AL","SREB Type",12,"SREB Type2","Technical")</f>
        <v>4386</v>
      </c>
      <c r="E290" s="90">
        <f>+GETPIVOTDATA(" New-Associate's",'Pivot Table for 1-11'!$A$3,"State","AL","SREB Type",12,"SREB Type2","Technical")</f>
        <v>135</v>
      </c>
      <c r="F290" s="17">
        <f>GETPIVOTDATA(" New-Less Than 2-Year",'Pivot Table for 1-11'!$A$3,"State","AL")+GETPIVOTDATA(" New-2 But Less Than 4-Year",'Pivot Table for 1-11'!$A$3,"State","AL","SREB Type",13,"SREB Type2","Technical")</f>
        <v>4386</v>
      </c>
      <c r="G290" s="90">
        <f>+GETPIVOTDATA(" New-Associate's",'Pivot Table for 1-11'!$A$3,"State","AL","SREB Type",13,"SREB Type2","Technical")</f>
        <v>122</v>
      </c>
      <c r="H290" s="6">
        <f>GETPIVOTDATA(" New-Less Than 2-Year",'Pivot Table for 1-11'!$A$3,"State","AL")+GETPIVOTDATA(" New-2 But Less Than 4-Year",'Pivot Table for 1-11'!$A$3,"State","AL","SREB Type",14,"SREB Type2","Technical")</f>
        <v>4386</v>
      </c>
      <c r="I290" s="6">
        <f>+GETPIVOTDATA(" New-Associate's",'Pivot Table for 1-11'!$A$3,"State","AL","SREB Type",14,"SREB Type2","Technical")</f>
        <v>0</v>
      </c>
      <c r="Q290" s="700">
        <f t="shared" si="16"/>
        <v>1024</v>
      </c>
      <c r="R290" s="700">
        <f>SUM('Old 1-12'!B290:C290)</f>
        <v>972</v>
      </c>
      <c r="S290" s="705">
        <f>('New Tables 1-12'!Q290-'New Tables 1-12'!R290)/R290</f>
        <v>5.3497942386831275E-2</v>
      </c>
      <c r="Z290" s="706"/>
    </row>
    <row r="291" spans="1:26" ht="15" customHeight="1">
      <c r="A291" s="5" t="s">
        <v>298</v>
      </c>
      <c r="B291" s="6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6">
        <f>+GETPIVOTDATA(" New-Associate's",'Pivot Table for 1-11'!$A$3,"State","AR","SREB Type2","Technical")</f>
        <v>0</v>
      </c>
      <c r="D291" s="17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90">
        <f>+GETPIVOTDATA(" New-Associate's",'Pivot Table for 1-11'!$A$3,"State","AR","SREB Type",12,"SREB Type2","Technical")</f>
        <v>0</v>
      </c>
      <c r="F291" s="17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90">
        <f>+GETPIVOTDATA(" New-Associate's",'Pivot Table for 1-11'!$A$3,"State","AR","SREB Type",13,"SREB Type2","Technical")</f>
        <v>0</v>
      </c>
      <c r="H291" s="6">
        <f>+GETPIVOTDATA(" New-Less Than 2-Year",'Pivot Table for 1-11'!$A$3,"State","AR","SREB Type",14,"SREB Type2","Technical")+GETPIVOTDATA(" New-2 But Less Than 4-Year",'Pivot Table for 1-11'!$A$3,"State","AR","SREB Type",14,"SREB Type2","Technical")</f>
        <v>0</v>
      </c>
      <c r="I291" s="6">
        <f>+GETPIVOTDATA(" New-Associate's",'Pivot Table for 1-11'!$A$3,"State","AR","SREB Type",14,"SREB Type2","Technical")</f>
        <v>0</v>
      </c>
      <c r="Q291" s="700">
        <f t="shared" si="16"/>
        <v>0</v>
      </c>
      <c r="R291" s="700">
        <f>SUM('Old 1-12'!B291:C291)</f>
        <v>0</v>
      </c>
      <c r="S291" s="705" t="e">
        <f>('New Tables 1-12'!Q291-'New Tables 1-12'!R291)/R291</f>
        <v>#DIV/0!</v>
      </c>
    </row>
    <row r="292" spans="1:26" ht="15" customHeight="1">
      <c r="A292" s="5" t="s">
        <v>299</v>
      </c>
      <c r="B292" s="6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6">
        <f>+GETPIVOTDATA(" New-Associate's",'Pivot Table for 1-11'!$A$3,"State","DE","SREB Type2","Technical")</f>
        <v>0</v>
      </c>
      <c r="D292" s="17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90">
        <f>+GETPIVOTDATA(" New-Associate's",'Pivot Table for 1-11'!$A$3,"State","DE","SREB Type",12,"SREB Type2","Technical")</f>
        <v>0</v>
      </c>
      <c r="F292" s="17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90">
        <f>+GETPIVOTDATA(" New-Associate's",'Pivot Table for 1-11'!$A$3,"State","DE","SREB Type",13,"SREB Type2","Technical")</f>
        <v>0</v>
      </c>
      <c r="H292" s="6">
        <f>+GETPIVOTDATA(" New-Less Than 2-Year",'Pivot Table for 1-11'!$A$3,"State","DE","SREB Type",14,"SREB Type2","Technical")+GETPIVOTDATA(" New-2 But Less Than 4-Year",'Pivot Table for 1-11'!$A$3,"State","DE","SREB Type",14,"SREB Type2","Technical")</f>
        <v>0</v>
      </c>
      <c r="I292" s="6">
        <f>+GETPIVOTDATA(" New-Associate's",'Pivot Table for 1-11'!$A$3,"State","DE","SREB Type",14,"SREB Type2","Technical")</f>
        <v>0</v>
      </c>
      <c r="Q292" s="700">
        <f t="shared" si="16"/>
        <v>0</v>
      </c>
      <c r="R292" s="700">
        <f>SUM('Old 1-12'!B292:C292)</f>
        <v>0</v>
      </c>
      <c r="S292" s="705" t="e">
        <f>('New Tables 1-12'!Q292-'New Tables 1-12'!R292)/R292</f>
        <v>#DIV/0!</v>
      </c>
    </row>
    <row r="293" spans="1:26" ht="15" customHeight="1">
      <c r="A293" s="5" t="s">
        <v>300</v>
      </c>
      <c r="B293" s="6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6">
        <f>+GETPIVOTDATA(" New-Associate's",'Pivot Table for 1-11'!$A$3,"State","FL","SREB Type2","Technical")</f>
        <v>0</v>
      </c>
      <c r="D293" s="17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90">
        <f>+GETPIVOTDATA(" New-Associate's",'Pivot Table for 1-11'!$A$3,"State","FL","SREB Type",12,"SREB Type2","Technical")</f>
        <v>0</v>
      </c>
      <c r="F293" s="17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90">
        <f>+GETPIVOTDATA(" New-Associate's",'Pivot Table for 1-11'!$A$3,"State","FL","SREB Type",13,"SREB Type2","Technical")</f>
        <v>0</v>
      </c>
      <c r="H293" s="6">
        <f>+GETPIVOTDATA(" New-Less Than 2-Year",'Pivot Table for 1-11'!$A$3,"State","FL","SREB Type",14,"SREB Type2","Technical")+GETPIVOTDATA(" New-2 But Less Than 4-Year",'Pivot Table for 1-11'!$A$3,"State","FL","SREB Type",14,"SREB Type2","Technical")</f>
        <v>0</v>
      </c>
      <c r="I293" s="6">
        <f>+GETPIVOTDATA(" New-Associate's",'Pivot Table for 1-11'!$A$3,"State","FL","SREB Type",14,"SREB Type2","Technical")</f>
        <v>0</v>
      </c>
      <c r="Q293" s="700">
        <f t="shared" si="16"/>
        <v>0</v>
      </c>
      <c r="R293" s="700">
        <f>SUM('Old 1-12'!B293:C293)</f>
        <v>0</v>
      </c>
      <c r="S293" s="705" t="e">
        <f>('New Tables 1-12'!Q293-'New Tables 1-12'!R293)/R293</f>
        <v>#DIV/0!</v>
      </c>
    </row>
    <row r="294" spans="1:26" ht="15" customHeight="1">
      <c r="A294" s="5"/>
      <c r="B294" s="6"/>
      <c r="C294" s="6"/>
      <c r="D294" s="17"/>
      <c r="E294" s="90"/>
      <c r="F294" s="17"/>
      <c r="G294" s="90"/>
      <c r="H294" s="6"/>
      <c r="I294" s="6"/>
      <c r="Q294" s="700">
        <f t="shared" si="16"/>
        <v>0</v>
      </c>
      <c r="R294" s="700">
        <f>SUM('Old 1-12'!B294:C294)</f>
        <v>0</v>
      </c>
      <c r="S294" s="705" t="e">
        <f>('New Tables 1-12'!Q294-'New Tables 1-12'!R294)/R294</f>
        <v>#DIV/0!</v>
      </c>
    </row>
    <row r="295" spans="1:26" ht="15" customHeight="1">
      <c r="A295" s="5" t="s">
        <v>301</v>
      </c>
      <c r="B295" s="6">
        <f>+GETPIVOTDATA(" New-Less Than 2-Year",'Pivot Table for 1-11'!$A$3,"State","GA","SREB Type2","Technical")+GETPIVOTDATA(" New-2 But Less Than 4-Year",'Pivot Table for 1-11'!$A$3,"State","GA","SREB Type2","Technical")</f>
        <v>34179</v>
      </c>
      <c r="C295" s="6">
        <f>+GETPIVOTDATA(" New-Associate's",'Pivot Table for 1-11'!$A$3,"State","GA","SREB Type2","Technical")</f>
        <v>4353</v>
      </c>
      <c r="D295" s="17">
        <f>+GETPIVOTDATA(" New-Less Than 2-Year",'Pivot Table for 1-11'!$A$3,"State","GA","SREB Type",12,"SREB Type2","Technical")+GETPIVOTDATA(" New-2 But Less Than 4-Year",'Pivot Table for 1-11'!$A$3,"State","GA","SREB Type",12,"SREB Type2","Technical")</f>
        <v>32377</v>
      </c>
      <c r="E295" s="90">
        <f>+GETPIVOTDATA(" New-Associate's",'Pivot Table for 1-11'!$A$3,"State","GA","SREB Type",12,"SREB Type2","Technical")</f>
        <v>4288</v>
      </c>
      <c r="F295" s="17">
        <f>+GETPIVOTDATA(" New-Less Than 2-Year",'Pivot Table for 1-11'!$A$3,"State","GA","SREB Type",13,"SREB Type2","Technical")+GETPIVOTDATA(" New-2 But Less Than 4-Year",'Pivot Table for 1-11'!$A$3,"State","GA","SREB Type",13,"SREB Type2","Technical")</f>
        <v>1802</v>
      </c>
      <c r="G295" s="90">
        <f>+GETPIVOTDATA(" New-Associate's",'Pivot Table for 1-11'!$A$3,"State","GA","SREB Type",13,"SREB Type2","Technical")</f>
        <v>65</v>
      </c>
      <c r="H295" s="6">
        <f>+GETPIVOTDATA(" New-Less Than 2-Year",'Pivot Table for 1-11'!$A$3,"State","GA","SREB Type",14,"SREB Type2","Technical")+GETPIVOTDATA(" New-2 But Less Than 4-Year",'Pivot Table for 1-11'!$A$3,"State","GA","SREB Type",14,"SREB Type2","Technical")</f>
        <v>0</v>
      </c>
      <c r="I295" s="6">
        <f>+GETPIVOTDATA(" New-Associate's",'Pivot Table for 1-11'!$A$3,"State","GA","SREB Type",14,"SREB Type2","Technical")</f>
        <v>0</v>
      </c>
      <c r="Q295" s="700">
        <f t="shared" si="16"/>
        <v>38532</v>
      </c>
      <c r="R295" s="700">
        <f>SUM('Old 1-12'!B295:C295)</f>
        <v>35560</v>
      </c>
      <c r="S295" s="705">
        <f>('New Tables 1-12'!Q295-'New Tables 1-12'!R295)/R295</f>
        <v>8.3577052868391455E-2</v>
      </c>
    </row>
    <row r="296" spans="1:26" ht="15" customHeight="1">
      <c r="A296" s="5" t="s">
        <v>302</v>
      </c>
      <c r="B296" s="6">
        <f>+GETPIVOTDATA(" New-Less Than 2-Year",'Pivot Table for 1-11'!$A$3,"State","KY","SREB Type2","Technical")+GETPIVOTDATA(" New-2 But Less Than 4-Year",'Pivot Table for 1-11'!$A$3,"State","KY","SREB Type2","Technical")</f>
        <v>1668</v>
      </c>
      <c r="C296" s="6">
        <f>+GETPIVOTDATA(" New-Associate's",'Pivot Table for 1-11'!$A$3,"State","KY","SREB Type2","Technical")</f>
        <v>411</v>
      </c>
      <c r="D296" s="17">
        <f>+GETPIVOTDATA(" New-Less Than 2-Year",'Pivot Table for 1-11'!$A$3,"State","KY","SREB Type",12,"SREB Type2","Technical")+GETPIVOTDATA(" New-2 But Less Than 4-Year",'Pivot Table for 1-11'!$A$3,"State","KY","SREB Type",12,"SREB Type2","Technical")</f>
        <v>1668</v>
      </c>
      <c r="E296" s="90">
        <f>+GETPIVOTDATA(" New-Associate's",'Pivot Table for 1-11'!$A$3,"State","KY","SREB Type",12,"SREB Type2","Technical")</f>
        <v>411</v>
      </c>
      <c r="F296" s="17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90">
        <f>+GETPIVOTDATA(" New-Associate's",'Pivot Table for 1-11'!$A$3,"State","KY","SREB Type",13,"SREB Type2","Technical")</f>
        <v>0</v>
      </c>
      <c r="H296" s="6">
        <f>+GETPIVOTDATA(" New-Less Than 2-Year",'Pivot Table for 1-11'!$A$3,"State","KY","SREB Type",14,"SREB Type2","Technical")+GETPIVOTDATA(" New-2 But Less Than 4-Year",'Pivot Table for 1-11'!$A$3,"State","KY","SREB Type",14,"SREB Type2","Technical")</f>
        <v>0</v>
      </c>
      <c r="I296" s="6">
        <f>+GETPIVOTDATA(" New-Associate's",'Pivot Table for 1-11'!$A$3,"State","KY","SREB Type",14,"SREB Type2","Technical")</f>
        <v>0</v>
      </c>
      <c r="Q296" s="700">
        <f t="shared" si="16"/>
        <v>2079</v>
      </c>
      <c r="R296" s="700">
        <f>SUM('Old 1-12'!B296:C296)</f>
        <v>1941</v>
      </c>
      <c r="S296" s="705">
        <f>('New Tables 1-12'!Q296-'New Tables 1-12'!R296)/R296</f>
        <v>7.1097372488408042E-2</v>
      </c>
    </row>
    <row r="297" spans="1:26" ht="15" customHeight="1">
      <c r="A297" s="5" t="s">
        <v>303</v>
      </c>
      <c r="B297" s="6">
        <f>+GETPIVOTDATA(" New-Less Than 2-Year",'Pivot Table for 1-11'!$A$3,"State","LA","SREB Type2","Technical")+GETPIVOTDATA(" New-2 But Less Than 4-Year",'Pivot Table for 1-11'!$A$3,"State","LA","SREB Type2","Technical")</f>
        <v>4730</v>
      </c>
      <c r="C297" s="6">
        <f>+GETPIVOTDATA(" New-Associate's",'Pivot Table for 1-11'!$A$3,"State","LA","SREB Type2","Technical")</f>
        <v>544</v>
      </c>
      <c r="D297" s="17">
        <f>+GETPIVOTDATA(" New-Less Than 2-Year",'Pivot Table for 1-11'!$A$3,"State","LA","SREB Type",12,"SREB Type2","Technical")+GETPIVOTDATA(" New-2 But Less Than 4-Year",'Pivot Table for 1-11'!$A$3,"State","LA","SREB Type",12,"SREB Type2","Technical")</f>
        <v>143</v>
      </c>
      <c r="E297" s="90">
        <f>+GETPIVOTDATA(" New-Associate's",'Pivot Table for 1-11'!$A$3,"State","LA","SREB Type",12,"SREB Type2","Technical")</f>
        <v>214</v>
      </c>
      <c r="F297" s="17">
        <f>+GETPIVOTDATA(" New-Less Than 2-Year",'Pivot Table for 1-11'!$A$3,"State","LA","SREB Type",13,"SREB Type2","Technical")+GETPIVOTDATA(" New-2 But Less Than 4-Year",'Pivot Table for 1-11'!$A$3,"State","LA","SREB Type",13,"SREB Type2","Technical")</f>
        <v>84</v>
      </c>
      <c r="G297" s="90">
        <f>+GETPIVOTDATA(" New-Associate's",'Pivot Table for 1-11'!$A$3,"State","LA","SREB Type",13,"SREB Type2","Technical")</f>
        <v>38</v>
      </c>
      <c r="H297" s="6">
        <f>+GETPIVOTDATA(" New-Less Than 2-Year",'Pivot Table for 1-11'!$A$3,"State","LA","SREB Type",14,"SREB Type2","Technical")+GETPIVOTDATA(" New-2 But Less Than 4-Year",'Pivot Table for 1-11'!$A$3,"State","LA","SREB Type",14,"SREB Type2","Technical")</f>
        <v>4503</v>
      </c>
      <c r="I297" s="6">
        <f>+GETPIVOTDATA(" New-Associate's",'Pivot Table for 1-11'!$A$3,"State","LA","SREB Type",14,"SREB Type2","Technical")</f>
        <v>292</v>
      </c>
      <c r="Q297" s="700">
        <f t="shared" si="16"/>
        <v>5274</v>
      </c>
      <c r="R297" s="700">
        <f>SUM('Old 1-12'!B297:C297)</f>
        <v>3365</v>
      </c>
      <c r="S297" s="705">
        <f>('New Tables 1-12'!Q297-'New Tables 1-12'!R297)/R297</f>
        <v>0.56731054977711737</v>
      </c>
    </row>
    <row r="298" spans="1:26" ht="15" customHeight="1">
      <c r="A298" s="5" t="s">
        <v>304</v>
      </c>
      <c r="B298" s="6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6">
        <f>+GETPIVOTDATA(" New-Associate's",'Pivot Table for 1-11'!$A$3,"State","MD","SREB Type2","Technical")</f>
        <v>0</v>
      </c>
      <c r="D298" s="17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90">
        <f>+GETPIVOTDATA(" New-Associate's",'Pivot Table for 1-11'!$A$3,"State","MD","SREB Type",12,"SREB Type2","Technical")</f>
        <v>0</v>
      </c>
      <c r="F298" s="17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90">
        <f>+GETPIVOTDATA(" New-Associate's",'Pivot Table for 1-11'!$A$3,"State","MD","SREB Type",13,"SREB Type2","Technical")</f>
        <v>0</v>
      </c>
      <c r="H298" s="6">
        <f>+GETPIVOTDATA(" New-Less Than 2-Year",'Pivot Table for 1-11'!$A$3,"State","MD","SREB Type",14,"SREB Type2","Technical")+GETPIVOTDATA(" New-2 But Less Than 4-Year",'Pivot Table for 1-11'!$A$3,"State","MD","SREB Type",14,"SREB Type2","Technical")</f>
        <v>0</v>
      </c>
      <c r="I298" s="6">
        <f>+GETPIVOTDATA(" New-Associate's",'Pivot Table for 1-11'!$A$3,"State","MD","SREB Type",14,"SREB Type2","Technical")</f>
        <v>0</v>
      </c>
      <c r="Q298" s="700">
        <f t="shared" si="16"/>
        <v>0</v>
      </c>
      <c r="R298" s="700">
        <f>SUM('Old 1-12'!B298:C298)</f>
        <v>0</v>
      </c>
      <c r="S298" s="705" t="e">
        <f>('New Tables 1-12'!Q298-'New Tables 1-12'!R298)/R298</f>
        <v>#DIV/0!</v>
      </c>
    </row>
    <row r="299" spans="1:26" ht="15" customHeight="1">
      <c r="A299" s="5"/>
      <c r="B299" s="6"/>
      <c r="C299" s="6"/>
      <c r="D299" s="17"/>
      <c r="E299" s="90"/>
      <c r="F299" s="17"/>
      <c r="G299" s="90"/>
      <c r="H299" s="6"/>
      <c r="I299" s="6"/>
      <c r="Q299" s="700">
        <f t="shared" si="16"/>
        <v>0</v>
      </c>
      <c r="R299" s="700">
        <f>SUM('Old 1-12'!B299:C299)</f>
        <v>0</v>
      </c>
      <c r="S299" s="705" t="e">
        <f>('New Tables 1-12'!Q299-'New Tables 1-12'!R299)/R299</f>
        <v>#DIV/0!</v>
      </c>
    </row>
    <row r="300" spans="1:26" ht="15" customHeight="1">
      <c r="A300" s="5" t="s">
        <v>305</v>
      </c>
      <c r="B300" s="6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6">
        <f>+GETPIVOTDATA(" New-Associate's",'Pivot Table for 1-11'!$A$3,"State","MS","SREB Type2","Technical")</f>
        <v>0</v>
      </c>
      <c r="D300" s="17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90">
        <f>+GETPIVOTDATA(" New-Associate's",'Pivot Table for 1-11'!$A$3,"State","MS","SREB Type",12,"SREB Type2","Technical")</f>
        <v>0</v>
      </c>
      <c r="F300" s="17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90">
        <f>+GETPIVOTDATA(" New-Associate's",'Pivot Table for 1-11'!$A$3,"State","MS","SREB Type",13,"SREB Type2","Technical")</f>
        <v>0</v>
      </c>
      <c r="H300" s="6">
        <f>+GETPIVOTDATA(" New-Less Than 2-Year",'Pivot Table for 1-11'!$A$3,"State","MS","SREB Type",14,"SREB Type2","Technical")+GETPIVOTDATA(" New-2 But Less Than 4-Year",'Pivot Table for 1-11'!$A$3,"State","MS","SREB Type",14,"SREB Type2","Technical")</f>
        <v>0</v>
      </c>
      <c r="I300" s="6">
        <f>+GETPIVOTDATA(" New-Associate's",'Pivot Table for 1-11'!$A$3,"State","MS","SREB Type",14,"SREB Type2","Technical")</f>
        <v>0</v>
      </c>
      <c r="Q300" s="700">
        <f t="shared" si="16"/>
        <v>0</v>
      </c>
      <c r="R300" s="700">
        <f>SUM('Old 1-12'!B300:C300)</f>
        <v>0</v>
      </c>
      <c r="S300" s="705" t="e">
        <f>('New Tables 1-12'!Q300-'New Tables 1-12'!R300)/R300</f>
        <v>#DIV/0!</v>
      </c>
    </row>
    <row r="301" spans="1:26" ht="15" customHeight="1">
      <c r="A301" s="5" t="s">
        <v>306</v>
      </c>
      <c r="B301" s="6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6">
        <f>+GETPIVOTDATA(" New-Associate's",'Pivot Table for 1-11'!$A$3,"State","NC","SREB Type2","Technical")</f>
        <v>0</v>
      </c>
      <c r="D301" s="17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90">
        <f>+GETPIVOTDATA(" New-Associate's",'Pivot Table for 1-11'!$A$3,"State","NC","SREB Type",12,"SREB Type2","Technical")</f>
        <v>0</v>
      </c>
      <c r="F301" s="17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90">
        <f>+GETPIVOTDATA(" New-Associate's",'Pivot Table for 1-11'!$A$3,"State","NC","SREB Type",13,"SREB Type2","Technical")</f>
        <v>0</v>
      </c>
      <c r="H301" s="6">
        <f>+GETPIVOTDATA(" New-Less Than 2-Year",'Pivot Table for 1-11'!$A$3,"State","NC","SREB Type",14,"SREB Type2","Technical")+GETPIVOTDATA(" New-2 But Less Than 4-Year",'Pivot Table for 1-11'!$A$3,"State","NC","SREB Type",14,"SREB Type2","Technical")</f>
        <v>0</v>
      </c>
      <c r="I301" s="6">
        <f>+GETPIVOTDATA(" New-Associate's",'Pivot Table for 1-11'!$A$3,"State","NC","SREB Type",14,"SREB Type2","Technical")</f>
        <v>0</v>
      </c>
      <c r="Q301" s="700">
        <f t="shared" si="16"/>
        <v>0</v>
      </c>
      <c r="R301" s="700">
        <f>SUM('Old 1-12'!B301:C301)</f>
        <v>0</v>
      </c>
      <c r="S301" s="705" t="e">
        <f>('New Tables 1-12'!Q301-'New Tables 1-12'!R301)/R301</f>
        <v>#DIV/0!</v>
      </c>
    </row>
    <row r="302" spans="1:26" ht="15" customHeight="1">
      <c r="A302" s="5" t="s">
        <v>307</v>
      </c>
      <c r="B302" s="6">
        <f>+GETPIVOTDATA(" New-Less Than 2-Year",'Pivot Table for 1-11'!$A$3,"State","OK","SREB Type2","Technical")+GETPIVOTDATA(" New-2 But Less Than 4-Year",'Pivot Table for 1-11'!$A$3,"State","OK","SREB Type2","Technical")</f>
        <v>11693</v>
      </c>
      <c r="C302" s="6">
        <f>+GETPIVOTDATA(" New-Associate's",'Pivot Table for 1-11'!$A$3,"State","OK","SREB Type2","Technical")</f>
        <v>0</v>
      </c>
      <c r="D302" s="17">
        <f>+GETPIVOTDATA(" New-Less Than 2-Year",'Pivot Table for 1-11'!$A$3,"State","OK","SREB Type",12,"SREB Type2","Technical")+GETPIVOTDATA(" New-2 But Less Than 4-Year",'Pivot Table for 1-11'!$A$3,"State","OK","SREB Type",12,"SREB Type2","Technical")</f>
        <v>2699</v>
      </c>
      <c r="E302" s="90">
        <f>+GETPIVOTDATA(" New-Associate's",'Pivot Table for 1-11'!$A$3,"State","OK","SREB Type",12,"SREB Type2","Technical")</f>
        <v>0</v>
      </c>
      <c r="F302" s="17">
        <f>+GETPIVOTDATA(" New-Less Than 2-Year",'Pivot Table for 1-11'!$A$3,"State","OK","SREB Type",13,"SREB Type2","Technical")+GETPIVOTDATA(" New-2 But Less Than 4-Year",'Pivot Table for 1-11'!$A$3,"State","OK","SREB Type",13,"SREB Type2","Technical")</f>
        <v>8994</v>
      </c>
      <c r="G302" s="90">
        <f>+GETPIVOTDATA(" New-Associate's",'Pivot Table for 1-11'!$A$3,"State","OK","SREB Type",13,"SREB Type2","Technical")</f>
        <v>0</v>
      </c>
      <c r="H302" s="6">
        <f>+GETPIVOTDATA(" New-Less Than 2-Year",'Pivot Table for 1-11'!$A$3,"State","OK","SREB Type",14,"SREB Type2","Technical")+GETPIVOTDATA(" New-2 But Less Than 4-Year",'Pivot Table for 1-11'!$A$3,"State","OK","SREB Type",14,"SREB Type2","Technical")</f>
        <v>0</v>
      </c>
      <c r="I302" s="6">
        <f>+GETPIVOTDATA(" New-Associate's",'Pivot Table for 1-11'!$A$3,"State","OK","SREB Type",14,"SREB Type2","Technical")</f>
        <v>0</v>
      </c>
      <c r="Q302" s="700">
        <f t="shared" si="16"/>
        <v>11693</v>
      </c>
      <c r="R302" s="700">
        <f>SUM('Old 1-12'!B302:C302)</f>
        <v>7099</v>
      </c>
      <c r="S302" s="705">
        <f>('New Tables 1-12'!Q302-'New Tables 1-12'!R302)/R302</f>
        <v>0.64713339907029155</v>
      </c>
    </row>
    <row r="303" spans="1:26" ht="15" customHeight="1">
      <c r="A303" s="5" t="s">
        <v>308</v>
      </c>
      <c r="B303" s="6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6">
        <f>+GETPIVOTDATA(" New-Associate's",'Pivot Table for 1-11'!$A$3,"State","SC","SREB Type2","Technical")</f>
        <v>0</v>
      </c>
      <c r="D303" s="17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90">
        <f>+GETPIVOTDATA(" New-Associate's",'Pivot Table for 1-11'!$A$3,"State","SC","SREB Type",12,"SREB Type2","Technical")</f>
        <v>0</v>
      </c>
      <c r="F303" s="17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90">
        <f>+GETPIVOTDATA(" New-Associate's",'Pivot Table for 1-11'!$A$3,"State","SC","SREB Type",13,"SREB Type2","Technical")</f>
        <v>0</v>
      </c>
      <c r="H303" s="6">
        <f>+GETPIVOTDATA(" New-Less Than 2-Year",'Pivot Table for 1-11'!$A$3,"State","SC","SREB Type",14,"SREB Type2","Technical")+GETPIVOTDATA(" New-2 But Less Than 4-Year",'Pivot Table for 1-11'!$A$3,"State","SC","SREB Type",14,"SREB Type2","Technical")</f>
        <v>0</v>
      </c>
      <c r="I303" s="6">
        <f>+GETPIVOTDATA(" New-Associate's",'Pivot Table for 1-11'!$A$3,"State","SC","SREB Type",14,"SREB Type2","Technical")</f>
        <v>0</v>
      </c>
      <c r="Q303" s="700">
        <f t="shared" si="16"/>
        <v>0</v>
      </c>
      <c r="R303" s="700">
        <f>SUM('Old 1-12'!B303:C303)</f>
        <v>0</v>
      </c>
      <c r="S303" s="705" t="e">
        <f>('New Tables 1-12'!Q303-'New Tables 1-12'!R303)/R303</f>
        <v>#DIV/0!</v>
      </c>
    </row>
    <row r="304" spans="1:26" ht="15" customHeight="1">
      <c r="A304" s="5"/>
      <c r="B304" s="6"/>
      <c r="C304" s="6"/>
      <c r="D304" s="17"/>
      <c r="E304" s="90"/>
      <c r="F304" s="17"/>
      <c r="G304" s="90"/>
      <c r="H304" s="6"/>
      <c r="I304" s="6"/>
      <c r="Q304" s="700">
        <f t="shared" si="16"/>
        <v>0</v>
      </c>
      <c r="R304" s="700">
        <f>SUM('Old 1-12'!B304:C304)</f>
        <v>0</v>
      </c>
      <c r="S304" s="705" t="e">
        <f>('New Tables 1-12'!Q304-'New Tables 1-12'!R304)/R304</f>
        <v>#DIV/0!</v>
      </c>
    </row>
    <row r="305" spans="1:42" ht="15" customHeight="1">
      <c r="A305" s="5" t="s">
        <v>309</v>
      </c>
      <c r="B305" s="6">
        <f>+GETPIVOTDATA(" New-Less Than 2-Year",'Pivot Table for 1-11'!$A$3,"State","TN","SREB Type2","Technical")+GETPIVOTDATA(" New-2 But Less Than 4-Year",'Pivot Table for 1-11'!$A$3,"State","TN","SREB Type2","Technical")</f>
        <v>6762</v>
      </c>
      <c r="C305" s="6">
        <f>+GETPIVOTDATA(" New-Associate's",'Pivot Table for 1-11'!$A$3,"State","TN","SREB Type2","Technical")</f>
        <v>0</v>
      </c>
      <c r="D305" s="17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90">
        <f>+GETPIVOTDATA(" New-Associate's",'Pivot Table for 1-11'!$A$3,"State","TN","SREB Type",12,"SREB Type2","Technical")</f>
        <v>0</v>
      </c>
      <c r="F305" s="17">
        <f>+GETPIVOTDATA(" New-Less Than 2-Year",'Pivot Table for 1-11'!$A$3,"State","TN","SREB Type",13,"SREB Type2","Technical")+GETPIVOTDATA(" New-2 But Less Than 4-Year",'Pivot Table for 1-11'!$A$3,"State","TN","SREB Type",13,"SREB Type2","Technical")</f>
        <v>6762</v>
      </c>
      <c r="G305" s="90">
        <f>+GETPIVOTDATA(" New-Associate's",'Pivot Table for 1-11'!$A$3,"State","TN","SREB Type",13,"SREB Type2","Technical")</f>
        <v>0</v>
      </c>
      <c r="H305" s="6">
        <f>+GETPIVOTDATA(" New-Less Than 2-Year",'Pivot Table for 1-11'!$A$3,"State","TN","SREB Type",14,"SREB Type2","Technical")+GETPIVOTDATA(" New-2 But Less Than 4-Year",'Pivot Table for 1-11'!$A$3,"State","TN","SREB Type",14,"SREB Type2","Technical")</f>
        <v>0</v>
      </c>
      <c r="I305" s="6">
        <f>+GETPIVOTDATA(" New-Associate's",'Pivot Table for 1-11'!$A$3,"State","TN","SREB Type",14,"SREB Type2","Technical")</f>
        <v>0</v>
      </c>
      <c r="Q305" s="700">
        <f t="shared" si="16"/>
        <v>6762</v>
      </c>
      <c r="R305" s="700">
        <f>SUM('Old 1-12'!B305:C305)</f>
        <v>6404</v>
      </c>
      <c r="S305" s="705">
        <f>('New Tables 1-12'!Q305-'New Tables 1-12'!R305)/R305</f>
        <v>5.5902560899437855E-2</v>
      </c>
    </row>
    <row r="306" spans="1:42" ht="15" customHeight="1">
      <c r="A306" s="5" t="s">
        <v>310</v>
      </c>
      <c r="B306" s="6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6">
        <f>+GETPIVOTDATA(" New-Associate's",'Pivot Table for 1-11'!$A$3,"State","TX","SREB Type2","Technical")</f>
        <v>0</v>
      </c>
      <c r="D306" s="17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90">
        <f>+GETPIVOTDATA(" New-Associate's",'Pivot Table for 1-11'!$A$3,"State","TX","SREB Type",12,"SREB Type2","Technical")</f>
        <v>0</v>
      </c>
      <c r="F306" s="17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90">
        <f>+GETPIVOTDATA(" New-Associate's",'Pivot Table for 1-11'!$A$3,"State","TX","SREB Type",13,"SREB Type2","Technical")</f>
        <v>0</v>
      </c>
      <c r="H306" s="6">
        <f>+GETPIVOTDATA(" New-Less Than 2-Year",'Pivot Table for 1-11'!$A$3,"State","TX","SREB Type",14,"SREB Type2","Technical")+GETPIVOTDATA(" New-2 But Less Than 4-Year",'Pivot Table for 1-11'!$A$3,"State","TX","SREB Type",14,"SREB Type2","Technical")</f>
        <v>0</v>
      </c>
      <c r="I306" s="6">
        <f>+GETPIVOTDATA(" New-Associate's",'Pivot Table for 1-11'!$A$3,"State","TX","SREB Type",14,"SREB Type2","Technical")</f>
        <v>0</v>
      </c>
      <c r="Q306" s="700">
        <f t="shared" si="16"/>
        <v>0</v>
      </c>
      <c r="R306" s="700">
        <f>SUM('Old 1-12'!B306:C306)</f>
        <v>0</v>
      </c>
      <c r="S306" s="705" t="e">
        <f>('New Tables 1-12'!Q306-'New Tables 1-12'!R306)/R306</f>
        <v>#DIV/0!</v>
      </c>
    </row>
    <row r="307" spans="1:42" ht="15" customHeight="1">
      <c r="A307" s="5" t="s">
        <v>311</v>
      </c>
      <c r="B307" s="6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6">
        <f>+GETPIVOTDATA(" New-Associate's",'Pivot Table for 1-11'!$A$3,"State","VA","SREB Type2","Technical")</f>
        <v>0</v>
      </c>
      <c r="D307" s="17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90">
        <f>+GETPIVOTDATA(" New-Associate's",'Pivot Table for 1-11'!$A$3,"State","VA","SREB Type",12,"SREB Type2","Technical")</f>
        <v>0</v>
      </c>
      <c r="F307" s="17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90">
        <f>+GETPIVOTDATA(" New-Associate's",'Pivot Table for 1-11'!$A$3,"State","VA","SREB Type",13,"SREB Type2","Technical")</f>
        <v>0</v>
      </c>
      <c r="H307" s="6">
        <f>+GETPIVOTDATA(" New-Less Than 2-Year",'Pivot Table for 1-11'!$A$3,"State","VA","SREB Type",14,"SREB Type2","Technical")+GETPIVOTDATA(" New-2 But Less Than 4-Year",'Pivot Table for 1-11'!$A$3,"State","VA","SREB Type",14,"SREB Type2","Technical")</f>
        <v>0</v>
      </c>
      <c r="I307" s="6">
        <f>+GETPIVOTDATA(" New-Associate's",'Pivot Table for 1-11'!$A$3,"State","VA","SREB Type",14,"SREB Type2","Technical")</f>
        <v>0</v>
      </c>
      <c r="Q307" s="700">
        <f t="shared" si="16"/>
        <v>0</v>
      </c>
      <c r="R307" s="700">
        <f>SUM('Old 1-12'!B307:C307)</f>
        <v>0</v>
      </c>
      <c r="S307" s="705" t="e">
        <f>('New Tables 1-12'!Q307-'New Tables 1-12'!R307)/R307</f>
        <v>#DIV/0!</v>
      </c>
    </row>
    <row r="308" spans="1:42" ht="15" customHeight="1">
      <c r="A308" s="7" t="s">
        <v>312</v>
      </c>
      <c r="B308" s="8">
        <f>+GETPIVOTDATA(" New-Less Than 2-Year",'Pivot Table for 1-11'!$A$3,"State","WV","SREB Type2","Technical")+GETPIVOTDATA(" New-2 But Less Than 4-Year",'Pivot Table for 1-11'!$A$3,"State","WV","SREB Type2","Technical")</f>
        <v>0</v>
      </c>
      <c r="C308" s="8">
        <f>+GETPIVOTDATA(" New-Associate's",'Pivot Table for 1-11'!$A$3,"State","WV","SREB Type2","Technical")</f>
        <v>0</v>
      </c>
      <c r="D308" s="18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91">
        <f>+GETPIVOTDATA(" New-Associate's",'Pivot Table for 1-11'!$A$3,"State","WV","SREB Type",12,"SREB Type2","Technical")</f>
        <v>0</v>
      </c>
      <c r="F308" s="18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91">
        <f>+GETPIVOTDATA(" New-Associate's",'Pivot Table for 1-11'!$A$3,"State","WV","SREB Type",13,"SREB Type2","Technical")</f>
        <v>0</v>
      </c>
      <c r="H308" s="8">
        <f>+GETPIVOTDATA(" New-Less Than 2-Year",'Pivot Table for 1-11'!$A$3,"State","WV","SREB Type",14,"SREB Type2","Technical")+GETPIVOTDATA(" New-2 But Less Than 4-Year",'Pivot Table for 1-11'!$A$3,"State","WV","SREB Type",14,"SREB Type2","Technical")</f>
        <v>0</v>
      </c>
      <c r="I308" s="8">
        <f>+GETPIVOTDATA(" New-Associate's",'Pivot Table for 1-11'!$A$3,"State","WV","SREB Type",14,"SREB Type2","Technical")</f>
        <v>0</v>
      </c>
      <c r="L308" s="166"/>
      <c r="Q308" s="700">
        <f t="shared" si="16"/>
        <v>0</v>
      </c>
      <c r="R308" s="700">
        <f>SUM('Old 1-12'!B308:C308)</f>
        <v>0</v>
      </c>
      <c r="S308" s="705" t="e">
        <f>('New Tables 1-12'!Q308-'New Tables 1-12'!R308)/R308</f>
        <v>#DIV/0!</v>
      </c>
    </row>
    <row r="309" spans="1:42" ht="7.5" customHeight="1">
      <c r="A309" s="45"/>
      <c r="B309" s="46"/>
      <c r="C309" s="46"/>
      <c r="D309" s="46"/>
      <c r="E309" s="46"/>
      <c r="F309" s="47"/>
      <c r="G309" s="47"/>
      <c r="H309" s="47"/>
      <c r="I309" s="47"/>
      <c r="L309" s="166"/>
      <c r="R309" s="708"/>
      <c r="U309" s="708"/>
      <c r="V309" s="709"/>
    </row>
    <row r="310" spans="1:42" ht="16.5" customHeight="1">
      <c r="A310" s="767" t="s">
        <v>34</v>
      </c>
      <c r="B310" s="768"/>
      <c r="C310" s="768"/>
      <c r="D310" s="768"/>
      <c r="E310" s="768"/>
      <c r="F310" s="768"/>
      <c r="G310" s="768"/>
      <c r="H310" s="768"/>
      <c r="I310" s="768"/>
      <c r="J310" s="194"/>
      <c r="K310" s="194"/>
      <c r="L310" s="194"/>
      <c r="M310" s="194"/>
      <c r="N310" s="194"/>
      <c r="O310" s="194"/>
      <c r="P310" s="194"/>
    </row>
    <row r="311" spans="1:42">
      <c r="I311" s="184" t="s">
        <v>1267</v>
      </c>
      <c r="N311" s="242"/>
      <c r="O311" s="184"/>
    </row>
    <row r="312" spans="1:42" ht="18">
      <c r="A312" s="22" t="s">
        <v>332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701" t="s">
        <v>321</v>
      </c>
    </row>
    <row r="313" spans="1:42">
      <c r="A313" s="20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92"/>
      <c r="O313" s="92"/>
      <c r="P313" s="92"/>
      <c r="Q313" s="710"/>
    </row>
    <row r="314" spans="1:42" ht="15.75">
      <c r="A314" s="1" t="s">
        <v>285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701" t="s">
        <v>321</v>
      </c>
    </row>
    <row r="315" spans="1:42" ht="15.75">
      <c r="A315" s="1" t="s">
        <v>1265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701" t="s">
        <v>321</v>
      </c>
    </row>
    <row r="316" spans="1:42" ht="15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94"/>
      <c r="O316" s="94"/>
      <c r="P316" s="94"/>
      <c r="Q316" s="716"/>
    </row>
    <row r="317" spans="1:42" ht="15.75">
      <c r="A317" s="192"/>
      <c r="B317" s="192"/>
      <c r="C317" s="192"/>
      <c r="D317" s="192"/>
      <c r="E317" s="192"/>
      <c r="F317" s="192"/>
      <c r="G317" s="192"/>
      <c r="H317" s="196" t="s">
        <v>1254</v>
      </c>
      <c r="I317" s="26"/>
      <c r="J317" s="26"/>
      <c r="K317" s="26"/>
      <c r="L317" s="26"/>
      <c r="M317" s="26"/>
      <c r="N317" s="193"/>
      <c r="O317" s="200"/>
      <c r="P317" s="195" t="s">
        <v>321</v>
      </c>
      <c r="Q317" s="716"/>
      <c r="R317" s="696"/>
      <c r="W317" s="696"/>
      <c r="Z317" s="702"/>
    </row>
    <row r="318" spans="1:42" ht="40.5" customHeight="1">
      <c r="A318" s="14"/>
      <c r="B318" s="15" t="s">
        <v>696</v>
      </c>
      <c r="C318" s="15" t="s">
        <v>286</v>
      </c>
      <c r="D318" s="15" t="s">
        <v>278</v>
      </c>
      <c r="E318" s="15" t="s">
        <v>279</v>
      </c>
      <c r="F318" s="15" t="s">
        <v>288</v>
      </c>
      <c r="G318" s="15" t="s">
        <v>289</v>
      </c>
      <c r="H318" s="16" t="s">
        <v>290</v>
      </c>
      <c r="I318" s="15" t="s">
        <v>291</v>
      </c>
      <c r="J318" s="15" t="s">
        <v>292</v>
      </c>
      <c r="K318" s="15" t="s">
        <v>283</v>
      </c>
      <c r="L318" s="15" t="s">
        <v>293</v>
      </c>
      <c r="M318" s="15" t="s">
        <v>294</v>
      </c>
      <c r="N318" s="191" t="s">
        <v>952</v>
      </c>
      <c r="O318" s="197" t="s">
        <v>689</v>
      </c>
      <c r="P318" s="191" t="s">
        <v>295</v>
      </c>
      <c r="Q318" s="717"/>
      <c r="Z318" s="698"/>
      <c r="AA318" s="244"/>
      <c r="AB318" s="244"/>
      <c r="AC318" s="244"/>
      <c r="AD318" s="244"/>
      <c r="AE318" s="244"/>
      <c r="AF318" s="244"/>
      <c r="AG318" s="244"/>
      <c r="AH318" s="244"/>
      <c r="AI318" s="244"/>
      <c r="AJ318" s="244"/>
      <c r="AK318" s="245"/>
      <c r="AL318" s="244"/>
      <c r="AM318" s="244"/>
      <c r="AN318" s="244"/>
      <c r="AO318" s="245"/>
      <c r="AP318" s="244"/>
    </row>
    <row r="319" spans="1:42" ht="15" customHeight="1">
      <c r="A319" s="5" t="s">
        <v>296</v>
      </c>
      <c r="B319" s="6">
        <f>GETPIVOTDATA(" New-Less Than 2-Year",'Pivot Table for 1-11'!$A$3,"SREB Type2","Specialized")+GETPIVOTDATA(" New-2 But Less Than 4-Year",'Pivot Table for 1-11'!$A$3,"SREB Type2","Specialized")</f>
        <v>542</v>
      </c>
      <c r="C319" s="6">
        <f>GETPIVOTDATA(" New-Associate's",'Pivot Table for 1-11'!$A$3,"SREB Type2","Specialized")</f>
        <v>529</v>
      </c>
      <c r="D319" s="6">
        <f>GETPIVOTDATA(" New-Bachelor's",'Pivot Table for 1-11'!$A$3,"SREB Type2","Specialized")</f>
        <v>7018</v>
      </c>
      <c r="E319" s="6">
        <f>GETPIVOTDATA(" New-Post-Bachelor's",'Pivot Table for 1-11'!$A$3,"SREB Type2","Specialized")</f>
        <v>31</v>
      </c>
      <c r="F319" s="6">
        <f>GETPIVOTDATA(" New-Total Master's#",'Pivot Table for 1-11'!$A$3,"SREB Type2","Specialized")</f>
        <v>6057</v>
      </c>
      <c r="G319" s="6">
        <f>GETPIVOTDATA(" New-Total Doctorates#",'Pivot Table for 1-11'!$A$3,"SREB Type2","Specialized")</f>
        <v>1119</v>
      </c>
      <c r="H319" s="17">
        <f>GETPIVOTDATA(" New-Law",'Pivot Table for 1-11'!$A$3,"SREB Type2","Specialized")</f>
        <v>242</v>
      </c>
      <c r="I319" s="6">
        <f>GETPIVOTDATA(" New-Medicine",'Pivot Table for 1-11'!$A$3,"SREB Type2","Specialized")</f>
        <v>2133</v>
      </c>
      <c r="J319" s="6">
        <f>GETPIVOTDATA(" New-Dentistry",'Pivot Table for 1-11'!$A$3,"SREB Type2","Specialized")</f>
        <v>659</v>
      </c>
      <c r="K319" s="6">
        <f>GETPIVOTDATA(" New-Pharmacy",'Pivot Table for 1-11'!$A$3,"SREB Type2","Specialized")</f>
        <v>563</v>
      </c>
      <c r="L319" s="6">
        <f>GETPIVOTDATA(" New-Optometry",'Pivot Table for 1-11'!$A$3,"SREB Type2","Specialized")</f>
        <v>0</v>
      </c>
      <c r="M319" s="6">
        <f>GETPIVOTDATA(" New-Osteopathic Medicine",'Pivot Table for 1-11'!$A$3,"SREB Type2","Specialized")</f>
        <v>225</v>
      </c>
      <c r="N319" s="181">
        <f>GETPIVOTDATA(" New-Veterinary Medicine",'Pivot Table for 1-11'!$A$3,"SREB Type2","Specialized")</f>
        <v>0</v>
      </c>
      <c r="O319" s="198">
        <f>+GETPIVOTDATA(" New-Oth PP",'Pivot Table for 1-11'!$A$3,"SREB Type2","Specialized")</f>
        <v>101</v>
      </c>
      <c r="P319" s="182">
        <f>SUM(B319:O319)</f>
        <v>19219</v>
      </c>
      <c r="Q319" s="718"/>
      <c r="AK319" s="246"/>
      <c r="AO319" s="246"/>
    </row>
    <row r="320" spans="1:42" ht="15" customHeight="1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181"/>
      <c r="O320" s="198"/>
      <c r="P320" s="182"/>
      <c r="Q320" s="186"/>
      <c r="AK320" s="246"/>
      <c r="AO320" s="246"/>
    </row>
    <row r="321" spans="1:41" ht="15" customHeight="1">
      <c r="A321" s="5" t="s">
        <v>297</v>
      </c>
      <c r="B321" s="6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6">
        <f>GETPIVOTDATA(" New-Associate's",'Pivot Table for 1-11'!$A$3,"State","AL","SREB Type2","Specialized")</f>
        <v>61</v>
      </c>
      <c r="D321" s="6">
        <f>GETPIVOTDATA(" New-Bachelor's",'Pivot Table for 1-11'!$A$3,"State","AL","SREB Type2","Specialized")</f>
        <v>0</v>
      </c>
      <c r="E321" s="6">
        <f>GETPIVOTDATA(" New-Post-Bachelor's",'Pivot Table for 1-11'!$A$3,"State","AL","SREB Type2","Specialized")</f>
        <v>0</v>
      </c>
      <c r="F321" s="6">
        <f>GETPIVOTDATA(" New-Total Master's#",'Pivot Table for 1-11'!$A$3,"State","AL","SREB Type2","Specialized")</f>
        <v>0</v>
      </c>
      <c r="G321" s="6">
        <f>GETPIVOTDATA(" New-Total Doctorates#",'Pivot Table for 1-11'!$A$3,"State","AL","SREB Type2","Specialized")</f>
        <v>0</v>
      </c>
      <c r="H321" s="17">
        <f>GETPIVOTDATA(" New-Law",'Pivot Table for 1-11'!$A$3,"State","AL","SREB Type2","Specialized")</f>
        <v>0</v>
      </c>
      <c r="I321" s="6">
        <f>GETPIVOTDATA(" New-Medicine",'Pivot Table for 1-11'!$A$3,"State","AL","SREB Type2","Specialized")</f>
        <v>0</v>
      </c>
      <c r="J321" s="6">
        <f>GETPIVOTDATA(" New-Dentistry",'Pivot Table for 1-11'!$A$3,"State","AL","SREB Type2","Specialized")</f>
        <v>0</v>
      </c>
      <c r="K321" s="6">
        <f>GETPIVOTDATA(" New-Pharmacy",'Pivot Table for 1-11'!$A$3,"State","AL","SREB Type2","Specialized")</f>
        <v>0</v>
      </c>
      <c r="L321" s="6">
        <f>GETPIVOTDATA(" New-Optometry",'Pivot Table for 1-11'!$A$3,"State","AL","SREB Type2","Specialized")</f>
        <v>0</v>
      </c>
      <c r="M321" s="6">
        <f>GETPIVOTDATA(" New-Osteopathic Medicine",'Pivot Table for 1-11'!$A$3,"State","AL","SREB Type2","Specialized")</f>
        <v>0</v>
      </c>
      <c r="N321" s="181">
        <f>GETPIVOTDATA(" New-Veterinary Medicine",'Pivot Table for 1-11'!$A$3,"State","AL","SREB Type2","Specialized")</f>
        <v>0</v>
      </c>
      <c r="O321" s="198">
        <f>+GETPIVOTDATA(" New-Oth PP",'Pivot Table for 1-11'!$A$3,"State","AL","SREB Type2","Specialized")</f>
        <v>0</v>
      </c>
      <c r="P321" s="182">
        <f t="shared" ref="P321:P339" si="17">SUM(B321:O321)</f>
        <v>61</v>
      </c>
      <c r="Q321" s="718"/>
      <c r="Z321" s="706"/>
      <c r="AK321" s="246"/>
      <c r="AO321" s="246"/>
    </row>
    <row r="322" spans="1:41" ht="15" customHeight="1">
      <c r="A322" s="5" t="s">
        <v>298</v>
      </c>
      <c r="B322" s="6">
        <f>GETPIVOTDATA(" New-Less Than 2-Year",'Pivot Table for 1-11'!$A$3,"State","AR","SREB Type2","Specialized")+GETPIVOTDATA(" New-2 But Less Than 4-Year",'Pivot Table for 1-11'!$A$3,"State","AR","SREB Type2","Specialized")</f>
        <v>10</v>
      </c>
      <c r="C322" s="6">
        <f>GETPIVOTDATA(" New-Associate's",'Pivot Table for 1-11'!$A$3,"State","AR","SREB Type2","Specialized")</f>
        <v>53</v>
      </c>
      <c r="D322" s="6">
        <f>GETPIVOTDATA(" New-Bachelor's",'Pivot Table for 1-11'!$A$3,"State","AR","SREB Type2","Specialized")</f>
        <v>290</v>
      </c>
      <c r="E322" s="6">
        <f>GETPIVOTDATA(" New-Post-Bachelor's",'Pivot Table for 1-11'!$A$3,"State","AR","SREB Type2","Specialized")</f>
        <v>19</v>
      </c>
      <c r="F322" s="6">
        <f>GETPIVOTDATA(" New-Total Master's#",'Pivot Table for 1-11'!$A$3,"State","AR","SREB Type2","Specialized")</f>
        <v>133</v>
      </c>
      <c r="G322" s="6">
        <f>GETPIVOTDATA(" New-Total Doctorates#",'Pivot Table for 1-11'!$A$3,"State","AR","SREB Type2","Specialized")</f>
        <v>38</v>
      </c>
      <c r="H322" s="17">
        <f>GETPIVOTDATA(" New-Law",'Pivot Table for 1-11'!$A$3,"State","AR","SREB Type2","Specialized")</f>
        <v>0</v>
      </c>
      <c r="I322" s="6">
        <f>GETPIVOTDATA(" New-Medicine",'Pivot Table for 1-11'!$A$3,"State","AR","SREB Type2","Specialized")</f>
        <v>142</v>
      </c>
      <c r="J322" s="6">
        <f>GETPIVOTDATA(" New-Dentistry",'Pivot Table for 1-11'!$A$3,"State","AR","SREB Type2","Specialized")</f>
        <v>0</v>
      </c>
      <c r="K322" s="6">
        <f>GETPIVOTDATA(" New-Pharmacy",'Pivot Table for 1-11'!$A$3,"State","AR","SREB Type2","Specialized")</f>
        <v>121</v>
      </c>
      <c r="L322" s="6">
        <f>GETPIVOTDATA(" New-Optometry",'Pivot Table for 1-11'!$A$3,"State","AR","SREB Type2","Specialized")</f>
        <v>0</v>
      </c>
      <c r="M322" s="6">
        <f>GETPIVOTDATA(" New-Osteopathic Medicine",'Pivot Table for 1-11'!$A$3,"State","AR","SREB Type2","Specialized")</f>
        <v>0</v>
      </c>
      <c r="N322" s="181">
        <f>GETPIVOTDATA(" New-Veterinary Medicine",'Pivot Table for 1-11'!$A$3,"State","AR","SREB Type2","Specialized")</f>
        <v>0</v>
      </c>
      <c r="O322" s="198">
        <f>+GETPIVOTDATA(" New-Oth PP",'Pivot Table for 1-11'!$A$3,"State","AR","SREB Type2","Specialized")</f>
        <v>0</v>
      </c>
      <c r="P322" s="182">
        <f t="shared" si="17"/>
        <v>806</v>
      </c>
      <c r="Q322" s="718"/>
      <c r="AK322" s="246"/>
      <c r="AO322" s="246"/>
    </row>
    <row r="323" spans="1:41" ht="15" customHeight="1">
      <c r="A323" s="5" t="s">
        <v>299</v>
      </c>
      <c r="B323" s="6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6">
        <f>GETPIVOTDATA(" New-Associate's",'Pivot Table for 1-11'!$A$3,"State","DE","SREB Type2","Specialized")</f>
        <v>0</v>
      </c>
      <c r="D323" s="6">
        <f>GETPIVOTDATA(" New-Bachelor's",'Pivot Table for 1-11'!$A$3,"State","DE","SREB Type2","Specialized")</f>
        <v>0</v>
      </c>
      <c r="E323" s="6">
        <f>GETPIVOTDATA(" New-Post-Bachelor's",'Pivot Table for 1-11'!$A$3,"State","DE","SREB Type2","Specialized")</f>
        <v>0</v>
      </c>
      <c r="F323" s="6">
        <f>GETPIVOTDATA(" New-Total Master's#",'Pivot Table for 1-11'!$A$3,"State","DE","SREB Type2","Specialized")</f>
        <v>0</v>
      </c>
      <c r="G323" s="6">
        <f>GETPIVOTDATA(" New-Total Doctorates#",'Pivot Table for 1-11'!$A$3,"State","DE","SREB Type2","Specialized")</f>
        <v>0</v>
      </c>
      <c r="H323" s="17">
        <f>GETPIVOTDATA(" New-Law",'Pivot Table for 1-11'!$A$3,"State","DE","SREB Type2","Specialized")</f>
        <v>0</v>
      </c>
      <c r="I323" s="6">
        <f>GETPIVOTDATA(" New-Medicine",'Pivot Table for 1-11'!$A$3,"State","DE","SREB Type2","Specialized")</f>
        <v>0</v>
      </c>
      <c r="J323" s="6">
        <f>GETPIVOTDATA(" New-Dentistry",'Pivot Table for 1-11'!$A$3,"State","DE","SREB Type2","Specialized")</f>
        <v>0</v>
      </c>
      <c r="K323" s="6">
        <f>GETPIVOTDATA(" New-Pharmacy",'Pivot Table for 1-11'!$A$3,"State","DE","SREB Type2","Specialized")</f>
        <v>0</v>
      </c>
      <c r="L323" s="6">
        <f>GETPIVOTDATA(" New-Optometry",'Pivot Table for 1-11'!$A$3,"State","DE","SREB Type2","Specialized")</f>
        <v>0</v>
      </c>
      <c r="M323" s="6">
        <f>GETPIVOTDATA(" New-Osteopathic Medicine",'Pivot Table for 1-11'!$A$3,"State","DE","SREB Type2","Specialized")</f>
        <v>0</v>
      </c>
      <c r="N323" s="181">
        <f>GETPIVOTDATA(" New-Veterinary Medicine",'Pivot Table for 1-11'!$A$3,"State","DE","SREB Type2","Specialized")</f>
        <v>0</v>
      </c>
      <c r="O323" s="198">
        <f>+GETPIVOTDATA(" New-Oth PP",'Pivot Table for 1-11'!$A$3,"State","DE","SREB Type2","Specialized")</f>
        <v>0</v>
      </c>
      <c r="P323" s="182">
        <f t="shared" si="17"/>
        <v>0</v>
      </c>
      <c r="Q323" s="718"/>
      <c r="AK323" s="246"/>
      <c r="AO323" s="246"/>
    </row>
    <row r="324" spans="1:41" ht="15" customHeight="1">
      <c r="A324" s="5" t="s">
        <v>300</v>
      </c>
      <c r="B324" s="6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6">
        <f>GETPIVOTDATA(" New-Associate's",'Pivot Table for 1-11'!$A$3,"State","FL","SREB Type2","Specialized")</f>
        <v>0</v>
      </c>
      <c r="D324" s="6">
        <f>GETPIVOTDATA(" New-Bachelor's",'Pivot Table for 1-11'!$A$3,"State","FL","SREB Type2","Specialized")</f>
        <v>0</v>
      </c>
      <c r="E324" s="6">
        <f>GETPIVOTDATA(" New-Post-Bachelor's",'Pivot Table for 1-11'!$A$3,"State","FL","SREB Type2","Specialized")</f>
        <v>0</v>
      </c>
      <c r="F324" s="6">
        <f>GETPIVOTDATA(" New-Total Master's#",'Pivot Table for 1-11'!$A$3,"State","FL","SREB Type2","Specialized")</f>
        <v>0</v>
      </c>
      <c r="G324" s="6">
        <f>GETPIVOTDATA(" New-Total Doctorates#",'Pivot Table for 1-11'!$A$3,"State","FL","SREB Type2","Specialized")</f>
        <v>0</v>
      </c>
      <c r="H324" s="17">
        <f>GETPIVOTDATA(" New-Law",'Pivot Table for 1-11'!$A$3,"State","FL","SREB Type2","Specialized")</f>
        <v>0</v>
      </c>
      <c r="I324" s="6">
        <f>GETPIVOTDATA(" New-Medicine",'Pivot Table for 1-11'!$A$3,"State","FL","SREB Type2","Specialized")</f>
        <v>0</v>
      </c>
      <c r="J324" s="6">
        <f>GETPIVOTDATA(" New-Dentistry",'Pivot Table for 1-11'!$A$3,"State","FL","SREB Type2","Specialized")</f>
        <v>0</v>
      </c>
      <c r="K324" s="6">
        <f>GETPIVOTDATA(" New-Pharmacy",'Pivot Table for 1-11'!$A$3,"State","FL","SREB Type2","Specialized")</f>
        <v>0</v>
      </c>
      <c r="L324" s="6">
        <f>GETPIVOTDATA(" New-Optometry",'Pivot Table for 1-11'!$A$3,"State","FL","SREB Type2","Specialized")</f>
        <v>0</v>
      </c>
      <c r="M324" s="6">
        <f>GETPIVOTDATA(" New-Osteopathic Medicine",'Pivot Table for 1-11'!$A$3,"State","FL","SREB Type2","Specialized")</f>
        <v>0</v>
      </c>
      <c r="N324" s="181">
        <f>GETPIVOTDATA(" New-Veterinary Medicine",'Pivot Table for 1-11'!$A$3,"State","FL","SREB Type2","Specialized")</f>
        <v>0</v>
      </c>
      <c r="O324" s="198">
        <f>+GETPIVOTDATA(" New-Oth PP",'Pivot Table for 1-11'!$A$3,"State","FL","SREB Type2","Specialized")</f>
        <v>0</v>
      </c>
      <c r="P324" s="182">
        <f t="shared" si="17"/>
        <v>0</v>
      </c>
      <c r="Q324" s="718"/>
      <c r="AK324" s="246"/>
      <c r="AO324" s="246"/>
    </row>
    <row r="325" spans="1:41" ht="15" customHeight="1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181"/>
      <c r="O325" s="198"/>
      <c r="P325" s="182"/>
      <c r="Q325" s="718"/>
      <c r="AK325" s="246"/>
      <c r="AO325" s="246"/>
    </row>
    <row r="326" spans="1:41" ht="15" customHeight="1">
      <c r="A326" s="5" t="s">
        <v>301</v>
      </c>
      <c r="B326" s="6">
        <f>GETPIVOTDATA(" New-Less Than 2-Year",'Pivot Table for 1-11'!$A$3,"State","GA","SREB Type2","Specialized")+GETPIVOTDATA(" New-2 But Less Than 4-Year",'Pivot Table for 1-11'!$A$3,"State","GA","SREB Type2","Specialized")</f>
        <v>18</v>
      </c>
      <c r="C326" s="6">
        <f>GETPIVOTDATA(" New-Associate's",'Pivot Table for 1-11'!$A$3,"State","GA","SREB Type2","Specialized")</f>
        <v>2</v>
      </c>
      <c r="D326" s="6">
        <f>GETPIVOTDATA(" New-Bachelor's",'Pivot Table for 1-11'!$A$3,"State","GA","SREB Type2","Specialized")</f>
        <v>878</v>
      </c>
      <c r="E326" s="6">
        <f>GETPIVOTDATA(" New-Post-Bachelor's",'Pivot Table for 1-11'!$A$3,"State","GA","SREB Type2","Specialized")</f>
        <v>10</v>
      </c>
      <c r="F326" s="6">
        <f>GETPIVOTDATA(" New-Total Master's#",'Pivot Table for 1-11'!$A$3,"State","GA","SREB Type2","Specialized")</f>
        <v>338</v>
      </c>
      <c r="G326" s="6">
        <f>GETPIVOTDATA(" New-Total Doctorates#",'Pivot Table for 1-11'!$A$3,"State","GA","SREB Type2","Specialized")</f>
        <v>136</v>
      </c>
      <c r="H326" s="17">
        <f>GETPIVOTDATA(" New-Law",'Pivot Table for 1-11'!$A$3,"State","GA","SREB Type2","Specialized")</f>
        <v>0</v>
      </c>
      <c r="I326" s="6">
        <f>GETPIVOTDATA(" New-Medicine",'Pivot Table for 1-11'!$A$3,"State","GA","SREB Type2","Specialized")</f>
        <v>182</v>
      </c>
      <c r="J326" s="6">
        <f>GETPIVOTDATA(" New-Dentistry",'Pivot Table for 1-11'!$A$3,"State","GA","SREB Type2","Specialized")</f>
        <v>59</v>
      </c>
      <c r="K326" s="6">
        <f>GETPIVOTDATA(" New-Pharmacy",'Pivot Table for 1-11'!$A$3,"State","GA","SREB Type2","Specialized")</f>
        <v>0</v>
      </c>
      <c r="L326" s="6">
        <f>GETPIVOTDATA(" New-Optometry",'Pivot Table for 1-11'!$A$3,"State","GA","SREB Type2","Specialized")</f>
        <v>0</v>
      </c>
      <c r="M326" s="6">
        <f>GETPIVOTDATA(" New-Osteopathic Medicine",'Pivot Table for 1-11'!$A$3,"State","GA","SREB Type2","Specialized")</f>
        <v>0</v>
      </c>
      <c r="N326" s="181">
        <f>GETPIVOTDATA(" New-Veterinary Medicine",'Pivot Table for 1-11'!$A$3,"State","GA","SREB Type2","Specialized")</f>
        <v>0</v>
      </c>
      <c r="O326" s="198">
        <f>+GETPIVOTDATA(" New-Oth PP",'Pivot Table for 1-11'!$A$3,"State","GA","SREB Type2","Specialized")</f>
        <v>0</v>
      </c>
      <c r="P326" s="182">
        <f t="shared" si="17"/>
        <v>1623</v>
      </c>
      <c r="Q326" s="718"/>
      <c r="AK326" s="246"/>
      <c r="AO326" s="246"/>
    </row>
    <row r="327" spans="1:41" ht="15" customHeight="1">
      <c r="A327" s="5" t="s">
        <v>302</v>
      </c>
      <c r="B327" s="6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6">
        <f>GETPIVOTDATA(" New-Associate's",'Pivot Table for 1-11'!$A$3,"State","KY","SREB Type2","Specialized")</f>
        <v>0</v>
      </c>
      <c r="D327" s="6">
        <f>GETPIVOTDATA(" New-Bachelor's",'Pivot Table for 1-11'!$A$3,"State","KY","SREB Type2","Specialized")</f>
        <v>0</v>
      </c>
      <c r="E327" s="6">
        <f>GETPIVOTDATA(" New-Post-Bachelor's",'Pivot Table for 1-11'!$A$3,"State","KY","SREB Type2","Specialized")</f>
        <v>0</v>
      </c>
      <c r="F327" s="6">
        <f>GETPIVOTDATA(" New-Total Master's#",'Pivot Table for 1-11'!$A$3,"State","KY","SREB Type2","Specialized")</f>
        <v>0</v>
      </c>
      <c r="G327" s="6">
        <f>GETPIVOTDATA(" New-Total Doctorates#",'Pivot Table for 1-11'!$A$3,"State","KY","SREB Type2","Specialized")</f>
        <v>0</v>
      </c>
      <c r="H327" s="17">
        <f>GETPIVOTDATA(" New-Law",'Pivot Table for 1-11'!$A$3,"State","KY","SREB Type2","Specialized")</f>
        <v>0</v>
      </c>
      <c r="I327" s="6">
        <f>GETPIVOTDATA(" New-Medicine",'Pivot Table for 1-11'!$A$3,"State","KY","SREB Type2","Specialized")</f>
        <v>0</v>
      </c>
      <c r="J327" s="6">
        <f>GETPIVOTDATA(" New-Dentistry",'Pivot Table for 1-11'!$A$3,"State","KY","SREB Type2","Specialized")</f>
        <v>0</v>
      </c>
      <c r="K327" s="6">
        <f>GETPIVOTDATA(" New-Pharmacy",'Pivot Table for 1-11'!$A$3,"State","KY","SREB Type2","Specialized")</f>
        <v>0</v>
      </c>
      <c r="L327" s="6">
        <f>GETPIVOTDATA(" New-Optometry",'Pivot Table for 1-11'!$A$3,"State","KY","SREB Type2","Specialized")</f>
        <v>0</v>
      </c>
      <c r="M327" s="6">
        <f>GETPIVOTDATA(" New-Osteopathic Medicine",'Pivot Table for 1-11'!$A$3,"State","KY","SREB Type2","Specialized")</f>
        <v>0</v>
      </c>
      <c r="N327" s="181">
        <f>GETPIVOTDATA(" New-Veterinary Medicine",'Pivot Table for 1-11'!$A$3,"State","KY","SREB Type2","Specialized")</f>
        <v>0</v>
      </c>
      <c r="O327" s="198">
        <f>+GETPIVOTDATA(" New-Oth PP",'Pivot Table for 1-11'!$A$3,"State","KY","SREB Type2","Specialized")</f>
        <v>0</v>
      </c>
      <c r="P327" s="182">
        <f t="shared" si="17"/>
        <v>0</v>
      </c>
      <c r="Q327" s="718"/>
      <c r="AK327" s="246"/>
      <c r="AO327" s="246"/>
    </row>
    <row r="328" spans="1:41" ht="15" customHeight="1">
      <c r="A328" s="5" t="s">
        <v>303</v>
      </c>
      <c r="B328" s="6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6">
        <f>GETPIVOTDATA(" New-Associate's",'Pivot Table for 1-11'!$A$3,"State","LA","SREB Type2","Specialized")</f>
        <v>6</v>
      </c>
      <c r="D328" s="6">
        <f>GETPIVOTDATA(" New-Bachelor's",'Pivot Table for 1-11'!$A$3,"State","LA","SREB Type2","Specialized")</f>
        <v>317</v>
      </c>
      <c r="E328" s="6">
        <f>GETPIVOTDATA(" New-Post-Bachelor's",'Pivot Table for 1-11'!$A$3,"State","LA","SREB Type2","Specialized")</f>
        <v>0</v>
      </c>
      <c r="F328" s="6">
        <f>GETPIVOTDATA(" New-Total Master's#",'Pivot Table for 1-11'!$A$3,"State","LA","SREB Type2","Specialized")</f>
        <v>173</v>
      </c>
      <c r="G328" s="6">
        <f>GETPIVOTDATA(" New-Total Doctorates#",'Pivot Table for 1-11'!$A$3,"State","LA","SREB Type2","Specialized")</f>
        <v>114</v>
      </c>
      <c r="H328" s="17">
        <f>GETPIVOTDATA(" New-Law",'Pivot Table for 1-11'!$A$3,"State","LA","SREB Type2","Specialized")</f>
        <v>0</v>
      </c>
      <c r="I328" s="6">
        <f>GETPIVOTDATA(" New-Medicine",'Pivot Table for 1-11'!$A$3,"State","LA","SREB Type2","Specialized")</f>
        <v>280</v>
      </c>
      <c r="J328" s="6">
        <f>GETPIVOTDATA(" New-Dentistry",'Pivot Table for 1-11'!$A$3,"State","LA","SREB Type2","Specialized")</f>
        <v>60</v>
      </c>
      <c r="K328" s="6">
        <f>GETPIVOTDATA(" New-Pharmacy",'Pivot Table for 1-11'!$A$3,"State","LA","SREB Type2","Specialized")</f>
        <v>0</v>
      </c>
      <c r="L328" s="6">
        <f>GETPIVOTDATA(" New-Optometry",'Pivot Table for 1-11'!$A$3,"State","LA","SREB Type2","Specialized")</f>
        <v>0</v>
      </c>
      <c r="M328" s="6">
        <f>GETPIVOTDATA(" New-Osteopathic Medicine",'Pivot Table for 1-11'!$A$3,"State","LA","SREB Type2","Specialized")</f>
        <v>0</v>
      </c>
      <c r="N328" s="181">
        <f>GETPIVOTDATA(" New-Veterinary Medicine",'Pivot Table for 1-11'!$A$3,"State","LA","SREB Type2","Specialized")</f>
        <v>0</v>
      </c>
      <c r="O328" s="198">
        <f>+GETPIVOTDATA(" New-Oth PP",'Pivot Table for 1-11'!$A$3,"State","LA","SREB Type2","Specialized")</f>
        <v>0</v>
      </c>
      <c r="P328" s="182">
        <f t="shared" si="17"/>
        <v>950</v>
      </c>
      <c r="Q328" s="718"/>
      <c r="AK328" s="246"/>
      <c r="AO328" s="246"/>
    </row>
    <row r="329" spans="1:41" ht="15" customHeight="1">
      <c r="A329" s="5" t="s">
        <v>304</v>
      </c>
      <c r="B329" s="6">
        <f>GETPIVOTDATA(" New-Less Than 2-Year",'Pivot Table for 1-11'!$A$3,"State","MD","SREB Type2","Specialized")+GETPIVOTDATA(" New-2 But Less Than 4-Year",'Pivot Table for 1-11'!$A$3,"State","MD","SREB Type2","Specialized")</f>
        <v>449</v>
      </c>
      <c r="C329" s="6">
        <f>GETPIVOTDATA(" New-Associate's",'Pivot Table for 1-11'!$A$3,"State","MD","SREB Type2","Specialized")</f>
        <v>248</v>
      </c>
      <c r="D329" s="6">
        <f>GETPIVOTDATA(" New-Bachelor's",'Pivot Table for 1-11'!$A$3,"State","MD","SREB Type2","Specialized")</f>
        <v>3047</v>
      </c>
      <c r="E329" s="6">
        <f>GETPIVOTDATA(" New-Post-Bachelor's",'Pivot Table for 1-11'!$A$3,"State","MD","SREB Type2","Specialized")</f>
        <v>0</v>
      </c>
      <c r="F329" s="6">
        <f>GETPIVOTDATA(" New-Total Master's#",'Pivot Table for 1-11'!$A$3,"State","MD","SREB Type2","Specialized")</f>
        <v>3017</v>
      </c>
      <c r="G329" s="6">
        <f>GETPIVOTDATA(" New-Total Doctorates#",'Pivot Table for 1-11'!$A$3,"State","MD","SREB Type2","Specialized")</f>
        <v>86</v>
      </c>
      <c r="H329" s="17">
        <f>GETPIVOTDATA(" New-Law",'Pivot Table for 1-11'!$A$3,"State","MD","SREB Type2","Specialized")</f>
        <v>242</v>
      </c>
      <c r="I329" s="6">
        <f>GETPIVOTDATA(" New-Medicine",'Pivot Table for 1-11'!$A$3,"State","MD","SREB Type2","Specialized")</f>
        <v>140</v>
      </c>
      <c r="J329" s="6">
        <f>GETPIVOTDATA(" New-Dentistry",'Pivot Table for 1-11'!$A$3,"State","MD","SREB Type2","Specialized")</f>
        <v>115</v>
      </c>
      <c r="K329" s="6">
        <f>GETPIVOTDATA(" New-Pharmacy",'Pivot Table for 1-11'!$A$3,"State","MD","SREB Type2","Specialized")</f>
        <v>121</v>
      </c>
      <c r="L329" s="6">
        <f>GETPIVOTDATA(" New-Optometry",'Pivot Table for 1-11'!$A$3,"State","MD","SREB Type2","Specialized")</f>
        <v>0</v>
      </c>
      <c r="M329" s="6">
        <f>GETPIVOTDATA(" New-Osteopathic Medicine",'Pivot Table for 1-11'!$A$3,"State","MD","SREB Type2","Specialized")</f>
        <v>0</v>
      </c>
      <c r="N329" s="181">
        <f>GETPIVOTDATA(" New-Veterinary Medicine",'Pivot Table for 1-11'!$A$3,"State","MD","SREB Type2","Specialized")</f>
        <v>0</v>
      </c>
      <c r="O329" s="198">
        <f>+GETPIVOTDATA(" New-Oth PP",'Pivot Table for 1-11'!$A$3,"State","MD","SREB Type2","Specialized")</f>
        <v>101</v>
      </c>
      <c r="P329" s="182">
        <f t="shared" si="17"/>
        <v>7566</v>
      </c>
      <c r="Q329" s="718"/>
      <c r="AK329" s="246"/>
      <c r="AO329" s="246"/>
    </row>
    <row r="330" spans="1:41" ht="10.5" customHeight="1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181"/>
      <c r="O330" s="198"/>
      <c r="P330" s="182">
        <f t="shared" si="17"/>
        <v>0</v>
      </c>
      <c r="Q330" s="718"/>
      <c r="AK330" s="246"/>
      <c r="AO330" s="246"/>
    </row>
    <row r="331" spans="1:41" ht="15" customHeight="1">
      <c r="A331" s="5" t="s">
        <v>305</v>
      </c>
      <c r="B331" s="6">
        <f>GETPIVOTDATA(" New-Less Than 2-Year",'Pivot Table for 1-11'!$A$3,"State","MS","SREB Type2","Specialized")+GETPIVOTDATA(" New-2 But Less Than 4-Year",'Pivot Table for 1-11'!$A$3,"State","MS","SREB Type2","Specialized")</f>
        <v>40</v>
      </c>
      <c r="C331" s="6">
        <f>GETPIVOTDATA(" New-Associate's",'Pivot Table for 1-11'!$A$3,"State","MS","SREB Type2","Specialized")</f>
        <v>0</v>
      </c>
      <c r="D331" s="6">
        <f>GETPIVOTDATA(" New-Bachelor's",'Pivot Table for 1-11'!$A$3,"State","MS","SREB Type2","Specialized")</f>
        <v>211</v>
      </c>
      <c r="E331" s="6">
        <f>GETPIVOTDATA(" New-Post-Bachelor's",'Pivot Table for 1-11'!$A$3,"State","MS","SREB Type2","Specialized")</f>
        <v>0</v>
      </c>
      <c r="F331" s="6">
        <f>GETPIVOTDATA(" New-Total Master's#",'Pivot Table for 1-11'!$A$3,"State","MS","SREB Type2","Specialized")</f>
        <v>98</v>
      </c>
      <c r="G331" s="6">
        <f>GETPIVOTDATA(" New-Total Doctorates#",'Pivot Table for 1-11'!$A$3,"State","MS","SREB Type2","Specialized")</f>
        <v>86</v>
      </c>
      <c r="H331" s="17">
        <f>GETPIVOTDATA(" New-Law",'Pivot Table for 1-11'!$A$3,"State","MS","SREB Type2","Specialized")</f>
        <v>0</v>
      </c>
      <c r="I331" s="6">
        <f>GETPIVOTDATA(" New-Medicine",'Pivot Table for 1-11'!$A$3,"State","MS","SREB Type2","Specialized")</f>
        <v>94</v>
      </c>
      <c r="J331" s="6">
        <f>GETPIVOTDATA(" New-Dentistry",'Pivot Table for 1-11'!$A$3,"State","MS","SREB Type2","Specialized")</f>
        <v>31</v>
      </c>
      <c r="K331" s="6">
        <f>GETPIVOTDATA(" New-Pharmacy",'Pivot Table for 1-11'!$A$3,"State","MS","SREB Type2","Specialized")</f>
        <v>0</v>
      </c>
      <c r="L331" s="6">
        <f>GETPIVOTDATA(" New-Optometry",'Pivot Table for 1-11'!$A$3,"State","MS","SREB Type2","Specialized")</f>
        <v>0</v>
      </c>
      <c r="M331" s="6">
        <f>GETPIVOTDATA(" New-Osteopathic Medicine",'Pivot Table for 1-11'!$A$3,"State","MS","SREB Type2","Specialized")</f>
        <v>0</v>
      </c>
      <c r="N331" s="181">
        <f>GETPIVOTDATA(" New-Veterinary Medicine",'Pivot Table for 1-11'!$A$3,"State","MS","SREB Type2","Specialized")</f>
        <v>0</v>
      </c>
      <c r="O331" s="198">
        <f>+GETPIVOTDATA(" New-Oth PP",'Pivot Table for 1-11'!$A$3,"State","MS","SREB Type2","Specialized")</f>
        <v>0</v>
      </c>
      <c r="P331" s="182">
        <f t="shared" si="17"/>
        <v>560</v>
      </c>
      <c r="Q331" s="718"/>
      <c r="AK331" s="246"/>
      <c r="AO331" s="246"/>
    </row>
    <row r="332" spans="1:41" ht="15" customHeight="1">
      <c r="A332" s="5" t="s">
        <v>306</v>
      </c>
      <c r="B332" s="6">
        <f>GETPIVOTDATA(" New-Less Than 2-Year",'Pivot Table for 1-11'!$A$3,"State","NC","SREB Type2","Specialized")+GETPIVOTDATA(" New-2 But Less Than 4-Year",'Pivot Table for 1-11'!$A$3,"State","NC","SREB Type2","Specialized")</f>
        <v>25</v>
      </c>
      <c r="C332" s="6">
        <f>GETPIVOTDATA(" New-Associate's",'Pivot Table for 1-11'!$A$3,"State","NC","SREB Type2","Specialized")</f>
        <v>0</v>
      </c>
      <c r="D332" s="6">
        <f>GETPIVOTDATA(" New-Bachelor's",'Pivot Table for 1-11'!$A$3,"State","NC","SREB Type2","Specialized")</f>
        <v>150</v>
      </c>
      <c r="E332" s="6">
        <f>GETPIVOTDATA(" New-Post-Bachelor's",'Pivot Table for 1-11'!$A$3,"State","NC","SREB Type2","Specialized")</f>
        <v>0</v>
      </c>
      <c r="F332" s="6">
        <f>GETPIVOTDATA(" New-Total Master's#",'Pivot Table for 1-11'!$A$3,"State","NC","SREB Type2","Specialized")</f>
        <v>37</v>
      </c>
      <c r="G332" s="6">
        <f>GETPIVOTDATA(" New-Total Doctorates#",'Pivot Table for 1-11'!$A$3,"State","NC","SREB Type2","Specialized")</f>
        <v>0</v>
      </c>
      <c r="H332" s="17">
        <f>GETPIVOTDATA(" New-Law",'Pivot Table for 1-11'!$A$3,"State","NC","SREB Type2","Specialized")</f>
        <v>0</v>
      </c>
      <c r="I332" s="6">
        <f>GETPIVOTDATA(" New-Medicine",'Pivot Table for 1-11'!$A$3,"State","NC","SREB Type2","Specialized")</f>
        <v>0</v>
      </c>
      <c r="J332" s="6">
        <f>GETPIVOTDATA(" New-Dentistry",'Pivot Table for 1-11'!$A$3,"State","NC","SREB Type2","Specialized")</f>
        <v>0</v>
      </c>
      <c r="K332" s="6">
        <f>GETPIVOTDATA(" New-Pharmacy",'Pivot Table for 1-11'!$A$3,"State","NC","SREB Type2","Specialized")</f>
        <v>0</v>
      </c>
      <c r="L332" s="6">
        <f>GETPIVOTDATA(" New-Optometry",'Pivot Table for 1-11'!$A$3,"State","NC","SREB Type2","Specialized")</f>
        <v>0</v>
      </c>
      <c r="M332" s="6">
        <f>GETPIVOTDATA(" New-Osteopathic Medicine",'Pivot Table for 1-11'!$A$3,"State","NC","SREB Type2","Specialized")</f>
        <v>0</v>
      </c>
      <c r="N332" s="181">
        <f>GETPIVOTDATA(" New-Veterinary Medicine",'Pivot Table for 1-11'!$A$3,"State","NC","SREB Type2","Specialized")</f>
        <v>0</v>
      </c>
      <c r="O332" s="198">
        <f>+GETPIVOTDATA(" New-Oth PP",'Pivot Table for 1-11'!$A$3,"State","NC","SREB Type2","Specialized")</f>
        <v>0</v>
      </c>
      <c r="P332" s="182">
        <f t="shared" si="17"/>
        <v>212</v>
      </c>
      <c r="Q332" s="718"/>
      <c r="AK332" s="246"/>
      <c r="AO332" s="246"/>
    </row>
    <row r="333" spans="1:41" ht="15" customHeight="1">
      <c r="A333" s="5" t="s">
        <v>307</v>
      </c>
      <c r="B333" s="6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6">
        <f>GETPIVOTDATA(" New-Associate's",'Pivot Table for 1-11'!$A$3,"State","OK","SREB Type2","Specialized")</f>
        <v>0</v>
      </c>
      <c r="D333" s="6">
        <f>GETPIVOTDATA(" New-Bachelor's",'Pivot Table for 1-11'!$A$3,"State","OK","SREB Type2","Specialized")</f>
        <v>0</v>
      </c>
      <c r="E333" s="6">
        <f>GETPIVOTDATA(" New-Post-Bachelor's",'Pivot Table for 1-11'!$A$3,"State","OK","SREB Type2","Specialized")</f>
        <v>0</v>
      </c>
      <c r="F333" s="6">
        <f>GETPIVOTDATA(" New-Total Master's#",'Pivot Table for 1-11'!$A$3,"State","OK","SREB Type2","Specialized")</f>
        <v>0</v>
      </c>
      <c r="G333" s="6">
        <f>GETPIVOTDATA(" New-Total Doctorates#",'Pivot Table for 1-11'!$A$3,"State","OK","SREB Type2","Specialized")</f>
        <v>0</v>
      </c>
      <c r="H333" s="17">
        <f>GETPIVOTDATA(" New-Law",'Pivot Table for 1-11'!$A$3,"State","OK","SREB Type2","Specialized")</f>
        <v>0</v>
      </c>
      <c r="I333" s="6">
        <f>GETPIVOTDATA(" New-Medicine",'Pivot Table for 1-11'!$A$3,"State","OK","SREB Type2","Specialized")</f>
        <v>0</v>
      </c>
      <c r="J333" s="6">
        <f>GETPIVOTDATA(" New-Dentistry",'Pivot Table for 1-11'!$A$3,"State","OK","SREB Type2","Specialized")</f>
        <v>0</v>
      </c>
      <c r="K333" s="6">
        <f>GETPIVOTDATA(" New-Pharmacy",'Pivot Table for 1-11'!$A$3,"State","OK","SREB Type2","Specialized")</f>
        <v>0</v>
      </c>
      <c r="L333" s="6">
        <f>GETPIVOTDATA(" New-Optometry",'Pivot Table for 1-11'!$A$3,"State","OK","SREB Type2","Specialized")</f>
        <v>0</v>
      </c>
      <c r="M333" s="6">
        <f>GETPIVOTDATA(" New-Osteopathic Medicine",'Pivot Table for 1-11'!$A$3,"State","OK","SREB Type2","Specialized")</f>
        <v>0</v>
      </c>
      <c r="N333" s="181">
        <f>GETPIVOTDATA(" New-Veterinary Medicine",'Pivot Table for 1-11'!$A$3,"State","OK","SREB Type2","Specialized")</f>
        <v>0</v>
      </c>
      <c r="O333" s="198">
        <f>+GETPIVOTDATA(" New-Oth PP",'Pivot Table for 1-11'!$A$3,"State","OK","SREB Type2","Specialized")</f>
        <v>0</v>
      </c>
      <c r="P333" s="182">
        <f t="shared" si="17"/>
        <v>0</v>
      </c>
      <c r="Q333" s="718"/>
      <c r="AK333" s="246"/>
      <c r="AO333" s="246"/>
    </row>
    <row r="334" spans="1:41" ht="15" customHeight="1">
      <c r="A334" s="5" t="s">
        <v>308</v>
      </c>
      <c r="B334" s="6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6">
        <f>GETPIVOTDATA(" New-Associate's",'Pivot Table for 1-11'!$A$3,"State","SC","SREB Type2","Specialized")</f>
        <v>0</v>
      </c>
      <c r="D334" s="6">
        <f>GETPIVOTDATA(" New-Bachelor's",'Pivot Table for 1-11'!$A$3,"State","SC","SREB Type2","Specialized")</f>
        <v>194</v>
      </c>
      <c r="E334" s="6">
        <f>GETPIVOTDATA(" New-Post-Bachelor's",'Pivot Table for 1-11'!$A$3,"State","SC","SREB Type2","Specialized")</f>
        <v>2</v>
      </c>
      <c r="F334" s="6">
        <f>GETPIVOTDATA(" New-Total Master's#",'Pivot Table for 1-11'!$A$3,"State","SC","SREB Type2","Specialized")</f>
        <v>299</v>
      </c>
      <c r="G334" s="6">
        <f>GETPIVOTDATA(" New-Total Doctorates#",'Pivot Table for 1-11'!$A$3,"State","SC","SREB Type2","Specialized")</f>
        <v>107</v>
      </c>
      <c r="H334" s="17">
        <f>GETPIVOTDATA(" New-Law",'Pivot Table for 1-11'!$A$3,"State","SC","SREB Type2","Specialized")</f>
        <v>0</v>
      </c>
      <c r="I334" s="6">
        <f>GETPIVOTDATA(" New-Medicine",'Pivot Table for 1-11'!$A$3,"State","SC","SREB Type2","Specialized")</f>
        <v>133</v>
      </c>
      <c r="J334" s="6">
        <f>GETPIVOTDATA(" New-Dentistry",'Pivot Table for 1-11'!$A$3,"State","SC","SREB Type2","Specialized")</f>
        <v>57</v>
      </c>
      <c r="K334" s="6">
        <f>GETPIVOTDATA(" New-Pharmacy",'Pivot Table for 1-11'!$A$3,"State","SC","SREB Type2","Specialized")</f>
        <v>78</v>
      </c>
      <c r="L334" s="6">
        <f>GETPIVOTDATA(" New-Optometry",'Pivot Table for 1-11'!$A$3,"State","SC","SREB Type2","Specialized")</f>
        <v>0</v>
      </c>
      <c r="M334" s="6">
        <f>GETPIVOTDATA(" New-Osteopathic Medicine",'Pivot Table for 1-11'!$A$3,"State","SC","SREB Type2","Specialized")</f>
        <v>0</v>
      </c>
      <c r="N334" s="181">
        <f>GETPIVOTDATA(" New-Veterinary Medicine",'Pivot Table for 1-11'!$A$3,"State","SC","SREB Type2","Specialized")</f>
        <v>0</v>
      </c>
      <c r="O334" s="198">
        <f>+GETPIVOTDATA(" New-Oth PP",'Pivot Table for 1-11'!$A$3,"State","SC","SREB Type2","Specialized")</f>
        <v>0</v>
      </c>
      <c r="P334" s="182">
        <f t="shared" si="17"/>
        <v>870</v>
      </c>
      <c r="Q334" s="718"/>
      <c r="AK334" s="246"/>
      <c r="AO334" s="246"/>
    </row>
    <row r="335" spans="1:41" ht="10.5" customHeight="1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181"/>
      <c r="O335" s="198"/>
      <c r="P335" s="182"/>
      <c r="Q335" s="718"/>
      <c r="AK335" s="246"/>
      <c r="AO335" s="246"/>
    </row>
    <row r="336" spans="1:41" ht="15" customHeight="1">
      <c r="A336" s="5" t="s">
        <v>309</v>
      </c>
      <c r="B336" s="6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6">
        <f>GETPIVOTDATA(" New-Associate's",'Pivot Table for 1-11'!$A$3,"State","TN","SREB Type2","Specialized")</f>
        <v>0</v>
      </c>
      <c r="D336" s="6">
        <f>GETPIVOTDATA(" New-Bachelor's",'Pivot Table for 1-11'!$A$3,"State","TN","SREB Type2","Specialized")</f>
        <v>47</v>
      </c>
      <c r="E336" s="6">
        <f>GETPIVOTDATA(" New-Post-Bachelor's",'Pivot Table for 1-11'!$A$3,"State","TN","SREB Type2","Specialized")</f>
        <v>0</v>
      </c>
      <c r="F336" s="6">
        <f>GETPIVOTDATA(" New-Total Master's#",'Pivot Table for 1-11'!$A$3,"State","TN","SREB Type2","Specialized")</f>
        <v>511</v>
      </c>
      <c r="G336" s="6">
        <f>GETPIVOTDATA(" New-Total Doctorates#",'Pivot Table for 1-11'!$A$3,"State","TN","SREB Type2","Specialized")</f>
        <v>133</v>
      </c>
      <c r="H336" s="17">
        <f>GETPIVOTDATA(" New-Law",'Pivot Table for 1-11'!$A$3,"State","TN","SREB Type2","Specialized")</f>
        <v>0</v>
      </c>
      <c r="I336" s="6">
        <f>GETPIVOTDATA(" New-Medicine",'Pivot Table for 1-11'!$A$3,"State","TN","SREB Type2","Specialized")</f>
        <v>140</v>
      </c>
      <c r="J336" s="6">
        <f>GETPIVOTDATA(" New-Dentistry",'Pivot Table for 1-11'!$A$3,"State","TN","SREB Type2","Specialized")</f>
        <v>83</v>
      </c>
      <c r="K336" s="6">
        <f>GETPIVOTDATA(" New-Pharmacy",'Pivot Table for 1-11'!$A$3,"State","TN","SREB Type2","Specialized")</f>
        <v>162</v>
      </c>
      <c r="L336" s="6">
        <f>GETPIVOTDATA(" New-Optometry",'Pivot Table for 1-11'!$A$3,"State","TN","SREB Type2","Specialized")</f>
        <v>0</v>
      </c>
      <c r="M336" s="6">
        <f>GETPIVOTDATA(" New-Osteopathic Medicine",'Pivot Table for 1-11'!$A$3,"State","TN","SREB Type2","Specialized")</f>
        <v>0</v>
      </c>
      <c r="N336" s="181">
        <f>GETPIVOTDATA(" New-Veterinary Medicine",'Pivot Table for 1-11'!$A$3,"State","TN","SREB Type2","Specialized")</f>
        <v>0</v>
      </c>
      <c r="O336" s="198">
        <f>+GETPIVOTDATA(" New-Oth PP",'Pivot Table for 1-11'!$A$3,"State","TN","SREB Type2","Specialized")</f>
        <v>0</v>
      </c>
      <c r="P336" s="182">
        <f t="shared" si="17"/>
        <v>1076</v>
      </c>
      <c r="Q336" s="718"/>
      <c r="AK336" s="246"/>
      <c r="AO336" s="246"/>
    </row>
    <row r="337" spans="1:41" ht="15" customHeight="1">
      <c r="A337" s="5" t="s">
        <v>310</v>
      </c>
      <c r="B337" s="6">
        <f>GETPIVOTDATA(" New-Less Than 2-Year",'Pivot Table for 1-11'!$A$3,"State","TX","SREB Type2","Specialized")+GETPIVOTDATA(" New-2 But Less Than 4-Year",'Pivot Table for 1-11'!$A$3,"State","TX","SREB Type2","Specialized")</f>
        <v>0</v>
      </c>
      <c r="C337" s="6">
        <f>GETPIVOTDATA(" New-Associate's",'Pivot Table for 1-11'!$A$3,"State","TX","SREB Type2","Specialized")</f>
        <v>159</v>
      </c>
      <c r="D337" s="6">
        <f>GETPIVOTDATA(" New-Bachelor's",'Pivot Table for 1-11'!$A$3,"State","TX","SREB Type2","Specialized")</f>
        <v>1594</v>
      </c>
      <c r="E337" s="6">
        <f>GETPIVOTDATA(" New-Post-Bachelor's",'Pivot Table for 1-11'!$A$3,"State","TX","SREB Type2","Specialized")</f>
        <v>0</v>
      </c>
      <c r="F337" s="6">
        <f>GETPIVOTDATA(" New-Total Master's#",'Pivot Table for 1-11'!$A$3,"State","TX","SREB Type2","Specialized")</f>
        <v>1451</v>
      </c>
      <c r="G337" s="6">
        <f>GETPIVOTDATA(" New-Total Doctorates#",'Pivot Table for 1-11'!$A$3,"State","TX","SREB Type2","Specialized")</f>
        <v>419</v>
      </c>
      <c r="H337" s="17">
        <f>GETPIVOTDATA(" New-Law",'Pivot Table for 1-11'!$A$3,"State","TX","SREB Type2","Specialized")</f>
        <v>0</v>
      </c>
      <c r="I337" s="6">
        <f>GETPIVOTDATA(" New-Medicine",'Pivot Table for 1-11'!$A$3,"State","TX","SREB Type2","Specialized")</f>
        <v>1022</v>
      </c>
      <c r="J337" s="6">
        <f>GETPIVOTDATA(" New-Dentistry",'Pivot Table for 1-11'!$A$3,"State","TX","SREB Type2","Specialized")</f>
        <v>254</v>
      </c>
      <c r="K337" s="6">
        <f>GETPIVOTDATA(" New-Pharmacy",'Pivot Table for 1-11'!$A$3,"State","TX","SREB Type2","Specialized")</f>
        <v>81</v>
      </c>
      <c r="L337" s="6">
        <f>GETPIVOTDATA(" New-Optometry",'Pivot Table for 1-11'!$A$3,"State","TX","SREB Type2","Specialized")</f>
        <v>0</v>
      </c>
      <c r="M337" s="6">
        <f>GETPIVOTDATA(" New-Osteopathic Medicine",'Pivot Table for 1-11'!$A$3,"State","TX","SREB Type2","Specialized")</f>
        <v>128</v>
      </c>
      <c r="N337" s="181">
        <f>GETPIVOTDATA(" New-Veterinary Medicine",'Pivot Table for 1-11'!$A$3,"State","TX","SREB Type2","Specialized")</f>
        <v>0</v>
      </c>
      <c r="O337" s="198">
        <f>+GETPIVOTDATA(" New-Oth PP",'Pivot Table for 1-11'!$A$3,"State","TX","SREB Type2","Specialized")</f>
        <v>0</v>
      </c>
      <c r="P337" s="182">
        <f t="shared" si="17"/>
        <v>5108</v>
      </c>
      <c r="Q337" s="718"/>
      <c r="AK337" s="246"/>
      <c r="AO337" s="246"/>
    </row>
    <row r="338" spans="1:41" ht="15" customHeight="1">
      <c r="A338" s="5" t="s">
        <v>311</v>
      </c>
      <c r="B338" s="6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6">
        <f>GETPIVOTDATA(" New-Associate's",'Pivot Table for 1-11'!$A$3,"State","VA","SREB Type2","Specialized")</f>
        <v>0</v>
      </c>
      <c r="D338" s="6">
        <f>GETPIVOTDATA(" New-Bachelor's",'Pivot Table for 1-11'!$A$3,"State","VA","SREB Type2","Specialized")</f>
        <v>290</v>
      </c>
      <c r="E338" s="6">
        <f>GETPIVOTDATA(" New-Post-Bachelor's",'Pivot Table for 1-11'!$A$3,"State","VA","SREB Type2","Specialized")</f>
        <v>0</v>
      </c>
      <c r="F338" s="6">
        <f>GETPIVOTDATA(" New-Total Master's#",'Pivot Table for 1-11'!$A$3,"State","VA","SREB Type2","Specialized")</f>
        <v>0</v>
      </c>
      <c r="G338" s="6">
        <f>GETPIVOTDATA(" New-Total Doctorates#",'Pivot Table for 1-11'!$A$3,"State","VA","SREB Type2","Specialized")</f>
        <v>0</v>
      </c>
      <c r="H338" s="17">
        <f>GETPIVOTDATA(" New-Law",'Pivot Table for 1-11'!$A$3,"State","VA","SREB Type2","Specialized")</f>
        <v>0</v>
      </c>
      <c r="I338" s="6">
        <f>GETPIVOTDATA(" New-Medicine",'Pivot Table for 1-11'!$A$3,"State","VA","SREB Type2","Specialized")</f>
        <v>0</v>
      </c>
      <c r="J338" s="6">
        <f>GETPIVOTDATA(" New-Dentistry",'Pivot Table for 1-11'!$A$3,"State","VA","SREB Type2","Specialized")</f>
        <v>0</v>
      </c>
      <c r="K338" s="6">
        <f>GETPIVOTDATA(" New-Pharmacy",'Pivot Table for 1-11'!$A$3,"State","VA","SREB Type2","Specialized")</f>
        <v>0</v>
      </c>
      <c r="L338" s="6">
        <f>GETPIVOTDATA(" New-Optometry",'Pivot Table for 1-11'!$A$3,"State","VA","SREB Type2","Specialized")</f>
        <v>0</v>
      </c>
      <c r="M338" s="6">
        <f>GETPIVOTDATA(" New-Osteopathic Medicine",'Pivot Table for 1-11'!$A$3,"State","VA","SREB Type2","Specialized")</f>
        <v>0</v>
      </c>
      <c r="N338" s="181">
        <f>GETPIVOTDATA(" New-Veterinary Medicine",'Pivot Table for 1-11'!$A$3,"State","VA","SREB Type2","Specialized")</f>
        <v>0</v>
      </c>
      <c r="O338" s="198">
        <f>+GETPIVOTDATA(" New-Oth PP",'Pivot Table for 1-11'!$A$3,"State","VA","SREB Type2","Specialized")</f>
        <v>0</v>
      </c>
      <c r="P338" s="182">
        <f t="shared" si="17"/>
        <v>290</v>
      </c>
      <c r="Q338" s="718"/>
      <c r="AK338" s="246"/>
      <c r="AO338" s="246"/>
    </row>
    <row r="339" spans="1:41" ht="15" customHeight="1">
      <c r="A339" s="7" t="s">
        <v>312</v>
      </c>
      <c r="B339" s="8">
        <f>GETPIVOTDATA(" New-Less Than 2-Year",'Pivot Table for 1-11'!$A$3,"State","WV","SREB Type2","Specialized")+GETPIVOTDATA(" New-2 But Less Than 4-Year",'Pivot Table for 1-11'!$A$3,"State","WV","SREB Type2","Specialized")</f>
        <v>0</v>
      </c>
      <c r="C339" s="8">
        <f>GETPIVOTDATA(" New-Associate's",'Pivot Table for 1-11'!$A$3,"State","WV","SREB Type2","Specialized")</f>
        <v>0</v>
      </c>
      <c r="D339" s="8">
        <f>GETPIVOTDATA(" New-Bachelor's",'Pivot Table for 1-11'!$A$3,"State","WV","SREB Type2","Specialized")</f>
        <v>0</v>
      </c>
      <c r="E339" s="8">
        <f>GETPIVOTDATA(" New-Post-Bachelor's",'Pivot Table for 1-11'!$A$3,"State","WV","SREB Type2","Specialized")</f>
        <v>0</v>
      </c>
      <c r="F339" s="8">
        <f>GETPIVOTDATA(" New-Total Master's#",'Pivot Table for 1-11'!$A$3,"State","WV","SREB Type2","Specialized")</f>
        <v>0</v>
      </c>
      <c r="G339" s="8">
        <f>GETPIVOTDATA(" New-Total Doctorates#",'Pivot Table for 1-11'!$A$3,"State","WV","SREB Type2","Specialized")</f>
        <v>0</v>
      </c>
      <c r="H339" s="18">
        <f>GETPIVOTDATA(" New-Law",'Pivot Table for 1-11'!$A$3,"State","WV","SREB Type2","Specialized")</f>
        <v>0</v>
      </c>
      <c r="I339" s="8">
        <f>GETPIVOTDATA(" New-Medicine",'Pivot Table for 1-11'!$A$3,"State","WV","SREB Type2","Specialized")</f>
        <v>0</v>
      </c>
      <c r="J339" s="8">
        <f>GETPIVOTDATA(" New-Dentistry",'Pivot Table for 1-11'!$A$3,"State","WV","SREB Type2","Specialized")</f>
        <v>0</v>
      </c>
      <c r="K339" s="8">
        <f>GETPIVOTDATA(" New-Pharmacy",'Pivot Table for 1-11'!$A$3,"State","WV","SREB Type2","Specialized")</f>
        <v>0</v>
      </c>
      <c r="L339" s="8">
        <f>GETPIVOTDATA(" New-Optometry",'Pivot Table for 1-11'!$A$3,"State","WV","SREB Type2","Specialized")</f>
        <v>0</v>
      </c>
      <c r="M339" s="8">
        <f>GETPIVOTDATA(" New-Osteopathic Medicine",'Pivot Table for 1-11'!$A$3,"State","WV","SREB Type2","Specialized")</f>
        <v>97</v>
      </c>
      <c r="N339" s="189">
        <f>GETPIVOTDATA(" New-Veterinary Medicine",'Pivot Table for 1-11'!$A$3,"State","WV","SREB Type2","Specialized")</f>
        <v>0</v>
      </c>
      <c r="O339" s="199">
        <f>+GETPIVOTDATA(" New-Oth PP",'Pivot Table for 1-11'!$A$3,"State","WV","SREB Type2","Specialized")</f>
        <v>0</v>
      </c>
      <c r="P339" s="183">
        <f t="shared" si="17"/>
        <v>97</v>
      </c>
      <c r="Q339" s="718"/>
      <c r="AK339" s="246"/>
      <c r="AO339" s="246"/>
    </row>
    <row r="340" spans="1:41" s="43" customFormat="1" ht="24" customHeight="1">
      <c r="A340" s="767" t="s">
        <v>1253</v>
      </c>
      <c r="B340" s="768"/>
      <c r="C340" s="768"/>
      <c r="D340" s="768"/>
      <c r="E340" s="768"/>
      <c r="F340" s="768"/>
      <c r="G340" s="768"/>
      <c r="H340" s="768"/>
      <c r="I340" s="768"/>
      <c r="J340" s="768"/>
      <c r="K340" s="768"/>
      <c r="L340" s="768"/>
      <c r="M340" s="768"/>
      <c r="N340" s="768"/>
      <c r="O340" s="768"/>
      <c r="P340" s="768"/>
      <c r="Q340" s="713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41">
      <c r="N341" s="3"/>
      <c r="O341" s="184"/>
      <c r="P341" s="184" t="s">
        <v>1267</v>
      </c>
      <c r="Q341" s="714"/>
    </row>
    <row r="342" spans="1:41" ht="18">
      <c r="A342" s="22" t="s">
        <v>333</v>
      </c>
      <c r="B342" s="22"/>
      <c r="C342" s="22"/>
      <c r="D342" s="22"/>
      <c r="E342" s="22"/>
      <c r="F342" s="22"/>
      <c r="G342" s="22"/>
      <c r="H342" s="21" t="s">
        <v>321</v>
      </c>
      <c r="I342" s="21"/>
      <c r="J342" s="21"/>
      <c r="K342" s="21"/>
      <c r="L342" s="21"/>
      <c r="M342" s="21"/>
      <c r="N342" s="187"/>
      <c r="O342" s="187"/>
      <c r="P342" s="187"/>
      <c r="Q342" s="719"/>
    </row>
    <row r="343" spans="1:41" ht="6.75" customHeight="1">
      <c r="A343" s="4"/>
      <c r="B343" s="4"/>
      <c r="C343" s="4"/>
      <c r="D343" s="4"/>
      <c r="E343" s="4"/>
      <c r="F343" s="4"/>
      <c r="G343" s="4"/>
      <c r="H343" s="4"/>
      <c r="I343" s="92"/>
      <c r="J343" s="92"/>
      <c r="K343" s="92"/>
      <c r="L343" s="86"/>
      <c r="M343" s="86"/>
    </row>
    <row r="344" spans="1:41" ht="15.75">
      <c r="A344" s="1" t="s">
        <v>334</v>
      </c>
      <c r="B344" s="1"/>
      <c r="C344" s="1"/>
      <c r="D344" s="1"/>
      <c r="E344" s="1"/>
      <c r="F344" s="1"/>
      <c r="G344" s="1"/>
      <c r="H344" s="1" t="s">
        <v>321</v>
      </c>
      <c r="I344" s="93"/>
      <c r="J344" s="93"/>
      <c r="K344" s="93"/>
      <c r="L344" s="94"/>
      <c r="M344" s="94"/>
      <c r="N344" s="94"/>
      <c r="O344" s="94"/>
      <c r="P344" s="94"/>
      <c r="Q344" s="716"/>
    </row>
    <row r="345" spans="1:41" ht="15.75">
      <c r="A345" s="1" t="s">
        <v>335</v>
      </c>
      <c r="B345" s="1"/>
      <c r="C345" s="1"/>
      <c r="D345" s="1"/>
      <c r="E345" s="1"/>
      <c r="F345" s="1"/>
      <c r="G345" s="1"/>
      <c r="H345" s="1" t="s">
        <v>321</v>
      </c>
      <c r="I345" s="93"/>
      <c r="J345" s="93"/>
      <c r="K345" s="93"/>
      <c r="L345" s="94"/>
      <c r="M345" s="94"/>
      <c r="N345" s="94"/>
      <c r="O345" s="94"/>
      <c r="P345" s="94"/>
      <c r="Q345" s="716"/>
    </row>
    <row r="346" spans="1:41" ht="15.75">
      <c r="A346" s="1" t="s">
        <v>1266</v>
      </c>
      <c r="B346" s="1"/>
      <c r="C346" s="1"/>
      <c r="D346" s="1"/>
      <c r="E346" s="1"/>
      <c r="F346" s="1"/>
      <c r="G346" s="1"/>
      <c r="H346" s="1" t="s">
        <v>321</v>
      </c>
      <c r="I346" s="93"/>
      <c r="J346" s="93"/>
      <c r="K346" s="93"/>
      <c r="L346" s="94"/>
      <c r="M346" s="94"/>
      <c r="N346" s="94"/>
      <c r="O346" s="94"/>
      <c r="P346" s="94"/>
      <c r="Q346" s="716"/>
    </row>
    <row r="347" spans="1:41" ht="9" customHeight="1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94"/>
      <c r="O347" s="94"/>
      <c r="P347" s="94"/>
      <c r="Q347" s="716"/>
    </row>
    <row r="348" spans="1:41" ht="15.75">
      <c r="A348" s="23"/>
      <c r="B348" s="168"/>
      <c r="C348" s="24" t="s">
        <v>336</v>
      </c>
      <c r="D348" s="25"/>
      <c r="E348" s="25"/>
      <c r="F348" s="25"/>
      <c r="G348" s="26"/>
      <c r="H348" s="1" t="s">
        <v>321</v>
      </c>
      <c r="I348" s="1"/>
      <c r="J348" s="1"/>
      <c r="K348" s="1"/>
      <c r="L348" s="1"/>
      <c r="M348" s="2"/>
      <c r="N348" s="94"/>
      <c r="O348" s="94"/>
      <c r="P348" s="94"/>
      <c r="Q348" s="716"/>
    </row>
    <row r="349" spans="1:41" ht="75.75" customHeight="1">
      <c r="A349" s="27"/>
      <c r="B349" s="28" t="s">
        <v>337</v>
      </c>
      <c r="C349" s="29" t="s">
        <v>338</v>
      </c>
      <c r="D349" s="29" t="s">
        <v>339</v>
      </c>
      <c r="E349" s="29" t="s">
        <v>340</v>
      </c>
      <c r="F349" s="30" t="s">
        <v>295</v>
      </c>
      <c r="G349" s="29" t="s">
        <v>723</v>
      </c>
      <c r="H349" s="1"/>
      <c r="I349" s="1"/>
      <c r="J349" s="1"/>
      <c r="K349" s="1"/>
      <c r="L349" s="1"/>
      <c r="Z349" s="706"/>
    </row>
    <row r="350" spans="1:41" ht="15" customHeight="1">
      <c r="A350" s="5" t="s">
        <v>296</v>
      </c>
      <c r="B350" s="20">
        <f>GETPIVOTDATA(" New-Bachelor's",'Pivot Table for 12'!$A$3)</f>
        <v>377732</v>
      </c>
      <c r="C350" s="31">
        <f>GETPIVOTDATA(" New-Bach-TeachEd by CIP",'Pivot Table for 12'!$A$3)</f>
        <v>15755</v>
      </c>
      <c r="D350" s="20">
        <f>GETPIVOTDATA(" New-Bach-TeachEd by Courses",'Pivot Table for 12'!$A$3)</f>
        <v>4787</v>
      </c>
      <c r="E350" s="20">
        <f>GETPIVOTDATA(" New-Bach-TeachEd-Other",'Pivot Table for 12'!$A$3)</f>
        <v>5046</v>
      </c>
      <c r="F350" s="19">
        <f>GETPIVOTDATA(" New-Bach-TeachEd-Subtot",'Pivot Table for 12'!$A$3)</f>
        <v>25588</v>
      </c>
      <c r="G350" s="247">
        <f>(F350/(B350-B367-B368))*100</f>
        <v>9.1368093296292869</v>
      </c>
      <c r="I350" s="1"/>
      <c r="J350" s="1"/>
      <c r="K350" s="1"/>
      <c r="L350" s="1"/>
    </row>
    <row r="351" spans="1:41" ht="7.5" customHeight="1">
      <c r="A351" s="5"/>
      <c r="B351" s="20"/>
      <c r="C351" s="31"/>
      <c r="D351" s="20"/>
      <c r="E351" s="20"/>
      <c r="F351" s="19"/>
      <c r="G351" s="37"/>
      <c r="J351" s="33"/>
      <c r="K351" s="169"/>
    </row>
    <row r="352" spans="1:41" ht="15" customHeight="1">
      <c r="A352" s="5" t="s">
        <v>297</v>
      </c>
      <c r="B352" s="20">
        <f>GETPIVOTDATA(" New-Bachelor's",'Pivot Table for 12'!$A$3,"State","AL")</f>
        <v>18996</v>
      </c>
      <c r="C352" s="31">
        <f>GETPIVOTDATA(" New-Bach-TeachEd by CIP",'Pivot Table for 12'!$A$3,"State","AL")</f>
        <v>2163</v>
      </c>
      <c r="D352" s="20">
        <f>GETPIVOTDATA(" New-Bach-TeachEd by Courses",'Pivot Table for 12'!$A$3,"State","AL")</f>
        <v>0</v>
      </c>
      <c r="E352" s="20">
        <f>GETPIVOTDATA(" New-Bach-TeachEd-Other",'Pivot Table for 12'!$A$3,"State","AL")</f>
        <v>133</v>
      </c>
      <c r="F352" s="19">
        <f>GETPIVOTDATA(" New-Bach-TeachEd-Subtot",'Pivot Table for 12'!$A$3,"State","AL")</f>
        <v>2296</v>
      </c>
      <c r="G352" s="37">
        <f>(F352/B352)*100</f>
        <v>12.086755106338176</v>
      </c>
      <c r="J352" s="170"/>
      <c r="K352" s="10"/>
      <c r="Z352" s="706"/>
    </row>
    <row r="353" spans="1:11" ht="15" customHeight="1">
      <c r="A353" s="5" t="s">
        <v>298</v>
      </c>
      <c r="B353" s="20">
        <f>GETPIVOTDATA(" New-Bachelor's",'Pivot Table for 12'!$A$3,"State","AR")</f>
        <v>9682</v>
      </c>
      <c r="C353" s="31">
        <f>GETPIVOTDATA(" New-Bach-TeachEd by CIP",'Pivot Table for 12'!$A$3,"State","AR")</f>
        <v>1161</v>
      </c>
      <c r="D353" s="20">
        <f>GETPIVOTDATA(" New-Bach-TeachEd by Courses",'Pivot Table for 12'!$A$3,"State","AR")</f>
        <v>0</v>
      </c>
      <c r="E353" s="20">
        <f>GETPIVOTDATA(" New-Bach-TeachEd-Other",'Pivot Table for 12'!$A$3,"State","AR")</f>
        <v>0</v>
      </c>
      <c r="F353" s="19">
        <f>GETPIVOTDATA(" New-Bach-TeachEd-Subtot",'Pivot Table for 12'!$A$3,"State","AR")</f>
        <v>1161</v>
      </c>
      <c r="G353" s="37">
        <f t="shared" ref="G353:G370" si="18">(F353/B353)*100</f>
        <v>11.991324106589547</v>
      </c>
      <c r="I353" s="48"/>
      <c r="J353" s="33"/>
      <c r="K353" s="169"/>
    </row>
    <row r="354" spans="1:11" ht="15" customHeight="1">
      <c r="A354" s="5" t="s">
        <v>299</v>
      </c>
      <c r="B354" s="20">
        <f>GETPIVOTDATA(" New-Bachelor's",'Pivot Table for 12'!$A$3,"State","DE")</f>
        <v>4075</v>
      </c>
      <c r="C354" s="31">
        <f>GETPIVOTDATA(" New-Bach-TeachEd by CIP",'Pivot Table for 12'!$A$3,"State","DE")</f>
        <v>325</v>
      </c>
      <c r="D354" s="20">
        <f>GETPIVOTDATA(" New-Bach-TeachEd by Courses",'Pivot Table for 12'!$A$3,"State","DE")</f>
        <v>0</v>
      </c>
      <c r="E354" s="20">
        <f>GETPIVOTDATA(" New-Bach-TeachEd-Other",'Pivot Table for 12'!$A$3,"State","DE")</f>
        <v>0</v>
      </c>
      <c r="F354" s="19">
        <f>GETPIVOTDATA(" New-Bach-TeachEd-Subtot",'Pivot Table for 12'!$A$3,"State","DE")</f>
        <v>325</v>
      </c>
      <c r="G354" s="37">
        <f t="shared" si="18"/>
        <v>7.9754601226993866</v>
      </c>
      <c r="J354" s="33"/>
      <c r="K354" s="169"/>
    </row>
    <row r="355" spans="1:11" ht="15" customHeight="1">
      <c r="A355" s="5" t="s">
        <v>300</v>
      </c>
      <c r="B355" s="20">
        <f>GETPIVOTDATA(" New-Bachelor's",'Pivot Table for 12'!$A$3,"State","FL")</f>
        <v>52487</v>
      </c>
      <c r="C355" s="31">
        <f>GETPIVOTDATA(" New-Bach-TeachEd by CIP",'Pivot Table for 12'!$A$3,"State","FL")</f>
        <v>259</v>
      </c>
      <c r="D355" s="20">
        <f>GETPIVOTDATA(" New-Bach-TeachEd by Courses",'Pivot Table for 12'!$A$3,"State","FL")</f>
        <v>0</v>
      </c>
      <c r="E355" s="20">
        <f>GETPIVOTDATA(" New-Bach-TeachEd-Other",'Pivot Table for 12'!$A$3,"State","FL")</f>
        <v>3129</v>
      </c>
      <c r="F355" s="19">
        <f>GETPIVOTDATA(" New-Bach-TeachEd-Subtot",'Pivot Table for 12'!$A$3,"State","FL")</f>
        <v>3388</v>
      </c>
      <c r="G355" s="37">
        <f t="shared" si="18"/>
        <v>6.4549316973726834</v>
      </c>
      <c r="J355" s="33"/>
      <c r="K355" s="169"/>
    </row>
    <row r="356" spans="1:11" ht="7.5" customHeight="1">
      <c r="A356" s="5"/>
      <c r="B356" s="20"/>
      <c r="C356" s="31"/>
      <c r="D356" s="20"/>
      <c r="E356" s="20"/>
      <c r="F356" s="19"/>
      <c r="G356" s="37"/>
      <c r="J356" s="33"/>
      <c r="K356" s="169"/>
    </row>
    <row r="357" spans="1:11" ht="15" customHeight="1">
      <c r="A357" s="5" t="s">
        <v>301</v>
      </c>
      <c r="B357" s="20">
        <f>GETPIVOTDATA(" New-Bachelor's",'Pivot Table for 12'!$A$3,"State","GA")</f>
        <v>29176</v>
      </c>
      <c r="C357" s="31">
        <f>GETPIVOTDATA(" New-Bach-TeachEd by CIP",'Pivot Table for 12'!$A$3,"State","GA")</f>
        <v>3479</v>
      </c>
      <c r="D357" s="20">
        <f>GETPIVOTDATA(" New-Bach-TeachEd by Courses",'Pivot Table for 12'!$A$3,"State","GA")</f>
        <v>0</v>
      </c>
      <c r="E357" s="20">
        <f>GETPIVOTDATA(" New-Bach-TeachEd-Other",'Pivot Table for 12'!$A$3,"State","GA")</f>
        <v>0</v>
      </c>
      <c r="F357" s="19">
        <f>GETPIVOTDATA(" New-Bach-TeachEd-Subtot",'Pivot Table for 12'!$A$3,"State","GA")</f>
        <v>3479</v>
      </c>
      <c r="G357" s="37">
        <f t="shared" si="18"/>
        <v>11.924184261036469</v>
      </c>
      <c r="J357" s="33"/>
      <c r="K357" s="169"/>
    </row>
    <row r="358" spans="1:11" ht="15" customHeight="1">
      <c r="A358" s="5" t="s">
        <v>302</v>
      </c>
      <c r="B358" s="20">
        <f>GETPIVOTDATA(" New-Bachelor's",'Pivot Table for 12'!$A$3,"State","KY")</f>
        <v>15134</v>
      </c>
      <c r="C358" s="31">
        <f>GETPIVOTDATA(" New-Bach-TeachEd by CIP",'Pivot Table for 12'!$A$3,"State","KY")</f>
        <v>0</v>
      </c>
      <c r="D358" s="20">
        <f>GETPIVOTDATA(" New-Bach-TeachEd by Courses",'Pivot Table for 12'!$A$3,"State","KY")</f>
        <v>1718</v>
      </c>
      <c r="E358" s="20">
        <f>GETPIVOTDATA(" New-Bach-TeachEd-Other",'Pivot Table for 12'!$A$3,"State","KY")</f>
        <v>0</v>
      </c>
      <c r="F358" s="19">
        <f>GETPIVOTDATA(" New-Bach-TeachEd-Subtot",'Pivot Table for 12'!$A$3,"State","KY")</f>
        <v>1718</v>
      </c>
      <c r="G358" s="37">
        <f t="shared" si="18"/>
        <v>11.351922822783138</v>
      </c>
      <c r="J358" s="33"/>
      <c r="K358" s="169"/>
    </row>
    <row r="359" spans="1:11" ht="15" customHeight="1">
      <c r="A359" s="5" t="s">
        <v>303</v>
      </c>
      <c r="B359" s="20">
        <f>GETPIVOTDATA(" New-Bachelor's",'Pivot Table for 12'!$A$3,"State","LA")</f>
        <v>17980</v>
      </c>
      <c r="C359" s="31">
        <f>GETPIVOTDATA(" New-Bach-TeachEd by CIP",'Pivot Table for 12'!$A$3,"State","LA")</f>
        <v>1540</v>
      </c>
      <c r="D359" s="20">
        <f>GETPIVOTDATA(" New-Bach-TeachEd by Courses",'Pivot Table for 12'!$A$3,"State","LA")</f>
        <v>0</v>
      </c>
      <c r="E359" s="20">
        <f>GETPIVOTDATA(" New-Bach-TeachEd-Other",'Pivot Table for 12'!$A$3,"State","LA")</f>
        <v>0</v>
      </c>
      <c r="F359" s="19">
        <f>GETPIVOTDATA(" New-Bach-TeachEd-Subtot",'Pivot Table for 12'!$A$3,"State","LA")</f>
        <v>1540</v>
      </c>
      <c r="G359" s="37">
        <f t="shared" si="18"/>
        <v>8.5650723025583986</v>
      </c>
      <c r="J359" s="33"/>
      <c r="K359" s="169"/>
    </row>
    <row r="360" spans="1:11" ht="15" customHeight="1">
      <c r="A360" s="5" t="s">
        <v>304</v>
      </c>
      <c r="B360" s="20">
        <f>GETPIVOTDATA(" New-Bachelor's",'Pivot Table for 12'!$A$3,"State","MD")</f>
        <v>20524</v>
      </c>
      <c r="C360" s="31">
        <f>GETPIVOTDATA(" New-Bach-TeachEd by CIP",'Pivot Table for 12'!$A$3,"State","MD")</f>
        <v>1613</v>
      </c>
      <c r="D360" s="20">
        <f>GETPIVOTDATA(" New-Bach-TeachEd by Courses",'Pivot Table for 12'!$A$3,"State","MD")</f>
        <v>0</v>
      </c>
      <c r="E360" s="20">
        <f>GETPIVOTDATA(" New-Bach-TeachEd-Other",'Pivot Table for 12'!$A$3,"State","MD")</f>
        <v>0</v>
      </c>
      <c r="F360" s="19">
        <f>GETPIVOTDATA(" New-Bach-TeachEd-Subtot",'Pivot Table for 12'!$A$3,"State","MD")</f>
        <v>1613</v>
      </c>
      <c r="G360" s="37">
        <f t="shared" si="18"/>
        <v>7.8590917949717394</v>
      </c>
      <c r="J360" s="33"/>
      <c r="K360" s="169"/>
    </row>
    <row r="361" spans="1:11" ht="7.5" customHeight="1">
      <c r="A361" s="5"/>
      <c r="B361" s="20"/>
      <c r="C361" s="31"/>
      <c r="D361" s="20"/>
      <c r="E361" s="20"/>
      <c r="F361" s="19"/>
      <c r="G361" s="37"/>
      <c r="J361" s="33"/>
      <c r="K361" s="169"/>
    </row>
    <row r="362" spans="1:11" ht="15" customHeight="1">
      <c r="A362" s="5" t="s">
        <v>305</v>
      </c>
      <c r="B362" s="20">
        <f>GETPIVOTDATA(" New-Bachelor's",'Pivot Table for 12'!$A$3,"State","MS")</f>
        <v>10404</v>
      </c>
      <c r="C362" s="31">
        <f>GETPIVOTDATA(" New-Bach-TeachEd by CIP",'Pivot Table for 12'!$A$3,"State","MS")</f>
        <v>1486</v>
      </c>
      <c r="D362" s="20">
        <f>GETPIVOTDATA(" New-Bach-TeachEd by Courses",'Pivot Table for 12'!$A$3,"State","MS")</f>
        <v>0</v>
      </c>
      <c r="E362" s="20">
        <f>GETPIVOTDATA(" New-Bach-TeachEd-Other",'Pivot Table for 12'!$A$3,"State","MS")</f>
        <v>0</v>
      </c>
      <c r="F362" s="19">
        <f>GETPIVOTDATA(" New-Bach-TeachEd-Subtot",'Pivot Table for 12'!$A$3,"State","MS")</f>
        <v>1486</v>
      </c>
      <c r="G362" s="37">
        <f t="shared" si="18"/>
        <v>14.282968089196462</v>
      </c>
      <c r="J362" s="33"/>
      <c r="K362" s="169"/>
    </row>
    <row r="363" spans="1:11" ht="15" customHeight="1">
      <c r="A363" s="5" t="s">
        <v>306</v>
      </c>
      <c r="B363" s="20">
        <f>GETPIVOTDATA(" New-Bachelor's",'Pivot Table for 12'!$A$3,"State","NC")</f>
        <v>31055</v>
      </c>
      <c r="C363" s="31">
        <f>GETPIVOTDATA(" New-Bach-TeachEd by CIP",'Pivot Table for 12'!$A$3,"State","NC")</f>
        <v>0</v>
      </c>
      <c r="D363" s="20">
        <f>GETPIVOTDATA(" New-Bach-TeachEd by Courses",'Pivot Table for 12'!$A$3,"State","NC")</f>
        <v>3069</v>
      </c>
      <c r="E363" s="20">
        <f>GETPIVOTDATA(" New-Bach-TeachEd-Other",'Pivot Table for 12'!$A$3,"State","NC")</f>
        <v>0</v>
      </c>
      <c r="F363" s="19">
        <f>GETPIVOTDATA(" New-Bach-TeachEd-Subtot",'Pivot Table for 12'!$A$3,"State","NC")</f>
        <v>3069</v>
      </c>
      <c r="G363" s="37">
        <f t="shared" si="18"/>
        <v>9.8824665915311538</v>
      </c>
      <c r="J363" s="33"/>
      <c r="K363" s="169"/>
    </row>
    <row r="364" spans="1:11" ht="15" customHeight="1">
      <c r="A364" s="5" t="s">
        <v>307</v>
      </c>
      <c r="B364" s="20">
        <f>GETPIVOTDATA(" New-Bachelor's",'Pivot Table for 12'!$A$3,"State","OK")</f>
        <v>15920</v>
      </c>
      <c r="C364" s="31">
        <f>GETPIVOTDATA(" New-Bach-TeachEd by CIP",'Pivot Table for 12'!$A$3,"State","OK")</f>
        <v>1710</v>
      </c>
      <c r="D364" s="20">
        <f>GETPIVOTDATA(" New-Bach-TeachEd by Courses",'Pivot Table for 12'!$A$3,"State","OK")</f>
        <v>0</v>
      </c>
      <c r="E364" s="20">
        <f>GETPIVOTDATA(" New-Bach-TeachEd-Other",'Pivot Table for 12'!$A$3,"State","OK")</f>
        <v>0</v>
      </c>
      <c r="F364" s="19">
        <f>GETPIVOTDATA(" New-Bach-TeachEd-Subtot",'Pivot Table for 12'!$A$3,"State","OK")</f>
        <v>1710</v>
      </c>
      <c r="G364" s="37">
        <f t="shared" si="18"/>
        <v>10.741206030150753</v>
      </c>
      <c r="J364" s="33"/>
      <c r="K364" s="169"/>
    </row>
    <row r="365" spans="1:11" ht="15" customHeight="1">
      <c r="A365" s="5" t="s">
        <v>308</v>
      </c>
      <c r="B365" s="20">
        <f>GETPIVOTDATA(" New-Bachelor's",'Pivot Table for 12'!$A$3,"State","SC")</f>
        <v>15167</v>
      </c>
      <c r="C365" s="31">
        <f>GETPIVOTDATA(" New-Bach-TeachEd by CIP",'Pivot Table for 12'!$A$3,"State","SC")</f>
        <v>1361</v>
      </c>
      <c r="D365" s="20">
        <f>GETPIVOTDATA(" New-Bach-TeachEd by Courses",'Pivot Table for 12'!$A$3,"State","SC")</f>
        <v>0</v>
      </c>
      <c r="E365" s="20">
        <f>GETPIVOTDATA(" New-Bach-TeachEd-Other",'Pivot Table for 12'!$A$3,"State","SC")</f>
        <v>85</v>
      </c>
      <c r="F365" s="19">
        <f>GETPIVOTDATA(" New-Bach-TeachEd-Subtot",'Pivot Table for 12'!$A$3,"State","SC")</f>
        <v>1446</v>
      </c>
      <c r="G365" s="37">
        <f t="shared" si="18"/>
        <v>9.5338563987604665</v>
      </c>
      <c r="J365" s="33"/>
      <c r="K365" s="169"/>
    </row>
    <row r="366" spans="1:11" ht="9" customHeight="1">
      <c r="A366" s="5"/>
      <c r="B366" s="20"/>
      <c r="C366" s="31"/>
      <c r="D366" s="20"/>
      <c r="E366" s="20"/>
      <c r="F366" s="19"/>
      <c r="G366" s="37"/>
      <c r="J366" s="33"/>
      <c r="K366" s="169"/>
    </row>
    <row r="367" spans="1:11" ht="15" customHeight="1">
      <c r="A367" s="5" t="s">
        <v>309</v>
      </c>
      <c r="B367" s="20">
        <f>GETPIVOTDATA(" New-Bachelor's",'Pivot Table for 12'!$A$3,"State","TN")</f>
        <v>16552</v>
      </c>
      <c r="C367" s="31">
        <f>GETPIVOTDATA(" New-Bach-TeachEd by CIP",'Pivot Table for 12'!$A$3,"State","TN")</f>
        <v>0</v>
      </c>
      <c r="D367" s="20">
        <f>GETPIVOTDATA(" New-Bach-TeachEd by Courses",'Pivot Table for 12'!$A$3,"State","TN")</f>
        <v>0</v>
      </c>
      <c r="E367" s="20">
        <f>GETPIVOTDATA(" New-Bach-TeachEd-Other",'Pivot Table for 12'!$A$3,"State","TN")</f>
        <v>0</v>
      </c>
      <c r="F367" s="19">
        <f>GETPIVOTDATA(" New-Bach-TeachEd-Subtot",'Pivot Table for 12'!$A$3,"State","TN")</f>
        <v>0</v>
      </c>
      <c r="G367" s="37" t="str">
        <f>IF(F367&gt;0,(F367/B367)*100," ")</f>
        <v xml:space="preserve"> </v>
      </c>
      <c r="J367" s="33"/>
      <c r="K367" s="169"/>
    </row>
    <row r="368" spans="1:11" ht="15" customHeight="1">
      <c r="A368" s="5" t="s">
        <v>310</v>
      </c>
      <c r="B368" s="20">
        <f>GETPIVOTDATA(" New-Bachelor's",'Pivot Table for 12'!$A$3,"State","TX")</f>
        <v>81126</v>
      </c>
      <c r="C368" s="31">
        <f>GETPIVOTDATA(" New-Bach-TeachEd by CIP",'Pivot Table for 12'!$A$3,"State","TX")</f>
        <v>0</v>
      </c>
      <c r="D368" s="20">
        <f>GETPIVOTDATA(" New-Bach-TeachEd by Courses",'Pivot Table for 12'!$A$3,"State","TX")</f>
        <v>0</v>
      </c>
      <c r="E368" s="20">
        <f>GETPIVOTDATA(" New-Bach-TeachEd-Other",'Pivot Table for 12'!$A$3,"State","TX")</f>
        <v>0</v>
      </c>
      <c r="F368" s="19">
        <f>GETPIVOTDATA(" New-Bach-TeachEd-Subtot",'Pivot Table for 12'!$A$3,"State","TX")</f>
        <v>0</v>
      </c>
      <c r="G368" s="37" t="str">
        <f>IF(F368&gt;0,(F368/B368)*100," ")</f>
        <v xml:space="preserve"> </v>
      </c>
      <c r="J368" s="33"/>
      <c r="K368" s="169"/>
    </row>
    <row r="369" spans="1:26" ht="15" customHeight="1">
      <c r="A369" s="5" t="s">
        <v>311</v>
      </c>
      <c r="B369" s="20">
        <f>GETPIVOTDATA(" New-Bachelor's",'Pivot Table for 12'!$A$3,"State","VA")</f>
        <v>31015</v>
      </c>
      <c r="C369" s="31">
        <f>GETPIVOTDATA(" New-Bach-TeachEd by CIP",'Pivot Table for 12'!$A$3,"State","VA")</f>
        <v>0</v>
      </c>
      <c r="D369" s="20">
        <f>GETPIVOTDATA(" New-Bach-TeachEd by Courses",'Pivot Table for 12'!$A$3,"State","VA")</f>
        <v>0</v>
      </c>
      <c r="E369" s="20">
        <f>GETPIVOTDATA(" New-Bach-TeachEd-Other",'Pivot Table for 12'!$A$3,"State","VA")</f>
        <v>1504</v>
      </c>
      <c r="F369" s="19">
        <f>GETPIVOTDATA(" New-Bach-TeachEd-Subtot",'Pivot Table for 12'!$A$3,"State","VA")</f>
        <v>1504</v>
      </c>
      <c r="G369" s="37">
        <f>IF(F369&gt;0,(F369/B369)*100," ")</f>
        <v>4.8492664839593749</v>
      </c>
    </row>
    <row r="370" spans="1:26" ht="15" customHeight="1">
      <c r="A370" s="7" t="s">
        <v>312</v>
      </c>
      <c r="B370" s="34">
        <f>GETPIVOTDATA(" New-Bachelor's",'Pivot Table for 12'!$A$3,"State","WV")</f>
        <v>8439</v>
      </c>
      <c r="C370" s="35">
        <f>GETPIVOTDATA(" New-Bach-TeachEd by CIP",'Pivot Table for 12'!$A$3,"State","WV")</f>
        <v>658</v>
      </c>
      <c r="D370" s="34">
        <f>GETPIVOTDATA(" New-Bach-TeachEd by Courses",'Pivot Table for 12'!$A$3,"State","WV")</f>
        <v>0</v>
      </c>
      <c r="E370" s="34">
        <f>GETPIVOTDATA(" New-Bach-TeachEd-Other",'Pivot Table for 12'!$A$3,"State","WV")</f>
        <v>195</v>
      </c>
      <c r="F370" s="36">
        <f>GETPIVOTDATA(" New-Bach-TeachEd-Subtot",'Pivot Table for 12'!$A$3,"State","WV")</f>
        <v>853</v>
      </c>
      <c r="G370" s="38">
        <f t="shared" si="18"/>
        <v>10.107832681597346</v>
      </c>
    </row>
    <row r="371" spans="1:26" s="43" customFormat="1" ht="15" customHeight="1">
      <c r="A371" s="96" t="s">
        <v>722</v>
      </c>
      <c r="B371" s="32"/>
      <c r="C371" s="32"/>
      <c r="D371" s="32"/>
      <c r="E371" s="32"/>
      <c r="F371" s="32"/>
      <c r="G371" s="42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>
      <c r="A372" s="44"/>
      <c r="B372" s="44"/>
      <c r="C372" s="44"/>
      <c r="D372" s="44"/>
      <c r="E372" s="44"/>
      <c r="F372" s="44"/>
      <c r="G372" s="184" t="s">
        <v>1267</v>
      </c>
      <c r="H372" s="44"/>
      <c r="I372" s="44"/>
      <c r="J372" s="44"/>
      <c r="K372" s="44"/>
      <c r="L372" s="44"/>
      <c r="M372" s="44"/>
      <c r="N372" s="242"/>
      <c r="O372" s="184"/>
      <c r="P372" s="188"/>
      <c r="Q372" s="188"/>
    </row>
  </sheetData>
  <mergeCells count="11">
    <mergeCell ref="A93:P93"/>
    <mergeCell ref="A61:P61"/>
    <mergeCell ref="A30:P30"/>
    <mergeCell ref="A279:P279"/>
    <mergeCell ref="A340:P340"/>
    <mergeCell ref="A310:I310"/>
    <mergeCell ref="A124:P124"/>
    <mergeCell ref="A155:P155"/>
    <mergeCell ref="A186:P186"/>
    <mergeCell ref="A217:P217"/>
    <mergeCell ref="A248:P248"/>
  </mergeCells>
  <phoneticPr fontId="9" type="noConversion"/>
  <printOptions horizontalCentered="1"/>
  <pageMargins left="0.5" right="0.46" top="0.75" bottom="0.75" header="0.75" footer="0.5"/>
  <pageSetup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V373"/>
  <sheetViews>
    <sheetView showGridLines="0" showZeros="0" view="pageBreakPreview" zoomScaleNormal="100" zoomScaleSheetLayoutView="100" workbookViewId="0">
      <selection activeCell="C349" sqref="C349"/>
    </sheetView>
  </sheetViews>
  <sheetFormatPr defaultColWidth="8.875" defaultRowHeight="12.75"/>
  <cols>
    <col min="1" max="1" width="11.75" style="3" customWidth="1"/>
    <col min="2" max="2" width="8.25" style="3" customWidth="1"/>
    <col min="3" max="3" width="6.75" style="3" customWidth="1"/>
    <col min="4" max="4" width="7.375" style="3" customWidth="1"/>
    <col min="5" max="5" width="5.5" style="3" customWidth="1"/>
    <col min="6" max="6" width="7.875" style="3" customWidth="1"/>
    <col min="7" max="7" width="7.75" style="3" customWidth="1"/>
    <col min="8" max="8" width="6.875" style="3" customWidth="1"/>
    <col min="9" max="9" width="6.25" style="3" customWidth="1"/>
    <col min="10" max="10" width="6.375" style="3" customWidth="1"/>
    <col min="11" max="12" width="5.875" style="3" customWidth="1"/>
    <col min="13" max="13" width="8.5" style="3" customWidth="1"/>
    <col min="14" max="14" width="8.25" style="86" customWidth="1"/>
    <col min="15" max="15" width="9.5" style="86" customWidth="1"/>
    <col min="16" max="16" width="6.875" style="86" customWidth="1"/>
    <col min="17" max="18" width="8.875" style="3"/>
    <col min="19" max="19" width="9.25" style="3" bestFit="1" customWidth="1"/>
    <col min="20" max="16384" width="8.875" style="3"/>
  </cols>
  <sheetData>
    <row r="1" spans="1:16" ht="18">
      <c r="A1" s="22" t="s">
        <v>284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93"/>
      <c r="O1" s="93"/>
      <c r="P1" s="93"/>
    </row>
    <row r="2" spans="1:16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92"/>
      <c r="O2" s="92"/>
      <c r="P2" s="92"/>
    </row>
    <row r="3" spans="1:16" ht="15.75">
      <c r="A3" s="1" t="s">
        <v>285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93"/>
      <c r="O3" s="93"/>
      <c r="P3" s="93"/>
    </row>
    <row r="4" spans="1:16" ht="15.75">
      <c r="A4" s="1" t="s">
        <v>1308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93"/>
      <c r="O4" s="93"/>
      <c r="P4" s="93"/>
    </row>
    <row r="5" spans="1:16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4"/>
      <c r="O5" s="94"/>
      <c r="P5" s="94"/>
    </row>
    <row r="6" spans="1:16" ht="15.75">
      <c r="A6" s="192"/>
      <c r="B6" s="192"/>
      <c r="C6" s="192"/>
      <c r="D6" s="192"/>
      <c r="E6" s="192"/>
      <c r="F6" s="192"/>
      <c r="G6" s="192"/>
      <c r="H6" s="196" t="s">
        <v>1254</v>
      </c>
      <c r="I6" s="26"/>
      <c r="J6" s="26"/>
      <c r="K6" s="26"/>
      <c r="L6" s="26"/>
      <c r="M6" s="26"/>
      <c r="N6" s="193"/>
      <c r="O6" s="200"/>
      <c r="P6" s="195" t="s">
        <v>321</v>
      </c>
    </row>
    <row r="7" spans="1:16" ht="36" customHeight="1">
      <c r="A7" s="14"/>
      <c r="B7" s="15" t="s">
        <v>696</v>
      </c>
      <c r="C7" s="15" t="s">
        <v>286</v>
      </c>
      <c r="D7" s="15" t="s">
        <v>278</v>
      </c>
      <c r="E7" s="15" t="s">
        <v>279</v>
      </c>
      <c r="F7" s="15" t="s">
        <v>288</v>
      </c>
      <c r="G7" s="15" t="s">
        <v>289</v>
      </c>
      <c r="H7" s="16" t="s">
        <v>290</v>
      </c>
      <c r="I7" s="15" t="s">
        <v>291</v>
      </c>
      <c r="J7" s="15" t="s">
        <v>292</v>
      </c>
      <c r="K7" s="15" t="s">
        <v>283</v>
      </c>
      <c r="L7" s="15" t="s">
        <v>293</v>
      </c>
      <c r="M7" s="15" t="s">
        <v>294</v>
      </c>
      <c r="N7" s="191" t="s">
        <v>1320</v>
      </c>
      <c r="O7" s="197" t="s">
        <v>1321</v>
      </c>
      <c r="P7" s="191" t="s">
        <v>295</v>
      </c>
    </row>
    <row r="8" spans="1:16" ht="15" customHeight="1">
      <c r="A8" s="5" t="s">
        <v>296</v>
      </c>
      <c r="B8" s="6">
        <f>+GETPIVOTDATA(" Old-Less Than 2-Year",'Pivot Table for 1-11'!$A$3)+GETPIVOTDATA(" Old-2 But Less Than 4-Year",'Pivot Table for 1-11'!$A$3)</f>
        <v>154314</v>
      </c>
      <c r="C8" s="6">
        <f>+GETPIVOTDATA(" Old-Associate's",'Pivot Table for 1-11'!$A$3)</f>
        <v>200269</v>
      </c>
      <c r="D8" s="6">
        <f>+GETPIVOTDATA(" Old-Bachelor's",'Pivot Table for 1-11'!$A$3)</f>
        <v>367275</v>
      </c>
      <c r="E8" s="6">
        <f>+GETPIVOTDATA(" Old-Post-Bachelor's",'Pivot Table for 1-11'!$A$3)</f>
        <v>1755</v>
      </c>
      <c r="F8" s="6">
        <f>+GETPIVOTDATA(" Old-Total Master's#",'Pivot Table for 1-11'!$A$3)</f>
        <v>119916</v>
      </c>
      <c r="G8" s="6">
        <f>+GETPIVOTDATA(" Old-Total Doctorates#",'Pivot Table for 1-11'!$A$3)</f>
        <v>14213</v>
      </c>
      <c r="H8" s="17">
        <f>+GETPIVOTDATA(" Old-Law",'Pivot Table for 1-11'!$A$3)</f>
        <v>6439</v>
      </c>
      <c r="I8" s="6">
        <f>+GETPIVOTDATA(" Old-Medicine",'Pivot Table for 1-11'!$A$3)</f>
        <v>3812</v>
      </c>
      <c r="J8" s="6">
        <f>+GETPIVOTDATA(" Old-Dentistry",'Pivot Table for 1-11'!$A$3)</f>
        <v>1127</v>
      </c>
      <c r="K8" s="6">
        <f>+GETPIVOTDATA(" Old-Pharmacy",'Pivot Table for 1-11'!$A$3)</f>
        <v>2714</v>
      </c>
      <c r="L8" s="6">
        <f>+GETPIVOTDATA(" Old-Optometry",'Pivot Table for 1-11'!$A$3)</f>
        <v>161</v>
      </c>
      <c r="M8" s="6">
        <f>+GETPIVOTDATA(" Old-Osteopathic Medicine",'Pivot Table for 1-11'!$A$3)</f>
        <v>298</v>
      </c>
      <c r="N8" s="181">
        <f>+GETPIVOTDATA(" Old-Veterinary Medicine",'Pivot Table for 1-11'!$A$3)</f>
        <v>853</v>
      </c>
      <c r="O8" s="198">
        <f>+GETPIVOTDATA(" Old-Oth PP",'Pivot Table for 1-11'!$A$3)</f>
        <v>87</v>
      </c>
      <c r="P8" s="182">
        <f>SUM(B8:O8)</f>
        <v>873233</v>
      </c>
    </row>
    <row r="9" spans="1:16" ht="15" customHeight="1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181"/>
      <c r="O9" s="198"/>
      <c r="P9" s="182"/>
    </row>
    <row r="10" spans="1:16" ht="15" customHeight="1">
      <c r="A10" s="5" t="s">
        <v>297</v>
      </c>
      <c r="B10" s="6">
        <f>+GETPIVOTDATA(" Old-Less Than 2-Year",'Pivot Table for 1-11'!$A$3,"State","AL")+GETPIVOTDATA(" Old-2 But Less Than 4-Year",'Pivot Table for 1-11'!$A$3,"State","AL")</f>
        <v>4121</v>
      </c>
      <c r="C10" s="6">
        <f>+GETPIVOTDATA(" Old-Associate's",'Pivot Table for 1-11'!$A$3,"State","AL")</f>
        <v>7871</v>
      </c>
      <c r="D10" s="6">
        <f>+GETPIVOTDATA(" Old-Bachelor's",'Pivot Table for 1-11'!$A$3,"State","AL")</f>
        <v>18120</v>
      </c>
      <c r="E10" s="6">
        <f>+GETPIVOTDATA(" Old-Post-Bachelor's",'Pivot Table for 1-11'!$A$3,"State","AL")</f>
        <v>46</v>
      </c>
      <c r="F10" s="6">
        <f>+GETPIVOTDATA(" Old-Total Master's#",'Pivot Table for 1-11'!$A$3,"State","AL")</f>
        <v>7898</v>
      </c>
      <c r="G10" s="6">
        <f>+GETPIVOTDATA(" Old-Total Doctorates#",'Pivot Table for 1-11'!$A$3,"State","AL")</f>
        <v>748</v>
      </c>
      <c r="H10" s="17">
        <f>GETPIVOTDATA(" Old-Law",'Pivot Table for 1-11'!$A$3,"State","AL")</f>
        <v>154</v>
      </c>
      <c r="I10" s="6">
        <f>GETPIVOTDATA(" Old-Medicine",'Pivot Table for 1-11'!$A$3,"State","AL")</f>
        <v>225</v>
      </c>
      <c r="J10" s="6">
        <f>GETPIVOTDATA(" Old-Dentistry",'Pivot Table for 1-11'!$A$3,"State","AL")</f>
        <v>51</v>
      </c>
      <c r="K10" s="6">
        <f>GETPIVOTDATA(" Old-Pharmacy",'Pivot Table for 1-11'!$A$3,"State","AL")</f>
        <v>126</v>
      </c>
      <c r="L10" s="6">
        <f>GETPIVOTDATA(" Old-Optometry",'Pivot Table for 1-11'!$A$3,"State","AL")</f>
        <v>34</v>
      </c>
      <c r="M10" s="6">
        <f>GETPIVOTDATA(" Old-Osteopathic Medicine",'Pivot Table for 1-11'!$A$3,"State","AL")</f>
        <v>0</v>
      </c>
      <c r="N10" s="181">
        <f>GETPIVOTDATA(" Old-Veterinary Medicine",'Pivot Table for 1-11'!$A$3,"State","AL")</f>
        <v>89</v>
      </c>
      <c r="O10" s="198">
        <f>+GETPIVOTDATA(" Old-Oth PP",'Pivot Table for 1-11'!$A$3,"State","AL")</f>
        <v>0</v>
      </c>
      <c r="P10" s="182">
        <f t="shared" ref="P10:P28" si="0">SUM(B10:O10)</f>
        <v>39483</v>
      </c>
    </row>
    <row r="11" spans="1:16" ht="15" customHeight="1">
      <c r="A11" s="5" t="s">
        <v>298</v>
      </c>
      <c r="B11" s="6">
        <f>+GETPIVOTDATA(" Old-Less Than 2-Year",'Pivot Table for 1-11'!$A$3,"State","AR")+GETPIVOTDATA(" Old-2 But Less Than 4-Year",'Pivot Table for 1-11'!$A$3,"State","AR")</f>
        <v>6482</v>
      </c>
      <c r="C11" s="6">
        <f>+GETPIVOTDATA(" Old-Associate's",'Pivot Table for 1-11'!$A$3,"State","AR")</f>
        <v>5345</v>
      </c>
      <c r="D11" s="6">
        <f>+GETPIVOTDATA(" Old-Bachelor's",'Pivot Table for 1-11'!$A$3,"State","AR")</f>
        <v>9306</v>
      </c>
      <c r="E11" s="6">
        <f>+GETPIVOTDATA(" Old-Post-Bachelor's",'Pivot Table for 1-11'!$A$3,"State","AR")</f>
        <v>89</v>
      </c>
      <c r="F11" s="6">
        <f>+GETPIVOTDATA(" Old-Total Master's#",'Pivot Table for 1-11'!$A$3,"State","AR")</f>
        <v>3016</v>
      </c>
      <c r="G11" s="6">
        <f>+GETPIVOTDATA(" Old-Total Doctorates#",'Pivot Table for 1-11'!$A$3,"State","AR")</f>
        <v>234</v>
      </c>
      <c r="H11" s="17">
        <f>GETPIVOTDATA(" Old-Law",'Pivot Table for 1-11'!$A$3,"State","AR")</f>
        <v>253</v>
      </c>
      <c r="I11" s="6">
        <f>GETPIVOTDATA(" Old-Medicine",'Pivot Table for 1-11'!$A$3,"State","AR")</f>
        <v>140</v>
      </c>
      <c r="J11" s="6">
        <f>GETPIVOTDATA(" Old-Dentistry",'Pivot Table for 1-11'!$A$3,"State","AR")</f>
        <v>0</v>
      </c>
      <c r="K11" s="6">
        <f>GETPIVOTDATA(" Old-Pharmacy",'Pivot Table for 1-11'!$A$3,"State","AR")</f>
        <v>114</v>
      </c>
      <c r="L11" s="6">
        <f>GETPIVOTDATA(" Old-Optometry",'Pivot Table for 1-11'!$A$3,"State","AR")</f>
        <v>0</v>
      </c>
      <c r="M11" s="6">
        <f>GETPIVOTDATA(" Old-Osteopathic Medicine",'Pivot Table for 1-11'!$A$3,"State","AR")</f>
        <v>0</v>
      </c>
      <c r="N11" s="181">
        <f>GETPIVOTDATA(" Old-Veterinary Medicine",'Pivot Table for 1-11'!$A$3,"State","AR")</f>
        <v>0</v>
      </c>
      <c r="O11" s="198">
        <f>+GETPIVOTDATA(" Old-Oth PP",'Pivot Table for 1-11'!$A$3,"State","AR")</f>
        <v>0</v>
      </c>
      <c r="P11" s="182">
        <f t="shared" si="0"/>
        <v>24979</v>
      </c>
    </row>
    <row r="12" spans="1:16" ht="15" customHeight="1">
      <c r="A12" s="5" t="s">
        <v>299</v>
      </c>
      <c r="B12" s="6">
        <f>+GETPIVOTDATA(" Old-Less Than 2-Year",'Pivot Table for 1-11'!$A$3,"State","DE")+GETPIVOTDATA(" Old-2 But Less Than 4-Year",'Pivot Table for 1-11'!$A$3,"State","DE")</f>
        <v>883</v>
      </c>
      <c r="C12" s="6">
        <f>+GETPIVOTDATA(" Old-Associate's",'Pivot Table for 1-11'!$A$3,"State","DE")</f>
        <v>1314</v>
      </c>
      <c r="D12" s="6">
        <f>+GETPIVOTDATA(" Old-Bachelor's",'Pivot Table for 1-11'!$A$3,"State","DE")</f>
        <v>3955</v>
      </c>
      <c r="E12" s="6">
        <f>+GETPIVOTDATA(" Old-Post-Bachelor's",'Pivot Table for 1-11'!$A$3,"State","DE")</f>
        <v>0</v>
      </c>
      <c r="F12" s="6">
        <f>+GETPIVOTDATA(" Old-Total Master's#",'Pivot Table for 1-11'!$A$3,"State","DE")</f>
        <v>834</v>
      </c>
      <c r="G12" s="6">
        <f>+GETPIVOTDATA(" Old-Total Doctorates#",'Pivot Table for 1-11'!$A$3,"State","DE")</f>
        <v>210</v>
      </c>
      <c r="H12" s="17">
        <f>GETPIVOTDATA(" Old-Law",'Pivot Table for 1-11'!$A$3,"State","DE")</f>
        <v>0</v>
      </c>
      <c r="I12" s="6">
        <f>GETPIVOTDATA(" Old-Medicine",'Pivot Table for 1-11'!$A$3,"State","DE")</f>
        <v>0</v>
      </c>
      <c r="J12" s="6">
        <f>GETPIVOTDATA(" Old-Dentistry",'Pivot Table for 1-11'!$A$3,"State","DE")</f>
        <v>0</v>
      </c>
      <c r="K12" s="6">
        <f>GETPIVOTDATA(" Old-Pharmacy",'Pivot Table for 1-11'!$A$3,"State","DE")</f>
        <v>0</v>
      </c>
      <c r="L12" s="6">
        <f>GETPIVOTDATA(" Old-Optometry",'Pivot Table for 1-11'!$A$3,"State","DE")</f>
        <v>0</v>
      </c>
      <c r="M12" s="6">
        <f>GETPIVOTDATA(" Old-Osteopathic Medicine",'Pivot Table for 1-11'!$A$3,"State","DE")</f>
        <v>0</v>
      </c>
      <c r="N12" s="181">
        <f>GETPIVOTDATA(" Old-Veterinary Medicine",'Pivot Table for 1-11'!$A$3,"State","DE")</f>
        <v>0</v>
      </c>
      <c r="O12" s="198">
        <f>+GETPIVOTDATA(" Old-Oth PP",'Pivot Table for 1-11'!$A$3,"State","DE")</f>
        <v>0</v>
      </c>
      <c r="P12" s="182">
        <f t="shared" si="0"/>
        <v>7196</v>
      </c>
    </row>
    <row r="13" spans="1:16" ht="15" customHeight="1">
      <c r="A13" s="5" t="s">
        <v>300</v>
      </c>
      <c r="B13" s="6">
        <f>+GETPIVOTDATA(" Old-Less Than 2-Year",'Pivot Table for 1-11'!$A$3,"State","FL")+GETPIVOTDATA(" Old-2 But Less Than 4-Year",'Pivot Table for 1-11'!$A$3,"State","FL")</f>
        <v>21291</v>
      </c>
      <c r="C13" s="6">
        <f>+GETPIVOTDATA(" Old-Associate's",'Pivot Table for 1-11'!$A$3,"State","FL")</f>
        <v>51310</v>
      </c>
      <c r="D13" s="6">
        <f>+GETPIVOTDATA(" Old-Bachelor's",'Pivot Table for 1-11'!$A$3,"State","FL")</f>
        <v>50465</v>
      </c>
      <c r="E13" s="6">
        <f>+GETPIVOTDATA(" Old-Post-Bachelor's",'Pivot Table for 1-11'!$A$3,"State","FL")</f>
        <v>0</v>
      </c>
      <c r="F13" s="6">
        <f>+GETPIVOTDATA(" Old-Total Master's#",'Pivot Table for 1-11'!$A$3,"State","FL")</f>
        <v>14654</v>
      </c>
      <c r="G13" s="6">
        <f>+GETPIVOTDATA(" Old-Total Doctorates#",'Pivot Table for 1-11'!$A$3,"State","FL")</f>
        <v>1945</v>
      </c>
      <c r="H13" s="17">
        <f>GETPIVOTDATA(" Old-Law",'Pivot Table for 1-11'!$A$3,"State","FL")</f>
        <v>1005</v>
      </c>
      <c r="I13" s="6">
        <f>GETPIVOTDATA(" Old-Medicine",'Pivot Table for 1-11'!$A$3,"State","FL")</f>
        <v>287</v>
      </c>
      <c r="J13" s="6">
        <f>GETPIVOTDATA(" Old-Dentistry",'Pivot Table for 1-11'!$A$3,"State","FL")</f>
        <v>72</v>
      </c>
      <c r="K13" s="6">
        <f>GETPIVOTDATA(" Old-Pharmacy",'Pivot Table for 1-11'!$A$3,"State","FL")</f>
        <v>642</v>
      </c>
      <c r="L13" s="6">
        <f>GETPIVOTDATA(" Old-Optometry",'Pivot Table for 1-11'!$A$3,"State","FL")</f>
        <v>0</v>
      </c>
      <c r="M13" s="6">
        <f>GETPIVOTDATA(" Old-Osteopathic Medicine",'Pivot Table for 1-11'!$A$3,"State","FL")</f>
        <v>0</v>
      </c>
      <c r="N13" s="181">
        <f>GETPIVOTDATA(" Old-Veterinary Medicine",'Pivot Table for 1-11'!$A$3,"State","FL")</f>
        <v>83</v>
      </c>
      <c r="O13" s="198">
        <f>+GETPIVOTDATA(" Old-Oth PP",'Pivot Table for 1-11'!$A$3,"State","FL")</f>
        <v>0</v>
      </c>
      <c r="P13" s="182">
        <f t="shared" si="0"/>
        <v>141754</v>
      </c>
    </row>
    <row r="14" spans="1:16" ht="15" customHeight="1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181"/>
      <c r="O14" s="198"/>
      <c r="P14" s="182"/>
    </row>
    <row r="15" spans="1:16" ht="15" customHeight="1">
      <c r="A15" s="5" t="s">
        <v>301</v>
      </c>
      <c r="B15" s="6">
        <f>+GETPIVOTDATA(" Old-Less Than 2-Year",'Pivot Table for 1-11'!$A$3,"State","GA")+GETPIVOTDATA(" Old-2 But Less Than 4-Year",'Pivot Table for 1-11'!$A$3,"State","GA")</f>
        <v>32826</v>
      </c>
      <c r="C15" s="6">
        <f>+GETPIVOTDATA(" Old-Associate's",'Pivot Table for 1-11'!$A$3,"State","GA")</f>
        <v>10528</v>
      </c>
      <c r="D15" s="6">
        <f>+GETPIVOTDATA(" Old-Bachelor's",'Pivot Table for 1-11'!$A$3,"State","GA")</f>
        <v>28247</v>
      </c>
      <c r="E15" s="6">
        <f>+GETPIVOTDATA(" Old-Post-Bachelor's",'Pivot Table for 1-11'!$A$3,"State","GA")</f>
        <v>80</v>
      </c>
      <c r="F15" s="6">
        <f>+GETPIVOTDATA(" Old-Total Master's#",'Pivot Table for 1-11'!$A$3,"State","GA")</f>
        <v>9399</v>
      </c>
      <c r="G15" s="6">
        <f>+GETPIVOTDATA(" Old-Total Doctorates#",'Pivot Table for 1-11'!$A$3,"State","GA")</f>
        <v>1243</v>
      </c>
      <c r="H15" s="17">
        <f>GETPIVOTDATA(" Old-Law",'Pivot Table for 1-11'!$A$3,"State","GA")</f>
        <v>387</v>
      </c>
      <c r="I15" s="6">
        <f>GETPIVOTDATA(" Old-Medicine",'Pivot Table for 1-11'!$A$3,"State","GA")</f>
        <v>175</v>
      </c>
      <c r="J15" s="6">
        <f>GETPIVOTDATA(" Old-Dentistry",'Pivot Table for 1-11'!$A$3,"State","GA")</f>
        <v>56</v>
      </c>
      <c r="K15" s="6">
        <f>GETPIVOTDATA(" Old-Pharmacy",'Pivot Table for 1-11'!$A$3,"State","GA")</f>
        <v>138</v>
      </c>
      <c r="L15" s="6">
        <f>GETPIVOTDATA(" Old-Optometry",'Pivot Table for 1-11'!$A$3,"State","GA")</f>
        <v>0</v>
      </c>
      <c r="M15" s="6">
        <f>GETPIVOTDATA(" Old-Osteopathic Medicine",'Pivot Table for 1-11'!$A$3,"State","GA")</f>
        <v>0</v>
      </c>
      <c r="N15" s="181">
        <f>GETPIVOTDATA(" Old-Veterinary Medicine",'Pivot Table for 1-11'!$A$3,"State","GA")</f>
        <v>96</v>
      </c>
      <c r="O15" s="198">
        <f>+GETPIVOTDATA(" Old-Oth PP",'Pivot Table for 1-11'!$A$3,"State","GA")</f>
        <v>0</v>
      </c>
      <c r="P15" s="182">
        <f t="shared" si="0"/>
        <v>83175</v>
      </c>
    </row>
    <row r="16" spans="1:16" ht="15" customHeight="1">
      <c r="A16" s="5" t="s">
        <v>302</v>
      </c>
      <c r="B16" s="6">
        <f>+GETPIVOTDATA(" Old-Less Than 2-Year",'Pivot Table for 1-11'!$A$3,"State","KY")+GETPIVOTDATA(" Old-2 But Less Than 4-Year",'Pivot Table for 1-11'!$A$3,"State","KY")</f>
        <v>16401</v>
      </c>
      <c r="C16" s="6">
        <f>+GETPIVOTDATA(" Old-Associate's",'Pivot Table for 1-11'!$A$3,"State","KY")</f>
        <v>7362</v>
      </c>
      <c r="D16" s="6">
        <f>+GETPIVOTDATA(" Old-Bachelor's",'Pivot Table for 1-11'!$A$3,"State","KY")</f>
        <v>15036</v>
      </c>
      <c r="E16" s="6">
        <f>+GETPIVOTDATA(" Old-Post-Bachelor's",'Pivot Table for 1-11'!$A$3,"State","KY")</f>
        <v>156</v>
      </c>
      <c r="F16" s="6">
        <f>+GETPIVOTDATA(" Old-Total Master's#",'Pivot Table for 1-11'!$A$3,"State","KY")</f>
        <v>5588</v>
      </c>
      <c r="G16" s="6">
        <f>+GETPIVOTDATA(" Old-Total Doctorates#",'Pivot Table for 1-11'!$A$3,"State","KY")</f>
        <v>459</v>
      </c>
      <c r="H16" s="17">
        <f>GETPIVOTDATA(" Old-Law",'Pivot Table for 1-11'!$A$3,"State","KY")</f>
        <v>437</v>
      </c>
      <c r="I16" s="6">
        <f>GETPIVOTDATA(" Old-Medicine",'Pivot Table for 1-11'!$A$3,"State","KY")</f>
        <v>240</v>
      </c>
      <c r="J16" s="6">
        <f>GETPIVOTDATA(" Old-Dentistry",'Pivot Table for 1-11'!$A$3,"State","KY")</f>
        <v>122</v>
      </c>
      <c r="K16" s="6">
        <f>GETPIVOTDATA(" Old-Pharmacy",'Pivot Table for 1-11'!$A$3,"State","KY")</f>
        <v>103</v>
      </c>
      <c r="L16" s="6">
        <f>GETPIVOTDATA(" Old-Optometry",'Pivot Table for 1-11'!$A$3,"State","KY")</f>
        <v>0</v>
      </c>
      <c r="M16" s="6">
        <f>GETPIVOTDATA(" Old-Osteopathic Medicine",'Pivot Table for 1-11'!$A$3,"State","KY")</f>
        <v>0</v>
      </c>
      <c r="N16" s="181">
        <f>GETPIVOTDATA(" Old-Veterinary Medicine",'Pivot Table for 1-11'!$A$3,"State","KY")</f>
        <v>0</v>
      </c>
      <c r="O16" s="198">
        <f>+GETPIVOTDATA(" Old-Oth PP",'Pivot Table for 1-11'!$A$3,"State","KY")</f>
        <v>0</v>
      </c>
      <c r="P16" s="182">
        <f t="shared" si="0"/>
        <v>45904</v>
      </c>
    </row>
    <row r="17" spans="1:16" ht="15" customHeight="1">
      <c r="A17" s="5" t="s">
        <v>303</v>
      </c>
      <c r="B17" s="6">
        <f>+GETPIVOTDATA(" Old-Less Than 2-Year",'Pivot Table for 1-11'!$A$3,"State","LA")+GETPIVOTDATA(" Old-2 But Less Than 4-Year",'Pivot Table for 1-11'!$A$3,"State","LA")</f>
        <v>3396</v>
      </c>
      <c r="C17" s="6">
        <f>+GETPIVOTDATA(" Old-Associate's",'Pivot Table for 1-11'!$A$3,"State","LA")</f>
        <v>3743</v>
      </c>
      <c r="D17" s="6">
        <f>+GETPIVOTDATA(" Old-Bachelor's",'Pivot Table for 1-11'!$A$3,"State","LA")</f>
        <v>17631</v>
      </c>
      <c r="E17" s="6">
        <f>+GETPIVOTDATA(" Old-Post-Bachelor's",'Pivot Table for 1-11'!$A$3,"State","LA")</f>
        <v>11</v>
      </c>
      <c r="F17" s="6">
        <f>+GETPIVOTDATA(" Old-Total Master's#",'Pivot Table for 1-11'!$A$3,"State","LA")</f>
        <v>4507</v>
      </c>
      <c r="G17" s="6">
        <f>+GETPIVOTDATA(" Old-Total Doctorates#",'Pivot Table for 1-11'!$A$3,"State","LA")</f>
        <v>435</v>
      </c>
      <c r="H17" s="17">
        <f>GETPIVOTDATA(" Old-Law",'Pivot Table for 1-11'!$A$3,"State","LA")</f>
        <v>315</v>
      </c>
      <c r="I17" s="6">
        <f>GETPIVOTDATA(" Old-Medicine",'Pivot Table for 1-11'!$A$3,"State","LA")</f>
        <v>252</v>
      </c>
      <c r="J17" s="6">
        <f>GETPIVOTDATA(" Old-Dentistry",'Pivot Table for 1-11'!$A$3,"State","LA")</f>
        <v>58</v>
      </c>
      <c r="K17" s="6">
        <f>GETPIVOTDATA(" Old-Pharmacy",'Pivot Table for 1-11'!$A$3,"State","LA")</f>
        <v>107</v>
      </c>
      <c r="L17" s="6">
        <f>GETPIVOTDATA(" Old-Optometry",'Pivot Table for 1-11'!$A$3,"State","LA")</f>
        <v>0</v>
      </c>
      <c r="M17" s="6">
        <f>GETPIVOTDATA(" Old-Osteopathic Medicine",'Pivot Table for 1-11'!$A$3,"State","LA")</f>
        <v>0</v>
      </c>
      <c r="N17" s="181">
        <f>GETPIVOTDATA(" Old-Veterinary Medicine",'Pivot Table for 1-11'!$A$3,"State","LA")</f>
        <v>83</v>
      </c>
      <c r="O17" s="198">
        <f>+GETPIVOTDATA(" Old-Oth PP",'Pivot Table for 1-11'!$A$3,"State","LA")</f>
        <v>0</v>
      </c>
      <c r="P17" s="182">
        <f t="shared" si="0"/>
        <v>30538</v>
      </c>
    </row>
    <row r="18" spans="1:16" ht="15" customHeight="1">
      <c r="A18" s="5" t="s">
        <v>304</v>
      </c>
      <c r="B18" s="6">
        <f>+GETPIVOTDATA(" Old-Less Than 2-Year",'Pivot Table for 1-11'!$A$3,"State","MD")+GETPIVOTDATA(" Old-2 But Less Than 4-Year",'Pivot Table for 1-11'!$A$3,"State","MD")</f>
        <v>3102</v>
      </c>
      <c r="C18" s="6">
        <f>+GETPIVOTDATA(" Old-Associate's",'Pivot Table for 1-11'!$A$3,"State","MD")</f>
        <v>10445</v>
      </c>
      <c r="D18" s="6">
        <f>+GETPIVOTDATA(" Old-Bachelor's",'Pivot Table for 1-11'!$A$3,"State","MD")</f>
        <v>19958</v>
      </c>
      <c r="E18" s="6">
        <f>+GETPIVOTDATA(" Old-Post-Bachelor's",'Pivot Table for 1-11'!$A$3,"State","MD")</f>
        <v>715</v>
      </c>
      <c r="F18" s="6">
        <f>+GETPIVOTDATA(" Old-Total Master's#",'Pivot Table for 1-11'!$A$3,"State","MD")</f>
        <v>7843</v>
      </c>
      <c r="G18" s="6">
        <f>+GETPIVOTDATA(" Old-Total Doctorates#",'Pivot Table for 1-11'!$A$3,"State","MD")</f>
        <v>989</v>
      </c>
      <c r="H18" s="17">
        <f>GETPIVOTDATA(" Old-Law",'Pivot Table for 1-11'!$A$3,"State","MD")</f>
        <v>560</v>
      </c>
      <c r="I18" s="6">
        <f>GETPIVOTDATA(" Old-Medicine",'Pivot Table for 1-11'!$A$3,"State","MD")</f>
        <v>146</v>
      </c>
      <c r="J18" s="6">
        <f>GETPIVOTDATA(" Old-Dentistry",'Pivot Table for 1-11'!$A$3,"State","MD")</f>
        <v>100</v>
      </c>
      <c r="K18" s="6">
        <f>GETPIVOTDATA(" Old-Pharmacy",'Pivot Table for 1-11'!$A$3,"State","MD")</f>
        <v>114</v>
      </c>
      <c r="L18" s="6">
        <f>GETPIVOTDATA(" Old-Optometry",'Pivot Table for 1-11'!$A$3,"State","MD")</f>
        <v>0</v>
      </c>
      <c r="M18" s="6">
        <f>GETPIVOTDATA(" Old-Osteopathic Medicine",'Pivot Table for 1-11'!$A$3,"State","MD")</f>
        <v>0</v>
      </c>
      <c r="N18" s="181">
        <f>GETPIVOTDATA(" Old-Veterinary Medicine",'Pivot Table for 1-11'!$A$3,"State","MD")</f>
        <v>0</v>
      </c>
      <c r="O18" s="198">
        <f>+GETPIVOTDATA(" Old-Oth PP",'Pivot Table for 1-11'!$A$3,"State","MD")</f>
        <v>0</v>
      </c>
      <c r="P18" s="182">
        <f t="shared" si="0"/>
        <v>43972</v>
      </c>
    </row>
    <row r="19" spans="1:16" ht="15" customHeight="1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181"/>
      <c r="O19" s="198"/>
      <c r="P19" s="182"/>
    </row>
    <row r="20" spans="1:16" ht="15" customHeight="1">
      <c r="A20" s="5" t="s">
        <v>305</v>
      </c>
      <c r="B20" s="6">
        <f>+GETPIVOTDATA(" Old-Less Than 2-Year",'Pivot Table for 1-11'!$A$3,"State","MS")+GETPIVOTDATA(" Old-2 But Less Than 4-Year",'Pivot Table for 1-11'!$A$3,"State","MS")</f>
        <v>2205</v>
      </c>
      <c r="C20" s="6">
        <f>+GETPIVOTDATA(" Old-Associate's",'Pivot Table for 1-11'!$A$3,"State","MS")</f>
        <v>8091</v>
      </c>
      <c r="D20" s="6">
        <f>+GETPIVOTDATA(" Old-Bachelor's",'Pivot Table for 1-11'!$A$3,"State","MS")</f>
        <v>10191</v>
      </c>
      <c r="E20" s="6">
        <f>+GETPIVOTDATA(" Old-Post-Bachelor's",'Pivot Table for 1-11'!$A$3,"State","MS")</f>
        <v>0</v>
      </c>
      <c r="F20" s="6">
        <f>+GETPIVOTDATA(" Old-Total Master's#",'Pivot Table for 1-11'!$A$3,"State","MS")</f>
        <v>3140</v>
      </c>
      <c r="G20" s="6">
        <f>+GETPIVOTDATA(" Old-Total Doctorates#",'Pivot Table for 1-11'!$A$3,"State","MS")</f>
        <v>471</v>
      </c>
      <c r="H20" s="17">
        <f>GETPIVOTDATA(" Old-Law",'Pivot Table for 1-11'!$A$3,"State","MS")</f>
        <v>175</v>
      </c>
      <c r="I20" s="6">
        <f>GETPIVOTDATA(" Old-Medicine",'Pivot Table for 1-11'!$A$3,"State","MS")</f>
        <v>98</v>
      </c>
      <c r="J20" s="6">
        <f>GETPIVOTDATA(" Old-Dentistry",'Pivot Table for 1-11'!$A$3,"State","MS")</f>
        <v>29</v>
      </c>
      <c r="K20" s="6">
        <f>GETPIVOTDATA(" Old-Pharmacy",'Pivot Table for 1-11'!$A$3,"State","MS")</f>
        <v>70</v>
      </c>
      <c r="L20" s="6">
        <f>GETPIVOTDATA(" Old-Optometry",'Pivot Table for 1-11'!$A$3,"State","MS")</f>
        <v>0</v>
      </c>
      <c r="M20" s="6">
        <f>GETPIVOTDATA(" Old-Osteopathic Medicine",'Pivot Table for 1-11'!$A$3,"State","MS")</f>
        <v>0</v>
      </c>
      <c r="N20" s="181">
        <f>GETPIVOTDATA(" Old-Veterinary Medicine",'Pivot Table for 1-11'!$A$3,"State","MS")</f>
        <v>65</v>
      </c>
      <c r="O20" s="198">
        <f>+GETPIVOTDATA(" Old-Oth PP",'Pivot Table for 1-11'!$A$3,"State","MS")</f>
        <v>0</v>
      </c>
      <c r="P20" s="182">
        <f t="shared" si="0"/>
        <v>24535</v>
      </c>
    </row>
    <row r="21" spans="1:16" ht="15" customHeight="1">
      <c r="A21" s="5" t="s">
        <v>306</v>
      </c>
      <c r="B21" s="6">
        <f>+GETPIVOTDATA(" Old-Less Than 2-Year",'Pivot Table for 1-11'!$A$3,"State","NC")+GETPIVOTDATA(" Old-2 But Less Than 4-Year",'Pivot Table for 1-11'!$A$3,"State","NC")</f>
        <v>15570</v>
      </c>
      <c r="C21" s="6">
        <f>+GETPIVOTDATA(" Old-Associate's",'Pivot Table for 1-11'!$A$3,"State","NC")</f>
        <v>17678</v>
      </c>
      <c r="D21" s="6">
        <f>+GETPIVOTDATA(" Old-Bachelor's",'Pivot Table for 1-11'!$A$3,"State","NC")</f>
        <v>30084</v>
      </c>
      <c r="E21" s="6">
        <f>+GETPIVOTDATA(" Old-Post-Bachelor's",'Pivot Table for 1-11'!$A$3,"State","NC")</f>
        <v>21</v>
      </c>
      <c r="F21" s="6">
        <f>+GETPIVOTDATA(" Old-Total Master's#",'Pivot Table for 1-11'!$A$3,"State","NC")</f>
        <v>9729</v>
      </c>
      <c r="G21" s="6">
        <f>+GETPIVOTDATA(" Old-Total Doctorates#",'Pivot Table for 1-11'!$A$3,"State","NC")</f>
        <v>1199</v>
      </c>
      <c r="H21" s="17">
        <f>GETPIVOTDATA(" Old-Law",'Pivot Table for 1-11'!$A$3,"State","NC")</f>
        <v>362</v>
      </c>
      <c r="I21" s="6">
        <f>GETPIVOTDATA(" Old-Medicine",'Pivot Table for 1-11'!$A$3,"State","NC")</f>
        <v>237</v>
      </c>
      <c r="J21" s="6">
        <f>GETPIVOTDATA(" Old-Dentistry",'Pivot Table for 1-11'!$A$3,"State","NC")</f>
        <v>83</v>
      </c>
      <c r="K21" s="6">
        <f>GETPIVOTDATA(" Old-Pharmacy",'Pivot Table for 1-11'!$A$3,"State","NC")</f>
        <v>135</v>
      </c>
      <c r="L21" s="6">
        <f>GETPIVOTDATA(" Old-Optometry",'Pivot Table for 1-11'!$A$3,"State","NC")</f>
        <v>0</v>
      </c>
      <c r="M21" s="6">
        <f>GETPIVOTDATA(" Old-Osteopathic Medicine",'Pivot Table for 1-11'!$A$3,"State","NC")</f>
        <v>0</v>
      </c>
      <c r="N21" s="181">
        <f>GETPIVOTDATA(" Old-Veterinary Medicine",'Pivot Table for 1-11'!$A$3,"State","NC")</f>
        <v>74</v>
      </c>
      <c r="O21" s="198">
        <f>+GETPIVOTDATA(" Old-Oth PP",'Pivot Table for 1-11'!$A$3,"State","NC")</f>
        <v>0</v>
      </c>
      <c r="P21" s="182">
        <f t="shared" si="0"/>
        <v>75172</v>
      </c>
    </row>
    <row r="22" spans="1:16" ht="15" customHeight="1">
      <c r="A22" s="5" t="s">
        <v>307</v>
      </c>
      <c r="B22" s="6">
        <f>+GETPIVOTDATA(" Old-Less Than 2-Year",'Pivot Table for 1-11'!$A$3,"State","OK")+GETPIVOTDATA(" Old-2 But Less Than 4-Year",'Pivot Table for 1-11'!$A$3,"State","OK")</f>
        <v>7643</v>
      </c>
      <c r="C22" s="6">
        <f>+GETPIVOTDATA(" Old-Associate's",'Pivot Table for 1-11'!$A$3,"State","OK")</f>
        <v>8234</v>
      </c>
      <c r="D22" s="6">
        <f>+GETPIVOTDATA(" Old-Bachelor's",'Pivot Table for 1-11'!$A$3,"State","OK")</f>
        <v>15610</v>
      </c>
      <c r="E22" s="6">
        <f>+GETPIVOTDATA(" Old-Post-Bachelor's",'Pivot Table for 1-11'!$A$3,"State","OK")</f>
        <v>35</v>
      </c>
      <c r="F22" s="6">
        <f>+GETPIVOTDATA(" Old-Total Master's#",'Pivot Table for 1-11'!$A$3,"State","OK")</f>
        <v>3988</v>
      </c>
      <c r="G22" s="6">
        <f>+GETPIVOTDATA(" Old-Total Doctorates#",'Pivot Table for 1-11'!$A$3,"State","OK")</f>
        <v>340</v>
      </c>
      <c r="H22" s="17">
        <f>GETPIVOTDATA(" Old-Law",'Pivot Table for 1-11'!$A$3,"State","OK")</f>
        <v>164</v>
      </c>
      <c r="I22" s="6">
        <f>GETPIVOTDATA(" Old-Medicine",'Pivot Table for 1-11'!$A$3,"State","OK")</f>
        <v>139</v>
      </c>
      <c r="J22" s="6">
        <f>GETPIVOTDATA(" Old-Dentistry",'Pivot Table for 1-11'!$A$3,"State","OK")</f>
        <v>58</v>
      </c>
      <c r="K22" s="6">
        <f>GETPIVOTDATA(" Old-Pharmacy",'Pivot Table for 1-11'!$A$3,"State","OK")</f>
        <v>204</v>
      </c>
      <c r="L22" s="6">
        <f>GETPIVOTDATA(" Old-Optometry",'Pivot Table for 1-11'!$A$3,"State","OK")</f>
        <v>27</v>
      </c>
      <c r="M22" s="6">
        <f>GETPIVOTDATA(" Old-Osteopathic Medicine",'Pivot Table for 1-11'!$A$3,"State","OK")</f>
        <v>76</v>
      </c>
      <c r="N22" s="181">
        <f>GETPIVOTDATA(" Old-Veterinary Medicine",'Pivot Table for 1-11'!$A$3,"State","OK")</f>
        <v>78</v>
      </c>
      <c r="O22" s="198">
        <f>+GETPIVOTDATA(" Old-Oth PP",'Pivot Table for 1-11'!$A$3,"State","OK")</f>
        <v>67</v>
      </c>
      <c r="P22" s="182">
        <f t="shared" si="0"/>
        <v>36663</v>
      </c>
    </row>
    <row r="23" spans="1:16" ht="15" customHeight="1">
      <c r="A23" s="5" t="s">
        <v>308</v>
      </c>
      <c r="B23" s="6">
        <f>+GETPIVOTDATA(" Old-Less Than 2-Year",'Pivot Table for 1-11'!$A$3,"State","SC")+GETPIVOTDATA(" Old-2 But Less Than 4-Year",'Pivot Table for 1-11'!$A$3,"State","SC")</f>
        <v>6938</v>
      </c>
      <c r="C23" s="6">
        <f>+GETPIVOTDATA(" Old-Associate's",'Pivot Table for 1-11'!$A$3,"State","SC")</f>
        <v>7003</v>
      </c>
      <c r="D23" s="6">
        <f>+GETPIVOTDATA(" Old-Bachelor's",'Pivot Table for 1-11'!$A$3,"State","SC")</f>
        <v>14719</v>
      </c>
      <c r="E23" s="6">
        <f>+GETPIVOTDATA(" Old-Post-Bachelor's",'Pivot Table for 1-11'!$A$3,"State","SC")</f>
        <v>58</v>
      </c>
      <c r="F23" s="6">
        <f>+GETPIVOTDATA(" Old-Total Master's#",'Pivot Table for 1-11'!$A$3,"State","SC")</f>
        <v>3801</v>
      </c>
      <c r="G23" s="6">
        <f>+GETPIVOTDATA(" Old-Total Doctorates#",'Pivot Table for 1-11'!$A$3,"State","SC")</f>
        <v>569</v>
      </c>
      <c r="H23" s="17">
        <f>GETPIVOTDATA(" Old-Law",'Pivot Table for 1-11'!$A$3,"State","SC")</f>
        <v>213</v>
      </c>
      <c r="I23" s="6">
        <f>GETPIVOTDATA(" Old-Medicine",'Pivot Table for 1-11'!$A$3,"State","SC")</f>
        <v>211</v>
      </c>
      <c r="J23" s="6">
        <f>GETPIVOTDATA(" Old-Dentistry",'Pivot Table for 1-11'!$A$3,"State","SC")</f>
        <v>54</v>
      </c>
      <c r="K23" s="6">
        <f>GETPIVOTDATA(" Old-Pharmacy",'Pivot Table for 1-11'!$A$3,"State","SC")</f>
        <v>185</v>
      </c>
      <c r="L23" s="6">
        <f>GETPIVOTDATA(" Old-Optometry",'Pivot Table for 1-11'!$A$3,"State","SC")</f>
        <v>0</v>
      </c>
      <c r="M23" s="6">
        <f>GETPIVOTDATA(" Old-Osteopathic Medicine",'Pivot Table for 1-11'!$A$3,"State","SC")</f>
        <v>0</v>
      </c>
      <c r="N23" s="181">
        <f>GETPIVOTDATA(" Old-Veterinary Medicine",'Pivot Table for 1-11'!$A$3,"State","SC")</f>
        <v>0</v>
      </c>
      <c r="O23" s="198">
        <f>+GETPIVOTDATA(" Old-Oth PP",'Pivot Table for 1-11'!$A$3,"State","SC")</f>
        <v>0</v>
      </c>
      <c r="P23" s="182">
        <f t="shared" si="0"/>
        <v>33751</v>
      </c>
    </row>
    <row r="24" spans="1:16" ht="15" customHeight="1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181"/>
      <c r="O24" s="198"/>
      <c r="P24" s="182"/>
    </row>
    <row r="25" spans="1:16" ht="15" customHeight="1">
      <c r="A25" s="5" t="s">
        <v>309</v>
      </c>
      <c r="B25" s="6">
        <f>+GETPIVOTDATA(" Old-Less Than 2-Year",'Pivot Table for 1-11'!$A$3,"State","TN")+GETPIVOTDATA(" Old-2 But Less Than 4-Year",'Pivot Table for 1-11'!$A$3,"State","TN")</f>
        <v>7922</v>
      </c>
      <c r="C25" s="6">
        <f>+GETPIVOTDATA(" Old-Associate's",'Pivot Table for 1-11'!$A$3,"State","TN")</f>
        <v>6974</v>
      </c>
      <c r="D25" s="6">
        <f>+GETPIVOTDATA(" Old-Bachelor's",'Pivot Table for 1-11'!$A$3,"State","TN")</f>
        <v>17278</v>
      </c>
      <c r="E25" s="6">
        <f>+GETPIVOTDATA(" Old-Post-Bachelor's",'Pivot Table for 1-11'!$A$3,"State","TN")</f>
        <v>0</v>
      </c>
      <c r="F25" s="6">
        <f>+GETPIVOTDATA(" Old-Total Master's#",'Pivot Table for 1-11'!$A$3,"State","TN")</f>
        <v>5907</v>
      </c>
      <c r="G25" s="6">
        <f>+GETPIVOTDATA(" Old-Total Doctorates#",'Pivot Table for 1-11'!$A$3,"State","TN")</f>
        <v>639</v>
      </c>
      <c r="H25" s="17">
        <f>GETPIVOTDATA(" Old-Law",'Pivot Table for 1-11'!$A$3,"State","TN")</f>
        <v>270</v>
      </c>
      <c r="I25" s="6">
        <f>GETPIVOTDATA(" Old-Medicine",'Pivot Table for 1-11'!$A$3,"State","TN")</f>
        <v>207</v>
      </c>
      <c r="J25" s="6">
        <f>GETPIVOTDATA(" Old-Dentistry",'Pivot Table for 1-11'!$A$3,"State","TN")</f>
        <v>77</v>
      </c>
      <c r="K25" s="6">
        <f>GETPIVOTDATA(" Old-Pharmacy",'Pivot Table for 1-11'!$A$3,"State","TN")</f>
        <v>126</v>
      </c>
      <c r="L25" s="6">
        <f>GETPIVOTDATA(" Old-Optometry",'Pivot Table for 1-11'!$A$3,"State","TN")</f>
        <v>0</v>
      </c>
      <c r="M25" s="6">
        <f>GETPIVOTDATA(" Old-Osteopathic Medicine",'Pivot Table for 1-11'!$A$3,"State","TN")</f>
        <v>0</v>
      </c>
      <c r="N25" s="181">
        <f>GETPIVOTDATA(" Old-Veterinary Medicine",'Pivot Table for 1-11'!$A$3,"State","TN")</f>
        <v>68</v>
      </c>
      <c r="O25" s="198">
        <f>+GETPIVOTDATA(" Old-Oth PP",'Pivot Table for 1-11'!$A$3,"State","TN")</f>
        <v>0</v>
      </c>
      <c r="P25" s="182">
        <f t="shared" si="0"/>
        <v>39468</v>
      </c>
    </row>
    <row r="26" spans="1:16" ht="15" customHeight="1">
      <c r="A26" s="5" t="s">
        <v>310</v>
      </c>
      <c r="B26" s="6">
        <f>+GETPIVOTDATA(" Old-Less Than 2-Year",'Pivot Table for 1-11'!$A$3,"State","TX")+GETPIVOTDATA(" Old-2 But Less Than 4-Year",'Pivot Table for 1-11'!$A$3,"State","TX")</f>
        <v>20100</v>
      </c>
      <c r="C26" s="6">
        <f>+GETPIVOTDATA(" Old-Associate's",'Pivot Table for 1-11'!$A$3,"State","TX")</f>
        <v>39298</v>
      </c>
      <c r="D26" s="6">
        <f>+GETPIVOTDATA(" Old-Bachelor's",'Pivot Table for 1-11'!$A$3,"State","TX")</f>
        <v>78035</v>
      </c>
      <c r="E26" s="6">
        <f>+GETPIVOTDATA(" Old-Post-Bachelor's",'Pivot Table for 1-11'!$A$3,"State","TX")</f>
        <v>0</v>
      </c>
      <c r="F26" s="6">
        <f>+GETPIVOTDATA(" Old-Total Master's#",'Pivot Table for 1-11'!$A$3,"State","TX")</f>
        <v>26748</v>
      </c>
      <c r="G26" s="6">
        <f>+GETPIVOTDATA(" Old-Total Doctorates#",'Pivot Table for 1-11'!$A$3,"State","TX")</f>
        <v>3216</v>
      </c>
      <c r="H26" s="17">
        <f>GETPIVOTDATA(" Old-Law",'Pivot Table for 1-11'!$A$3,"State","TX")</f>
        <v>1169</v>
      </c>
      <c r="I26" s="6">
        <f>GETPIVOTDATA(" Old-Medicine",'Pivot Table for 1-11'!$A$3,"State","TX")</f>
        <v>1017</v>
      </c>
      <c r="J26" s="6">
        <f>GETPIVOTDATA(" Old-Dentistry",'Pivot Table for 1-11'!$A$3,"State","TX")</f>
        <v>229</v>
      </c>
      <c r="K26" s="6">
        <f>GETPIVOTDATA(" Old-Pharmacy",'Pivot Table for 1-11'!$A$3,"State","TX")</f>
        <v>450</v>
      </c>
      <c r="L26" s="6">
        <f>GETPIVOTDATA(" Old-Optometry",'Pivot Table for 1-11'!$A$3,"State","TX")</f>
        <v>100</v>
      </c>
      <c r="M26" s="6">
        <f>GETPIVOTDATA(" Old-Osteopathic Medicine",'Pivot Table for 1-11'!$A$3,"State","TX")</f>
        <v>128</v>
      </c>
      <c r="N26" s="181">
        <f>GETPIVOTDATA(" Old-Veterinary Medicine",'Pivot Table for 1-11'!$A$3,"State","TX")</f>
        <v>129</v>
      </c>
      <c r="O26" s="198">
        <f>+GETPIVOTDATA(" Old-Oth PP",'Pivot Table for 1-11'!$A$3,"State","TX")</f>
        <v>20</v>
      </c>
      <c r="P26" s="182">
        <f t="shared" si="0"/>
        <v>170639</v>
      </c>
    </row>
    <row r="27" spans="1:16" ht="15" customHeight="1">
      <c r="A27" s="5" t="s">
        <v>311</v>
      </c>
      <c r="B27" s="6">
        <f>+GETPIVOTDATA(" Old-Less Than 2-Year",'Pivot Table for 1-11'!$A$3,"State","VA")+GETPIVOTDATA(" Old-2 But Less Than 4-Year",'Pivot Table for 1-11'!$A$3,"State","VA")</f>
        <v>4886</v>
      </c>
      <c r="C27" s="6">
        <f>+GETPIVOTDATA(" Old-Associate's",'Pivot Table for 1-11'!$A$3,"State","VA")</f>
        <v>12375</v>
      </c>
      <c r="D27" s="6">
        <f>+GETPIVOTDATA(" Old-Bachelor's",'Pivot Table for 1-11'!$A$3,"State","VA")</f>
        <v>30111</v>
      </c>
      <c r="E27" s="6">
        <f>+GETPIVOTDATA(" Old-Post-Bachelor's",'Pivot Table for 1-11'!$A$3,"State","VA")</f>
        <v>544</v>
      </c>
      <c r="F27" s="6">
        <f>+GETPIVOTDATA(" Old-Total Master's#",'Pivot Table for 1-11'!$A$3,"State","VA")</f>
        <v>10311</v>
      </c>
      <c r="G27" s="6">
        <f>+GETPIVOTDATA(" Old-Total Doctorates#",'Pivot Table for 1-11'!$A$3,"State","VA")</f>
        <v>1295</v>
      </c>
      <c r="H27" s="17">
        <f>GETPIVOTDATA(" Old-Law",'Pivot Table for 1-11'!$A$3,"State","VA")</f>
        <v>827</v>
      </c>
      <c r="I27" s="6">
        <f>GETPIVOTDATA(" Old-Medicine",'Pivot Table for 1-11'!$A$3,"State","VA")</f>
        <v>309</v>
      </c>
      <c r="J27" s="6">
        <f>GETPIVOTDATA(" Old-Dentistry",'Pivot Table for 1-11'!$A$3,"State","VA")</f>
        <v>92</v>
      </c>
      <c r="K27" s="6">
        <f>GETPIVOTDATA(" Old-Pharmacy",'Pivot Table for 1-11'!$A$3,"State","VA")</f>
        <v>126</v>
      </c>
      <c r="L27" s="6">
        <f>GETPIVOTDATA(" Old-Optometry",'Pivot Table for 1-11'!$A$3,"State","VA")</f>
        <v>0</v>
      </c>
      <c r="M27" s="6">
        <f>GETPIVOTDATA(" Old-Osteopathic Medicine",'Pivot Table for 1-11'!$A$3,"State","VA")</f>
        <v>0</v>
      </c>
      <c r="N27" s="181">
        <f>GETPIVOTDATA(" Old-Veterinary Medicine",'Pivot Table for 1-11'!$A$3,"State","VA")</f>
        <v>88</v>
      </c>
      <c r="O27" s="198">
        <f>+GETPIVOTDATA(" Old-Oth PP",'Pivot Table for 1-11'!$A$3,"State","VA")</f>
        <v>0</v>
      </c>
      <c r="P27" s="182">
        <f t="shared" si="0"/>
        <v>60964</v>
      </c>
    </row>
    <row r="28" spans="1:16" ht="15" customHeight="1">
      <c r="A28" s="7" t="s">
        <v>312</v>
      </c>
      <c r="B28" s="8">
        <f>+GETPIVOTDATA(" Old-Less Than 2-Year",'Pivot Table for 1-11'!$A$3,"State","WV")+GETPIVOTDATA(" Old-2 But Less Than 4-Year",'Pivot Table for 1-11'!$A$3,"State","WV")</f>
        <v>548</v>
      </c>
      <c r="C28" s="8">
        <f>+GETPIVOTDATA(" Old-Associate's",'Pivot Table for 1-11'!$A$3,"State","WV")</f>
        <v>2698</v>
      </c>
      <c r="D28" s="8">
        <f>+GETPIVOTDATA(" Old-Bachelor's",'Pivot Table for 1-11'!$A$3,"State","WV")</f>
        <v>8529</v>
      </c>
      <c r="E28" s="8">
        <f>+GETPIVOTDATA(" Old-Post-Bachelor's",'Pivot Table for 1-11'!$A$3,"State","WV")</f>
        <v>0</v>
      </c>
      <c r="F28" s="8">
        <f>+GETPIVOTDATA(" Old-Total Master's#",'Pivot Table for 1-11'!$A$3,"State","WV")</f>
        <v>2553</v>
      </c>
      <c r="G28" s="8">
        <f>+GETPIVOTDATA(" Old-Total Doctorates#",'Pivot Table for 1-11'!$A$3,"State","WV")</f>
        <v>221</v>
      </c>
      <c r="H28" s="18">
        <f>GETPIVOTDATA(" Old-Law",'Pivot Table for 1-11'!$A$3,"State","WV")</f>
        <v>148</v>
      </c>
      <c r="I28" s="8">
        <f>GETPIVOTDATA(" Old-Medicine",'Pivot Table for 1-11'!$A$3,"State","WV")</f>
        <v>129</v>
      </c>
      <c r="J28" s="8">
        <f>GETPIVOTDATA(" Old-Dentistry",'Pivot Table for 1-11'!$A$3,"State","WV")</f>
        <v>46</v>
      </c>
      <c r="K28" s="8">
        <f>GETPIVOTDATA(" Old-Pharmacy",'Pivot Table for 1-11'!$A$3,"State","WV")</f>
        <v>74</v>
      </c>
      <c r="L28" s="8">
        <f>GETPIVOTDATA(" Old-Optometry",'Pivot Table for 1-11'!$A$3,"State","WV")</f>
        <v>0</v>
      </c>
      <c r="M28" s="8">
        <f>GETPIVOTDATA(" Old-Osteopathic Medicine",'Pivot Table for 1-11'!$A$3,"State","WV")</f>
        <v>94</v>
      </c>
      <c r="N28" s="189">
        <f>GETPIVOTDATA(" Old-Veterinary Medicine",'Pivot Table for 1-11'!$A$3,"State","WV")</f>
        <v>0</v>
      </c>
      <c r="O28" s="199">
        <f>+GETPIVOTDATA(" Old-Oth PP",'Pivot Table for 1-11'!$A$3,"State","WV")</f>
        <v>0</v>
      </c>
      <c r="P28" s="183">
        <f t="shared" si="0"/>
        <v>15040</v>
      </c>
    </row>
    <row r="29" spans="1:16" ht="12.75" customHeight="1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81"/>
      <c r="O29" s="181"/>
      <c r="P29" s="181"/>
    </row>
    <row r="30" spans="1:16" ht="24" customHeight="1">
      <c r="A30" s="767" t="s">
        <v>1253</v>
      </c>
      <c r="B30" s="768"/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768"/>
    </row>
    <row r="31" spans="1:16" ht="15" customHeight="1">
      <c r="P31" s="184" t="s">
        <v>1267</v>
      </c>
    </row>
    <row r="32" spans="1:16" ht="18">
      <c r="A32" s="22" t="s">
        <v>313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93"/>
      <c r="O32" s="93"/>
      <c r="P32" s="93"/>
    </row>
    <row r="33" spans="1:1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92"/>
      <c r="O33" s="92"/>
      <c r="P33" s="92"/>
    </row>
    <row r="34" spans="1:16" ht="15.75">
      <c r="A34" s="1" t="s">
        <v>285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93"/>
      <c r="O34" s="93"/>
      <c r="P34" s="93"/>
    </row>
    <row r="35" spans="1:16" ht="15.75">
      <c r="A35" s="1" t="s">
        <v>1309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93"/>
      <c r="O35" s="93"/>
      <c r="P35" s="93"/>
    </row>
    <row r="36" spans="1:16" ht="15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94"/>
      <c r="O36" s="94"/>
      <c r="P36" s="94"/>
    </row>
    <row r="37" spans="1:16" ht="15" customHeight="1">
      <c r="A37" s="192"/>
      <c r="B37" s="192"/>
      <c r="C37" s="192"/>
      <c r="D37" s="192"/>
      <c r="E37" s="192"/>
      <c r="F37" s="192"/>
      <c r="G37" s="192"/>
      <c r="H37" s="196" t="s">
        <v>1254</v>
      </c>
      <c r="I37" s="26"/>
      <c r="J37" s="26"/>
      <c r="K37" s="26"/>
      <c r="L37" s="26"/>
      <c r="M37" s="26"/>
      <c r="N37" s="193"/>
      <c r="O37" s="200"/>
      <c r="P37" s="195" t="s">
        <v>321</v>
      </c>
    </row>
    <row r="38" spans="1:16" ht="39.75" customHeight="1">
      <c r="A38" s="14"/>
      <c r="B38" s="15" t="s">
        <v>696</v>
      </c>
      <c r="C38" s="15" t="s">
        <v>286</v>
      </c>
      <c r="D38" s="15" t="s">
        <v>278</v>
      </c>
      <c r="E38" s="15" t="s">
        <v>279</v>
      </c>
      <c r="F38" s="15" t="s">
        <v>288</v>
      </c>
      <c r="G38" s="15" t="s">
        <v>289</v>
      </c>
      <c r="H38" s="16" t="s">
        <v>290</v>
      </c>
      <c r="I38" s="15" t="s">
        <v>291</v>
      </c>
      <c r="J38" s="15" t="s">
        <v>292</v>
      </c>
      <c r="K38" s="15" t="s">
        <v>283</v>
      </c>
      <c r="L38" s="15" t="s">
        <v>293</v>
      </c>
      <c r="M38" s="15" t="s">
        <v>294</v>
      </c>
      <c r="N38" s="191" t="s">
        <v>1320</v>
      </c>
      <c r="O38" s="197" t="s">
        <v>1321</v>
      </c>
      <c r="P38" s="191" t="s">
        <v>295</v>
      </c>
    </row>
    <row r="39" spans="1:16" ht="15" customHeight="1">
      <c r="A39" s="5" t="s">
        <v>296</v>
      </c>
      <c r="B39" s="6">
        <f>+GETPIVOTDATA(" Old-Less Than 2-Year",'Pivot Table for 1-11'!$A$3,"SREB Type2","Four-Year")+GETPIVOTDATA(" Old-2 But Less Than 4-Year",'Pivot Table for 1-11'!$A$3,"SREB Type2","Four-Year")</f>
        <v>1424</v>
      </c>
      <c r="C39" s="6">
        <f>+GETPIVOTDATA(" Old-Associate's",'Pivot Table for 1-11'!$A$3,"SREB Type2","Four-Year")</f>
        <v>7770</v>
      </c>
      <c r="D39" s="6">
        <f>+GETPIVOTDATA(" Old-Bachelor's",'Pivot Table for 1-11'!$A$3,"SREB Type2","Four-Year")</f>
        <v>358992</v>
      </c>
      <c r="E39" s="6">
        <f>+GETPIVOTDATA(" Old-Post-Bachelor's",'Pivot Table for 1-11'!$A$3,"SREB Type2","Four-Year")</f>
        <v>1299</v>
      </c>
      <c r="F39" s="6">
        <f>+GETPIVOTDATA(" Old-Total Master's#",'Pivot Table for 1-11'!$A$3,"SREB Type2","Four-Year")</f>
        <v>114147</v>
      </c>
      <c r="G39" s="6">
        <f>+GETPIVOTDATA(" Old-Total Doctorates#",'Pivot Table for 1-11'!$A$3,"SREB Type2","Four-Year")</f>
        <v>13213</v>
      </c>
      <c r="H39" s="17">
        <f>+GETPIVOTDATA(" Old-Law",'Pivot Table for 1-11'!$A$3,"SREB Type2","Four-Year")</f>
        <v>6171</v>
      </c>
      <c r="I39" s="6">
        <f>+GETPIVOTDATA(" Old-Medicine",'Pivot Table for 1-11'!$A$3,"SREB Type2","Four-Year")</f>
        <v>1699</v>
      </c>
      <c r="J39" s="6">
        <f>+GETPIVOTDATA(" Old-Dentistry",'Pivot Table for 1-11'!$A$3,"SREB Type2","Four-Year")</f>
        <v>524</v>
      </c>
      <c r="K39" s="6">
        <f>+GETPIVOTDATA(" Old-Pharmacy",'Pivot Table for 1-11'!$A$3,"SREB Type2","Four-Year")</f>
        <v>2198</v>
      </c>
      <c r="L39" s="6">
        <f>+GETPIVOTDATA(" Old-Optometry",'Pivot Table for 1-11'!$A$3,"SREB Type2","Four-Year")</f>
        <v>161</v>
      </c>
      <c r="M39" s="6">
        <f>+GETPIVOTDATA(" Old-Osteopathic Medicine",'Pivot Table for 1-11'!$A$3,"SREB Type2","Four-Year")</f>
        <v>76</v>
      </c>
      <c r="N39" s="181">
        <f>+GETPIVOTDATA(" Old-Veterinary Medicine",'Pivot Table for 1-11'!$A$3,"SREB Type2","Four-Year")</f>
        <v>853</v>
      </c>
      <c r="O39" s="198">
        <f>+GETPIVOTDATA(" Old-Oth PP",'Pivot Table for 1-11'!$A$3,"SREB Type2","Four-Year")</f>
        <v>87</v>
      </c>
      <c r="P39" s="182">
        <f>SUM(B39:O39)</f>
        <v>508614</v>
      </c>
    </row>
    <row r="40" spans="1:16" ht="15" customHeight="1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181"/>
      <c r="O40" s="198"/>
      <c r="P40" s="182"/>
    </row>
    <row r="41" spans="1:16" ht="15" customHeight="1">
      <c r="A41" s="5" t="s">
        <v>297</v>
      </c>
      <c r="B41" s="6">
        <f>+GETPIVOTDATA(" Old-Less Than 2-Year",'Pivot Table for 1-11'!$A$3,"State","AL","SREB Type2","Four-Year")+GETPIVOTDATA(" Old-2 But Less Than 4-Year",'Pivot Table for 1-11'!$A$3,"State","AL","SREB Type2","Four-Year")</f>
        <v>89</v>
      </c>
      <c r="C41" s="6">
        <f>+GETPIVOTDATA(" Old-Associate's",'Pivot Table for 1-11'!$A$3,"State","AL","SREB Type2","Four-Year")</f>
        <v>176</v>
      </c>
      <c r="D41" s="6">
        <f>+GETPIVOTDATA(" Old-Bachelor's",'Pivot Table for 1-11'!$A$3,"State","AL","SREB Type2","Four-Year")</f>
        <v>18120</v>
      </c>
      <c r="E41" s="6">
        <f>+GETPIVOTDATA(" Old-Post-Bachelor's",'Pivot Table for 1-11'!$A$3,"State","AL","SREB Type2","Four-Year")</f>
        <v>46</v>
      </c>
      <c r="F41" s="6">
        <f>+GETPIVOTDATA(" Old-Total Master's#",'Pivot Table for 1-11'!$A$3,"State","AL","SREB Type2","Four-Year")</f>
        <v>7898</v>
      </c>
      <c r="G41" s="6">
        <f>+GETPIVOTDATA(" Old-Total Doctorates#",'Pivot Table for 1-11'!$A$3,"State","AL","SREB Type2","Four-Year")</f>
        <v>748</v>
      </c>
      <c r="H41" s="17">
        <f>+GETPIVOTDATA(" Old-Law",'Pivot Table for 1-11'!$A$3,"State","AL","SREB Type2","Four-Year")</f>
        <v>154</v>
      </c>
      <c r="I41" s="6">
        <f>+GETPIVOTDATA(" Old-Medicine",'Pivot Table for 1-11'!$A$3,"State","AL","SREB Type2","Four-Year")</f>
        <v>225</v>
      </c>
      <c r="J41" s="6">
        <f>+GETPIVOTDATA(" Old-Dentistry",'Pivot Table for 1-11'!$A$3,"State","AL","SREB Type2","Four-Year")</f>
        <v>51</v>
      </c>
      <c r="K41" s="6">
        <f>+GETPIVOTDATA(" Old-Pharmacy",'Pivot Table for 1-11'!$A$3,"State","AL","SREB Type2","Four-Year")</f>
        <v>126</v>
      </c>
      <c r="L41" s="6">
        <f>+GETPIVOTDATA(" Old-Optometry",'Pivot Table for 1-11'!$A$3,"State","AL","SREB Type2","Four-Year")</f>
        <v>34</v>
      </c>
      <c r="M41" s="6">
        <f>+GETPIVOTDATA(" Old-Osteopathic Medicine",'Pivot Table for 1-11'!$A$3,"State","AL","SREB Type2","Four-Year")</f>
        <v>0</v>
      </c>
      <c r="N41" s="181">
        <f>+GETPIVOTDATA(" Old-Veterinary Medicine",'Pivot Table for 1-11'!$A$3,"State","AL","SREB Type2","Four-Year")</f>
        <v>89</v>
      </c>
      <c r="O41" s="198">
        <f>+GETPIVOTDATA(" Old-Oth PP",'Pivot Table for 1-11'!$A$3,"State","AL","SREB Type2","Four-Year")</f>
        <v>0</v>
      </c>
      <c r="P41" s="182">
        <f>SUM(B41:O41)</f>
        <v>27756</v>
      </c>
    </row>
    <row r="42" spans="1:16" ht="15" customHeight="1">
      <c r="A42" s="5" t="s">
        <v>298</v>
      </c>
      <c r="B42" s="6">
        <f>+GETPIVOTDATA(" Old-Less Than 2-Year",'Pivot Table for 1-11'!$A$3,"State","AR","SREB Type2","Four-Year")+GETPIVOTDATA(" Old-2 But Less Than 4-Year",'Pivot Table for 1-11'!$A$3,"State","AR","SREB Type2","Four-Year")</f>
        <v>744</v>
      </c>
      <c r="C42" s="6">
        <f>+GETPIVOTDATA(" Old-Associate's",'Pivot Table for 1-11'!$A$3,"State","AR","SREB Type2","Four-Year")</f>
        <v>1166</v>
      </c>
      <c r="D42" s="6">
        <f>+GETPIVOTDATA(" Old-Bachelor's",'Pivot Table for 1-11'!$A$3,"State","AR","SREB Type2","Four-Year")</f>
        <v>8993</v>
      </c>
      <c r="E42" s="6">
        <f>+GETPIVOTDATA(" Old-Post-Bachelor's",'Pivot Table for 1-11'!$A$3,"State","AR","SREB Type2","Four-Year")</f>
        <v>69</v>
      </c>
      <c r="F42" s="6">
        <f>+GETPIVOTDATA(" Old-Total Master's#",'Pivot Table for 1-11'!$A$3,"State","AR","SREB Type2","Four-Year")</f>
        <v>2879</v>
      </c>
      <c r="G42" s="6">
        <f>+GETPIVOTDATA(" Old-Total Doctorates#",'Pivot Table for 1-11'!$A$3,"State","AR","SREB Type2","Four-Year")</f>
        <v>211</v>
      </c>
      <c r="H42" s="17">
        <f>+GETPIVOTDATA(" Old-Law",'Pivot Table for 1-11'!$A$3,"State","AR","SREB Type2","Four-Year")</f>
        <v>253</v>
      </c>
      <c r="I42" s="6">
        <f>+GETPIVOTDATA(" Old-Medicine",'Pivot Table for 1-11'!$A$3,"State","AR","SREB Type2","Four-Year")</f>
        <v>0</v>
      </c>
      <c r="J42" s="6">
        <f>+GETPIVOTDATA(" Old-Dentistry",'Pivot Table for 1-11'!$A$3,"State","AR","SREB Type2","Four-Year")</f>
        <v>0</v>
      </c>
      <c r="K42" s="6">
        <f>+GETPIVOTDATA(" Old-Pharmacy",'Pivot Table for 1-11'!$A$3,"State","AR","SREB Type2","Four-Year")</f>
        <v>0</v>
      </c>
      <c r="L42" s="6">
        <f>+GETPIVOTDATA(" Old-Optometry",'Pivot Table for 1-11'!$A$3,"State","AR","SREB Type2","Four-Year")</f>
        <v>0</v>
      </c>
      <c r="M42" s="6">
        <f>+GETPIVOTDATA(" Old-Osteopathic Medicine",'Pivot Table for 1-11'!$A$3,"State","AR","SREB Type2","Four-Year")</f>
        <v>0</v>
      </c>
      <c r="N42" s="181">
        <f>+GETPIVOTDATA(" Old-Veterinary Medicine",'Pivot Table for 1-11'!$A$3,"State","AR","SREB Type2","Four-Year")</f>
        <v>0</v>
      </c>
      <c r="O42" s="198">
        <f>+GETPIVOTDATA(" Old-Oth PP",'Pivot Table for 1-11'!$A$3,"State","AR","SREB Type2","Four-Year")</f>
        <v>0</v>
      </c>
      <c r="P42" s="182">
        <f>SUM(B42:O42)</f>
        <v>14315</v>
      </c>
    </row>
    <row r="43" spans="1:16" ht="15" customHeight="1">
      <c r="A43" s="5" t="s">
        <v>299</v>
      </c>
      <c r="B43" s="6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6">
        <f>+GETPIVOTDATA(" Old-Associate's",'Pivot Table for 1-11'!$A$3,"State","DE","SREB Type2","Four-Year")</f>
        <v>188</v>
      </c>
      <c r="D43" s="6">
        <f>+GETPIVOTDATA(" Old-Bachelor's",'Pivot Table for 1-11'!$A$3,"State","DE","SREB Type2","Four-Year")</f>
        <v>3955</v>
      </c>
      <c r="E43" s="6">
        <f>+GETPIVOTDATA(" Old-Post-Bachelor's",'Pivot Table for 1-11'!$A$3,"State","DE","SREB Type2","Four-Year")</f>
        <v>0</v>
      </c>
      <c r="F43" s="6">
        <f>+GETPIVOTDATA(" Old-Total Master's#",'Pivot Table for 1-11'!$A$3,"State","DE","SREB Type2","Four-Year")</f>
        <v>834</v>
      </c>
      <c r="G43" s="6">
        <f>+GETPIVOTDATA(" Old-Total Doctorates#",'Pivot Table for 1-11'!$A$3,"State","DE","SREB Type2","Four-Year")</f>
        <v>210</v>
      </c>
      <c r="H43" s="17">
        <f>+GETPIVOTDATA(" Old-Law",'Pivot Table for 1-11'!$A$3,"State","DE","SREB Type2","Four-Year")</f>
        <v>0</v>
      </c>
      <c r="I43" s="6">
        <f>+GETPIVOTDATA(" Old-Medicine",'Pivot Table for 1-11'!$A$3,"State","DE","SREB Type2","Four-Year")</f>
        <v>0</v>
      </c>
      <c r="J43" s="6">
        <f>+GETPIVOTDATA(" Old-Dentistry",'Pivot Table for 1-11'!$A$3,"State","DE","SREB Type2","Four-Year")</f>
        <v>0</v>
      </c>
      <c r="K43" s="6">
        <f>+GETPIVOTDATA(" Old-Pharmacy",'Pivot Table for 1-11'!$A$3,"State","DE","SREB Type2","Four-Year")</f>
        <v>0</v>
      </c>
      <c r="L43" s="6">
        <f>+GETPIVOTDATA(" Old-Optometry",'Pivot Table for 1-11'!$A$3,"State","DE","SREB Type2","Four-Year")</f>
        <v>0</v>
      </c>
      <c r="M43" s="6">
        <f>+GETPIVOTDATA(" Old-Osteopathic Medicine",'Pivot Table for 1-11'!$A$3,"State","DE","SREB Type2","Four-Year")</f>
        <v>0</v>
      </c>
      <c r="N43" s="181">
        <f>+GETPIVOTDATA(" Old-Veterinary Medicine",'Pivot Table for 1-11'!$A$3,"State","DE","SREB Type2","Four-Year")</f>
        <v>0</v>
      </c>
      <c r="O43" s="198">
        <f>+GETPIVOTDATA(" Old-Oth PP",'Pivot Table for 1-11'!$A$3,"State","DE","SREB Type2","Four-Year")</f>
        <v>0</v>
      </c>
      <c r="P43" s="182">
        <f>SUM(B43:O43)</f>
        <v>5187</v>
      </c>
    </row>
    <row r="44" spans="1:16" ht="15" customHeight="1">
      <c r="A44" s="5" t="s">
        <v>300</v>
      </c>
      <c r="B44" s="6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6">
        <f>+GETPIVOTDATA(" Old-Associate's",'Pivot Table for 1-11'!$A$3,"State","FL","SREB Type2","Four-Year")</f>
        <v>2068</v>
      </c>
      <c r="D44" s="6">
        <f>+GETPIVOTDATA(" Old-Bachelor's",'Pivot Table for 1-11'!$A$3,"State","FL","SREB Type2","Four-Year")</f>
        <v>49776</v>
      </c>
      <c r="E44" s="6">
        <f>+GETPIVOTDATA(" Old-Post-Bachelor's",'Pivot Table for 1-11'!$A$3,"State","FL","SREB Type2","Four-Year")</f>
        <v>0</v>
      </c>
      <c r="F44" s="6">
        <f>+GETPIVOTDATA(" Old-Total Master's#",'Pivot Table for 1-11'!$A$3,"State","FL","SREB Type2","Four-Year")</f>
        <v>14654</v>
      </c>
      <c r="G44" s="6">
        <f>+GETPIVOTDATA(" Old-Total Doctorates#",'Pivot Table for 1-11'!$A$3,"State","FL","SREB Type2","Four-Year")</f>
        <v>1945</v>
      </c>
      <c r="H44" s="17">
        <f>+GETPIVOTDATA(" Old-Law",'Pivot Table for 1-11'!$A$3,"State","FL","SREB Type2","Four-Year")</f>
        <v>1005</v>
      </c>
      <c r="I44" s="6">
        <f>+GETPIVOTDATA(" Old-Medicine",'Pivot Table for 1-11'!$A$3,"State","FL","SREB Type2","Four-Year")</f>
        <v>287</v>
      </c>
      <c r="J44" s="6">
        <f>+GETPIVOTDATA(" Old-Dentistry",'Pivot Table for 1-11'!$A$3,"State","FL","SREB Type2","Four-Year")</f>
        <v>72</v>
      </c>
      <c r="K44" s="6">
        <f>+GETPIVOTDATA(" Old-Pharmacy",'Pivot Table for 1-11'!$A$3,"State","FL","SREB Type2","Four-Year")</f>
        <v>642</v>
      </c>
      <c r="L44" s="6">
        <f>+GETPIVOTDATA(" Old-Optometry",'Pivot Table for 1-11'!$A$3,"State","FL","SREB Type2","Four-Year")</f>
        <v>0</v>
      </c>
      <c r="M44" s="6">
        <f>+GETPIVOTDATA(" Old-Osteopathic Medicine",'Pivot Table for 1-11'!$A$3,"State","FL","SREB Type2","Four-Year")</f>
        <v>0</v>
      </c>
      <c r="N44" s="181">
        <f>+GETPIVOTDATA(" Old-Veterinary Medicine",'Pivot Table for 1-11'!$A$3,"State","FL","SREB Type2","Four-Year")</f>
        <v>83</v>
      </c>
      <c r="O44" s="198">
        <f>+GETPIVOTDATA(" Old-Oth PP",'Pivot Table for 1-11'!$A$3,"State","FL","SREB Type2","Four-Year")</f>
        <v>0</v>
      </c>
      <c r="P44" s="182">
        <f>SUM(B44:O44)</f>
        <v>70532</v>
      </c>
    </row>
    <row r="45" spans="1:16" ht="15" customHeight="1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181"/>
      <c r="O45" s="198"/>
      <c r="P45" s="182"/>
    </row>
    <row r="46" spans="1:16" ht="15" customHeight="1">
      <c r="A46" s="5" t="s">
        <v>301</v>
      </c>
      <c r="B46" s="6">
        <f>+GETPIVOTDATA(" Old-Less Than 2-Year",'Pivot Table for 1-11'!$A$3,"State","GA","SREB Type2","Four-Year")+GETPIVOTDATA(" Old-2 But Less Than 4-Year",'Pivot Table for 1-11'!$A$3,"State","GA","SREB Type2","Four-Year")</f>
        <v>217</v>
      </c>
      <c r="C46" s="6">
        <f>+GETPIVOTDATA(" Old-Associate's",'Pivot Table for 1-11'!$A$3,"State","GA","SREB Type2","Four-Year")</f>
        <v>842</v>
      </c>
      <c r="D46" s="6">
        <f>+GETPIVOTDATA(" Old-Bachelor's",'Pivot Table for 1-11'!$A$3,"State","GA","SREB Type2","Four-Year")</f>
        <v>27227</v>
      </c>
      <c r="E46" s="6">
        <f>+GETPIVOTDATA(" Old-Post-Bachelor's",'Pivot Table for 1-11'!$A$3,"State","GA","SREB Type2","Four-Year")</f>
        <v>37</v>
      </c>
      <c r="F46" s="6">
        <f>+GETPIVOTDATA(" Old-Total Master's#",'Pivot Table for 1-11'!$A$3,"State","GA","SREB Type2","Four-Year")</f>
        <v>9149</v>
      </c>
      <c r="G46" s="6">
        <f>+GETPIVOTDATA(" Old-Total Doctorates#",'Pivot Table for 1-11'!$A$3,"State","GA","SREB Type2","Four-Year")</f>
        <v>1150</v>
      </c>
      <c r="H46" s="17">
        <f>+GETPIVOTDATA(" Old-Law",'Pivot Table for 1-11'!$A$3,"State","GA","SREB Type2","Four-Year")</f>
        <v>387</v>
      </c>
      <c r="I46" s="6">
        <f>+GETPIVOTDATA(" Old-Medicine",'Pivot Table for 1-11'!$A$3,"State","GA","SREB Type2","Four-Year")</f>
        <v>0</v>
      </c>
      <c r="J46" s="6">
        <f>+GETPIVOTDATA(" Old-Dentistry",'Pivot Table for 1-11'!$A$3,"State","GA","SREB Type2","Four-Year")</f>
        <v>0</v>
      </c>
      <c r="K46" s="6">
        <f>+GETPIVOTDATA(" Old-Pharmacy",'Pivot Table for 1-11'!$A$3,"State","GA","SREB Type2","Four-Year")</f>
        <v>138</v>
      </c>
      <c r="L46" s="6">
        <f>+GETPIVOTDATA(" Old-Optometry",'Pivot Table for 1-11'!$A$3,"State","GA","SREB Type2","Four-Year")</f>
        <v>0</v>
      </c>
      <c r="M46" s="6">
        <f>+GETPIVOTDATA(" Old-Osteopathic Medicine",'Pivot Table for 1-11'!$A$3,"State","GA","SREB Type2","Four-Year")</f>
        <v>0</v>
      </c>
      <c r="N46" s="181">
        <f>+GETPIVOTDATA(" Old-Veterinary Medicine",'Pivot Table for 1-11'!$A$3,"State","GA","SREB Type2","Four-Year")</f>
        <v>96</v>
      </c>
      <c r="O46" s="198">
        <f>+GETPIVOTDATA(" Old-Oth PP",'Pivot Table for 1-11'!$A$3,"State","GA","SREB Type2","Four-Year")</f>
        <v>0</v>
      </c>
      <c r="P46" s="182">
        <f>SUM(B46:O46)</f>
        <v>39243</v>
      </c>
    </row>
    <row r="47" spans="1:16" ht="15" customHeight="1">
      <c r="A47" s="5" t="s">
        <v>302</v>
      </c>
      <c r="B47" s="6">
        <f>+GETPIVOTDATA(" Old-Less Than 2-Year",'Pivot Table for 1-11'!$A$3,"State","KY","SREB Type2","Four-Year")+GETPIVOTDATA(" Old-2 But Less Than 4-Year",'Pivot Table for 1-11'!$A$3,"State","KY","SREB Type2","Four-Year")</f>
        <v>104</v>
      </c>
      <c r="C47" s="6">
        <f>+GETPIVOTDATA(" Old-Associate's",'Pivot Table for 1-11'!$A$3,"State","KY","SREB Type2","Four-Year")</f>
        <v>877</v>
      </c>
      <c r="D47" s="6">
        <f>+GETPIVOTDATA(" Old-Bachelor's",'Pivot Table for 1-11'!$A$3,"State","KY","SREB Type2","Four-Year")</f>
        <v>15036</v>
      </c>
      <c r="E47" s="6">
        <f>+GETPIVOTDATA(" Old-Post-Bachelor's",'Pivot Table for 1-11'!$A$3,"State","KY","SREB Type2","Four-Year")</f>
        <v>156</v>
      </c>
      <c r="F47" s="6">
        <f>+GETPIVOTDATA(" Old-Total Master's#",'Pivot Table for 1-11'!$A$3,"State","KY","SREB Type2","Four-Year")</f>
        <v>5588</v>
      </c>
      <c r="G47" s="6">
        <f>+GETPIVOTDATA(" Old-Total Doctorates#",'Pivot Table for 1-11'!$A$3,"State","KY","SREB Type2","Four-Year")</f>
        <v>459</v>
      </c>
      <c r="H47" s="17">
        <f>+GETPIVOTDATA(" Old-Law",'Pivot Table for 1-11'!$A$3,"State","KY","SREB Type2","Four-Year")</f>
        <v>437</v>
      </c>
      <c r="I47" s="6">
        <f>+GETPIVOTDATA(" Old-Medicine",'Pivot Table for 1-11'!$A$3,"State","KY","SREB Type2","Four-Year")</f>
        <v>240</v>
      </c>
      <c r="J47" s="6">
        <f>+GETPIVOTDATA(" Old-Dentistry",'Pivot Table for 1-11'!$A$3,"State","KY","SREB Type2","Four-Year")</f>
        <v>122</v>
      </c>
      <c r="K47" s="6">
        <f>+GETPIVOTDATA(" Old-Pharmacy",'Pivot Table for 1-11'!$A$3,"State","KY","SREB Type2","Four-Year")</f>
        <v>103</v>
      </c>
      <c r="L47" s="6">
        <f>+GETPIVOTDATA(" Old-Optometry",'Pivot Table for 1-11'!$A$3,"State","KY","SREB Type2","Four-Year")</f>
        <v>0</v>
      </c>
      <c r="M47" s="6">
        <f>+GETPIVOTDATA(" Old-Osteopathic Medicine",'Pivot Table for 1-11'!$A$3,"State","KY","SREB Type2","Four-Year")</f>
        <v>0</v>
      </c>
      <c r="N47" s="181">
        <f>+GETPIVOTDATA(" Old-Veterinary Medicine",'Pivot Table for 1-11'!$A$3,"State","KY","SREB Type2","Four-Year")</f>
        <v>0</v>
      </c>
      <c r="O47" s="198">
        <f>+GETPIVOTDATA(" Old-Oth PP",'Pivot Table for 1-11'!$A$3,"State","KY","SREB Type2","Four-Year")</f>
        <v>0</v>
      </c>
      <c r="P47" s="182">
        <f>SUM(B47:O47)</f>
        <v>23122</v>
      </c>
    </row>
    <row r="48" spans="1:16" ht="15" customHeight="1">
      <c r="A48" s="5" t="s">
        <v>303</v>
      </c>
      <c r="B48" s="6">
        <f>+GETPIVOTDATA(" Old-Less Than 2-Year",'Pivot Table for 1-11'!$A$3,"State","LA","SREB Type2","Four-Year")+GETPIVOTDATA(" Old-2 But Less Than 4-Year",'Pivot Table for 1-11'!$A$3,"State","LA","SREB Type2","Four-Year")</f>
        <v>0</v>
      </c>
      <c r="C48" s="6">
        <f>+GETPIVOTDATA(" Old-Associate's",'Pivot Table for 1-11'!$A$3,"State","LA","SREB Type2","Four-Year")</f>
        <v>806</v>
      </c>
      <c r="D48" s="6">
        <f>+GETPIVOTDATA(" Old-Bachelor's",'Pivot Table for 1-11'!$A$3,"State","LA","SREB Type2","Four-Year")</f>
        <v>17198</v>
      </c>
      <c r="E48" s="6">
        <f>+GETPIVOTDATA(" Old-Post-Bachelor's",'Pivot Table for 1-11'!$A$3,"State","LA","SREB Type2","Four-Year")</f>
        <v>11</v>
      </c>
      <c r="F48" s="6">
        <f>+GETPIVOTDATA(" Old-Total Master's#",'Pivot Table for 1-11'!$A$3,"State","LA","SREB Type2","Four-Year")</f>
        <v>4261</v>
      </c>
      <c r="G48" s="6">
        <f>+GETPIVOTDATA(" Old-Total Doctorates#",'Pivot Table for 1-11'!$A$3,"State","LA","SREB Type2","Four-Year")</f>
        <v>394</v>
      </c>
      <c r="H48" s="17">
        <f>+GETPIVOTDATA(" Old-Law",'Pivot Table for 1-11'!$A$3,"State","LA","SREB Type2","Four-Year")</f>
        <v>315</v>
      </c>
      <c r="I48" s="6">
        <f>+GETPIVOTDATA(" Old-Medicine",'Pivot Table for 1-11'!$A$3,"State","LA","SREB Type2","Four-Year")</f>
        <v>0</v>
      </c>
      <c r="J48" s="6">
        <f>+GETPIVOTDATA(" Old-Dentistry",'Pivot Table for 1-11'!$A$3,"State","LA","SREB Type2","Four-Year")</f>
        <v>0</v>
      </c>
      <c r="K48" s="6">
        <f>+GETPIVOTDATA(" Old-Pharmacy",'Pivot Table for 1-11'!$A$3,"State","LA","SREB Type2","Four-Year")</f>
        <v>107</v>
      </c>
      <c r="L48" s="6">
        <f>+GETPIVOTDATA(" Old-Optometry",'Pivot Table for 1-11'!$A$3,"State","LA","SREB Type2","Four-Year")</f>
        <v>0</v>
      </c>
      <c r="M48" s="6">
        <f>+GETPIVOTDATA(" Old-Osteopathic Medicine",'Pivot Table for 1-11'!$A$3,"State","LA","SREB Type2","Four-Year")</f>
        <v>0</v>
      </c>
      <c r="N48" s="181">
        <f>+GETPIVOTDATA(" Old-Veterinary Medicine",'Pivot Table for 1-11'!$A$3,"State","LA","SREB Type2","Four-Year")</f>
        <v>83</v>
      </c>
      <c r="O48" s="198">
        <f>+GETPIVOTDATA(" Old-Oth PP",'Pivot Table for 1-11'!$A$3,"State","LA","SREB Type2","Four-Year")</f>
        <v>0</v>
      </c>
      <c r="P48" s="182">
        <f>SUM(B48:O48)</f>
        <v>23175</v>
      </c>
    </row>
    <row r="49" spans="1:16" ht="15" customHeight="1">
      <c r="A49" s="5" t="s">
        <v>304</v>
      </c>
      <c r="B49" s="6">
        <f>+GETPIVOTDATA(" Old-Less Than 2-Year",'Pivot Table for 1-11'!$A$3,"State","MD","SREB Type2","Four-Year")+GETPIVOTDATA(" Old-2 But Less Than 4-Year",'Pivot Table for 1-11'!$A$3,"State","MD","SREB Type2","Four-Year")</f>
        <v>229</v>
      </c>
      <c r="C49" s="6">
        <f>+GETPIVOTDATA(" Old-Associate's",'Pivot Table for 1-11'!$A$3,"State","MD","SREB Type2","Four-Year")</f>
        <v>0</v>
      </c>
      <c r="D49" s="6">
        <f>+GETPIVOTDATA(" Old-Bachelor's",'Pivot Table for 1-11'!$A$3,"State","MD","SREB Type2","Four-Year")</f>
        <v>16815</v>
      </c>
      <c r="E49" s="6">
        <f>+GETPIVOTDATA(" Old-Post-Bachelor's",'Pivot Table for 1-11'!$A$3,"State","MD","SREB Type2","Four-Year")</f>
        <v>329</v>
      </c>
      <c r="F49" s="6">
        <f>+GETPIVOTDATA(" Old-Total Master's#",'Pivot Table for 1-11'!$A$3,"State","MD","SREB Type2","Four-Year")</f>
        <v>5025</v>
      </c>
      <c r="G49" s="6">
        <f>+GETPIVOTDATA(" Old-Total Doctorates#",'Pivot Table for 1-11'!$A$3,"State","MD","SREB Type2","Four-Year")</f>
        <v>828</v>
      </c>
      <c r="H49" s="17">
        <f>+GETPIVOTDATA(" Old-Law",'Pivot Table for 1-11'!$A$3,"State","MD","SREB Type2","Four-Year")</f>
        <v>292</v>
      </c>
      <c r="I49" s="6">
        <f>+GETPIVOTDATA(" Old-Medicine",'Pivot Table for 1-11'!$A$3,"State","MD","SREB Type2","Four-Year")</f>
        <v>0</v>
      </c>
      <c r="J49" s="6">
        <f>+GETPIVOTDATA(" Old-Dentistry",'Pivot Table for 1-11'!$A$3,"State","MD","SREB Type2","Four-Year")</f>
        <v>0</v>
      </c>
      <c r="K49" s="6">
        <f>+GETPIVOTDATA(" Old-Pharmacy",'Pivot Table for 1-11'!$A$3,"State","MD","SREB Type2","Four-Year")</f>
        <v>0</v>
      </c>
      <c r="L49" s="6">
        <f>+GETPIVOTDATA(" Old-Optometry",'Pivot Table for 1-11'!$A$3,"State","MD","SREB Type2","Four-Year")</f>
        <v>0</v>
      </c>
      <c r="M49" s="6">
        <f>+GETPIVOTDATA(" Old-Osteopathic Medicine",'Pivot Table for 1-11'!$A$3,"State","MD","SREB Type2","Four-Year")</f>
        <v>0</v>
      </c>
      <c r="N49" s="181">
        <f>+GETPIVOTDATA(" Old-Veterinary Medicine",'Pivot Table for 1-11'!$A$3,"State","MD","SREB Type2","Four-Year")</f>
        <v>0</v>
      </c>
      <c r="O49" s="198">
        <f>+GETPIVOTDATA(" Old-Oth PP",'Pivot Table for 1-11'!$A$3,"State","MD","SREB Type2","Four-Year")</f>
        <v>0</v>
      </c>
      <c r="P49" s="182">
        <f>SUM(B49:O49)</f>
        <v>23518</v>
      </c>
    </row>
    <row r="50" spans="1:16" ht="15" customHeight="1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181"/>
      <c r="O50" s="198"/>
      <c r="P50" s="182"/>
    </row>
    <row r="51" spans="1:16" ht="15" customHeight="1">
      <c r="A51" s="5" t="s">
        <v>305</v>
      </c>
      <c r="B51" s="6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6">
        <f>+GETPIVOTDATA(" Old-Associate's",'Pivot Table for 1-11'!$A$3,"State","MS","SREB Type2","Four-Year")</f>
        <v>80</v>
      </c>
      <c r="D51" s="6">
        <f>+GETPIVOTDATA(" Old-Bachelor's",'Pivot Table for 1-11'!$A$3,"State","MS","SREB Type2","Four-Year")</f>
        <v>9990</v>
      </c>
      <c r="E51" s="6">
        <f>+GETPIVOTDATA(" Old-Post-Bachelor's",'Pivot Table for 1-11'!$A$3,"State","MS","SREB Type2","Four-Year")</f>
        <v>0</v>
      </c>
      <c r="F51" s="6">
        <f>+GETPIVOTDATA(" Old-Total Master's#",'Pivot Table for 1-11'!$A$3,"State","MS","SREB Type2","Four-Year")</f>
        <v>3053</v>
      </c>
      <c r="G51" s="6">
        <f>+GETPIVOTDATA(" Old-Total Doctorates#",'Pivot Table for 1-11'!$A$3,"State","MS","SREB Type2","Four-Year")</f>
        <v>396</v>
      </c>
      <c r="H51" s="17">
        <f>+GETPIVOTDATA(" Old-Law",'Pivot Table for 1-11'!$A$3,"State","MS","SREB Type2","Four-Year")</f>
        <v>175</v>
      </c>
      <c r="I51" s="6">
        <f>+GETPIVOTDATA(" Old-Medicine",'Pivot Table for 1-11'!$A$3,"State","MS","SREB Type2","Four-Year")</f>
        <v>0</v>
      </c>
      <c r="J51" s="6">
        <f>+GETPIVOTDATA(" Old-Dentistry",'Pivot Table for 1-11'!$A$3,"State","MS","SREB Type2","Four-Year")</f>
        <v>0</v>
      </c>
      <c r="K51" s="6">
        <f>+GETPIVOTDATA(" Old-Pharmacy",'Pivot Table for 1-11'!$A$3,"State","MS","SREB Type2","Four-Year")</f>
        <v>70</v>
      </c>
      <c r="L51" s="6">
        <f>+GETPIVOTDATA(" Old-Optometry",'Pivot Table for 1-11'!$A$3,"State","MS","SREB Type2","Four-Year")</f>
        <v>0</v>
      </c>
      <c r="M51" s="6">
        <f>+GETPIVOTDATA(" Old-Osteopathic Medicine",'Pivot Table for 1-11'!$A$3,"State","MS","SREB Type2","Four-Year")</f>
        <v>0</v>
      </c>
      <c r="N51" s="181">
        <f>+GETPIVOTDATA(" Old-Veterinary Medicine",'Pivot Table for 1-11'!$A$3,"State","MS","SREB Type2","Four-Year")</f>
        <v>65</v>
      </c>
      <c r="O51" s="198">
        <f>+GETPIVOTDATA(" Old-Oth PP",'Pivot Table for 1-11'!$A$3,"State","MS","SREB Type2","Four-Year")</f>
        <v>0</v>
      </c>
      <c r="P51" s="182">
        <f>SUM(B51:O51)</f>
        <v>13829</v>
      </c>
    </row>
    <row r="52" spans="1:16" ht="15" customHeight="1">
      <c r="A52" s="5" t="s">
        <v>306</v>
      </c>
      <c r="B52" s="6">
        <f>+GETPIVOTDATA(" Old-Less Than 2-Year",'Pivot Table for 1-11'!$A$3,"State","NC","SREB Type2","Four-Year")+GETPIVOTDATA(" Old-2 But Less Than 4-Year",'Pivot Table for 1-11'!$A$3,"State","NC","SREB Type2","Four-Year")</f>
        <v>19</v>
      </c>
      <c r="C52" s="6">
        <f>+GETPIVOTDATA(" Old-Associate's",'Pivot Table for 1-11'!$A$3,"State","NC","SREB Type2","Four-Year")</f>
        <v>132</v>
      </c>
      <c r="D52" s="6">
        <f>+GETPIVOTDATA(" Old-Bachelor's",'Pivot Table for 1-11'!$A$3,"State","NC","SREB Type2","Four-Year")</f>
        <v>29965</v>
      </c>
      <c r="E52" s="6">
        <f>+GETPIVOTDATA(" Old-Post-Bachelor's",'Pivot Table for 1-11'!$A$3,"State","NC","SREB Type2","Four-Year")</f>
        <v>21</v>
      </c>
      <c r="F52" s="6">
        <f>+GETPIVOTDATA(" Old-Total Master's#",'Pivot Table for 1-11'!$A$3,"State","NC","SREB Type2","Four-Year")</f>
        <v>9687</v>
      </c>
      <c r="G52" s="6">
        <f>+GETPIVOTDATA(" Old-Total Doctorates#",'Pivot Table for 1-11'!$A$3,"State","NC","SREB Type2","Four-Year")</f>
        <v>1199</v>
      </c>
      <c r="H52" s="17">
        <f>+GETPIVOTDATA(" Old-Law",'Pivot Table for 1-11'!$A$3,"State","NC","SREB Type2","Four-Year")</f>
        <v>362</v>
      </c>
      <c r="I52" s="6">
        <f>+GETPIVOTDATA(" Old-Medicine",'Pivot Table for 1-11'!$A$3,"State","NC","SREB Type2","Four-Year")</f>
        <v>237</v>
      </c>
      <c r="J52" s="6">
        <f>+GETPIVOTDATA(" Old-Dentistry",'Pivot Table for 1-11'!$A$3,"State","NC","SREB Type2","Four-Year")</f>
        <v>83</v>
      </c>
      <c r="K52" s="6">
        <f>+GETPIVOTDATA(" Old-Pharmacy",'Pivot Table for 1-11'!$A$3,"State","NC","SREB Type2","Four-Year")</f>
        <v>135</v>
      </c>
      <c r="L52" s="6">
        <f>+GETPIVOTDATA(" Old-Optometry",'Pivot Table for 1-11'!$A$3,"State","NC","SREB Type2","Four-Year")</f>
        <v>0</v>
      </c>
      <c r="M52" s="6">
        <f>+GETPIVOTDATA(" Old-Osteopathic Medicine",'Pivot Table for 1-11'!$A$3,"State","NC","SREB Type2","Four-Year")</f>
        <v>0</v>
      </c>
      <c r="N52" s="181">
        <f>+GETPIVOTDATA(" Old-Veterinary Medicine",'Pivot Table for 1-11'!$A$3,"State","NC","SREB Type2","Four-Year")</f>
        <v>74</v>
      </c>
      <c r="O52" s="198">
        <f>+GETPIVOTDATA(" Old-Oth PP",'Pivot Table for 1-11'!$A$3,"State","NC","SREB Type2","Four-Year")</f>
        <v>0</v>
      </c>
      <c r="P52" s="182">
        <f>SUM(B52:O52)</f>
        <v>41914</v>
      </c>
    </row>
    <row r="53" spans="1:16" ht="15" customHeight="1">
      <c r="A53" s="5" t="s">
        <v>307</v>
      </c>
      <c r="B53" s="6">
        <f>+GETPIVOTDATA(" Old-Less Than 2-Year",'Pivot Table for 1-11'!$A$3,"State","OK","SREB Type2","Four-Year")+GETPIVOTDATA(" Old-2 But Less Than 4-Year",'Pivot Table for 1-11'!$A$3,"State","OK","SREB Type2","Four-Year")</f>
        <v>0</v>
      </c>
      <c r="C53" s="6">
        <f>+GETPIVOTDATA(" Old-Associate's",'Pivot Table for 1-11'!$A$3,"State","OK","SREB Type2","Four-Year")</f>
        <v>524</v>
      </c>
      <c r="D53" s="6">
        <f>+GETPIVOTDATA(" Old-Bachelor's",'Pivot Table for 1-11'!$A$3,"State","OK","SREB Type2","Four-Year")</f>
        <v>15553</v>
      </c>
      <c r="E53" s="6">
        <f>+GETPIVOTDATA(" Old-Post-Bachelor's",'Pivot Table for 1-11'!$A$3,"State","OK","SREB Type2","Four-Year")</f>
        <v>35</v>
      </c>
      <c r="F53" s="6">
        <f>+GETPIVOTDATA(" Old-Total Master's#",'Pivot Table for 1-11'!$A$3,"State","OK","SREB Type2","Four-Year")</f>
        <v>3988</v>
      </c>
      <c r="G53" s="6">
        <f>+GETPIVOTDATA(" Old-Total Doctorates#",'Pivot Table for 1-11'!$A$3,"State","OK","SREB Type2","Four-Year")</f>
        <v>340</v>
      </c>
      <c r="H53" s="17">
        <f>+GETPIVOTDATA(" Old-Law",'Pivot Table for 1-11'!$A$3,"State","OK","SREB Type2","Four-Year")</f>
        <v>164</v>
      </c>
      <c r="I53" s="6">
        <f>+GETPIVOTDATA(" Old-Medicine",'Pivot Table for 1-11'!$A$3,"State","OK","SREB Type2","Four-Year")</f>
        <v>139</v>
      </c>
      <c r="J53" s="6">
        <f>+GETPIVOTDATA(" Old-Dentistry",'Pivot Table for 1-11'!$A$3,"State","OK","SREB Type2","Four-Year")</f>
        <v>58</v>
      </c>
      <c r="K53" s="6">
        <f>+GETPIVOTDATA(" Old-Pharmacy",'Pivot Table for 1-11'!$A$3,"State","OK","SREB Type2","Four-Year")</f>
        <v>204</v>
      </c>
      <c r="L53" s="6">
        <f>+GETPIVOTDATA(" Old-Optometry",'Pivot Table for 1-11'!$A$3,"State","OK","SREB Type2","Four-Year")</f>
        <v>27</v>
      </c>
      <c r="M53" s="6">
        <f>+GETPIVOTDATA(" Old-Osteopathic Medicine",'Pivot Table for 1-11'!$A$3,"State","OK","SREB Type2","Four-Year")</f>
        <v>76</v>
      </c>
      <c r="N53" s="181">
        <f>+GETPIVOTDATA(" Old-Veterinary Medicine",'Pivot Table for 1-11'!$A$3,"State","OK","SREB Type2","Four-Year")</f>
        <v>78</v>
      </c>
      <c r="O53" s="198">
        <f>+GETPIVOTDATA(" Old-Oth PP",'Pivot Table for 1-11'!$A$3,"State","OK","SREB Type2","Four-Year")</f>
        <v>67</v>
      </c>
      <c r="P53" s="182">
        <f>SUM(B53:O53)</f>
        <v>21253</v>
      </c>
    </row>
    <row r="54" spans="1:16" ht="15" customHeight="1">
      <c r="A54" s="5" t="s">
        <v>308</v>
      </c>
      <c r="B54" s="6">
        <f>+GETPIVOTDATA(" Old-Less Than 2-Year",'Pivot Table for 1-11'!$A$3,"State","SC","SREB Type2","Four-Year")+GETPIVOTDATA(" Old-2 But Less Than 4-Year",'Pivot Table for 1-11'!$A$3,"State","SC","SREB Type2","Four-Year")</f>
        <v>22</v>
      </c>
      <c r="C54" s="6">
        <f>+GETPIVOTDATA(" Old-Associate's",'Pivot Table for 1-11'!$A$3,"State","SC","SREB Type2","Four-Year")</f>
        <v>35</v>
      </c>
      <c r="D54" s="6">
        <f>+GETPIVOTDATA(" Old-Bachelor's",'Pivot Table for 1-11'!$A$3,"State","SC","SREB Type2","Four-Year")</f>
        <v>14537</v>
      </c>
      <c r="E54" s="6">
        <f>+GETPIVOTDATA(" Old-Post-Bachelor's",'Pivot Table for 1-11'!$A$3,"State","SC","SREB Type2","Four-Year")</f>
        <v>51</v>
      </c>
      <c r="F54" s="6">
        <f>+GETPIVOTDATA(" Old-Total Master's#",'Pivot Table for 1-11'!$A$3,"State","SC","SREB Type2","Four-Year")</f>
        <v>3526</v>
      </c>
      <c r="G54" s="6">
        <f>+GETPIVOTDATA(" Old-Total Doctorates#",'Pivot Table for 1-11'!$A$3,"State","SC","SREB Type2","Four-Year")</f>
        <v>401</v>
      </c>
      <c r="H54" s="17">
        <f>+GETPIVOTDATA(" Old-Law",'Pivot Table for 1-11'!$A$3,"State","SC","SREB Type2","Four-Year")</f>
        <v>213</v>
      </c>
      <c r="I54" s="6">
        <f>+GETPIVOTDATA(" Old-Medicine",'Pivot Table for 1-11'!$A$3,"State","SC","SREB Type2","Four-Year")</f>
        <v>76</v>
      </c>
      <c r="J54" s="6">
        <f>+GETPIVOTDATA(" Old-Dentistry",'Pivot Table for 1-11'!$A$3,"State","SC","SREB Type2","Four-Year")</f>
        <v>0</v>
      </c>
      <c r="K54" s="6">
        <f>+GETPIVOTDATA(" Old-Pharmacy",'Pivot Table for 1-11'!$A$3,"State","SC","SREB Type2","Four-Year")</f>
        <v>107</v>
      </c>
      <c r="L54" s="6">
        <f>+GETPIVOTDATA(" Old-Optometry",'Pivot Table for 1-11'!$A$3,"State","SC","SREB Type2","Four-Year")</f>
        <v>0</v>
      </c>
      <c r="M54" s="6">
        <f>+GETPIVOTDATA(" Old-Osteopathic Medicine",'Pivot Table for 1-11'!$A$3,"State","SC","SREB Type2","Four-Year")</f>
        <v>0</v>
      </c>
      <c r="N54" s="181">
        <f>+GETPIVOTDATA(" Old-Veterinary Medicine",'Pivot Table for 1-11'!$A$3,"State","SC","SREB Type2","Four-Year")</f>
        <v>0</v>
      </c>
      <c r="O54" s="198">
        <f>+GETPIVOTDATA(" Old-Oth PP",'Pivot Table for 1-11'!$A$3,"State","SC","SREB Type2","Four-Year")</f>
        <v>0</v>
      </c>
      <c r="P54" s="182">
        <f>SUM(B54:O54)</f>
        <v>18968</v>
      </c>
    </row>
    <row r="55" spans="1:16" ht="15" customHeight="1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181"/>
      <c r="O55" s="198"/>
      <c r="P55" s="182"/>
    </row>
    <row r="56" spans="1:16" ht="15" customHeight="1">
      <c r="A56" s="5" t="s">
        <v>309</v>
      </c>
      <c r="B56" s="6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6">
        <f>+GETPIVOTDATA(" Old-Associate's",'Pivot Table for 1-11'!$A$3,"State","TN","SREB Type2","Four-Year")</f>
        <v>258</v>
      </c>
      <c r="D56" s="6">
        <f>+GETPIVOTDATA(" Old-Bachelor's",'Pivot Table for 1-11'!$A$3,"State","TN","SREB Type2","Four-Year")</f>
        <v>17175</v>
      </c>
      <c r="E56" s="6">
        <f>+GETPIVOTDATA(" Old-Post-Bachelor's",'Pivot Table for 1-11'!$A$3,"State","TN","SREB Type2","Four-Year")</f>
        <v>0</v>
      </c>
      <c r="F56" s="6">
        <f>+GETPIVOTDATA(" Old-Total Master's#",'Pivot Table for 1-11'!$A$3,"State","TN","SREB Type2","Four-Year")</f>
        <v>5508</v>
      </c>
      <c r="G56" s="6">
        <f>+GETPIVOTDATA(" Old-Total Doctorates#",'Pivot Table for 1-11'!$A$3,"State","TN","SREB Type2","Four-Year")</f>
        <v>534</v>
      </c>
      <c r="H56" s="17">
        <f>+GETPIVOTDATA(" Old-Law",'Pivot Table for 1-11'!$A$3,"State","TN","SREB Type2","Four-Year")</f>
        <v>270</v>
      </c>
      <c r="I56" s="6">
        <f>+GETPIVOTDATA(" Old-Medicine",'Pivot Table for 1-11'!$A$3,"State","TN","SREB Type2","Four-Year")</f>
        <v>57</v>
      </c>
      <c r="J56" s="6">
        <f>+GETPIVOTDATA(" Old-Dentistry",'Pivot Table for 1-11'!$A$3,"State","TN","SREB Type2","Four-Year")</f>
        <v>0</v>
      </c>
      <c r="K56" s="6">
        <f>+GETPIVOTDATA(" Old-Pharmacy",'Pivot Table for 1-11'!$A$3,"State","TN","SREB Type2","Four-Year")</f>
        <v>0</v>
      </c>
      <c r="L56" s="6">
        <f>+GETPIVOTDATA(" Old-Optometry",'Pivot Table for 1-11'!$A$3,"State","TN","SREB Type2","Four-Year")</f>
        <v>0</v>
      </c>
      <c r="M56" s="6">
        <f>+GETPIVOTDATA(" Old-Osteopathic Medicine",'Pivot Table for 1-11'!$A$3,"State","TN","SREB Type2","Four-Year")</f>
        <v>0</v>
      </c>
      <c r="N56" s="181">
        <f>+GETPIVOTDATA(" Old-Veterinary Medicine",'Pivot Table for 1-11'!$A$3,"State","TN","SREB Type2","Four-Year")</f>
        <v>68</v>
      </c>
      <c r="O56" s="198">
        <f>+GETPIVOTDATA(" Old-Oth PP",'Pivot Table for 1-11'!$A$3,"State","TN","SREB Type2","Four-Year")</f>
        <v>0</v>
      </c>
      <c r="P56" s="182">
        <f>SUM(B56:O56)</f>
        <v>23870</v>
      </c>
    </row>
    <row r="57" spans="1:16" ht="15" customHeight="1">
      <c r="A57" s="5" t="s">
        <v>310</v>
      </c>
      <c r="B57" s="6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6">
        <f>+GETPIVOTDATA(" Old-Associate's",'Pivot Table for 1-11'!$A$3,"State","TX","SREB Type2","Four-Year")</f>
        <v>190</v>
      </c>
      <c r="D57" s="6">
        <f>+GETPIVOTDATA(" Old-Bachelor's",'Pivot Table for 1-11'!$A$3,"State","TX","SREB Type2","Four-Year")</f>
        <v>76498</v>
      </c>
      <c r="E57" s="6">
        <f>+GETPIVOTDATA(" Old-Post-Bachelor's",'Pivot Table for 1-11'!$A$3,"State","TX","SREB Type2","Four-Year")</f>
        <v>0</v>
      </c>
      <c r="F57" s="6">
        <f>+GETPIVOTDATA(" Old-Total Master's#",'Pivot Table for 1-11'!$A$3,"State","TX","SREB Type2","Four-Year")</f>
        <v>25233</v>
      </c>
      <c r="G57" s="6">
        <f>+GETPIVOTDATA(" Old-Total Doctorates#",'Pivot Table for 1-11'!$A$3,"State","TX","SREB Type2","Four-Year")</f>
        <v>2882</v>
      </c>
      <c r="H57" s="17">
        <f>+GETPIVOTDATA(" Old-Law",'Pivot Table for 1-11'!$A$3,"State","TX","SREB Type2","Four-Year")</f>
        <v>1169</v>
      </c>
      <c r="I57" s="6">
        <f>+GETPIVOTDATA(" Old-Medicine",'Pivot Table for 1-11'!$A$3,"State","TX","SREB Type2","Four-Year")</f>
        <v>0</v>
      </c>
      <c r="J57" s="6">
        <f>+GETPIVOTDATA(" Old-Dentistry",'Pivot Table for 1-11'!$A$3,"State","TX","SREB Type2","Four-Year")</f>
        <v>0</v>
      </c>
      <c r="K57" s="6">
        <f>+GETPIVOTDATA(" Old-Pharmacy",'Pivot Table for 1-11'!$A$3,"State","TX","SREB Type2","Four-Year")</f>
        <v>366</v>
      </c>
      <c r="L57" s="6">
        <f>+GETPIVOTDATA(" Old-Optometry",'Pivot Table for 1-11'!$A$3,"State","TX","SREB Type2","Four-Year")</f>
        <v>100</v>
      </c>
      <c r="M57" s="6">
        <f>+GETPIVOTDATA(" Old-Osteopathic Medicine",'Pivot Table for 1-11'!$A$3,"State","TX","SREB Type2","Four-Year")</f>
        <v>0</v>
      </c>
      <c r="N57" s="181">
        <f>+GETPIVOTDATA(" Old-Veterinary Medicine",'Pivot Table for 1-11'!$A$3,"State","TX","SREB Type2","Four-Year")</f>
        <v>129</v>
      </c>
      <c r="O57" s="198">
        <f>+GETPIVOTDATA(" Old-Oth PP",'Pivot Table for 1-11'!$A$3,"State","TX","SREB Type2","Four-Year")</f>
        <v>20</v>
      </c>
      <c r="P57" s="182">
        <f>SUM(B57:O57)</f>
        <v>106587</v>
      </c>
    </row>
    <row r="58" spans="1:16" ht="15" customHeight="1">
      <c r="A58" s="5" t="s">
        <v>311</v>
      </c>
      <c r="B58" s="6">
        <f>+GETPIVOTDATA(" Old-Less Than 2-Year",'Pivot Table for 1-11'!$A$3,"State","VA","SREB Type2","Four-Year")+GETPIVOTDATA(" Old-2 But Less Than 4-Year",'Pivot Table for 1-11'!$A$3,"State","VA","SREB Type2","Four-Year")</f>
        <v>0</v>
      </c>
      <c r="C58" s="6">
        <f>+GETPIVOTDATA(" Old-Associate's",'Pivot Table for 1-11'!$A$3,"State","VA","SREB Type2","Four-Year")</f>
        <v>101</v>
      </c>
      <c r="D58" s="6">
        <f>+GETPIVOTDATA(" Old-Bachelor's",'Pivot Table for 1-11'!$A$3,"State","VA","SREB Type2","Four-Year")</f>
        <v>29831</v>
      </c>
      <c r="E58" s="6">
        <f>+GETPIVOTDATA(" Old-Post-Bachelor's",'Pivot Table for 1-11'!$A$3,"State","VA","SREB Type2","Four-Year")</f>
        <v>544</v>
      </c>
      <c r="F58" s="6">
        <f>+GETPIVOTDATA(" Old-Total Master's#",'Pivot Table for 1-11'!$A$3,"State","VA","SREB Type2","Four-Year")</f>
        <v>10311</v>
      </c>
      <c r="G58" s="6">
        <f>+GETPIVOTDATA(" Old-Total Doctorates#",'Pivot Table for 1-11'!$A$3,"State","VA","SREB Type2","Four-Year")</f>
        <v>1295</v>
      </c>
      <c r="H58" s="17">
        <f>+GETPIVOTDATA(" Old-Law",'Pivot Table for 1-11'!$A$3,"State","VA","SREB Type2","Four-Year")</f>
        <v>827</v>
      </c>
      <c r="I58" s="6">
        <f>+GETPIVOTDATA(" Old-Medicine",'Pivot Table for 1-11'!$A$3,"State","VA","SREB Type2","Four-Year")</f>
        <v>309</v>
      </c>
      <c r="J58" s="6">
        <f>+GETPIVOTDATA(" Old-Dentistry",'Pivot Table for 1-11'!$A$3,"State","VA","SREB Type2","Four-Year")</f>
        <v>92</v>
      </c>
      <c r="K58" s="6">
        <f>+GETPIVOTDATA(" Old-Pharmacy",'Pivot Table for 1-11'!$A$3,"State","VA","SREB Type2","Four-Year")</f>
        <v>126</v>
      </c>
      <c r="L58" s="6">
        <f>+GETPIVOTDATA(" Old-Optometry",'Pivot Table for 1-11'!$A$3,"State","VA","SREB Type2","Four-Year")</f>
        <v>0</v>
      </c>
      <c r="M58" s="6">
        <f>+GETPIVOTDATA(" Old-Osteopathic Medicine",'Pivot Table for 1-11'!$A$3,"State","VA","SREB Type2","Four-Year")</f>
        <v>0</v>
      </c>
      <c r="N58" s="181">
        <f>+GETPIVOTDATA(" Old-Veterinary Medicine",'Pivot Table for 1-11'!$A$3,"State","VA","SREB Type2","Four-Year")</f>
        <v>88</v>
      </c>
      <c r="O58" s="198">
        <f>+GETPIVOTDATA(" Old-Oth PP",'Pivot Table for 1-11'!$A$3,"State","VA","SREB Type2","Four-Year")</f>
        <v>0</v>
      </c>
      <c r="P58" s="182">
        <f>SUM(B58:O58)</f>
        <v>43524</v>
      </c>
    </row>
    <row r="59" spans="1:16" ht="15" customHeight="1">
      <c r="A59" s="7" t="s">
        <v>312</v>
      </c>
      <c r="B59" s="8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8">
        <f>+GETPIVOTDATA(" Old-Associate's",'Pivot Table for 1-11'!$A$3,"State","WV","SREB Type2","Four-Year")</f>
        <v>327</v>
      </c>
      <c r="D59" s="8">
        <f>+GETPIVOTDATA(" Old-Bachelor's",'Pivot Table for 1-11'!$A$3,"State","WV","SREB Type2","Four-Year")</f>
        <v>8323</v>
      </c>
      <c r="E59" s="8">
        <f>+GETPIVOTDATA(" Old-Post-Bachelor's",'Pivot Table for 1-11'!$A$3,"State","WV","SREB Type2","Four-Year")</f>
        <v>0</v>
      </c>
      <c r="F59" s="8">
        <f>+GETPIVOTDATA(" Old-Total Master's#",'Pivot Table for 1-11'!$A$3,"State","WV","SREB Type2","Four-Year")</f>
        <v>2553</v>
      </c>
      <c r="G59" s="8">
        <f>+GETPIVOTDATA(" Old-Total Doctorates#",'Pivot Table for 1-11'!$A$3,"State","WV","SREB Type2","Four-Year")</f>
        <v>221</v>
      </c>
      <c r="H59" s="18">
        <f>+GETPIVOTDATA(" Old-Law",'Pivot Table for 1-11'!$A$3,"State","WV","SREB Type2","Four-Year")</f>
        <v>148</v>
      </c>
      <c r="I59" s="8">
        <f>+GETPIVOTDATA(" Old-Medicine",'Pivot Table for 1-11'!$A$3,"State","WV","SREB Type2","Four-Year")</f>
        <v>129</v>
      </c>
      <c r="J59" s="8">
        <f>+GETPIVOTDATA(" Old-Dentistry",'Pivot Table for 1-11'!$A$3,"State","WV","SREB Type2","Four-Year")</f>
        <v>46</v>
      </c>
      <c r="K59" s="8">
        <f>+GETPIVOTDATA(" Old-Pharmacy",'Pivot Table for 1-11'!$A$3,"State","WV","SREB Type2","Four-Year")</f>
        <v>74</v>
      </c>
      <c r="L59" s="8">
        <f>+GETPIVOTDATA(" Old-Optometry",'Pivot Table for 1-11'!$A$3,"State","WV","SREB Type2","Four-Year")</f>
        <v>0</v>
      </c>
      <c r="M59" s="8">
        <f>+GETPIVOTDATA(" Old-Osteopathic Medicine",'Pivot Table for 1-11'!$A$3,"State","WV","SREB Type2","Four-Year")</f>
        <v>0</v>
      </c>
      <c r="N59" s="189">
        <f>+GETPIVOTDATA(" Old-Veterinary Medicine",'Pivot Table for 1-11'!$A$3,"State","WV","SREB Type2","Four-Year")</f>
        <v>0</v>
      </c>
      <c r="O59" s="199">
        <f>+GETPIVOTDATA(" Old-Oth PP",'Pivot Table for 1-11'!$A$3,"State","WV","SREB Type2","Four-Year")</f>
        <v>0</v>
      </c>
      <c r="P59" s="183">
        <f>SUM(B59:O59)</f>
        <v>11821</v>
      </c>
    </row>
    <row r="60" spans="1:16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181"/>
      <c r="O60" s="181"/>
      <c r="P60" s="181"/>
    </row>
    <row r="61" spans="1:16" ht="24" customHeight="1">
      <c r="A61" s="767" t="s">
        <v>1253</v>
      </c>
      <c r="B61" s="768"/>
      <c r="C61" s="768"/>
      <c r="D61" s="768"/>
      <c r="E61" s="768"/>
      <c r="F61" s="768"/>
      <c r="G61" s="768"/>
      <c r="H61" s="768"/>
      <c r="I61" s="768"/>
      <c r="J61" s="768"/>
      <c r="K61" s="768"/>
      <c r="L61" s="768"/>
      <c r="M61" s="768"/>
      <c r="N61" s="768"/>
      <c r="O61" s="768"/>
      <c r="P61" s="768"/>
    </row>
    <row r="62" spans="1:16" ht="15" customHeight="1">
      <c r="A62" s="694"/>
      <c r="B62" s="694"/>
      <c r="C62" s="694"/>
      <c r="D62" s="694"/>
      <c r="E62" s="694"/>
      <c r="F62" s="694"/>
      <c r="G62" s="694"/>
      <c r="H62" s="694"/>
      <c r="I62" s="694"/>
      <c r="J62" s="694"/>
      <c r="K62" s="694"/>
      <c r="L62" s="694"/>
      <c r="M62" s="694"/>
      <c r="N62" s="107"/>
      <c r="O62" s="107"/>
      <c r="P62" s="107"/>
    </row>
    <row r="63" spans="1:16">
      <c r="P63" s="184" t="s">
        <v>1267</v>
      </c>
    </row>
    <row r="64" spans="1:16" ht="18">
      <c r="A64" s="22" t="s">
        <v>314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93"/>
      <c r="O64" s="93"/>
      <c r="P64" s="93"/>
    </row>
    <row r="65" spans="1:1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92"/>
      <c r="O65" s="92"/>
      <c r="P65" s="92"/>
    </row>
    <row r="66" spans="1:16" ht="15.75">
      <c r="A66" s="1" t="s">
        <v>285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93"/>
      <c r="O66" s="93"/>
      <c r="P66" s="93"/>
    </row>
    <row r="67" spans="1:16" ht="15.75">
      <c r="A67" s="1" t="s">
        <v>1310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93"/>
      <c r="O67" s="93"/>
      <c r="P67" s="93"/>
    </row>
    <row r="68" spans="1:16" ht="1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94"/>
      <c r="O68" s="94"/>
      <c r="P68" s="94"/>
    </row>
    <row r="69" spans="1:16" ht="15.75">
      <c r="A69" s="192"/>
      <c r="B69" s="192"/>
      <c r="C69" s="192"/>
      <c r="D69" s="192"/>
      <c r="E69" s="192"/>
      <c r="F69" s="192"/>
      <c r="G69" s="192"/>
      <c r="H69" s="196" t="s">
        <v>1254</v>
      </c>
      <c r="I69" s="26"/>
      <c r="J69" s="26"/>
      <c r="K69" s="26"/>
      <c r="L69" s="26"/>
      <c r="M69" s="26"/>
      <c r="N69" s="193"/>
      <c r="O69" s="200"/>
      <c r="P69" s="195" t="s">
        <v>321</v>
      </c>
    </row>
    <row r="70" spans="1:16" ht="36.75" customHeight="1">
      <c r="A70" s="14"/>
      <c r="B70" s="15" t="s">
        <v>696</v>
      </c>
      <c r="C70" s="15" t="s">
        <v>286</v>
      </c>
      <c r="D70" s="15" t="s">
        <v>278</v>
      </c>
      <c r="E70" s="15" t="s">
        <v>279</v>
      </c>
      <c r="F70" s="15" t="s">
        <v>288</v>
      </c>
      <c r="G70" s="15" t="s">
        <v>289</v>
      </c>
      <c r="H70" s="16" t="s">
        <v>290</v>
      </c>
      <c r="I70" s="15" t="s">
        <v>291</v>
      </c>
      <c r="J70" s="15" t="s">
        <v>292</v>
      </c>
      <c r="K70" s="15" t="s">
        <v>283</v>
      </c>
      <c r="L70" s="15" t="s">
        <v>293</v>
      </c>
      <c r="M70" s="15" t="s">
        <v>294</v>
      </c>
      <c r="N70" s="191" t="s">
        <v>1320</v>
      </c>
      <c r="O70" s="197" t="s">
        <v>1321</v>
      </c>
      <c r="P70" s="191" t="s">
        <v>295</v>
      </c>
    </row>
    <row r="71" spans="1:16" ht="15" customHeight="1">
      <c r="A71" s="5" t="s">
        <v>296</v>
      </c>
      <c r="B71" s="6">
        <f>+GETPIVOTDATA(" Old-Less Than 2-Year",'Pivot Table for 1-11'!$A$3,"SREB Type",1,"SREB Type2","Four-Year")+GETPIVOTDATA(" Old-2 But Less Than 4-Year",'Pivot Table for 1-11'!$A$3,"SREB Type",1,"SREB Type2","Four-Year")</f>
        <v>132</v>
      </c>
      <c r="C71" s="6">
        <f>+GETPIVOTDATA(" Old-Associate's",'Pivot Table for 1-11'!$A$3,"SREB Type",1,"SREB Type2","Four-Year")</f>
        <v>1461</v>
      </c>
      <c r="D71" s="6">
        <f>+GETPIVOTDATA(" Old-Bachelor's",'Pivot Table for 1-11'!$A$3,"SREB Type",1,"SREB Type2","Four-Year")</f>
        <v>171437</v>
      </c>
      <c r="E71" s="6">
        <f>+GETPIVOTDATA(" Old-Post-Bachelor's",'Pivot Table for 1-11'!$A$3,"SREB Type",1,"SREB Type2","Four-Year")</f>
        <v>677</v>
      </c>
      <c r="F71" s="6">
        <f>+GETPIVOTDATA(" Old-Total Master's#",'Pivot Table for 1-11'!$A$3,"SREB Type",1,"SREB Type2","Four-Year")</f>
        <v>58704</v>
      </c>
      <c r="G71" s="6">
        <f>+GETPIVOTDATA(" Old-Total Doctorates#",'Pivot Table for 1-11'!$A$3,"SREB Type",1,"SREB Type2","Four-Year")</f>
        <v>10540</v>
      </c>
      <c r="H71" s="17">
        <f>+GETPIVOTDATA(" Old-Law",'Pivot Table for 1-11'!$A$3,"SREB Type",1,"SREB Type2","Four-Year")</f>
        <v>4645</v>
      </c>
      <c r="I71" s="6">
        <f>+GETPIVOTDATA(" Old-Medicine",'Pivot Table for 1-11'!$A$3,"SREB Type",1,"SREB Type2","Four-Year")</f>
        <v>1284</v>
      </c>
      <c r="J71" s="6">
        <f>+GETPIVOTDATA(" Old-Dentistry",'Pivot Table for 1-11'!$A$3,"SREB Type",1,"SREB Type2","Four-Year")</f>
        <v>432</v>
      </c>
      <c r="K71" s="6">
        <f>+GETPIVOTDATA(" Old-Pharmacy",'Pivot Table for 1-11'!$A$3,"SREB Type",1,"SREB Type2","Four-Year")</f>
        <v>1542</v>
      </c>
      <c r="L71" s="6">
        <f>+GETPIVOTDATA(" Old-Optometry",'Pivot Table for 1-11'!$A$3,"SREB Type",1,"SREB Type2","Four-Year")</f>
        <v>134</v>
      </c>
      <c r="M71" s="6">
        <f>+GETPIVOTDATA(" Old-Osteopathic Medicine",'Pivot Table for 1-11'!$A$3,"SREB Type",1,"SREB Type2","Four-Year")</f>
        <v>76</v>
      </c>
      <c r="N71" s="181">
        <f>+GETPIVOTDATA(" Old-Veterinary Medicine",'Pivot Table for 1-11'!$A$3,"SREB Type",1,"SREB Type2","Four-Year")</f>
        <v>853</v>
      </c>
      <c r="O71" s="198">
        <f>+GETPIVOTDATA(" Old-Oth PP",'Pivot Table for 1-11'!$A$3,"SREB Type",1,"SREB Type2","Four-Year")</f>
        <v>83</v>
      </c>
      <c r="P71" s="182">
        <f t="shared" ref="P71" si="1">SUM(B71:O71)</f>
        <v>252000</v>
      </c>
    </row>
    <row r="72" spans="1:16" ht="15" customHeight="1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181"/>
      <c r="O72" s="198"/>
      <c r="P72" s="182"/>
    </row>
    <row r="73" spans="1:16" ht="15" customHeight="1">
      <c r="A73" s="5" t="s">
        <v>297</v>
      </c>
      <c r="B73" s="6">
        <f>GETPIVOTDATA(" Old-Less Than 2-Year",'Pivot Table for 1-11'!$A$3,"State","AL","SREB Type",1,"SREB Type2","Four-Year")+GETPIVOTDATA(" Old-2 But Less Than 4-Year",'Pivot Table for 1-11'!$A$3,"State","AL","SREB Type",1,"SREB Type2","Four-Year")</f>
        <v>0</v>
      </c>
      <c r="C73" s="6">
        <f>+GETPIVOTDATA(" Old-Associate's",'Pivot Table for 1-11'!$A$3,"State","AL","SREB Type",1,"SREB Type2","Four-Year")</f>
        <v>0</v>
      </c>
      <c r="D73" s="6">
        <f>+GETPIVOTDATA(" Old-Bachelor's",'Pivot Table for 1-11'!$A$3,"State","AL","SREB Type",1,"SREB Type2","Four-Year")</f>
        <v>9068</v>
      </c>
      <c r="E73" s="6">
        <f>+GETPIVOTDATA(" Old-Post-Bachelor's",'Pivot Table for 1-11'!$A$3,"State","AL","SREB Type",1,"SREB Type2","Four-Year")</f>
        <v>14</v>
      </c>
      <c r="F73" s="6">
        <f>+GETPIVOTDATA(" Old-Total Master's#",'Pivot Table for 1-11'!$A$3,"State","AL","SREB Type",1,"SREB Type2","Four-Year")</f>
        <v>3304</v>
      </c>
      <c r="G73" s="6">
        <f>+GETPIVOTDATA(" Old-Total Doctorates#",'Pivot Table for 1-11'!$A$3,"State","AL","SREB Type",1,"SREB Type2","Four-Year")</f>
        <v>593</v>
      </c>
      <c r="H73" s="17">
        <f>+GETPIVOTDATA(" Old-Law",'Pivot Table for 1-11'!$A$3,"State","AL","SREB Type",1,"SREB Type2","Four-Year")</f>
        <v>154</v>
      </c>
      <c r="I73" s="6">
        <f>+GETPIVOTDATA(" Old-Medicine",'Pivot Table for 1-11'!$A$3,"State","AL","SREB Type",1,"SREB Type2","Four-Year")</f>
        <v>160</v>
      </c>
      <c r="J73" s="6">
        <f>+GETPIVOTDATA(" Old-Dentistry",'Pivot Table for 1-11'!$A$3,"State","AL","SREB Type",1,"SREB Type2","Four-Year")</f>
        <v>51</v>
      </c>
      <c r="K73" s="6">
        <f>+GETPIVOTDATA(" Old-Pharmacy",'Pivot Table for 1-11'!$A$3,"State","AL","SREB Type",1,"SREB Type2","Four-Year")</f>
        <v>126</v>
      </c>
      <c r="L73" s="6">
        <f>+GETPIVOTDATA(" Old-Optometry",'Pivot Table for 1-11'!$A$3,"State","AL","SREB Type",1,"SREB Type2","Four-Year")</f>
        <v>34</v>
      </c>
      <c r="M73" s="6">
        <f>+GETPIVOTDATA(" Old-Osteopathic Medicine",'Pivot Table for 1-11'!$A$3,"State","AL","SREB Type",1,"SREB Type2","Four-Year")</f>
        <v>0</v>
      </c>
      <c r="N73" s="181">
        <f>+GETPIVOTDATA(" Old-Veterinary Medicine",'Pivot Table for 1-11'!$A$3,"State","AL","SREB Type",1,"SREB Type2","Four-Year")</f>
        <v>89</v>
      </c>
      <c r="O73" s="198">
        <f>+GETPIVOTDATA(" Old-Oth PP",'Pivot Table for 1-11'!$A$3,"State","AL","SREB Type",1,"SREB Type2","Four-Year")</f>
        <v>0</v>
      </c>
      <c r="P73" s="182">
        <f t="shared" ref="P73:P91" si="2">SUM(B73:O73)</f>
        <v>13593</v>
      </c>
    </row>
    <row r="74" spans="1:16" ht="15" customHeight="1">
      <c r="A74" s="5" t="s">
        <v>298</v>
      </c>
      <c r="B74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74" s="6">
        <f>+GETPIVOTDATA(" Old-Associate's",'Pivot Table for 1-11'!$A$3,"State","AR","SREB Type",1,"SREB Type2","Four-Year")</f>
        <v>0</v>
      </c>
      <c r="D74" s="6">
        <f>+GETPIVOTDATA(" Old-Bachelor's",'Pivot Table for 1-11'!$A$3,"State","AR","SREB Type",1,"SREB Type2","Four-Year")</f>
        <v>2343</v>
      </c>
      <c r="E74" s="6">
        <f>+GETPIVOTDATA(" Old-Post-Bachelor's",'Pivot Table for 1-11'!$A$3,"State","AR","SREB Type",1,"SREB Type2","Four-Year")</f>
        <v>2</v>
      </c>
      <c r="F74" s="6">
        <f>+GETPIVOTDATA(" Old-Total Master's#",'Pivot Table for 1-11'!$A$3,"State","AR","SREB Type",1,"SREB Type2","Four-Year")</f>
        <v>967</v>
      </c>
      <c r="G74" s="6">
        <f>+GETPIVOTDATA(" Old-Total Doctorates#",'Pivot Table for 1-11'!$A$3,"State","AR","SREB Type",1,"SREB Type2","Four-Year")</f>
        <v>144</v>
      </c>
      <c r="H74" s="17">
        <f>+GETPIVOTDATA(" Old-Law",'Pivot Table for 1-11'!$A$3,"State","AR","SREB Type",1,"SREB Type2","Four-Year")</f>
        <v>130</v>
      </c>
      <c r="I74" s="6">
        <f>+GETPIVOTDATA(" Old-Medicine",'Pivot Table for 1-11'!$A$3,"State","AR","SREB Type",1,"SREB Type2","Four-Year")</f>
        <v>0</v>
      </c>
      <c r="J74" s="6">
        <f>+GETPIVOTDATA(" Old-Dentistry",'Pivot Table for 1-11'!$A$3,"State","AR","SREB Type",1,"SREB Type2","Four-Year")</f>
        <v>0</v>
      </c>
      <c r="K74" s="6">
        <f>+GETPIVOTDATA(" Old-Pharmacy",'Pivot Table for 1-11'!$A$3,"State","AR","SREB Type",1,"SREB Type2","Four-Year")</f>
        <v>0</v>
      </c>
      <c r="L74" s="6">
        <f>+GETPIVOTDATA(" Old-Optometry",'Pivot Table for 1-11'!$A$3,"State","AR","SREB Type",1,"SREB Type2","Four-Year")</f>
        <v>0</v>
      </c>
      <c r="M74" s="6">
        <f>+GETPIVOTDATA(" Old-Osteopathic Medicine",'Pivot Table for 1-11'!$A$3,"State","AR","SREB Type",1,"SREB Type2","Four-Year")</f>
        <v>0</v>
      </c>
      <c r="N74" s="181">
        <f>+GETPIVOTDATA(" Old-Veterinary Medicine",'Pivot Table for 1-11'!$A$3,"State","AR","SREB Type",1,"SREB Type2","Four-Year")</f>
        <v>0</v>
      </c>
      <c r="O74" s="198">
        <f>+GETPIVOTDATA(" Old-Oth PP",'Pivot Table for 1-11'!$A$3,"State","AR","SREB Type",1,"SREB Type2","Four-Year")</f>
        <v>0</v>
      </c>
      <c r="P74" s="182">
        <f t="shared" si="2"/>
        <v>3586</v>
      </c>
    </row>
    <row r="75" spans="1:16" ht="15" customHeight="1">
      <c r="A75" s="5" t="s">
        <v>299</v>
      </c>
      <c r="B75" s="6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6">
        <f>+GETPIVOTDATA(" Old-Associate's",'Pivot Table for 1-11'!$A$3,"State","DE","SREB Type",1,"SREB Type2","Four-Year")</f>
        <v>188</v>
      </c>
      <c r="D75" s="6">
        <f>+GETPIVOTDATA(" Old-Bachelor's",'Pivot Table for 1-11'!$A$3,"State","DE","SREB Type",1,"SREB Type2","Four-Year")</f>
        <v>3500</v>
      </c>
      <c r="E75" s="6">
        <f>+GETPIVOTDATA(" Old-Post-Bachelor's",'Pivot Table for 1-11'!$A$3,"State","DE","SREB Type",1,"SREB Type2","Four-Year")</f>
        <v>0</v>
      </c>
      <c r="F75" s="6">
        <f>+GETPIVOTDATA(" Old-Total Master's#",'Pivot Table for 1-11'!$A$3,"State","DE","SREB Type",1,"SREB Type2","Four-Year")</f>
        <v>695</v>
      </c>
      <c r="G75" s="6">
        <f>+GETPIVOTDATA(" Old-Total Doctorates#",'Pivot Table for 1-11'!$A$3,"State","DE","SREB Type",1,"SREB Type2","Four-Year")</f>
        <v>208</v>
      </c>
      <c r="H75" s="17">
        <f>+GETPIVOTDATA(" Old-Law",'Pivot Table for 1-11'!$A$3,"State","DE","SREB Type",1,"SREB Type2","Four-Year")</f>
        <v>0</v>
      </c>
      <c r="I75" s="6">
        <f>+GETPIVOTDATA(" Old-Medicine",'Pivot Table for 1-11'!$A$3,"State","DE","SREB Type",1,"SREB Type2","Four-Year")</f>
        <v>0</v>
      </c>
      <c r="J75" s="6">
        <f>+GETPIVOTDATA(" Old-Dentistry",'Pivot Table for 1-11'!$A$3,"State","DE","SREB Type",1,"SREB Type2","Four-Year")</f>
        <v>0</v>
      </c>
      <c r="K75" s="6">
        <f>+GETPIVOTDATA(" Old-Pharmacy",'Pivot Table for 1-11'!$A$3,"State","DE","SREB Type",1,"SREB Type2","Four-Year")</f>
        <v>0</v>
      </c>
      <c r="L75" s="6">
        <f>+GETPIVOTDATA(" Old-Optometry",'Pivot Table for 1-11'!$A$3,"State","DE","SREB Type",1,"SREB Type2","Four-Year")</f>
        <v>0</v>
      </c>
      <c r="M75" s="6">
        <f>+GETPIVOTDATA(" Old-Osteopathic Medicine",'Pivot Table for 1-11'!$A$3,"State","DE","SREB Type",1,"SREB Type2","Four-Year")</f>
        <v>0</v>
      </c>
      <c r="N75" s="181">
        <f>+GETPIVOTDATA(" Old-Veterinary Medicine",'Pivot Table for 1-11'!$A$3,"State","DE","SREB Type",1,"SREB Type2","Four-Year")</f>
        <v>0</v>
      </c>
      <c r="O75" s="198">
        <f>+GETPIVOTDATA(" Old-Oth PP",'Pivot Table for 1-11'!$A$3,"State","DE","SREB Type",1,"SREB Type2","Four-Year")</f>
        <v>0</v>
      </c>
      <c r="P75" s="182">
        <f t="shared" si="2"/>
        <v>4591</v>
      </c>
    </row>
    <row r="76" spans="1:16" ht="15" customHeight="1">
      <c r="A76" s="5" t="s">
        <v>300</v>
      </c>
      <c r="B76" s="6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6">
        <f>+GETPIVOTDATA(" Old-Associate's",'Pivot Table for 1-11'!$A$3,"State","FL","SREB Type",1,"SREB Type2","Four-Year")</f>
        <v>1078</v>
      </c>
      <c r="D76" s="6">
        <f>+GETPIVOTDATA(" Old-Bachelor's",'Pivot Table for 1-11'!$A$3,"State","FL","SREB Type",1,"SREB Type2","Four-Year")</f>
        <v>37942</v>
      </c>
      <c r="E76" s="6">
        <f>+GETPIVOTDATA(" Old-Post-Bachelor's",'Pivot Table for 1-11'!$A$3,"State","FL","SREB Type",1,"SREB Type2","Four-Year")</f>
        <v>0</v>
      </c>
      <c r="F76" s="6">
        <f>+GETPIVOTDATA(" Old-Total Master's#",'Pivot Table for 1-11'!$A$3,"State","FL","SREB Type",1,"SREB Type2","Four-Year")</f>
        <v>11988</v>
      </c>
      <c r="G76" s="6">
        <f>+GETPIVOTDATA(" Old-Total Doctorates#",'Pivot Table for 1-11'!$A$3,"State","FL","SREB Type",1,"SREB Type2","Four-Year")</f>
        <v>1810</v>
      </c>
      <c r="H76" s="17">
        <f>+GETPIVOTDATA(" Old-Law",'Pivot Table for 1-11'!$A$3,"State","FL","SREB Type",1,"SREB Type2","Four-Year")</f>
        <v>883</v>
      </c>
      <c r="I76" s="6">
        <f>+GETPIVOTDATA(" Old-Medicine",'Pivot Table for 1-11'!$A$3,"State","FL","SREB Type",1,"SREB Type2","Four-Year")</f>
        <v>287</v>
      </c>
      <c r="J76" s="6">
        <f>+GETPIVOTDATA(" Old-Dentistry",'Pivot Table for 1-11'!$A$3,"State","FL","SREB Type",1,"SREB Type2","Four-Year")</f>
        <v>72</v>
      </c>
      <c r="K76" s="6">
        <f>+GETPIVOTDATA(" Old-Pharmacy",'Pivot Table for 1-11'!$A$3,"State","FL","SREB Type",1,"SREB Type2","Four-Year")</f>
        <v>492</v>
      </c>
      <c r="L76" s="6">
        <f>+GETPIVOTDATA(" Old-Optometry",'Pivot Table for 1-11'!$A$3,"State","FL","SREB Type",1,"SREB Type2","Four-Year")</f>
        <v>0</v>
      </c>
      <c r="M76" s="6">
        <f>+GETPIVOTDATA(" Old-Osteopathic Medicine",'Pivot Table for 1-11'!$A$3,"State","FL","SREB Type",1,"SREB Type2","Four-Year")</f>
        <v>0</v>
      </c>
      <c r="N76" s="181">
        <f>+GETPIVOTDATA(" Old-Veterinary Medicine",'Pivot Table for 1-11'!$A$3,"State","FL","SREB Type",1,"SREB Type2","Four-Year")</f>
        <v>83</v>
      </c>
      <c r="O76" s="198">
        <f>+GETPIVOTDATA(" Old-Oth PP",'Pivot Table for 1-11'!$A$3,"State","FL","SREB Type",1,"SREB Type2","Four-Year")</f>
        <v>0</v>
      </c>
      <c r="P76" s="182">
        <f t="shared" si="2"/>
        <v>54635</v>
      </c>
    </row>
    <row r="77" spans="1:16" ht="15" customHeight="1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181"/>
      <c r="O77" s="198"/>
      <c r="P77" s="182"/>
    </row>
    <row r="78" spans="1:16" ht="15" customHeight="1">
      <c r="A78" s="5" t="s">
        <v>301</v>
      </c>
      <c r="B78" s="6">
        <f>+GETPIVOTDATA(" Old-Less Than 2-Year",'Pivot Table for 1-11'!$A$3,"State","GA","SREB Type",1,"SREB Type2","Four-Year")+GETPIVOTDATA(" Old-2 But Less Than 4-Year",'Pivot Table for 1-11'!$A$3,"State","GA","SREB Type",1,"SREB Type2","Four-Year")</f>
        <v>0</v>
      </c>
      <c r="C78" s="6">
        <f>+GETPIVOTDATA(" Old-Associate's",'Pivot Table for 1-11'!$A$3,"State","GA","SREB Type",1,"SREB Type2","Four-Year")</f>
        <v>0</v>
      </c>
      <c r="D78" s="6">
        <f>+GETPIVOTDATA(" Old-Bachelor's",'Pivot Table for 1-11'!$A$3,"State","GA","SREB Type",1,"SREB Type2","Four-Year")</f>
        <v>10008</v>
      </c>
      <c r="E78" s="6">
        <f>+GETPIVOTDATA(" Old-Post-Bachelor's",'Pivot Table for 1-11'!$A$3,"State","GA","SREB Type",1,"SREB Type2","Four-Year")</f>
        <v>28</v>
      </c>
      <c r="F78" s="6">
        <f>+GETPIVOTDATA(" Old-Total Master's#",'Pivot Table for 1-11'!$A$3,"State","GA","SREB Type",1,"SREB Type2","Four-Year")</f>
        <v>3426</v>
      </c>
      <c r="G78" s="6">
        <f>+GETPIVOTDATA(" Old-Total Doctorates#",'Pivot Table for 1-11'!$A$3,"State","GA","SREB Type",1,"SREB Type2","Four-Year")</f>
        <v>591</v>
      </c>
      <c r="H78" s="17">
        <f>+GETPIVOTDATA(" Old-Law",'Pivot Table for 1-11'!$A$3,"State","GA","SREB Type",1,"SREB Type2","Four-Year")</f>
        <v>387</v>
      </c>
      <c r="I78" s="6">
        <f>+GETPIVOTDATA(" Old-Medicine",'Pivot Table for 1-11'!$A$3,"State","GA","SREB Type",1,"SREB Type2","Four-Year")</f>
        <v>0</v>
      </c>
      <c r="J78" s="6">
        <f>+GETPIVOTDATA(" Old-Dentistry",'Pivot Table for 1-11'!$A$3,"State","GA","SREB Type",1,"SREB Type2","Four-Year")</f>
        <v>0</v>
      </c>
      <c r="K78" s="6">
        <f>+GETPIVOTDATA(" Old-Pharmacy",'Pivot Table for 1-11'!$A$3,"State","GA","SREB Type",1,"SREB Type2","Four-Year")</f>
        <v>138</v>
      </c>
      <c r="L78" s="6">
        <f>+GETPIVOTDATA(" Old-Optometry",'Pivot Table for 1-11'!$A$3,"State","GA","SREB Type",1,"SREB Type2","Four-Year")</f>
        <v>0</v>
      </c>
      <c r="M78" s="6">
        <f>+GETPIVOTDATA(" Old-Osteopathic Medicine",'Pivot Table for 1-11'!$A$3,"State","GA","SREB Type",1,"SREB Type2","Four-Year")</f>
        <v>0</v>
      </c>
      <c r="N78" s="181">
        <f>+GETPIVOTDATA(" Old-Veterinary Medicine",'Pivot Table for 1-11'!$A$3,"State","GA","SREB Type",1,"SREB Type2","Four-Year")</f>
        <v>96</v>
      </c>
      <c r="O78" s="198">
        <f>+GETPIVOTDATA(" Old-Oth PP",'Pivot Table for 1-11'!$A$3,"State","GA","SREB Type",1,"SREB Type2","Four-Year")</f>
        <v>0</v>
      </c>
      <c r="P78" s="182">
        <f t="shared" si="2"/>
        <v>14674</v>
      </c>
    </row>
    <row r="79" spans="1:16" ht="15" customHeight="1">
      <c r="A79" s="5" t="s">
        <v>302</v>
      </c>
      <c r="B79" s="6">
        <f>+GETPIVOTDATA(" Old-Less Than 2-Year",'Pivot Table for 1-11'!$A$3,"State","KY","SREB Type",1,"SREB Type2","Four-Year")+GETPIVOTDATA(" Old-2 But Less Than 4-Year",'Pivot Table for 1-11'!$A$3,"State","KY","SREB Type",1,"SREB Type2","Four-Year")</f>
        <v>31</v>
      </c>
      <c r="C79" s="6">
        <f>+GETPIVOTDATA(" Old-Associate's",'Pivot Table for 1-11'!$A$3,"State","KY","SREB Type",1,"SREB Type2","Four-Year")</f>
        <v>19</v>
      </c>
      <c r="D79" s="6">
        <f>+GETPIVOTDATA(" Old-Bachelor's",'Pivot Table for 1-11'!$A$3,"State","KY","SREB Type",1,"SREB Type2","Four-Year")</f>
        <v>6073</v>
      </c>
      <c r="E79" s="6">
        <f>+GETPIVOTDATA(" Old-Post-Bachelor's",'Pivot Table for 1-11'!$A$3,"State","KY","SREB Type",1,"SREB Type2","Four-Year")</f>
        <v>109</v>
      </c>
      <c r="F79" s="6">
        <f>+GETPIVOTDATA(" Old-Total Master's#",'Pivot Table for 1-11'!$A$3,"State","KY","SREB Type",1,"SREB Type2","Four-Year")</f>
        <v>2684</v>
      </c>
      <c r="G79" s="6">
        <f>+GETPIVOTDATA(" Old-Total Doctorates#",'Pivot Table for 1-11'!$A$3,"State","KY","SREB Type",1,"SREB Type2","Four-Year")</f>
        <v>459</v>
      </c>
      <c r="H79" s="17">
        <f>+GETPIVOTDATA(" Old-Law",'Pivot Table for 1-11'!$A$3,"State","KY","SREB Type",1,"SREB Type2","Four-Year")</f>
        <v>287</v>
      </c>
      <c r="I79" s="6">
        <f>+GETPIVOTDATA(" Old-Medicine",'Pivot Table for 1-11'!$A$3,"State","KY","SREB Type",1,"SREB Type2","Four-Year")</f>
        <v>240</v>
      </c>
      <c r="J79" s="6">
        <f>+GETPIVOTDATA(" Old-Dentistry",'Pivot Table for 1-11'!$A$3,"State","KY","SREB Type",1,"SREB Type2","Four-Year")</f>
        <v>122</v>
      </c>
      <c r="K79" s="6">
        <f>+GETPIVOTDATA(" Old-Pharmacy",'Pivot Table for 1-11'!$A$3,"State","KY","SREB Type",1,"SREB Type2","Four-Year")</f>
        <v>103</v>
      </c>
      <c r="L79" s="6">
        <f>+GETPIVOTDATA(" Old-Optometry",'Pivot Table for 1-11'!$A$3,"State","KY","SREB Type",1,"SREB Type2","Four-Year")</f>
        <v>0</v>
      </c>
      <c r="M79" s="6">
        <f>+GETPIVOTDATA(" Old-Osteopathic Medicine",'Pivot Table for 1-11'!$A$3,"State","KY","SREB Type",1,"SREB Type2","Four-Year")</f>
        <v>0</v>
      </c>
      <c r="N79" s="181">
        <f>+GETPIVOTDATA(" Old-Veterinary Medicine",'Pivot Table for 1-11'!$A$3,"State","KY","SREB Type",1,"SREB Type2","Four-Year")</f>
        <v>0</v>
      </c>
      <c r="O79" s="198">
        <f>+GETPIVOTDATA(" Old-Oth PP",'Pivot Table for 1-11'!$A$3,"State","KY","SREB Type",1,"SREB Type2","Four-Year")</f>
        <v>0</v>
      </c>
      <c r="P79" s="182">
        <f t="shared" si="2"/>
        <v>10127</v>
      </c>
    </row>
    <row r="80" spans="1:16" ht="15" customHeight="1">
      <c r="A80" s="5" t="s">
        <v>303</v>
      </c>
      <c r="B80" s="6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6">
        <f>+GETPIVOTDATA(" Old-Associate's",'Pivot Table for 1-11'!$A$3,"State","LA","SREB Type",1,"SREB Type2","Four-Year")</f>
        <v>0</v>
      </c>
      <c r="D80" s="6">
        <f>+GETPIVOTDATA(" Old-Bachelor's",'Pivot Table for 1-11'!$A$3,"State","LA","SREB Type",1,"SREB Type2","Four-Year")</f>
        <v>4600</v>
      </c>
      <c r="E80" s="6">
        <f>+GETPIVOTDATA(" Old-Post-Bachelor's",'Pivot Table for 1-11'!$A$3,"State","LA","SREB Type",1,"SREB Type2","Four-Year")</f>
        <v>0</v>
      </c>
      <c r="F80" s="6">
        <f>+GETPIVOTDATA(" Old-Total Master's#",'Pivot Table for 1-11'!$A$3,"State","LA","SREB Type",1,"SREB Type2","Four-Year")</f>
        <v>1003</v>
      </c>
      <c r="G80" s="6">
        <f>+GETPIVOTDATA(" Old-Total Doctorates#",'Pivot Table for 1-11'!$A$3,"State","LA","SREB Type",1,"SREB Type2","Four-Year")</f>
        <v>231</v>
      </c>
      <c r="H80" s="17">
        <f>+GETPIVOTDATA(" Old-Law",'Pivot Table for 1-11'!$A$3,"State","LA","SREB Type",1,"SREB Type2","Four-Year")</f>
        <v>191</v>
      </c>
      <c r="I80" s="6">
        <f>+GETPIVOTDATA(" Old-Medicine",'Pivot Table for 1-11'!$A$3,"State","LA","SREB Type",1,"SREB Type2","Four-Year")</f>
        <v>0</v>
      </c>
      <c r="J80" s="6">
        <f>+GETPIVOTDATA(" Old-Dentistry",'Pivot Table for 1-11'!$A$3,"State","LA","SREB Type",1,"SREB Type2","Four-Year")</f>
        <v>0</v>
      </c>
      <c r="K80" s="6">
        <f>+GETPIVOTDATA(" Old-Pharmacy",'Pivot Table for 1-11'!$A$3,"State","LA","SREB Type",1,"SREB Type2","Four-Year")</f>
        <v>0</v>
      </c>
      <c r="L80" s="6">
        <f>+GETPIVOTDATA(" Old-Optometry",'Pivot Table for 1-11'!$A$3,"State","LA","SREB Type",1,"SREB Type2","Four-Year")</f>
        <v>0</v>
      </c>
      <c r="M80" s="6">
        <f>+GETPIVOTDATA(" Old-Osteopathic Medicine",'Pivot Table for 1-11'!$A$3,"State","LA","SREB Type",1,"SREB Type2","Four-Year")</f>
        <v>0</v>
      </c>
      <c r="N80" s="181">
        <f>+GETPIVOTDATA(" Old-Veterinary Medicine",'Pivot Table for 1-11'!$A$3,"State","LA","SREB Type",1,"SREB Type2","Four-Year")</f>
        <v>83</v>
      </c>
      <c r="O80" s="198">
        <f>+GETPIVOTDATA(" Old-Oth PP",'Pivot Table for 1-11'!$A$3,"State","LA","SREB Type",1,"SREB Type2","Four-Year")</f>
        <v>0</v>
      </c>
      <c r="P80" s="182">
        <f t="shared" si="2"/>
        <v>6108</v>
      </c>
    </row>
    <row r="81" spans="1:16" ht="15" customHeight="1">
      <c r="A81" s="5" t="s">
        <v>304</v>
      </c>
      <c r="B81" s="6">
        <f>+GETPIVOTDATA(" Old-Less Than 2-Year",'Pivot Table for 1-11'!$A$3,"State","MD","SREB Type",1,"SREB Type2","Four-Year")+GETPIVOTDATA(" Old-2 But Less Than 4-Year",'Pivot Table for 1-11'!$A$3,"State","MD","SREB Type",1,"SREB Type2","Four-Year")</f>
        <v>69</v>
      </c>
      <c r="C81" s="6">
        <f>+GETPIVOTDATA(" Old-Associate's",'Pivot Table for 1-11'!$A$3,"State","MD","SREB Type",1,"SREB Type2","Four-Year")</f>
        <v>0</v>
      </c>
      <c r="D81" s="6">
        <f>+GETPIVOTDATA(" Old-Bachelor's",'Pivot Table for 1-11'!$A$3,"State","MD","SREB Type",1,"SREB Type2","Four-Year")</f>
        <v>6311</v>
      </c>
      <c r="E81" s="6">
        <f>+GETPIVOTDATA(" Old-Post-Bachelor's",'Pivot Table for 1-11'!$A$3,"State","MD","SREB Type",1,"SREB Type2","Four-Year")</f>
        <v>127</v>
      </c>
      <c r="F81" s="6">
        <f>+GETPIVOTDATA(" Old-Total Master's#",'Pivot Table for 1-11'!$A$3,"State","MD","SREB Type",1,"SREB Type2","Four-Year")</f>
        <v>2089</v>
      </c>
      <c r="G81" s="6">
        <f>+GETPIVOTDATA(" Old-Total Doctorates#",'Pivot Table for 1-11'!$A$3,"State","MD","SREB Type",1,"SREB Type2","Four-Year")</f>
        <v>655</v>
      </c>
      <c r="H81" s="17">
        <f>+GETPIVOTDATA(" Old-Law",'Pivot Table for 1-11'!$A$3,"State","MD","SREB Type",1,"SREB Type2","Four-Year")</f>
        <v>0</v>
      </c>
      <c r="I81" s="6">
        <f>+GETPIVOTDATA(" Old-Medicine",'Pivot Table for 1-11'!$A$3,"State","MD","SREB Type",1,"SREB Type2","Four-Year")</f>
        <v>0</v>
      </c>
      <c r="J81" s="6">
        <f>+GETPIVOTDATA(" Old-Dentistry",'Pivot Table for 1-11'!$A$3,"State","MD","SREB Type",1,"SREB Type2","Four-Year")</f>
        <v>0</v>
      </c>
      <c r="K81" s="6">
        <f>+GETPIVOTDATA(" Old-Pharmacy",'Pivot Table for 1-11'!$A$3,"State","MD","SREB Type",1,"SREB Type2","Four-Year")</f>
        <v>0</v>
      </c>
      <c r="L81" s="6">
        <f>+GETPIVOTDATA(" Old-Optometry",'Pivot Table for 1-11'!$A$3,"State","MD","SREB Type",1,"SREB Type2","Four-Year")</f>
        <v>0</v>
      </c>
      <c r="M81" s="6">
        <f>+GETPIVOTDATA(" Old-Osteopathic Medicine",'Pivot Table for 1-11'!$A$3,"State","MD","SREB Type",1,"SREB Type2","Four-Year")</f>
        <v>0</v>
      </c>
      <c r="N81" s="181">
        <f>+GETPIVOTDATA(" Old-Veterinary Medicine",'Pivot Table for 1-11'!$A$3,"State","MD","SREB Type",1,"SREB Type2","Four-Year")</f>
        <v>0</v>
      </c>
      <c r="O81" s="198">
        <f>+GETPIVOTDATA(" Old-Oth PP",'Pivot Table for 1-11'!$A$3,"State","MD","SREB Type",1,"SREB Type2","Four-Year")</f>
        <v>0</v>
      </c>
      <c r="P81" s="182">
        <f t="shared" si="2"/>
        <v>9251</v>
      </c>
    </row>
    <row r="82" spans="1:16" ht="15" customHeight="1">
      <c r="A82" s="5"/>
      <c r="B82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181"/>
      <c r="O82" s="198"/>
      <c r="P82" s="182"/>
    </row>
    <row r="83" spans="1:16" ht="15" customHeight="1">
      <c r="A83" s="5" t="s">
        <v>305</v>
      </c>
      <c r="B83" s="6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6">
        <f>+GETPIVOTDATA(" Old-Associate's",'Pivot Table for 1-11'!$A$3,"State","MS","SREB Type",1,"SREB Type2","Four-Year")</f>
        <v>0</v>
      </c>
      <c r="D83" s="6">
        <f>+GETPIVOTDATA(" Old-Bachelor's",'Pivot Table for 1-11'!$A$3,"State","MS","SREB Type",1,"SREB Type2","Four-Year")</f>
        <v>4816</v>
      </c>
      <c r="E83" s="6">
        <f>+GETPIVOTDATA(" Old-Post-Bachelor's",'Pivot Table for 1-11'!$A$3,"State","MS","SREB Type",1,"SREB Type2","Four-Year")</f>
        <v>0</v>
      </c>
      <c r="F83" s="6">
        <f>+GETPIVOTDATA(" Old-Total Master's#",'Pivot Table for 1-11'!$A$3,"State","MS","SREB Type",1,"SREB Type2","Four-Year")</f>
        <v>1528</v>
      </c>
      <c r="G83" s="6">
        <f>+GETPIVOTDATA(" Old-Total Doctorates#",'Pivot Table for 1-11'!$A$3,"State","MS","SREB Type",1,"SREB Type2","Four-Year")</f>
        <v>252</v>
      </c>
      <c r="H83" s="17">
        <f>+GETPIVOTDATA(" Old-Law",'Pivot Table for 1-11'!$A$3,"State","MS","SREB Type",1,"SREB Type2","Four-Year")</f>
        <v>0</v>
      </c>
      <c r="I83" s="6">
        <f>+GETPIVOTDATA(" Old-Medicine",'Pivot Table for 1-11'!$A$3,"State","MS","SREB Type",1,"SREB Type2","Four-Year")</f>
        <v>0</v>
      </c>
      <c r="J83" s="6">
        <f>+GETPIVOTDATA(" Old-Dentistry",'Pivot Table for 1-11'!$A$3,"State","MS","SREB Type",1,"SREB Type2","Four-Year")</f>
        <v>0</v>
      </c>
      <c r="K83" s="6">
        <f>+GETPIVOTDATA(" Old-Pharmacy",'Pivot Table for 1-11'!$A$3,"State","MS","SREB Type",1,"SREB Type2","Four-Year")</f>
        <v>0</v>
      </c>
      <c r="L83" s="6">
        <f>+GETPIVOTDATA(" Old-Optometry",'Pivot Table for 1-11'!$A$3,"State","MS","SREB Type",1,"SREB Type2","Four-Year")</f>
        <v>0</v>
      </c>
      <c r="M83" s="6">
        <f>+GETPIVOTDATA(" Old-Osteopathic Medicine",'Pivot Table for 1-11'!$A$3,"State","MS","SREB Type",1,"SREB Type2","Four-Year")</f>
        <v>0</v>
      </c>
      <c r="N83" s="181">
        <f>+GETPIVOTDATA(" Old-Veterinary Medicine",'Pivot Table for 1-11'!$A$3,"State","MS","SREB Type",1,"SREB Type2","Four-Year")</f>
        <v>65</v>
      </c>
      <c r="O83" s="198">
        <f>+GETPIVOTDATA(" Old-Oth PP",'Pivot Table for 1-11'!$A$3,"State","MS","SREB Type",1,"SREB Type2","Four-Year")</f>
        <v>0</v>
      </c>
      <c r="P83" s="182">
        <f t="shared" si="2"/>
        <v>6661</v>
      </c>
    </row>
    <row r="84" spans="1:16" ht="15" customHeight="1">
      <c r="A84" s="5" t="s">
        <v>306</v>
      </c>
      <c r="B84" s="6">
        <f>+GETPIVOTDATA(" Old-Less Than 2-Year",'Pivot Table for 1-11'!$A$3,"State","NC","SREB Type",1,"SREB Type2","Four-Year")+GETPIVOTDATA(" Old-2 But Less Than 4-Year",'Pivot Table for 1-11'!$A$3,"State","NC","SREB Type",1,"SREB Type2","Four-Year")</f>
        <v>19</v>
      </c>
      <c r="C84" s="6">
        <f>+GETPIVOTDATA(" Old-Associate's",'Pivot Table for 1-11'!$A$3,"State","NC","SREB Type",1,"SREB Type2","Four-Year")</f>
        <v>132</v>
      </c>
      <c r="D84" s="6">
        <f>+GETPIVOTDATA(" Old-Bachelor's",'Pivot Table for 1-11'!$A$3,"State","NC","SREB Type",1,"SREB Type2","Four-Year")</f>
        <v>8666</v>
      </c>
      <c r="E84" s="6">
        <f>+GETPIVOTDATA(" Old-Post-Bachelor's",'Pivot Table for 1-11'!$A$3,"State","NC","SREB Type",1,"SREB Type2","Four-Year")</f>
        <v>0</v>
      </c>
      <c r="F84" s="6">
        <f>+GETPIVOTDATA(" Old-Total Master's#",'Pivot Table for 1-11'!$A$3,"State","NC","SREB Type",1,"SREB Type2","Four-Year")</f>
        <v>3344</v>
      </c>
      <c r="G84" s="6">
        <f>+GETPIVOTDATA(" Old-Total Doctorates#",'Pivot Table for 1-11'!$A$3,"State","NC","SREB Type",1,"SREB Type2","Four-Year")</f>
        <v>928</v>
      </c>
      <c r="H84" s="17">
        <f>+GETPIVOTDATA(" Old-Law",'Pivot Table for 1-11'!$A$3,"State","NC","SREB Type",1,"SREB Type2","Four-Year")</f>
        <v>221</v>
      </c>
      <c r="I84" s="6">
        <f>+GETPIVOTDATA(" Old-Medicine",'Pivot Table for 1-11'!$A$3,"State","NC","SREB Type",1,"SREB Type2","Four-Year")</f>
        <v>165</v>
      </c>
      <c r="J84" s="6">
        <f>+GETPIVOTDATA(" Old-Dentistry",'Pivot Table for 1-11'!$A$3,"State","NC","SREB Type",1,"SREB Type2","Four-Year")</f>
        <v>83</v>
      </c>
      <c r="K84" s="6">
        <f>+GETPIVOTDATA(" Old-Pharmacy",'Pivot Table for 1-11'!$A$3,"State","NC","SREB Type",1,"SREB Type2","Four-Year")</f>
        <v>135</v>
      </c>
      <c r="L84" s="6">
        <f>+GETPIVOTDATA(" Old-Optometry",'Pivot Table for 1-11'!$A$3,"State","NC","SREB Type",1,"SREB Type2","Four-Year")</f>
        <v>0</v>
      </c>
      <c r="M84" s="6">
        <f>+GETPIVOTDATA(" Old-Osteopathic Medicine",'Pivot Table for 1-11'!$A$3,"State","NC","SREB Type",1,"SREB Type2","Four-Year")</f>
        <v>0</v>
      </c>
      <c r="N84" s="181">
        <f>+GETPIVOTDATA(" Old-Veterinary Medicine",'Pivot Table for 1-11'!$A$3,"State","NC","SREB Type",1,"SREB Type2","Four-Year")</f>
        <v>74</v>
      </c>
      <c r="O84" s="198">
        <f>+GETPIVOTDATA(" Old-Oth PP",'Pivot Table for 1-11'!$A$3,"State","NC","SREB Type",1,"SREB Type2","Four-Year")</f>
        <v>0</v>
      </c>
      <c r="P84" s="182">
        <f t="shared" si="2"/>
        <v>13767</v>
      </c>
    </row>
    <row r="85" spans="1:16" ht="15" customHeight="1">
      <c r="A85" s="5" t="s">
        <v>307</v>
      </c>
      <c r="B85" s="6">
        <f>+GETPIVOTDATA(" Old-Less Than 2-Year",'Pivot Table for 1-11'!$A$3,"State","OK","SREB Type",1,"SREB Type2","Four-Year")+GETPIVOTDATA(" Old-2 But Less Than 4-Year",'Pivot Table for 1-11'!$A$3,"State","OK","SREB Type",1,"SREB Type2","Four-Year")</f>
        <v>0</v>
      </c>
      <c r="C85" s="6">
        <f>+GETPIVOTDATA(" Old-Associate's",'Pivot Table for 1-11'!$A$3,"State","OK","SREB Type",1,"SREB Type2","Four-Year")</f>
        <v>0</v>
      </c>
      <c r="D85" s="6">
        <f>+GETPIVOTDATA(" Old-Bachelor's",'Pivot Table for 1-11'!$A$3,"State","OK","SREB Type",1,"SREB Type2","Four-Year")</f>
        <v>8237</v>
      </c>
      <c r="E85" s="6">
        <f>+GETPIVOTDATA(" Old-Post-Bachelor's",'Pivot Table for 1-11'!$A$3,"State","OK","SREB Type",1,"SREB Type2","Four-Year")</f>
        <v>34</v>
      </c>
      <c r="F85" s="6">
        <f>+GETPIVOTDATA(" Old-Total Master's#",'Pivot Table for 1-11'!$A$3,"State","OK","SREB Type",1,"SREB Type2","Four-Year")</f>
        <v>2537</v>
      </c>
      <c r="G85" s="6">
        <f>+GETPIVOTDATA(" Old-Total Doctorates#",'Pivot Table for 1-11'!$A$3,"State","OK","SREB Type",1,"SREB Type2","Four-Year")</f>
        <v>340</v>
      </c>
      <c r="H85" s="17">
        <f>+GETPIVOTDATA(" Old-Law",'Pivot Table for 1-11'!$A$3,"State","OK","SREB Type",1,"SREB Type2","Four-Year")</f>
        <v>164</v>
      </c>
      <c r="I85" s="6">
        <f>+GETPIVOTDATA(" Old-Medicine",'Pivot Table for 1-11'!$A$3,"State","OK","SREB Type",1,"SREB Type2","Four-Year")</f>
        <v>139</v>
      </c>
      <c r="J85" s="6">
        <f>+GETPIVOTDATA(" Old-Dentistry",'Pivot Table for 1-11'!$A$3,"State","OK","SREB Type",1,"SREB Type2","Four-Year")</f>
        <v>58</v>
      </c>
      <c r="K85" s="6">
        <f>+GETPIVOTDATA(" Old-Pharmacy",'Pivot Table for 1-11'!$A$3,"State","OK","SREB Type",1,"SREB Type2","Four-Year")</f>
        <v>119</v>
      </c>
      <c r="L85" s="6">
        <f>+GETPIVOTDATA(" Old-Optometry",'Pivot Table for 1-11'!$A$3,"State","OK","SREB Type",1,"SREB Type2","Four-Year")</f>
        <v>0</v>
      </c>
      <c r="M85" s="6">
        <f>+GETPIVOTDATA(" Old-Osteopathic Medicine",'Pivot Table for 1-11'!$A$3,"State","OK","SREB Type",1,"SREB Type2","Four-Year")</f>
        <v>76</v>
      </c>
      <c r="N85" s="181">
        <f>+GETPIVOTDATA(" Old-Veterinary Medicine",'Pivot Table for 1-11'!$A$3,"State","OK","SREB Type",1,"SREB Type2","Four-Year")</f>
        <v>78</v>
      </c>
      <c r="O85" s="198">
        <f>+GETPIVOTDATA(" Old-Oth PP",'Pivot Table for 1-11'!$A$3,"State","OK","SREB Type",1,"SREB Type2","Four-Year")</f>
        <v>67</v>
      </c>
      <c r="P85" s="182">
        <f t="shared" si="2"/>
        <v>11849</v>
      </c>
    </row>
    <row r="86" spans="1:16" ht="15" customHeight="1">
      <c r="A86" s="5" t="s">
        <v>308</v>
      </c>
      <c r="B86" s="6">
        <f>+GETPIVOTDATA(" Old-Less Than 2-Year",'Pivot Table for 1-11'!$A$3,"State","SC","SREB Type",1,"SREB Type2","Four-Year")+GETPIVOTDATA(" Old-2 But Less Than 4-Year",'Pivot Table for 1-11'!$A$3,"State","SC","SREB Type",1,"SREB Type2","Four-Year")</f>
        <v>13</v>
      </c>
      <c r="C86" s="6">
        <f>+GETPIVOTDATA(" Old-Associate's",'Pivot Table for 1-11'!$A$3,"State","SC","SREB Type",1,"SREB Type2","Four-Year")</f>
        <v>11</v>
      </c>
      <c r="D86" s="6">
        <f>+GETPIVOTDATA(" Old-Bachelor's",'Pivot Table for 1-11'!$A$3,"State","SC","SREB Type",1,"SREB Type2","Four-Year")</f>
        <v>6898</v>
      </c>
      <c r="E86" s="6">
        <f>+GETPIVOTDATA(" Old-Post-Bachelor's",'Pivot Table for 1-11'!$A$3,"State","SC","SREB Type",1,"SREB Type2","Four-Year")</f>
        <v>47</v>
      </c>
      <c r="F86" s="6">
        <f>+GETPIVOTDATA(" Old-Total Master's#",'Pivot Table for 1-11'!$A$3,"State","SC","SREB Type",1,"SREB Type2","Four-Year")</f>
        <v>2471</v>
      </c>
      <c r="G86" s="6">
        <f>+GETPIVOTDATA(" Old-Total Doctorates#",'Pivot Table for 1-11'!$A$3,"State","SC","SREB Type",1,"SREB Type2","Four-Year")</f>
        <v>388</v>
      </c>
      <c r="H86" s="17">
        <f>+GETPIVOTDATA(" Old-Law",'Pivot Table for 1-11'!$A$3,"State","SC","SREB Type",1,"SREB Type2","Four-Year")</f>
        <v>213</v>
      </c>
      <c r="I86" s="6">
        <f>+GETPIVOTDATA(" Old-Medicine",'Pivot Table for 1-11'!$A$3,"State","SC","SREB Type",1,"SREB Type2","Four-Year")</f>
        <v>76</v>
      </c>
      <c r="J86" s="6">
        <f>+GETPIVOTDATA(" Old-Dentistry",'Pivot Table for 1-11'!$A$3,"State","SC","SREB Type",1,"SREB Type2","Four-Year")</f>
        <v>0</v>
      </c>
      <c r="K86" s="6">
        <f>+GETPIVOTDATA(" Old-Pharmacy",'Pivot Table for 1-11'!$A$3,"State","SC","SREB Type",1,"SREB Type2","Four-Year")</f>
        <v>107</v>
      </c>
      <c r="L86" s="6">
        <f>+GETPIVOTDATA(" Old-Optometry",'Pivot Table for 1-11'!$A$3,"State","SC","SREB Type",1,"SREB Type2","Four-Year")</f>
        <v>0</v>
      </c>
      <c r="M86" s="6">
        <f>+GETPIVOTDATA(" Old-Osteopathic Medicine",'Pivot Table for 1-11'!$A$3,"State","SC","SREB Type",1,"SREB Type2","Four-Year")</f>
        <v>0</v>
      </c>
      <c r="N86" s="181">
        <f>+GETPIVOTDATA(" Old-Veterinary Medicine",'Pivot Table for 1-11'!$A$3,"State","SC","SREB Type",1,"SREB Type2","Four-Year")</f>
        <v>0</v>
      </c>
      <c r="O86" s="198">
        <f>+GETPIVOTDATA(" Old-Oth PP",'Pivot Table for 1-11'!$A$3,"State","SC","SREB Type",1,"SREB Type2","Four-Year")</f>
        <v>0</v>
      </c>
      <c r="P86" s="182">
        <f t="shared" si="2"/>
        <v>10224</v>
      </c>
    </row>
    <row r="87" spans="1:16" ht="15" customHeight="1">
      <c r="A87" s="5"/>
      <c r="B87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7" s="6">
        <f>+GETPIVOTDATA(" Old-Associate's",'Pivot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181"/>
      <c r="O87" s="198"/>
      <c r="P87" s="182"/>
    </row>
    <row r="88" spans="1:16" ht="15" customHeight="1">
      <c r="A88" s="5" t="s">
        <v>309</v>
      </c>
      <c r="B88" s="6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6">
        <f>+GETPIVOTDATA(" Old-Associate's",'Pivot Table for 1-11'!$A$3,"State","TN","SREB Type",1,"SREB Type2","Four-Year")</f>
        <v>0</v>
      </c>
      <c r="D88" s="6">
        <f>+GETPIVOTDATA(" Old-Bachelor's",'Pivot Table for 1-11'!$A$3,"State","TN","SREB Type",1,"SREB Type2","Four-Year")</f>
        <v>6078</v>
      </c>
      <c r="E88" s="6">
        <f>+GETPIVOTDATA(" Old-Post-Bachelor's",'Pivot Table for 1-11'!$A$3,"State","TN","SREB Type",1,"SREB Type2","Four-Year")</f>
        <v>0</v>
      </c>
      <c r="F88" s="6">
        <f>+GETPIVOTDATA(" Old-Total Master's#",'Pivot Table for 1-11'!$A$3,"State","TN","SREB Type",1,"SREB Type2","Four-Year")</f>
        <v>2388</v>
      </c>
      <c r="G88" s="6">
        <f>+GETPIVOTDATA(" Old-Total Doctorates#",'Pivot Table for 1-11'!$A$3,"State","TN","SREB Type",1,"SREB Type2","Four-Year")</f>
        <v>338</v>
      </c>
      <c r="H88" s="17">
        <f>+GETPIVOTDATA(" Old-Law",'Pivot Table for 1-11'!$A$3,"State","TN","SREB Type",1,"SREB Type2","Four-Year")</f>
        <v>270</v>
      </c>
      <c r="I88" s="6">
        <f>+GETPIVOTDATA(" Old-Medicine",'Pivot Table for 1-11'!$A$3,"State","TN","SREB Type",1,"SREB Type2","Four-Year")</f>
        <v>0</v>
      </c>
      <c r="J88" s="6">
        <f>+GETPIVOTDATA(" Old-Dentistry",'Pivot Table for 1-11'!$A$3,"State","TN","SREB Type",1,"SREB Type2","Four-Year")</f>
        <v>0</v>
      </c>
      <c r="K88" s="6">
        <f>+GETPIVOTDATA(" Old-Pharmacy",'Pivot Table for 1-11'!$A$3,"State","TN","SREB Type",1,"SREB Type2","Four-Year")</f>
        <v>0</v>
      </c>
      <c r="L88" s="6">
        <f>+GETPIVOTDATA(" Old-Optometry",'Pivot Table for 1-11'!$A$3,"State","TN","SREB Type",1,"SREB Type2","Four-Year")</f>
        <v>0</v>
      </c>
      <c r="M88" s="6">
        <f>+GETPIVOTDATA(" Old-Osteopathic Medicine",'Pivot Table for 1-11'!$A$3,"State","TN","SREB Type",1,"SREB Type2","Four-Year")</f>
        <v>0</v>
      </c>
      <c r="N88" s="181">
        <f>+GETPIVOTDATA(" Old-Veterinary Medicine",'Pivot Table for 1-11'!$A$3,"State","TN","SREB Type",1,"SREB Type2","Four-Year")</f>
        <v>68</v>
      </c>
      <c r="O88" s="198">
        <f>+GETPIVOTDATA(" Old-Oth PP",'Pivot Table for 1-11'!$A$3,"State","TN","SREB Type",1,"SREB Type2","Four-Year")</f>
        <v>0</v>
      </c>
      <c r="P88" s="182">
        <f t="shared" si="2"/>
        <v>9142</v>
      </c>
    </row>
    <row r="89" spans="1:16" ht="15" customHeight="1">
      <c r="A89" s="5" t="s">
        <v>310</v>
      </c>
      <c r="B89" s="6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6">
        <f>+GETPIVOTDATA(" Old-Associate's",'Pivot Table for 1-11'!$A$3,"State","TX","SREB Type",1,"SREB Type2","Four-Year")</f>
        <v>0</v>
      </c>
      <c r="D89" s="6">
        <f>+GETPIVOTDATA(" Old-Bachelor's",'Pivot Table for 1-11'!$A$3,"State","TX","SREB Type",1,"SREB Type2","Four-Year")</f>
        <v>37865</v>
      </c>
      <c r="E89" s="6">
        <f>+GETPIVOTDATA(" Old-Post-Bachelor's",'Pivot Table for 1-11'!$A$3,"State","TX","SREB Type",1,"SREB Type2","Four-Year")</f>
        <v>0</v>
      </c>
      <c r="F89" s="6">
        <f>+GETPIVOTDATA(" Old-Total Master's#",'Pivot Table for 1-11'!$A$3,"State","TX","SREB Type",1,"SREB Type2","Four-Year")</f>
        <v>12115</v>
      </c>
      <c r="G89" s="6">
        <f>+GETPIVOTDATA(" Old-Total Doctorates#",'Pivot Table for 1-11'!$A$3,"State","TX","SREB Type",1,"SREB Type2","Four-Year")</f>
        <v>2442</v>
      </c>
      <c r="H89" s="17">
        <f>+GETPIVOTDATA(" Old-Law",'Pivot Table for 1-11'!$A$3,"State","TX","SREB Type",1,"SREB Type2","Four-Year")</f>
        <v>979</v>
      </c>
      <c r="I89" s="6">
        <f>+GETPIVOTDATA(" Old-Medicine",'Pivot Table for 1-11'!$A$3,"State","TX","SREB Type",1,"SREB Type2","Four-Year")</f>
        <v>0</v>
      </c>
      <c r="J89" s="6">
        <f>+GETPIVOTDATA(" Old-Dentistry",'Pivot Table for 1-11'!$A$3,"State","TX","SREB Type",1,"SREB Type2","Four-Year")</f>
        <v>0</v>
      </c>
      <c r="K89" s="6">
        <f>+GETPIVOTDATA(" Old-Pharmacy",'Pivot Table for 1-11'!$A$3,"State","TX","SREB Type",1,"SREB Type2","Four-Year")</f>
        <v>248</v>
      </c>
      <c r="L89" s="6">
        <f>+GETPIVOTDATA(" Old-Optometry",'Pivot Table for 1-11'!$A$3,"State","TX","SREB Type",1,"SREB Type2","Four-Year")</f>
        <v>100</v>
      </c>
      <c r="M89" s="6">
        <f>+GETPIVOTDATA(" Old-Osteopathic Medicine",'Pivot Table for 1-11'!$A$3,"State","TX","SREB Type",1,"SREB Type2","Four-Year")</f>
        <v>0</v>
      </c>
      <c r="N89" s="181">
        <f>+GETPIVOTDATA(" Old-Veterinary Medicine",'Pivot Table for 1-11'!$A$3,"State","TX","SREB Type",1,"SREB Type2","Four-Year")</f>
        <v>129</v>
      </c>
      <c r="O89" s="198">
        <f>+GETPIVOTDATA(" Old-Oth PP",'Pivot Table for 1-11'!$A$3,"State","TX","SREB Type",1,"SREB Type2","Four-Year")</f>
        <v>16</v>
      </c>
      <c r="P89" s="182">
        <f t="shared" si="2"/>
        <v>53894</v>
      </c>
    </row>
    <row r="90" spans="1:16" ht="15" customHeight="1">
      <c r="A90" s="5" t="s">
        <v>311</v>
      </c>
      <c r="B90" s="6">
        <f>+GETPIVOTDATA(" Old-Less Than 2-Year",'Pivot Table for 1-11'!$A$3,"State","VA","SREB Type",1,"SREB Type2","Four-Year")+GETPIVOTDATA(" Old-2 But Less Than 4-Year",'Pivot Table for 1-11'!$A$3,"State","VA","SREB Type",1,"SREB Type2","Four-Year")</f>
        <v>0</v>
      </c>
      <c r="C90" s="6">
        <f>+GETPIVOTDATA(" Old-Associate's",'Pivot Table for 1-11'!$A$3,"State","VA","SREB Type",1,"SREB Type2","Four-Year")</f>
        <v>33</v>
      </c>
      <c r="D90" s="6">
        <f>+GETPIVOTDATA(" Old-Bachelor's",'Pivot Table for 1-11'!$A$3,"State","VA","SREB Type",1,"SREB Type2","Four-Year")</f>
        <v>15242</v>
      </c>
      <c r="E90" s="6">
        <f>+GETPIVOTDATA(" Old-Post-Bachelor's",'Pivot Table for 1-11'!$A$3,"State","VA","SREB Type",1,"SREB Type2","Four-Year")</f>
        <v>316</v>
      </c>
      <c r="F90" s="6">
        <f>+GETPIVOTDATA(" Old-Total Master's#",'Pivot Table for 1-11'!$A$3,"State","VA","SREB Type",1,"SREB Type2","Four-Year")</f>
        <v>6638</v>
      </c>
      <c r="G90" s="6">
        <f>+GETPIVOTDATA(" Old-Total Doctorates#",'Pivot Table for 1-11'!$A$3,"State","VA","SREB Type",1,"SREB Type2","Four-Year")</f>
        <v>957</v>
      </c>
      <c r="H90" s="17">
        <f>+GETPIVOTDATA(" Old-Law",'Pivot Table for 1-11'!$A$3,"State","VA","SREB Type",1,"SREB Type2","Four-Year")</f>
        <v>618</v>
      </c>
      <c r="I90" s="6">
        <f>+GETPIVOTDATA(" Old-Medicine",'Pivot Table for 1-11'!$A$3,"State","VA","SREB Type",1,"SREB Type2","Four-Year")</f>
        <v>130</v>
      </c>
      <c r="J90" s="6">
        <f>+GETPIVOTDATA(" Old-Dentistry",'Pivot Table for 1-11'!$A$3,"State","VA","SREB Type",1,"SREB Type2","Four-Year")</f>
        <v>0</v>
      </c>
      <c r="K90" s="6">
        <f>+GETPIVOTDATA(" Old-Pharmacy",'Pivot Table for 1-11'!$A$3,"State","VA","SREB Type",1,"SREB Type2","Four-Year")</f>
        <v>0</v>
      </c>
      <c r="L90" s="6">
        <f>+GETPIVOTDATA(" Old-Optometry",'Pivot Table for 1-11'!$A$3,"State","VA","SREB Type",1,"SREB Type2","Four-Year")</f>
        <v>0</v>
      </c>
      <c r="M90" s="6">
        <f>+GETPIVOTDATA(" Old-Osteopathic Medicine",'Pivot Table for 1-11'!$A$3,"State","VA","SREB Type",1,"SREB Type2","Four-Year")</f>
        <v>0</v>
      </c>
      <c r="N90" s="181">
        <f>+GETPIVOTDATA(" Old-Veterinary Medicine",'Pivot Table for 1-11'!$A$3,"State","VA","SREB Type",1,"SREB Type2","Four-Year")</f>
        <v>88</v>
      </c>
      <c r="O90" s="198">
        <f>+GETPIVOTDATA(" Old-Oth PP",'Pivot Table for 1-11'!$A$3,"State","VA","SREB Type",1,"SREB Type2","Four-Year")</f>
        <v>0</v>
      </c>
      <c r="P90" s="182">
        <f t="shared" si="2"/>
        <v>24022</v>
      </c>
    </row>
    <row r="91" spans="1:16" ht="15" customHeight="1">
      <c r="A91" s="7" t="s">
        <v>312</v>
      </c>
      <c r="B91" s="8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8">
        <f>+GETPIVOTDATA(" Old-Associate's",'Pivot Table for 1-11'!$A$3,"State","WV","SREB Type",1,"SREB Type2","Four-Year")</f>
        <v>0</v>
      </c>
      <c r="D91" s="8">
        <f>+GETPIVOTDATA(" Old-Bachelor's",'Pivot Table for 1-11'!$A$3,"State","WV","SREB Type",1,"SREB Type2","Four-Year")</f>
        <v>3790</v>
      </c>
      <c r="E91" s="8">
        <f>+GETPIVOTDATA(" Old-Post-Bachelor's",'Pivot Table for 1-11'!$A$3,"State","WV","SREB Type",1,"SREB Type2","Four-Year")</f>
        <v>0</v>
      </c>
      <c r="F91" s="8">
        <f>+GETPIVOTDATA(" Old-Total Master's#",'Pivot Table for 1-11'!$A$3,"State","WV","SREB Type",1,"SREB Type2","Four-Year")</f>
        <v>1527</v>
      </c>
      <c r="G91" s="8">
        <f>+GETPIVOTDATA(" Old-Total Doctorates#",'Pivot Table for 1-11'!$A$3,"State","WV","SREB Type",1,"SREB Type2","Four-Year")</f>
        <v>204</v>
      </c>
      <c r="H91" s="18">
        <f>+GETPIVOTDATA(" Old-Law",'Pivot Table for 1-11'!$A$3,"State","WV","SREB Type",1,"SREB Type2","Four-Year")</f>
        <v>148</v>
      </c>
      <c r="I91" s="8">
        <f>+GETPIVOTDATA(" Old-Medicine",'Pivot Table for 1-11'!$A$3,"State","WV","SREB Type",1,"SREB Type2","Four-Year")</f>
        <v>87</v>
      </c>
      <c r="J91" s="8">
        <f>+GETPIVOTDATA(" Old-Dentistry",'Pivot Table for 1-11'!$A$3,"State","WV","SREB Type",1,"SREB Type2","Four-Year")</f>
        <v>46</v>
      </c>
      <c r="K91" s="8">
        <f>+GETPIVOTDATA(" Old-Pharmacy",'Pivot Table for 1-11'!$A$3,"State","WV","SREB Type",1,"SREB Type2","Four-Year")</f>
        <v>74</v>
      </c>
      <c r="L91" s="8">
        <f>+GETPIVOTDATA(" Old-Optometry",'Pivot Table for 1-11'!$A$3,"State","WV","SREB Type",1,"SREB Type2","Four-Year")</f>
        <v>0</v>
      </c>
      <c r="M91" s="8">
        <f>+GETPIVOTDATA(" Old-Osteopathic Medicine",'Pivot Table for 1-11'!$A$3,"State","WV","SREB Type",1,"SREB Type2","Four-Year")</f>
        <v>0</v>
      </c>
      <c r="N91" s="189">
        <f>+GETPIVOTDATA(" Old-Veterinary Medicine",'Pivot Table for 1-11'!$A$3,"State","WV","SREB Type",1,"SREB Type2","Four-Year")</f>
        <v>0</v>
      </c>
      <c r="O91" s="199">
        <f>+GETPIVOTDATA(" Old-Oth PP",'Pivot Table for 1-11'!$A$3,"State","WV","SREB Type",1,"SREB Type2","Four-Year")</f>
        <v>0</v>
      </c>
      <c r="P91" s="183">
        <f t="shared" si="2"/>
        <v>5876</v>
      </c>
    </row>
    <row r="92" spans="1:16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181"/>
      <c r="O92" s="181"/>
      <c r="P92" s="181"/>
    </row>
    <row r="93" spans="1:16" ht="27" customHeight="1">
      <c r="A93" s="767" t="s">
        <v>1253</v>
      </c>
      <c r="B93" s="768"/>
      <c r="C93" s="768"/>
      <c r="D93" s="768"/>
      <c r="E93" s="768"/>
      <c r="F93" s="768"/>
      <c r="G93" s="768"/>
      <c r="H93" s="768"/>
      <c r="I93" s="768"/>
      <c r="J93" s="768"/>
      <c r="K93" s="768"/>
      <c r="L93" s="768"/>
      <c r="M93" s="768"/>
      <c r="N93" s="768"/>
      <c r="O93" s="768"/>
      <c r="P93" s="768"/>
    </row>
    <row r="94" spans="1:16">
      <c r="P94" s="184" t="s">
        <v>1267</v>
      </c>
    </row>
    <row r="95" spans="1:16" ht="18">
      <c r="A95" s="22" t="s">
        <v>315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93"/>
      <c r="O95" s="93"/>
      <c r="P95" s="93"/>
    </row>
    <row r="96" spans="1:1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92"/>
      <c r="O96" s="92"/>
      <c r="P96" s="92"/>
    </row>
    <row r="97" spans="1:16" ht="15.75">
      <c r="A97" s="1" t="s">
        <v>285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93"/>
      <c r="O97" s="93"/>
      <c r="P97" s="93"/>
    </row>
    <row r="98" spans="1:16" ht="15.75">
      <c r="A98" s="1" t="s">
        <v>1311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93"/>
      <c r="O98" s="93"/>
      <c r="P98" s="93"/>
    </row>
    <row r="99" spans="1:16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94"/>
      <c r="O99" s="94"/>
      <c r="P99" s="94"/>
    </row>
    <row r="100" spans="1:16" ht="15.75">
      <c r="A100" s="192"/>
      <c r="B100" s="192"/>
      <c r="C100" s="192"/>
      <c r="D100" s="192"/>
      <c r="E100" s="192"/>
      <c r="F100" s="192"/>
      <c r="G100" s="192"/>
      <c r="H100" s="196" t="s">
        <v>1254</v>
      </c>
      <c r="I100" s="26"/>
      <c r="J100" s="26"/>
      <c r="K100" s="26"/>
      <c r="L100" s="26"/>
      <c r="M100" s="26"/>
      <c r="N100" s="193"/>
      <c r="O100" s="200"/>
      <c r="P100" s="195" t="s">
        <v>321</v>
      </c>
    </row>
    <row r="101" spans="1:16" ht="42" customHeight="1">
      <c r="A101" s="14"/>
      <c r="B101" s="15" t="s">
        <v>696</v>
      </c>
      <c r="C101" s="15" t="s">
        <v>286</v>
      </c>
      <c r="D101" s="15" t="s">
        <v>278</v>
      </c>
      <c r="E101" s="15" t="s">
        <v>279</v>
      </c>
      <c r="F101" s="15" t="s">
        <v>288</v>
      </c>
      <c r="G101" s="15" t="s">
        <v>289</v>
      </c>
      <c r="H101" s="16" t="s">
        <v>290</v>
      </c>
      <c r="I101" s="15" t="s">
        <v>291</v>
      </c>
      <c r="J101" s="15" t="s">
        <v>292</v>
      </c>
      <c r="K101" s="15" t="s">
        <v>282</v>
      </c>
      <c r="L101" s="15" t="s">
        <v>293</v>
      </c>
      <c r="M101" s="15" t="s">
        <v>294</v>
      </c>
      <c r="N101" s="191" t="s">
        <v>1320</v>
      </c>
      <c r="O101" s="197" t="s">
        <v>1321</v>
      </c>
      <c r="P101" s="191" t="s">
        <v>295</v>
      </c>
    </row>
    <row r="102" spans="1:16" ht="15" customHeight="1">
      <c r="A102" s="3" t="s">
        <v>296</v>
      </c>
      <c r="B102" s="6">
        <f>+GETPIVOTDATA(" Old-Less Than 2-Year",'Pivot Table for 1-11'!$A$3,"SREB Type",2,"SREB Type2","Four-Year")+GETPIVOTDATA(" Old-2 But Less Than 4-Year",'Pivot Table for 1-11'!$A$3,"SREB Type",2,"SREB Type2","Four-Year")</f>
        <v>121</v>
      </c>
      <c r="C102" s="6">
        <f>+GETPIVOTDATA(" Old-Associate's",'Pivot Table for 1-11'!$A$3,"SREB Type",2,"SREB Type2","Four-Year")</f>
        <v>251</v>
      </c>
      <c r="D102" s="6">
        <f>+GETPIVOTDATA(" Old-Bachelor's",'Pivot Table for 1-11'!$A$3,"SREB Type",2,"SREB Type2","Four-Year")</f>
        <v>36548</v>
      </c>
      <c r="E102" s="6">
        <f>+GETPIVOTDATA(" Old-Post-Bachelor's",'Pivot Table for 1-11'!$A$3,"SREB Type",2,"SREB Type2","Four-Year")</f>
        <v>347</v>
      </c>
      <c r="F102" s="6">
        <f>+GETPIVOTDATA(" Old-Total Master's#",'Pivot Table for 1-11'!$A$3,"SREB Type",2,"SREB Type2","Four-Year")</f>
        <v>12799</v>
      </c>
      <c r="G102" s="6">
        <f>+GETPIVOTDATA(" Old-Total Doctorates#",'Pivot Table for 1-11'!$A$3,"SREB Type",2,"SREB Type2","Four-Year")</f>
        <v>1585</v>
      </c>
      <c r="H102" s="17">
        <f>+GETPIVOTDATA(" Old-Law",'Pivot Table for 1-11'!$A$3,"SREB Type",2,"SREB Type2","Four-Year")</f>
        <v>384</v>
      </c>
      <c r="I102" s="6">
        <f>+GETPIVOTDATA(" Old-Medicine",'Pivot Table for 1-11'!$A$3,"SREB Type",2,"SREB Type2","Four-Year")</f>
        <v>179</v>
      </c>
      <c r="J102" s="6">
        <f>+GETPIVOTDATA(" Old-Dentistry",'Pivot Table for 1-11'!$A$3,"SREB Type",2,"SREB Type2","Four-Year")</f>
        <v>92</v>
      </c>
      <c r="K102" s="6">
        <f>+GETPIVOTDATA(" Old-Pharmacy",'Pivot Table for 1-11'!$A$3,"SREB Type",2,"SREB Type2","Four-Year")</f>
        <v>196</v>
      </c>
      <c r="L102" s="6">
        <f>+GETPIVOTDATA(" Old-Optometry",'Pivot Table for 1-11'!$A$3,"SREB Type",2,"SREB Type2","Four-Year")</f>
        <v>0</v>
      </c>
      <c r="M102" s="6">
        <f>+GETPIVOTDATA(" Old-Osteopathic Medicine",'Pivot Table for 1-11'!$A$3,"SREB Type",2,"SREB Type2","Four-Year")</f>
        <v>0</v>
      </c>
      <c r="N102" s="181">
        <f>+GETPIVOTDATA(" Old-Veterinary Medicine",'Pivot Table for 1-11'!$A$3,"SREB Type",2,"SREB Type2","Four-Year")</f>
        <v>0</v>
      </c>
      <c r="O102" s="198">
        <f>+GETPIVOTDATA(" Old-Oth PP",'Pivot Table for 1-11'!$A$3,"SREB Type",2,"SREB Type2","Four-Year")</f>
        <v>0</v>
      </c>
      <c r="P102" s="182">
        <f>SUM(C102:O102)</f>
        <v>52381</v>
      </c>
    </row>
    <row r="103" spans="1:16" ht="15" customHeight="1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181"/>
      <c r="O103" s="198"/>
      <c r="P103" s="182"/>
    </row>
    <row r="104" spans="1:16" ht="15" customHeight="1">
      <c r="A104" s="5" t="s">
        <v>297</v>
      </c>
      <c r="B104" s="6">
        <f>GETPIVOTDATA(" Old-Less Than 2-Year",'Pivot Table for 1-11'!$A$3,"State","AL","SREB Type",2,"SREB Type2","Four-Year")+GETPIVOTDATA(" Old-2 But Less Than 4-Year",'Pivot Table for 1-11'!$A$3,"State","AL","SREB Type",2,"SREB Type2","Four-Year")</f>
        <v>0</v>
      </c>
      <c r="C104" s="6">
        <f>+GETPIVOTDATA(" Old-Associate's",'Pivot Table for 1-11'!$A$3,"State","AL","SREB Type",2,"SREB Type2","Four-Year")</f>
        <v>0</v>
      </c>
      <c r="D104" s="6">
        <f>+GETPIVOTDATA(" Old-Bachelor's",'Pivot Table for 1-11'!$A$3,"State","AL","SREB Type",2,"SREB Type2","Four-Year")</f>
        <v>889</v>
      </c>
      <c r="E104" s="6">
        <f>+GETPIVOTDATA(" Old-Post-Bachelor's",'Pivot Table for 1-11'!$A$3,"State","AL","SREB Type",2,"SREB Type2","Four-Year")</f>
        <v>29</v>
      </c>
      <c r="F104" s="6">
        <f>+GETPIVOTDATA(" Old-Total Master's#",'Pivot Table for 1-11'!$A$3,"State","AL","SREB Type",2,"SREB Type2","Four-Year")</f>
        <v>323</v>
      </c>
      <c r="G104" s="6">
        <f>+GETPIVOTDATA(" Old-Total Doctorates#",'Pivot Table for 1-11'!$A$3,"State","AL","SREB Type",2,"SREB Type2","Four-Year")</f>
        <v>37</v>
      </c>
      <c r="H104" s="17">
        <f>+GETPIVOTDATA(" Old-Law",'Pivot Table for 1-11'!$A$3,"State","AL","SREB Type",2,"SREB Type2","Four-Year")</f>
        <v>0</v>
      </c>
      <c r="I104" s="6">
        <f>+GETPIVOTDATA(" Old-Medicine",'Pivot Table for 1-11'!$A$3,"State","AL","SREB Type",2,"SREB Type2","Four-Year")</f>
        <v>0</v>
      </c>
      <c r="J104" s="6">
        <f>+GETPIVOTDATA(" Old-Dentistry",'Pivot Table for 1-11'!$A$3,"State","AL","SREB Type",2,"SREB Type2","Four-Year")</f>
        <v>0</v>
      </c>
      <c r="K104" s="6">
        <f>+GETPIVOTDATA(" Old-Pharmacy",'Pivot Table for 1-11'!$A$3,"State","AL","SREB Type",2,"SREB Type2","Four-Year")</f>
        <v>0</v>
      </c>
      <c r="L104" s="6">
        <f>+GETPIVOTDATA(" Old-Optometry",'Pivot Table for 1-11'!$A$3,"State","AL","SREB Type",2,"SREB Type2","Four-Year")</f>
        <v>0</v>
      </c>
      <c r="M104" s="6">
        <f>+GETPIVOTDATA(" Old-Osteopathic Medicine",'Pivot Table for 1-11'!$A$3,"State","AL","SREB Type",2,"SREB Type2","Four-Year")</f>
        <v>0</v>
      </c>
      <c r="N104" s="181">
        <f>+GETPIVOTDATA(" Old-Veterinary Medicine",'Pivot Table for 1-11'!$A$3,"State","AL","SREB Type",2,"SREB Type2","Four-Year")</f>
        <v>0</v>
      </c>
      <c r="O104" s="198">
        <f>+GETPIVOTDATA(" Old-Oth PP",'Pivot Table for 1-11'!$A$3,"State","AL","SREB Type",2,"SREB Type2","Four-Year")</f>
        <v>0</v>
      </c>
      <c r="P104" s="182">
        <f t="shared" ref="P104:P122" si="3">SUM(C104:O104)</f>
        <v>1278</v>
      </c>
    </row>
    <row r="105" spans="1:16" ht="15" customHeight="1">
      <c r="A105" s="5" t="s">
        <v>298</v>
      </c>
      <c r="B105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05" s="6">
        <f>+GETPIVOTDATA(" Old-Associate's",'Pivot Table for 1-11'!$A$3,"State","AR","SREB Type",2,"SREB Type2","Four-Year")</f>
        <v>0</v>
      </c>
      <c r="D105" s="6">
        <f>+GETPIVOTDATA(" Old-Bachelor's",'Pivot Table for 1-11'!$A$3,"State","AR","SREB Type",2,"SREB Type2","Four-Year")</f>
        <v>0</v>
      </c>
      <c r="E105" s="6">
        <f>+GETPIVOTDATA(" Old-Post-Bachelor's",'Pivot Table for 1-11'!$A$3,"State","AR","SREB Type",2,"SREB Type2","Four-Year")</f>
        <v>0</v>
      </c>
      <c r="F105" s="6">
        <f>+GETPIVOTDATA(" Old-Total Master's#",'Pivot Table for 1-11'!$A$3,"State","AR","SREB Type",2,"SREB Type2","Four-Year")</f>
        <v>0</v>
      </c>
      <c r="G105" s="6">
        <f>+GETPIVOTDATA(" Old-Total Doctorates#",'Pivot Table for 1-11'!$A$3,"State","AR","SREB Type",2,"SREB Type2","Four-Year")</f>
        <v>0</v>
      </c>
      <c r="H105" s="17">
        <f>+GETPIVOTDATA(" Old-Law",'Pivot Table for 1-11'!$A$3,"State","AR","SREB Type",2,"SREB Type2","Four-Year")</f>
        <v>0</v>
      </c>
      <c r="I105" s="6">
        <f>+GETPIVOTDATA(" Old-Medicine",'Pivot Table for 1-11'!$A$3,"State","AR","SREB Type",2,"SREB Type2","Four-Year")</f>
        <v>0</v>
      </c>
      <c r="J105" s="6">
        <f>+GETPIVOTDATA(" Old-Dentistry",'Pivot Table for 1-11'!$A$3,"State","AR","SREB Type",2,"SREB Type2","Four-Year")</f>
        <v>0</v>
      </c>
      <c r="K105" s="6">
        <f>+GETPIVOTDATA(" Old-Pharmacy",'Pivot Table for 1-11'!$A$3,"State","AR","SREB Type",2,"SREB Type2","Four-Year")</f>
        <v>0</v>
      </c>
      <c r="L105" s="6">
        <f>+GETPIVOTDATA(" Old-Optometry",'Pivot Table for 1-11'!$A$3,"State","AR","SREB Type",2,"SREB Type2","Four-Year")</f>
        <v>0</v>
      </c>
      <c r="M105" s="6">
        <f>+GETPIVOTDATA(" Old-Osteopathic Medicine",'Pivot Table for 1-11'!$A$3,"State","AR","SREB Type",2,"SREB Type2","Four-Year")</f>
        <v>0</v>
      </c>
      <c r="N105" s="181">
        <f>+GETPIVOTDATA(" Old-Veterinary Medicine",'Pivot Table for 1-11'!$A$3,"State","AR","SREB Type",2,"SREB Type2","Four-Year")</f>
        <v>0</v>
      </c>
      <c r="O105" s="198">
        <f>+GETPIVOTDATA(" Old-Oth PP",'Pivot Table for 1-11'!$A$3,"State","AR","SREB Type",2,"SREB Type2","Four-Year")</f>
        <v>0</v>
      </c>
      <c r="P105" s="182">
        <f t="shared" si="3"/>
        <v>0</v>
      </c>
    </row>
    <row r="106" spans="1:16" ht="15" customHeight="1">
      <c r="A106" s="5" t="s">
        <v>299</v>
      </c>
      <c r="B106" s="6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6">
        <f>+GETPIVOTDATA(" Old-Associate's",'Pivot Table for 1-11'!$A$3,"State","DE","SREB Type",2,"SREB Type2","Four-Year")</f>
        <v>0</v>
      </c>
      <c r="D106" s="6">
        <f>+GETPIVOTDATA(" Old-Bachelor's",'Pivot Table for 1-11'!$A$3,"State","DE","SREB Type",2,"SREB Type2","Four-Year")</f>
        <v>0</v>
      </c>
      <c r="E106" s="6">
        <f>+GETPIVOTDATA(" Old-Post-Bachelor's",'Pivot Table for 1-11'!$A$3,"State","DE","SREB Type",2,"SREB Type2","Four-Year")</f>
        <v>0</v>
      </c>
      <c r="F106" s="6">
        <f>+GETPIVOTDATA(" Old-Total Master's#",'Pivot Table for 1-11'!$A$3,"State","DE","SREB Type",2,"SREB Type2","Four-Year")</f>
        <v>0</v>
      </c>
      <c r="G106" s="6">
        <f>+GETPIVOTDATA(" Old-Total Doctorates#",'Pivot Table for 1-11'!$A$3,"State","DE","SREB Type",2,"SREB Type2","Four-Year")</f>
        <v>0</v>
      </c>
      <c r="H106" s="17">
        <f>+GETPIVOTDATA(" Old-Law",'Pivot Table for 1-11'!$A$3,"State","DE","SREB Type",2,"SREB Type2","Four-Year")</f>
        <v>0</v>
      </c>
      <c r="I106" s="6">
        <f>+GETPIVOTDATA(" Old-Medicine",'Pivot Table for 1-11'!$A$3,"State","DE","SREB Type",2,"SREB Type2","Four-Year")</f>
        <v>0</v>
      </c>
      <c r="J106" s="6">
        <f>+GETPIVOTDATA(" Old-Dentistry",'Pivot Table for 1-11'!$A$3,"State","DE","SREB Type",2,"SREB Type2","Four-Year")</f>
        <v>0</v>
      </c>
      <c r="K106" s="6">
        <f>+GETPIVOTDATA(" Old-Pharmacy",'Pivot Table for 1-11'!$A$3,"State","DE","SREB Type",2,"SREB Type2","Four-Year")</f>
        <v>0</v>
      </c>
      <c r="L106" s="6">
        <f>+GETPIVOTDATA(" Old-Optometry",'Pivot Table for 1-11'!$A$3,"State","DE","SREB Type",2,"SREB Type2","Four-Year")</f>
        <v>0</v>
      </c>
      <c r="M106" s="6">
        <f>+GETPIVOTDATA(" Old-Osteopathic Medicine",'Pivot Table for 1-11'!$A$3,"State","DE","SREB Type",2,"SREB Type2","Four-Year")</f>
        <v>0</v>
      </c>
      <c r="N106" s="181">
        <f>+GETPIVOTDATA(" Old-Veterinary Medicine",'Pivot Table for 1-11'!$A$3,"State","DE","SREB Type",2,"SREB Type2","Four-Year")</f>
        <v>0</v>
      </c>
      <c r="O106" s="198">
        <f>+GETPIVOTDATA(" Old-Oth PP",'Pivot Table for 1-11'!$A$3,"State","DE","SREB Type",2,"SREB Type2","Four-Year")</f>
        <v>0</v>
      </c>
      <c r="P106" s="182">
        <f t="shared" si="3"/>
        <v>0</v>
      </c>
    </row>
    <row r="107" spans="1:16" ht="15" customHeight="1">
      <c r="A107" s="5" t="s">
        <v>300</v>
      </c>
      <c r="B107" s="6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6">
        <f>+GETPIVOTDATA(" Old-Associate's",'Pivot Table for 1-11'!$A$3,"State","FL","SREB Type",2,"SREB Type2","Four-Year")</f>
        <v>159</v>
      </c>
      <c r="D107" s="6">
        <f>+GETPIVOTDATA(" Old-Bachelor's",'Pivot Table for 1-11'!$A$3,"State","FL","SREB Type",2,"SREB Type2","Four-Year")</f>
        <v>4481</v>
      </c>
      <c r="E107" s="6">
        <f>+GETPIVOTDATA(" Old-Post-Bachelor's",'Pivot Table for 1-11'!$A$3,"State","FL","SREB Type",2,"SREB Type2","Four-Year")</f>
        <v>0</v>
      </c>
      <c r="F107" s="6">
        <f>+GETPIVOTDATA(" Old-Total Master's#",'Pivot Table for 1-11'!$A$3,"State","FL","SREB Type",2,"SREB Type2","Four-Year")</f>
        <v>1138</v>
      </c>
      <c r="G107" s="6">
        <f>+GETPIVOTDATA(" Old-Total Doctorates#",'Pivot Table for 1-11'!$A$3,"State","FL","SREB Type",2,"SREB Type2","Four-Year")</f>
        <v>83</v>
      </c>
      <c r="H107" s="17">
        <f>+GETPIVOTDATA(" Old-Law",'Pivot Table for 1-11'!$A$3,"State","FL","SREB Type",2,"SREB Type2","Four-Year")</f>
        <v>0</v>
      </c>
      <c r="I107" s="6">
        <f>+GETPIVOTDATA(" Old-Medicine",'Pivot Table for 1-11'!$A$3,"State","FL","SREB Type",2,"SREB Type2","Four-Year")</f>
        <v>0</v>
      </c>
      <c r="J107" s="6">
        <f>+GETPIVOTDATA(" Old-Dentistry",'Pivot Table for 1-11'!$A$3,"State","FL","SREB Type",2,"SREB Type2","Four-Year")</f>
        <v>0</v>
      </c>
      <c r="K107" s="6">
        <f>+GETPIVOTDATA(" Old-Pharmacy",'Pivot Table for 1-11'!$A$3,"State","FL","SREB Type",2,"SREB Type2","Four-Year")</f>
        <v>0</v>
      </c>
      <c r="L107" s="6">
        <f>+GETPIVOTDATA(" Old-Optometry",'Pivot Table for 1-11'!$A$3,"State","FL","SREB Type",2,"SREB Type2","Four-Year")</f>
        <v>0</v>
      </c>
      <c r="M107" s="6">
        <f>+GETPIVOTDATA(" Old-Osteopathic Medicine",'Pivot Table for 1-11'!$A$3,"State","FL","SREB Type",2,"SREB Type2","Four-Year")</f>
        <v>0</v>
      </c>
      <c r="N107" s="181">
        <f>+GETPIVOTDATA(" Old-Veterinary Medicine",'Pivot Table for 1-11'!$A$3,"State","FL","SREB Type",2,"SREB Type2","Four-Year")</f>
        <v>0</v>
      </c>
      <c r="O107" s="198">
        <f>+GETPIVOTDATA(" Old-Oth PP",'Pivot Table for 1-11'!$A$3,"State","FL","SREB Type",2,"SREB Type2","Four-Year")</f>
        <v>0</v>
      </c>
      <c r="P107" s="182">
        <f t="shared" si="3"/>
        <v>5861</v>
      </c>
    </row>
    <row r="108" spans="1:16" ht="15" customHeight="1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181"/>
      <c r="O108" s="198"/>
      <c r="P108" s="182">
        <f t="shared" si="3"/>
        <v>0</v>
      </c>
    </row>
    <row r="109" spans="1:16" ht="15" customHeight="1">
      <c r="A109" s="5" t="s">
        <v>301</v>
      </c>
      <c r="B109" s="6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6">
        <f>+GETPIVOTDATA(" Old-Associate's",'Pivot Table for 1-11'!$A$3,"State","GA","SREB Type",2,"SREB Type2","Four-Year")</f>
        <v>0</v>
      </c>
      <c r="D109" s="6">
        <f>+GETPIVOTDATA(" Old-Bachelor's",'Pivot Table for 1-11'!$A$3,"State","GA","SREB Type",2,"SREB Type2","Four-Year")</f>
        <v>2583</v>
      </c>
      <c r="E109" s="6">
        <f>+GETPIVOTDATA(" Old-Post-Bachelor's",'Pivot Table for 1-11'!$A$3,"State","GA","SREB Type",2,"SREB Type2","Four-Year")</f>
        <v>0</v>
      </c>
      <c r="F109" s="6">
        <f>+GETPIVOTDATA(" Old-Total Master's#",'Pivot Table for 1-11'!$A$3,"State","GA","SREB Type",2,"SREB Type2","Four-Year")</f>
        <v>1432</v>
      </c>
      <c r="G109" s="6">
        <f>+GETPIVOTDATA(" Old-Total Doctorates#",'Pivot Table for 1-11'!$A$3,"State","GA","SREB Type",2,"SREB Type2","Four-Year")</f>
        <v>467</v>
      </c>
      <c r="H109" s="17">
        <f>+GETPIVOTDATA(" Old-Law",'Pivot Table for 1-11'!$A$3,"State","GA","SREB Type",2,"SREB Type2","Four-Year")</f>
        <v>0</v>
      </c>
      <c r="I109" s="6">
        <f>+GETPIVOTDATA(" Old-Medicine",'Pivot Table for 1-11'!$A$3,"State","GA","SREB Type",2,"SREB Type2","Four-Year")</f>
        <v>0</v>
      </c>
      <c r="J109" s="6">
        <f>+GETPIVOTDATA(" Old-Dentistry",'Pivot Table for 1-11'!$A$3,"State","GA","SREB Type",2,"SREB Type2","Four-Year")</f>
        <v>0</v>
      </c>
      <c r="K109" s="6">
        <f>+GETPIVOTDATA(" Old-Pharmacy",'Pivot Table for 1-11'!$A$3,"State","GA","SREB Type",2,"SREB Type2","Four-Year")</f>
        <v>0</v>
      </c>
      <c r="L109" s="6">
        <f>+GETPIVOTDATA(" Old-Optometry",'Pivot Table for 1-11'!$A$3,"State","GA","SREB Type",2,"SREB Type2","Four-Year")</f>
        <v>0</v>
      </c>
      <c r="M109" s="6">
        <f>+GETPIVOTDATA(" Old-Osteopathic Medicine",'Pivot Table for 1-11'!$A$3,"State","GA","SREB Type",2,"SREB Type2","Four-Year")</f>
        <v>0</v>
      </c>
      <c r="N109" s="181">
        <f>+GETPIVOTDATA(" Old-Veterinary Medicine",'Pivot Table for 1-11'!$A$3,"State","GA","SREB Type",2,"SREB Type2","Four-Year")</f>
        <v>0</v>
      </c>
      <c r="O109" s="198">
        <f>+GETPIVOTDATA(" Old-Oth PP",'Pivot Table for 1-11'!$A$3,"State","GA","SREB Type",2,"SREB Type2","Four-Year")</f>
        <v>0</v>
      </c>
      <c r="P109" s="182">
        <f t="shared" si="3"/>
        <v>4482</v>
      </c>
    </row>
    <row r="110" spans="1:16" ht="15" customHeight="1">
      <c r="A110" s="5" t="s">
        <v>302</v>
      </c>
      <c r="B110" s="6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6">
        <f>+GETPIVOTDATA(" Old-Associate's",'Pivot Table for 1-11'!$A$3,"State","KY","SREB Type",2,"SREB Type2","Four-Year")</f>
        <v>0</v>
      </c>
      <c r="D110" s="6">
        <f>+GETPIVOTDATA(" Old-Bachelor's",'Pivot Table for 1-11'!$A$3,"State","KY","SREB Type",2,"SREB Type2","Four-Year")</f>
        <v>0</v>
      </c>
      <c r="E110" s="6">
        <f>+GETPIVOTDATA(" Old-Post-Bachelor's",'Pivot Table for 1-11'!$A$3,"State","KY","SREB Type",2,"SREB Type2","Four-Year")</f>
        <v>0</v>
      </c>
      <c r="F110" s="6">
        <f>+GETPIVOTDATA(" Old-Total Master's#",'Pivot Table for 1-11'!$A$3,"State","KY","SREB Type",2,"SREB Type2","Four-Year")</f>
        <v>0</v>
      </c>
      <c r="G110" s="6">
        <f>+GETPIVOTDATA(" Old-Total Doctorates#",'Pivot Table for 1-11'!$A$3,"State","KY","SREB Type",2,"SREB Type2","Four-Year")</f>
        <v>0</v>
      </c>
      <c r="H110" s="17">
        <f>+GETPIVOTDATA(" Old-Law",'Pivot Table for 1-11'!$A$3,"State","KY","SREB Type",2,"SREB Type2","Four-Year")</f>
        <v>0</v>
      </c>
      <c r="I110" s="6">
        <f>+GETPIVOTDATA(" Old-Medicine",'Pivot Table for 1-11'!$A$3,"State","KY","SREB Type",2,"SREB Type2","Four-Year")</f>
        <v>0</v>
      </c>
      <c r="J110" s="6">
        <f>+GETPIVOTDATA(" Old-Dentistry",'Pivot Table for 1-11'!$A$3,"State","KY","SREB Type",2,"SREB Type2","Four-Year")</f>
        <v>0</v>
      </c>
      <c r="K110" s="6">
        <f>+GETPIVOTDATA(" Old-Pharmacy",'Pivot Table for 1-11'!$A$3,"State","KY","SREB Type",2,"SREB Type2","Four-Year")</f>
        <v>0</v>
      </c>
      <c r="L110" s="6">
        <f>+GETPIVOTDATA(" Old-Optometry",'Pivot Table for 1-11'!$A$3,"State","KY","SREB Type",2,"SREB Type2","Four-Year")</f>
        <v>0</v>
      </c>
      <c r="M110" s="6">
        <f>+GETPIVOTDATA(" Old-Osteopathic Medicine",'Pivot Table for 1-11'!$A$3,"State","KY","SREB Type",2,"SREB Type2","Four-Year")</f>
        <v>0</v>
      </c>
      <c r="N110" s="181">
        <f>+GETPIVOTDATA(" Old-Veterinary Medicine",'Pivot Table for 1-11'!$A$3,"State","KY","SREB Type",2,"SREB Type2","Four-Year")</f>
        <v>0</v>
      </c>
      <c r="O110" s="198">
        <f>+GETPIVOTDATA(" Old-Oth PP",'Pivot Table for 1-11'!$A$3,"State","KY","SREB Type",2,"SREB Type2","Four-Year")</f>
        <v>0</v>
      </c>
      <c r="P110" s="182">
        <f t="shared" si="3"/>
        <v>0</v>
      </c>
    </row>
    <row r="111" spans="1:16" ht="15" customHeight="1">
      <c r="A111" s="5" t="s">
        <v>303</v>
      </c>
      <c r="B111" s="6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6">
        <f>+GETPIVOTDATA(" Old-Associate's",'Pivot Table for 1-11'!$A$3,"State","LA","SREB Type",2,"SREB Type2","Four-Year")</f>
        <v>92</v>
      </c>
      <c r="D111" s="6">
        <f>+GETPIVOTDATA(" Old-Bachelor's",'Pivot Table for 1-11'!$A$3,"State","LA","SREB Type",2,"SREB Type2","Four-Year")</f>
        <v>4784</v>
      </c>
      <c r="E111" s="6">
        <f>+GETPIVOTDATA(" Old-Post-Bachelor's",'Pivot Table for 1-11'!$A$3,"State","LA","SREB Type",2,"SREB Type2","Four-Year")</f>
        <v>11</v>
      </c>
      <c r="F111" s="6">
        <f>+GETPIVOTDATA(" Old-Total Master's#",'Pivot Table for 1-11'!$A$3,"State","LA","SREB Type",2,"SREB Type2","Four-Year")</f>
        <v>1297</v>
      </c>
      <c r="G111" s="6">
        <f>+GETPIVOTDATA(" Old-Total Doctorates#",'Pivot Table for 1-11'!$A$3,"State","LA","SREB Type",2,"SREB Type2","Four-Year")</f>
        <v>136</v>
      </c>
      <c r="H111" s="17">
        <f>+GETPIVOTDATA(" Old-Law",'Pivot Table for 1-11'!$A$3,"State","LA","SREB Type",2,"SREB Type2","Four-Year")</f>
        <v>0</v>
      </c>
      <c r="I111" s="6">
        <f>+GETPIVOTDATA(" Old-Medicine",'Pivot Table for 1-11'!$A$3,"State","LA","SREB Type",2,"SREB Type2","Four-Year")</f>
        <v>0</v>
      </c>
      <c r="J111" s="6">
        <f>+GETPIVOTDATA(" Old-Dentistry",'Pivot Table for 1-11'!$A$3,"State","LA","SREB Type",2,"SREB Type2","Four-Year")</f>
        <v>0</v>
      </c>
      <c r="K111" s="6">
        <f>+GETPIVOTDATA(" Old-Pharmacy",'Pivot Table for 1-11'!$A$3,"State","LA","SREB Type",2,"SREB Type2","Four-Year")</f>
        <v>0</v>
      </c>
      <c r="L111" s="6">
        <f>+GETPIVOTDATA(" Old-Optometry",'Pivot Table for 1-11'!$A$3,"State","LA","SREB Type",2,"SREB Type2","Four-Year")</f>
        <v>0</v>
      </c>
      <c r="M111" s="6">
        <f>+GETPIVOTDATA(" Old-Osteopathic Medicine",'Pivot Table for 1-11'!$A$3,"State","LA","SREB Type",2,"SREB Type2","Four-Year")</f>
        <v>0</v>
      </c>
      <c r="N111" s="181">
        <f>+GETPIVOTDATA(" Old-Veterinary Medicine",'Pivot Table for 1-11'!$A$3,"State","LA","SREB Type",2,"SREB Type2","Four-Year")</f>
        <v>0</v>
      </c>
      <c r="O111" s="198">
        <f>+GETPIVOTDATA(" Old-Oth PP",'Pivot Table for 1-11'!$A$3,"State","LA","SREB Type",2,"SREB Type2","Four-Year")</f>
        <v>0</v>
      </c>
      <c r="P111" s="182">
        <f t="shared" si="3"/>
        <v>6320</v>
      </c>
    </row>
    <row r="112" spans="1:16" ht="15" customHeight="1">
      <c r="A112" s="5" t="s">
        <v>304</v>
      </c>
      <c r="B112" s="6">
        <f>+GETPIVOTDATA(" Old-Less Than 2-Year",'Pivot Table for 1-11'!$A$3,"State","MD","SREB Type",2,"SREB Type2","Four-Year")+GETPIVOTDATA(" Old-2 But Less Than 4-Year",'Pivot Table for 1-11'!$A$3,"State","MD","SREB Type",2,"SREB Type2","Four-Year")</f>
        <v>121</v>
      </c>
      <c r="C112" s="6">
        <f>+GETPIVOTDATA(" Old-Associate's",'Pivot Table for 1-11'!$A$3,"State","MD","SREB Type",2,"SREB Type2","Four-Year")</f>
        <v>0</v>
      </c>
      <c r="D112" s="6">
        <f>+GETPIVOTDATA(" Old-Bachelor's",'Pivot Table for 1-11'!$A$3,"State","MD","SREB Type",2,"SREB Type2","Four-Year")</f>
        <v>1844</v>
      </c>
      <c r="E112" s="6">
        <f>+GETPIVOTDATA(" Old-Post-Bachelor's",'Pivot Table for 1-11'!$A$3,"State","MD","SREB Type",2,"SREB Type2","Four-Year")</f>
        <v>92</v>
      </c>
      <c r="F112" s="6">
        <f>+GETPIVOTDATA(" Old-Total Master's#",'Pivot Table for 1-11'!$A$3,"State","MD","SREB Type",2,"SREB Type2","Four-Year")</f>
        <v>449</v>
      </c>
      <c r="G112" s="6">
        <f>+GETPIVOTDATA(" Old-Total Doctorates#",'Pivot Table for 1-11'!$A$3,"State","MD","SREB Type",2,"SREB Type2","Four-Year")</f>
        <v>93</v>
      </c>
      <c r="H112" s="17">
        <f>+GETPIVOTDATA(" Old-Law",'Pivot Table for 1-11'!$A$3,"State","MD","SREB Type",2,"SREB Type2","Four-Year")</f>
        <v>0</v>
      </c>
      <c r="I112" s="6">
        <f>+GETPIVOTDATA(" Old-Medicine",'Pivot Table for 1-11'!$A$3,"State","MD","SREB Type",2,"SREB Type2","Four-Year")</f>
        <v>0</v>
      </c>
      <c r="J112" s="6">
        <f>+GETPIVOTDATA(" Old-Dentistry",'Pivot Table for 1-11'!$A$3,"State","MD","SREB Type",2,"SREB Type2","Four-Year")</f>
        <v>0</v>
      </c>
      <c r="K112" s="6">
        <f>+GETPIVOTDATA(" Old-Pharmacy",'Pivot Table for 1-11'!$A$3,"State","MD","SREB Type",2,"SREB Type2","Four-Year")</f>
        <v>0</v>
      </c>
      <c r="L112" s="6">
        <f>+GETPIVOTDATA(" Old-Optometry",'Pivot Table for 1-11'!$A$3,"State","MD","SREB Type",2,"SREB Type2","Four-Year")</f>
        <v>0</v>
      </c>
      <c r="M112" s="6">
        <f>+GETPIVOTDATA(" Old-Osteopathic Medicine",'Pivot Table for 1-11'!$A$3,"State","MD","SREB Type",2,"SREB Type2","Four-Year")</f>
        <v>0</v>
      </c>
      <c r="N112" s="181">
        <f>+GETPIVOTDATA(" Old-Veterinary Medicine",'Pivot Table for 1-11'!$A$3,"State","MD","SREB Type",2,"SREB Type2","Four-Year")</f>
        <v>0</v>
      </c>
      <c r="O112" s="198">
        <f>+GETPIVOTDATA(" Old-Oth PP",'Pivot Table for 1-11'!$A$3,"State","MD","SREB Type",2,"SREB Type2","Four-Year")</f>
        <v>0</v>
      </c>
      <c r="P112" s="182">
        <f t="shared" si="3"/>
        <v>2478</v>
      </c>
    </row>
    <row r="113" spans="1:16" ht="15" customHeight="1">
      <c r="A113" s="5"/>
      <c r="B113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181"/>
      <c r="O113" s="198"/>
      <c r="P113" s="182">
        <f t="shared" si="3"/>
        <v>0</v>
      </c>
    </row>
    <row r="114" spans="1:16" ht="15" customHeight="1">
      <c r="A114" s="5" t="s">
        <v>305</v>
      </c>
      <c r="B114" s="6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6">
        <f>+GETPIVOTDATA(" Old-Associate's",'Pivot Table for 1-11'!$A$3,"State","MS","SREB Type",2,"SREB Type2","Four-Year")</f>
        <v>0</v>
      </c>
      <c r="D114" s="6">
        <f>+GETPIVOTDATA(" Old-Bachelor's",'Pivot Table for 1-11'!$A$3,"State","MS","SREB Type",2,"SREB Type2","Four-Year")</f>
        <v>3365</v>
      </c>
      <c r="E114" s="6">
        <f>+GETPIVOTDATA(" Old-Post-Bachelor's",'Pivot Table for 1-11'!$A$3,"State","MS","SREB Type",2,"SREB Type2","Four-Year")</f>
        <v>0</v>
      </c>
      <c r="F114" s="6">
        <f>+GETPIVOTDATA(" Old-Total Master's#",'Pivot Table for 1-11'!$A$3,"State","MS","SREB Type",2,"SREB Type2","Four-Year")</f>
        <v>969</v>
      </c>
      <c r="G114" s="6">
        <f>+GETPIVOTDATA(" Old-Total Doctorates#",'Pivot Table for 1-11'!$A$3,"State","MS","SREB Type",2,"SREB Type2","Four-Year")</f>
        <v>139</v>
      </c>
      <c r="H114" s="17">
        <f>+GETPIVOTDATA(" Old-Law",'Pivot Table for 1-11'!$A$3,"State","MS","SREB Type",2,"SREB Type2","Four-Year")</f>
        <v>175</v>
      </c>
      <c r="I114" s="6">
        <f>+GETPIVOTDATA(" Old-Medicine",'Pivot Table for 1-11'!$A$3,"State","MS","SREB Type",2,"SREB Type2","Four-Year")</f>
        <v>0</v>
      </c>
      <c r="J114" s="6">
        <f>+GETPIVOTDATA(" Old-Dentistry",'Pivot Table for 1-11'!$A$3,"State","MS","SREB Type",2,"SREB Type2","Four-Year")</f>
        <v>0</v>
      </c>
      <c r="K114" s="6">
        <f>+GETPIVOTDATA(" Old-Pharmacy",'Pivot Table for 1-11'!$A$3,"State","MS","SREB Type",2,"SREB Type2","Four-Year")</f>
        <v>70</v>
      </c>
      <c r="L114" s="6">
        <f>+GETPIVOTDATA(" Old-Optometry",'Pivot Table for 1-11'!$A$3,"State","MS","SREB Type",2,"SREB Type2","Four-Year")</f>
        <v>0</v>
      </c>
      <c r="M114" s="6">
        <f>+GETPIVOTDATA(" Old-Osteopathic Medicine",'Pivot Table for 1-11'!$A$3,"State","MS","SREB Type",2,"SREB Type2","Four-Year")</f>
        <v>0</v>
      </c>
      <c r="N114" s="181">
        <f>+GETPIVOTDATA(" Old-Veterinary Medicine",'Pivot Table for 1-11'!$A$3,"State","MS","SREB Type",2,"SREB Type2","Four-Year")</f>
        <v>0</v>
      </c>
      <c r="O114" s="198">
        <f>+GETPIVOTDATA(" Old-Oth PP",'Pivot Table for 1-11'!$A$3,"State","MS","SREB Type",2,"SREB Type2","Four-Year")</f>
        <v>0</v>
      </c>
      <c r="P114" s="182">
        <f t="shared" si="3"/>
        <v>4718</v>
      </c>
    </row>
    <row r="115" spans="1:16" ht="15" customHeight="1">
      <c r="A115" s="5" t="s">
        <v>306</v>
      </c>
      <c r="B115" s="6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6">
        <f>+GETPIVOTDATA(" Old-Associate's",'Pivot Table for 1-11'!$A$3,"State","NC","SREB Type",2,"SREB Type2","Four-Year")</f>
        <v>0</v>
      </c>
      <c r="D115" s="6">
        <f>+GETPIVOTDATA(" Old-Bachelor's",'Pivot Table for 1-11'!$A$3,"State","NC","SREB Type",2,"SREB Type2","Four-Year")</f>
        <v>5763</v>
      </c>
      <c r="E115" s="6">
        <f>+GETPIVOTDATA(" Old-Post-Bachelor's",'Pivot Table for 1-11'!$A$3,"State","NC","SREB Type",2,"SREB Type2","Four-Year")</f>
        <v>17</v>
      </c>
      <c r="F115" s="6">
        <f>+GETPIVOTDATA(" Old-Total Master's#",'Pivot Table for 1-11'!$A$3,"State","NC","SREB Type",2,"SREB Type2","Four-Year")</f>
        <v>2049</v>
      </c>
      <c r="G115" s="6">
        <f>+GETPIVOTDATA(" Old-Total Doctorates#",'Pivot Table for 1-11'!$A$3,"State","NC","SREB Type",2,"SREB Type2","Four-Year")</f>
        <v>138</v>
      </c>
      <c r="H115" s="17">
        <f>+GETPIVOTDATA(" Old-Law",'Pivot Table for 1-11'!$A$3,"State","NC","SREB Type",2,"SREB Type2","Four-Year")</f>
        <v>0</v>
      </c>
      <c r="I115" s="6">
        <f>+GETPIVOTDATA(" Old-Medicine",'Pivot Table for 1-11'!$A$3,"State","NC","SREB Type",2,"SREB Type2","Four-Year")</f>
        <v>0</v>
      </c>
      <c r="J115" s="6">
        <f>+GETPIVOTDATA(" Old-Dentistry",'Pivot Table for 1-11'!$A$3,"State","NC","SREB Type",2,"SREB Type2","Four-Year")</f>
        <v>0</v>
      </c>
      <c r="K115" s="6">
        <f>+GETPIVOTDATA(" Old-Pharmacy",'Pivot Table for 1-11'!$A$3,"State","NC","SREB Type",2,"SREB Type2","Four-Year")</f>
        <v>0</v>
      </c>
      <c r="L115" s="6">
        <f>+GETPIVOTDATA(" Old-Optometry",'Pivot Table for 1-11'!$A$3,"State","NC","SREB Type",2,"SREB Type2","Four-Year")</f>
        <v>0</v>
      </c>
      <c r="M115" s="6">
        <f>+GETPIVOTDATA(" Old-Osteopathic Medicine",'Pivot Table for 1-11'!$A$3,"State","NC","SREB Type",2,"SREB Type2","Four-Year")</f>
        <v>0</v>
      </c>
      <c r="N115" s="181">
        <f>+GETPIVOTDATA(" Old-Veterinary Medicine",'Pivot Table for 1-11'!$A$3,"State","NC","SREB Type",2,"SREB Type2","Four-Year")</f>
        <v>0</v>
      </c>
      <c r="O115" s="198">
        <f>+GETPIVOTDATA(" Old-Oth PP",'Pivot Table for 1-11'!$A$3,"State","NC","SREB Type",2,"SREB Type2","Four-Year")</f>
        <v>0</v>
      </c>
      <c r="P115" s="182">
        <f t="shared" si="3"/>
        <v>7967</v>
      </c>
    </row>
    <row r="116" spans="1:16" ht="15" customHeight="1">
      <c r="A116" s="5" t="s">
        <v>307</v>
      </c>
      <c r="B116" s="6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6">
        <f>+GETPIVOTDATA(" Old-Associate's",'Pivot Table for 1-11'!$A$3,"State","OK","SREB Type",2,"SREB Type2","Four-Year")</f>
        <v>0</v>
      </c>
      <c r="D116" s="6">
        <f>+GETPIVOTDATA(" Old-Bachelor's",'Pivot Table for 1-11'!$A$3,"State","OK","SREB Type",2,"SREB Type2","Four-Year")</f>
        <v>0</v>
      </c>
      <c r="E116" s="6">
        <f>+GETPIVOTDATA(" Old-Post-Bachelor's",'Pivot Table for 1-11'!$A$3,"State","OK","SREB Type",2,"SREB Type2","Four-Year")</f>
        <v>0</v>
      </c>
      <c r="F116" s="6">
        <f>+GETPIVOTDATA(" Old-Total Master's#",'Pivot Table for 1-11'!$A$3,"State","OK","SREB Type",2,"SREB Type2","Four-Year")</f>
        <v>0</v>
      </c>
      <c r="G116" s="6">
        <f>+GETPIVOTDATA(" Old-Total Doctorates#",'Pivot Table for 1-11'!$A$3,"State","OK","SREB Type",2,"SREB Type2","Four-Year")</f>
        <v>0</v>
      </c>
      <c r="H116" s="17">
        <f>+GETPIVOTDATA(" Old-Law",'Pivot Table for 1-11'!$A$3,"State","OK","SREB Type",2,"SREB Type2","Four-Year")</f>
        <v>0</v>
      </c>
      <c r="I116" s="6">
        <f>+GETPIVOTDATA(" Old-Medicine",'Pivot Table for 1-11'!$A$3,"State","OK","SREB Type",2,"SREB Type2","Four-Year")</f>
        <v>0</v>
      </c>
      <c r="J116" s="6">
        <f>+GETPIVOTDATA(" Old-Dentistry",'Pivot Table for 1-11'!$A$3,"State","OK","SREB Type",2,"SREB Type2","Four-Year")</f>
        <v>0</v>
      </c>
      <c r="K116" s="6">
        <f>+GETPIVOTDATA(" Old-Pharmacy",'Pivot Table for 1-11'!$A$3,"State","OK","SREB Type",2,"SREB Type2","Four-Year")</f>
        <v>0</v>
      </c>
      <c r="L116" s="6">
        <f>+GETPIVOTDATA(" Old-Optometry",'Pivot Table for 1-11'!$A$3,"State","OK","SREB Type",2,"SREB Type2","Four-Year")</f>
        <v>0</v>
      </c>
      <c r="M116" s="6">
        <f>+GETPIVOTDATA(" Old-Osteopathic Medicine",'Pivot Table for 1-11'!$A$3,"State","OK","SREB Type",2,"SREB Type2","Four-Year")</f>
        <v>0</v>
      </c>
      <c r="N116" s="181">
        <f>+GETPIVOTDATA(" Old-Veterinary Medicine",'Pivot Table for 1-11'!$A$3,"State","OK","SREB Type",2,"SREB Type2","Four-Year")</f>
        <v>0</v>
      </c>
      <c r="O116" s="198">
        <f>+GETPIVOTDATA(" Old-Oth PP",'Pivot Table for 1-11'!$A$3,"State","OK","SREB Type",2,"SREB Type2","Four-Year")</f>
        <v>0</v>
      </c>
      <c r="P116" s="182">
        <f t="shared" si="3"/>
        <v>0</v>
      </c>
    </row>
    <row r="117" spans="1:16" ht="15" customHeight="1">
      <c r="A117" s="5" t="s">
        <v>308</v>
      </c>
      <c r="B117" s="6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6">
        <f>+GETPIVOTDATA(" Old-Associate's",'Pivot Table for 1-11'!$A$3,"State","SC","SREB Type",2,"SREB Type2","Four-Year")</f>
        <v>0</v>
      </c>
      <c r="D117" s="6">
        <f>+GETPIVOTDATA(" Old-Bachelor's",'Pivot Table for 1-11'!$A$3,"State","SC","SREB Type",2,"SREB Type2","Four-Year")</f>
        <v>0</v>
      </c>
      <c r="E117" s="6">
        <f>+GETPIVOTDATA(" Old-Post-Bachelor's",'Pivot Table for 1-11'!$A$3,"State","SC","SREB Type",2,"SREB Type2","Four-Year")</f>
        <v>0</v>
      </c>
      <c r="F117" s="6">
        <f>+GETPIVOTDATA(" Old-Total Master's#",'Pivot Table for 1-11'!$A$3,"State","SC","SREB Type",2,"SREB Type2","Four-Year")</f>
        <v>0</v>
      </c>
      <c r="G117" s="6">
        <f>+GETPIVOTDATA(" Old-Total Doctorates#",'Pivot Table for 1-11'!$A$3,"State","SC","SREB Type",2,"SREB Type2","Four-Year")</f>
        <v>0</v>
      </c>
      <c r="H117" s="17">
        <f>+GETPIVOTDATA(" Old-Law",'Pivot Table for 1-11'!$A$3,"State","SC","SREB Type",2,"SREB Type2","Four-Year")</f>
        <v>0</v>
      </c>
      <c r="I117" s="6">
        <f>+GETPIVOTDATA(" Old-Medicine",'Pivot Table for 1-11'!$A$3,"State","SC","SREB Type",2,"SREB Type2","Four-Year")</f>
        <v>0</v>
      </c>
      <c r="J117" s="6">
        <f>+GETPIVOTDATA(" Old-Dentistry",'Pivot Table for 1-11'!$A$3,"State","SC","SREB Type",2,"SREB Type2","Four-Year")</f>
        <v>0</v>
      </c>
      <c r="K117" s="6">
        <f>+GETPIVOTDATA(" Old-Pharmacy",'Pivot Table for 1-11'!$A$3,"State","SC","SREB Type",2,"SREB Type2","Four-Year")</f>
        <v>0</v>
      </c>
      <c r="L117" s="6">
        <f>+GETPIVOTDATA(" Old-Optometry",'Pivot Table for 1-11'!$A$3,"State","SC","SREB Type",2,"SREB Type2","Four-Year")</f>
        <v>0</v>
      </c>
      <c r="M117" s="6">
        <f>+GETPIVOTDATA(" Old-Osteopathic Medicine",'Pivot Table for 1-11'!$A$3,"State","SC","SREB Type",2,"SREB Type2","Four-Year")</f>
        <v>0</v>
      </c>
      <c r="N117" s="181">
        <f>+GETPIVOTDATA(" Old-Veterinary Medicine",'Pivot Table for 1-11'!$A$3,"State","SC","SREB Type",2,"SREB Type2","Four-Year")</f>
        <v>0</v>
      </c>
      <c r="O117" s="198">
        <f>+GETPIVOTDATA(" Old-Oth PP",'Pivot Table for 1-11'!$A$3,"State","SC","SREB Type",2,"SREB Type2","Four-Year")</f>
        <v>0</v>
      </c>
      <c r="P117" s="182">
        <f t="shared" si="3"/>
        <v>0</v>
      </c>
    </row>
    <row r="118" spans="1:16" ht="15" customHeight="1">
      <c r="A118" s="5"/>
      <c r="B118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8" s="6">
        <f>+GETPIVOTDATA(" Old-Associate's",'Pivot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181"/>
      <c r="O118" s="198"/>
      <c r="P118" s="182">
        <f t="shared" si="3"/>
        <v>0</v>
      </c>
    </row>
    <row r="119" spans="1:16" ht="15" customHeight="1">
      <c r="A119" s="5" t="s">
        <v>309</v>
      </c>
      <c r="B119" s="6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6">
        <f>+GETPIVOTDATA(" Old-Associate's",'Pivot Table for 1-11'!$A$3,"State","TN","SREB Type",2,"SREB Type2","Four-Year")</f>
        <v>0</v>
      </c>
      <c r="D119" s="6">
        <f>+GETPIVOTDATA(" Old-Bachelor's",'Pivot Table for 1-11'!$A$3,"State","TN","SREB Type",2,"SREB Type2","Four-Year")</f>
        <v>0</v>
      </c>
      <c r="E119" s="6">
        <f>+GETPIVOTDATA(" Old-Post-Bachelor's",'Pivot Table for 1-11'!$A$3,"State","TN","SREB Type",2,"SREB Type2","Four-Year")</f>
        <v>0</v>
      </c>
      <c r="F119" s="6">
        <f>+GETPIVOTDATA(" Old-Total Master's#",'Pivot Table for 1-11'!$A$3,"State","TN","SREB Type",2,"SREB Type2","Four-Year")</f>
        <v>0</v>
      </c>
      <c r="G119" s="6">
        <f>+GETPIVOTDATA(" Old-Total Doctorates#",'Pivot Table for 1-11'!$A$3,"State","TN","SREB Type",2,"SREB Type2","Four-Year")</f>
        <v>0</v>
      </c>
      <c r="H119" s="17">
        <f>+GETPIVOTDATA(" Old-Law",'Pivot Table for 1-11'!$A$3,"State","TN","SREB Type",2,"SREB Type2","Four-Year")</f>
        <v>0</v>
      </c>
      <c r="I119" s="6">
        <f>+GETPIVOTDATA(" Old-Medicine",'Pivot Table for 1-11'!$A$3,"State","TN","SREB Type",2,"SREB Type2","Four-Year")</f>
        <v>0</v>
      </c>
      <c r="J119" s="6">
        <f>+GETPIVOTDATA(" Old-Dentistry",'Pivot Table for 1-11'!$A$3,"State","TN","SREB Type",2,"SREB Type2","Four-Year")</f>
        <v>0</v>
      </c>
      <c r="K119" s="6">
        <f>+GETPIVOTDATA(" Old-Pharmacy",'Pivot Table for 1-11'!$A$3,"State","TN","SREB Type",2,"SREB Type2","Four-Year")</f>
        <v>0</v>
      </c>
      <c r="L119" s="6">
        <f>+GETPIVOTDATA(" Old-Optometry",'Pivot Table for 1-11'!$A$3,"State","TN","SREB Type",2,"SREB Type2","Four-Year")</f>
        <v>0</v>
      </c>
      <c r="M119" s="6">
        <f>+GETPIVOTDATA(" Old-Osteopathic Medicine",'Pivot Table for 1-11'!$A$3,"State","TN","SREB Type",2,"SREB Type2","Four-Year")</f>
        <v>0</v>
      </c>
      <c r="N119" s="181">
        <f>+GETPIVOTDATA(" Old-Veterinary Medicine",'Pivot Table for 1-11'!$A$3,"State","TN","SREB Type",2,"SREB Type2","Four-Year")</f>
        <v>0</v>
      </c>
      <c r="O119" s="198">
        <f>+GETPIVOTDATA(" Old-Oth PP",'Pivot Table for 1-11'!$A$3,"State","TN","SREB Type",2,"SREB Type2","Four-Year")</f>
        <v>0</v>
      </c>
      <c r="P119" s="182">
        <f t="shared" si="3"/>
        <v>0</v>
      </c>
    </row>
    <row r="120" spans="1:16" ht="15" customHeight="1">
      <c r="A120" s="5" t="s">
        <v>310</v>
      </c>
      <c r="B120" s="6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6">
        <f>+GETPIVOTDATA(" Old-Associate's",'Pivot Table for 1-11'!$A$3,"State","TX","SREB Type",2,"SREB Type2","Four-Year")</f>
        <v>0</v>
      </c>
      <c r="D120" s="6">
        <f>+GETPIVOTDATA(" Old-Bachelor's",'Pivot Table for 1-11'!$A$3,"State","TX","SREB Type",2,"SREB Type2","Four-Year")</f>
        <v>7817</v>
      </c>
      <c r="E120" s="6">
        <f>+GETPIVOTDATA(" Old-Post-Bachelor's",'Pivot Table for 1-11'!$A$3,"State","TX","SREB Type",2,"SREB Type2","Four-Year")</f>
        <v>0</v>
      </c>
      <c r="F120" s="6">
        <f>+GETPIVOTDATA(" Old-Total Master's#",'Pivot Table for 1-11'!$A$3,"State","TX","SREB Type",2,"SREB Type2","Four-Year")</f>
        <v>3264</v>
      </c>
      <c r="G120" s="6">
        <f>+GETPIVOTDATA(" Old-Total Doctorates#",'Pivot Table for 1-11'!$A$3,"State","TX","SREB Type",2,"SREB Type2","Four-Year")</f>
        <v>180</v>
      </c>
      <c r="H120" s="17">
        <f>+GETPIVOTDATA(" Old-Law",'Pivot Table for 1-11'!$A$3,"State","TX","SREB Type",2,"SREB Type2","Four-Year")</f>
        <v>0</v>
      </c>
      <c r="I120" s="6">
        <f>+GETPIVOTDATA(" Old-Medicine",'Pivot Table for 1-11'!$A$3,"State","TX","SREB Type",2,"SREB Type2","Four-Year")</f>
        <v>0</v>
      </c>
      <c r="J120" s="6">
        <f>+GETPIVOTDATA(" Old-Dentistry",'Pivot Table for 1-11'!$A$3,"State","TX","SREB Type",2,"SREB Type2","Four-Year")</f>
        <v>0</v>
      </c>
      <c r="K120" s="6">
        <f>+GETPIVOTDATA(" Old-Pharmacy",'Pivot Table for 1-11'!$A$3,"State","TX","SREB Type",2,"SREB Type2","Four-Year")</f>
        <v>0</v>
      </c>
      <c r="L120" s="6">
        <f>+GETPIVOTDATA(" Old-Optometry",'Pivot Table for 1-11'!$A$3,"State","TX","SREB Type",2,"SREB Type2","Four-Year")</f>
        <v>0</v>
      </c>
      <c r="M120" s="6">
        <f>+GETPIVOTDATA(" Old-Osteopathic Medicine",'Pivot Table for 1-11'!$A$3,"State","TX","SREB Type",2,"SREB Type2","Four-Year")</f>
        <v>0</v>
      </c>
      <c r="N120" s="181">
        <f>+GETPIVOTDATA(" Old-Veterinary Medicine",'Pivot Table for 1-11'!$A$3,"State","TX","SREB Type",2,"SREB Type2","Four-Year")</f>
        <v>0</v>
      </c>
      <c r="O120" s="198">
        <f>+GETPIVOTDATA(" Old-Oth PP",'Pivot Table for 1-11'!$A$3,"State","TX","SREB Type",2,"SREB Type2","Four-Year")</f>
        <v>0</v>
      </c>
      <c r="P120" s="182">
        <f t="shared" si="3"/>
        <v>11261</v>
      </c>
    </row>
    <row r="121" spans="1:16" ht="15" customHeight="1">
      <c r="A121" s="5" t="s">
        <v>311</v>
      </c>
      <c r="B121" s="6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6">
        <f>+GETPIVOTDATA(" Old-Associate's",'Pivot Table for 1-11'!$A$3,"State","VA","SREB Type",2,"SREB Type2","Four-Year")</f>
        <v>0</v>
      </c>
      <c r="D121" s="6">
        <f>+GETPIVOTDATA(" Old-Bachelor's",'Pivot Table for 1-11'!$A$3,"State","VA","SREB Type",2,"SREB Type2","Four-Year")</f>
        <v>5022</v>
      </c>
      <c r="E121" s="6">
        <f>+GETPIVOTDATA(" Old-Post-Bachelor's",'Pivot Table for 1-11'!$A$3,"State","VA","SREB Type",2,"SREB Type2","Four-Year")</f>
        <v>198</v>
      </c>
      <c r="F121" s="6">
        <f>+GETPIVOTDATA(" Old-Total Master's#",'Pivot Table for 1-11'!$A$3,"State","VA","SREB Type",2,"SREB Type2","Four-Year")</f>
        <v>1878</v>
      </c>
      <c r="G121" s="6">
        <f>+GETPIVOTDATA(" Old-Total Doctorates#",'Pivot Table for 1-11'!$A$3,"State","VA","SREB Type",2,"SREB Type2","Four-Year")</f>
        <v>312</v>
      </c>
      <c r="H121" s="17">
        <f>+GETPIVOTDATA(" Old-Law",'Pivot Table for 1-11'!$A$3,"State","VA","SREB Type",2,"SREB Type2","Four-Year")</f>
        <v>209</v>
      </c>
      <c r="I121" s="6">
        <f>+GETPIVOTDATA(" Old-Medicine",'Pivot Table for 1-11'!$A$3,"State","VA","SREB Type",2,"SREB Type2","Four-Year")</f>
        <v>179</v>
      </c>
      <c r="J121" s="6">
        <f>+GETPIVOTDATA(" Old-Dentistry",'Pivot Table for 1-11'!$A$3,"State","VA","SREB Type",2,"SREB Type2","Four-Year")</f>
        <v>92</v>
      </c>
      <c r="K121" s="6">
        <f>+GETPIVOTDATA(" Old-Pharmacy",'Pivot Table for 1-11'!$A$3,"State","VA","SREB Type",2,"SREB Type2","Four-Year")</f>
        <v>126</v>
      </c>
      <c r="L121" s="6">
        <f>+GETPIVOTDATA(" Old-Optometry",'Pivot Table for 1-11'!$A$3,"State","VA","SREB Type",2,"SREB Type2","Four-Year")</f>
        <v>0</v>
      </c>
      <c r="M121" s="6">
        <f>+GETPIVOTDATA(" Old-Osteopathic Medicine",'Pivot Table for 1-11'!$A$3,"State","VA","SREB Type",2,"SREB Type2","Four-Year")</f>
        <v>0</v>
      </c>
      <c r="N121" s="181">
        <f>+GETPIVOTDATA(" Old-Veterinary Medicine",'Pivot Table for 1-11'!$A$3,"State","VA","SREB Type",2,"SREB Type2","Four-Year")</f>
        <v>0</v>
      </c>
      <c r="O121" s="198">
        <f>+GETPIVOTDATA(" Old-Oth PP",'Pivot Table for 1-11'!$A$3,"State","VA","SREB Type",2,"SREB Type2","Four-Year")</f>
        <v>0</v>
      </c>
      <c r="P121" s="182">
        <f t="shared" si="3"/>
        <v>8016</v>
      </c>
    </row>
    <row r="122" spans="1:16" ht="15" customHeight="1">
      <c r="A122" s="7" t="s">
        <v>312</v>
      </c>
      <c r="B122" s="8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8">
        <f>+GETPIVOTDATA(" Old-Associate's",'Pivot Table for 1-11'!$A$3,"State","WV","SREB Type",2,"SREB Type2","Four-Year")</f>
        <v>0</v>
      </c>
      <c r="D122" s="8">
        <f>+GETPIVOTDATA(" Old-Bachelor's",'Pivot Table for 1-11'!$A$3,"State","WV","SREB Type",2,"SREB Type2","Four-Year")</f>
        <v>0</v>
      </c>
      <c r="E122" s="8">
        <f>+GETPIVOTDATA(" Old-Post-Bachelor's",'Pivot Table for 1-11'!$A$3,"State","WV","SREB Type",2,"SREB Type2","Four-Year")</f>
        <v>0</v>
      </c>
      <c r="F122" s="8">
        <f>+GETPIVOTDATA(" Old-Total Master's#",'Pivot Table for 1-11'!$A$3,"State","WV","SREB Type",2,"SREB Type2","Four-Year")</f>
        <v>0</v>
      </c>
      <c r="G122" s="8">
        <f>+GETPIVOTDATA(" Old-Total Doctorates#",'Pivot Table for 1-11'!$A$3,"State","WV","SREB Type",2,"SREB Type2","Four-Year")</f>
        <v>0</v>
      </c>
      <c r="H122" s="18">
        <f>+GETPIVOTDATA(" Old-Law",'Pivot Table for 1-11'!$A$3,"State","WV","SREB Type",2,"SREB Type2","Four-Year")</f>
        <v>0</v>
      </c>
      <c r="I122" s="8">
        <f>+GETPIVOTDATA(" Old-Medicine",'Pivot Table for 1-11'!$A$3,"State","WV","SREB Type",2,"SREB Type2","Four-Year")</f>
        <v>0</v>
      </c>
      <c r="J122" s="8">
        <f>+GETPIVOTDATA(" Old-Dentistry",'Pivot Table for 1-11'!$A$3,"State","WV","SREB Type",2,"SREB Type2","Four-Year")</f>
        <v>0</v>
      </c>
      <c r="K122" s="8">
        <f>+GETPIVOTDATA(" Old-Pharmacy",'Pivot Table for 1-11'!$A$3,"State","WV","SREB Type",2,"SREB Type2","Four-Year")</f>
        <v>0</v>
      </c>
      <c r="L122" s="8">
        <f>+GETPIVOTDATA(" Old-Optometry",'Pivot Table for 1-11'!$A$3,"State","WV","SREB Type",2,"SREB Type2","Four-Year")</f>
        <v>0</v>
      </c>
      <c r="M122" s="8">
        <f>+GETPIVOTDATA(" Old-Osteopathic Medicine",'Pivot Table for 1-11'!$A$3,"State","WV","SREB Type",2,"SREB Type2","Four-Year")</f>
        <v>0</v>
      </c>
      <c r="N122" s="189">
        <f>+GETPIVOTDATA(" Old-Veterinary Medicine",'Pivot Table for 1-11'!$A$3,"State","WV","SREB Type",2,"SREB Type2","Four-Year")</f>
        <v>0</v>
      </c>
      <c r="O122" s="199">
        <f>+GETPIVOTDATA(" Old-Oth PP",'Pivot Table for 1-11'!$A$3,"State","WV","SREB Type",2,"SREB Type2","Four-Year")</f>
        <v>0</v>
      </c>
      <c r="P122" s="183">
        <f t="shared" si="3"/>
        <v>0</v>
      </c>
    </row>
    <row r="123" spans="1:16" ht="15" customHeight="1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181"/>
      <c r="O123" s="181"/>
      <c r="P123" s="181"/>
    </row>
    <row r="124" spans="1:16" ht="24" customHeight="1">
      <c r="A124" s="767" t="s">
        <v>1253</v>
      </c>
      <c r="B124" s="768"/>
      <c r="C124" s="768"/>
      <c r="D124" s="768"/>
      <c r="E124" s="768"/>
      <c r="F124" s="768"/>
      <c r="G124" s="768"/>
      <c r="H124" s="768"/>
      <c r="I124" s="768"/>
      <c r="J124" s="768"/>
      <c r="K124" s="768"/>
      <c r="L124" s="768"/>
      <c r="M124" s="768"/>
      <c r="N124" s="768"/>
      <c r="O124" s="768"/>
      <c r="P124" s="768"/>
    </row>
    <row r="125" spans="1:16">
      <c r="P125" s="184" t="s">
        <v>1267</v>
      </c>
    </row>
    <row r="126" spans="1:16" ht="18">
      <c r="A126" s="22" t="s">
        <v>316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93"/>
      <c r="O126" s="93"/>
      <c r="P126" s="93"/>
    </row>
    <row r="127" spans="1:1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92"/>
      <c r="O127" s="92"/>
      <c r="P127" s="92"/>
    </row>
    <row r="128" spans="1:16" ht="15.75">
      <c r="A128" s="1" t="s">
        <v>285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93"/>
      <c r="O128" s="93"/>
      <c r="P128" s="93"/>
    </row>
    <row r="129" spans="1:16" ht="15.75">
      <c r="A129" s="1" t="s">
        <v>1312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93"/>
      <c r="O129" s="93"/>
      <c r="P129" s="93"/>
    </row>
    <row r="130" spans="1:16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94"/>
      <c r="O130" s="94"/>
      <c r="P130" s="94"/>
    </row>
    <row r="131" spans="1:16" ht="15.75">
      <c r="A131" s="192"/>
      <c r="B131" s="192"/>
      <c r="C131" s="192"/>
      <c r="D131" s="192"/>
      <c r="E131" s="192"/>
      <c r="F131" s="192"/>
      <c r="G131" s="192"/>
      <c r="H131" s="196" t="s">
        <v>1254</v>
      </c>
      <c r="I131" s="26"/>
      <c r="J131" s="26"/>
      <c r="K131" s="26"/>
      <c r="L131" s="26"/>
      <c r="M131" s="26"/>
      <c r="N131" s="193"/>
      <c r="O131" s="200"/>
      <c r="P131" s="195" t="s">
        <v>321</v>
      </c>
    </row>
    <row r="132" spans="1:16" ht="41.25" customHeight="1">
      <c r="A132" s="14"/>
      <c r="B132" s="15" t="s">
        <v>696</v>
      </c>
      <c r="C132" s="15" t="s">
        <v>286</v>
      </c>
      <c r="D132" s="15" t="s">
        <v>278</v>
      </c>
      <c r="E132" s="15" t="s">
        <v>279</v>
      </c>
      <c r="F132" s="15" t="s">
        <v>288</v>
      </c>
      <c r="G132" s="15" t="s">
        <v>289</v>
      </c>
      <c r="H132" s="16" t="s">
        <v>290</v>
      </c>
      <c r="I132" s="15" t="s">
        <v>291</v>
      </c>
      <c r="J132" s="15" t="s">
        <v>292</v>
      </c>
      <c r="K132" s="15" t="s">
        <v>283</v>
      </c>
      <c r="L132" s="15" t="s">
        <v>293</v>
      </c>
      <c r="M132" s="15" t="s">
        <v>294</v>
      </c>
      <c r="N132" s="191" t="s">
        <v>1320</v>
      </c>
      <c r="O132" s="197" t="s">
        <v>1321</v>
      </c>
      <c r="P132" s="191" t="s">
        <v>295</v>
      </c>
    </row>
    <row r="133" spans="1:16" ht="15" customHeight="1">
      <c r="A133" s="5" t="s">
        <v>296</v>
      </c>
      <c r="B133" s="6">
        <f>+GETPIVOTDATA(" Old-Less Than 2-Year",'Pivot Table for 1-11'!$A$3,"SREB Type",3,"SREB Type2","Four-Year")+GETPIVOTDATA(" Old-2 But Less Than 4-Year",'Pivot Table for 1-11'!$A$3,"SREB Type",3,"SREB Type2","Four-Year")</f>
        <v>224</v>
      </c>
      <c r="C133" s="6">
        <f>+GETPIVOTDATA(" Old-Associate's",'Pivot Table for 1-11'!$A$3,"SREB Type",3,"SREB Type2","Four-Year")</f>
        <v>2294</v>
      </c>
      <c r="D133" s="6">
        <f>+GETPIVOTDATA(" Old-Bachelor's",'Pivot Table for 1-11'!$A$3,"SREB Type",3,"SREB Type2","Four-Year")</f>
        <v>93330</v>
      </c>
      <c r="E133" s="6">
        <f>+GETPIVOTDATA(" Old-Post-Bachelor's",'Pivot Table for 1-11'!$A$3,"SREB Type",3,"SREB Type2","Four-Year")</f>
        <v>224</v>
      </c>
      <c r="F133" s="6">
        <f>+GETPIVOTDATA(" Old-Total Master's#",'Pivot Table for 1-11'!$A$3,"SREB Type",3,"SREB Type2","Four-Year")</f>
        <v>28952</v>
      </c>
      <c r="G133" s="6">
        <f>+GETPIVOTDATA(" Old-Total Doctorates#",'Pivot Table for 1-11'!$A$3,"SREB Type",3,"SREB Type2","Four-Year")</f>
        <v>998</v>
      </c>
      <c r="H133" s="17">
        <f>+GETPIVOTDATA(" Old-Law",'Pivot Table for 1-11'!$A$3,"SREB Type",3,"SREB Type2","Four-Year")</f>
        <v>700</v>
      </c>
      <c r="I133" s="6">
        <f>+GETPIVOTDATA(" Old-Medicine",'Pivot Table for 1-11'!$A$3,"SREB Type",3,"SREB Type2","Four-Year")</f>
        <v>236</v>
      </c>
      <c r="J133" s="6">
        <f>+GETPIVOTDATA(" Old-Dentistry",'Pivot Table for 1-11'!$A$3,"SREB Type",3,"SREB Type2","Four-Year")</f>
        <v>0</v>
      </c>
      <c r="K133" s="6">
        <f>+GETPIVOTDATA(" Old-Pharmacy",'Pivot Table for 1-11'!$A$3,"SREB Type",3,"SREB Type2","Four-Year")</f>
        <v>375</v>
      </c>
      <c r="L133" s="6">
        <f>+GETPIVOTDATA(" Old-Optometry",'Pivot Table for 1-11'!$A$3,"SREB Type",3,"SREB Type2","Four-Year")</f>
        <v>27</v>
      </c>
      <c r="M133" s="6">
        <f>+GETPIVOTDATA(" Old-Osteopathic Medicine",'Pivot Table for 1-11'!$A$3,"SREB Type",3,"SREB Type2","Four-Year")</f>
        <v>0</v>
      </c>
      <c r="N133" s="181">
        <f>+GETPIVOTDATA(" Old-Veterinary Medicine",'Pivot Table for 1-11'!$A$3,"SREB Type",3,"SREB Type2","Four-Year")</f>
        <v>0</v>
      </c>
      <c r="O133" s="198">
        <f>+GETPIVOTDATA(" Old-Oth PP",'Pivot Table for 1-11'!$A$3,"SREB Type",3,"SREB Type2","Four-Year")</f>
        <v>4</v>
      </c>
      <c r="P133" s="182">
        <f>SUM(B133:O133)</f>
        <v>127364</v>
      </c>
    </row>
    <row r="134" spans="1:16" ht="15" customHeight="1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181"/>
      <c r="O134" s="198"/>
      <c r="P134" s="182"/>
    </row>
    <row r="135" spans="1:16" ht="15" customHeight="1">
      <c r="A135" s="5" t="s">
        <v>297</v>
      </c>
      <c r="B135" s="6">
        <f>GETPIVOTDATA(" Old-Less Than 2-Year",'Pivot Table for 1-11'!$A$3,"State","AL","SREB Type",3,"SREB Type2","Four-Year")+GETPIVOTDATA(" Old-2 But Less Than 4-Year",'Pivot Table for 1-11'!$A$3,"State","AL","SREB Type",3,"SREB Type2","Four-Year")</f>
        <v>89</v>
      </c>
      <c r="C135" s="6">
        <f>+GETPIVOTDATA(" Old-Associate's",'Pivot Table for 1-11'!$A$3,"State","AL","SREB Type",3,"SREB Type2","Four-Year")</f>
        <v>127</v>
      </c>
      <c r="D135" s="6">
        <f>+GETPIVOTDATA(" Old-Bachelor's",'Pivot Table for 1-11'!$A$3,"State","AL","SREB Type",3,"SREB Type2","Four-Year")</f>
        <v>4812</v>
      </c>
      <c r="E135" s="6">
        <f>+GETPIVOTDATA(" Old-Post-Bachelor's",'Pivot Table for 1-11'!$A$3,"State","AL","SREB Type",3,"SREB Type2","Four-Year")</f>
        <v>3</v>
      </c>
      <c r="F135" s="6">
        <f>+GETPIVOTDATA(" Old-Total Master's#",'Pivot Table for 1-11'!$A$3,"State","AL","SREB Type",3,"SREB Type2","Four-Year")</f>
        <v>2538</v>
      </c>
      <c r="G135" s="6">
        <f>+GETPIVOTDATA(" Old-Total Doctorates#",'Pivot Table for 1-11'!$A$3,"State","AL","SREB Type",3,"SREB Type2","Four-Year")</f>
        <v>97</v>
      </c>
      <c r="H135" s="17">
        <f>+GETPIVOTDATA(" Old-Law",'Pivot Table for 1-11'!$A$3,"State","AL","SREB Type",3,"SREB Type2","Four-Year")</f>
        <v>0</v>
      </c>
      <c r="I135" s="6">
        <f>+GETPIVOTDATA(" Old-Medicine",'Pivot Table for 1-11'!$A$3,"State","AL","SREB Type",3,"SREB Type2","Four-Year")</f>
        <v>65</v>
      </c>
      <c r="J135" s="6">
        <f>+GETPIVOTDATA(" Old-Dentistry",'Pivot Table for 1-11'!$A$3,"State","AL","SREB Type",3,"SREB Type2","Four-Year")</f>
        <v>0</v>
      </c>
      <c r="K135" s="6">
        <f>+GETPIVOTDATA(" Old-Pharmacy",'Pivot Table for 1-11'!$A$3,"State","AL","SREB Type",3,"SREB Type2","Four-Year")</f>
        <v>0</v>
      </c>
      <c r="L135" s="6">
        <f>+GETPIVOTDATA(" Old-Optometry",'Pivot Table for 1-11'!$A$3,"State","AL","SREB Type",3,"SREB Type2","Four-Year")</f>
        <v>0</v>
      </c>
      <c r="M135" s="6">
        <f>+GETPIVOTDATA(" Old-Osteopathic Medicine",'Pivot Table for 1-11'!$A$3,"State","AL","SREB Type",3,"SREB Type2","Four-Year")</f>
        <v>0</v>
      </c>
      <c r="N135" s="181">
        <f>+GETPIVOTDATA(" Old-Veterinary Medicine",'Pivot Table for 1-11'!$A$3,"State","AL","SREB Type",3,"SREB Type2","Four-Year")</f>
        <v>0</v>
      </c>
      <c r="O135" s="198">
        <f>+GETPIVOTDATA(" Old-Oth PP",'Pivot Table for 1-11'!$A$3,"State","AL","SREB Type",3,"SREB Type2","Four-Year")</f>
        <v>0</v>
      </c>
      <c r="P135" s="182">
        <f t="shared" ref="P135:P153" si="4">SUM(B135:O135)</f>
        <v>7731</v>
      </c>
    </row>
    <row r="136" spans="1:16" ht="15" customHeight="1">
      <c r="A136" s="5" t="s">
        <v>298</v>
      </c>
      <c r="B136" s="6">
        <f>+GETPIVOTDATA(" Old-Less Than 2-Year",'Pivot Table for 1-11'!$A$3,"State","AR","SREB Type",3,"SREB Type2","Four-Year")+GETPIVOTDATA(" Old-2 But Less Than 4-Year",'Pivot Table for 1-11'!$A$3,"State","AR","SREB Type",3,"SREB Type2","Four-Year")</f>
        <v>58</v>
      </c>
      <c r="C136" s="6">
        <f>+GETPIVOTDATA(" Old-Associate's",'Pivot Table for 1-11'!$A$3,"State","AR","SREB Type",3,"SREB Type2","Four-Year")</f>
        <v>400</v>
      </c>
      <c r="D136" s="6">
        <f>+GETPIVOTDATA(" Old-Bachelor's",'Pivot Table for 1-11'!$A$3,"State","AR","SREB Type",3,"SREB Type2","Four-Year")</f>
        <v>3880</v>
      </c>
      <c r="E136" s="6">
        <f>+GETPIVOTDATA(" Old-Post-Bachelor's",'Pivot Table for 1-11'!$A$3,"State","AR","SREB Type",3,"SREB Type2","Four-Year")</f>
        <v>67</v>
      </c>
      <c r="F136" s="6">
        <f>+GETPIVOTDATA(" Old-Total Master's#",'Pivot Table for 1-11'!$A$3,"State","AR","SREB Type",3,"SREB Type2","Four-Year")</f>
        <v>1392</v>
      </c>
      <c r="G136" s="6">
        <f>+GETPIVOTDATA(" Old-Total Doctorates#",'Pivot Table for 1-11'!$A$3,"State","AR","SREB Type",3,"SREB Type2","Four-Year")</f>
        <v>67</v>
      </c>
      <c r="H136" s="17">
        <f>+GETPIVOTDATA(" Old-Law",'Pivot Table for 1-11'!$A$3,"State","AR","SREB Type",3,"SREB Type2","Four-Year")</f>
        <v>123</v>
      </c>
      <c r="I136" s="6">
        <f>+GETPIVOTDATA(" Old-Medicine",'Pivot Table for 1-11'!$A$3,"State","AR","SREB Type",3,"SREB Type2","Four-Year")</f>
        <v>0</v>
      </c>
      <c r="J136" s="6">
        <f>+GETPIVOTDATA(" Old-Dentistry",'Pivot Table for 1-11'!$A$3,"State","AR","SREB Type",3,"SREB Type2","Four-Year")</f>
        <v>0</v>
      </c>
      <c r="K136" s="6">
        <f>+GETPIVOTDATA(" Old-Pharmacy",'Pivot Table for 1-11'!$A$3,"State","AR","SREB Type",3,"SREB Type2","Four-Year")</f>
        <v>0</v>
      </c>
      <c r="L136" s="6">
        <f>+GETPIVOTDATA(" Old-Optometry",'Pivot Table for 1-11'!$A$3,"State","AR","SREB Type",3,"SREB Type2","Four-Year")</f>
        <v>0</v>
      </c>
      <c r="M136" s="6">
        <f>+GETPIVOTDATA(" Old-Osteopathic Medicine",'Pivot Table for 1-11'!$A$3,"State","AR","SREB Type",3,"SREB Type2","Four-Year")</f>
        <v>0</v>
      </c>
      <c r="N136" s="181">
        <f>+GETPIVOTDATA(" Old-Veterinary Medicine",'Pivot Table for 1-11'!$A$3,"State","AR","SREB Type",3,"SREB Type2","Four-Year")</f>
        <v>0</v>
      </c>
      <c r="O136" s="198">
        <f>+GETPIVOTDATA(" Old-Oth PP",'Pivot Table for 1-11'!$A$3,"State","AR","SREB Type",3,"SREB Type2","Four-Year")</f>
        <v>0</v>
      </c>
      <c r="P136" s="182">
        <f t="shared" si="4"/>
        <v>5987</v>
      </c>
    </row>
    <row r="137" spans="1:16" ht="15" customHeight="1">
      <c r="A137" s="5" t="s">
        <v>299</v>
      </c>
      <c r="B137" s="6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6">
        <f>+GETPIVOTDATA(" Old-Associate's",'Pivot Table for 1-11'!$A$3,"State","DE","SREB Type",3,"SREB Type2","Four-Year")</f>
        <v>0</v>
      </c>
      <c r="D137" s="6">
        <f>+GETPIVOTDATA(" Old-Bachelor's",'Pivot Table for 1-11'!$A$3,"State","DE","SREB Type",3,"SREB Type2","Four-Year")</f>
        <v>0</v>
      </c>
      <c r="E137" s="6">
        <f>+GETPIVOTDATA(" Old-Post-Bachelor's",'Pivot Table for 1-11'!$A$3,"State","DE","SREB Type",3,"SREB Type2","Four-Year")</f>
        <v>0</v>
      </c>
      <c r="F137" s="6">
        <f>+GETPIVOTDATA(" Old-Total Master's#",'Pivot Table for 1-11'!$A$3,"State","DE","SREB Type",3,"SREB Type2","Four-Year")</f>
        <v>0</v>
      </c>
      <c r="G137" s="6">
        <f>+GETPIVOTDATA(" Old-Total Doctorates#",'Pivot Table for 1-11'!$A$3,"State","DE","SREB Type",3,"SREB Type2","Four-Year")</f>
        <v>0</v>
      </c>
      <c r="H137" s="17">
        <f>+GETPIVOTDATA(" Old-Law",'Pivot Table for 1-11'!$A$3,"State","DE","SREB Type",3,"SREB Type2","Four-Year")</f>
        <v>0</v>
      </c>
      <c r="I137" s="6">
        <f>+GETPIVOTDATA(" Old-Medicine",'Pivot Table for 1-11'!$A$3,"State","DE","SREB Type",3,"SREB Type2","Four-Year")</f>
        <v>0</v>
      </c>
      <c r="J137" s="6">
        <f>+GETPIVOTDATA(" Old-Dentistry",'Pivot Table for 1-11'!$A$3,"State","DE","SREB Type",3,"SREB Type2","Four-Year")</f>
        <v>0</v>
      </c>
      <c r="K137" s="6">
        <f>+GETPIVOTDATA(" Old-Pharmacy",'Pivot Table for 1-11'!$A$3,"State","DE","SREB Type",3,"SREB Type2","Four-Year")</f>
        <v>0</v>
      </c>
      <c r="L137" s="6">
        <f>+GETPIVOTDATA(" Old-Optometry",'Pivot Table for 1-11'!$A$3,"State","DE","SREB Type",3,"SREB Type2","Four-Year")</f>
        <v>0</v>
      </c>
      <c r="M137" s="6">
        <f>+GETPIVOTDATA(" Old-Osteopathic Medicine",'Pivot Table for 1-11'!$A$3,"State","DE","SREB Type",3,"SREB Type2","Four-Year")</f>
        <v>0</v>
      </c>
      <c r="N137" s="181">
        <f>+GETPIVOTDATA(" Old-Veterinary Medicine",'Pivot Table for 1-11'!$A$3,"State","DE","SREB Type",3,"SREB Type2","Four-Year")</f>
        <v>0</v>
      </c>
      <c r="O137" s="198">
        <f>+GETPIVOTDATA(" Old-Oth PP",'Pivot Table for 1-11'!$A$3,"State","DE","SREB Type",3,"SREB Type2","Four-Year")</f>
        <v>0</v>
      </c>
      <c r="P137" s="182">
        <f t="shared" si="4"/>
        <v>0</v>
      </c>
    </row>
    <row r="138" spans="1:16" ht="15" customHeight="1">
      <c r="A138" s="5" t="s">
        <v>300</v>
      </c>
      <c r="B138" s="6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6">
        <f>+GETPIVOTDATA(" Old-Associate's",'Pivot Table for 1-11'!$A$3,"State","FL","SREB Type",3,"SREB Type2","Four-Year")</f>
        <v>647</v>
      </c>
      <c r="D138" s="6">
        <f>+GETPIVOTDATA(" Old-Bachelor's",'Pivot Table for 1-11'!$A$3,"State","FL","SREB Type",3,"SREB Type2","Four-Year")</f>
        <v>5971</v>
      </c>
      <c r="E138" s="6">
        <f>+GETPIVOTDATA(" Old-Post-Bachelor's",'Pivot Table for 1-11'!$A$3,"State","FL","SREB Type",3,"SREB Type2","Four-Year")</f>
        <v>0</v>
      </c>
      <c r="F138" s="6">
        <f>+GETPIVOTDATA(" Old-Total Master's#",'Pivot Table for 1-11'!$A$3,"State","FL","SREB Type",3,"SREB Type2","Four-Year")</f>
        <v>1261</v>
      </c>
      <c r="G138" s="6">
        <f>+GETPIVOTDATA(" Old-Total Doctorates#",'Pivot Table for 1-11'!$A$3,"State","FL","SREB Type",3,"SREB Type2","Four-Year")</f>
        <v>52</v>
      </c>
      <c r="H138" s="17">
        <f>+GETPIVOTDATA(" Old-Law",'Pivot Table for 1-11'!$A$3,"State","FL","SREB Type",3,"SREB Type2","Four-Year")</f>
        <v>122</v>
      </c>
      <c r="I138" s="6">
        <f>+GETPIVOTDATA(" Old-Medicine",'Pivot Table for 1-11'!$A$3,"State","FL","SREB Type",3,"SREB Type2","Four-Year")</f>
        <v>0</v>
      </c>
      <c r="J138" s="6">
        <f>+GETPIVOTDATA(" Old-Dentistry",'Pivot Table for 1-11'!$A$3,"State","FL","SREB Type",3,"SREB Type2","Four-Year")</f>
        <v>0</v>
      </c>
      <c r="K138" s="6">
        <f>+GETPIVOTDATA(" Old-Pharmacy",'Pivot Table for 1-11'!$A$3,"State","FL","SREB Type",3,"SREB Type2","Four-Year")</f>
        <v>150</v>
      </c>
      <c r="L138" s="6">
        <f>+GETPIVOTDATA(" Old-Optometry",'Pivot Table for 1-11'!$A$3,"State","FL","SREB Type",3,"SREB Type2","Four-Year")</f>
        <v>0</v>
      </c>
      <c r="M138" s="6">
        <f>+GETPIVOTDATA(" Old-Osteopathic Medicine",'Pivot Table for 1-11'!$A$3,"State","FL","SREB Type",3,"SREB Type2","Four-Year")</f>
        <v>0</v>
      </c>
      <c r="N138" s="181">
        <f>+GETPIVOTDATA(" Old-Veterinary Medicine",'Pivot Table for 1-11'!$A$3,"State","FL","SREB Type",3,"SREB Type2","Four-Year")</f>
        <v>0</v>
      </c>
      <c r="O138" s="198">
        <f>+GETPIVOTDATA(" Old-Oth PP",'Pivot Table for 1-11'!$A$3,"State","FL","SREB Type",3,"SREB Type2","Four-Year")</f>
        <v>0</v>
      </c>
      <c r="P138" s="182">
        <f t="shared" si="4"/>
        <v>8203</v>
      </c>
    </row>
    <row r="139" spans="1:16" ht="15" customHeight="1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181"/>
      <c r="O139" s="198"/>
      <c r="P139" s="182">
        <f t="shared" si="4"/>
        <v>0</v>
      </c>
    </row>
    <row r="140" spans="1:16" ht="15" customHeight="1">
      <c r="A140" s="5" t="s">
        <v>301</v>
      </c>
      <c r="B140" s="6">
        <f>+GETPIVOTDATA(" Old-Less Than 2-Year",'Pivot Table for 1-11'!$A$3,"State","GA","SREB Type",3,"SREB Type2","Four-Year")+GETPIVOTDATA(" Old-2 But Less Than 4-Year",'Pivot Table for 1-11'!$A$3,"State","GA","SREB Type",3,"SREB Type2","Four-Year")</f>
        <v>0</v>
      </c>
      <c r="C140" s="6">
        <f>+GETPIVOTDATA(" Old-Associate's",'Pivot Table for 1-11'!$A$3,"State","GA","SREB Type",3,"SREB Type2","Four-Year")</f>
        <v>52</v>
      </c>
      <c r="D140" s="6">
        <f>+GETPIVOTDATA(" Old-Bachelor's",'Pivot Table for 1-11'!$A$3,"State","GA","SREB Type",3,"SREB Type2","Four-Year")</f>
        <v>5226</v>
      </c>
      <c r="E140" s="6">
        <f>+GETPIVOTDATA(" Old-Post-Bachelor's",'Pivot Table for 1-11'!$A$3,"State","GA","SREB Type",3,"SREB Type2","Four-Year")</f>
        <v>8</v>
      </c>
      <c r="F140" s="6">
        <f>+GETPIVOTDATA(" Old-Total Master's#",'Pivot Table for 1-11'!$A$3,"State","GA","SREB Type",3,"SREB Type2","Four-Year")</f>
        <v>1464</v>
      </c>
      <c r="G140" s="6">
        <f>+GETPIVOTDATA(" Old-Total Doctorates#",'Pivot Table for 1-11'!$A$3,"State","GA","SREB Type",3,"SREB Type2","Four-Year")</f>
        <v>92</v>
      </c>
      <c r="H140" s="17">
        <f>+GETPIVOTDATA(" Old-Law",'Pivot Table for 1-11'!$A$3,"State","GA","SREB Type",3,"SREB Type2","Four-Year")</f>
        <v>0</v>
      </c>
      <c r="I140" s="6">
        <f>+GETPIVOTDATA(" Old-Medicine",'Pivot Table for 1-11'!$A$3,"State","GA","SREB Type",3,"SREB Type2","Four-Year")</f>
        <v>0</v>
      </c>
      <c r="J140" s="6">
        <f>+GETPIVOTDATA(" Old-Dentistry",'Pivot Table for 1-11'!$A$3,"State","GA","SREB Type",3,"SREB Type2","Four-Year")</f>
        <v>0</v>
      </c>
      <c r="K140" s="6">
        <f>+GETPIVOTDATA(" Old-Pharmacy",'Pivot Table for 1-11'!$A$3,"State","GA","SREB Type",3,"SREB Type2","Four-Year")</f>
        <v>0</v>
      </c>
      <c r="L140" s="6">
        <f>+GETPIVOTDATA(" Old-Optometry",'Pivot Table for 1-11'!$A$3,"State","GA","SREB Type",3,"SREB Type2","Four-Year")</f>
        <v>0</v>
      </c>
      <c r="M140" s="6">
        <f>+GETPIVOTDATA(" Old-Osteopathic Medicine",'Pivot Table for 1-11'!$A$3,"State","GA","SREB Type",3,"SREB Type2","Four-Year")</f>
        <v>0</v>
      </c>
      <c r="N140" s="181">
        <f>+GETPIVOTDATA(" Old-Veterinary Medicine",'Pivot Table for 1-11'!$A$3,"State","GA","SREB Type",3,"SREB Type2","Four-Year")</f>
        <v>0</v>
      </c>
      <c r="O140" s="198">
        <f>+GETPIVOTDATA(" Old-Oth PP",'Pivot Table for 1-11'!$A$3,"State","GA","SREB Type",3,"SREB Type2","Four-Year")</f>
        <v>0</v>
      </c>
      <c r="P140" s="182">
        <f t="shared" si="4"/>
        <v>6842</v>
      </c>
    </row>
    <row r="141" spans="1:16" ht="15" customHeight="1">
      <c r="A141" s="5" t="s">
        <v>302</v>
      </c>
      <c r="B141" s="6">
        <f>+GETPIVOTDATA(" Old-Less Than 2-Year",'Pivot Table for 1-11'!$A$3,"State","KY","SREB Type",3,"SREB Type2","Four-Year")+GETPIVOTDATA(" Old-2 But Less Than 4-Year",'Pivot Table for 1-11'!$A$3,"State","KY","SREB Type",3,"SREB Type2","Four-Year")</f>
        <v>69</v>
      </c>
      <c r="C141" s="6">
        <f>+GETPIVOTDATA(" Old-Associate's",'Pivot Table for 1-11'!$A$3,"State","KY","SREB Type",3,"SREB Type2","Four-Year")</f>
        <v>446</v>
      </c>
      <c r="D141" s="6">
        <f>+GETPIVOTDATA(" Old-Bachelor's",'Pivot Table for 1-11'!$A$3,"State","KY","SREB Type",3,"SREB Type2","Four-Year")</f>
        <v>6053</v>
      </c>
      <c r="E141" s="6">
        <f>+GETPIVOTDATA(" Old-Post-Bachelor's",'Pivot Table for 1-11'!$A$3,"State","KY","SREB Type",3,"SREB Type2","Four-Year")</f>
        <v>44</v>
      </c>
      <c r="F141" s="6">
        <f>+GETPIVOTDATA(" Old-Total Master's#",'Pivot Table for 1-11'!$A$3,"State","KY","SREB Type",3,"SREB Type2","Four-Year")</f>
        <v>1996</v>
      </c>
      <c r="G141" s="6">
        <f>+GETPIVOTDATA(" Old-Total Doctorates#",'Pivot Table for 1-11'!$A$3,"State","KY","SREB Type",3,"SREB Type2","Four-Year")</f>
        <v>0</v>
      </c>
      <c r="H141" s="17">
        <f>+GETPIVOTDATA(" Old-Law",'Pivot Table for 1-11'!$A$3,"State","KY","SREB Type",3,"SREB Type2","Four-Year")</f>
        <v>0</v>
      </c>
      <c r="I141" s="6">
        <f>+GETPIVOTDATA(" Old-Medicine",'Pivot Table for 1-11'!$A$3,"State","KY","SREB Type",3,"SREB Type2","Four-Year")</f>
        <v>0</v>
      </c>
      <c r="J141" s="6">
        <f>+GETPIVOTDATA(" Old-Dentistry",'Pivot Table for 1-11'!$A$3,"State","KY","SREB Type",3,"SREB Type2","Four-Year")</f>
        <v>0</v>
      </c>
      <c r="K141" s="6">
        <f>+GETPIVOTDATA(" Old-Pharmacy",'Pivot Table for 1-11'!$A$3,"State","KY","SREB Type",3,"SREB Type2","Four-Year")</f>
        <v>0</v>
      </c>
      <c r="L141" s="6">
        <f>+GETPIVOTDATA(" Old-Optometry",'Pivot Table for 1-11'!$A$3,"State","KY","SREB Type",3,"SREB Type2","Four-Year")</f>
        <v>0</v>
      </c>
      <c r="M141" s="6">
        <f>+GETPIVOTDATA(" Old-Osteopathic Medicine",'Pivot Table for 1-11'!$A$3,"State","KY","SREB Type",3,"SREB Type2","Four-Year")</f>
        <v>0</v>
      </c>
      <c r="N141" s="181">
        <f>+GETPIVOTDATA(" Old-Veterinary Medicine",'Pivot Table for 1-11'!$A$3,"State","KY","SREB Type",3,"SREB Type2","Four-Year")</f>
        <v>0</v>
      </c>
      <c r="O141" s="198">
        <f>+GETPIVOTDATA(" Old-Oth PP",'Pivot Table for 1-11'!$A$3,"State","KY","SREB Type",3,"SREB Type2","Four-Year")</f>
        <v>0</v>
      </c>
      <c r="P141" s="182">
        <f t="shared" si="4"/>
        <v>8608</v>
      </c>
    </row>
    <row r="142" spans="1:16" ht="15" customHeight="1">
      <c r="A142" s="5" t="s">
        <v>303</v>
      </c>
      <c r="B142" s="6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6">
        <f>+GETPIVOTDATA(" Old-Associate's",'Pivot Table for 1-11'!$A$3,"State","LA","SREB Type",3,"SREB Type2","Four-Year")</f>
        <v>130</v>
      </c>
      <c r="D142" s="6">
        <f>+GETPIVOTDATA(" Old-Bachelor's",'Pivot Table for 1-11'!$A$3,"State","LA","SREB Type",3,"SREB Type2","Four-Year")</f>
        <v>3636</v>
      </c>
      <c r="E142" s="6">
        <f>+GETPIVOTDATA(" Old-Post-Bachelor's",'Pivot Table for 1-11'!$A$3,"State","LA","SREB Type",3,"SREB Type2","Four-Year")</f>
        <v>0</v>
      </c>
      <c r="F142" s="6">
        <f>+GETPIVOTDATA(" Old-Total Master's#",'Pivot Table for 1-11'!$A$3,"State","LA","SREB Type",3,"SREB Type2","Four-Year")</f>
        <v>900</v>
      </c>
      <c r="G142" s="6">
        <f>+GETPIVOTDATA(" Old-Total Doctorates#",'Pivot Table for 1-11'!$A$3,"State","LA","SREB Type",3,"SREB Type2","Four-Year")</f>
        <v>24</v>
      </c>
      <c r="H142" s="17">
        <f>+GETPIVOTDATA(" Old-Law",'Pivot Table for 1-11'!$A$3,"State","LA","SREB Type",3,"SREB Type2","Four-Year")</f>
        <v>124</v>
      </c>
      <c r="I142" s="6">
        <f>+GETPIVOTDATA(" Old-Medicine",'Pivot Table for 1-11'!$A$3,"State","LA","SREB Type",3,"SREB Type2","Four-Year")</f>
        <v>0</v>
      </c>
      <c r="J142" s="6">
        <f>+GETPIVOTDATA(" Old-Dentistry",'Pivot Table for 1-11'!$A$3,"State","LA","SREB Type",3,"SREB Type2","Four-Year")</f>
        <v>0</v>
      </c>
      <c r="K142" s="6">
        <f>+GETPIVOTDATA(" Old-Pharmacy",'Pivot Table for 1-11'!$A$3,"State","LA","SREB Type",3,"SREB Type2","Four-Year")</f>
        <v>107</v>
      </c>
      <c r="L142" s="6">
        <f>+GETPIVOTDATA(" Old-Optometry",'Pivot Table for 1-11'!$A$3,"State","LA","SREB Type",3,"SREB Type2","Four-Year")</f>
        <v>0</v>
      </c>
      <c r="M142" s="6">
        <f>+GETPIVOTDATA(" Old-Osteopathic Medicine",'Pivot Table for 1-11'!$A$3,"State","LA","SREB Type",3,"SREB Type2","Four-Year")</f>
        <v>0</v>
      </c>
      <c r="N142" s="181">
        <f>+GETPIVOTDATA(" Old-Veterinary Medicine",'Pivot Table for 1-11'!$A$3,"State","LA","SREB Type",3,"SREB Type2","Four-Year")</f>
        <v>0</v>
      </c>
      <c r="O142" s="198">
        <f>+GETPIVOTDATA(" Old-Oth PP",'Pivot Table for 1-11'!$A$3,"State","LA","SREB Type",3,"SREB Type2","Four-Year")</f>
        <v>0</v>
      </c>
      <c r="P142" s="182">
        <f t="shared" si="4"/>
        <v>4921</v>
      </c>
    </row>
    <row r="143" spans="1:16" ht="15" customHeight="1">
      <c r="A143" s="5" t="s">
        <v>304</v>
      </c>
      <c r="B143" s="6">
        <f>+GETPIVOTDATA(" Old-Less Than 2-Year",'Pivot Table for 1-11'!$A$3,"State","MD","SREB Type",3,"SREB Type2","Four-Year")+GETPIVOTDATA(" Old-2 But Less Than 4-Year",'Pivot Table for 1-11'!$A$3,"State","MD","SREB Type",3,"SREB Type2","Four-Year")</f>
        <v>0</v>
      </c>
      <c r="C143" s="6">
        <f>+GETPIVOTDATA(" Old-Associate's",'Pivot Table for 1-11'!$A$3,"State","MD","SREB Type",3,"SREB Type2","Four-Year")</f>
        <v>0</v>
      </c>
      <c r="D143" s="6">
        <f>+GETPIVOTDATA(" Old-Bachelor's",'Pivot Table for 1-11'!$A$3,"State","MD","SREB Type",3,"SREB Type2","Four-Year")</f>
        <v>4017</v>
      </c>
      <c r="E143" s="6">
        <f>+GETPIVOTDATA(" Old-Post-Bachelor's",'Pivot Table for 1-11'!$A$3,"State","MD","SREB Type",3,"SREB Type2","Four-Year")</f>
        <v>93</v>
      </c>
      <c r="F143" s="6">
        <f>+GETPIVOTDATA(" Old-Total Master's#",'Pivot Table for 1-11'!$A$3,"State","MD","SREB Type",3,"SREB Type2","Four-Year")</f>
        <v>1071</v>
      </c>
      <c r="G143" s="6">
        <f>+GETPIVOTDATA(" Old-Total Doctorates#",'Pivot Table for 1-11'!$A$3,"State","MD","SREB Type",3,"SREB Type2","Four-Year")</f>
        <v>56</v>
      </c>
      <c r="H143" s="17">
        <f>+GETPIVOTDATA(" Old-Law",'Pivot Table for 1-11'!$A$3,"State","MD","SREB Type",3,"SREB Type2","Four-Year")</f>
        <v>0</v>
      </c>
      <c r="I143" s="6">
        <f>+GETPIVOTDATA(" Old-Medicine",'Pivot Table for 1-11'!$A$3,"State","MD","SREB Type",3,"SREB Type2","Four-Year")</f>
        <v>0</v>
      </c>
      <c r="J143" s="6">
        <f>+GETPIVOTDATA(" Old-Dentistry",'Pivot Table for 1-11'!$A$3,"State","MD","SREB Type",3,"SREB Type2","Four-Year")</f>
        <v>0</v>
      </c>
      <c r="K143" s="6">
        <f>+GETPIVOTDATA(" Old-Pharmacy",'Pivot Table for 1-11'!$A$3,"State","MD","SREB Type",3,"SREB Type2","Four-Year")</f>
        <v>0</v>
      </c>
      <c r="L143" s="6">
        <f>+GETPIVOTDATA(" Old-Optometry",'Pivot Table for 1-11'!$A$3,"State","MD","SREB Type",3,"SREB Type2","Four-Year")</f>
        <v>0</v>
      </c>
      <c r="M143" s="6">
        <f>+GETPIVOTDATA(" Old-Osteopathic Medicine",'Pivot Table for 1-11'!$A$3,"State","MD","SREB Type",3,"SREB Type2","Four-Year")</f>
        <v>0</v>
      </c>
      <c r="N143" s="181">
        <f>+GETPIVOTDATA(" Old-Veterinary Medicine",'Pivot Table for 1-11'!$A$3,"State","MD","SREB Type",3,"SREB Type2","Four-Year")</f>
        <v>0</v>
      </c>
      <c r="O143" s="198">
        <f>+GETPIVOTDATA(" Old-Oth PP",'Pivot Table for 1-11'!$A$3,"State","MD","SREB Type",3,"SREB Type2","Four-Year")</f>
        <v>0</v>
      </c>
      <c r="P143" s="182">
        <f t="shared" si="4"/>
        <v>5237</v>
      </c>
    </row>
    <row r="144" spans="1:16" ht="15" customHeight="1">
      <c r="A144" s="5"/>
      <c r="B144" s="6">
        <f>+GETPIVOTDATA(" Old-Less Than 2-Year",'Pivot Table for 1-11'!$A$3,"State","AR","SREB Type",3,"SREB Type2","Four-Year")+GETPIVOTDATA(" Old-2 But Less Than 4-Year",'Pivot Table for 1-11'!$A$3,"State","AR","SREB Type",3,"SREB Type2","Four-Year")</f>
        <v>58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181"/>
      <c r="O144" s="198"/>
      <c r="P144" s="182">
        <f t="shared" si="4"/>
        <v>58</v>
      </c>
    </row>
    <row r="145" spans="1:16" ht="15" customHeight="1">
      <c r="A145" s="5" t="s">
        <v>305</v>
      </c>
      <c r="B145" s="6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6">
        <f>+GETPIVOTDATA(" Old-Associate's",'Pivot Table for 1-11'!$A$3,"State","MS","SREB Type",3,"SREB Type2","Four-Year")</f>
        <v>0</v>
      </c>
      <c r="D145" s="6">
        <f>+GETPIVOTDATA(" Old-Bachelor's",'Pivot Table for 1-11'!$A$3,"State","MS","SREB Type",3,"SREB Type2","Four-Year")</f>
        <v>0</v>
      </c>
      <c r="E145" s="6">
        <f>+GETPIVOTDATA(" Old-Post-Bachelor's",'Pivot Table for 1-11'!$A$3,"State","MS","SREB Type",3,"SREB Type2","Four-Year")</f>
        <v>0</v>
      </c>
      <c r="F145" s="6">
        <f>+GETPIVOTDATA(" Old-Total Master's#",'Pivot Table for 1-11'!$A$3,"State","MS","SREB Type",3,"SREB Type2","Four-Year")</f>
        <v>0</v>
      </c>
      <c r="G145" s="6">
        <f>+GETPIVOTDATA(" Old-Total Doctorates#",'Pivot Table for 1-11'!$A$3,"State","MS","SREB Type",3,"SREB Type2","Four-Year")</f>
        <v>0</v>
      </c>
      <c r="H145" s="17">
        <f>+GETPIVOTDATA(" Old-Law",'Pivot Table for 1-11'!$A$3,"State","MS","SREB Type",3,"SREB Type2","Four-Year")</f>
        <v>0</v>
      </c>
      <c r="I145" s="6">
        <f>+GETPIVOTDATA(" Old-Medicine",'Pivot Table for 1-11'!$A$3,"State","MS","SREB Type",3,"SREB Type2","Four-Year")</f>
        <v>0</v>
      </c>
      <c r="J145" s="6">
        <f>+GETPIVOTDATA(" Old-Dentistry",'Pivot Table for 1-11'!$A$3,"State","MS","SREB Type",3,"SREB Type2","Four-Year")</f>
        <v>0</v>
      </c>
      <c r="K145" s="6">
        <f>+GETPIVOTDATA(" Old-Pharmacy",'Pivot Table for 1-11'!$A$3,"State","MS","SREB Type",3,"SREB Type2","Four-Year")</f>
        <v>0</v>
      </c>
      <c r="L145" s="6">
        <f>+GETPIVOTDATA(" Old-Optometry",'Pivot Table for 1-11'!$A$3,"State","MS","SREB Type",3,"SREB Type2","Four-Year")</f>
        <v>0</v>
      </c>
      <c r="M145" s="6">
        <f>+GETPIVOTDATA(" Old-Osteopathic Medicine",'Pivot Table for 1-11'!$A$3,"State","MS","SREB Type",3,"SREB Type2","Four-Year")</f>
        <v>0</v>
      </c>
      <c r="N145" s="181">
        <f>+GETPIVOTDATA(" Old-Veterinary Medicine",'Pivot Table for 1-11'!$A$3,"State","MS","SREB Type",3,"SREB Type2","Four-Year")</f>
        <v>0</v>
      </c>
      <c r="O145" s="198">
        <f>+GETPIVOTDATA(" Old-Oth PP",'Pivot Table for 1-11'!$A$3,"State","MS","SREB Type",3,"SREB Type2","Four-Year")</f>
        <v>0</v>
      </c>
      <c r="P145" s="182">
        <f t="shared" si="4"/>
        <v>0</v>
      </c>
    </row>
    <row r="146" spans="1:16" ht="15" customHeight="1">
      <c r="A146" s="5" t="s">
        <v>306</v>
      </c>
      <c r="B146" s="6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6">
        <f>+GETPIVOTDATA(" Old-Associate's",'Pivot Table for 1-11'!$A$3,"State","NC","SREB Type",3,"SREB Type2","Four-Year")</f>
        <v>0</v>
      </c>
      <c r="D146" s="6">
        <f>+GETPIVOTDATA(" Old-Bachelor's",'Pivot Table for 1-11'!$A$3,"State","NC","SREB Type",3,"SREB Type2","Four-Year")</f>
        <v>12114</v>
      </c>
      <c r="E146" s="6">
        <f>+GETPIVOTDATA(" Old-Post-Bachelor's",'Pivot Table for 1-11'!$A$3,"State","NC","SREB Type",3,"SREB Type2","Four-Year")</f>
        <v>4</v>
      </c>
      <c r="F146" s="6">
        <f>+GETPIVOTDATA(" Old-Total Master's#",'Pivot Table for 1-11'!$A$3,"State","NC","SREB Type",3,"SREB Type2","Four-Year")</f>
        <v>3791</v>
      </c>
      <c r="G146" s="6">
        <f>+GETPIVOTDATA(" Old-Total Doctorates#",'Pivot Table for 1-11'!$A$3,"State","NC","SREB Type",3,"SREB Type2","Four-Year")</f>
        <v>120</v>
      </c>
      <c r="H146" s="17">
        <f>+GETPIVOTDATA(" Old-Law",'Pivot Table for 1-11'!$A$3,"State","NC","SREB Type",3,"SREB Type2","Four-Year")</f>
        <v>141</v>
      </c>
      <c r="I146" s="6">
        <f>+GETPIVOTDATA(" Old-Medicine",'Pivot Table for 1-11'!$A$3,"State","NC","SREB Type",3,"SREB Type2","Four-Year")</f>
        <v>72</v>
      </c>
      <c r="J146" s="6">
        <f>+GETPIVOTDATA(" Old-Dentistry",'Pivot Table for 1-11'!$A$3,"State","NC","SREB Type",3,"SREB Type2","Four-Year")</f>
        <v>0</v>
      </c>
      <c r="K146" s="6">
        <f>+GETPIVOTDATA(" Old-Pharmacy",'Pivot Table for 1-11'!$A$3,"State","NC","SREB Type",3,"SREB Type2","Four-Year")</f>
        <v>0</v>
      </c>
      <c r="L146" s="6">
        <f>+GETPIVOTDATA(" Old-Optometry",'Pivot Table for 1-11'!$A$3,"State","NC","SREB Type",3,"SREB Type2","Four-Year")</f>
        <v>0</v>
      </c>
      <c r="M146" s="6">
        <f>+GETPIVOTDATA(" Old-Osteopathic Medicine",'Pivot Table for 1-11'!$A$3,"State","NC","SREB Type",3,"SREB Type2","Four-Year")</f>
        <v>0</v>
      </c>
      <c r="N146" s="181">
        <f>+GETPIVOTDATA(" Old-Veterinary Medicine",'Pivot Table for 1-11'!$A$3,"State","NC","SREB Type",3,"SREB Type2","Four-Year")</f>
        <v>0</v>
      </c>
      <c r="O146" s="198">
        <f>+GETPIVOTDATA(" Old-Oth PP",'Pivot Table for 1-11'!$A$3,"State","NC","SREB Type",3,"SREB Type2","Four-Year")</f>
        <v>0</v>
      </c>
      <c r="P146" s="182">
        <f t="shared" si="4"/>
        <v>16242</v>
      </c>
    </row>
    <row r="147" spans="1:16" ht="15" customHeight="1">
      <c r="A147" s="5" t="s">
        <v>307</v>
      </c>
      <c r="B147" s="6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6">
        <f>+GETPIVOTDATA(" Old-Associate's",'Pivot Table for 1-11'!$A$3,"State","OK","SREB Type",3,"SREB Type2","Four-Year")</f>
        <v>0</v>
      </c>
      <c r="D147" s="6">
        <f>+GETPIVOTDATA(" Old-Bachelor's",'Pivot Table for 1-11'!$A$3,"State","OK","SREB Type",3,"SREB Type2","Four-Year")</f>
        <v>3725</v>
      </c>
      <c r="E147" s="6">
        <f>+GETPIVOTDATA(" Old-Post-Bachelor's",'Pivot Table for 1-11'!$A$3,"State","OK","SREB Type",3,"SREB Type2","Four-Year")</f>
        <v>1</v>
      </c>
      <c r="F147" s="6">
        <f>+GETPIVOTDATA(" Old-Total Master's#",'Pivot Table for 1-11'!$A$3,"State","OK","SREB Type",3,"SREB Type2","Four-Year")</f>
        <v>663</v>
      </c>
      <c r="G147" s="6">
        <f>+GETPIVOTDATA(" Old-Total Doctorates#",'Pivot Table for 1-11'!$A$3,"State","OK","SREB Type",3,"SREB Type2","Four-Year")</f>
        <v>0</v>
      </c>
      <c r="H147" s="17">
        <f>+GETPIVOTDATA(" Old-Law",'Pivot Table for 1-11'!$A$3,"State","OK","SREB Type",3,"SREB Type2","Four-Year")</f>
        <v>0</v>
      </c>
      <c r="I147" s="6">
        <f>+GETPIVOTDATA(" Old-Medicine",'Pivot Table for 1-11'!$A$3,"State","OK","SREB Type",3,"SREB Type2","Four-Year")</f>
        <v>0</v>
      </c>
      <c r="J147" s="6">
        <f>+GETPIVOTDATA(" Old-Dentistry",'Pivot Table for 1-11'!$A$3,"State","OK","SREB Type",3,"SREB Type2","Four-Year")</f>
        <v>0</v>
      </c>
      <c r="K147" s="6">
        <f>+GETPIVOTDATA(" Old-Pharmacy",'Pivot Table for 1-11'!$A$3,"State","OK","SREB Type",3,"SREB Type2","Four-Year")</f>
        <v>0</v>
      </c>
      <c r="L147" s="6">
        <f>+GETPIVOTDATA(" Old-Optometry",'Pivot Table for 1-11'!$A$3,"State","OK","SREB Type",3,"SREB Type2","Four-Year")</f>
        <v>27</v>
      </c>
      <c r="M147" s="6">
        <f>+GETPIVOTDATA(" Old-Osteopathic Medicine",'Pivot Table for 1-11'!$A$3,"State","OK","SREB Type",3,"SREB Type2","Four-Year")</f>
        <v>0</v>
      </c>
      <c r="N147" s="181">
        <f>+GETPIVOTDATA(" Old-Veterinary Medicine",'Pivot Table for 1-11'!$A$3,"State","OK","SREB Type",3,"SREB Type2","Four-Year")</f>
        <v>0</v>
      </c>
      <c r="O147" s="198">
        <f>+GETPIVOTDATA(" Old-Oth PP",'Pivot Table for 1-11'!$A$3,"State","OK","SREB Type",3,"SREB Type2","Four-Year")</f>
        <v>0</v>
      </c>
      <c r="P147" s="182">
        <f t="shared" si="4"/>
        <v>4416</v>
      </c>
    </row>
    <row r="148" spans="1:16" ht="15" customHeight="1">
      <c r="A148" s="5" t="s">
        <v>308</v>
      </c>
      <c r="B148" s="6">
        <f>+GETPIVOTDATA(" Old-Less Than 2-Year",'Pivot Table for 1-11'!$A$3,"State","SC","SREB Type",3,"SREB Type2","Four-Year")+GETPIVOTDATA(" Old-2 But Less Than 4-Year",'Pivot Table for 1-11'!$A$3,"State","SC","SREB Type",3,"SREB Type2","Four-Year")</f>
        <v>8</v>
      </c>
      <c r="C148" s="6">
        <f>+GETPIVOTDATA(" Old-Associate's",'Pivot Table for 1-11'!$A$3,"State","SC","SREB Type",3,"SREB Type2","Four-Year")</f>
        <v>0</v>
      </c>
      <c r="D148" s="6">
        <f>+GETPIVOTDATA(" Old-Bachelor's",'Pivot Table for 1-11'!$A$3,"State","SC","SREB Type",3,"SREB Type2","Four-Year")</f>
        <v>3070</v>
      </c>
      <c r="E148" s="6">
        <f>+GETPIVOTDATA(" Old-Post-Bachelor's",'Pivot Table for 1-11'!$A$3,"State","SC","SREB Type",3,"SREB Type2","Four-Year")</f>
        <v>4</v>
      </c>
      <c r="F148" s="6">
        <f>+GETPIVOTDATA(" Old-Total Master's#",'Pivot Table for 1-11'!$A$3,"State","SC","SREB Type",3,"SREB Type2","Four-Year")</f>
        <v>463</v>
      </c>
      <c r="G148" s="6">
        <f>+GETPIVOTDATA(" Old-Total Doctorates#",'Pivot Table for 1-11'!$A$3,"State","SC","SREB Type",3,"SREB Type2","Four-Year")</f>
        <v>0</v>
      </c>
      <c r="H148" s="17">
        <f>+GETPIVOTDATA(" Old-Law",'Pivot Table for 1-11'!$A$3,"State","SC","SREB Type",3,"SREB Type2","Four-Year")</f>
        <v>0</v>
      </c>
      <c r="I148" s="6">
        <f>+GETPIVOTDATA(" Old-Medicine",'Pivot Table for 1-11'!$A$3,"State","SC","SREB Type",3,"SREB Type2","Four-Year")</f>
        <v>0</v>
      </c>
      <c r="J148" s="6">
        <f>+GETPIVOTDATA(" Old-Dentistry",'Pivot Table for 1-11'!$A$3,"State","SC","SREB Type",3,"SREB Type2","Four-Year")</f>
        <v>0</v>
      </c>
      <c r="K148" s="6">
        <f>+GETPIVOTDATA(" Old-Pharmacy",'Pivot Table for 1-11'!$A$3,"State","SC","SREB Type",3,"SREB Type2","Four-Year")</f>
        <v>0</v>
      </c>
      <c r="L148" s="6">
        <f>+GETPIVOTDATA(" Old-Optometry",'Pivot Table for 1-11'!$A$3,"State","SC","SREB Type",3,"SREB Type2","Four-Year")</f>
        <v>0</v>
      </c>
      <c r="M148" s="6">
        <f>+GETPIVOTDATA(" Old-Osteopathic Medicine",'Pivot Table for 1-11'!$A$3,"State","SC","SREB Type",3,"SREB Type2","Four-Year")</f>
        <v>0</v>
      </c>
      <c r="N148" s="181">
        <f>+GETPIVOTDATA(" Old-Veterinary Medicine",'Pivot Table for 1-11'!$A$3,"State","SC","SREB Type",3,"SREB Type2","Four-Year")</f>
        <v>0</v>
      </c>
      <c r="O148" s="198">
        <f>+GETPIVOTDATA(" Old-Oth PP",'Pivot Table for 1-11'!$A$3,"State","SC","SREB Type",3,"SREB Type2","Four-Year")</f>
        <v>0</v>
      </c>
      <c r="P148" s="182">
        <f t="shared" si="4"/>
        <v>3545</v>
      </c>
    </row>
    <row r="149" spans="1:16" ht="15" customHeight="1">
      <c r="A149" s="5"/>
      <c r="B149" s="6">
        <f>+GETPIVOTDATA(" Old-Less Than 2-Year",'Pivot Table for 1-11'!$A$3,"State","AR","SREB Type",3,"SREB Type2","Four-Year")+GETPIVOTDATA(" Old-2 But Less Than 4-Year",'Pivot Table for 1-11'!$A$3,"State","AR","SREB Type",3,"SREB Type2","Four-Year")</f>
        <v>58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181"/>
      <c r="O149" s="198"/>
      <c r="P149" s="182"/>
    </row>
    <row r="150" spans="1:16" ht="15" customHeight="1">
      <c r="A150" s="5" t="s">
        <v>309</v>
      </c>
      <c r="B150" s="6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6">
        <f>+GETPIVOTDATA(" Old-Associate's",'Pivot Table for 1-11'!$A$3,"State","TN","SREB Type",3,"SREB Type2","Four-Year")</f>
        <v>149</v>
      </c>
      <c r="D150" s="6">
        <f>+GETPIVOTDATA(" Old-Bachelor's",'Pivot Table for 1-11'!$A$3,"State","TN","SREB Type",3,"SREB Type2","Four-Year")</f>
        <v>8940</v>
      </c>
      <c r="E150" s="6">
        <f>+GETPIVOTDATA(" Old-Post-Bachelor's",'Pivot Table for 1-11'!$A$3,"State","TN","SREB Type",3,"SREB Type2","Four-Year")</f>
        <v>0</v>
      </c>
      <c r="F150" s="6">
        <f>+GETPIVOTDATA(" Old-Total Master's#",'Pivot Table for 1-11'!$A$3,"State","TN","SREB Type",3,"SREB Type2","Four-Year")</f>
        <v>2749</v>
      </c>
      <c r="G150" s="6">
        <f>+GETPIVOTDATA(" Old-Total Doctorates#",'Pivot Table for 1-11'!$A$3,"State","TN","SREB Type",3,"SREB Type2","Four-Year")</f>
        <v>196</v>
      </c>
      <c r="H150" s="17">
        <f>+GETPIVOTDATA(" Old-Law",'Pivot Table for 1-11'!$A$3,"State","TN","SREB Type",3,"SREB Type2","Four-Year")</f>
        <v>0</v>
      </c>
      <c r="I150" s="6">
        <f>+GETPIVOTDATA(" Old-Medicine",'Pivot Table for 1-11'!$A$3,"State","TN","SREB Type",3,"SREB Type2","Four-Year")</f>
        <v>57</v>
      </c>
      <c r="J150" s="6">
        <f>+GETPIVOTDATA(" Old-Dentistry",'Pivot Table for 1-11'!$A$3,"State","TN","SREB Type",3,"SREB Type2","Four-Year")</f>
        <v>0</v>
      </c>
      <c r="K150" s="6">
        <f>+GETPIVOTDATA(" Old-Pharmacy",'Pivot Table for 1-11'!$A$3,"State","TN","SREB Type",3,"SREB Type2","Four-Year")</f>
        <v>0</v>
      </c>
      <c r="L150" s="6">
        <f>+GETPIVOTDATA(" Old-Optometry",'Pivot Table for 1-11'!$A$3,"State","TN","SREB Type",3,"SREB Type2","Four-Year")</f>
        <v>0</v>
      </c>
      <c r="M150" s="6">
        <f>+GETPIVOTDATA(" Old-Osteopathic Medicine",'Pivot Table for 1-11'!$A$3,"State","TN","SREB Type",3,"SREB Type2","Four-Year")</f>
        <v>0</v>
      </c>
      <c r="N150" s="181">
        <f>+GETPIVOTDATA(" Old-Veterinary Medicine",'Pivot Table for 1-11'!$A$3,"State","TN","SREB Type",3,"SREB Type2","Four-Year")</f>
        <v>0</v>
      </c>
      <c r="O150" s="198">
        <f>+GETPIVOTDATA(" Old-Oth PP",'Pivot Table for 1-11'!$A$3,"State","TN","SREB Type",3,"SREB Type2","Four-Year")</f>
        <v>0</v>
      </c>
      <c r="P150" s="182">
        <f t="shared" si="4"/>
        <v>12091</v>
      </c>
    </row>
    <row r="151" spans="1:16" ht="15" customHeight="1">
      <c r="A151" s="5" t="s">
        <v>310</v>
      </c>
      <c r="B151" s="6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6">
        <f>+GETPIVOTDATA(" Old-Associate's",'Pivot Table for 1-11'!$A$3,"State","TX","SREB Type",3,"SREB Type2","Four-Year")</f>
        <v>189</v>
      </c>
      <c r="D151" s="6">
        <f>+GETPIVOTDATA(" Old-Bachelor's",'Pivot Table for 1-11'!$A$3,"State","TX","SREB Type",3,"SREB Type2","Four-Year")</f>
        <v>26195</v>
      </c>
      <c r="E151" s="6">
        <f>+GETPIVOTDATA(" Old-Post-Bachelor's",'Pivot Table for 1-11'!$A$3,"State","TX","SREB Type",3,"SREB Type2","Four-Year")</f>
        <v>0</v>
      </c>
      <c r="F151" s="6">
        <f>+GETPIVOTDATA(" Old-Total Master's#",'Pivot Table for 1-11'!$A$3,"State","TX","SREB Type",3,"SREB Type2","Four-Year")</f>
        <v>8953</v>
      </c>
      <c r="G151" s="6">
        <f>+GETPIVOTDATA(" Old-Total Doctorates#",'Pivot Table for 1-11'!$A$3,"State","TX","SREB Type",3,"SREB Type2","Four-Year")</f>
        <v>260</v>
      </c>
      <c r="H151" s="17">
        <f>+GETPIVOTDATA(" Old-Law",'Pivot Table for 1-11'!$A$3,"State","TX","SREB Type",3,"SREB Type2","Four-Year")</f>
        <v>190</v>
      </c>
      <c r="I151" s="6">
        <f>+GETPIVOTDATA(" Old-Medicine",'Pivot Table for 1-11'!$A$3,"State","TX","SREB Type",3,"SREB Type2","Four-Year")</f>
        <v>0</v>
      </c>
      <c r="J151" s="6">
        <f>+GETPIVOTDATA(" Old-Dentistry",'Pivot Table for 1-11'!$A$3,"State","TX","SREB Type",3,"SREB Type2","Four-Year")</f>
        <v>0</v>
      </c>
      <c r="K151" s="6">
        <f>+GETPIVOTDATA(" Old-Pharmacy",'Pivot Table for 1-11'!$A$3,"State","TX","SREB Type",3,"SREB Type2","Four-Year")</f>
        <v>118</v>
      </c>
      <c r="L151" s="6">
        <f>+GETPIVOTDATA(" Old-Optometry",'Pivot Table for 1-11'!$A$3,"State","TX","SREB Type",3,"SREB Type2","Four-Year")</f>
        <v>0</v>
      </c>
      <c r="M151" s="6">
        <f>+GETPIVOTDATA(" Old-Osteopathic Medicine",'Pivot Table for 1-11'!$A$3,"State","TX","SREB Type",3,"SREB Type2","Four-Year")</f>
        <v>0</v>
      </c>
      <c r="N151" s="181">
        <f>+GETPIVOTDATA(" Old-Veterinary Medicine",'Pivot Table for 1-11'!$A$3,"State","TX","SREB Type",3,"SREB Type2","Four-Year")</f>
        <v>0</v>
      </c>
      <c r="O151" s="198">
        <f>+GETPIVOTDATA(" Old-Oth PP",'Pivot Table for 1-11'!$A$3,"State","TX","SREB Type",3,"SREB Type2","Four-Year")</f>
        <v>4</v>
      </c>
      <c r="P151" s="182">
        <f t="shared" si="4"/>
        <v>35909</v>
      </c>
    </row>
    <row r="152" spans="1:16" ht="15" customHeight="1">
      <c r="A152" s="5" t="s">
        <v>311</v>
      </c>
      <c r="B152" s="6">
        <f>+GETPIVOTDATA(" Old-Less Than 2-Year",'Pivot Table for 1-11'!$A$3,"State","VA","SREB Type",3,"SREB Type2","Four-Year")+GETPIVOTDATA(" Old-2 But Less Than 4-Year",'Pivot Table for 1-11'!$A$3,"State","VA","SREB Type",3,"SREB Type2","Four-Year")</f>
        <v>0</v>
      </c>
      <c r="C152" s="6">
        <f>+GETPIVOTDATA(" Old-Associate's",'Pivot Table for 1-11'!$A$3,"State","VA","SREB Type",3,"SREB Type2","Four-Year")</f>
        <v>54</v>
      </c>
      <c r="D152" s="6">
        <f>+GETPIVOTDATA(" Old-Bachelor's",'Pivot Table for 1-11'!$A$3,"State","VA","SREB Type",3,"SREB Type2","Four-Year")</f>
        <v>4241</v>
      </c>
      <c r="E152" s="6">
        <f>+GETPIVOTDATA(" Old-Post-Bachelor's",'Pivot Table for 1-11'!$A$3,"State","VA","SREB Type",3,"SREB Type2","Four-Year")</f>
        <v>0</v>
      </c>
      <c r="F152" s="6">
        <f>+GETPIVOTDATA(" Old-Total Master's#",'Pivot Table for 1-11'!$A$3,"State","VA","SREB Type",3,"SREB Type2","Four-Year")</f>
        <v>835</v>
      </c>
      <c r="G152" s="6">
        <f>+GETPIVOTDATA(" Old-Total Doctorates#",'Pivot Table for 1-11'!$A$3,"State","VA","SREB Type",3,"SREB Type2","Four-Year")</f>
        <v>17</v>
      </c>
      <c r="H152" s="17">
        <f>+GETPIVOTDATA(" Old-Law",'Pivot Table for 1-11'!$A$3,"State","VA","SREB Type",3,"SREB Type2","Four-Year")</f>
        <v>0</v>
      </c>
      <c r="I152" s="6">
        <f>+GETPIVOTDATA(" Old-Medicine",'Pivot Table for 1-11'!$A$3,"State","VA","SREB Type",3,"SREB Type2","Four-Year")</f>
        <v>0</v>
      </c>
      <c r="J152" s="6">
        <f>+GETPIVOTDATA(" Old-Dentistry",'Pivot Table for 1-11'!$A$3,"State","VA","SREB Type",3,"SREB Type2","Four-Year")</f>
        <v>0</v>
      </c>
      <c r="K152" s="6">
        <f>+GETPIVOTDATA(" Old-Pharmacy",'Pivot Table for 1-11'!$A$3,"State","VA","SREB Type",3,"SREB Type2","Four-Year")</f>
        <v>0</v>
      </c>
      <c r="L152" s="6">
        <f>+GETPIVOTDATA(" Old-Optometry",'Pivot Table for 1-11'!$A$3,"State","VA","SREB Type",3,"SREB Type2","Four-Year")</f>
        <v>0</v>
      </c>
      <c r="M152" s="6">
        <f>+GETPIVOTDATA(" Old-Osteopathic Medicine",'Pivot Table for 1-11'!$A$3,"State","VA","SREB Type",3,"SREB Type2","Four-Year")</f>
        <v>0</v>
      </c>
      <c r="N152" s="181">
        <f>+GETPIVOTDATA(" Old-Veterinary Medicine",'Pivot Table for 1-11'!$A$3,"State","VA","SREB Type",3,"SREB Type2","Four-Year")</f>
        <v>0</v>
      </c>
      <c r="O152" s="198">
        <f>+GETPIVOTDATA(" Old-Oth PP",'Pivot Table for 1-11'!$A$3,"State","VA","SREB Type",3,"SREB Type2","Four-Year")</f>
        <v>0</v>
      </c>
      <c r="P152" s="182">
        <f t="shared" si="4"/>
        <v>5147</v>
      </c>
    </row>
    <row r="153" spans="1:16" ht="15" customHeight="1">
      <c r="A153" s="7" t="s">
        <v>312</v>
      </c>
      <c r="B153" s="8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8">
        <f>+GETPIVOTDATA(" Old-Associate's",'Pivot Table for 1-11'!$A$3,"State","WV","SREB Type",3,"SREB Type2","Four-Year")</f>
        <v>100</v>
      </c>
      <c r="D153" s="8">
        <f>+GETPIVOTDATA(" Old-Bachelor's",'Pivot Table for 1-11'!$A$3,"State","WV","SREB Type",3,"SREB Type2","Four-Year")</f>
        <v>1450</v>
      </c>
      <c r="E153" s="8">
        <f>+GETPIVOTDATA(" Old-Post-Bachelor's",'Pivot Table for 1-11'!$A$3,"State","WV","SREB Type",3,"SREB Type2","Four-Year")</f>
        <v>0</v>
      </c>
      <c r="F153" s="8">
        <f>+GETPIVOTDATA(" Old-Total Master's#",'Pivot Table for 1-11'!$A$3,"State","WV","SREB Type",3,"SREB Type2","Four-Year")</f>
        <v>876</v>
      </c>
      <c r="G153" s="8">
        <f>+GETPIVOTDATA(" Old-Total Doctorates#",'Pivot Table for 1-11'!$A$3,"State","WV","SREB Type",3,"SREB Type2","Four-Year")</f>
        <v>17</v>
      </c>
      <c r="H153" s="18">
        <f>+GETPIVOTDATA(" Old-Law",'Pivot Table for 1-11'!$A$3,"State","WV","SREB Type",3,"SREB Type2","Four-Year")</f>
        <v>0</v>
      </c>
      <c r="I153" s="8">
        <f>+GETPIVOTDATA(" Old-Medicine",'Pivot Table for 1-11'!$A$3,"State","WV","SREB Type",3,"SREB Type2","Four-Year")</f>
        <v>42</v>
      </c>
      <c r="J153" s="8">
        <f>+GETPIVOTDATA(" Old-Dentistry",'Pivot Table for 1-11'!$A$3,"State","WV","SREB Type",3,"SREB Type2","Four-Year")</f>
        <v>0</v>
      </c>
      <c r="K153" s="8">
        <f>+GETPIVOTDATA(" Old-Pharmacy",'Pivot Table for 1-11'!$A$3,"State","WV","SREB Type",3,"SREB Type2","Four-Year")</f>
        <v>0</v>
      </c>
      <c r="L153" s="8">
        <f>+GETPIVOTDATA(" Old-Optometry",'Pivot Table for 1-11'!$A$3,"State","WV","SREB Type",3,"SREB Type2","Four-Year")</f>
        <v>0</v>
      </c>
      <c r="M153" s="8">
        <f>+GETPIVOTDATA(" Old-Osteopathic Medicine",'Pivot Table for 1-11'!$A$3,"State","WV","SREB Type",3,"SREB Type2","Four-Year")</f>
        <v>0</v>
      </c>
      <c r="N153" s="189">
        <f>+GETPIVOTDATA(" Old-Veterinary Medicine",'Pivot Table for 1-11'!$A$3,"State","WV","SREB Type",3,"SREB Type2","Four-Year")</f>
        <v>0</v>
      </c>
      <c r="O153" s="199">
        <f>+GETPIVOTDATA(" Old-Oth PP",'Pivot Table for 1-11'!$A$3,"State","WV","SREB Type",3,"SREB Type2","Four-Year")</f>
        <v>0</v>
      </c>
      <c r="P153" s="183">
        <f t="shared" si="4"/>
        <v>2485</v>
      </c>
    </row>
    <row r="154" spans="1:16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181"/>
      <c r="O154" s="181"/>
      <c r="P154" s="181"/>
    </row>
    <row r="155" spans="1:16" ht="27.75" customHeight="1">
      <c r="A155" s="767" t="s">
        <v>1253</v>
      </c>
      <c r="B155" s="768"/>
      <c r="C155" s="768"/>
      <c r="D155" s="768"/>
      <c r="E155" s="768"/>
      <c r="F155" s="768"/>
      <c r="G155" s="768"/>
      <c r="H155" s="768"/>
      <c r="I155" s="768"/>
      <c r="J155" s="768"/>
      <c r="K155" s="768"/>
      <c r="L155" s="768"/>
      <c r="M155" s="768"/>
      <c r="N155" s="768"/>
      <c r="O155" s="768"/>
      <c r="P155" s="768"/>
    </row>
    <row r="156" spans="1:16" ht="13.5" customHeight="1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181"/>
      <c r="O156" s="181"/>
      <c r="P156" s="184" t="s">
        <v>1267</v>
      </c>
    </row>
    <row r="157" spans="1:16" ht="18">
      <c r="A157" s="22" t="s">
        <v>317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93"/>
      <c r="O157" s="93"/>
      <c r="P157" s="93"/>
    </row>
    <row r="158" spans="1:1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92"/>
      <c r="O158" s="92"/>
      <c r="P158" s="92"/>
    </row>
    <row r="159" spans="1:16" ht="15.75">
      <c r="A159" s="1" t="s">
        <v>285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93"/>
      <c r="O159" s="93"/>
      <c r="P159" s="93"/>
    </row>
    <row r="160" spans="1:16" ht="15.75">
      <c r="A160" s="1" t="s">
        <v>1313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93"/>
      <c r="O160" s="93"/>
      <c r="P160" s="93"/>
    </row>
    <row r="161" spans="1:16" ht="15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94"/>
      <c r="O161" s="94"/>
      <c r="P161" s="94"/>
    </row>
    <row r="162" spans="1:16" ht="15.75">
      <c r="A162" s="192"/>
      <c r="B162" s="192"/>
      <c r="C162" s="192"/>
      <c r="D162" s="192"/>
      <c r="E162" s="192"/>
      <c r="F162" s="192"/>
      <c r="G162" s="192"/>
      <c r="H162" s="196" t="s">
        <v>1254</v>
      </c>
      <c r="I162" s="26"/>
      <c r="J162" s="26"/>
      <c r="K162" s="26"/>
      <c r="L162" s="26"/>
      <c r="M162" s="26"/>
      <c r="N162" s="193"/>
      <c r="O162" s="200"/>
      <c r="P162" s="195" t="s">
        <v>321</v>
      </c>
    </row>
    <row r="163" spans="1:16" ht="42" customHeight="1">
      <c r="A163" s="14"/>
      <c r="B163" s="15" t="s">
        <v>696</v>
      </c>
      <c r="C163" s="15" t="s">
        <v>286</v>
      </c>
      <c r="D163" s="15" t="s">
        <v>278</v>
      </c>
      <c r="E163" s="15" t="s">
        <v>279</v>
      </c>
      <c r="F163" s="15" t="s">
        <v>288</v>
      </c>
      <c r="G163" s="15" t="s">
        <v>289</v>
      </c>
      <c r="H163" s="16" t="s">
        <v>290</v>
      </c>
      <c r="I163" s="15" t="s">
        <v>291</v>
      </c>
      <c r="J163" s="15" t="s">
        <v>292</v>
      </c>
      <c r="K163" s="15" t="s">
        <v>283</v>
      </c>
      <c r="L163" s="15" t="s">
        <v>293</v>
      </c>
      <c r="M163" s="15" t="s">
        <v>294</v>
      </c>
      <c r="N163" s="191" t="s">
        <v>1320</v>
      </c>
      <c r="O163" s="197" t="s">
        <v>1321</v>
      </c>
      <c r="P163" s="191" t="s">
        <v>295</v>
      </c>
    </row>
    <row r="164" spans="1:16" ht="15" customHeight="1">
      <c r="A164" s="5" t="s">
        <v>296</v>
      </c>
      <c r="B164" s="6">
        <f>+GETPIVOTDATA(" Old-Less Than 2-Year",'Pivot Table for 1-11'!$A$3,"SREB Type",4,"SREB Type2","Four-Year")+GETPIVOTDATA(" Old-2 But Less Than 4-Year",'Pivot Table for 1-11'!$A$3,"SREB Type",4,"SREB Type2","Four-Year")</f>
        <v>334</v>
      </c>
      <c r="C164" s="6">
        <f>+GETPIVOTDATA(" Old-Associate's",'Pivot Table for 1-11'!$A$3,"SREB Type",4,"SREB Type2","Four-Year")</f>
        <v>1514</v>
      </c>
      <c r="D164" s="6">
        <f>+GETPIVOTDATA(" Old-Bachelor's",'Pivot Table for 1-11'!$A$3,"SREB Type",4,"SREB Type2","Four-Year")</f>
        <v>30390</v>
      </c>
      <c r="E164" s="6">
        <f>+GETPIVOTDATA(" Old-Post-Bachelor's",'Pivot Table for 1-11'!$A$3,"SREB Type",4,"SREB Type2","Four-Year")</f>
        <v>20</v>
      </c>
      <c r="F164" s="6">
        <f>+GETPIVOTDATA(" Old-Total Master's#",'Pivot Table for 1-11'!$A$3,"SREB Type",4,"SREB Type2","Four-Year")</f>
        <v>9509</v>
      </c>
      <c r="G164" s="6">
        <f>+GETPIVOTDATA(" Old-Total Doctorates#",'Pivot Table for 1-11'!$A$3,"SREB Type",4,"SREB Type2","Four-Year")</f>
        <v>77</v>
      </c>
      <c r="H164" s="17">
        <f>+GETPIVOTDATA(" Old-Law",'Pivot Table for 1-11'!$A$3,"SREB Type",4,"SREB Type2","Four-Year")</f>
        <v>442</v>
      </c>
      <c r="I164" s="6">
        <f>+GETPIVOTDATA(" Old-Medicine",'Pivot Table for 1-11'!$A$3,"SREB Type",4,"SREB Type2","Four-Year")</f>
        <v>0</v>
      </c>
      <c r="J164" s="6">
        <f>+GETPIVOTDATA(" Old-Dentistry",'Pivot Table for 1-11'!$A$3,"SREB Type",4,"SREB Type2","Four-Year")</f>
        <v>0</v>
      </c>
      <c r="K164" s="6">
        <f>+GETPIVOTDATA(" Old-Pharmacy",'Pivot Table for 1-11'!$A$3,"SREB Type",4,"SREB Type2","Four-Year")</f>
        <v>0</v>
      </c>
      <c r="L164" s="6">
        <f>+GETPIVOTDATA(" Old-Optometry",'Pivot Table for 1-11'!$A$3,"SREB Type",4,"SREB Type2","Four-Year")</f>
        <v>0</v>
      </c>
      <c r="M164" s="6">
        <f>+GETPIVOTDATA(" Old-Osteopathic Medicine",'Pivot Table for 1-11'!$A$3,"SREB Type",4,"SREB Type2","Four-Year")</f>
        <v>0</v>
      </c>
      <c r="N164" s="181">
        <f>+GETPIVOTDATA(" Old-Veterinary Medicine",'Pivot Table for 1-11'!$A$3,"SREB Type",4,"SREB Type2","Four-Year")</f>
        <v>0</v>
      </c>
      <c r="O164" s="198">
        <f>+GETPIVOTDATA(" Old-Oth PP",'Pivot Table for 1-11'!$A$3,"SREB Type",4,"SREB Type2","Four-Year")</f>
        <v>0</v>
      </c>
      <c r="P164" s="182">
        <f>SUM(B164:O164)</f>
        <v>42286</v>
      </c>
    </row>
    <row r="165" spans="1:16" ht="15" customHeight="1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181"/>
      <c r="O165" s="198"/>
      <c r="P165" s="182"/>
    </row>
    <row r="166" spans="1:16" ht="15" customHeight="1">
      <c r="A166" s="5" t="s">
        <v>297</v>
      </c>
      <c r="B166" s="6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6">
        <f>+GETPIVOTDATA(" Old-Associate's",'Pivot Table for 1-11'!$A$3,"State","AL","SREB Type",4,"SREB Type2","Four-Year")</f>
        <v>0</v>
      </c>
      <c r="D166" s="6">
        <f>+GETPIVOTDATA(" Old-Bachelor's",'Pivot Table for 1-11'!$A$3,"State","AL","SREB Type",4,"SREB Type2","Four-Year")</f>
        <v>1980</v>
      </c>
      <c r="E166" s="6">
        <f>+GETPIVOTDATA(" Old-Post-Bachelor's",'Pivot Table for 1-11'!$A$3,"State","AL","SREB Type",4,"SREB Type2","Four-Year")</f>
        <v>0</v>
      </c>
      <c r="F166" s="6">
        <f>+GETPIVOTDATA(" Old-Total Master's#",'Pivot Table for 1-11'!$A$3,"State","AL","SREB Type",4,"SREB Type2","Four-Year")</f>
        <v>923</v>
      </c>
      <c r="G166" s="6">
        <f>+GETPIVOTDATA(" Old-Total Doctorates#",'Pivot Table for 1-11'!$A$3,"State","AL","SREB Type",4,"SREB Type2","Four-Year")</f>
        <v>21</v>
      </c>
      <c r="H166" s="17">
        <f>+GETPIVOTDATA(" Old-Law",'Pivot Table for 1-11'!$A$3,"State","AL","SREB Type",4,"SREB Type2","Four-Year")</f>
        <v>0</v>
      </c>
      <c r="I166" s="6">
        <f>+GETPIVOTDATA(" Old-Medicine",'Pivot Table for 1-11'!$A$3,"State","AL","SREB Type",4,"SREB Type2","Four-Year")</f>
        <v>0</v>
      </c>
      <c r="J166" s="6">
        <f>+GETPIVOTDATA(" Old-Dentistry",'Pivot Table for 1-11'!$A$3,"State","AL","SREB Type",4,"SREB Type2","Four-Year")</f>
        <v>0</v>
      </c>
      <c r="K166" s="6">
        <f>+GETPIVOTDATA(" Old-Pharmacy",'Pivot Table for 1-11'!$A$3,"State","AL","SREB Type",4,"SREB Type2","Four-Year")</f>
        <v>0</v>
      </c>
      <c r="L166" s="6">
        <f>+GETPIVOTDATA(" Old-Optometry",'Pivot Table for 1-11'!$A$3,"State","AL","SREB Type",4,"SREB Type2","Four-Year")</f>
        <v>0</v>
      </c>
      <c r="M166" s="6">
        <f>+GETPIVOTDATA(" Old-Osteopathic Medicine",'Pivot Table for 1-11'!$A$3,"State","AL","SREB Type",4,"SREB Type2","Four-Year")</f>
        <v>0</v>
      </c>
      <c r="N166" s="181">
        <f>+GETPIVOTDATA(" Old-Veterinary Medicine",'Pivot Table for 1-11'!$A$3,"State","AL","SREB Type",4,"SREB Type2","Four-Year")</f>
        <v>0</v>
      </c>
      <c r="O166" s="198">
        <f>+GETPIVOTDATA(" Old-Oth PP",'Pivot Table for 1-11'!$A$3,"State","AL","SREB Type",4,"SREB Type2","Four-Year")</f>
        <v>0</v>
      </c>
      <c r="P166" s="182">
        <f t="shared" ref="P166:P184" si="5">SUM(B166:O166)</f>
        <v>2924</v>
      </c>
    </row>
    <row r="167" spans="1:16" ht="15" customHeight="1">
      <c r="A167" s="5" t="s">
        <v>298</v>
      </c>
      <c r="B167" s="6">
        <f>+GETPIVOTDATA(" Old-Less Than 2-Year",'Pivot Table for 1-11'!$A$3,"State","AR","SREB Type",4,"SREB Type2","Four-Year")+GETPIVOTDATA(" Old-2 But Less Than 4-Year",'Pivot Table for 1-11'!$A$3,"State","AR","SREB Type",4,"SREB Type2","Four-Year")</f>
        <v>186</v>
      </c>
      <c r="C167" s="6">
        <f>+GETPIVOTDATA(" Old-Associate's",'Pivot Table for 1-11'!$A$3,"State","AR","SREB Type",4,"SREB Type2","Four-Year")</f>
        <v>100</v>
      </c>
      <c r="D167" s="6">
        <f>+GETPIVOTDATA(" Old-Bachelor's",'Pivot Table for 1-11'!$A$3,"State","AR","SREB Type",4,"SREB Type2","Four-Year")</f>
        <v>1281</v>
      </c>
      <c r="E167" s="6">
        <f>+GETPIVOTDATA(" Old-Post-Bachelor's",'Pivot Table for 1-11'!$A$3,"State","AR","SREB Type",4,"SREB Type2","Four-Year")</f>
        <v>0</v>
      </c>
      <c r="F167" s="6">
        <f>+GETPIVOTDATA(" Old-Total Master's#",'Pivot Table for 1-11'!$A$3,"State","AR","SREB Type",4,"SREB Type2","Four-Year")</f>
        <v>366</v>
      </c>
      <c r="G167" s="6">
        <f>+GETPIVOTDATA(" Old-Total Doctorates#",'Pivot Table for 1-11'!$A$3,"State","AR","SREB Type",4,"SREB Type2","Four-Year")</f>
        <v>0</v>
      </c>
      <c r="H167" s="17">
        <f>+GETPIVOTDATA(" Old-Law",'Pivot Table for 1-11'!$A$3,"State","AR","SREB Type",4,"SREB Type2","Four-Year")</f>
        <v>0</v>
      </c>
      <c r="I167" s="6">
        <f>+GETPIVOTDATA(" Old-Medicine",'Pivot Table for 1-11'!$A$3,"State","AR","SREB Type",4,"SREB Type2","Four-Year")</f>
        <v>0</v>
      </c>
      <c r="J167" s="6">
        <f>+GETPIVOTDATA(" Old-Dentistry",'Pivot Table for 1-11'!$A$3,"State","AR","SREB Type",4,"SREB Type2","Four-Year")</f>
        <v>0</v>
      </c>
      <c r="K167" s="6">
        <f>+GETPIVOTDATA(" Old-Pharmacy",'Pivot Table for 1-11'!$A$3,"State","AR","SREB Type",4,"SREB Type2","Four-Year")</f>
        <v>0</v>
      </c>
      <c r="L167" s="6">
        <f>+GETPIVOTDATA(" Old-Optometry",'Pivot Table for 1-11'!$A$3,"State","AR","SREB Type",4,"SREB Type2","Four-Year")</f>
        <v>0</v>
      </c>
      <c r="M167" s="6">
        <f>+GETPIVOTDATA(" Old-Osteopathic Medicine",'Pivot Table for 1-11'!$A$3,"State","AR","SREB Type",4,"SREB Type2","Four-Year")</f>
        <v>0</v>
      </c>
      <c r="N167" s="181">
        <f>+GETPIVOTDATA(" Old-Veterinary Medicine",'Pivot Table for 1-11'!$A$3,"State","AR","SREB Type",4,"SREB Type2","Four-Year")</f>
        <v>0</v>
      </c>
      <c r="O167" s="198">
        <f>+GETPIVOTDATA(" Old-Oth PP",'Pivot Table for 1-11'!$A$3,"State","AR","SREB Type",4,"SREB Type2","Four-Year")</f>
        <v>0</v>
      </c>
      <c r="P167" s="182">
        <f t="shared" si="5"/>
        <v>1933</v>
      </c>
    </row>
    <row r="168" spans="1:16" ht="15" customHeight="1">
      <c r="A168" s="5" t="s">
        <v>299</v>
      </c>
      <c r="B168" s="6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6">
        <f>+GETPIVOTDATA(" Old-Associate's",'Pivot Table for 1-11'!$A$3,"State","DE","SREB Type",4,"SREB Type2","Four-Year")</f>
        <v>0</v>
      </c>
      <c r="D168" s="6">
        <f>+GETPIVOTDATA(" Old-Bachelor's",'Pivot Table for 1-11'!$A$3,"State","DE","SREB Type",4,"SREB Type2","Four-Year")</f>
        <v>455</v>
      </c>
      <c r="E168" s="6">
        <f>+GETPIVOTDATA(" Old-Post-Bachelor's",'Pivot Table for 1-11'!$A$3,"State","DE","SREB Type",4,"SREB Type2","Four-Year")</f>
        <v>0</v>
      </c>
      <c r="F168" s="6">
        <f>+GETPIVOTDATA(" Old-Total Master's#",'Pivot Table for 1-11'!$A$3,"State","DE","SREB Type",4,"SREB Type2","Four-Year")</f>
        <v>139</v>
      </c>
      <c r="G168" s="6">
        <f>+GETPIVOTDATA(" Old-Total Doctorates#",'Pivot Table for 1-11'!$A$3,"State","DE","SREB Type",4,"SREB Type2","Four-Year")</f>
        <v>2</v>
      </c>
      <c r="H168" s="17">
        <f>+GETPIVOTDATA(" Old-Law",'Pivot Table for 1-11'!$A$3,"State","DE","SREB Type",4,"SREB Type2","Four-Year")</f>
        <v>0</v>
      </c>
      <c r="I168" s="6">
        <f>+GETPIVOTDATA(" Old-Medicine",'Pivot Table for 1-11'!$A$3,"State","DE","SREB Type",4,"SREB Type2","Four-Year")</f>
        <v>0</v>
      </c>
      <c r="J168" s="6">
        <f>+GETPIVOTDATA(" Old-Dentistry",'Pivot Table for 1-11'!$A$3,"State","DE","SREB Type",4,"SREB Type2","Four-Year")</f>
        <v>0</v>
      </c>
      <c r="K168" s="6">
        <f>+GETPIVOTDATA(" Old-Pharmacy",'Pivot Table for 1-11'!$A$3,"State","DE","SREB Type",4,"SREB Type2","Four-Year")</f>
        <v>0</v>
      </c>
      <c r="L168" s="6">
        <f>+GETPIVOTDATA(" Old-Optometry",'Pivot Table for 1-11'!$A$3,"State","DE","SREB Type",4,"SREB Type2","Four-Year")</f>
        <v>0</v>
      </c>
      <c r="M168" s="6">
        <f>+GETPIVOTDATA(" Old-Osteopathic Medicine",'Pivot Table for 1-11'!$A$3,"State","DE","SREB Type",4,"SREB Type2","Four-Year")</f>
        <v>0</v>
      </c>
      <c r="N168" s="181">
        <f>+GETPIVOTDATA(" Old-Veterinary Medicine",'Pivot Table for 1-11'!$A$3,"State","DE","SREB Type",4,"SREB Type2","Four-Year")</f>
        <v>0</v>
      </c>
      <c r="O168" s="198">
        <f>+GETPIVOTDATA(" Old-Oth PP",'Pivot Table for 1-11'!$A$3,"State","DE","SREB Type",4,"SREB Type2","Four-Year")</f>
        <v>0</v>
      </c>
      <c r="P168" s="182">
        <f t="shared" si="5"/>
        <v>596</v>
      </c>
    </row>
    <row r="169" spans="1:16" ht="15" customHeight="1">
      <c r="A169" s="5" t="s">
        <v>300</v>
      </c>
      <c r="B169" s="6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6">
        <f>+GETPIVOTDATA(" Old-Associate's",'Pivot Table for 1-11'!$A$3,"State","FL","SREB Type",4,"SREB Type2","Four-Year")</f>
        <v>184</v>
      </c>
      <c r="D169" s="6">
        <f>+GETPIVOTDATA(" Old-Bachelor's",'Pivot Table for 1-11'!$A$3,"State","FL","SREB Type",4,"SREB Type2","Four-Year")</f>
        <v>1214</v>
      </c>
      <c r="E169" s="6">
        <f>+GETPIVOTDATA(" Old-Post-Bachelor's",'Pivot Table for 1-11'!$A$3,"State","FL","SREB Type",4,"SREB Type2","Four-Year")</f>
        <v>0</v>
      </c>
      <c r="F169" s="6">
        <f>+GETPIVOTDATA(" Old-Total Master's#",'Pivot Table for 1-11'!$A$3,"State","FL","SREB Type",4,"SREB Type2","Four-Year")</f>
        <v>267</v>
      </c>
      <c r="G169" s="6">
        <f>+GETPIVOTDATA(" Old-Total Doctorates#",'Pivot Table for 1-11'!$A$3,"State","FL","SREB Type",4,"SREB Type2","Four-Year")</f>
        <v>0</v>
      </c>
      <c r="H169" s="17">
        <f>+GETPIVOTDATA(" Old-Law",'Pivot Table for 1-11'!$A$3,"State","FL","SREB Type",4,"SREB Type2","Four-Year")</f>
        <v>0</v>
      </c>
      <c r="I169" s="6">
        <f>+GETPIVOTDATA(" Old-Medicine",'Pivot Table for 1-11'!$A$3,"State","FL","SREB Type",4,"SREB Type2","Four-Year")</f>
        <v>0</v>
      </c>
      <c r="J169" s="6">
        <f>+GETPIVOTDATA(" Old-Dentistry",'Pivot Table for 1-11'!$A$3,"State","FL","SREB Type",4,"SREB Type2","Four-Year")</f>
        <v>0</v>
      </c>
      <c r="K169" s="6">
        <f>+GETPIVOTDATA(" Old-Pharmacy",'Pivot Table for 1-11'!$A$3,"State","FL","SREB Type",4,"SREB Type2","Four-Year")</f>
        <v>0</v>
      </c>
      <c r="L169" s="6">
        <f>+GETPIVOTDATA(" Old-Optometry",'Pivot Table for 1-11'!$A$3,"State","FL","SREB Type",4,"SREB Type2","Four-Year")</f>
        <v>0</v>
      </c>
      <c r="M169" s="6">
        <f>+GETPIVOTDATA(" Old-Osteopathic Medicine",'Pivot Table for 1-11'!$A$3,"State","FL","SREB Type",4,"SREB Type2","Four-Year")</f>
        <v>0</v>
      </c>
      <c r="N169" s="181">
        <f>+GETPIVOTDATA(" Old-Veterinary Medicine",'Pivot Table for 1-11'!$A$3,"State","FL","SREB Type",4,"SREB Type2","Four-Year")</f>
        <v>0</v>
      </c>
      <c r="O169" s="198">
        <f>+GETPIVOTDATA(" Old-Oth PP",'Pivot Table for 1-11'!$A$3,"State","FL","SREB Type",4,"SREB Type2","Four-Year")</f>
        <v>0</v>
      </c>
      <c r="P169" s="182">
        <f t="shared" si="5"/>
        <v>1665</v>
      </c>
    </row>
    <row r="170" spans="1:16" ht="15" customHeight="1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181"/>
      <c r="O170" s="198"/>
      <c r="P170" s="182">
        <f t="shared" si="5"/>
        <v>0</v>
      </c>
    </row>
    <row r="171" spans="1:16" ht="15" customHeight="1">
      <c r="A171" s="5" t="s">
        <v>301</v>
      </c>
      <c r="B171" s="6">
        <f>+GETPIVOTDATA(" Old-Less Than 2-Year",'Pivot Table for 1-11'!$A$3,"State","GA","SREB Type",4,"SREB Type2","Four-Year")+GETPIVOTDATA(" Old-2 But Less Than 4-Year",'Pivot Table for 1-11'!$A$3,"State","GA","SREB Type",4,"SREB Type2","Four-Year")</f>
        <v>105</v>
      </c>
      <c r="C171" s="6">
        <f>+GETPIVOTDATA(" Old-Associate's",'Pivot Table for 1-11'!$A$3,"State","GA","SREB Type",4,"SREB Type2","Four-Year")</f>
        <v>107</v>
      </c>
      <c r="D171" s="6">
        <f>+GETPIVOTDATA(" Old-Bachelor's",'Pivot Table for 1-11'!$A$3,"State","GA","SREB Type",4,"SREB Type2","Four-Year")</f>
        <v>5946</v>
      </c>
      <c r="E171" s="6">
        <f>+GETPIVOTDATA(" Old-Post-Bachelor's",'Pivot Table for 1-11'!$A$3,"State","GA","SREB Type",4,"SREB Type2","Four-Year")</f>
        <v>0</v>
      </c>
      <c r="F171" s="6">
        <f>+GETPIVOTDATA(" Old-Total Master's#",'Pivot Table for 1-11'!$A$3,"State","GA","SREB Type",4,"SREB Type2","Four-Year")</f>
        <v>2056</v>
      </c>
      <c r="G171" s="6">
        <f>+GETPIVOTDATA(" Old-Total Doctorates#",'Pivot Table for 1-11'!$A$3,"State","GA","SREB Type",4,"SREB Type2","Four-Year")</f>
        <v>0</v>
      </c>
      <c r="H171" s="17">
        <f>+GETPIVOTDATA(" Old-Law",'Pivot Table for 1-11'!$A$3,"State","GA","SREB Type",4,"SREB Type2","Four-Year")</f>
        <v>0</v>
      </c>
      <c r="I171" s="6">
        <f>+GETPIVOTDATA(" Old-Medicine",'Pivot Table for 1-11'!$A$3,"State","GA","SREB Type",4,"SREB Type2","Four-Year")</f>
        <v>0</v>
      </c>
      <c r="J171" s="6">
        <f>+GETPIVOTDATA(" Old-Dentistry",'Pivot Table for 1-11'!$A$3,"State","GA","SREB Type",4,"SREB Type2","Four-Year")</f>
        <v>0</v>
      </c>
      <c r="K171" s="6">
        <f>+GETPIVOTDATA(" Old-Pharmacy",'Pivot Table for 1-11'!$A$3,"State","GA","SREB Type",4,"SREB Type2","Four-Year")</f>
        <v>0</v>
      </c>
      <c r="L171" s="6">
        <f>+GETPIVOTDATA(" Old-Optometry",'Pivot Table for 1-11'!$A$3,"State","GA","SREB Type",4,"SREB Type2","Four-Year")</f>
        <v>0</v>
      </c>
      <c r="M171" s="6">
        <f>+GETPIVOTDATA(" Old-Osteopathic Medicine",'Pivot Table for 1-11'!$A$3,"State","GA","SREB Type",4,"SREB Type2","Four-Year")</f>
        <v>0</v>
      </c>
      <c r="N171" s="181">
        <f>+GETPIVOTDATA(" Old-Veterinary Medicine",'Pivot Table for 1-11'!$A$3,"State","GA","SREB Type",4,"SREB Type2","Four-Year")</f>
        <v>0</v>
      </c>
      <c r="O171" s="198">
        <f>+GETPIVOTDATA(" Old-Oth PP",'Pivot Table for 1-11'!$A$3,"State","GA","SREB Type",4,"SREB Type2","Four-Year")</f>
        <v>0</v>
      </c>
      <c r="P171" s="182">
        <f t="shared" si="5"/>
        <v>8214</v>
      </c>
    </row>
    <row r="172" spans="1:16" ht="15" customHeight="1">
      <c r="A172" s="5" t="s">
        <v>302</v>
      </c>
      <c r="B172" s="6">
        <f>+GETPIVOTDATA(" Old-Less Than 2-Year",'Pivot Table for 1-11'!$A$3,"State","KY","SREB Type",4,"SREB Type2","Four-Year")+GETPIVOTDATA(" Old-2 But Less Than 4-Year",'Pivot Table for 1-11'!$A$3,"State","KY","SREB Type",4,"SREB Type2","Four-Year")</f>
        <v>4</v>
      </c>
      <c r="C172" s="6">
        <f>+GETPIVOTDATA(" Old-Associate's",'Pivot Table for 1-11'!$A$3,"State","KY","SREB Type",4,"SREB Type2","Four-Year")</f>
        <v>375</v>
      </c>
      <c r="D172" s="6">
        <f>+GETPIVOTDATA(" Old-Bachelor's",'Pivot Table for 1-11'!$A$3,"State","KY","SREB Type",4,"SREB Type2","Four-Year")</f>
        <v>2679</v>
      </c>
      <c r="E172" s="6">
        <f>+GETPIVOTDATA(" Old-Post-Bachelor's",'Pivot Table for 1-11'!$A$3,"State","KY","SREB Type",4,"SREB Type2","Four-Year")</f>
        <v>3</v>
      </c>
      <c r="F172" s="6">
        <f>+GETPIVOTDATA(" Old-Total Master's#",'Pivot Table for 1-11'!$A$3,"State","KY","SREB Type",4,"SREB Type2","Four-Year")</f>
        <v>861</v>
      </c>
      <c r="G172" s="6">
        <f>+GETPIVOTDATA(" Old-Total Doctorates#",'Pivot Table for 1-11'!$A$3,"State","KY","SREB Type",4,"SREB Type2","Four-Year")</f>
        <v>0</v>
      </c>
      <c r="H172" s="17">
        <f>+GETPIVOTDATA(" Old-Law",'Pivot Table for 1-11'!$A$3,"State","KY","SREB Type",4,"SREB Type2","Four-Year")</f>
        <v>150</v>
      </c>
      <c r="I172" s="6">
        <f>+GETPIVOTDATA(" Old-Medicine",'Pivot Table for 1-11'!$A$3,"State","KY","SREB Type",4,"SREB Type2","Four-Year")</f>
        <v>0</v>
      </c>
      <c r="J172" s="6">
        <f>+GETPIVOTDATA(" Old-Dentistry",'Pivot Table for 1-11'!$A$3,"State","KY","SREB Type",4,"SREB Type2","Four-Year")</f>
        <v>0</v>
      </c>
      <c r="K172" s="6">
        <f>+GETPIVOTDATA(" Old-Pharmacy",'Pivot Table for 1-11'!$A$3,"State","KY","SREB Type",4,"SREB Type2","Four-Year")</f>
        <v>0</v>
      </c>
      <c r="L172" s="6">
        <f>+GETPIVOTDATA(" Old-Optometry",'Pivot Table for 1-11'!$A$3,"State","KY","SREB Type",4,"SREB Type2","Four-Year")</f>
        <v>0</v>
      </c>
      <c r="M172" s="6">
        <f>+GETPIVOTDATA(" Old-Osteopathic Medicine",'Pivot Table for 1-11'!$A$3,"State","KY","SREB Type",4,"SREB Type2","Four-Year")</f>
        <v>0</v>
      </c>
      <c r="N172" s="181">
        <f>+GETPIVOTDATA(" Old-Veterinary Medicine",'Pivot Table for 1-11'!$A$3,"State","KY","SREB Type",4,"SREB Type2","Four-Year")</f>
        <v>0</v>
      </c>
      <c r="O172" s="198">
        <f>+GETPIVOTDATA(" Old-Oth PP",'Pivot Table for 1-11'!$A$3,"State","KY","SREB Type",4,"SREB Type2","Four-Year")</f>
        <v>0</v>
      </c>
      <c r="P172" s="182">
        <f t="shared" si="5"/>
        <v>4072</v>
      </c>
    </row>
    <row r="173" spans="1:16" ht="15" customHeight="1">
      <c r="A173" s="5" t="s">
        <v>303</v>
      </c>
      <c r="B173" s="6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6">
        <f>+GETPIVOTDATA(" Old-Associate's",'Pivot Table for 1-11'!$A$3,"State","LA","SREB Type",4,"SREB Type2","Four-Year")</f>
        <v>584</v>
      </c>
      <c r="D173" s="6">
        <f>+GETPIVOTDATA(" Old-Bachelor's",'Pivot Table for 1-11'!$A$3,"State","LA","SREB Type",4,"SREB Type2","Four-Year")</f>
        <v>4178</v>
      </c>
      <c r="E173" s="6">
        <f>+GETPIVOTDATA(" Old-Post-Bachelor's",'Pivot Table for 1-11'!$A$3,"State","LA","SREB Type",4,"SREB Type2","Four-Year")</f>
        <v>0</v>
      </c>
      <c r="F173" s="6">
        <f>+GETPIVOTDATA(" Old-Total Master's#",'Pivot Table for 1-11'!$A$3,"State","LA","SREB Type",4,"SREB Type2","Four-Year")</f>
        <v>1061</v>
      </c>
      <c r="G173" s="6">
        <f>+GETPIVOTDATA(" Old-Total Doctorates#",'Pivot Table for 1-11'!$A$3,"State","LA","SREB Type",4,"SREB Type2","Four-Year")</f>
        <v>3</v>
      </c>
      <c r="H173" s="17">
        <f>+GETPIVOTDATA(" Old-Law",'Pivot Table for 1-11'!$A$3,"State","LA","SREB Type",4,"SREB Type2","Four-Year")</f>
        <v>0</v>
      </c>
      <c r="I173" s="6">
        <f>+GETPIVOTDATA(" Old-Medicine",'Pivot Table for 1-11'!$A$3,"State","LA","SREB Type",4,"SREB Type2","Four-Year")</f>
        <v>0</v>
      </c>
      <c r="J173" s="6">
        <f>+GETPIVOTDATA(" Old-Dentistry",'Pivot Table for 1-11'!$A$3,"State","LA","SREB Type",4,"SREB Type2","Four-Year")</f>
        <v>0</v>
      </c>
      <c r="K173" s="6">
        <f>+GETPIVOTDATA(" Old-Pharmacy",'Pivot Table for 1-11'!$A$3,"State","LA","SREB Type",4,"SREB Type2","Four-Year")</f>
        <v>0</v>
      </c>
      <c r="L173" s="6">
        <f>+GETPIVOTDATA(" Old-Optometry",'Pivot Table for 1-11'!$A$3,"State","LA","SREB Type",4,"SREB Type2","Four-Year")</f>
        <v>0</v>
      </c>
      <c r="M173" s="6">
        <f>+GETPIVOTDATA(" Old-Osteopathic Medicine",'Pivot Table for 1-11'!$A$3,"State","LA","SREB Type",4,"SREB Type2","Four-Year")</f>
        <v>0</v>
      </c>
      <c r="N173" s="181">
        <f>+GETPIVOTDATA(" Old-Veterinary Medicine",'Pivot Table for 1-11'!$A$3,"State","LA","SREB Type",4,"SREB Type2","Four-Year")</f>
        <v>0</v>
      </c>
      <c r="O173" s="198">
        <f>+GETPIVOTDATA(" Old-Oth PP",'Pivot Table for 1-11'!$A$3,"State","LA","SREB Type",4,"SREB Type2","Four-Year")</f>
        <v>0</v>
      </c>
      <c r="P173" s="182">
        <f t="shared" si="5"/>
        <v>5826</v>
      </c>
    </row>
    <row r="174" spans="1:16" ht="15" customHeight="1">
      <c r="A174" s="5" t="s">
        <v>304</v>
      </c>
      <c r="B174" s="6">
        <f>+GETPIVOTDATA(" Old-Less Than 2-Year",'Pivot Table for 1-11'!$A$3,"State","MD","SREB Type",4,"SREB Type2","Four-Year")+GETPIVOTDATA(" Old-2 But Less Than 4-Year",'Pivot Table for 1-11'!$A$3,"State","MD","SREB Type",4,"SREB Type2","Four-Year")</f>
        <v>39</v>
      </c>
      <c r="C174" s="6">
        <f>+GETPIVOTDATA(" Old-Associate's",'Pivot Table for 1-11'!$A$3,"State","MD","SREB Type",4,"SREB Type2","Four-Year")</f>
        <v>0</v>
      </c>
      <c r="D174" s="6">
        <f>+GETPIVOTDATA(" Old-Bachelor's",'Pivot Table for 1-11'!$A$3,"State","MD","SREB Type",4,"SREB Type2","Four-Year")</f>
        <v>4217</v>
      </c>
      <c r="E174" s="6">
        <f>+GETPIVOTDATA(" Old-Post-Bachelor's",'Pivot Table for 1-11'!$A$3,"State","MD","SREB Type",4,"SREB Type2","Four-Year")</f>
        <v>17</v>
      </c>
      <c r="F174" s="6">
        <f>+GETPIVOTDATA(" Old-Total Master's#",'Pivot Table for 1-11'!$A$3,"State","MD","SREB Type",4,"SREB Type2","Four-Year")</f>
        <v>1393</v>
      </c>
      <c r="G174" s="6">
        <f>+GETPIVOTDATA(" Old-Total Doctorates#",'Pivot Table for 1-11'!$A$3,"State","MD","SREB Type",4,"SREB Type2","Four-Year")</f>
        <v>24</v>
      </c>
      <c r="H174" s="17">
        <f>+GETPIVOTDATA(" Old-Law",'Pivot Table for 1-11'!$A$3,"State","MD","SREB Type",4,"SREB Type2","Four-Year")</f>
        <v>292</v>
      </c>
      <c r="I174" s="6">
        <f>+GETPIVOTDATA(" Old-Medicine",'Pivot Table for 1-11'!$A$3,"State","MD","SREB Type",4,"SREB Type2","Four-Year")</f>
        <v>0</v>
      </c>
      <c r="J174" s="6">
        <f>+GETPIVOTDATA(" Old-Dentistry",'Pivot Table for 1-11'!$A$3,"State","MD","SREB Type",4,"SREB Type2","Four-Year")</f>
        <v>0</v>
      </c>
      <c r="K174" s="6">
        <f>+GETPIVOTDATA(" Old-Pharmacy",'Pivot Table for 1-11'!$A$3,"State","MD","SREB Type",4,"SREB Type2","Four-Year")</f>
        <v>0</v>
      </c>
      <c r="L174" s="6">
        <f>+GETPIVOTDATA(" Old-Optometry",'Pivot Table for 1-11'!$A$3,"State","MD","SREB Type",4,"SREB Type2","Four-Year")</f>
        <v>0</v>
      </c>
      <c r="M174" s="6">
        <f>+GETPIVOTDATA(" Old-Osteopathic Medicine",'Pivot Table for 1-11'!$A$3,"State","MD","SREB Type",4,"SREB Type2","Four-Year")</f>
        <v>0</v>
      </c>
      <c r="N174" s="181">
        <f>+GETPIVOTDATA(" Old-Veterinary Medicine",'Pivot Table for 1-11'!$A$3,"State","MD","SREB Type",4,"SREB Type2","Four-Year")</f>
        <v>0</v>
      </c>
      <c r="O174" s="198">
        <f>+GETPIVOTDATA(" Old-Oth PP",'Pivot Table for 1-11'!$A$3,"State","MD","SREB Type",4,"SREB Type2","Four-Year")</f>
        <v>0</v>
      </c>
      <c r="P174" s="182">
        <f t="shared" si="5"/>
        <v>5982</v>
      </c>
    </row>
    <row r="175" spans="1:16" ht="15" customHeight="1">
      <c r="A175" s="5"/>
      <c r="B175" s="6">
        <f>+GETPIVOTDATA(" Old-Less Than 2-Year",'Pivot Table for 1-11'!$A$3,"State","AR","SREB Type",4,"SREB Type2","Four-Year")+GETPIVOTDATA(" Old-2 But Less Than 4-Year",'Pivot Table for 1-11'!$A$3,"State","AR","SREB Type",4,"SREB Type2","Four-Year")</f>
        <v>186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181"/>
      <c r="O175" s="198"/>
      <c r="P175" s="182">
        <f t="shared" si="5"/>
        <v>186</v>
      </c>
    </row>
    <row r="176" spans="1:16" ht="15" customHeight="1">
      <c r="A176" s="5" t="s">
        <v>305</v>
      </c>
      <c r="B176" s="6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6">
        <f>+GETPIVOTDATA(" Old-Associate's",'Pivot Table for 1-11'!$A$3,"State","MS","SREB Type",4,"SREB Type2","Four-Year")</f>
        <v>40</v>
      </c>
      <c r="D176" s="6">
        <f>+GETPIVOTDATA(" Old-Bachelor's",'Pivot Table for 1-11'!$A$3,"State","MS","SREB Type",4,"SREB Type2","Four-Year")</f>
        <v>1453</v>
      </c>
      <c r="E176" s="6">
        <f>+GETPIVOTDATA(" Old-Post-Bachelor's",'Pivot Table for 1-11'!$A$3,"State","MS","SREB Type",4,"SREB Type2","Four-Year")</f>
        <v>0</v>
      </c>
      <c r="F176" s="6">
        <f>+GETPIVOTDATA(" Old-Total Master's#",'Pivot Table for 1-11'!$A$3,"State","MS","SREB Type",4,"SREB Type2","Four-Year")</f>
        <v>483</v>
      </c>
      <c r="G176" s="6">
        <f>+GETPIVOTDATA(" Old-Total Doctorates#",'Pivot Table for 1-11'!$A$3,"State","MS","SREB Type",4,"SREB Type2","Four-Year")</f>
        <v>5</v>
      </c>
      <c r="H176" s="17">
        <f>+GETPIVOTDATA(" Old-Law",'Pivot Table for 1-11'!$A$3,"State","MS","SREB Type",4,"SREB Type2","Four-Year")</f>
        <v>0</v>
      </c>
      <c r="I176" s="6">
        <f>+GETPIVOTDATA(" Old-Medicine",'Pivot Table for 1-11'!$A$3,"State","MS","SREB Type",4,"SREB Type2","Four-Year")</f>
        <v>0</v>
      </c>
      <c r="J176" s="6">
        <f>+GETPIVOTDATA(" Old-Dentistry",'Pivot Table for 1-11'!$A$3,"State","MS","SREB Type",4,"SREB Type2","Four-Year")</f>
        <v>0</v>
      </c>
      <c r="K176" s="6">
        <f>+GETPIVOTDATA(" Old-Pharmacy",'Pivot Table for 1-11'!$A$3,"State","MS","SREB Type",4,"SREB Type2","Four-Year")</f>
        <v>0</v>
      </c>
      <c r="L176" s="6">
        <f>+GETPIVOTDATA(" Old-Optometry",'Pivot Table for 1-11'!$A$3,"State","MS","SREB Type",4,"SREB Type2","Four-Year")</f>
        <v>0</v>
      </c>
      <c r="M176" s="6">
        <f>+GETPIVOTDATA(" Old-Osteopathic Medicine",'Pivot Table for 1-11'!$A$3,"State","MS","SREB Type",4,"SREB Type2","Four-Year")</f>
        <v>0</v>
      </c>
      <c r="N176" s="181">
        <f>+GETPIVOTDATA(" Old-Veterinary Medicine",'Pivot Table for 1-11'!$A$3,"State","MS","SREB Type",4,"SREB Type2","Four-Year")</f>
        <v>0</v>
      </c>
      <c r="O176" s="198">
        <f>+GETPIVOTDATA(" Old-Oth PP",'Pivot Table for 1-11'!$A$3,"State","MS","SREB Type",4,"SREB Type2","Four-Year")</f>
        <v>0</v>
      </c>
      <c r="P176" s="182">
        <f t="shared" si="5"/>
        <v>1981</v>
      </c>
    </row>
    <row r="177" spans="1:16" ht="15" customHeight="1">
      <c r="A177" s="5" t="s">
        <v>306</v>
      </c>
      <c r="B177" s="6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6">
        <f>+GETPIVOTDATA(" Old-Associate's",'Pivot Table for 1-11'!$A$3,"State","NC","SREB Type",4,"SREB Type2","Four-Year")</f>
        <v>0</v>
      </c>
      <c r="D177" s="6">
        <f>+GETPIVOTDATA(" Old-Bachelor's",'Pivot Table for 1-11'!$A$3,"State","NC","SREB Type",4,"SREB Type2","Four-Year")</f>
        <v>775</v>
      </c>
      <c r="E177" s="6">
        <f>+GETPIVOTDATA(" Old-Post-Bachelor's",'Pivot Table for 1-11'!$A$3,"State","NC","SREB Type",4,"SREB Type2","Four-Year")</f>
        <v>0</v>
      </c>
      <c r="F177" s="6">
        <f>+GETPIVOTDATA(" Old-Total Master's#",'Pivot Table for 1-11'!$A$3,"State","NC","SREB Type",4,"SREB Type2","Four-Year")</f>
        <v>160</v>
      </c>
      <c r="G177" s="6">
        <f>+GETPIVOTDATA(" Old-Total Doctorates#",'Pivot Table for 1-11'!$A$3,"State","NC","SREB Type",4,"SREB Type2","Four-Year")</f>
        <v>13</v>
      </c>
      <c r="H177" s="17">
        <f>+GETPIVOTDATA(" Old-Law",'Pivot Table for 1-11'!$A$3,"State","NC","SREB Type",4,"SREB Type2","Four-Year")</f>
        <v>0</v>
      </c>
      <c r="I177" s="6">
        <f>+GETPIVOTDATA(" Old-Medicine",'Pivot Table for 1-11'!$A$3,"State","NC","SREB Type",4,"SREB Type2","Four-Year")</f>
        <v>0</v>
      </c>
      <c r="J177" s="6">
        <f>+GETPIVOTDATA(" Old-Dentistry",'Pivot Table for 1-11'!$A$3,"State","NC","SREB Type",4,"SREB Type2","Four-Year")</f>
        <v>0</v>
      </c>
      <c r="K177" s="6">
        <f>+GETPIVOTDATA(" Old-Pharmacy",'Pivot Table for 1-11'!$A$3,"State","NC","SREB Type",4,"SREB Type2","Four-Year")</f>
        <v>0</v>
      </c>
      <c r="L177" s="6">
        <f>+GETPIVOTDATA(" Old-Optometry",'Pivot Table for 1-11'!$A$3,"State","NC","SREB Type",4,"SREB Type2","Four-Year")</f>
        <v>0</v>
      </c>
      <c r="M177" s="6">
        <f>+GETPIVOTDATA(" Old-Osteopathic Medicine",'Pivot Table for 1-11'!$A$3,"State","NC","SREB Type",4,"SREB Type2","Four-Year")</f>
        <v>0</v>
      </c>
      <c r="N177" s="181">
        <f>+GETPIVOTDATA(" Old-Veterinary Medicine",'Pivot Table for 1-11'!$A$3,"State","NC","SREB Type",4,"SREB Type2","Four-Year")</f>
        <v>0</v>
      </c>
      <c r="O177" s="198">
        <f>+GETPIVOTDATA(" Old-Oth PP",'Pivot Table for 1-11'!$A$3,"State","NC","SREB Type",4,"SREB Type2","Four-Year")</f>
        <v>0</v>
      </c>
      <c r="P177" s="182">
        <f t="shared" si="5"/>
        <v>948</v>
      </c>
    </row>
    <row r="178" spans="1:16" ht="15" customHeight="1">
      <c r="A178" s="5" t="s">
        <v>307</v>
      </c>
      <c r="B178" s="6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6">
        <f>+GETPIVOTDATA(" Old-Associate's",'Pivot Table for 1-11'!$A$3,"State","OK","SREB Type",4,"SREB Type2","Four-Year")</f>
        <v>0</v>
      </c>
      <c r="D178" s="6">
        <f>+GETPIVOTDATA(" Old-Bachelor's",'Pivot Table for 1-11'!$A$3,"State","OK","SREB Type",4,"SREB Type2","Four-Year")</f>
        <v>0</v>
      </c>
      <c r="E178" s="6">
        <f>+GETPIVOTDATA(" Old-Post-Bachelor's",'Pivot Table for 1-11'!$A$3,"State","OK","SREB Type",4,"SREB Type2","Four-Year")</f>
        <v>0</v>
      </c>
      <c r="F178" s="6">
        <f>+GETPIVOTDATA(" Old-Total Master's#",'Pivot Table for 1-11'!$A$3,"State","OK","SREB Type",4,"SREB Type2","Four-Year")</f>
        <v>0</v>
      </c>
      <c r="G178" s="6">
        <f>+GETPIVOTDATA(" Old-Total Doctorates#",'Pivot Table for 1-11'!$A$3,"State","OK","SREB Type",4,"SREB Type2","Four-Year")</f>
        <v>0</v>
      </c>
      <c r="H178" s="17">
        <f>+GETPIVOTDATA(" Old-Law",'Pivot Table for 1-11'!$A$3,"State","OK","SREB Type",4,"SREB Type2","Four-Year")</f>
        <v>0</v>
      </c>
      <c r="I178" s="6">
        <f>+GETPIVOTDATA(" Old-Medicine",'Pivot Table for 1-11'!$A$3,"State","OK","SREB Type",4,"SREB Type2","Four-Year")</f>
        <v>0</v>
      </c>
      <c r="J178" s="6">
        <f>+GETPIVOTDATA(" Old-Dentistry",'Pivot Table for 1-11'!$A$3,"State","OK","SREB Type",4,"SREB Type2","Four-Year")</f>
        <v>0</v>
      </c>
      <c r="K178" s="6">
        <f>+GETPIVOTDATA(" Old-Pharmacy",'Pivot Table for 1-11'!$A$3,"State","OK","SREB Type",4,"SREB Type2","Four-Year")</f>
        <v>0</v>
      </c>
      <c r="L178" s="6">
        <f>+GETPIVOTDATA(" Old-Optometry",'Pivot Table for 1-11'!$A$3,"State","OK","SREB Type",4,"SREB Type2","Four-Year")</f>
        <v>0</v>
      </c>
      <c r="M178" s="6">
        <f>+GETPIVOTDATA(" Old-Osteopathic Medicine",'Pivot Table for 1-11'!$A$3,"State","OK","SREB Type",4,"SREB Type2","Four-Year")</f>
        <v>0</v>
      </c>
      <c r="N178" s="181">
        <f>+GETPIVOTDATA(" Old-Veterinary Medicine",'Pivot Table for 1-11'!$A$3,"State","OK","SREB Type",4,"SREB Type2","Four-Year")</f>
        <v>0</v>
      </c>
      <c r="O178" s="198">
        <f>+GETPIVOTDATA(" Old-Oth PP",'Pivot Table for 1-11'!$A$3,"State","OK","SREB Type",4,"SREB Type2","Four-Year")</f>
        <v>0</v>
      </c>
      <c r="P178" s="182">
        <f t="shared" si="5"/>
        <v>0</v>
      </c>
    </row>
    <row r="179" spans="1:16" ht="15" customHeight="1">
      <c r="A179" s="5" t="s">
        <v>308</v>
      </c>
      <c r="B179" s="6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6">
        <f>+GETPIVOTDATA(" Old-Associate's",'Pivot Table for 1-11'!$A$3,"State","SC","SREB Type",4,"SREB Type2","Four-Year")</f>
        <v>0</v>
      </c>
      <c r="D179" s="6">
        <f>+GETPIVOTDATA(" Old-Bachelor's",'Pivot Table for 1-11'!$A$3,"State","SC","SREB Type",4,"SREB Type2","Four-Year")</f>
        <v>467</v>
      </c>
      <c r="E179" s="6">
        <f>+GETPIVOTDATA(" Old-Post-Bachelor's",'Pivot Table for 1-11'!$A$3,"State","SC","SREB Type",4,"SREB Type2","Four-Year")</f>
        <v>0</v>
      </c>
      <c r="F179" s="6">
        <f>+GETPIVOTDATA(" Old-Total Master's#",'Pivot Table for 1-11'!$A$3,"State","SC","SREB Type",4,"SREB Type2","Four-Year")</f>
        <v>221</v>
      </c>
      <c r="G179" s="6">
        <f>+GETPIVOTDATA(" Old-Total Doctorates#",'Pivot Table for 1-11'!$A$3,"State","SC","SREB Type",4,"SREB Type2","Four-Year")</f>
        <v>0</v>
      </c>
      <c r="H179" s="17">
        <f>+GETPIVOTDATA(" Old-Law",'Pivot Table for 1-11'!$A$3,"State","SC","SREB Type",4,"SREB Type2","Four-Year")</f>
        <v>0</v>
      </c>
      <c r="I179" s="6">
        <f>+GETPIVOTDATA(" Old-Medicine",'Pivot Table for 1-11'!$A$3,"State","SC","SREB Type",4,"SREB Type2","Four-Year")</f>
        <v>0</v>
      </c>
      <c r="J179" s="6">
        <f>+GETPIVOTDATA(" Old-Dentistry",'Pivot Table for 1-11'!$A$3,"State","SC","SREB Type",4,"SREB Type2","Four-Year")</f>
        <v>0</v>
      </c>
      <c r="K179" s="6">
        <f>+GETPIVOTDATA(" Old-Pharmacy",'Pivot Table for 1-11'!$A$3,"State","SC","SREB Type",4,"SREB Type2","Four-Year")</f>
        <v>0</v>
      </c>
      <c r="L179" s="6">
        <f>+GETPIVOTDATA(" Old-Optometry",'Pivot Table for 1-11'!$A$3,"State","SC","SREB Type",4,"SREB Type2","Four-Year")</f>
        <v>0</v>
      </c>
      <c r="M179" s="6">
        <f>+GETPIVOTDATA(" Old-Osteopathic Medicine",'Pivot Table for 1-11'!$A$3,"State","SC","SREB Type",4,"SREB Type2","Four-Year")</f>
        <v>0</v>
      </c>
      <c r="N179" s="181">
        <f>+GETPIVOTDATA(" Old-Veterinary Medicine",'Pivot Table for 1-11'!$A$3,"State","SC","SREB Type",4,"SREB Type2","Four-Year")</f>
        <v>0</v>
      </c>
      <c r="O179" s="198">
        <f>+GETPIVOTDATA(" Old-Oth PP",'Pivot Table for 1-11'!$A$3,"State","SC","SREB Type",4,"SREB Type2","Four-Year")</f>
        <v>0</v>
      </c>
      <c r="P179" s="182">
        <f t="shared" si="5"/>
        <v>688</v>
      </c>
    </row>
    <row r="180" spans="1:16" ht="15" customHeight="1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181"/>
      <c r="O180" s="198"/>
      <c r="P180" s="182"/>
    </row>
    <row r="181" spans="1:16" ht="15" customHeight="1">
      <c r="A181" s="5" t="s">
        <v>309</v>
      </c>
      <c r="B181" s="6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6">
        <f>+GETPIVOTDATA(" Old-Associate's",'Pivot Table for 1-11'!$A$3,"State","TN","SREB Type",4,"SREB Type2","Four-Year")</f>
        <v>109</v>
      </c>
      <c r="D181" s="6">
        <f>+GETPIVOTDATA(" Old-Bachelor's",'Pivot Table for 1-11'!$A$3,"State","TN","SREB Type",4,"SREB Type2","Four-Year")</f>
        <v>1159</v>
      </c>
      <c r="E181" s="6">
        <f>+GETPIVOTDATA(" Old-Post-Bachelor's",'Pivot Table for 1-11'!$A$3,"State","TN","SREB Type",4,"SREB Type2","Four-Year")</f>
        <v>0</v>
      </c>
      <c r="F181" s="6">
        <f>+GETPIVOTDATA(" Old-Total Master's#",'Pivot Table for 1-11'!$A$3,"State","TN","SREB Type",4,"SREB Type2","Four-Year")</f>
        <v>231</v>
      </c>
      <c r="G181" s="6">
        <f>+GETPIVOTDATA(" Old-Total Doctorates#",'Pivot Table for 1-11'!$A$3,"State","TN","SREB Type",4,"SREB Type2","Four-Year")</f>
        <v>0</v>
      </c>
      <c r="H181" s="17">
        <f>+GETPIVOTDATA(" Old-Law",'Pivot Table for 1-11'!$A$3,"State","TN","SREB Type",4,"SREB Type2","Four-Year")</f>
        <v>0</v>
      </c>
      <c r="I181" s="6">
        <f>+GETPIVOTDATA(" Old-Medicine",'Pivot Table for 1-11'!$A$3,"State","TN","SREB Type",4,"SREB Type2","Four-Year")</f>
        <v>0</v>
      </c>
      <c r="J181" s="6">
        <f>+GETPIVOTDATA(" Old-Dentistry",'Pivot Table for 1-11'!$A$3,"State","TN","SREB Type",4,"SREB Type2","Four-Year")</f>
        <v>0</v>
      </c>
      <c r="K181" s="6">
        <f>+GETPIVOTDATA(" Old-Pharmacy",'Pivot Table for 1-11'!$A$3,"State","TN","SREB Type",4,"SREB Type2","Four-Year")</f>
        <v>0</v>
      </c>
      <c r="L181" s="6">
        <f>+GETPIVOTDATA(" Old-Optometry",'Pivot Table for 1-11'!$A$3,"State","TN","SREB Type",4,"SREB Type2","Four-Year")</f>
        <v>0</v>
      </c>
      <c r="M181" s="6">
        <f>+GETPIVOTDATA(" Old-Osteopathic Medicine",'Pivot Table for 1-11'!$A$3,"State","TN","SREB Type",4,"SREB Type2","Four-Year")</f>
        <v>0</v>
      </c>
      <c r="N181" s="181">
        <f>+GETPIVOTDATA(" Old-Veterinary Medicine",'Pivot Table for 1-11'!$A$3,"State","TN","SREB Type",4,"SREB Type2","Four-Year")</f>
        <v>0</v>
      </c>
      <c r="O181" s="198"/>
      <c r="P181" s="182">
        <f t="shared" si="5"/>
        <v>1499</v>
      </c>
    </row>
    <row r="182" spans="1:16" ht="15" customHeight="1">
      <c r="A182" s="5" t="s">
        <v>310</v>
      </c>
      <c r="B182" s="6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6">
        <f>+GETPIVOTDATA(" Old-Associate's",'Pivot Table for 1-11'!$A$3,"State","TX","SREB Type",4,"SREB Type2","Four-Year")</f>
        <v>1</v>
      </c>
      <c r="D182" s="6">
        <f>+GETPIVOTDATA(" Old-Bachelor's",'Pivot Table for 1-11'!$A$3,"State","TX","SREB Type",4,"SREB Type2","Four-Year")</f>
        <v>2162</v>
      </c>
      <c r="E182" s="6">
        <f>+GETPIVOTDATA(" Old-Post-Bachelor's",'Pivot Table for 1-11'!$A$3,"State","TX","SREB Type",4,"SREB Type2","Four-Year")</f>
        <v>0</v>
      </c>
      <c r="F182" s="6">
        <f>+GETPIVOTDATA(" Old-Total Master's#",'Pivot Table for 1-11'!$A$3,"State","TX","SREB Type",4,"SREB Type2","Four-Year")</f>
        <v>811</v>
      </c>
      <c r="G182" s="6">
        <f>+GETPIVOTDATA(" Old-Total Doctorates#",'Pivot Table for 1-11'!$A$3,"State","TX","SREB Type",4,"SREB Type2","Four-Year")</f>
        <v>0</v>
      </c>
      <c r="H182" s="17">
        <f>+GETPIVOTDATA(" Old-Law",'Pivot Table for 1-11'!$A$3,"State","TX","SREB Type",4,"SREB Type2","Four-Year")</f>
        <v>0</v>
      </c>
      <c r="I182" s="6">
        <f>+GETPIVOTDATA(" Old-Medicine",'Pivot Table for 1-11'!$A$3,"State","TX","SREB Type",4,"SREB Type2","Four-Year")</f>
        <v>0</v>
      </c>
      <c r="J182" s="6">
        <f>+GETPIVOTDATA(" Old-Dentistry",'Pivot Table for 1-11'!$A$3,"State","TX","SREB Type",4,"SREB Type2","Four-Year")</f>
        <v>0</v>
      </c>
      <c r="K182" s="6">
        <f>+GETPIVOTDATA(" Old-Pharmacy",'Pivot Table for 1-11'!$A$3,"State","TX","SREB Type",4,"SREB Type2","Four-Year")</f>
        <v>0</v>
      </c>
      <c r="L182" s="6">
        <f>+GETPIVOTDATA(" Old-Optometry",'Pivot Table for 1-11'!$A$3,"State","TX","SREB Type",4,"SREB Type2","Four-Year")</f>
        <v>0</v>
      </c>
      <c r="M182" s="6">
        <f>+GETPIVOTDATA(" Old-Osteopathic Medicine",'Pivot Table for 1-11'!$A$3,"State","TX","SREB Type",4,"SREB Type2","Four-Year")</f>
        <v>0</v>
      </c>
      <c r="N182" s="181">
        <f>+GETPIVOTDATA(" Old-Veterinary Medicine",'Pivot Table for 1-11'!$A$3,"State","TX","SREB Type",4,"SREB Type2","Four-Year")</f>
        <v>0</v>
      </c>
      <c r="O182" s="198"/>
      <c r="P182" s="182">
        <f t="shared" si="5"/>
        <v>2974</v>
      </c>
    </row>
    <row r="183" spans="1:16" ht="15" customHeight="1">
      <c r="A183" s="5" t="s">
        <v>311</v>
      </c>
      <c r="B183" s="6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6">
        <f>+GETPIVOTDATA(" Old-Associate's",'Pivot Table for 1-11'!$A$3,"State","VA","SREB Type",4,"SREB Type2","Four-Year")</f>
        <v>14</v>
      </c>
      <c r="D183" s="6">
        <f>+GETPIVOTDATA(" Old-Bachelor's",'Pivot Table for 1-11'!$A$3,"State","VA","SREB Type",4,"SREB Type2","Four-Year")</f>
        <v>2424</v>
      </c>
      <c r="E183" s="6">
        <f>+GETPIVOTDATA(" Old-Post-Bachelor's",'Pivot Table for 1-11'!$A$3,"State","VA","SREB Type",4,"SREB Type2","Four-Year")</f>
        <v>0</v>
      </c>
      <c r="F183" s="6">
        <f>+GETPIVOTDATA(" Old-Total Master's#",'Pivot Table for 1-11'!$A$3,"State","VA","SREB Type",4,"SREB Type2","Four-Year")</f>
        <v>537</v>
      </c>
      <c r="G183" s="6">
        <f>+GETPIVOTDATA(" Old-Total Doctorates#",'Pivot Table for 1-11'!$A$3,"State","VA","SREB Type",4,"SREB Type2","Four-Year")</f>
        <v>9</v>
      </c>
      <c r="H183" s="17">
        <f>+GETPIVOTDATA(" Old-Law",'Pivot Table for 1-11'!$A$3,"State","VA","SREB Type",4,"SREB Type2","Four-Year")</f>
        <v>0</v>
      </c>
      <c r="I183" s="6">
        <f>+GETPIVOTDATA(" Old-Medicine",'Pivot Table for 1-11'!$A$3,"State","VA","SREB Type",4,"SREB Type2","Four-Year")</f>
        <v>0</v>
      </c>
      <c r="J183" s="6">
        <f>+GETPIVOTDATA(" Old-Dentistry",'Pivot Table for 1-11'!$A$3,"State","VA","SREB Type",4,"SREB Type2","Four-Year")</f>
        <v>0</v>
      </c>
      <c r="K183" s="6">
        <f>+GETPIVOTDATA(" Old-Pharmacy",'Pivot Table for 1-11'!$A$3,"State","VA","SREB Type",4,"SREB Type2","Four-Year")</f>
        <v>0</v>
      </c>
      <c r="L183" s="6">
        <f>+GETPIVOTDATA(" Old-Optometry",'Pivot Table for 1-11'!$A$3,"State","VA","SREB Type",4,"SREB Type2","Four-Year")</f>
        <v>0</v>
      </c>
      <c r="M183" s="6">
        <f>+GETPIVOTDATA(" Old-Osteopathic Medicine",'Pivot Table for 1-11'!$A$3,"State","VA","SREB Type",4,"SREB Type2","Four-Year")</f>
        <v>0</v>
      </c>
      <c r="N183" s="181">
        <f>+GETPIVOTDATA(" Old-Veterinary Medicine",'Pivot Table for 1-11'!$A$3,"State","VA","SREB Type",4,"SREB Type2","Four-Year")</f>
        <v>0</v>
      </c>
      <c r="O183" s="198"/>
      <c r="P183" s="182">
        <f t="shared" si="5"/>
        <v>2984</v>
      </c>
    </row>
    <row r="184" spans="1:16" ht="15" customHeight="1">
      <c r="A184" s="9" t="s">
        <v>312</v>
      </c>
      <c r="B184" s="8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8">
        <f>+GETPIVOTDATA(" Old-Associate's",'Pivot Table for 1-11'!$A$3,"State","WV","SREB Type",4,"SREB Type2","Four-Year")</f>
        <v>0</v>
      </c>
      <c r="D184" s="8">
        <f>+GETPIVOTDATA(" Old-Bachelor's",'Pivot Table for 1-11'!$A$3,"State","WV","SREB Type",4,"SREB Type2","Four-Year")</f>
        <v>0</v>
      </c>
      <c r="E184" s="8">
        <f>+GETPIVOTDATA(" Old-Post-Bachelor's",'Pivot Table for 1-11'!$A$3,"State","WV","SREB Type",4,"SREB Type2","Four-Year")</f>
        <v>0</v>
      </c>
      <c r="F184" s="8">
        <f>+GETPIVOTDATA(" Old-Total Master's#",'Pivot Table for 1-11'!$A$3,"State","WV","SREB Type",4,"SREB Type2","Four-Year")</f>
        <v>0</v>
      </c>
      <c r="G184" s="8">
        <f>+GETPIVOTDATA(" Old-Total Doctorates#",'Pivot Table for 1-11'!$A$3,"State","WV","SREB Type",4,"SREB Type2","Four-Year")</f>
        <v>0</v>
      </c>
      <c r="H184" s="18">
        <f>+GETPIVOTDATA(" Old-Law",'Pivot Table for 1-11'!$A$3,"State","WV","SREB Type",4,"SREB Type2","Four-Year")</f>
        <v>0</v>
      </c>
      <c r="I184" s="8">
        <f>+GETPIVOTDATA(" Old-Medicine",'Pivot Table for 1-11'!$A$3,"State","WV","SREB Type",4,"SREB Type2","Four-Year")</f>
        <v>0</v>
      </c>
      <c r="J184" s="8">
        <f>+GETPIVOTDATA(" Old-Dentistry",'Pivot Table for 1-11'!$A$3,"State","WV","SREB Type",4,"SREB Type2","Four-Year")</f>
        <v>0</v>
      </c>
      <c r="K184" s="8">
        <f>+GETPIVOTDATA(" Old-Pharmacy",'Pivot Table for 1-11'!$A$3,"State","WV","SREB Type",4,"SREB Type2","Four-Year")</f>
        <v>0</v>
      </c>
      <c r="L184" s="8">
        <f>+GETPIVOTDATA(" Old-Optometry",'Pivot Table for 1-11'!$A$3,"State","WV","SREB Type",4,"SREB Type2","Four-Year")</f>
        <v>0</v>
      </c>
      <c r="M184" s="8">
        <f>+GETPIVOTDATA(" Old-Osteopathic Medicine",'Pivot Table for 1-11'!$A$3,"State","WV","SREB Type",4,"SREB Type2","Four-Year")</f>
        <v>0</v>
      </c>
      <c r="N184" s="189">
        <f>+GETPIVOTDATA(" Old-Veterinary Medicine",'Pivot Table for 1-11'!$A$3,"State","WV","SREB Type",4,"SREB Type2","Four-Year")</f>
        <v>0</v>
      </c>
      <c r="O184" s="199"/>
      <c r="P184" s="183">
        <f t="shared" si="5"/>
        <v>0</v>
      </c>
    </row>
    <row r="185" spans="1:1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181"/>
      <c r="O185" s="181"/>
      <c r="P185" s="181"/>
    </row>
    <row r="186" spans="1:16" ht="27" customHeight="1">
      <c r="A186" s="767" t="s">
        <v>1253</v>
      </c>
      <c r="B186" s="768"/>
      <c r="C186" s="768"/>
      <c r="D186" s="768"/>
      <c r="E186" s="768"/>
      <c r="F186" s="768"/>
      <c r="G186" s="768"/>
      <c r="H186" s="768"/>
      <c r="I186" s="768"/>
      <c r="J186" s="768"/>
      <c r="K186" s="768"/>
      <c r="L186" s="768"/>
      <c r="M186" s="768"/>
      <c r="N186" s="768"/>
      <c r="O186" s="768"/>
      <c r="P186" s="768"/>
    </row>
    <row r="187" spans="1:16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181"/>
      <c r="O187" s="181"/>
      <c r="P187" s="184" t="s">
        <v>1267</v>
      </c>
    </row>
    <row r="188" spans="1:16" ht="18">
      <c r="A188" s="22" t="s">
        <v>318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93"/>
      <c r="O188" s="93"/>
      <c r="P188" s="93"/>
    </row>
    <row r="189" spans="1:1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92"/>
      <c r="O189" s="92"/>
      <c r="P189" s="92"/>
    </row>
    <row r="190" spans="1:16" ht="15.75">
      <c r="A190" s="1" t="s">
        <v>285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93"/>
      <c r="O190" s="93"/>
      <c r="P190" s="93"/>
    </row>
    <row r="191" spans="1:16" ht="15.75">
      <c r="A191" s="1" t="s">
        <v>1314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93"/>
      <c r="O191" s="93"/>
      <c r="P191" s="93"/>
    </row>
    <row r="192" spans="1:16" ht="15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94"/>
      <c r="O192" s="94"/>
      <c r="P192" s="94"/>
    </row>
    <row r="193" spans="1:16" ht="15.75">
      <c r="A193" s="192"/>
      <c r="B193" s="192"/>
      <c r="C193" s="192"/>
      <c r="D193" s="192"/>
      <c r="E193" s="192"/>
      <c r="F193" s="192"/>
      <c r="G193" s="192"/>
      <c r="H193" s="196" t="s">
        <v>1254</v>
      </c>
      <c r="I193" s="26"/>
      <c r="J193" s="26"/>
      <c r="K193" s="26"/>
      <c r="L193" s="26"/>
      <c r="M193" s="26"/>
      <c r="N193" s="193"/>
      <c r="O193" s="200"/>
      <c r="P193" s="195" t="s">
        <v>321</v>
      </c>
    </row>
    <row r="194" spans="1:16" ht="50.25" customHeight="1">
      <c r="A194" s="14"/>
      <c r="B194" s="15" t="s">
        <v>696</v>
      </c>
      <c r="C194" s="15" t="s">
        <v>286</v>
      </c>
      <c r="D194" s="15" t="s">
        <v>278</v>
      </c>
      <c r="E194" s="15" t="s">
        <v>279</v>
      </c>
      <c r="F194" s="15" t="s">
        <v>288</v>
      </c>
      <c r="G194" s="15" t="s">
        <v>289</v>
      </c>
      <c r="H194" s="16" t="s">
        <v>290</v>
      </c>
      <c r="I194" s="15" t="s">
        <v>291</v>
      </c>
      <c r="J194" s="15" t="s">
        <v>292</v>
      </c>
      <c r="K194" s="15" t="s">
        <v>283</v>
      </c>
      <c r="L194" s="15" t="s">
        <v>293</v>
      </c>
      <c r="M194" s="15" t="s">
        <v>294</v>
      </c>
      <c r="N194" s="191" t="s">
        <v>1320</v>
      </c>
      <c r="O194" s="197" t="s">
        <v>1321</v>
      </c>
      <c r="P194" s="191" t="s">
        <v>295</v>
      </c>
    </row>
    <row r="195" spans="1:16" ht="15" customHeight="1">
      <c r="A195" s="10" t="s">
        <v>296</v>
      </c>
      <c r="B195" s="6">
        <f>+GETPIVOTDATA(" Old-Less Than 2-Year",'Pivot Table for 1-11'!$A$3,"SREB Type",5,"SREB Type2","Four-Year")+GETPIVOTDATA(" Old-2 But Less Than 4-Year",'Pivot Table for 1-11'!$A$3,"SREB Type",5,"SREB Type2","Four-Year")</f>
        <v>202</v>
      </c>
      <c r="C195" s="6">
        <f>+GETPIVOTDATA(" Old-Associate's",'Pivot Table for 1-11'!$A$3,"SREB Type",5,"SREB Type2","Four-Year")</f>
        <v>1077</v>
      </c>
      <c r="D195" s="6">
        <f>+GETPIVOTDATA(" Old-Bachelor's",'Pivot Table for 1-11'!$A$3,"SREB Type",5,"SREB Type2","Four-Year")</f>
        <v>17372</v>
      </c>
      <c r="E195" s="6">
        <f>+GETPIVOTDATA(" Old-Post-Bachelor's",'Pivot Table for 1-11'!$A$3,"SREB Type",5,"SREB Type2","Four-Year")</f>
        <v>31</v>
      </c>
      <c r="F195" s="6">
        <f>+GETPIVOTDATA(" Old-Total Master's#",'Pivot Table for 1-11'!$A$3,"SREB Type",5,"SREB Type2","Four-Year")</f>
        <v>3973</v>
      </c>
      <c r="G195" s="6">
        <f>+GETPIVOTDATA(" Old-Total Doctorates#",'Pivot Table for 1-11'!$A$3,"SREB Type",5,"SREB Type2","Four-Year")</f>
        <v>13</v>
      </c>
      <c r="H195" s="17">
        <f>+GETPIVOTDATA(" Old-Law",'Pivot Table for 1-11'!$A$3,"SREB Type",5,"SREB Type2","Four-Year")</f>
        <v>0</v>
      </c>
      <c r="I195" s="6">
        <f>+GETPIVOTDATA(" Old-Medicine",'Pivot Table for 1-11'!$A$3,"SREB Type",5,"SREB Type2","Four-Year")</f>
        <v>0</v>
      </c>
      <c r="J195" s="6">
        <f>+GETPIVOTDATA(" Old-Dentistry",'Pivot Table for 1-11'!$A$3,"SREB Type",5,"SREB Type2","Four-Year")</f>
        <v>0</v>
      </c>
      <c r="K195" s="6">
        <f>+GETPIVOTDATA(" Old-Pharmacy",'Pivot Table for 1-11'!$A$3,"SREB Type",5,"SREB Type2","Four-Year")</f>
        <v>85</v>
      </c>
      <c r="L195" s="6">
        <f>+GETPIVOTDATA(" Old-Optometry",'Pivot Table for 1-11'!$A$3,"SREB Type",5,"SREB Type2","Four-Year")</f>
        <v>0</v>
      </c>
      <c r="M195" s="6">
        <f>+GETPIVOTDATA(" Old-Osteopathic Medicine",'Pivot Table for 1-11'!$A$3,"SREB Type",5,"SREB Type2","Four-Year")</f>
        <v>0</v>
      </c>
      <c r="N195" s="181">
        <f>+GETPIVOTDATA(" Old-Veterinary Medicine",'Pivot Table for 1-11'!$A$3,"SREB Type",5,"SREB Type2","Four-Year")</f>
        <v>0</v>
      </c>
      <c r="O195" s="198">
        <f>+GETPIVOTDATA(" Old-Oth PP",'Pivot Table for 1-11'!$A$3,"SREB Type",5,"SREB Type2","Four-Year")</f>
        <v>0</v>
      </c>
      <c r="P195" s="182">
        <f>SUM(B195:O195)</f>
        <v>22753</v>
      </c>
    </row>
    <row r="196" spans="1:16" ht="15" customHeight="1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181"/>
      <c r="O196" s="198"/>
      <c r="P196" s="182"/>
    </row>
    <row r="197" spans="1:16" ht="15" customHeight="1">
      <c r="A197" s="5" t="s">
        <v>297</v>
      </c>
      <c r="B197" s="6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6">
        <f>+GETPIVOTDATA(" Old-Associate's",'Pivot Table for 1-11'!$A$3,"State","AL","SREB Type",5,"SREB Type2","Four-Year")</f>
        <v>49</v>
      </c>
      <c r="D197" s="6">
        <f>+GETPIVOTDATA(" Old-Bachelor's",'Pivot Table for 1-11'!$A$3,"State","AL","SREB Type",5,"SREB Type2","Four-Year")</f>
        <v>615</v>
      </c>
      <c r="E197" s="6">
        <f>+GETPIVOTDATA(" Old-Post-Bachelor's",'Pivot Table for 1-11'!$A$3,"State","AL","SREB Type",5,"SREB Type2","Four-Year")</f>
        <v>0</v>
      </c>
      <c r="F197" s="6">
        <f>+GETPIVOTDATA(" Old-Total Master's#",'Pivot Table for 1-11'!$A$3,"State","AL","SREB Type",5,"SREB Type2","Four-Year")</f>
        <v>810</v>
      </c>
      <c r="G197" s="6">
        <f>+GETPIVOTDATA(" Old-Total Doctorates#",'Pivot Table for 1-11'!$A$3,"State","AL","SREB Type",5,"SREB Type2","Four-Year")</f>
        <v>0</v>
      </c>
      <c r="H197" s="17">
        <f>+GETPIVOTDATA(" Old-Law",'Pivot Table for 1-11'!$A$3,"State","AL","SREB Type",5,"SREB Type2","Four-Year")</f>
        <v>0</v>
      </c>
      <c r="I197" s="6">
        <f>+GETPIVOTDATA(" Old-Medicine",'Pivot Table for 1-11'!$A$3,"State","AL","SREB Type",5,"SREB Type2","Four-Year")</f>
        <v>0</v>
      </c>
      <c r="J197" s="6">
        <f>+GETPIVOTDATA(" Old-Dentistry",'Pivot Table for 1-11'!$A$3,"State","AL","SREB Type",5,"SREB Type2","Four-Year")</f>
        <v>0</v>
      </c>
      <c r="K197" s="6">
        <f>+GETPIVOTDATA(" Old-Pharmacy",'Pivot Table for 1-11'!$A$3,"State","AL","SREB Type",5,"SREB Type2","Four-Year")</f>
        <v>0</v>
      </c>
      <c r="L197" s="6">
        <f>+GETPIVOTDATA(" Old-Optometry",'Pivot Table for 1-11'!$A$3,"State","AL","SREB Type",5,"SREB Type2","Four-Year")</f>
        <v>0</v>
      </c>
      <c r="M197" s="6">
        <f>+GETPIVOTDATA(" Old-Osteopathic Medicine",'Pivot Table for 1-11'!$A$3,"State","AL","SREB Type",5,"SREB Type2","Four-Year")</f>
        <v>0</v>
      </c>
      <c r="N197" s="181">
        <f>+GETPIVOTDATA(" Old-Veterinary Medicine",'Pivot Table for 1-11'!$A$3,"State","AL","SREB Type",5,"SREB Type2","Four-Year")</f>
        <v>0</v>
      </c>
      <c r="O197" s="198">
        <f>+GETPIVOTDATA(" Old-Oth PP",'Pivot Table for 1-11'!$A$3,"State","AL","SREB Type",5,"SREB Type2","Four-Year")</f>
        <v>0</v>
      </c>
      <c r="P197" s="182">
        <f t="shared" ref="P197:P215" si="6">SUM(B197:O197)</f>
        <v>1474</v>
      </c>
    </row>
    <row r="198" spans="1:16" ht="15" customHeight="1">
      <c r="A198" s="5" t="s">
        <v>298</v>
      </c>
      <c r="B198" s="6">
        <f>+GETPIVOTDATA(" Old-Less Than 2-Year",'Pivot Table for 1-11'!$A$3,"State","AR","SREB Type",5,"SREB Type2","Four-Year")+GETPIVOTDATA(" Old-2 But Less Than 4-Year",'Pivot Table for 1-11'!$A$3,"State","AR","SREB Type",5,"SREB Type2","Four-Year")</f>
        <v>199</v>
      </c>
      <c r="C198" s="6">
        <f>+GETPIVOTDATA(" Old-Associate's",'Pivot Table for 1-11'!$A$3,"State","AR","SREB Type",5,"SREB Type2","Four-Year")</f>
        <v>356</v>
      </c>
      <c r="D198" s="6">
        <f>+GETPIVOTDATA(" Old-Bachelor's",'Pivot Table for 1-11'!$A$3,"State","AR","SREB Type",5,"SREB Type2","Four-Year")</f>
        <v>721</v>
      </c>
      <c r="E198" s="6">
        <f>+GETPIVOTDATA(" Old-Post-Bachelor's",'Pivot Table for 1-11'!$A$3,"State","AR","SREB Type",5,"SREB Type2","Four-Year")</f>
        <v>0</v>
      </c>
      <c r="F198" s="6">
        <f>+GETPIVOTDATA(" Old-Total Master's#",'Pivot Table for 1-11'!$A$3,"State","AR","SREB Type",5,"SREB Type2","Four-Year")</f>
        <v>133</v>
      </c>
      <c r="G198" s="6">
        <f>+GETPIVOTDATA(" Old-Total Doctorates#",'Pivot Table for 1-11'!$A$3,"State","AR","SREB Type",5,"SREB Type2","Four-Year")</f>
        <v>0</v>
      </c>
      <c r="H198" s="17">
        <f>+GETPIVOTDATA(" Old-Law",'Pivot Table for 1-11'!$A$3,"State","AR","SREB Type",5,"SREB Type2","Four-Year")</f>
        <v>0</v>
      </c>
      <c r="I198" s="6">
        <f>+GETPIVOTDATA(" Old-Medicine",'Pivot Table for 1-11'!$A$3,"State","AR","SREB Type",5,"SREB Type2","Four-Year")</f>
        <v>0</v>
      </c>
      <c r="J198" s="6">
        <f>+GETPIVOTDATA(" Old-Dentistry",'Pivot Table for 1-11'!$A$3,"State","AR","SREB Type",5,"SREB Type2","Four-Year")</f>
        <v>0</v>
      </c>
      <c r="K198" s="6">
        <f>+GETPIVOTDATA(" Old-Pharmacy",'Pivot Table for 1-11'!$A$3,"State","AR","SREB Type",5,"SREB Type2","Four-Year")</f>
        <v>0</v>
      </c>
      <c r="L198" s="6">
        <f>+GETPIVOTDATA(" Old-Optometry",'Pivot Table for 1-11'!$A$3,"State","AR","SREB Type",5,"SREB Type2","Four-Year")</f>
        <v>0</v>
      </c>
      <c r="M198" s="6">
        <f>+GETPIVOTDATA(" Old-Osteopathic Medicine",'Pivot Table for 1-11'!$A$3,"State","AR","SREB Type",5,"SREB Type2","Four-Year")</f>
        <v>0</v>
      </c>
      <c r="N198" s="181">
        <f>+GETPIVOTDATA(" Old-Veterinary Medicine",'Pivot Table for 1-11'!$A$3,"State","AR","SREB Type",5,"SREB Type2","Four-Year")</f>
        <v>0</v>
      </c>
      <c r="O198" s="198">
        <f>+GETPIVOTDATA(" Old-Oth PP",'Pivot Table for 1-11'!$A$3,"State","AR","SREB Type",5,"SREB Type2","Four-Year")</f>
        <v>0</v>
      </c>
      <c r="P198" s="182">
        <f t="shared" si="6"/>
        <v>1409</v>
      </c>
    </row>
    <row r="199" spans="1:16" ht="15" customHeight="1">
      <c r="A199" s="5" t="s">
        <v>299</v>
      </c>
      <c r="B199" s="6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6">
        <f>+GETPIVOTDATA(" Old-Associate's",'Pivot Table for 1-11'!$A$3,"State","DE","SREB Type",5,"SREB Type2","Four-Year")</f>
        <v>0</v>
      </c>
      <c r="D199" s="6">
        <f>+GETPIVOTDATA(" Old-Bachelor's",'Pivot Table for 1-11'!$A$3,"State","DE","SREB Type",5,"SREB Type2","Four-Year")</f>
        <v>0</v>
      </c>
      <c r="E199" s="6">
        <f>+GETPIVOTDATA(" Old-Post-Bachelor's",'Pivot Table for 1-11'!$A$3,"State","DE","SREB Type",5,"SREB Type2","Four-Year")</f>
        <v>0</v>
      </c>
      <c r="F199" s="6">
        <f>+GETPIVOTDATA(" Old-Total Master's#",'Pivot Table for 1-11'!$A$3,"State","DE","SREB Type",5,"SREB Type2","Four-Year")</f>
        <v>0</v>
      </c>
      <c r="G199" s="6">
        <f>+GETPIVOTDATA(" Old-Total Doctorates#",'Pivot Table for 1-11'!$A$3,"State","DE","SREB Type",5,"SREB Type2","Four-Year")</f>
        <v>0</v>
      </c>
      <c r="H199" s="17">
        <f>+GETPIVOTDATA(" Old-Law",'Pivot Table for 1-11'!$A$3,"State","DE","SREB Type",5,"SREB Type2","Four-Year")</f>
        <v>0</v>
      </c>
      <c r="I199" s="6">
        <f>+GETPIVOTDATA(" Old-Medicine",'Pivot Table for 1-11'!$A$3,"State","DE","SREB Type",5,"SREB Type2","Four-Year")</f>
        <v>0</v>
      </c>
      <c r="J199" s="6">
        <f>+GETPIVOTDATA(" Old-Dentistry",'Pivot Table for 1-11'!$A$3,"State","DE","SREB Type",5,"SREB Type2","Four-Year")</f>
        <v>0</v>
      </c>
      <c r="K199" s="6">
        <f>+GETPIVOTDATA(" Old-Pharmacy",'Pivot Table for 1-11'!$A$3,"State","DE","SREB Type",5,"SREB Type2","Four-Year")</f>
        <v>0</v>
      </c>
      <c r="L199" s="6">
        <f>+GETPIVOTDATA(" Old-Optometry",'Pivot Table for 1-11'!$A$3,"State","DE","SREB Type",5,"SREB Type2","Four-Year")</f>
        <v>0</v>
      </c>
      <c r="M199" s="6">
        <f>+GETPIVOTDATA(" Old-Osteopathic Medicine",'Pivot Table for 1-11'!$A$3,"State","DE","SREB Type",5,"SREB Type2","Four-Year")</f>
        <v>0</v>
      </c>
      <c r="N199" s="181">
        <f>+GETPIVOTDATA(" Old-Veterinary Medicine",'Pivot Table for 1-11'!$A$3,"State","DE","SREB Type",5,"SREB Type2","Four-Year")</f>
        <v>0</v>
      </c>
      <c r="O199" s="198">
        <f>+GETPIVOTDATA(" Old-Oth PP",'Pivot Table for 1-11'!$A$3,"State","DE","SREB Type",5,"SREB Type2","Four-Year")</f>
        <v>0</v>
      </c>
      <c r="P199" s="182">
        <f t="shared" si="6"/>
        <v>0</v>
      </c>
    </row>
    <row r="200" spans="1:16" ht="15" customHeight="1">
      <c r="A200" s="5" t="s">
        <v>300</v>
      </c>
      <c r="B200" s="6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6">
        <f>+GETPIVOTDATA(" Old-Associate's",'Pivot Table for 1-11'!$A$3,"State","FL","SREB Type",5,"SREB Type2","Four-Year")</f>
        <v>0</v>
      </c>
      <c r="D200" s="6">
        <f>+GETPIVOTDATA(" Old-Bachelor's",'Pivot Table for 1-11'!$A$3,"State","FL","SREB Type",5,"SREB Type2","Four-Year")</f>
        <v>0</v>
      </c>
      <c r="E200" s="6">
        <f>+GETPIVOTDATA(" Old-Post-Bachelor's",'Pivot Table for 1-11'!$A$3,"State","FL","SREB Type",5,"SREB Type2","Four-Year")</f>
        <v>0</v>
      </c>
      <c r="F200" s="6">
        <f>+GETPIVOTDATA(" Old-Total Master's#",'Pivot Table for 1-11'!$A$3,"State","FL","SREB Type",5,"SREB Type2","Four-Year")</f>
        <v>0</v>
      </c>
      <c r="G200" s="6">
        <f>+GETPIVOTDATA(" Old-Total Doctorates#",'Pivot Table for 1-11'!$A$3,"State","FL","SREB Type",5,"SREB Type2","Four-Year")</f>
        <v>0</v>
      </c>
      <c r="H200" s="17">
        <f>+GETPIVOTDATA(" Old-Law",'Pivot Table for 1-11'!$A$3,"State","FL","SREB Type",5,"SREB Type2","Four-Year")</f>
        <v>0</v>
      </c>
      <c r="I200" s="6">
        <f>+GETPIVOTDATA(" Old-Medicine",'Pivot Table for 1-11'!$A$3,"State","FL","SREB Type",5,"SREB Type2","Four-Year")</f>
        <v>0</v>
      </c>
      <c r="J200" s="6">
        <f>+GETPIVOTDATA(" Old-Dentistry",'Pivot Table for 1-11'!$A$3,"State","FL","SREB Type",5,"SREB Type2","Four-Year")</f>
        <v>0</v>
      </c>
      <c r="K200" s="6">
        <f>+GETPIVOTDATA(" Old-Pharmacy",'Pivot Table for 1-11'!$A$3,"State","FL","SREB Type",5,"SREB Type2","Four-Year")</f>
        <v>0</v>
      </c>
      <c r="L200" s="6">
        <f>+GETPIVOTDATA(" Old-Optometry",'Pivot Table for 1-11'!$A$3,"State","FL","SREB Type",5,"SREB Type2","Four-Year")</f>
        <v>0</v>
      </c>
      <c r="M200" s="6">
        <f>+GETPIVOTDATA(" Old-Osteopathic Medicine",'Pivot Table for 1-11'!$A$3,"State","FL","SREB Type",5,"SREB Type2","Four-Year")</f>
        <v>0</v>
      </c>
      <c r="N200" s="181">
        <f>+GETPIVOTDATA(" Old-Veterinary Medicine",'Pivot Table for 1-11'!$A$3,"State","FL","SREB Type",5,"SREB Type2","Four-Year")</f>
        <v>0</v>
      </c>
      <c r="O200" s="198">
        <f>+GETPIVOTDATA(" Old-Oth PP",'Pivot Table for 1-11'!$A$3,"State","FL","SREB Type",5,"SREB Type2","Four-Year")</f>
        <v>0</v>
      </c>
      <c r="P200" s="182">
        <f t="shared" si="6"/>
        <v>0</v>
      </c>
    </row>
    <row r="201" spans="1:16" ht="15" customHeight="1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181"/>
      <c r="O201" s="198"/>
      <c r="P201" s="182">
        <f t="shared" si="6"/>
        <v>0</v>
      </c>
    </row>
    <row r="202" spans="1:16" ht="15" customHeight="1">
      <c r="A202" s="5" t="s">
        <v>301</v>
      </c>
      <c r="B202" s="6">
        <f>+GETPIVOTDATA(" Old-Less Than 2-Year",'Pivot Table for 1-11'!$A$3,"State","GA","SREB Type",5,"SREB Type2","Four-Year")+GETPIVOTDATA(" Old-2 But Less Than 4-Year",'Pivot Table for 1-11'!$A$3,"State","GA","SREB Type",5,"SREB Type2","Four-Year")</f>
        <v>3</v>
      </c>
      <c r="C202" s="6">
        <f>+GETPIVOTDATA(" Old-Associate's",'Pivot Table for 1-11'!$A$3,"State","GA","SREB Type",5,"SREB Type2","Four-Year")</f>
        <v>216</v>
      </c>
      <c r="D202" s="6">
        <f>+GETPIVOTDATA(" Old-Bachelor's",'Pivot Table for 1-11'!$A$3,"State","GA","SREB Type",5,"SREB Type2","Four-Year")</f>
        <v>2269</v>
      </c>
      <c r="E202" s="6">
        <f>+GETPIVOTDATA(" Old-Post-Bachelor's",'Pivot Table for 1-11'!$A$3,"State","GA","SREB Type",5,"SREB Type2","Four-Year")</f>
        <v>1</v>
      </c>
      <c r="F202" s="6">
        <f>+GETPIVOTDATA(" Old-Total Master's#",'Pivot Table for 1-11'!$A$3,"State","GA","SREB Type",5,"SREB Type2","Four-Year")</f>
        <v>771</v>
      </c>
      <c r="G202" s="6">
        <f>+GETPIVOTDATA(" Old-Total Doctorates#",'Pivot Table for 1-11'!$A$3,"State","GA","SREB Type",5,"SREB Type2","Four-Year")</f>
        <v>0</v>
      </c>
      <c r="H202" s="17">
        <f>+GETPIVOTDATA(" Old-Law",'Pivot Table for 1-11'!$A$3,"State","GA","SREB Type",5,"SREB Type2","Four-Year")</f>
        <v>0</v>
      </c>
      <c r="I202" s="6">
        <f>+GETPIVOTDATA(" Old-Medicine",'Pivot Table for 1-11'!$A$3,"State","GA","SREB Type",5,"SREB Type2","Four-Year")</f>
        <v>0</v>
      </c>
      <c r="J202" s="6">
        <f>+GETPIVOTDATA(" Old-Dentistry",'Pivot Table for 1-11'!$A$3,"State","GA","SREB Type",5,"SREB Type2","Four-Year")</f>
        <v>0</v>
      </c>
      <c r="K202" s="6">
        <f>+GETPIVOTDATA(" Old-Pharmacy",'Pivot Table for 1-11'!$A$3,"State","GA","SREB Type",5,"SREB Type2","Four-Year")</f>
        <v>0</v>
      </c>
      <c r="L202" s="6">
        <f>+GETPIVOTDATA(" Old-Optometry",'Pivot Table for 1-11'!$A$3,"State","GA","SREB Type",5,"SREB Type2","Four-Year")</f>
        <v>0</v>
      </c>
      <c r="M202" s="6">
        <f>+GETPIVOTDATA(" Old-Osteopathic Medicine",'Pivot Table for 1-11'!$A$3,"State","GA","SREB Type",5,"SREB Type2","Four-Year")</f>
        <v>0</v>
      </c>
      <c r="N202" s="181">
        <f>+GETPIVOTDATA(" Old-Veterinary Medicine",'Pivot Table for 1-11'!$A$3,"State","GA","SREB Type",5,"SREB Type2","Four-Year")</f>
        <v>0</v>
      </c>
      <c r="O202" s="198">
        <f>+GETPIVOTDATA(" Old-Oth PP",'Pivot Table for 1-11'!$A$3,"State","GA","SREB Type",5,"SREB Type2","Four-Year")</f>
        <v>0</v>
      </c>
      <c r="P202" s="182">
        <f t="shared" si="6"/>
        <v>3260</v>
      </c>
    </row>
    <row r="203" spans="1:16" ht="15" customHeight="1">
      <c r="A203" s="5" t="s">
        <v>302</v>
      </c>
      <c r="B203" s="6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6">
        <f>+GETPIVOTDATA(" Old-Associate's",'Pivot Table for 1-11'!$A$3,"State","KY","SREB Type",5,"SREB Type2","Four-Year")</f>
        <v>37</v>
      </c>
      <c r="D203" s="6">
        <f>+GETPIVOTDATA(" Old-Bachelor's",'Pivot Table for 1-11'!$A$3,"State","KY","SREB Type",5,"SREB Type2","Four-Year")</f>
        <v>231</v>
      </c>
      <c r="E203" s="6">
        <f>+GETPIVOTDATA(" Old-Post-Bachelor's",'Pivot Table for 1-11'!$A$3,"State","KY","SREB Type",5,"SREB Type2","Four-Year")</f>
        <v>0</v>
      </c>
      <c r="F203" s="6">
        <f>+GETPIVOTDATA(" Old-Total Master's#",'Pivot Table for 1-11'!$A$3,"State","KY","SREB Type",5,"SREB Type2","Four-Year")</f>
        <v>47</v>
      </c>
      <c r="G203" s="6">
        <f>+GETPIVOTDATA(" Old-Total Doctorates#",'Pivot Table for 1-11'!$A$3,"State","KY","SREB Type",5,"SREB Type2","Four-Year")</f>
        <v>0</v>
      </c>
      <c r="H203" s="17">
        <f>+GETPIVOTDATA(" Old-Law",'Pivot Table for 1-11'!$A$3,"State","KY","SREB Type",5,"SREB Type2","Four-Year")</f>
        <v>0</v>
      </c>
      <c r="I203" s="6">
        <f>+GETPIVOTDATA(" Old-Medicine",'Pivot Table for 1-11'!$A$3,"State","KY","SREB Type",5,"SREB Type2","Four-Year")</f>
        <v>0</v>
      </c>
      <c r="J203" s="6">
        <f>+GETPIVOTDATA(" Old-Dentistry",'Pivot Table for 1-11'!$A$3,"State","KY","SREB Type",5,"SREB Type2","Four-Year")</f>
        <v>0</v>
      </c>
      <c r="K203" s="6">
        <f>+GETPIVOTDATA(" Old-Pharmacy",'Pivot Table for 1-11'!$A$3,"State","KY","SREB Type",5,"SREB Type2","Four-Year")</f>
        <v>0</v>
      </c>
      <c r="L203" s="6">
        <f>+GETPIVOTDATA(" Old-Optometry",'Pivot Table for 1-11'!$A$3,"State","KY","SREB Type",5,"SREB Type2","Four-Year")</f>
        <v>0</v>
      </c>
      <c r="M203" s="6">
        <f>+GETPIVOTDATA(" Old-Osteopathic Medicine",'Pivot Table for 1-11'!$A$3,"State","KY","SREB Type",5,"SREB Type2","Four-Year")</f>
        <v>0</v>
      </c>
      <c r="N203" s="181">
        <f>+GETPIVOTDATA(" Old-Veterinary Medicine",'Pivot Table for 1-11'!$A$3,"State","KY","SREB Type",5,"SREB Type2","Four-Year")</f>
        <v>0</v>
      </c>
      <c r="O203" s="198">
        <f>+GETPIVOTDATA(" Old-Oth PP",'Pivot Table for 1-11'!$A$3,"State","KY","SREB Type",5,"SREB Type2","Four-Year")</f>
        <v>0</v>
      </c>
      <c r="P203" s="182">
        <f t="shared" si="6"/>
        <v>315</v>
      </c>
    </row>
    <row r="204" spans="1:16" ht="15" customHeight="1">
      <c r="A204" s="5" t="s">
        <v>303</v>
      </c>
      <c r="B204" s="6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6">
        <f>+GETPIVOTDATA(" Old-Associate's",'Pivot Table for 1-11'!$A$3,"State","LA","SREB Type",5,"SREB Type2","Four-Year")</f>
        <v>0</v>
      </c>
      <c r="D204" s="6">
        <f>+GETPIVOTDATA(" Old-Bachelor's",'Pivot Table for 1-11'!$A$3,"State","LA","SREB Type",5,"SREB Type2","Four-Year")</f>
        <v>0</v>
      </c>
      <c r="E204" s="6">
        <f>+GETPIVOTDATA(" Old-Post-Bachelor's",'Pivot Table for 1-11'!$A$3,"State","LA","SREB Type",5,"SREB Type2","Four-Year")</f>
        <v>0</v>
      </c>
      <c r="F204" s="6">
        <f>+GETPIVOTDATA(" Old-Total Master's#",'Pivot Table for 1-11'!$A$3,"State","LA","SREB Type",5,"SREB Type2","Four-Year")</f>
        <v>0</v>
      </c>
      <c r="G204" s="6">
        <f>+GETPIVOTDATA(" Old-Total Doctorates#",'Pivot Table for 1-11'!$A$3,"State","LA","SREB Type",5,"SREB Type2","Four-Year")</f>
        <v>0</v>
      </c>
      <c r="H204" s="17">
        <f>+GETPIVOTDATA(" Old-Law",'Pivot Table for 1-11'!$A$3,"State","LA","SREB Type",5,"SREB Type2","Four-Year")</f>
        <v>0</v>
      </c>
      <c r="I204" s="6">
        <f>+GETPIVOTDATA(" Old-Medicine",'Pivot Table for 1-11'!$A$3,"State","LA","SREB Type",5,"SREB Type2","Four-Year")</f>
        <v>0</v>
      </c>
      <c r="J204" s="6">
        <f>+GETPIVOTDATA(" Old-Dentistry",'Pivot Table for 1-11'!$A$3,"State","LA","SREB Type",5,"SREB Type2","Four-Year")</f>
        <v>0</v>
      </c>
      <c r="K204" s="6">
        <f>+GETPIVOTDATA(" Old-Pharmacy",'Pivot Table for 1-11'!$A$3,"State","LA","SREB Type",5,"SREB Type2","Four-Year")</f>
        <v>0</v>
      </c>
      <c r="L204" s="6">
        <f>+GETPIVOTDATA(" Old-Optometry",'Pivot Table for 1-11'!$A$3,"State","LA","SREB Type",5,"SREB Type2","Four-Year")</f>
        <v>0</v>
      </c>
      <c r="M204" s="6">
        <f>+GETPIVOTDATA(" Old-Osteopathic Medicine",'Pivot Table for 1-11'!$A$3,"State","LA","SREB Type",5,"SREB Type2","Four-Year")</f>
        <v>0</v>
      </c>
      <c r="N204" s="181">
        <f>+GETPIVOTDATA(" Old-Veterinary Medicine",'Pivot Table for 1-11'!$A$3,"State","LA","SREB Type",5,"SREB Type2","Four-Year")</f>
        <v>0</v>
      </c>
      <c r="O204" s="198">
        <f>+GETPIVOTDATA(" Old-Oth PP",'Pivot Table for 1-11'!$A$3,"State","LA","SREB Type",5,"SREB Type2","Four-Year")</f>
        <v>0</v>
      </c>
      <c r="P204" s="182">
        <f t="shared" si="6"/>
        <v>0</v>
      </c>
    </row>
    <row r="205" spans="1:16" ht="15" customHeight="1">
      <c r="A205" s="5" t="s">
        <v>304</v>
      </c>
      <c r="B205" s="6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6">
        <f>+GETPIVOTDATA(" Old-Associate's",'Pivot Table for 1-11'!$A$3,"State","MD","SREB Type",5,"SREB Type2","Four-Year")</f>
        <v>0</v>
      </c>
      <c r="D205" s="6">
        <f>+GETPIVOTDATA(" Old-Bachelor's",'Pivot Table for 1-11'!$A$3,"State","MD","SREB Type",5,"SREB Type2","Four-Year")</f>
        <v>0</v>
      </c>
      <c r="E205" s="6">
        <f>+GETPIVOTDATA(" Old-Post-Bachelor's",'Pivot Table for 1-11'!$A$3,"State","MD","SREB Type",5,"SREB Type2","Four-Year")</f>
        <v>0</v>
      </c>
      <c r="F205" s="6">
        <f>+GETPIVOTDATA(" Old-Total Master's#",'Pivot Table for 1-11'!$A$3,"State","MD","SREB Type",5,"SREB Type2","Four-Year")</f>
        <v>0</v>
      </c>
      <c r="G205" s="6">
        <f>+GETPIVOTDATA(" Old-Total Doctorates#",'Pivot Table for 1-11'!$A$3,"State","MD","SREB Type",5,"SREB Type2","Four-Year")</f>
        <v>0</v>
      </c>
      <c r="H205" s="17">
        <f>+GETPIVOTDATA(" Old-Law",'Pivot Table for 1-11'!$A$3,"State","MD","SREB Type",5,"SREB Type2","Four-Year")</f>
        <v>0</v>
      </c>
      <c r="I205" s="6">
        <f>+GETPIVOTDATA(" Old-Medicine",'Pivot Table for 1-11'!$A$3,"State","MD","SREB Type",5,"SREB Type2","Four-Year")</f>
        <v>0</v>
      </c>
      <c r="J205" s="6">
        <f>+GETPIVOTDATA(" Old-Dentistry",'Pivot Table for 1-11'!$A$3,"State","MD","SREB Type",5,"SREB Type2","Four-Year")</f>
        <v>0</v>
      </c>
      <c r="K205" s="6">
        <f>+GETPIVOTDATA(" Old-Pharmacy",'Pivot Table for 1-11'!$A$3,"State","MD","SREB Type",5,"SREB Type2","Four-Year")</f>
        <v>0</v>
      </c>
      <c r="L205" s="6">
        <f>+GETPIVOTDATA(" Old-Optometry",'Pivot Table for 1-11'!$A$3,"State","MD","SREB Type",5,"SREB Type2","Four-Year")</f>
        <v>0</v>
      </c>
      <c r="M205" s="6">
        <f>+GETPIVOTDATA(" Old-Osteopathic Medicine",'Pivot Table for 1-11'!$A$3,"State","MD","SREB Type",5,"SREB Type2","Four-Year")</f>
        <v>0</v>
      </c>
      <c r="N205" s="181">
        <f>+GETPIVOTDATA(" Old-Veterinary Medicine",'Pivot Table for 1-11'!$A$3,"State","MD","SREB Type",5,"SREB Type2","Four-Year")</f>
        <v>0</v>
      </c>
      <c r="O205" s="198">
        <f>+GETPIVOTDATA(" Old-Oth PP",'Pivot Table for 1-11'!$A$3,"State","MD","SREB Type",5,"SREB Type2","Four-Year")</f>
        <v>0</v>
      </c>
      <c r="P205" s="182">
        <f t="shared" si="6"/>
        <v>0</v>
      </c>
    </row>
    <row r="206" spans="1:16" ht="15" customHeight="1">
      <c r="A206" s="5"/>
      <c r="B206" s="6">
        <f>+GETPIVOTDATA(" Old-Less Than 2-Year",'Pivot Table for 1-11'!$A$3,"State","AR","SREB Type",5,"SREB Type2","Four-Year")+GETPIVOTDATA(" Old-2 But Less Than 4-Year",'Pivot Table for 1-11'!$A$3,"State","AR","SREB Type",5,"SREB Type2","Four-Year")</f>
        <v>199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181"/>
      <c r="O206" s="198"/>
      <c r="P206" s="182">
        <f t="shared" si="6"/>
        <v>199</v>
      </c>
    </row>
    <row r="207" spans="1:16" ht="15" customHeight="1">
      <c r="A207" s="5" t="s">
        <v>305</v>
      </c>
      <c r="B207" s="6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6">
        <f>+GETPIVOTDATA(" Old-Associate's",'Pivot Table for 1-11'!$A$3,"State","MS","SREB Type",5,"SREB Type2","Four-Year")</f>
        <v>40</v>
      </c>
      <c r="D207" s="6">
        <f>+GETPIVOTDATA(" Old-Bachelor's",'Pivot Table for 1-11'!$A$3,"State","MS","SREB Type",5,"SREB Type2","Four-Year")</f>
        <v>356</v>
      </c>
      <c r="E207" s="6">
        <f>+GETPIVOTDATA(" Old-Post-Bachelor's",'Pivot Table for 1-11'!$A$3,"State","MS","SREB Type",5,"SREB Type2","Four-Year")</f>
        <v>0</v>
      </c>
      <c r="F207" s="6">
        <f>+GETPIVOTDATA(" Old-Total Master's#",'Pivot Table for 1-11'!$A$3,"State","MS","SREB Type",5,"SREB Type2","Four-Year")</f>
        <v>73</v>
      </c>
      <c r="G207" s="6">
        <f>+GETPIVOTDATA(" Old-Total Doctorates#",'Pivot Table for 1-11'!$A$3,"State","MS","SREB Type",5,"SREB Type2","Four-Year")</f>
        <v>0</v>
      </c>
      <c r="H207" s="17">
        <f>+GETPIVOTDATA(" Old-Law",'Pivot Table for 1-11'!$A$3,"State","MS","SREB Type",5,"SREB Type2","Four-Year")</f>
        <v>0</v>
      </c>
      <c r="I207" s="6">
        <f>+GETPIVOTDATA(" Old-Medicine",'Pivot Table for 1-11'!$A$3,"State","MS","SREB Type",5,"SREB Type2","Four-Year")</f>
        <v>0</v>
      </c>
      <c r="J207" s="6">
        <f>+GETPIVOTDATA(" Old-Dentistry",'Pivot Table for 1-11'!$A$3,"State","MS","SREB Type",5,"SREB Type2","Four-Year")</f>
        <v>0</v>
      </c>
      <c r="K207" s="6">
        <f>+GETPIVOTDATA(" Old-Pharmacy",'Pivot Table for 1-11'!$A$3,"State","MS","SREB Type",5,"SREB Type2","Four-Year")</f>
        <v>0</v>
      </c>
      <c r="L207" s="6">
        <f>+GETPIVOTDATA(" Old-Optometry",'Pivot Table for 1-11'!$A$3,"State","MS","SREB Type",5,"SREB Type2","Four-Year")</f>
        <v>0</v>
      </c>
      <c r="M207" s="6">
        <f>+GETPIVOTDATA(" Old-Osteopathic Medicine",'Pivot Table for 1-11'!$A$3,"State","MS","SREB Type",5,"SREB Type2","Four-Year")</f>
        <v>0</v>
      </c>
      <c r="N207" s="181">
        <f>+GETPIVOTDATA(" Old-Veterinary Medicine",'Pivot Table for 1-11'!$A$3,"State","MS","SREB Type",5,"SREB Type2","Four-Year")</f>
        <v>0</v>
      </c>
      <c r="O207" s="198">
        <f>+GETPIVOTDATA(" Old-Oth PP",'Pivot Table for 1-11'!$A$3,"State","MS","SREB Type",5,"SREB Type2","Four-Year")</f>
        <v>0</v>
      </c>
      <c r="P207" s="182">
        <f t="shared" si="6"/>
        <v>469</v>
      </c>
    </row>
    <row r="208" spans="1:16" ht="15" customHeight="1">
      <c r="A208" s="5" t="s">
        <v>306</v>
      </c>
      <c r="B208" s="6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6">
        <f>+GETPIVOTDATA(" Old-Associate's",'Pivot Table for 1-11'!$A$3,"State","NC","SREB Type",5,"SREB Type2","Four-Year")</f>
        <v>0</v>
      </c>
      <c r="D208" s="6">
        <f>+GETPIVOTDATA(" Old-Bachelor's",'Pivot Table for 1-11'!$A$3,"State","NC","SREB Type",5,"SREB Type2","Four-Year")</f>
        <v>1554</v>
      </c>
      <c r="E208" s="6">
        <f>+GETPIVOTDATA(" Old-Post-Bachelor's",'Pivot Table for 1-11'!$A$3,"State","NC","SREB Type",5,"SREB Type2","Four-Year")</f>
        <v>0</v>
      </c>
      <c r="F208" s="6">
        <f>+GETPIVOTDATA(" Old-Total Master's#",'Pivot Table for 1-11'!$A$3,"State","NC","SREB Type",5,"SREB Type2","Four-Year")</f>
        <v>310</v>
      </c>
      <c r="G208" s="6">
        <f>+GETPIVOTDATA(" Old-Total Doctorates#",'Pivot Table for 1-11'!$A$3,"State","NC","SREB Type",5,"SREB Type2","Four-Year")</f>
        <v>0</v>
      </c>
      <c r="H208" s="17">
        <f>+GETPIVOTDATA(" Old-Law",'Pivot Table for 1-11'!$A$3,"State","NC","SREB Type",5,"SREB Type2","Four-Year")</f>
        <v>0</v>
      </c>
      <c r="I208" s="6">
        <f>+GETPIVOTDATA(" Old-Medicine",'Pivot Table for 1-11'!$A$3,"State","NC","SREB Type",5,"SREB Type2","Four-Year")</f>
        <v>0</v>
      </c>
      <c r="J208" s="6">
        <f>+GETPIVOTDATA(" Old-Dentistry",'Pivot Table for 1-11'!$A$3,"State","NC","SREB Type",5,"SREB Type2","Four-Year")</f>
        <v>0</v>
      </c>
      <c r="K208" s="6">
        <f>+GETPIVOTDATA(" Old-Pharmacy",'Pivot Table for 1-11'!$A$3,"State","NC","SREB Type",5,"SREB Type2","Four-Year")</f>
        <v>0</v>
      </c>
      <c r="L208" s="6">
        <f>+GETPIVOTDATA(" Old-Optometry",'Pivot Table for 1-11'!$A$3,"State","NC","SREB Type",5,"SREB Type2","Four-Year")</f>
        <v>0</v>
      </c>
      <c r="M208" s="6">
        <f>+GETPIVOTDATA(" Old-Osteopathic Medicine",'Pivot Table for 1-11'!$A$3,"State","NC","SREB Type",5,"SREB Type2","Four-Year")</f>
        <v>0</v>
      </c>
      <c r="N208" s="181">
        <f>+GETPIVOTDATA(" Old-Veterinary Medicine",'Pivot Table for 1-11'!$A$3,"State","NC","SREB Type",5,"SREB Type2","Four-Year")</f>
        <v>0</v>
      </c>
      <c r="O208" s="198">
        <f>+GETPIVOTDATA(" Old-Oth PP",'Pivot Table for 1-11'!$A$3,"State","NC","SREB Type",5,"SREB Type2","Four-Year")</f>
        <v>0</v>
      </c>
      <c r="P208" s="182">
        <f t="shared" si="6"/>
        <v>1864</v>
      </c>
    </row>
    <row r="209" spans="1:16" ht="15" customHeight="1">
      <c r="A209" s="5" t="s">
        <v>307</v>
      </c>
      <c r="B209" s="6">
        <f>+GETPIVOTDATA(" Old-Less Than 2-Year",'Pivot Table for 1-11'!$A$3,"State","OK","SREB Type",5,"SREB Type2","Four-Year")+GETPIVOTDATA(" Old-2 But Less Than 4-Year",'Pivot Table for 1-11'!$A$3,"State","OK","SREB Type",5,"SREB Type2","Four-Year")</f>
        <v>0</v>
      </c>
      <c r="C209" s="6">
        <f>+GETPIVOTDATA(" Old-Associate's",'Pivot Table for 1-11'!$A$3,"State","OK","SREB Type",5,"SREB Type2","Four-Year")</f>
        <v>301</v>
      </c>
      <c r="D209" s="6">
        <f>+GETPIVOTDATA(" Old-Bachelor's",'Pivot Table for 1-11'!$A$3,"State","OK","SREB Type",5,"SREB Type2","Four-Year")</f>
        <v>3031</v>
      </c>
      <c r="E209" s="6">
        <f>+GETPIVOTDATA(" Old-Post-Bachelor's",'Pivot Table for 1-11'!$A$3,"State","OK","SREB Type",5,"SREB Type2","Four-Year")</f>
        <v>0</v>
      </c>
      <c r="F209" s="6">
        <f>+GETPIVOTDATA(" Old-Total Master's#",'Pivot Table for 1-11'!$A$3,"State","OK","SREB Type",5,"SREB Type2","Four-Year")</f>
        <v>788</v>
      </c>
      <c r="G209" s="6">
        <f>+GETPIVOTDATA(" Old-Total Doctorates#",'Pivot Table for 1-11'!$A$3,"State","OK","SREB Type",5,"SREB Type2","Four-Year")</f>
        <v>0</v>
      </c>
      <c r="H209" s="17">
        <f>+GETPIVOTDATA(" Old-Law",'Pivot Table for 1-11'!$A$3,"State","OK","SREB Type",5,"SREB Type2","Four-Year")</f>
        <v>0</v>
      </c>
      <c r="I209" s="6">
        <f>+GETPIVOTDATA(" Old-Medicine",'Pivot Table for 1-11'!$A$3,"State","OK","SREB Type",5,"SREB Type2","Four-Year")</f>
        <v>0</v>
      </c>
      <c r="J209" s="6">
        <f>+GETPIVOTDATA(" Old-Dentistry",'Pivot Table for 1-11'!$A$3,"State","OK","SREB Type",5,"SREB Type2","Four-Year")</f>
        <v>0</v>
      </c>
      <c r="K209" s="6">
        <f>+GETPIVOTDATA(" Old-Pharmacy",'Pivot Table for 1-11'!$A$3,"State","OK","SREB Type",5,"SREB Type2","Four-Year")</f>
        <v>85</v>
      </c>
      <c r="L209" s="6">
        <f>+GETPIVOTDATA(" Old-Optometry",'Pivot Table for 1-11'!$A$3,"State","OK","SREB Type",5,"SREB Type2","Four-Year")</f>
        <v>0</v>
      </c>
      <c r="M209" s="6">
        <f>+GETPIVOTDATA(" Old-Osteopathic Medicine",'Pivot Table for 1-11'!$A$3,"State","OK","SREB Type",5,"SREB Type2","Four-Year")</f>
        <v>0</v>
      </c>
      <c r="N209" s="181">
        <f>+GETPIVOTDATA(" Old-Veterinary Medicine",'Pivot Table for 1-11'!$A$3,"State","OK","SREB Type",5,"SREB Type2","Four-Year")</f>
        <v>0</v>
      </c>
      <c r="O209" s="198">
        <f>+GETPIVOTDATA(" Old-Oth PP",'Pivot Table for 1-11'!$A$3,"State","OK","SREB Type",5,"SREB Type2","Four-Year")</f>
        <v>0</v>
      </c>
      <c r="P209" s="182">
        <f t="shared" si="6"/>
        <v>4205</v>
      </c>
    </row>
    <row r="210" spans="1:16" ht="15" customHeight="1">
      <c r="A210" s="5" t="s">
        <v>308</v>
      </c>
      <c r="B210" s="6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6">
        <f>+GETPIVOTDATA(" Old-Associate's",'Pivot Table for 1-11'!$A$3,"State","SC","SREB Type",5,"SREB Type2","Four-Year")</f>
        <v>0</v>
      </c>
      <c r="D210" s="6">
        <f>+GETPIVOTDATA(" Old-Bachelor's",'Pivot Table for 1-11'!$A$3,"State","SC","SREB Type",5,"SREB Type2","Four-Year")</f>
        <v>2131</v>
      </c>
      <c r="E210" s="6">
        <f>+GETPIVOTDATA(" Old-Post-Bachelor's",'Pivot Table for 1-11'!$A$3,"State","SC","SREB Type",5,"SREB Type2","Four-Year")</f>
        <v>0</v>
      </c>
      <c r="F210" s="6">
        <f>+GETPIVOTDATA(" Old-Total Master's#",'Pivot Table for 1-11'!$A$3,"State","SC","SREB Type",5,"SREB Type2","Four-Year")</f>
        <v>328</v>
      </c>
      <c r="G210" s="6">
        <f>+GETPIVOTDATA(" Old-Total Doctorates#",'Pivot Table for 1-11'!$A$3,"State","SC","SREB Type",5,"SREB Type2","Four-Year")</f>
        <v>13</v>
      </c>
      <c r="H210" s="17">
        <f>+GETPIVOTDATA(" Old-Law",'Pivot Table for 1-11'!$A$3,"State","SC","SREB Type",5,"SREB Type2","Four-Year")</f>
        <v>0</v>
      </c>
      <c r="I210" s="6">
        <f>+GETPIVOTDATA(" Old-Medicine",'Pivot Table for 1-11'!$A$3,"State","SC","SREB Type",5,"SREB Type2","Four-Year")</f>
        <v>0</v>
      </c>
      <c r="J210" s="6">
        <f>+GETPIVOTDATA(" Old-Dentistry",'Pivot Table for 1-11'!$A$3,"State","SC","SREB Type",5,"SREB Type2","Four-Year")</f>
        <v>0</v>
      </c>
      <c r="K210" s="6">
        <f>+GETPIVOTDATA(" Old-Pharmacy",'Pivot Table for 1-11'!$A$3,"State","SC","SREB Type",5,"SREB Type2","Four-Year")</f>
        <v>0</v>
      </c>
      <c r="L210" s="6">
        <f>+GETPIVOTDATA(" Old-Optometry",'Pivot Table for 1-11'!$A$3,"State","SC","SREB Type",5,"SREB Type2","Four-Year")</f>
        <v>0</v>
      </c>
      <c r="M210" s="6">
        <f>+GETPIVOTDATA(" Old-Osteopathic Medicine",'Pivot Table for 1-11'!$A$3,"State","SC","SREB Type",5,"SREB Type2","Four-Year")</f>
        <v>0</v>
      </c>
      <c r="N210" s="181">
        <f>+GETPIVOTDATA(" Old-Veterinary Medicine",'Pivot Table for 1-11'!$A$3,"State","SC","SREB Type",5,"SREB Type2","Four-Year")</f>
        <v>0</v>
      </c>
      <c r="O210" s="198">
        <f>+GETPIVOTDATA(" Old-Oth PP",'Pivot Table for 1-11'!$A$3,"State","SC","SREB Type",5,"SREB Type2","Four-Year")</f>
        <v>0</v>
      </c>
      <c r="P210" s="182">
        <f t="shared" si="6"/>
        <v>2472</v>
      </c>
    </row>
    <row r="211" spans="1:16" ht="15" customHeight="1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181"/>
      <c r="O211" s="198"/>
      <c r="P211" s="182"/>
    </row>
    <row r="212" spans="1:16" ht="15" customHeight="1">
      <c r="A212" s="5" t="s">
        <v>309</v>
      </c>
      <c r="B212" s="6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6">
        <f>+GETPIVOTDATA(" Old-Associate's",'Pivot Table for 1-11'!$A$3,"State","TN","SREB Type",5,"SREB Type2","Four-Year")</f>
        <v>0</v>
      </c>
      <c r="D212" s="6">
        <f>+GETPIVOTDATA(" Old-Bachelor's",'Pivot Table for 1-11'!$A$3,"State","TN","SREB Type",5,"SREB Type2","Four-Year")</f>
        <v>998</v>
      </c>
      <c r="E212" s="6">
        <f>+GETPIVOTDATA(" Old-Post-Bachelor's",'Pivot Table for 1-11'!$A$3,"State","TN","SREB Type",5,"SREB Type2","Four-Year")</f>
        <v>0</v>
      </c>
      <c r="F212" s="6">
        <f>+GETPIVOTDATA(" Old-Total Master's#",'Pivot Table for 1-11'!$A$3,"State","TN","SREB Type",5,"SREB Type2","Four-Year")</f>
        <v>140</v>
      </c>
      <c r="G212" s="6">
        <f>+GETPIVOTDATA(" Old-Total Doctorates#",'Pivot Table for 1-11'!$A$3,"State","TN","SREB Type",5,"SREB Type2","Four-Year")</f>
        <v>0</v>
      </c>
      <c r="H212" s="17">
        <f>+GETPIVOTDATA(" Old-Law",'Pivot Table for 1-11'!$A$3,"State","TN","SREB Type",5,"SREB Type2","Four-Year")</f>
        <v>0</v>
      </c>
      <c r="I212" s="6">
        <f>+GETPIVOTDATA(" Old-Medicine",'Pivot Table for 1-11'!$A$3,"State","TN","SREB Type",5,"SREB Type2","Four-Year")</f>
        <v>0</v>
      </c>
      <c r="J212" s="6">
        <f>+GETPIVOTDATA(" Old-Dentistry",'Pivot Table for 1-11'!$A$3,"State","TN","SREB Type",5,"SREB Type2","Four-Year")</f>
        <v>0</v>
      </c>
      <c r="K212" s="6">
        <f>+GETPIVOTDATA(" Old-Pharmacy",'Pivot Table for 1-11'!$A$3,"State","TN","SREB Type",5,"SREB Type2","Four-Year")</f>
        <v>0</v>
      </c>
      <c r="L212" s="6">
        <f>+GETPIVOTDATA(" Old-Optometry",'Pivot Table for 1-11'!$A$3,"State","TN","SREB Type",5,"SREB Type2","Four-Year")</f>
        <v>0</v>
      </c>
      <c r="M212" s="6">
        <f>+GETPIVOTDATA(" Old-Osteopathic Medicine",'Pivot Table for 1-11'!$A$3,"State","TN","SREB Type",5,"SREB Type2","Four-Year")</f>
        <v>0</v>
      </c>
      <c r="N212" s="181">
        <f>+GETPIVOTDATA(" Old-Veterinary Medicine",'Pivot Table for 1-11'!$A$3,"State","TN","SREB Type",5,"SREB Type2","Four-Year")</f>
        <v>0</v>
      </c>
      <c r="O212" s="198">
        <f>+GETPIVOTDATA(" Old-Oth PP",'Pivot Table for 1-11'!$A$3,"State","TN","SREB Type",5,"SREB Type2","Four-Year")</f>
        <v>0</v>
      </c>
      <c r="P212" s="182">
        <f t="shared" si="6"/>
        <v>1138</v>
      </c>
    </row>
    <row r="213" spans="1:16" ht="15" customHeight="1">
      <c r="A213" s="5" t="s">
        <v>310</v>
      </c>
      <c r="B213" s="6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6">
        <f>+GETPIVOTDATA(" Old-Associate's",'Pivot Table for 1-11'!$A$3,"State","TX","SREB Type",5,"SREB Type2","Four-Year")</f>
        <v>0</v>
      </c>
      <c r="D213" s="6">
        <f>+GETPIVOTDATA(" Old-Bachelor's",'Pivot Table for 1-11'!$A$3,"State","TX","SREB Type",5,"SREB Type2","Four-Year")</f>
        <v>2201</v>
      </c>
      <c r="E213" s="6">
        <f>+GETPIVOTDATA(" Old-Post-Bachelor's",'Pivot Table for 1-11'!$A$3,"State","TX","SREB Type",5,"SREB Type2","Four-Year")</f>
        <v>0</v>
      </c>
      <c r="F213" s="6">
        <f>+GETPIVOTDATA(" Old-Total Master's#",'Pivot Table for 1-11'!$A$3,"State","TX","SREB Type",5,"SREB Type2","Four-Year")</f>
        <v>85</v>
      </c>
      <c r="G213" s="6">
        <f>+GETPIVOTDATA(" Old-Total Doctorates#",'Pivot Table for 1-11'!$A$3,"State","TX","SREB Type",5,"SREB Type2","Four-Year")</f>
        <v>0</v>
      </c>
      <c r="H213" s="17">
        <f>+GETPIVOTDATA(" Old-Law",'Pivot Table for 1-11'!$A$3,"State","TX","SREB Type",5,"SREB Type2","Four-Year")</f>
        <v>0</v>
      </c>
      <c r="I213" s="6">
        <f>+GETPIVOTDATA(" Old-Medicine",'Pivot Table for 1-11'!$A$3,"State","TX","SREB Type",5,"SREB Type2","Four-Year")</f>
        <v>0</v>
      </c>
      <c r="J213" s="6">
        <f>+GETPIVOTDATA(" Old-Dentistry",'Pivot Table for 1-11'!$A$3,"State","TX","SREB Type",5,"SREB Type2","Four-Year")</f>
        <v>0</v>
      </c>
      <c r="K213" s="6">
        <f>+GETPIVOTDATA(" Old-Pharmacy",'Pivot Table for 1-11'!$A$3,"State","TX","SREB Type",5,"SREB Type2","Four-Year")</f>
        <v>0</v>
      </c>
      <c r="L213" s="6">
        <f>+GETPIVOTDATA(" Old-Optometry",'Pivot Table for 1-11'!$A$3,"State","TX","SREB Type",5,"SREB Type2","Four-Year")</f>
        <v>0</v>
      </c>
      <c r="M213" s="6">
        <f>+GETPIVOTDATA(" Old-Osteopathic Medicine",'Pivot Table for 1-11'!$A$3,"State","TX","SREB Type",5,"SREB Type2","Four-Year")</f>
        <v>0</v>
      </c>
      <c r="N213" s="181">
        <f>+GETPIVOTDATA(" Old-Veterinary Medicine",'Pivot Table for 1-11'!$A$3,"State","TX","SREB Type",5,"SREB Type2","Four-Year")</f>
        <v>0</v>
      </c>
      <c r="O213" s="198">
        <f>+GETPIVOTDATA(" Old-Oth PP",'Pivot Table for 1-11'!$A$3,"State","TX","SREB Type",5,"SREB Type2","Four-Year")</f>
        <v>0</v>
      </c>
      <c r="P213" s="182">
        <f t="shared" si="6"/>
        <v>2286</v>
      </c>
    </row>
    <row r="214" spans="1:16" ht="15" customHeight="1">
      <c r="A214" s="5" t="s">
        <v>311</v>
      </c>
      <c r="B214" s="6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6">
        <f>+GETPIVOTDATA(" Old-Associate's",'Pivot Table for 1-11'!$A$3,"State","VA","SREB Type",5,"SREB Type2","Four-Year")</f>
        <v>0</v>
      </c>
      <c r="D214" s="6">
        <f>+GETPIVOTDATA(" Old-Bachelor's",'Pivot Table for 1-11'!$A$3,"State","VA","SREB Type",5,"SREB Type2","Four-Year")</f>
        <v>2594</v>
      </c>
      <c r="E214" s="6">
        <f>+GETPIVOTDATA(" Old-Post-Bachelor's",'Pivot Table for 1-11'!$A$3,"State","VA","SREB Type",5,"SREB Type2","Four-Year")</f>
        <v>30</v>
      </c>
      <c r="F214" s="6">
        <f>+GETPIVOTDATA(" Old-Total Master's#",'Pivot Table for 1-11'!$A$3,"State","VA","SREB Type",5,"SREB Type2","Four-Year")</f>
        <v>423</v>
      </c>
      <c r="G214" s="6">
        <f>+GETPIVOTDATA(" Old-Total Doctorates#",'Pivot Table for 1-11'!$A$3,"State","VA","SREB Type",5,"SREB Type2","Four-Year")</f>
        <v>0</v>
      </c>
      <c r="H214" s="17">
        <f>+GETPIVOTDATA(" Old-Law",'Pivot Table for 1-11'!$A$3,"State","VA","SREB Type",5,"SREB Type2","Four-Year")</f>
        <v>0</v>
      </c>
      <c r="I214" s="6">
        <f>+GETPIVOTDATA(" Old-Medicine",'Pivot Table for 1-11'!$A$3,"State","VA","SREB Type",5,"SREB Type2","Four-Year")</f>
        <v>0</v>
      </c>
      <c r="J214" s="6">
        <f>+GETPIVOTDATA(" Old-Dentistry",'Pivot Table for 1-11'!$A$3,"State","VA","SREB Type",5,"SREB Type2","Four-Year")</f>
        <v>0</v>
      </c>
      <c r="K214" s="6">
        <f>+GETPIVOTDATA(" Old-Pharmacy",'Pivot Table for 1-11'!$A$3,"State","VA","SREB Type",5,"SREB Type2","Four-Year")</f>
        <v>0</v>
      </c>
      <c r="L214" s="6">
        <f>+GETPIVOTDATA(" Old-Optometry",'Pivot Table for 1-11'!$A$3,"State","VA","SREB Type",5,"SREB Type2","Four-Year")</f>
        <v>0</v>
      </c>
      <c r="M214" s="6">
        <f>+GETPIVOTDATA(" Old-Osteopathic Medicine",'Pivot Table for 1-11'!$A$3,"State","VA","SREB Type",5,"SREB Type2","Four-Year")</f>
        <v>0</v>
      </c>
      <c r="N214" s="181">
        <f>+GETPIVOTDATA(" Old-Veterinary Medicine",'Pivot Table for 1-11'!$A$3,"State","VA","SREB Type",5,"SREB Type2","Four-Year")</f>
        <v>0</v>
      </c>
      <c r="O214" s="198">
        <f>+GETPIVOTDATA(" Old-Oth PP",'Pivot Table for 1-11'!$A$3,"State","VA","SREB Type",5,"SREB Type2","Four-Year")</f>
        <v>0</v>
      </c>
      <c r="P214" s="182">
        <f t="shared" si="6"/>
        <v>3047</v>
      </c>
    </row>
    <row r="215" spans="1:16" ht="15" customHeight="1">
      <c r="A215" s="9" t="s">
        <v>312</v>
      </c>
      <c r="B215" s="8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8">
        <f>+GETPIVOTDATA(" Old-Associate's",'Pivot Table for 1-11'!$A$3,"State","WV","SREB Type",5,"SREB Type2","Four-Year")</f>
        <v>78</v>
      </c>
      <c r="D215" s="8">
        <f>+GETPIVOTDATA(" Old-Bachelor's",'Pivot Table for 1-11'!$A$3,"State","WV","SREB Type",5,"SREB Type2","Four-Year")</f>
        <v>671</v>
      </c>
      <c r="E215" s="8">
        <f>+GETPIVOTDATA(" Old-Post-Bachelor's",'Pivot Table for 1-11'!$A$3,"State","WV","SREB Type",5,"SREB Type2","Four-Year")</f>
        <v>0</v>
      </c>
      <c r="F215" s="8">
        <f>+GETPIVOTDATA(" Old-Total Master's#",'Pivot Table for 1-11'!$A$3,"State","WV","SREB Type",5,"SREB Type2","Four-Year")</f>
        <v>65</v>
      </c>
      <c r="G215" s="8">
        <f>+GETPIVOTDATA(" Old-Total Doctorates#",'Pivot Table for 1-11'!$A$3,"State","WV","SREB Type",5,"SREB Type2","Four-Year")</f>
        <v>0</v>
      </c>
      <c r="H215" s="18">
        <f>+GETPIVOTDATA(" Old-Law",'Pivot Table for 1-11'!$A$3,"State","WV","SREB Type",5,"SREB Type2","Four-Year")</f>
        <v>0</v>
      </c>
      <c r="I215" s="8">
        <f>+GETPIVOTDATA(" Old-Medicine",'Pivot Table for 1-11'!$A$3,"State","WV","SREB Type",5,"SREB Type2","Four-Year")</f>
        <v>0</v>
      </c>
      <c r="J215" s="8">
        <f>+GETPIVOTDATA(" Old-Dentistry",'Pivot Table for 1-11'!$A$3,"State","WV","SREB Type",5,"SREB Type2","Four-Year")</f>
        <v>0</v>
      </c>
      <c r="K215" s="8">
        <f>+GETPIVOTDATA(" Old-Pharmacy",'Pivot Table for 1-11'!$A$3,"State","WV","SREB Type",5,"SREB Type2","Four-Year")</f>
        <v>0</v>
      </c>
      <c r="L215" s="8">
        <f>+GETPIVOTDATA(" Old-Optometry",'Pivot Table for 1-11'!$A$3,"State","WV","SREB Type",5,"SREB Type2","Four-Year")</f>
        <v>0</v>
      </c>
      <c r="M215" s="8">
        <f>+GETPIVOTDATA(" Old-Osteopathic Medicine",'Pivot Table for 1-11'!$A$3,"State","WV","SREB Type",5,"SREB Type2","Four-Year")</f>
        <v>0</v>
      </c>
      <c r="N215" s="189">
        <f>+GETPIVOTDATA(" Old-Veterinary Medicine",'Pivot Table for 1-11'!$A$3,"State","WV","SREB Type",5,"SREB Type2","Four-Year")</f>
        <v>0</v>
      </c>
      <c r="O215" s="199">
        <f>+GETPIVOTDATA(" Old-Oth PP",'Pivot Table for 1-11'!$A$3,"State","WV","SREB Type",5,"SREB Type2","Four-Year")</f>
        <v>0</v>
      </c>
      <c r="P215" s="183">
        <f t="shared" si="6"/>
        <v>814</v>
      </c>
    </row>
    <row r="216" spans="1:16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181"/>
      <c r="O216" s="181"/>
      <c r="P216" s="181"/>
    </row>
    <row r="217" spans="1:16" ht="24.75" customHeight="1">
      <c r="A217" s="767" t="s">
        <v>1253</v>
      </c>
      <c r="B217" s="768"/>
      <c r="C217" s="768"/>
      <c r="D217" s="768"/>
      <c r="E217" s="768"/>
      <c r="F217" s="768"/>
      <c r="G217" s="768"/>
      <c r="H217" s="768"/>
      <c r="I217" s="768"/>
      <c r="J217" s="768"/>
      <c r="K217" s="768"/>
      <c r="L217" s="768"/>
      <c r="M217" s="768"/>
      <c r="N217" s="768"/>
      <c r="O217" s="768"/>
      <c r="P217" s="768"/>
    </row>
    <row r="218" spans="1:16" ht="1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90"/>
      <c r="O218" s="190"/>
      <c r="P218" s="184" t="s">
        <v>1267</v>
      </c>
    </row>
    <row r="219" spans="1:16" ht="18">
      <c r="A219" s="22" t="s">
        <v>319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93"/>
      <c r="O219" s="93"/>
      <c r="P219" s="93"/>
    </row>
    <row r="220" spans="1:1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92"/>
      <c r="O220" s="92"/>
      <c r="P220" s="92"/>
    </row>
    <row r="221" spans="1:16" ht="15.75">
      <c r="A221" s="1" t="s">
        <v>285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93"/>
      <c r="O221" s="93"/>
      <c r="P221" s="93"/>
    </row>
    <row r="222" spans="1:16" ht="15.75">
      <c r="A222" s="1" t="s">
        <v>1315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93"/>
      <c r="O222" s="93"/>
      <c r="P222" s="93"/>
    </row>
    <row r="223" spans="1:16" ht="15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94"/>
      <c r="O223" s="94"/>
      <c r="P223" s="94"/>
    </row>
    <row r="224" spans="1:16" ht="15.75">
      <c r="A224" s="192"/>
      <c r="B224" s="192"/>
      <c r="C224" s="192"/>
      <c r="D224" s="192"/>
      <c r="E224" s="192"/>
      <c r="F224" s="192"/>
      <c r="G224" s="192"/>
      <c r="H224" s="196" t="s">
        <v>1254</v>
      </c>
      <c r="I224" s="26"/>
      <c r="J224" s="26"/>
      <c r="K224" s="26"/>
      <c r="L224" s="26"/>
      <c r="M224" s="26"/>
      <c r="N224" s="193"/>
      <c r="O224" s="200"/>
      <c r="P224" s="195" t="s">
        <v>321</v>
      </c>
    </row>
    <row r="225" spans="1:16" ht="39.75" customHeight="1">
      <c r="A225" s="14"/>
      <c r="B225" s="15" t="s">
        <v>696</v>
      </c>
      <c r="C225" s="15" t="s">
        <v>286</v>
      </c>
      <c r="D225" s="15" t="s">
        <v>278</v>
      </c>
      <c r="E225" s="15" t="s">
        <v>279</v>
      </c>
      <c r="F225" s="15" t="s">
        <v>288</v>
      </c>
      <c r="G225" s="15" t="s">
        <v>289</v>
      </c>
      <c r="H225" s="16" t="s">
        <v>290</v>
      </c>
      <c r="I225" s="15" t="s">
        <v>291</v>
      </c>
      <c r="J225" s="15" t="s">
        <v>292</v>
      </c>
      <c r="K225" s="15" t="s">
        <v>283</v>
      </c>
      <c r="L225" s="15" t="s">
        <v>293</v>
      </c>
      <c r="M225" s="15" t="s">
        <v>294</v>
      </c>
      <c r="N225" s="191" t="s">
        <v>1320</v>
      </c>
      <c r="O225" s="197" t="s">
        <v>1321</v>
      </c>
      <c r="P225" s="191" t="s">
        <v>295</v>
      </c>
    </row>
    <row r="226" spans="1:16" ht="15" customHeight="1">
      <c r="A226" s="5" t="s">
        <v>296</v>
      </c>
      <c r="B226" s="6">
        <f>+GETPIVOTDATA(" Old-Less Than 2-Year",'Pivot Table for 1-11'!$A$3,"SREB Type",6,"SREB Type2","Four-Year")+GETPIVOTDATA(" Old-2 But Less Than 4-Year",'Pivot Table for 1-11'!$A$3,"SREB Type",6,"SREB Type2","Four-Year")</f>
        <v>411</v>
      </c>
      <c r="C226" s="6">
        <f>+GETPIVOTDATA(" Old-Associate's",'Pivot Table for 1-11'!$A$3,"SREB Type",6,"SREB Type2","Four-Year")</f>
        <v>1173</v>
      </c>
      <c r="D226" s="6">
        <f>+GETPIVOTDATA(" Old-Bachelor's",'Pivot Table for 1-11'!$A$3,"SREB Type",6,"SREB Type2","Four-Year")</f>
        <v>9915</v>
      </c>
      <c r="E226" s="6">
        <f>+GETPIVOTDATA(" Old-Post-Bachelor's",'Pivot Table for 1-11'!$A$3,"SREB Type",6,"SREB Type2","Four-Year")</f>
        <v>0</v>
      </c>
      <c r="F226" s="6">
        <f>+GETPIVOTDATA(" Old-Total Master's#",'Pivot Table for 1-11'!$A$3,"SREB Type",6,"SREB Type2","Four-Year")</f>
        <v>210</v>
      </c>
      <c r="G226" s="6">
        <f>+GETPIVOTDATA(" Old-Total Doctorates#",'Pivot Table for 1-11'!$A$3,"SREB Type",6,"SREB Type2","Four-Year")</f>
        <v>0</v>
      </c>
      <c r="H226" s="17">
        <f>+GETPIVOTDATA(" Old-Law",'Pivot Table for 1-11'!$A$3,"SREB Type",6,"SREB Type2","Four-Year")</f>
        <v>0</v>
      </c>
      <c r="I226" s="6">
        <f>+GETPIVOTDATA(" Old-Medicine",'Pivot Table for 1-11'!$A$3,"SREB Type",6,"SREB Type2","Four-Year")</f>
        <v>0</v>
      </c>
      <c r="J226" s="6">
        <f>+GETPIVOTDATA(" Old-Dentistry",'Pivot Table for 1-11'!$A$3,"SREB Type",6,"SREB Type2","Four-Year")</f>
        <v>0</v>
      </c>
      <c r="K226" s="6">
        <f>+GETPIVOTDATA(" Old-Pharmacy",'Pivot Table for 1-11'!$A$3,"SREB Type",6,"SREB Type2","Four-Year")</f>
        <v>0</v>
      </c>
      <c r="L226" s="6">
        <f>+GETPIVOTDATA(" Old-Optometry",'Pivot Table for 1-11'!$A$3,"SREB Type",6,"SREB Type2","Four-Year")</f>
        <v>0</v>
      </c>
      <c r="M226" s="6">
        <f>+GETPIVOTDATA(" Old-Osteopathic Medicine",'Pivot Table for 1-11'!$A$3,"SREB Type",6,"SREB Type2","Four-Year")</f>
        <v>0</v>
      </c>
      <c r="N226" s="181">
        <f>+GETPIVOTDATA(" Old-Veterinary Medicine",'Pivot Table for 1-11'!$A$3,"SREB Type",6,"SREB Type2","Four-Year")</f>
        <v>0</v>
      </c>
      <c r="O226" s="198">
        <f>+GETPIVOTDATA(" Old-Oth PP",'Pivot Table for 1-11'!$A$3,"SREB Type",6,"SREB Type2","Four-Year")</f>
        <v>0</v>
      </c>
      <c r="P226" s="182">
        <f>SUM(B226:O226)</f>
        <v>11709</v>
      </c>
    </row>
    <row r="227" spans="1:16" ht="15" customHeight="1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181"/>
      <c r="O227" s="198"/>
      <c r="P227" s="182"/>
    </row>
    <row r="228" spans="1:16" ht="15" customHeight="1">
      <c r="A228" s="5" t="s">
        <v>297</v>
      </c>
      <c r="B228" s="6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6">
        <f>+GETPIVOTDATA(" Old-Associate's",'Pivot Table for 1-11'!$A$3,"State","AL","SREB Type",6,"SREB Type2","Four-Year")</f>
        <v>0</v>
      </c>
      <c r="D228" s="6">
        <f>+GETPIVOTDATA(" Old-Bachelor's",'Pivot Table for 1-11'!$A$3,"State","AL","SREB Type",6,"SREB Type2","Four-Year")</f>
        <v>756</v>
      </c>
      <c r="E228" s="6">
        <f>+GETPIVOTDATA(" Old-Post-Bachelor's",'Pivot Table for 1-11'!$A$3,"State","AL","SREB Type",6,"SREB Type2","Four-Year")</f>
        <v>0</v>
      </c>
      <c r="F228" s="6">
        <f>+GETPIVOTDATA(" Old-Total Master's#",'Pivot Table for 1-11'!$A$3,"State","AL","SREB Type",6,"SREB Type2","Four-Year")</f>
        <v>0</v>
      </c>
      <c r="G228" s="6">
        <f>+GETPIVOTDATA(" Old-Total Doctorates#",'Pivot Table for 1-11'!$A$3,"State","AL","SREB Type",6,"SREB Type2","Four-Year")</f>
        <v>0</v>
      </c>
      <c r="H228" s="17">
        <f>+GETPIVOTDATA(" Old-Law",'Pivot Table for 1-11'!$A$3,"State","AL","SREB Type",6,"SREB Type2","Four-Year")</f>
        <v>0</v>
      </c>
      <c r="I228" s="6">
        <f>+GETPIVOTDATA(" Old-Medicine",'Pivot Table for 1-11'!$A$3,"State","AL","SREB Type",6,"SREB Type2","Four-Year")</f>
        <v>0</v>
      </c>
      <c r="J228" s="6">
        <f>+GETPIVOTDATA(" Old-Dentistry",'Pivot Table for 1-11'!$A$3,"State","AL","SREB Type",6,"SREB Type2","Four-Year")</f>
        <v>0</v>
      </c>
      <c r="K228" s="6">
        <f>+GETPIVOTDATA(" Old-Pharmacy",'Pivot Table for 1-11'!$A$3,"State","AL","SREB Type",6,"SREB Type2","Four-Year")</f>
        <v>0</v>
      </c>
      <c r="L228" s="6">
        <f>+GETPIVOTDATA(" Old-Optometry",'Pivot Table for 1-11'!$A$3,"State","AL","SREB Type",6,"SREB Type2","Four-Year")</f>
        <v>0</v>
      </c>
      <c r="M228" s="6">
        <f>+GETPIVOTDATA(" Old-Osteopathic Medicine",'Pivot Table for 1-11'!$A$3,"State","AL","SREB Type",6,"SREB Type2","Four-Year")</f>
        <v>0</v>
      </c>
      <c r="N228" s="181">
        <f>+GETPIVOTDATA(" Old-Veterinary Medicine",'Pivot Table for 1-11'!$A$3,"State","AL","SREB Type",6,"SREB Type2","Four-Year")</f>
        <v>0</v>
      </c>
      <c r="O228" s="198">
        <f>+GETPIVOTDATA(" Old-Oth PP",'Pivot Table for 1-11'!$A$3,"State","AL","SREB Type",6,"SREB Type2","Four-Year")</f>
        <v>0</v>
      </c>
      <c r="P228" s="182">
        <f t="shared" ref="P228:P246" si="7">SUM(B228:O228)</f>
        <v>756</v>
      </c>
    </row>
    <row r="229" spans="1:16" ht="15" customHeight="1">
      <c r="A229" s="5" t="s">
        <v>298</v>
      </c>
      <c r="B229" s="6">
        <f>+GETPIVOTDATA(" Old-Less Than 2-Year",'Pivot Table for 1-11'!$A$3,"State","AR","SREB Type",6,"SREB Type2","Four-Year")+GETPIVOTDATA(" Old-2 But Less Than 4-Year",'Pivot Table for 1-11'!$A$3,"State","AR","SREB Type",6,"SREB Type2","Four-Year")</f>
        <v>301</v>
      </c>
      <c r="C229" s="6">
        <f>+GETPIVOTDATA(" Old-Associate's",'Pivot Table for 1-11'!$A$3,"State","AR","SREB Type",6,"SREB Type2","Four-Year")</f>
        <v>310</v>
      </c>
      <c r="D229" s="6">
        <f>+GETPIVOTDATA(" Old-Bachelor's",'Pivot Table for 1-11'!$A$3,"State","AR","SREB Type",6,"SREB Type2","Four-Year")</f>
        <v>768</v>
      </c>
      <c r="E229" s="6">
        <f>+GETPIVOTDATA(" Old-Post-Bachelor's",'Pivot Table for 1-11'!$A$3,"State","AR","SREB Type",6,"SREB Type2","Four-Year")</f>
        <v>0</v>
      </c>
      <c r="F229" s="6">
        <f>+GETPIVOTDATA(" Old-Total Master's#",'Pivot Table for 1-11'!$A$3,"State","AR","SREB Type",6,"SREB Type2","Four-Year")</f>
        <v>21</v>
      </c>
      <c r="G229" s="6">
        <f>+GETPIVOTDATA(" Old-Total Doctorates#",'Pivot Table for 1-11'!$A$3,"State","AR","SREB Type",6,"SREB Type2","Four-Year")</f>
        <v>0</v>
      </c>
      <c r="H229" s="17">
        <f>+GETPIVOTDATA(" Old-Law",'Pivot Table for 1-11'!$A$3,"State","AR","SREB Type",6,"SREB Type2","Four-Year")</f>
        <v>0</v>
      </c>
      <c r="I229" s="6">
        <f>+GETPIVOTDATA(" Old-Medicine",'Pivot Table for 1-11'!$A$3,"State","AR","SREB Type",6,"SREB Type2","Four-Year")</f>
        <v>0</v>
      </c>
      <c r="J229" s="6">
        <f>+GETPIVOTDATA(" Old-Dentistry",'Pivot Table for 1-11'!$A$3,"State","AR","SREB Type",6,"SREB Type2","Four-Year")</f>
        <v>0</v>
      </c>
      <c r="K229" s="6">
        <f>+GETPIVOTDATA(" Old-Pharmacy",'Pivot Table for 1-11'!$A$3,"State","AR","SREB Type",6,"SREB Type2","Four-Year")</f>
        <v>0</v>
      </c>
      <c r="L229" s="6">
        <f>+GETPIVOTDATA(" Old-Optometry",'Pivot Table for 1-11'!$A$3,"State","AR","SREB Type",6,"SREB Type2","Four-Year")</f>
        <v>0</v>
      </c>
      <c r="M229" s="6">
        <f>+GETPIVOTDATA(" Old-Osteopathic Medicine",'Pivot Table for 1-11'!$A$3,"State","AR","SREB Type",6,"SREB Type2","Four-Year")</f>
        <v>0</v>
      </c>
      <c r="N229" s="181">
        <f>+GETPIVOTDATA(" Old-Veterinary Medicine",'Pivot Table for 1-11'!$A$3,"State","AR","SREB Type",6,"SREB Type2","Four-Year")</f>
        <v>0</v>
      </c>
      <c r="O229" s="198">
        <f>+GETPIVOTDATA(" Old-Oth PP",'Pivot Table for 1-11'!$A$3,"State","AR","SREB Type",6,"SREB Type2","Four-Year")</f>
        <v>0</v>
      </c>
      <c r="P229" s="182">
        <f t="shared" si="7"/>
        <v>1400</v>
      </c>
    </row>
    <row r="230" spans="1:16" ht="15" customHeight="1">
      <c r="A230" s="5" t="s">
        <v>299</v>
      </c>
      <c r="B230" s="6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6">
        <f>+GETPIVOTDATA(" Old-Associate's",'Pivot Table for 1-11'!$A$3,"State","DE","SREB Type",6,"SREB Type2","Four-Year")</f>
        <v>0</v>
      </c>
      <c r="D230" s="6">
        <f>+GETPIVOTDATA(" Old-Bachelor's",'Pivot Table for 1-11'!$A$3,"State","DE","SREB Type",6,"SREB Type2","Four-Year")</f>
        <v>0</v>
      </c>
      <c r="E230" s="6">
        <f>+GETPIVOTDATA(" Old-Post-Bachelor's",'Pivot Table for 1-11'!$A$3,"State","DE","SREB Type",6,"SREB Type2","Four-Year")</f>
        <v>0</v>
      </c>
      <c r="F230" s="6">
        <f>+GETPIVOTDATA(" Old-Total Master's#",'Pivot Table for 1-11'!$A$3,"State","DE","SREB Type",6,"SREB Type2","Four-Year")</f>
        <v>0</v>
      </c>
      <c r="G230" s="6">
        <f>+GETPIVOTDATA(" Old-Total Doctorates#",'Pivot Table for 1-11'!$A$3,"State","DE","SREB Type",6,"SREB Type2","Four-Year")</f>
        <v>0</v>
      </c>
      <c r="H230" s="17">
        <f>+GETPIVOTDATA(" Old-Law",'Pivot Table for 1-11'!$A$3,"State","DE","SREB Type",6,"SREB Type2","Four-Year")</f>
        <v>0</v>
      </c>
      <c r="I230" s="6">
        <f>+GETPIVOTDATA(" Old-Medicine",'Pivot Table for 1-11'!$A$3,"State","DE","SREB Type",6,"SREB Type2","Four-Year")</f>
        <v>0</v>
      </c>
      <c r="J230" s="6">
        <f>+GETPIVOTDATA(" Old-Dentistry",'Pivot Table for 1-11'!$A$3,"State","DE","SREB Type",6,"SREB Type2","Four-Year")</f>
        <v>0</v>
      </c>
      <c r="K230" s="6">
        <f>+GETPIVOTDATA(" Old-Pharmacy",'Pivot Table for 1-11'!$A$3,"State","DE","SREB Type",6,"SREB Type2","Four-Year")</f>
        <v>0</v>
      </c>
      <c r="L230" s="6">
        <f>+GETPIVOTDATA(" Old-Optometry",'Pivot Table for 1-11'!$A$3,"State","DE","SREB Type",6,"SREB Type2","Four-Year")</f>
        <v>0</v>
      </c>
      <c r="M230" s="6">
        <f>+GETPIVOTDATA(" Old-Osteopathic Medicine",'Pivot Table for 1-11'!$A$3,"State","DE","SREB Type",6,"SREB Type2","Four-Year")</f>
        <v>0</v>
      </c>
      <c r="N230" s="181">
        <f>+GETPIVOTDATA(" Old-Veterinary Medicine",'Pivot Table for 1-11'!$A$3,"State","DE","SREB Type",6,"SREB Type2","Four-Year")</f>
        <v>0</v>
      </c>
      <c r="O230" s="198">
        <f>+GETPIVOTDATA(" Old-Oth PP",'Pivot Table for 1-11'!$A$3,"State","DE","SREB Type",6,"SREB Type2","Four-Year")</f>
        <v>0</v>
      </c>
      <c r="P230" s="182">
        <f t="shared" si="7"/>
        <v>0</v>
      </c>
    </row>
    <row r="231" spans="1:16" ht="15" customHeight="1">
      <c r="A231" s="5" t="s">
        <v>300</v>
      </c>
      <c r="B231" s="6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6">
        <f>+GETPIVOTDATA(" Old-Associate's",'Pivot Table for 1-11'!$A$3,"State","FL","SREB Type",6,"SREB Type2","Four-Year")</f>
        <v>0</v>
      </c>
      <c r="D231" s="6">
        <f>+GETPIVOTDATA(" Old-Bachelor's",'Pivot Table for 1-11'!$A$3,"State","FL","SREB Type",6,"SREB Type2","Four-Year")</f>
        <v>168</v>
      </c>
      <c r="E231" s="6">
        <f>+GETPIVOTDATA(" Old-Post-Bachelor's",'Pivot Table for 1-11'!$A$3,"State","FL","SREB Type",6,"SREB Type2","Four-Year")</f>
        <v>0</v>
      </c>
      <c r="F231" s="6">
        <f>+GETPIVOTDATA(" Old-Total Master's#",'Pivot Table for 1-11'!$A$3,"State","FL","SREB Type",6,"SREB Type2","Four-Year")</f>
        <v>0</v>
      </c>
      <c r="G231" s="6">
        <f>+GETPIVOTDATA(" Old-Total Doctorates#",'Pivot Table for 1-11'!$A$3,"State","FL","SREB Type",6,"SREB Type2","Four-Year")</f>
        <v>0</v>
      </c>
      <c r="H231" s="17">
        <f>+GETPIVOTDATA(" Old-Law",'Pivot Table for 1-11'!$A$3,"State","FL","SREB Type",6,"SREB Type2","Four-Year")</f>
        <v>0</v>
      </c>
      <c r="I231" s="6">
        <f>+GETPIVOTDATA(" Old-Medicine",'Pivot Table for 1-11'!$A$3,"State","FL","SREB Type",6,"SREB Type2","Four-Year")</f>
        <v>0</v>
      </c>
      <c r="J231" s="6">
        <f>+GETPIVOTDATA(" Old-Dentistry",'Pivot Table for 1-11'!$A$3,"State","FL","SREB Type",6,"SREB Type2","Four-Year")</f>
        <v>0</v>
      </c>
      <c r="K231" s="6">
        <f>+GETPIVOTDATA(" Old-Pharmacy",'Pivot Table for 1-11'!$A$3,"State","FL","SREB Type",6,"SREB Type2","Four-Year")</f>
        <v>0</v>
      </c>
      <c r="L231" s="6">
        <f>+GETPIVOTDATA(" Old-Optometry",'Pivot Table for 1-11'!$A$3,"State","FL","SREB Type",6,"SREB Type2","Four-Year")</f>
        <v>0</v>
      </c>
      <c r="M231" s="6">
        <f>+GETPIVOTDATA(" Old-Osteopathic Medicine",'Pivot Table for 1-11'!$A$3,"State","FL","SREB Type",6,"SREB Type2","Four-Year")</f>
        <v>0</v>
      </c>
      <c r="N231" s="181">
        <f>+GETPIVOTDATA(" Old-Veterinary Medicine",'Pivot Table for 1-11'!$A$3,"State","FL","SREB Type",6,"SREB Type2","Four-Year")</f>
        <v>0</v>
      </c>
      <c r="O231" s="198">
        <f>+GETPIVOTDATA(" Old-Oth PP",'Pivot Table for 1-11'!$A$3,"State","FL","SREB Type",6,"SREB Type2","Four-Year")</f>
        <v>0</v>
      </c>
      <c r="P231" s="182">
        <f t="shared" si="7"/>
        <v>168</v>
      </c>
    </row>
    <row r="232" spans="1:16" ht="15" customHeight="1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181"/>
      <c r="O232" s="198"/>
      <c r="P232" s="182">
        <f t="shared" si="7"/>
        <v>0</v>
      </c>
    </row>
    <row r="233" spans="1:16" ht="15" customHeight="1">
      <c r="A233" s="5" t="s">
        <v>301</v>
      </c>
      <c r="B233" s="6">
        <f>+GETPIVOTDATA(" Old-Less Than 2-Year",'Pivot Table for 1-11'!$A$3,"State","GA","SREB Type",6,"SREB Type2","Four-Year")+GETPIVOTDATA(" Old-2 But Less Than 4-Year",'Pivot Table for 1-11'!$A$3,"State","GA","SREB Type",6,"SREB Type2","Four-Year")</f>
        <v>109</v>
      </c>
      <c r="C233" s="6">
        <f>+GETPIVOTDATA(" Old-Associate's",'Pivot Table for 1-11'!$A$3,"State","GA","SREB Type",6,"SREB Type2","Four-Year")</f>
        <v>467</v>
      </c>
      <c r="D233" s="6">
        <f>+GETPIVOTDATA(" Old-Bachelor's",'Pivot Table for 1-11'!$A$3,"State","GA","SREB Type",6,"SREB Type2","Four-Year")</f>
        <v>1195</v>
      </c>
      <c r="E233" s="6">
        <f>+GETPIVOTDATA(" Old-Post-Bachelor's",'Pivot Table for 1-11'!$A$3,"State","GA","SREB Type",6,"SREB Type2","Four-Year")</f>
        <v>0</v>
      </c>
      <c r="F233" s="6">
        <f>+GETPIVOTDATA(" Old-Total Master's#",'Pivot Table for 1-11'!$A$3,"State","GA","SREB Type",6,"SREB Type2","Four-Year")</f>
        <v>0</v>
      </c>
      <c r="G233" s="6">
        <f>+GETPIVOTDATA(" Old-Total Doctorates#",'Pivot Table for 1-11'!$A$3,"State","GA","SREB Type",6,"SREB Type2","Four-Year")</f>
        <v>0</v>
      </c>
      <c r="H233" s="17">
        <f>+GETPIVOTDATA(" Old-Law",'Pivot Table for 1-11'!$A$3,"State","GA","SREB Type",6,"SREB Type2","Four-Year")</f>
        <v>0</v>
      </c>
      <c r="I233" s="6">
        <f>+GETPIVOTDATA(" Old-Medicine",'Pivot Table for 1-11'!$A$3,"State","GA","SREB Type",6,"SREB Type2","Four-Year")</f>
        <v>0</v>
      </c>
      <c r="J233" s="6">
        <f>+GETPIVOTDATA(" Old-Dentistry",'Pivot Table for 1-11'!$A$3,"State","GA","SREB Type",6,"SREB Type2","Four-Year")</f>
        <v>0</v>
      </c>
      <c r="K233" s="6">
        <f>+GETPIVOTDATA(" Old-Pharmacy",'Pivot Table for 1-11'!$A$3,"State","GA","SREB Type",6,"SREB Type2","Four-Year")</f>
        <v>0</v>
      </c>
      <c r="L233" s="6">
        <f>+GETPIVOTDATA(" Old-Optometry",'Pivot Table for 1-11'!$A$3,"State","GA","SREB Type",6,"SREB Type2","Four-Year")</f>
        <v>0</v>
      </c>
      <c r="M233" s="6">
        <f>+GETPIVOTDATA(" Old-Osteopathic Medicine",'Pivot Table for 1-11'!$A$3,"State","GA","SREB Type",6,"SREB Type2","Four-Year")</f>
        <v>0</v>
      </c>
      <c r="N233" s="181">
        <f>+GETPIVOTDATA(" Old-Veterinary Medicine",'Pivot Table for 1-11'!$A$3,"State","GA","SREB Type",6,"SREB Type2","Four-Year")</f>
        <v>0</v>
      </c>
      <c r="O233" s="198">
        <f>+GETPIVOTDATA(" Old-Oth PP",'Pivot Table for 1-11'!$A$3,"State","GA","SREB Type",6,"SREB Type2","Four-Year")</f>
        <v>0</v>
      </c>
      <c r="P233" s="182">
        <f t="shared" si="7"/>
        <v>1771</v>
      </c>
    </row>
    <row r="234" spans="1:16" ht="15" customHeight="1">
      <c r="A234" s="5" t="s">
        <v>302</v>
      </c>
      <c r="B234" s="6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6">
        <f>+GETPIVOTDATA(" Old-Associate's",'Pivot Table for 1-11'!$A$3,"State","KY","SREB Type",6,"SREB Type2","Four-Year")</f>
        <v>0</v>
      </c>
      <c r="D234" s="6">
        <f>+GETPIVOTDATA(" Old-Bachelor's",'Pivot Table for 1-11'!$A$3,"State","KY","SREB Type",6,"SREB Type2","Four-Year")</f>
        <v>0</v>
      </c>
      <c r="E234" s="6">
        <f>+GETPIVOTDATA(" Old-Post-Bachelor's",'Pivot Table for 1-11'!$A$3,"State","KY","SREB Type",6,"SREB Type2","Four-Year")</f>
        <v>0</v>
      </c>
      <c r="F234" s="6">
        <f>+GETPIVOTDATA(" Old-Total Master's#",'Pivot Table for 1-11'!$A$3,"State","KY","SREB Type",6,"SREB Type2","Four-Year")</f>
        <v>0</v>
      </c>
      <c r="G234" s="6">
        <f>+GETPIVOTDATA(" Old-Total Doctorates#",'Pivot Table for 1-11'!$A$3,"State","KY","SREB Type",6,"SREB Type2","Four-Year")</f>
        <v>0</v>
      </c>
      <c r="H234" s="17">
        <f>+GETPIVOTDATA(" Old-Law",'Pivot Table for 1-11'!$A$3,"State","KY","SREB Type",6,"SREB Type2","Four-Year")</f>
        <v>0</v>
      </c>
      <c r="I234" s="6">
        <f>+GETPIVOTDATA(" Old-Medicine",'Pivot Table for 1-11'!$A$3,"State","KY","SREB Type",6,"SREB Type2","Four-Year")</f>
        <v>0</v>
      </c>
      <c r="J234" s="6">
        <f>+GETPIVOTDATA(" Old-Dentistry",'Pivot Table for 1-11'!$A$3,"State","KY","SREB Type",6,"SREB Type2","Four-Year")</f>
        <v>0</v>
      </c>
      <c r="K234" s="6">
        <f>+GETPIVOTDATA(" Old-Pharmacy",'Pivot Table for 1-11'!$A$3,"State","KY","SREB Type",6,"SREB Type2","Four-Year")</f>
        <v>0</v>
      </c>
      <c r="L234" s="6">
        <f>+GETPIVOTDATA(" Old-Optometry",'Pivot Table for 1-11'!$A$3,"State","KY","SREB Type",6,"SREB Type2","Four-Year")</f>
        <v>0</v>
      </c>
      <c r="M234" s="6">
        <f>+GETPIVOTDATA(" Old-Osteopathic Medicine",'Pivot Table for 1-11'!$A$3,"State","KY","SREB Type",6,"SREB Type2","Four-Year")</f>
        <v>0</v>
      </c>
      <c r="N234" s="181">
        <f>+GETPIVOTDATA(" Old-Veterinary Medicine",'Pivot Table for 1-11'!$A$3,"State","KY","SREB Type",6,"SREB Type2","Four-Year")</f>
        <v>0</v>
      </c>
      <c r="O234" s="198">
        <f>+GETPIVOTDATA(" Old-Oth PP",'Pivot Table for 1-11'!$A$3,"State","KY","SREB Type",6,"SREB Type2","Four-Year")</f>
        <v>0</v>
      </c>
      <c r="P234" s="182">
        <f t="shared" si="7"/>
        <v>0</v>
      </c>
    </row>
    <row r="235" spans="1:16" ht="15" customHeight="1">
      <c r="A235" s="5" t="s">
        <v>303</v>
      </c>
      <c r="B235" s="6">
        <f>+GETPIVOTDATA(" Old-Less Than 2-Year",'Pivot Table for 1-11'!$A$3,"State","LA","SREB Type",6,"SREB Type2","Four-Year")+GETPIVOTDATA(" Old-2 But Less Than 4-Year",'Pivot Table for 1-11'!$A$3,"State","LA","SREB Type",6,"SREB Type2","Four-Year")</f>
        <v>0</v>
      </c>
      <c r="C235" s="6">
        <f>+GETPIVOTDATA(" Old-Associate's",'Pivot Table for 1-11'!$A$3,"State","LA","SREB Type",6,"SREB Type2","Four-Year")</f>
        <v>0</v>
      </c>
      <c r="D235" s="6">
        <f>+GETPIVOTDATA(" Old-Bachelor's",'Pivot Table for 1-11'!$A$3,"State","LA","SREB Type",6,"SREB Type2","Four-Year")</f>
        <v>0</v>
      </c>
      <c r="E235" s="6">
        <f>+GETPIVOTDATA(" Old-Post-Bachelor's",'Pivot Table for 1-11'!$A$3,"State","LA","SREB Type",6,"SREB Type2","Four-Year")</f>
        <v>0</v>
      </c>
      <c r="F235" s="6">
        <f>+GETPIVOTDATA(" Old-Total Master's#",'Pivot Table for 1-11'!$A$3,"State","LA","SREB Type",6,"SREB Type2","Four-Year")</f>
        <v>0</v>
      </c>
      <c r="G235" s="6">
        <f>+GETPIVOTDATA(" Old-Total Doctorates#",'Pivot Table for 1-11'!$A$3,"State","LA","SREB Type",6,"SREB Type2","Four-Year")</f>
        <v>0</v>
      </c>
      <c r="H235" s="17">
        <f>+GETPIVOTDATA(" Old-Law",'Pivot Table for 1-11'!$A$3,"State","LA","SREB Type",6,"SREB Type2","Four-Year")</f>
        <v>0</v>
      </c>
      <c r="I235" s="6">
        <f>+GETPIVOTDATA(" Old-Medicine",'Pivot Table for 1-11'!$A$3,"State","LA","SREB Type",6,"SREB Type2","Four-Year")</f>
        <v>0</v>
      </c>
      <c r="J235" s="6">
        <f>+GETPIVOTDATA(" Old-Dentistry",'Pivot Table for 1-11'!$A$3,"State","LA","SREB Type",6,"SREB Type2","Four-Year")</f>
        <v>0</v>
      </c>
      <c r="K235" s="6">
        <f>+GETPIVOTDATA(" Old-Pharmacy",'Pivot Table for 1-11'!$A$3,"State","LA","SREB Type",6,"SREB Type2","Four-Year")</f>
        <v>0</v>
      </c>
      <c r="L235" s="6">
        <f>+GETPIVOTDATA(" Old-Optometry",'Pivot Table for 1-11'!$A$3,"State","LA","SREB Type",6,"SREB Type2","Four-Year")</f>
        <v>0</v>
      </c>
      <c r="M235" s="6">
        <f>+GETPIVOTDATA(" Old-Osteopathic Medicine",'Pivot Table for 1-11'!$A$3,"State","LA","SREB Type",6,"SREB Type2","Four-Year")</f>
        <v>0</v>
      </c>
      <c r="N235" s="181">
        <f>+GETPIVOTDATA(" Old-Veterinary Medicine",'Pivot Table for 1-11'!$A$3,"State","LA","SREB Type",6,"SREB Type2","Four-Year")</f>
        <v>0</v>
      </c>
      <c r="O235" s="198">
        <f>+GETPIVOTDATA(" Old-Oth PP",'Pivot Table for 1-11'!$A$3,"State","LA","SREB Type",6,"SREB Type2","Four-Year")</f>
        <v>0</v>
      </c>
      <c r="P235" s="182">
        <f t="shared" si="7"/>
        <v>0</v>
      </c>
    </row>
    <row r="236" spans="1:16" ht="15" customHeight="1">
      <c r="A236" s="5" t="s">
        <v>304</v>
      </c>
      <c r="B236" s="6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6">
        <f>+GETPIVOTDATA(" Old-Associate's",'Pivot Table for 1-11'!$A$3,"State","MD","SREB Type",6,"SREB Type2","Four-Year")</f>
        <v>0</v>
      </c>
      <c r="D236" s="6">
        <f>+GETPIVOTDATA(" Old-Bachelor's",'Pivot Table for 1-11'!$A$3,"State","MD","SREB Type",6,"SREB Type2","Four-Year")</f>
        <v>426</v>
      </c>
      <c r="E236" s="6">
        <f>+GETPIVOTDATA(" Old-Post-Bachelor's",'Pivot Table for 1-11'!$A$3,"State","MD","SREB Type",6,"SREB Type2","Four-Year")</f>
        <v>0</v>
      </c>
      <c r="F236" s="6">
        <f>+GETPIVOTDATA(" Old-Total Master's#",'Pivot Table for 1-11'!$A$3,"State","MD","SREB Type",6,"SREB Type2","Four-Year")</f>
        <v>23</v>
      </c>
      <c r="G236" s="6">
        <f>+GETPIVOTDATA(" Old-Total Doctorates#",'Pivot Table for 1-11'!$A$3,"State","MD","SREB Type",6,"SREB Type2","Four-Year")</f>
        <v>0</v>
      </c>
      <c r="H236" s="17">
        <f>+GETPIVOTDATA(" Old-Law",'Pivot Table for 1-11'!$A$3,"State","MD","SREB Type",6,"SREB Type2","Four-Year")</f>
        <v>0</v>
      </c>
      <c r="I236" s="6">
        <f>+GETPIVOTDATA(" Old-Medicine",'Pivot Table for 1-11'!$A$3,"State","MD","SREB Type",6,"SREB Type2","Four-Year")</f>
        <v>0</v>
      </c>
      <c r="J236" s="6">
        <f>+GETPIVOTDATA(" Old-Dentistry",'Pivot Table for 1-11'!$A$3,"State","MD","SREB Type",6,"SREB Type2","Four-Year")</f>
        <v>0</v>
      </c>
      <c r="K236" s="6">
        <f>+GETPIVOTDATA(" Old-Pharmacy",'Pivot Table for 1-11'!$A$3,"State","MD","SREB Type",6,"SREB Type2","Four-Year")</f>
        <v>0</v>
      </c>
      <c r="L236" s="6">
        <f>+GETPIVOTDATA(" Old-Optometry",'Pivot Table for 1-11'!$A$3,"State","MD","SREB Type",6,"SREB Type2","Four-Year")</f>
        <v>0</v>
      </c>
      <c r="M236" s="6">
        <f>+GETPIVOTDATA(" Old-Osteopathic Medicine",'Pivot Table for 1-11'!$A$3,"State","MD","SREB Type",6,"SREB Type2","Four-Year")</f>
        <v>0</v>
      </c>
      <c r="N236" s="181">
        <f>+GETPIVOTDATA(" Old-Veterinary Medicine",'Pivot Table for 1-11'!$A$3,"State","MD","SREB Type",6,"SREB Type2","Four-Year")</f>
        <v>0</v>
      </c>
      <c r="O236" s="198">
        <f>+GETPIVOTDATA(" Old-Oth PP",'Pivot Table for 1-11'!$A$3,"State","MD","SREB Type",6,"SREB Type2","Four-Year")</f>
        <v>0</v>
      </c>
      <c r="P236" s="182">
        <f t="shared" si="7"/>
        <v>449</v>
      </c>
    </row>
    <row r="237" spans="1:16" ht="15" customHeight="1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181"/>
      <c r="O237" s="198"/>
      <c r="P237" s="182"/>
    </row>
    <row r="238" spans="1:16" ht="15" customHeight="1">
      <c r="A238" s="5" t="s">
        <v>305</v>
      </c>
      <c r="B238" s="6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6">
        <f>+GETPIVOTDATA(" Old-Associate's",'Pivot Table for 1-11'!$A$3,"State","MS","SREB Type",6,"SREB Type2","Four-Year")</f>
        <v>0</v>
      </c>
      <c r="D238" s="6">
        <f>+GETPIVOTDATA(" Old-Bachelor's",'Pivot Table for 1-11'!$A$3,"State","MS","SREB Type",6,"SREB Type2","Four-Year")</f>
        <v>0</v>
      </c>
      <c r="E238" s="6">
        <f>+GETPIVOTDATA(" Old-Post-Bachelor's",'Pivot Table for 1-11'!$A$3,"State","MS","SREB Type",6,"SREB Type2","Four-Year")</f>
        <v>0</v>
      </c>
      <c r="F238" s="6">
        <f>+GETPIVOTDATA(" Old-Total Master's#",'Pivot Table for 1-11'!$A$3,"State","MS","SREB Type",6,"SREB Type2","Four-Year")</f>
        <v>0</v>
      </c>
      <c r="G238" s="6">
        <f>+GETPIVOTDATA(" Old-Total Doctorates#",'Pivot Table for 1-11'!$A$3,"State","MS","SREB Type",6,"SREB Type2","Four-Year")</f>
        <v>0</v>
      </c>
      <c r="H238" s="17">
        <f>+GETPIVOTDATA(" Old-Law",'Pivot Table for 1-11'!$A$3,"State","MS","SREB Type",6,"SREB Type2","Four-Year")</f>
        <v>0</v>
      </c>
      <c r="I238" s="6">
        <f>+GETPIVOTDATA(" Old-Medicine",'Pivot Table for 1-11'!$A$3,"State","MS","SREB Type",6,"SREB Type2","Four-Year")</f>
        <v>0</v>
      </c>
      <c r="J238" s="6">
        <f>+GETPIVOTDATA(" Old-Dentistry",'Pivot Table for 1-11'!$A$3,"State","MS","SREB Type",6,"SREB Type2","Four-Year")</f>
        <v>0</v>
      </c>
      <c r="K238" s="6">
        <f>+GETPIVOTDATA(" Old-Pharmacy",'Pivot Table for 1-11'!$A$3,"State","MS","SREB Type",6,"SREB Type2","Four-Year")</f>
        <v>0</v>
      </c>
      <c r="L238" s="6">
        <f>+GETPIVOTDATA(" Old-Optometry",'Pivot Table for 1-11'!$A$3,"State","MS","SREB Type",6,"SREB Type2","Four-Year")</f>
        <v>0</v>
      </c>
      <c r="M238" s="6">
        <f>+GETPIVOTDATA(" Old-Osteopathic Medicine",'Pivot Table for 1-11'!$A$3,"State","MS","SREB Type",6,"SREB Type2","Four-Year")</f>
        <v>0</v>
      </c>
      <c r="N238" s="181">
        <f>+GETPIVOTDATA(" Old-Veterinary Medicine",'Pivot Table for 1-11'!$A$3,"State","MS","SREB Type",6,"SREB Type2","Four-Year")</f>
        <v>0</v>
      </c>
      <c r="O238" s="198">
        <f>+GETPIVOTDATA(" Old-Oth PP",'Pivot Table for 1-11'!$A$3,"State","MS","SREB Type",6,"SREB Type2","Four-Year")</f>
        <v>0</v>
      </c>
      <c r="P238" s="182">
        <f t="shared" si="7"/>
        <v>0</v>
      </c>
    </row>
    <row r="239" spans="1:16" ht="15" customHeight="1">
      <c r="A239" s="5" t="s">
        <v>306</v>
      </c>
      <c r="B239" s="6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6">
        <f>+GETPIVOTDATA(" Old-Associate's",'Pivot Table for 1-11'!$A$3,"State","NC","SREB Type",6,"SREB Type2","Four-Year")</f>
        <v>0</v>
      </c>
      <c r="D239" s="6">
        <f>+GETPIVOTDATA(" Old-Bachelor's",'Pivot Table for 1-11'!$A$3,"State","NC","SREB Type",6,"SREB Type2","Four-Year")</f>
        <v>1093</v>
      </c>
      <c r="E239" s="6">
        <f>+GETPIVOTDATA(" Old-Post-Bachelor's",'Pivot Table for 1-11'!$A$3,"State","NC","SREB Type",6,"SREB Type2","Four-Year")</f>
        <v>0</v>
      </c>
      <c r="F239" s="6">
        <f>+GETPIVOTDATA(" Old-Total Master's#",'Pivot Table for 1-11'!$A$3,"State","NC","SREB Type",6,"SREB Type2","Four-Year")</f>
        <v>33</v>
      </c>
      <c r="G239" s="6">
        <f>+GETPIVOTDATA(" Old-Total Doctorates#",'Pivot Table for 1-11'!$A$3,"State","NC","SREB Type",6,"SREB Type2","Four-Year")</f>
        <v>0</v>
      </c>
      <c r="H239" s="17">
        <f>+GETPIVOTDATA(" Old-Law",'Pivot Table for 1-11'!$A$3,"State","NC","SREB Type",6,"SREB Type2","Four-Year")</f>
        <v>0</v>
      </c>
      <c r="I239" s="6">
        <f>+GETPIVOTDATA(" Old-Medicine",'Pivot Table for 1-11'!$A$3,"State","NC","SREB Type",6,"SREB Type2","Four-Year")</f>
        <v>0</v>
      </c>
      <c r="J239" s="6">
        <f>+GETPIVOTDATA(" Old-Dentistry",'Pivot Table for 1-11'!$A$3,"State","NC","SREB Type",6,"SREB Type2","Four-Year")</f>
        <v>0</v>
      </c>
      <c r="K239" s="6">
        <f>+GETPIVOTDATA(" Old-Pharmacy",'Pivot Table for 1-11'!$A$3,"State","NC","SREB Type",6,"SREB Type2","Four-Year")</f>
        <v>0</v>
      </c>
      <c r="L239" s="6">
        <f>+GETPIVOTDATA(" Old-Optometry",'Pivot Table for 1-11'!$A$3,"State","NC","SREB Type",6,"SREB Type2","Four-Year")</f>
        <v>0</v>
      </c>
      <c r="M239" s="6">
        <f>+GETPIVOTDATA(" Old-Osteopathic Medicine",'Pivot Table for 1-11'!$A$3,"State","NC","SREB Type",6,"SREB Type2","Four-Year")</f>
        <v>0</v>
      </c>
      <c r="N239" s="181">
        <f>+GETPIVOTDATA(" Old-Veterinary Medicine",'Pivot Table for 1-11'!$A$3,"State","NC","SREB Type",6,"SREB Type2","Four-Year")</f>
        <v>0</v>
      </c>
      <c r="O239" s="198">
        <f>+GETPIVOTDATA(" Old-Oth PP",'Pivot Table for 1-11'!$A$3,"State","NC","SREB Type",6,"SREB Type2","Four-Year")</f>
        <v>0</v>
      </c>
      <c r="P239" s="182">
        <f t="shared" si="7"/>
        <v>1126</v>
      </c>
    </row>
    <row r="240" spans="1:16" ht="15" customHeight="1">
      <c r="A240" s="5" t="s">
        <v>307</v>
      </c>
      <c r="B240" s="6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6">
        <f>+GETPIVOTDATA(" Old-Associate's",'Pivot Table for 1-11'!$A$3,"State","OK","SREB Type",6,"SREB Type2","Four-Year")</f>
        <v>223</v>
      </c>
      <c r="D240" s="6">
        <f>+GETPIVOTDATA(" Old-Bachelor's",'Pivot Table for 1-11'!$A$3,"State","OK","SREB Type",6,"SREB Type2","Four-Year")</f>
        <v>560</v>
      </c>
      <c r="E240" s="6">
        <f>+GETPIVOTDATA(" Old-Post-Bachelor's",'Pivot Table for 1-11'!$A$3,"State","OK","SREB Type",6,"SREB Type2","Four-Year")</f>
        <v>0</v>
      </c>
      <c r="F240" s="6">
        <f>+GETPIVOTDATA(" Old-Total Master's#",'Pivot Table for 1-11'!$A$3,"State","OK","SREB Type",6,"SREB Type2","Four-Year")</f>
        <v>0</v>
      </c>
      <c r="G240" s="6">
        <f>+GETPIVOTDATA(" Old-Total Doctorates#",'Pivot Table for 1-11'!$A$3,"State","OK","SREB Type",6,"SREB Type2","Four-Year")</f>
        <v>0</v>
      </c>
      <c r="H240" s="17">
        <f>+GETPIVOTDATA(" Old-Law",'Pivot Table for 1-11'!$A$3,"State","OK","SREB Type",6,"SREB Type2","Four-Year")</f>
        <v>0</v>
      </c>
      <c r="I240" s="6">
        <f>+GETPIVOTDATA(" Old-Medicine",'Pivot Table for 1-11'!$A$3,"State","OK","SREB Type",6,"SREB Type2","Four-Year")</f>
        <v>0</v>
      </c>
      <c r="J240" s="6">
        <f>+GETPIVOTDATA(" Old-Dentistry",'Pivot Table for 1-11'!$A$3,"State","OK","SREB Type",6,"SREB Type2","Four-Year")</f>
        <v>0</v>
      </c>
      <c r="K240" s="6">
        <f>+GETPIVOTDATA(" Old-Pharmacy",'Pivot Table for 1-11'!$A$3,"State","OK","SREB Type",6,"SREB Type2","Four-Year")</f>
        <v>0</v>
      </c>
      <c r="L240" s="6">
        <f>+GETPIVOTDATA(" Old-Optometry",'Pivot Table for 1-11'!$A$3,"State","OK","SREB Type",6,"SREB Type2","Four-Year")</f>
        <v>0</v>
      </c>
      <c r="M240" s="6">
        <f>+GETPIVOTDATA(" Old-Osteopathic Medicine",'Pivot Table for 1-11'!$A$3,"State","OK","SREB Type",6,"SREB Type2","Four-Year")</f>
        <v>0</v>
      </c>
      <c r="N240" s="181">
        <f>+GETPIVOTDATA(" Old-Veterinary Medicine",'Pivot Table for 1-11'!$A$3,"State","OK","SREB Type",6,"SREB Type2","Four-Year")</f>
        <v>0</v>
      </c>
      <c r="O240" s="198">
        <f>+GETPIVOTDATA(" Old-Oth PP",'Pivot Table for 1-11'!$A$3,"State","OK","SREB Type",6,"SREB Type2","Four-Year")</f>
        <v>0</v>
      </c>
      <c r="P240" s="182">
        <f t="shared" si="7"/>
        <v>783</v>
      </c>
    </row>
    <row r="241" spans="1:16" ht="15" customHeight="1">
      <c r="A241" s="5" t="s">
        <v>308</v>
      </c>
      <c r="B241" s="6">
        <f>+GETPIVOTDATA(" Old-Less Than 2-Year",'Pivot Table for 1-11'!$A$3,"State","SC","SREB Type",6,"SREB Type2","Four-Year")+GETPIVOTDATA(" Old-2 But Less Than 4-Year",'Pivot Table for 1-11'!$A$3,"State","SC","SREB Type",6,"SREB Type2","Four-Year")</f>
        <v>1</v>
      </c>
      <c r="C241" s="6">
        <f>+GETPIVOTDATA(" Old-Associate's",'Pivot Table for 1-11'!$A$3,"State","SC","SREB Type",6,"SREB Type2","Four-Year")</f>
        <v>24</v>
      </c>
      <c r="D241" s="6">
        <f>+GETPIVOTDATA(" Old-Bachelor's",'Pivot Table for 1-11'!$A$3,"State","SC","SREB Type",6,"SREB Type2","Four-Year")</f>
        <v>1971</v>
      </c>
      <c r="E241" s="6">
        <f>+GETPIVOTDATA(" Old-Post-Bachelor's",'Pivot Table for 1-11'!$A$3,"State","SC","SREB Type",6,"SREB Type2","Four-Year")</f>
        <v>0</v>
      </c>
      <c r="F241" s="6">
        <f>+GETPIVOTDATA(" Old-Total Master's#",'Pivot Table for 1-11'!$A$3,"State","SC","SREB Type",6,"SREB Type2","Four-Year")</f>
        <v>43</v>
      </c>
      <c r="G241" s="6">
        <f>+GETPIVOTDATA(" Old-Total Doctorates#",'Pivot Table for 1-11'!$A$3,"State","SC","SREB Type",6,"SREB Type2","Four-Year")</f>
        <v>0</v>
      </c>
      <c r="H241" s="17">
        <f>+GETPIVOTDATA(" Old-Law",'Pivot Table for 1-11'!$A$3,"State","SC","SREB Type",6,"SREB Type2","Four-Year")</f>
        <v>0</v>
      </c>
      <c r="I241" s="6">
        <f>+GETPIVOTDATA(" Old-Medicine",'Pivot Table for 1-11'!$A$3,"State","SC","SREB Type",6,"SREB Type2","Four-Year")</f>
        <v>0</v>
      </c>
      <c r="J241" s="6">
        <f>+GETPIVOTDATA(" Old-Dentistry",'Pivot Table for 1-11'!$A$3,"State","SC","SREB Type",6,"SREB Type2","Four-Year")</f>
        <v>0</v>
      </c>
      <c r="K241" s="6">
        <f>+GETPIVOTDATA(" Old-Pharmacy",'Pivot Table for 1-11'!$A$3,"State","SC","SREB Type",6,"SREB Type2","Four-Year")</f>
        <v>0</v>
      </c>
      <c r="L241" s="6">
        <f>+GETPIVOTDATA(" Old-Optometry",'Pivot Table for 1-11'!$A$3,"State","SC","SREB Type",6,"SREB Type2","Four-Year")</f>
        <v>0</v>
      </c>
      <c r="M241" s="6">
        <f>+GETPIVOTDATA(" Old-Osteopathic Medicine",'Pivot Table for 1-11'!$A$3,"State","SC","SREB Type",6,"SREB Type2","Four-Year")</f>
        <v>0</v>
      </c>
      <c r="N241" s="181">
        <f>+GETPIVOTDATA(" Old-Veterinary Medicine",'Pivot Table for 1-11'!$A$3,"State","SC","SREB Type",6,"SREB Type2","Four-Year")</f>
        <v>0</v>
      </c>
      <c r="O241" s="198">
        <f>+GETPIVOTDATA(" Old-Oth PP",'Pivot Table for 1-11'!$A$3,"State","SC","SREB Type",6,"SREB Type2","Four-Year")</f>
        <v>0</v>
      </c>
      <c r="P241" s="182">
        <f t="shared" si="7"/>
        <v>2039</v>
      </c>
    </row>
    <row r="242" spans="1:16" ht="15" customHeight="1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181"/>
      <c r="O242" s="198"/>
      <c r="P242" s="182"/>
    </row>
    <row r="243" spans="1:16" ht="15" customHeight="1">
      <c r="A243" s="5" t="s">
        <v>309</v>
      </c>
      <c r="B243" s="6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6">
        <f>+GETPIVOTDATA(" Old-Associate's",'Pivot Table for 1-11'!$A$3,"State","TN","SREB Type",6,"SREB Type2","Four-Year")</f>
        <v>0</v>
      </c>
      <c r="D243" s="6">
        <f>+GETPIVOTDATA(" Old-Bachelor's",'Pivot Table for 1-11'!$A$3,"State","TN","SREB Type",6,"SREB Type2","Four-Year")</f>
        <v>0</v>
      </c>
      <c r="E243" s="6">
        <f>+GETPIVOTDATA(" Old-Post-Bachelor's",'Pivot Table for 1-11'!$A$3,"State","TN","SREB Type",6,"SREB Type2","Four-Year")</f>
        <v>0</v>
      </c>
      <c r="F243" s="6">
        <f>+GETPIVOTDATA(" Old-Total Master's#",'Pivot Table for 1-11'!$A$3,"State","TN","SREB Type",6,"SREB Type2","Four-Year")</f>
        <v>0</v>
      </c>
      <c r="G243" s="6">
        <f>+GETPIVOTDATA(" Old-Total Doctorates#",'Pivot Table for 1-11'!$A$3,"State","TN","SREB Type",6,"SREB Type2","Four-Year")</f>
        <v>0</v>
      </c>
      <c r="H243" s="17">
        <f>+GETPIVOTDATA(" Old-Law",'Pivot Table for 1-11'!$A$3,"State","TN","SREB Type",6,"SREB Type2","Four-Year")</f>
        <v>0</v>
      </c>
      <c r="I243" s="6">
        <f>+GETPIVOTDATA(" Old-Medicine",'Pivot Table for 1-11'!$A$3,"State","TN","SREB Type",6,"SREB Type2","Four-Year")</f>
        <v>0</v>
      </c>
      <c r="J243" s="6">
        <f>+GETPIVOTDATA(" Old-Dentistry",'Pivot Table for 1-11'!$A$3,"State","TN","SREB Type",6,"SREB Type2","Four-Year")</f>
        <v>0</v>
      </c>
      <c r="K243" s="6">
        <f>+GETPIVOTDATA(" Old-Pharmacy",'Pivot Table for 1-11'!$A$3,"State","TN","SREB Type",6,"SREB Type2","Four-Year")</f>
        <v>0</v>
      </c>
      <c r="L243" s="6">
        <f>+GETPIVOTDATA(" Old-Optometry",'Pivot Table for 1-11'!$A$3,"State","TN","SREB Type",6,"SREB Type2","Four-Year")</f>
        <v>0</v>
      </c>
      <c r="M243" s="6">
        <f>+GETPIVOTDATA(" Old-Osteopathic Medicine",'Pivot Table for 1-11'!$A$3,"State","TN","SREB Type",6,"SREB Type2","Four-Year")</f>
        <v>0</v>
      </c>
      <c r="N243" s="181">
        <f>+GETPIVOTDATA(" Old-Veterinary Medicine",'Pivot Table for 1-11'!$A$3,"State","TN","SREB Type",6,"SREB Type2","Four-Year")</f>
        <v>0</v>
      </c>
      <c r="O243" s="198">
        <f>+GETPIVOTDATA(" Old-Oth PP",'Pivot Table for 1-11'!$A$3,"State","TN","SREB Type",6,"SREB Type2","Four-Year")</f>
        <v>0</v>
      </c>
      <c r="P243" s="182">
        <f t="shared" si="7"/>
        <v>0</v>
      </c>
    </row>
    <row r="244" spans="1:16" ht="15" customHeight="1">
      <c r="A244" s="5" t="s">
        <v>310</v>
      </c>
      <c r="B244" s="6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6">
        <f>+GETPIVOTDATA(" Old-Associate's",'Pivot Table for 1-11'!$A$3,"State","TX","SREB Type",6,"SREB Type2","Four-Year")</f>
        <v>0</v>
      </c>
      <c r="D244" s="6">
        <f>+GETPIVOTDATA(" Old-Bachelor's",'Pivot Table for 1-11'!$A$3,"State","TX","SREB Type",6,"SREB Type2","Four-Year")</f>
        <v>258</v>
      </c>
      <c r="E244" s="6">
        <f>+GETPIVOTDATA(" Old-Post-Bachelor's",'Pivot Table for 1-11'!$A$3,"State","TX","SREB Type",6,"SREB Type2","Four-Year")</f>
        <v>0</v>
      </c>
      <c r="F244" s="6">
        <f>+GETPIVOTDATA(" Old-Total Master's#",'Pivot Table for 1-11'!$A$3,"State","TX","SREB Type",6,"SREB Type2","Four-Year")</f>
        <v>5</v>
      </c>
      <c r="G244" s="6">
        <f>+GETPIVOTDATA(" Old-Total Doctorates#",'Pivot Table for 1-11'!$A$3,"State","TX","SREB Type",6,"SREB Type2","Four-Year")</f>
        <v>0</v>
      </c>
      <c r="H244" s="17">
        <f>+GETPIVOTDATA(" Old-Law",'Pivot Table for 1-11'!$A$3,"State","TX","SREB Type",6,"SREB Type2","Four-Year")</f>
        <v>0</v>
      </c>
      <c r="I244" s="6">
        <f>+GETPIVOTDATA(" Old-Medicine",'Pivot Table for 1-11'!$A$3,"State","TX","SREB Type",6,"SREB Type2","Four-Year")</f>
        <v>0</v>
      </c>
      <c r="J244" s="6">
        <f>+GETPIVOTDATA(" Old-Dentistry",'Pivot Table for 1-11'!$A$3,"State","TX","SREB Type",6,"SREB Type2","Four-Year")</f>
        <v>0</v>
      </c>
      <c r="K244" s="6">
        <f>+GETPIVOTDATA(" Old-Pharmacy",'Pivot Table for 1-11'!$A$3,"State","TX","SREB Type",6,"SREB Type2","Four-Year")</f>
        <v>0</v>
      </c>
      <c r="L244" s="6">
        <f>+GETPIVOTDATA(" Old-Optometry",'Pivot Table for 1-11'!$A$3,"State","TX","SREB Type",6,"SREB Type2","Four-Year")</f>
        <v>0</v>
      </c>
      <c r="M244" s="6">
        <f>+GETPIVOTDATA(" Old-Osteopathic Medicine",'Pivot Table for 1-11'!$A$3,"State","TX","SREB Type",6,"SREB Type2","Four-Year")</f>
        <v>0</v>
      </c>
      <c r="N244" s="181">
        <f>+GETPIVOTDATA(" Old-Veterinary Medicine",'Pivot Table for 1-11'!$A$3,"State","TX","SREB Type",6,"SREB Type2","Four-Year")</f>
        <v>0</v>
      </c>
      <c r="O244" s="198">
        <f>+GETPIVOTDATA(" Old-Oth PP",'Pivot Table for 1-11'!$A$3,"State","TX","SREB Type",6,"SREB Type2","Four-Year")</f>
        <v>0</v>
      </c>
      <c r="P244" s="182">
        <f t="shared" si="7"/>
        <v>263</v>
      </c>
    </row>
    <row r="245" spans="1:16" ht="15" customHeight="1">
      <c r="A245" s="5" t="s">
        <v>311</v>
      </c>
      <c r="B245" s="6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6">
        <f>+GETPIVOTDATA(" Old-Associate's",'Pivot Table for 1-11'!$A$3,"State","VA","SREB Type",6,"SREB Type2","Four-Year")</f>
        <v>0</v>
      </c>
      <c r="D245" s="6">
        <f>+GETPIVOTDATA(" Old-Bachelor's",'Pivot Table for 1-11'!$A$3,"State","VA","SREB Type",6,"SREB Type2","Four-Year")</f>
        <v>308</v>
      </c>
      <c r="E245" s="6">
        <f>+GETPIVOTDATA(" Old-Post-Bachelor's",'Pivot Table for 1-11'!$A$3,"State","VA","SREB Type",6,"SREB Type2","Four-Year")</f>
        <v>0</v>
      </c>
      <c r="F245" s="6">
        <f>+GETPIVOTDATA(" Old-Total Master's#",'Pivot Table for 1-11'!$A$3,"State","VA","SREB Type",6,"SREB Type2","Four-Year")</f>
        <v>0</v>
      </c>
      <c r="G245" s="6">
        <f>+GETPIVOTDATA(" Old-Total Doctorates#",'Pivot Table for 1-11'!$A$3,"State","VA","SREB Type",6,"SREB Type2","Four-Year")</f>
        <v>0</v>
      </c>
      <c r="H245" s="17">
        <f>+GETPIVOTDATA(" Old-Law",'Pivot Table for 1-11'!$A$3,"State","VA","SREB Type",6,"SREB Type2","Four-Year")</f>
        <v>0</v>
      </c>
      <c r="I245" s="6">
        <f>+GETPIVOTDATA(" Old-Medicine",'Pivot Table for 1-11'!$A$3,"State","VA","SREB Type",6,"SREB Type2","Four-Year")</f>
        <v>0</v>
      </c>
      <c r="J245" s="6">
        <f>+GETPIVOTDATA(" Old-Dentistry",'Pivot Table for 1-11'!$A$3,"State","VA","SREB Type",6,"SREB Type2","Four-Year")</f>
        <v>0</v>
      </c>
      <c r="K245" s="6">
        <f>+GETPIVOTDATA(" Old-Pharmacy",'Pivot Table for 1-11'!$A$3,"State","VA","SREB Type",6,"SREB Type2","Four-Year")</f>
        <v>0</v>
      </c>
      <c r="L245" s="6">
        <f>+GETPIVOTDATA(" Old-Optometry",'Pivot Table for 1-11'!$A$3,"State","VA","SREB Type",6,"SREB Type2","Four-Year")</f>
        <v>0</v>
      </c>
      <c r="M245" s="6">
        <f>+GETPIVOTDATA(" Old-Osteopathic Medicine",'Pivot Table for 1-11'!$A$3,"State","VA","SREB Type",6,"SREB Type2","Four-Year")</f>
        <v>0</v>
      </c>
      <c r="N245" s="181">
        <f>+GETPIVOTDATA(" Old-Veterinary Medicine",'Pivot Table for 1-11'!$A$3,"State","VA","SREB Type",6,"SREB Type2","Four-Year")</f>
        <v>0</v>
      </c>
      <c r="O245" s="198">
        <f>+GETPIVOTDATA(" Old-Oth PP",'Pivot Table for 1-11'!$A$3,"State","VA","SREB Type",6,"SREB Type2","Four-Year")</f>
        <v>0</v>
      </c>
      <c r="P245" s="182">
        <f t="shared" si="7"/>
        <v>308</v>
      </c>
    </row>
    <row r="246" spans="1:16" ht="15" customHeight="1">
      <c r="A246" s="7" t="s">
        <v>312</v>
      </c>
      <c r="B246" s="8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8">
        <f>+GETPIVOTDATA(" Old-Associate's",'Pivot Table for 1-11'!$A$3,"State","WV","SREB Type",6,"SREB Type2","Four-Year")</f>
        <v>149</v>
      </c>
      <c r="D246" s="8">
        <f>+GETPIVOTDATA(" Old-Bachelor's",'Pivot Table for 1-11'!$A$3,"State","WV","SREB Type",6,"SREB Type2","Four-Year")</f>
        <v>2412</v>
      </c>
      <c r="E246" s="8">
        <f>+GETPIVOTDATA(" Old-Post-Bachelor's",'Pivot Table for 1-11'!$A$3,"State","WV","SREB Type",6,"SREB Type2","Four-Year")</f>
        <v>0</v>
      </c>
      <c r="F246" s="8">
        <f>+GETPIVOTDATA(" Old-Total Master's#",'Pivot Table for 1-11'!$A$3,"State","WV","SREB Type",6,"SREB Type2","Four-Year")</f>
        <v>85</v>
      </c>
      <c r="G246" s="8">
        <f>+GETPIVOTDATA(" Old-Total Doctorates#",'Pivot Table for 1-11'!$A$3,"State","WV","SREB Type",6,"SREB Type2","Four-Year")</f>
        <v>0</v>
      </c>
      <c r="H246" s="18">
        <f>+GETPIVOTDATA(" Old-Law",'Pivot Table for 1-11'!$A$3,"State","WV","SREB Type",6,"SREB Type2","Four-Year")</f>
        <v>0</v>
      </c>
      <c r="I246" s="8">
        <f>+GETPIVOTDATA(" Old-Medicine",'Pivot Table for 1-11'!$A$3,"State","WV","SREB Type",6,"SREB Type2","Four-Year")</f>
        <v>0</v>
      </c>
      <c r="J246" s="8">
        <f>+GETPIVOTDATA(" Old-Dentistry",'Pivot Table for 1-11'!$A$3,"State","WV","SREB Type",6,"SREB Type2","Four-Year")</f>
        <v>0</v>
      </c>
      <c r="K246" s="8">
        <f>+GETPIVOTDATA(" Old-Pharmacy",'Pivot Table for 1-11'!$A$3,"State","WV","SREB Type",6,"SREB Type2","Four-Year")</f>
        <v>0</v>
      </c>
      <c r="L246" s="8">
        <f>+GETPIVOTDATA(" Old-Optometry",'Pivot Table for 1-11'!$A$3,"State","WV","SREB Type",6,"SREB Type2","Four-Year")</f>
        <v>0</v>
      </c>
      <c r="M246" s="8">
        <f>+GETPIVOTDATA(" Old-Osteopathic Medicine",'Pivot Table for 1-11'!$A$3,"State","WV","SREB Type",6,"SREB Type2","Four-Year")</f>
        <v>0</v>
      </c>
      <c r="N246" s="189">
        <f>+GETPIVOTDATA(" Old-Veterinary Medicine",'Pivot Table for 1-11'!$A$3,"State","WV","SREB Type",6,"SREB Type2","Four-Year")</f>
        <v>0</v>
      </c>
      <c r="O246" s="199">
        <f>+GETPIVOTDATA(" Old-Oth PP",'Pivot Table for 1-11'!$A$3,"State","WV","SREB Type",6,"SREB Type2","Four-Year")</f>
        <v>0</v>
      </c>
      <c r="P246" s="183">
        <f t="shared" si="7"/>
        <v>2646</v>
      </c>
    </row>
    <row r="247" spans="1:16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181"/>
      <c r="O247" s="181"/>
      <c r="P247" s="181"/>
    </row>
    <row r="248" spans="1:16" ht="29.25" customHeight="1">
      <c r="A248" s="767" t="s">
        <v>1253</v>
      </c>
      <c r="B248" s="768"/>
      <c r="C248" s="768"/>
      <c r="D248" s="768"/>
      <c r="E248" s="768"/>
      <c r="F248" s="768"/>
      <c r="G248" s="768"/>
      <c r="H248" s="768"/>
      <c r="I248" s="768"/>
      <c r="J248" s="768"/>
      <c r="K248" s="768"/>
      <c r="L248" s="768"/>
      <c r="M248" s="768"/>
      <c r="N248" s="768"/>
      <c r="O248" s="768"/>
      <c r="P248" s="768"/>
    </row>
    <row r="249" spans="1:16" ht="1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90"/>
      <c r="O249" s="190"/>
      <c r="P249" s="184" t="s">
        <v>1267</v>
      </c>
    </row>
    <row r="250" spans="1:16" ht="18">
      <c r="A250" s="22" t="s">
        <v>320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93" t="s">
        <v>321</v>
      </c>
      <c r="O250" s="93"/>
      <c r="P250" s="93"/>
    </row>
    <row r="251" spans="1:1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92" t="s">
        <v>321</v>
      </c>
      <c r="O251" s="92"/>
      <c r="P251" s="92"/>
    </row>
    <row r="252" spans="1:16" ht="15.75">
      <c r="A252" s="1" t="s">
        <v>285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93" t="s">
        <v>321</v>
      </c>
      <c r="O252" s="93"/>
      <c r="P252" s="93"/>
    </row>
    <row r="253" spans="1:16" ht="15.75">
      <c r="A253" s="1" t="s">
        <v>1316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93" t="s">
        <v>321</v>
      </c>
      <c r="O253" s="93"/>
      <c r="P253" s="93"/>
    </row>
    <row r="254" spans="1:16">
      <c r="A254" s="4"/>
      <c r="B254" s="4"/>
      <c r="C254" s="4"/>
      <c r="D254" s="4"/>
      <c r="E254" s="4"/>
      <c r="F254" s="4"/>
      <c r="G254" s="4"/>
      <c r="H254" s="4"/>
      <c r="I254" s="4"/>
      <c r="N254" s="92" t="s">
        <v>321</v>
      </c>
      <c r="O254" s="92"/>
    </row>
    <row r="255" spans="1:16">
      <c r="A255" s="11"/>
      <c r="B255" s="12" t="s">
        <v>322</v>
      </c>
      <c r="C255" s="12"/>
      <c r="D255" s="88"/>
      <c r="E255" s="13" t="s">
        <v>323</v>
      </c>
      <c r="F255" s="12"/>
      <c r="G255" s="88"/>
      <c r="H255" s="13" t="s">
        <v>324</v>
      </c>
      <c r="I255" s="88"/>
      <c r="J255" s="13" t="s">
        <v>325</v>
      </c>
      <c r="K255" s="88"/>
      <c r="L255" s="13" t="s">
        <v>326</v>
      </c>
      <c r="M255" s="12"/>
      <c r="N255" s="92" t="s">
        <v>321</v>
      </c>
      <c r="O255" s="92"/>
    </row>
    <row r="256" spans="1:16" ht="24">
      <c r="A256" s="14"/>
      <c r="B256" s="15" t="s">
        <v>696</v>
      </c>
      <c r="C256" s="15" t="s">
        <v>327</v>
      </c>
      <c r="D256" s="89" t="s">
        <v>280</v>
      </c>
      <c r="E256" s="16" t="s">
        <v>696</v>
      </c>
      <c r="F256" s="15" t="s">
        <v>327</v>
      </c>
      <c r="G256" s="89" t="s">
        <v>280</v>
      </c>
      <c r="H256" s="16" t="s">
        <v>696</v>
      </c>
      <c r="I256" s="89" t="s">
        <v>327</v>
      </c>
      <c r="J256" s="16" t="s">
        <v>696</v>
      </c>
      <c r="K256" s="89" t="s">
        <v>327</v>
      </c>
      <c r="L256" s="16" t="s">
        <v>696</v>
      </c>
      <c r="M256" s="15" t="s">
        <v>327</v>
      </c>
      <c r="N256" s="92"/>
      <c r="O256" s="92"/>
    </row>
    <row r="257" spans="1:16" ht="15" customHeight="1">
      <c r="A257" s="5" t="s">
        <v>296</v>
      </c>
      <c r="B257" s="6">
        <f>+GETPIVOTDATA(" Old-Less Than 2-Year",'Pivot Table for 1-11'!$A$3,"SREB Type2","Two-Year")+GETPIVOTDATA(" Old-2 But Less Than 4-Year",'Pivot Table for 1-11'!$A$3,"SREB Type2","Two-Year")</f>
        <v>101944</v>
      </c>
      <c r="C257" s="6">
        <f>+GETPIVOTDATA(" Old-Associate's",'Pivot Table for 1-11'!$A$3,"SREB Type2","Two-Year")</f>
        <v>187015</v>
      </c>
      <c r="D257" s="6">
        <f>+GETPIVOTDATA(" Old-Bachelor's",'Pivot Table for 1-11'!$A$3,"SREB Type2","Two-Year")</f>
        <v>1316</v>
      </c>
      <c r="E257" s="375">
        <f>+GETPIVOTDATA(" Old-Less Than 2-Year",'Pivot Table for 1-11'!$A$3,"SREB Type",7,"SREB Type2","Two-Year")+GETPIVOTDATA(" Old-2 But Less Than 4-Year",'Pivot Table for 1-11'!$A$3,"SREB Type",7,"SREB Type2","Two-Year")</f>
        <v>5590</v>
      </c>
      <c r="F257" s="376">
        <f>+GETPIVOTDATA(" Old-Associate's",'Pivot Table for 1-11'!$A$3,"SREB Type",7,"SREB Type2","Two-Year")</f>
        <v>16555</v>
      </c>
      <c r="G257" s="377">
        <f>+GETPIVOTDATA(" Old-Bachelor's",'Pivot Table for 1-11'!$A$3,"SREB Type",7,"SREB Type2","Two-Year")</f>
        <v>1286</v>
      </c>
      <c r="H257" s="375">
        <f>+GETPIVOTDATA(" Old-Less Than 2-Year",'Pivot Table for 1-11'!$A$3,"SREB Type",8,"SREB Type2","Two-Year")+GETPIVOTDATA(" Old-2 But Less Than 4-Year",'Pivot Table for 1-11'!$A$3,"SREB Type",8,"SREB Type2","Two-Year")</f>
        <v>43115</v>
      </c>
      <c r="I257" s="377">
        <f>+GETPIVOTDATA(" Old-Associate's",'Pivot Table for 1-11'!$A$3,"SREB Type",8,"SREB Type2","Two-Year")</f>
        <v>94674</v>
      </c>
      <c r="J257" s="375">
        <f>+GETPIVOTDATA(" Old-Less Than 2-Year",'Pivot Table for 1-11'!$A$3,"SREB Type",9,"SREB Type2","Two-Year")+GETPIVOTDATA(" Old-2 But Less Than 4-Year",'Pivot Table for 1-11'!$A$3,"SREB Type",9,"SREB Type2","Two-Year")</f>
        <v>40026</v>
      </c>
      <c r="K257" s="377">
        <f>+GETPIVOTDATA(" Old-Associate's",'Pivot Table for 1-11'!$A$3,"SREB Type",9,"SREB Type2","Two-Year")</f>
        <v>58065</v>
      </c>
      <c r="L257" s="6">
        <f>+GETPIVOTDATA(" Old-Less Than 2-Year",'Pivot Table for 1-11'!$A$3,"SREB Type",10,"SREB Type2","Two-Year")+GETPIVOTDATA(" Old-2 But Less Than 4-Year",'Pivot Table for 1-11'!$A$3,"SREB Type",10,"SREB Type2","Two-Year")</f>
        <v>13213</v>
      </c>
      <c r="M257" s="6">
        <f>+GETPIVOTDATA(" Old-Associate's",'Pivot Table for 1-11'!$A$3,"SREB Type",10,"SREB Type2","Two-Year")</f>
        <v>17721</v>
      </c>
      <c r="N257" s="181"/>
      <c r="O257" s="181"/>
    </row>
    <row r="258" spans="1:16" ht="15" customHeight="1">
      <c r="A258" s="5"/>
      <c r="B258" s="6"/>
      <c r="C258" s="6"/>
      <c r="D258" s="6"/>
      <c r="E258" s="17"/>
      <c r="F258" s="40"/>
      <c r="G258" s="90"/>
      <c r="H258" s="17"/>
      <c r="I258" s="90"/>
      <c r="J258" s="17"/>
      <c r="K258" s="90"/>
      <c r="L258" s="6"/>
      <c r="M258" s="6"/>
      <c r="N258" s="181"/>
      <c r="O258" s="181"/>
      <c r="P258" s="106"/>
    </row>
    <row r="259" spans="1:16" ht="15" customHeight="1">
      <c r="A259" s="5" t="s">
        <v>297</v>
      </c>
      <c r="B259" s="6">
        <f>+GETPIVOTDATA(" Old-Less Than 2-Year",'Pivot Table for 1-11'!$A$3,"State","AL","SREB Type2","Two-Year")+GETPIVOTDATA(" Old-2 But Less Than 4-Year",'Pivot Table for 1-11'!$A$3,"State","AL","SREB Type2","Two-Year")</f>
        <v>3291</v>
      </c>
      <c r="C259" s="6">
        <f>+GETPIVOTDATA(" Old-Associate's",'Pivot Table for 1-11'!$A$3,"State","AL","SREB Type2","Two-Year")</f>
        <v>7378</v>
      </c>
      <c r="D259" s="6">
        <f>+GETPIVOTDATA(" Old-Bachelor's",'Pivot Table for 1-11'!$A$3,"State","AL","SREB Type2","Two-Year")</f>
        <v>0</v>
      </c>
      <c r="E259" s="17">
        <f>GETPIVOTDATA(" Old-Less Than 2-Year",'Pivot Table for 1-11'!$A$3,"State","AL")+GETPIVOTDATA(" Old-2 But Less Than 4-Year",'Pivot Table for 1-11'!$A$3,"State","AL","SREB Type",7,"SREB Type2","Two-Year")</f>
        <v>4092</v>
      </c>
      <c r="F259" s="40">
        <f>+GETPIVOTDATA(" Old-Associate's",'Pivot Table for 1-11'!$A$3,"State","AL","SREB Type",7,"SREB Type2","Two-Year")</f>
        <v>0</v>
      </c>
      <c r="G259" s="90">
        <f>+GETPIVOTDATA(" Old-Bachelor's",'Pivot Table for 1-11'!$A$3,"State","AL","SREB Type",7,"SREB Type2","Two-Year")</f>
        <v>0</v>
      </c>
      <c r="H259" s="17">
        <f>GETPIVOTDATA(" Old-Less Than 2-Year",'Pivot Table for 1-11'!$A$3,"State","AL")+GETPIVOTDATA(" Old-2 But Less Than 4-Year",'Pivot Table for 1-11'!$A$3,"State","AL","SREB Type",8,"SREB Type2","Two-Year")</f>
        <v>4092</v>
      </c>
      <c r="I259" s="90">
        <f>+GETPIVOTDATA(" Old-Associate's",'Pivot Table for 1-11'!$A$3,"State","AL","SREB Type",8,"SREB Type2","Two-Year")</f>
        <v>1325</v>
      </c>
      <c r="J259" s="17">
        <f>GETPIVOTDATA(" Old-Less Than 2-Year",'Pivot Table for 1-11'!$A$3,"State","AL")+GETPIVOTDATA(" Old-2 But Less Than 4-Year",'Pivot Table for 1-11'!$A$3,"State","AL","SREB Type",9,"SREB Type2","Two-Year")</f>
        <v>4092</v>
      </c>
      <c r="K259" s="90">
        <f>+GETPIVOTDATA(" Old-Associate's",'Pivot Table for 1-11'!$A$3,"State","AL","SREB Type",9,"SREB Type2","Two-Year")</f>
        <v>4150</v>
      </c>
      <c r="L259" s="6">
        <f>GETPIVOTDATA(" Old-Less Than 2-Year",'Pivot Table for 1-11'!$A$3,"State","AL")+GETPIVOTDATA(" Old-2 But Less Than 4-Year",'Pivot Table for 1-11'!$A$3,"State","AL","SREB Type",10,"SREB Type2","Two-Year")</f>
        <v>4092</v>
      </c>
      <c r="M259" s="6">
        <f>+GETPIVOTDATA(" Old-Associate's",'Pivot Table for 1-11'!$A$3,"State","AL","SREB Type",10,"SREB Type2","Two-Year")</f>
        <v>1903</v>
      </c>
      <c r="N259" s="181"/>
      <c r="O259" s="181"/>
    </row>
    <row r="260" spans="1:16" ht="15" customHeight="1">
      <c r="A260" s="5" t="s">
        <v>298</v>
      </c>
      <c r="B260" s="6">
        <f>+GETPIVOTDATA(" Old-Less Than 2-Year",'Pivot Table for 1-11'!$A$3,"State","AR","SREB Type2","Two-Year")+GETPIVOTDATA(" Old-2 But Less Than 4-Year",'Pivot Table for 1-11'!$A$3,"State","AR","SREB Type2","Two-Year")</f>
        <v>5719</v>
      </c>
      <c r="C260" s="6">
        <f>+GETPIVOTDATA(" Old-Associate's",'Pivot Table for 1-11'!$A$3,"State","AR","SREB Type2","Two-Year")</f>
        <v>4112</v>
      </c>
      <c r="D260" s="6">
        <f>+GETPIVOTDATA(" Old-Bachelor's",'Pivot Table for 1-11'!$A$3,"State","AR","SREB Type2","Two-Year")</f>
        <v>0</v>
      </c>
      <c r="E260" s="17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40">
        <f>+GETPIVOTDATA(" Old-Associate's",'Pivot Table for 1-11'!$A$3,"State","AR","SREB Type",7,"SREB Type2","Two-Year")</f>
        <v>0</v>
      </c>
      <c r="G260" s="90">
        <f>+GETPIVOTDATA(" Old-Bachelor's",'Pivot Table for 1-11'!$A$3,"State","AR","SREB Type",7,"SREB Type2","Two-Year")</f>
        <v>0</v>
      </c>
      <c r="H260" s="17">
        <f>+GETPIVOTDATA(" Old-Less Than 2-Year",'Pivot Table for 1-11'!$A$3,"State","AR","SREB Type",8,"SREB Type2","Two-Year")+GETPIVOTDATA(" Old-2 But Less Than 4-Year",'Pivot Table for 1-11'!$A$3,"State","AR","SREB Type",8,"SREB Type2","Two-Year")</f>
        <v>665</v>
      </c>
      <c r="I260" s="90">
        <f>+GETPIVOTDATA(" Old-Associate's",'Pivot Table for 1-11'!$A$3,"State","AR","SREB Type",8,"SREB Type2","Two-Year")</f>
        <v>597</v>
      </c>
      <c r="J260" s="17">
        <f>+GETPIVOTDATA(" Old-Less Than 2-Year",'Pivot Table for 1-11'!$A$3,"State","AR","SREB Type",9,"SREB Type2","Two-Year")+GETPIVOTDATA(" Old-2 But Less Than 4-Year",'Pivot Table for 1-11'!$A$3,"State","AR","SREB Type",9,"SREB Type2","Two-Year")</f>
        <v>669</v>
      </c>
      <c r="K260" s="90">
        <f>+GETPIVOTDATA(" Old-Associate's",'Pivot Table for 1-11'!$A$3,"State","AR","SREB Type",9,"SREB Type2","Two-Year")</f>
        <v>948</v>
      </c>
      <c r="L260" s="6">
        <f>+GETPIVOTDATA(" Old-Less Than 2-Year",'Pivot Table for 1-11'!$A$3,"State","AR","SREB Type",10,"SREB Type2","Two-Year")+GETPIVOTDATA(" Old-2 But Less Than 4-Year",'Pivot Table for 1-11'!$A$3,"State","AR","SREB Type",10,"SREB Type2","Two-Year")</f>
        <v>4385</v>
      </c>
      <c r="M260" s="6">
        <f>+GETPIVOTDATA(" Old-Associate's",'Pivot Table for 1-11'!$A$3,"State","AR","SREB Type",10,"SREB Type2","Two-Year")</f>
        <v>2567</v>
      </c>
      <c r="N260" s="181"/>
      <c r="O260" s="181"/>
      <c r="P260" s="106"/>
    </row>
    <row r="261" spans="1:16" ht="15" customHeight="1">
      <c r="A261" s="5" t="s">
        <v>299</v>
      </c>
      <c r="B261" s="6">
        <f>+GETPIVOTDATA(" Old-Less Than 2-Year",'Pivot Table for 1-11'!$A$3,"State","DE","SREB Type2","Two-Year")+GETPIVOTDATA(" Old-2 But Less Than 4-Year",'Pivot Table for 1-11'!$A$3,"State","DE","SREB Type2","Two-Year")</f>
        <v>883</v>
      </c>
      <c r="C261" s="6">
        <f>+GETPIVOTDATA(" Old-Associate's",'Pivot Table for 1-11'!$A$3,"State","DE","SREB Type2","Two-Year")</f>
        <v>1126</v>
      </c>
      <c r="D261" s="6">
        <f>+GETPIVOTDATA(" Old-Bachelor's",'Pivot Table for 1-11'!$A$3,"State","DE","SREB Type2","Two-Year")</f>
        <v>0</v>
      </c>
      <c r="E261" s="17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40">
        <f>+GETPIVOTDATA(" Old-Associate's",'Pivot Table for 1-11'!$A$3,"State","DE","SREB Type",7,"SREB Type2","Two-Year")</f>
        <v>0</v>
      </c>
      <c r="G261" s="90">
        <f>+GETPIVOTDATA(" Old-Bachelor's",'Pivot Table for 1-11'!$A$3,"State","DE","SREB Type",7,"SREB Type2","Two-Year")</f>
        <v>0</v>
      </c>
      <c r="H261" s="17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90">
        <f>+GETPIVOTDATA(" Old-Associate's",'Pivot Table for 1-11'!$A$3,"State","DE","SREB Type",8,"SREB Type2","Two-Year")</f>
        <v>0</v>
      </c>
      <c r="J261" s="17">
        <f>+GETPIVOTDATA(" Old-Less Than 2-Year",'Pivot Table for 1-11'!$A$3,"State","DE","SREB Type",9,"SREB Type2","Two-Year")+GETPIVOTDATA(" Old-2 But Less Than 4-Year",'Pivot Table for 1-11'!$A$3,"State","DE","SREB Type",9,"SREB Type2","Two-Year")</f>
        <v>883</v>
      </c>
      <c r="K261" s="90">
        <f>+GETPIVOTDATA(" Old-Associate's",'Pivot Table for 1-11'!$A$3,"State","DE","SREB Type",9,"SREB Type2","Two-Year")</f>
        <v>1126</v>
      </c>
      <c r="L261" s="6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6">
        <f>+GETPIVOTDATA(" Old-Associate's",'Pivot Table for 1-11'!$A$3,"State","DE","SREB Type",10,"SREB Type2","Two-Year")</f>
        <v>0</v>
      </c>
      <c r="N261" s="181"/>
      <c r="O261" s="181"/>
      <c r="P261" s="106"/>
    </row>
    <row r="262" spans="1:16" ht="15" customHeight="1">
      <c r="A262" s="5" t="s">
        <v>300</v>
      </c>
      <c r="B262" s="6">
        <f>+GETPIVOTDATA(" Old-Less Than 2-Year",'Pivot Table for 1-11'!$A$3,"State","FL","SREB Type2","Two-Year")+GETPIVOTDATA(" Old-2 But Less Than 4-Year",'Pivot Table for 1-11'!$A$3,"State","FL","SREB Type2","Two-Year")</f>
        <v>21291</v>
      </c>
      <c r="C262" s="6">
        <f>+GETPIVOTDATA(" Old-Associate's",'Pivot Table for 1-11'!$A$3,"State","FL","SREB Type2","Two-Year")</f>
        <v>49242</v>
      </c>
      <c r="D262" s="6">
        <f>+GETPIVOTDATA(" Old-Bachelor's",'Pivot Table for 1-11'!$A$3,"State","FL","SREB Type2","Two-Year")</f>
        <v>689</v>
      </c>
      <c r="E262" s="17">
        <f>+GETPIVOTDATA(" Old-Less Than 2-Year",'Pivot Table for 1-11'!$A$3,"State","FL","SREB Type",7,"SREB Type2","Two-Year")+GETPIVOTDATA(" Old-2 But Less Than 4-Year",'Pivot Table for 1-11'!$A$3,"State","FL","SREB Type",7,"SREB Type2","Two-Year")</f>
        <v>4559</v>
      </c>
      <c r="F262" s="40">
        <f>+GETPIVOTDATA(" Old-Associate's",'Pivot Table for 1-11'!$A$3,"State","FL","SREB Type",7,"SREB Type2","Two-Year")</f>
        <v>12908</v>
      </c>
      <c r="G262" s="90">
        <f>+GETPIVOTDATA(" Old-Bachelor's",'Pivot Table for 1-11'!$A$3,"State","FL","SREB Type",7,"SREB Type2","Two-Year")</f>
        <v>684</v>
      </c>
      <c r="H262" s="17">
        <f>+GETPIVOTDATA(" Old-Less Than 2-Year",'Pivot Table for 1-11'!$A$3,"State","FL","SREB Type",8,"SREB Type2","Two-Year")+GETPIVOTDATA(" Old-2 But Less Than 4-Year",'Pivot Table for 1-11'!$A$3,"State","FL","SREB Type",8,"SREB Type2","Two-Year")</f>
        <v>14526</v>
      </c>
      <c r="I262" s="90">
        <f>+GETPIVOTDATA(" Old-Associate's",'Pivot Table for 1-11'!$A$3,"State","FL","SREB Type",8,"SREB Type2","Two-Year")</f>
        <v>32804</v>
      </c>
      <c r="J262" s="17">
        <f>+GETPIVOTDATA(" Old-Less Than 2-Year",'Pivot Table for 1-11'!$A$3,"State","FL","SREB Type",9,"SREB Type2","Two-Year")+GETPIVOTDATA(" Old-2 But Less Than 4-Year",'Pivot Table for 1-11'!$A$3,"State","FL","SREB Type",9,"SREB Type2","Two-Year")</f>
        <v>1972</v>
      </c>
      <c r="K262" s="90">
        <f>+GETPIVOTDATA(" Old-Associate's",'Pivot Table for 1-11'!$A$3,"State","FL","SREB Type",9,"SREB Type2","Two-Year")</f>
        <v>3221</v>
      </c>
      <c r="L262" s="6">
        <f>+GETPIVOTDATA(" Old-Less Than 2-Year",'Pivot Table for 1-11'!$A$3,"State","FL","SREB Type",10,"SREB Type2","Two-Year")+GETPIVOTDATA(" Old-2 But Less Than 4-Year",'Pivot Table for 1-11'!$A$3,"State","FL","SREB Type",10,"SREB Type2","Two-Year")</f>
        <v>234</v>
      </c>
      <c r="M262" s="6">
        <f>+GETPIVOTDATA(" Old-Associate's",'Pivot Table for 1-11'!$A$3,"State","FL","SREB Type",10,"SREB Type2","Two-Year")</f>
        <v>309</v>
      </c>
      <c r="N262" s="181"/>
      <c r="O262" s="181"/>
      <c r="P262" s="106"/>
    </row>
    <row r="263" spans="1:16" ht="15" customHeight="1">
      <c r="A263" s="5"/>
      <c r="B263" s="6"/>
      <c r="C263" s="6"/>
      <c r="D263" s="6"/>
      <c r="E263" s="17"/>
      <c r="F263" s="40"/>
      <c r="G263" s="90"/>
      <c r="H263" s="17"/>
      <c r="I263" s="90"/>
      <c r="J263" s="17"/>
      <c r="K263" s="90"/>
      <c r="L263" s="6"/>
      <c r="M263" s="6"/>
      <c r="N263" s="181"/>
      <c r="O263" s="181"/>
      <c r="P263" s="106"/>
    </row>
    <row r="264" spans="1:16" ht="15" customHeight="1">
      <c r="A264" s="5" t="s">
        <v>301</v>
      </c>
      <c r="B264" s="6">
        <f>+GETPIVOTDATA(" Old-Less Than 2-Year",'Pivot Table for 1-11'!$A$3,"State","GA","SREB Type2","Two-Year")+GETPIVOTDATA(" Old-2 But Less Than 4-Year",'Pivot Table for 1-11'!$A$3,"State","GA","SREB Type2","Two-Year")</f>
        <v>888</v>
      </c>
      <c r="C264" s="6">
        <f>+GETPIVOTDATA(" Old-Associate's",'Pivot Table for 1-11'!$A$3,"State","GA","SREB Type2","Two-Year")</f>
        <v>5817</v>
      </c>
      <c r="D264" s="6">
        <f>+GETPIVOTDATA(" Old-Bachelor's",'Pivot Table for 1-11'!$A$3,"State","GA","SREB Type2","Two-Year")</f>
        <v>187</v>
      </c>
      <c r="E264" s="17">
        <f>+GETPIVOTDATA(" Old-Less Than 2-Year",'Pivot Table for 1-11'!$A$3,"State","GA","SREB Type",7,"SREB Type2","Two-Year")+GETPIVOTDATA(" Old-2 But Less Than 4-Year",'Pivot Table for 1-11'!$A$3,"State","GA","SREB Type",7,"SREB Type2","Two-Year")</f>
        <v>108</v>
      </c>
      <c r="F264" s="40">
        <f>+GETPIVOTDATA(" Old-Associate's",'Pivot Table for 1-11'!$A$3,"State","GA","SREB Type",7,"SREB Type2","Two-Year")</f>
        <v>412</v>
      </c>
      <c r="G264" s="90">
        <f>+GETPIVOTDATA(" Old-Bachelor's",'Pivot Table for 1-11'!$A$3,"State","GA","SREB Type",7,"SREB Type2","Two-Year")</f>
        <v>162</v>
      </c>
      <c r="H264" s="17">
        <f>+GETPIVOTDATA(" Old-Less Than 2-Year",'Pivot Table for 1-11'!$A$3,"State","GA","SREB Type",8,"SREB Type2","Two-Year")+GETPIVOTDATA(" Old-2 But Less Than 4-Year",'Pivot Table for 1-11'!$A$3,"State","GA","SREB Type",8,"SREB Type2","Two-Year")</f>
        <v>4</v>
      </c>
      <c r="I264" s="90">
        <f>+GETPIVOTDATA(" Old-Associate's",'Pivot Table for 1-11'!$A$3,"State","GA","SREB Type",8,"SREB Type2","Two-Year")</f>
        <v>1623</v>
      </c>
      <c r="J264" s="17">
        <f>+GETPIVOTDATA(" Old-Less Than 2-Year",'Pivot Table for 1-11'!$A$3,"State","GA","SREB Type",9,"SREB Type2","Two-Year")+GETPIVOTDATA(" Old-2 But Less Than 4-Year",'Pivot Table for 1-11'!$A$3,"State","GA","SREB Type",9,"SREB Type2","Two-Year")</f>
        <v>775</v>
      </c>
      <c r="K264" s="90">
        <f>+GETPIVOTDATA(" Old-Associate's",'Pivot Table for 1-11'!$A$3,"State","GA","SREB Type",9,"SREB Type2","Two-Year")</f>
        <v>3227</v>
      </c>
      <c r="L264" s="6">
        <f>+GETPIVOTDATA(" Old-Less Than 2-Year",'Pivot Table for 1-11'!$A$3,"State","GA","SREB Type",10,"SREB Type2","Two-Year")+GETPIVOTDATA(" Old-2 But Less Than 4-Year",'Pivot Table for 1-11'!$A$3,"State","GA","SREB Type",10,"SREB Type2","Two-Year")</f>
        <v>1</v>
      </c>
      <c r="M264" s="6">
        <f>+GETPIVOTDATA(" Old-Associate's",'Pivot Table for 1-11'!$A$3,"State","GA","SREB Type",10,"SREB Type2","Two-Year")</f>
        <v>555</v>
      </c>
      <c r="N264" s="181"/>
      <c r="O264" s="181"/>
      <c r="P264" s="106"/>
    </row>
    <row r="265" spans="1:16" ht="15" customHeight="1">
      <c r="A265" s="5" t="s">
        <v>302</v>
      </c>
      <c r="B265" s="6">
        <f>+GETPIVOTDATA(" Old-Less Than 2-Year",'Pivot Table for 1-11'!$A$3,"State","KY","SREB Type2","Two-Year")+GETPIVOTDATA(" Old-2 But Less Than 4-Year",'Pivot Table for 1-11'!$A$3,"State","KY","SREB Type2","Two-Year")</f>
        <v>14686</v>
      </c>
      <c r="C265" s="6">
        <f>+GETPIVOTDATA(" Old-Associate's",'Pivot Table for 1-11'!$A$3,"State","KY","SREB Type2","Two-Year")</f>
        <v>6155</v>
      </c>
      <c r="D265" s="6">
        <f>+GETPIVOTDATA(" Old-Bachelor's",'Pivot Table for 1-11'!$A$3,"State","KY","SREB Type2","Two-Year")</f>
        <v>0</v>
      </c>
      <c r="E265" s="17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40">
        <f>+GETPIVOTDATA(" Old-Associate's",'Pivot Table for 1-11'!$A$3,"State","KY","SREB Type",7,"SREB Type2","Two-Year")</f>
        <v>0</v>
      </c>
      <c r="G265" s="90">
        <f>+GETPIVOTDATA(" Old-Bachelor's",'Pivot Table for 1-11'!$A$3,"State","KY","SREB Type",7,"SREB Type2","Two-Year")</f>
        <v>0</v>
      </c>
      <c r="H265" s="17">
        <f>+GETPIVOTDATA(" Old-Less Than 2-Year",'Pivot Table for 1-11'!$A$3,"State","KY","SREB Type",8,"SREB Type2","Two-Year")+GETPIVOTDATA(" Old-2 But Less Than 4-Year",'Pivot Table for 1-11'!$A$3,"State","KY","SREB Type",8,"SREB Type2","Two-Year")</f>
        <v>4178</v>
      </c>
      <c r="I265" s="90">
        <f>+GETPIVOTDATA(" Old-Associate's",'Pivot Table for 1-11'!$A$3,"State","KY","SREB Type",8,"SREB Type2","Two-Year")</f>
        <v>1768</v>
      </c>
      <c r="J265" s="17">
        <f>+GETPIVOTDATA(" Old-Less Than 2-Year",'Pivot Table for 1-11'!$A$3,"State","KY","SREB Type",9,"SREB Type2","Two-Year")+GETPIVOTDATA(" Old-2 But Less Than 4-Year",'Pivot Table for 1-11'!$A$3,"State","KY","SREB Type",9,"SREB Type2","Two-Year")</f>
        <v>9275</v>
      </c>
      <c r="K265" s="90">
        <f>+GETPIVOTDATA(" Old-Associate's",'Pivot Table for 1-11'!$A$3,"State","KY","SREB Type",9,"SREB Type2","Two-Year")</f>
        <v>3482</v>
      </c>
      <c r="L265" s="6">
        <f>+GETPIVOTDATA(" Old-Less Than 2-Year",'Pivot Table for 1-11'!$A$3,"State","KY","SREB Type",10,"SREB Type2","Two-Year")+GETPIVOTDATA(" Old-2 But Less Than 4-Year",'Pivot Table for 1-11'!$A$3,"State","KY","SREB Type",10,"SREB Type2","Two-Year")</f>
        <v>1233</v>
      </c>
      <c r="M265" s="6">
        <f>+GETPIVOTDATA(" Old-Associate's",'Pivot Table for 1-11'!$A$3,"State","KY","SREB Type",10,"SREB Type2","Two-Year")</f>
        <v>905</v>
      </c>
      <c r="N265" s="181"/>
      <c r="O265" s="181"/>
      <c r="P265" s="106"/>
    </row>
    <row r="266" spans="1:16" ht="15" customHeight="1">
      <c r="A266" s="5" t="s">
        <v>303</v>
      </c>
      <c r="B266" s="6">
        <f>+GETPIVOTDATA(" Old-Less Than 2-Year",'Pivot Table for 1-11'!$A$3,"State","LA","SREB Type2","Two-Year")+GETPIVOTDATA(" Old-2 But Less Than 4-Year",'Pivot Table for 1-11'!$A$3,"State","LA","SREB Type2","Two-Year")</f>
        <v>531</v>
      </c>
      <c r="C266" s="6">
        <f>+GETPIVOTDATA(" Old-Associate's",'Pivot Table for 1-11'!$A$3,"State","LA","SREB Type2","Two-Year")</f>
        <v>2432</v>
      </c>
      <c r="D266" s="6">
        <f>+GETPIVOTDATA(" Old-Bachelor's",'Pivot Table for 1-11'!$A$3,"State","LA","SREB Type2","Two-Year")</f>
        <v>131</v>
      </c>
      <c r="E266" s="17">
        <f>+GETPIVOTDATA(" Old-Less Than 2-Year",'Pivot Table for 1-11'!$A$3,"State","LA","SREB Type",7,"SREB Type2","Two-Year")+GETPIVOTDATA(" Old-2 But Less Than 4-Year",'Pivot Table for 1-11'!$A$3,"State","LA","SREB Type",7,"SREB Type2","Two-Year")</f>
        <v>8</v>
      </c>
      <c r="F266" s="40">
        <f>+GETPIVOTDATA(" Old-Associate's",'Pivot Table for 1-11'!$A$3,"State","LA","SREB Type",7,"SREB Type2","Two-Year")</f>
        <v>156</v>
      </c>
      <c r="G266" s="90">
        <f>+GETPIVOTDATA(" Old-Bachelor's",'Pivot Table for 1-11'!$A$3,"State","LA","SREB Type",7,"SREB Type2","Two-Year")</f>
        <v>131</v>
      </c>
      <c r="H266" s="17">
        <f>+GETPIVOTDATA(" Old-Less Than 2-Year",'Pivot Table for 1-11'!$A$3,"State","LA","SREB Type",8,"SREB Type2","Two-Year")+GETPIVOTDATA(" Old-2 But Less Than 4-Year",'Pivot Table for 1-11'!$A$3,"State","LA","SREB Type",8,"SREB Type2","Two-Year")</f>
        <v>222</v>
      </c>
      <c r="I266" s="90">
        <f>+GETPIVOTDATA(" Old-Associate's",'Pivot Table for 1-11'!$A$3,"State","LA","SREB Type",8,"SREB Type2","Two-Year")</f>
        <v>841</v>
      </c>
      <c r="J266" s="17">
        <f>+GETPIVOTDATA(" Old-Less Than 2-Year",'Pivot Table for 1-11'!$A$3,"State","LA","SREB Type",9,"SREB Type2","Two-Year")+GETPIVOTDATA(" Old-2 But Less Than 4-Year",'Pivot Table for 1-11'!$A$3,"State","LA","SREB Type",9,"SREB Type2","Two-Year")</f>
        <v>112</v>
      </c>
      <c r="K266" s="90">
        <f>+GETPIVOTDATA(" Old-Associate's",'Pivot Table for 1-11'!$A$3,"State","LA","SREB Type",9,"SREB Type2","Two-Year")</f>
        <v>859</v>
      </c>
      <c r="L266" s="6">
        <f>+GETPIVOTDATA(" Old-Less Than 2-Year",'Pivot Table for 1-11'!$A$3,"State","LA","SREB Type",10,"SREB Type2","Two-Year")+GETPIVOTDATA(" Old-2 But Less Than 4-Year",'Pivot Table for 1-11'!$A$3,"State","LA","SREB Type",10,"SREB Type2","Two-Year")</f>
        <v>189</v>
      </c>
      <c r="M266" s="6">
        <f>+GETPIVOTDATA(" Old-Associate's",'Pivot Table for 1-11'!$A$3,"State","LA","SREB Type",10,"SREB Type2","Two-Year")</f>
        <v>576</v>
      </c>
      <c r="N266" s="181"/>
      <c r="O266" s="181"/>
      <c r="P266" s="106"/>
    </row>
    <row r="267" spans="1:16" ht="15" customHeight="1">
      <c r="A267" s="5" t="s">
        <v>304</v>
      </c>
      <c r="B267" s="6">
        <f>+GETPIVOTDATA(" Old-Less Than 2-Year",'Pivot Table for 1-11'!$A$3,"State","MD","SREB Type2","Two-Year")+GETPIVOTDATA(" Old-2 But Less Than 4-Year",'Pivot Table for 1-11'!$A$3,"State","MD","SREB Type2","Two-Year")</f>
        <v>2458</v>
      </c>
      <c r="C267" s="6">
        <f>+GETPIVOTDATA(" Old-Associate's",'Pivot Table for 1-11'!$A$3,"State","MD","SREB Type2","Two-Year")</f>
        <v>10254</v>
      </c>
      <c r="D267" s="6">
        <f>+GETPIVOTDATA(" Old-Bachelor's",'Pivot Table for 1-11'!$A$3,"State","MD","SREB Type2","Two-Year")</f>
        <v>0</v>
      </c>
      <c r="E267" s="17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40">
        <f>+GETPIVOTDATA(" Old-Associate's",'Pivot Table for 1-11'!$A$3,"State","MD","SREB Type",7,"SREB Type2","Two-Year")</f>
        <v>0</v>
      </c>
      <c r="G267" s="90">
        <f>+GETPIVOTDATA(" Old-Bachelor's",'Pivot Table for 1-11'!$A$3,"State","MD","SREB Type",7,"SREB Type2","Two-Year")</f>
        <v>0</v>
      </c>
      <c r="H267" s="17">
        <f>+GETPIVOTDATA(" Old-Less Than 2-Year",'Pivot Table for 1-11'!$A$3,"State","MD","SREB Type",8,"SREB Type2","Two-Year")+GETPIVOTDATA(" Old-2 But Less Than 4-Year",'Pivot Table for 1-11'!$A$3,"State","MD","SREB Type",8,"SREB Type2","Two-Year")</f>
        <v>1230</v>
      </c>
      <c r="I267" s="90">
        <f>+GETPIVOTDATA(" Old-Associate's",'Pivot Table for 1-11'!$A$3,"State","MD","SREB Type",8,"SREB Type2","Two-Year")</f>
        <v>5344</v>
      </c>
      <c r="J267" s="17">
        <f>+GETPIVOTDATA(" Old-Less Than 2-Year",'Pivot Table for 1-11'!$A$3,"State","MD","SREB Type",9,"SREB Type2","Two-Year")+GETPIVOTDATA(" Old-2 But Less Than 4-Year",'Pivot Table for 1-11'!$A$3,"State","MD","SREB Type",9,"SREB Type2","Two-Year")</f>
        <v>910</v>
      </c>
      <c r="K267" s="90">
        <f>+GETPIVOTDATA(" Old-Associate's",'Pivot Table for 1-11'!$A$3,"State","MD","SREB Type",9,"SREB Type2","Two-Year")</f>
        <v>3828</v>
      </c>
      <c r="L267" s="6">
        <f>+GETPIVOTDATA(" Old-Less Than 2-Year",'Pivot Table for 1-11'!$A$3,"State","MD","SREB Type",10,"SREB Type2","Two-Year")+GETPIVOTDATA(" Old-2 But Less Than 4-Year",'Pivot Table for 1-11'!$A$3,"State","MD","SREB Type",10,"SREB Type2","Two-Year")</f>
        <v>318</v>
      </c>
      <c r="M267" s="6">
        <f>+GETPIVOTDATA(" Old-Associate's",'Pivot Table for 1-11'!$A$3,"State","MD","SREB Type",10,"SREB Type2","Two-Year")</f>
        <v>1082</v>
      </c>
      <c r="N267" s="181"/>
      <c r="O267" s="181"/>
      <c r="P267" s="106"/>
    </row>
    <row r="268" spans="1:16" ht="15" customHeight="1">
      <c r="A268" s="5"/>
      <c r="B268" s="6"/>
      <c r="C268" s="6"/>
      <c r="D268" s="6"/>
      <c r="E268" s="17"/>
      <c r="F268" s="40"/>
      <c r="G268" s="90"/>
      <c r="H268" s="17"/>
      <c r="I268" s="90"/>
      <c r="J268" s="17"/>
      <c r="K268" s="90"/>
      <c r="L268" s="6"/>
      <c r="M268" s="6"/>
      <c r="N268" s="181"/>
      <c r="O268" s="181"/>
      <c r="P268" s="106"/>
    </row>
    <row r="269" spans="1:16" ht="15" customHeight="1">
      <c r="A269" s="5" t="s">
        <v>305</v>
      </c>
      <c r="B269" s="6">
        <f>+GETPIVOTDATA(" Old-Less Than 2-Year",'Pivot Table for 1-11'!$A$3,"State","MS","SREB Type2","Two-Year")+GETPIVOTDATA(" Old-2 But Less Than 4-Year",'Pivot Table for 1-11'!$A$3,"State","MS","SREB Type2","Two-Year")</f>
        <v>2158</v>
      </c>
      <c r="C269" s="6">
        <f>+GETPIVOTDATA(" Old-Associate's",'Pivot Table for 1-11'!$A$3,"State","MS","SREB Type2","Two-Year")</f>
        <v>8011</v>
      </c>
      <c r="D269" s="6">
        <f>+GETPIVOTDATA(" Old-Bachelor's",'Pivot Table for 1-11'!$A$3,"State","MS","SREB Type2","Two-Year")</f>
        <v>0</v>
      </c>
      <c r="E269" s="17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40">
        <f>+GETPIVOTDATA(" Old-Associate's",'Pivot Table for 1-11'!$A$3,"State","MS","SREB Type",7,"SREB Type2","Two-Year")</f>
        <v>0</v>
      </c>
      <c r="G269" s="90">
        <f>+GETPIVOTDATA(" Old-Bachelor's",'Pivot Table for 1-11'!$A$3,"State","MS","SREB Type",7,"SREB Type2","Two-Year")</f>
        <v>0</v>
      </c>
      <c r="H269" s="17">
        <f>+GETPIVOTDATA(" Old-Less Than 2-Year",'Pivot Table for 1-11'!$A$3,"State","MS","SREB Type",8,"SREB Type2","Two-Year")+GETPIVOTDATA(" Old-2 But Less Than 4-Year",'Pivot Table for 1-11'!$A$3,"State","MS","SREB Type",8,"SREB Type2","Two-Year")</f>
        <v>803</v>
      </c>
      <c r="I269" s="90">
        <f>+GETPIVOTDATA(" Old-Associate's",'Pivot Table for 1-11'!$A$3,"State","MS","SREB Type",8,"SREB Type2","Two-Year")</f>
        <v>3038</v>
      </c>
      <c r="J269" s="17">
        <f>+GETPIVOTDATA(" Old-Less Than 2-Year",'Pivot Table for 1-11'!$A$3,"State","MS","SREB Type",9,"SREB Type2","Two-Year")+GETPIVOTDATA(" Old-2 But Less Than 4-Year",'Pivot Table for 1-11'!$A$3,"State","MS","SREB Type",9,"SREB Type2","Two-Year")</f>
        <v>1194</v>
      </c>
      <c r="K269" s="90">
        <f>+GETPIVOTDATA(" Old-Associate's",'Pivot Table for 1-11'!$A$3,"State","MS","SREB Type",9,"SREB Type2","Two-Year")</f>
        <v>4551</v>
      </c>
      <c r="L269" s="6">
        <f>+GETPIVOTDATA(" Old-Less Than 2-Year",'Pivot Table for 1-11'!$A$3,"State","MS","SREB Type",10,"SREB Type2","Two-Year")+GETPIVOTDATA(" Old-2 But Less Than 4-Year",'Pivot Table for 1-11'!$A$3,"State","MS","SREB Type",10,"SREB Type2","Two-Year")</f>
        <v>161</v>
      </c>
      <c r="M269" s="6">
        <f>+GETPIVOTDATA(" Old-Associate's",'Pivot Table for 1-11'!$A$3,"State","MS","SREB Type",10,"SREB Type2","Two-Year")</f>
        <v>422</v>
      </c>
      <c r="N269" s="181"/>
      <c r="O269" s="181"/>
      <c r="P269" s="106"/>
    </row>
    <row r="270" spans="1:16" ht="15" customHeight="1">
      <c r="A270" s="5" t="s">
        <v>306</v>
      </c>
      <c r="B270" s="6">
        <f>+GETPIVOTDATA(" Old-Less Than 2-Year",'Pivot Table for 1-11'!$A$3,"State","NC","SREB Type2","Two-Year")+GETPIVOTDATA(" Old-2 But Less Than 4-Year",'Pivot Table for 1-11'!$A$3,"State","NC","SREB Type2","Two-Year")</f>
        <v>15527</v>
      </c>
      <c r="C270" s="6">
        <f>+GETPIVOTDATA(" Old-Associate's",'Pivot Table for 1-11'!$A$3,"State","NC","SREB Type2","Two-Year")</f>
        <v>17546</v>
      </c>
      <c r="D270" s="6">
        <f>+GETPIVOTDATA(" Old-Bachelor's",'Pivot Table for 1-11'!$A$3,"State","NC","SREB Type2","Two-Year")</f>
        <v>0</v>
      </c>
      <c r="E270" s="17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40">
        <f>+GETPIVOTDATA(" Old-Associate's",'Pivot Table for 1-11'!$A$3,"State","NC","SREB Type",7,"SREB Type2","Two-Year")</f>
        <v>0</v>
      </c>
      <c r="G270" s="90">
        <f>+GETPIVOTDATA(" Old-Bachelor's",'Pivot Table for 1-11'!$A$3,"State","NC","SREB Type",7,"SREB Type2","Two-Year")</f>
        <v>0</v>
      </c>
      <c r="H270" s="17">
        <f>+GETPIVOTDATA(" Old-Less Than 2-Year",'Pivot Table for 1-11'!$A$3,"State","NC","SREB Type",8,"SREB Type2","Two-Year")+GETPIVOTDATA(" Old-2 But Less Than 4-Year",'Pivot Table for 1-11'!$A$3,"State","NC","SREB Type",8,"SREB Type2","Two-Year")</f>
        <v>5282</v>
      </c>
      <c r="I270" s="90">
        <f>+GETPIVOTDATA(" Old-Associate's",'Pivot Table for 1-11'!$A$3,"State","NC","SREB Type",8,"SREB Type2","Two-Year")</f>
        <v>7493</v>
      </c>
      <c r="J270" s="17">
        <f>+GETPIVOTDATA(" Old-Less Than 2-Year",'Pivot Table for 1-11'!$A$3,"State","NC","SREB Type",9,"SREB Type2","Two-Year")+GETPIVOTDATA(" Old-2 But Less Than 4-Year",'Pivot Table for 1-11'!$A$3,"State","NC","SREB Type",9,"SREB Type2","Two-Year")</f>
        <v>8243</v>
      </c>
      <c r="K270" s="90">
        <f>+GETPIVOTDATA(" Old-Associate's",'Pivot Table for 1-11'!$A$3,"State","NC","SREB Type",9,"SREB Type2","Two-Year")</f>
        <v>8686</v>
      </c>
      <c r="L270" s="6">
        <f>+GETPIVOTDATA(" Old-Less Than 2-Year",'Pivot Table for 1-11'!$A$3,"State","NC","SREB Type",10,"SREB Type2","Two-Year")+GETPIVOTDATA(" Old-2 But Less Than 4-Year",'Pivot Table for 1-11'!$A$3,"State","NC","SREB Type",10,"SREB Type2","Two-Year")</f>
        <v>2002</v>
      </c>
      <c r="M270" s="6">
        <f>+GETPIVOTDATA(" Old-Associate's",'Pivot Table for 1-11'!$A$3,"State","NC","SREB Type",10,"SREB Type2","Two-Year")</f>
        <v>1367</v>
      </c>
      <c r="N270" s="181"/>
      <c r="O270" s="181"/>
      <c r="P270" s="106"/>
    </row>
    <row r="271" spans="1:16" ht="15" customHeight="1">
      <c r="A271" s="5" t="s">
        <v>307</v>
      </c>
      <c r="B271" s="6">
        <f>+GETPIVOTDATA(" Old-Less Than 2-Year",'Pivot Table for 1-11'!$A$3,"State","OK","SREB Type2","Two-Year")+GETPIVOTDATA(" Old-2 But Less Than 4-Year",'Pivot Table for 1-11'!$A$3,"State","OK","SREB Type2","Two-Year")</f>
        <v>544</v>
      </c>
      <c r="C271" s="6">
        <f>+GETPIVOTDATA(" Old-Associate's",'Pivot Table for 1-11'!$A$3,"State","OK","SREB Type2","Two-Year")</f>
        <v>7710</v>
      </c>
      <c r="D271" s="6">
        <f>+GETPIVOTDATA(" Old-Bachelor's",'Pivot Table for 1-11'!$A$3,"State","OK","SREB Type2","Two-Year")</f>
        <v>57</v>
      </c>
      <c r="E271" s="17">
        <f>+GETPIVOTDATA(" Old-Less Than 2-Year",'Pivot Table for 1-11'!$A$3,"State","OK","SREB Type",7,"SREB Type2","Two-Year")+GETPIVOTDATA(" Old-2 But Less Than 4-Year",'Pivot Table for 1-11'!$A$3,"State","OK","SREB Type",7,"SREB Type2","Two-Year")</f>
        <v>0</v>
      </c>
      <c r="F271" s="40">
        <f>+GETPIVOTDATA(" Old-Associate's",'Pivot Table for 1-11'!$A$3,"State","OK","SREB Type",7,"SREB Type2","Two-Year")</f>
        <v>488</v>
      </c>
      <c r="G271" s="90">
        <f>+GETPIVOTDATA(" Old-Bachelor's",'Pivot Table for 1-11'!$A$3,"State","OK","SREB Type",7,"SREB Type2","Two-Year")</f>
        <v>57</v>
      </c>
      <c r="H271" s="17">
        <f>+GETPIVOTDATA(" Old-Less Than 2-Year",'Pivot Table for 1-11'!$A$3,"State","OK","SREB Type",8,"SREB Type2","Two-Year")+GETPIVOTDATA(" Old-2 But Less Than 4-Year",'Pivot Table for 1-11'!$A$3,"State","OK","SREB Type",8,"SREB Type2","Two-Year")</f>
        <v>350</v>
      </c>
      <c r="I271" s="90">
        <f>+GETPIVOTDATA(" Old-Associate's",'Pivot Table for 1-11'!$A$3,"State","OK","SREB Type",8,"SREB Type2","Two-Year")</f>
        <v>3023</v>
      </c>
      <c r="J271" s="17">
        <f>+GETPIVOTDATA(" Old-Less Than 2-Year",'Pivot Table for 1-11'!$A$3,"State","OK","SREB Type",9,"SREB Type2","Two-Year")+GETPIVOTDATA(" Old-2 But Less Than 4-Year",'Pivot Table for 1-11'!$A$3,"State","OK","SREB Type",9,"SREB Type2","Two-Year")</f>
        <v>33</v>
      </c>
      <c r="K271" s="90">
        <f>+GETPIVOTDATA(" Old-Associate's",'Pivot Table for 1-11'!$A$3,"State","OK","SREB Type",9,"SREB Type2","Two-Year")</f>
        <v>1789</v>
      </c>
      <c r="L271" s="6">
        <f>+GETPIVOTDATA(" Old-Less Than 2-Year",'Pivot Table for 1-11'!$A$3,"State","OK","SREB Type",10,"SREB Type2","Two-Year")+GETPIVOTDATA(" Old-2 But Less Than 4-Year",'Pivot Table for 1-11'!$A$3,"State","OK","SREB Type",10,"SREB Type2","Two-Year")</f>
        <v>161</v>
      </c>
      <c r="M271" s="6">
        <f>+GETPIVOTDATA(" Old-Associate's",'Pivot Table for 1-11'!$A$3,"State","OK","SREB Type",10,"SREB Type2","Two-Year")</f>
        <v>2410</v>
      </c>
      <c r="N271" s="181"/>
      <c r="O271" s="181"/>
      <c r="P271" s="106"/>
    </row>
    <row r="272" spans="1:16" ht="15" customHeight="1">
      <c r="A272" s="5" t="s">
        <v>308</v>
      </c>
      <c r="B272" s="6">
        <f>+GETPIVOTDATA(" Old-Less Than 2-Year",'Pivot Table for 1-11'!$A$3,"State","SC","SREB Type2","Two-Year")+GETPIVOTDATA(" Old-2 But Less Than 4-Year",'Pivot Table for 1-11'!$A$3,"State","SC","SREB Type2","Two-Year")</f>
        <v>6916</v>
      </c>
      <c r="C272" s="6">
        <f>+GETPIVOTDATA(" Old-Associate's",'Pivot Table for 1-11'!$A$3,"State","SC","SREB Type2","Two-Year")</f>
        <v>6968</v>
      </c>
      <c r="D272" s="6">
        <f>+GETPIVOTDATA(" Old-Bachelor's",'Pivot Table for 1-11'!$A$3,"State","SC","SREB Type2","Two-Year")</f>
        <v>0</v>
      </c>
      <c r="E272" s="17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40">
        <f>+GETPIVOTDATA(" Old-Associate's",'Pivot Table for 1-11'!$A$3,"State","SC","SREB Type",7,"SREB Type2","Two-Year")</f>
        <v>0</v>
      </c>
      <c r="G272" s="90">
        <f>+GETPIVOTDATA(" Old-Bachelor's",'Pivot Table for 1-11'!$A$3,"State","SC","SREB Type",7,"SREB Type2","Two-Year")</f>
        <v>0</v>
      </c>
      <c r="H272" s="17">
        <f>+GETPIVOTDATA(" Old-Less Than 2-Year",'Pivot Table for 1-11'!$A$3,"State","SC","SREB Type",8,"SREB Type2","Two-Year")+GETPIVOTDATA(" Old-2 But Less Than 4-Year",'Pivot Table for 1-11'!$A$3,"State","SC","SREB Type",8,"SREB Type2","Two-Year")</f>
        <v>3200</v>
      </c>
      <c r="I272" s="90">
        <f>+GETPIVOTDATA(" Old-Associate's",'Pivot Table for 1-11'!$A$3,"State","SC","SREB Type",8,"SREB Type2","Two-Year")</f>
        <v>2853</v>
      </c>
      <c r="J272" s="17">
        <f>+GETPIVOTDATA(" Old-Less Than 2-Year",'Pivot Table for 1-11'!$A$3,"State","SC","SREB Type",9,"SREB Type2","Two-Year")+GETPIVOTDATA(" Old-2 But Less Than 4-Year",'Pivot Table for 1-11'!$A$3,"State","SC","SREB Type",9,"SREB Type2","Two-Year")</f>
        <v>3236</v>
      </c>
      <c r="K272" s="90">
        <f>+GETPIVOTDATA(" Old-Associate's",'Pivot Table for 1-11'!$A$3,"State","SC","SREB Type",9,"SREB Type2","Two-Year")</f>
        <v>3300</v>
      </c>
      <c r="L272" s="6">
        <f>+GETPIVOTDATA(" Old-Less Than 2-Year",'Pivot Table for 1-11'!$A$3,"State","SC","SREB Type",10,"SREB Type2","Two-Year")+GETPIVOTDATA(" Old-2 But Less Than 4-Year",'Pivot Table for 1-11'!$A$3,"State","SC","SREB Type",10,"SREB Type2","Two-Year")</f>
        <v>480</v>
      </c>
      <c r="M272" s="6">
        <f>+GETPIVOTDATA(" Old-Associate's",'Pivot Table for 1-11'!$A$3,"State","SC","SREB Type",10,"SREB Type2","Two-Year")</f>
        <v>815</v>
      </c>
      <c r="N272" s="181"/>
      <c r="O272" s="181"/>
      <c r="P272" s="106"/>
    </row>
    <row r="273" spans="1:22" ht="15" customHeight="1">
      <c r="A273" s="5"/>
      <c r="B273" s="6"/>
      <c r="C273" s="6"/>
      <c r="D273" s="6"/>
      <c r="E273" s="17"/>
      <c r="F273" s="40"/>
      <c r="G273" s="90"/>
      <c r="H273" s="17"/>
      <c r="I273" s="90"/>
      <c r="J273" s="17"/>
      <c r="K273" s="90"/>
      <c r="L273" s="6"/>
      <c r="M273" s="6"/>
      <c r="N273" s="181"/>
      <c r="O273" s="181"/>
      <c r="P273" s="106"/>
    </row>
    <row r="274" spans="1:22" ht="15" customHeight="1">
      <c r="A274" s="5" t="s">
        <v>309</v>
      </c>
      <c r="B274" s="6">
        <f>+GETPIVOTDATA(" Old-Less Than 2-Year",'Pivot Table for 1-11'!$A$3,"State","TN","SREB Type2","Two-Year")+GETPIVOTDATA(" Old-2 But Less Than 4-Year",'Pivot Table for 1-11'!$A$3,"State","TN","SREB Type2","Two-Year")</f>
        <v>1518</v>
      </c>
      <c r="C274" s="6">
        <f>+GETPIVOTDATA(" Old-Associate's",'Pivot Table for 1-11'!$A$3,"State","TN","SREB Type2","Two-Year")</f>
        <v>6716</v>
      </c>
      <c r="D274" s="6">
        <f>+GETPIVOTDATA(" Old-Bachelor's",'Pivot Table for 1-11'!$A$3,"State","TN","SREB Type2","Two-Year")</f>
        <v>0</v>
      </c>
      <c r="E274" s="17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40">
        <f>+GETPIVOTDATA(" Old-Associate's",'Pivot Table for 1-11'!$A$3,"State","TN","SREB Type",7,"SREB Type2","Two-Year")</f>
        <v>0</v>
      </c>
      <c r="G274" s="90">
        <f>+GETPIVOTDATA(" Old-Bachelor's",'Pivot Table for 1-11'!$A$3,"State","TN","SREB Type",7,"SREB Type2","Two-Year")</f>
        <v>0</v>
      </c>
      <c r="H274" s="17">
        <f>+GETPIVOTDATA(" Old-Less Than 2-Year",'Pivot Table for 1-11'!$A$3,"State","TN","SREB Type",8,"SREB Type2","Two-Year")+GETPIVOTDATA(" Old-2 But Less Than 4-Year",'Pivot Table for 1-11'!$A$3,"State","TN","SREB Type",8,"SREB Type2","Two-Year")</f>
        <v>542</v>
      </c>
      <c r="I274" s="90">
        <f>+GETPIVOTDATA(" Old-Associate's",'Pivot Table for 1-11'!$A$3,"State","TN","SREB Type",8,"SREB Type2","Two-Year")</f>
        <v>2037</v>
      </c>
      <c r="J274" s="17">
        <f>+GETPIVOTDATA(" Old-Less Than 2-Year",'Pivot Table for 1-11'!$A$3,"State","TN","SREB Type",9,"SREB Type2","Two-Year")+GETPIVOTDATA(" Old-2 But Less Than 4-Year",'Pivot Table for 1-11'!$A$3,"State","TN","SREB Type",9,"SREB Type2","Two-Year")</f>
        <v>967</v>
      </c>
      <c r="K274" s="90">
        <f>+GETPIVOTDATA(" Old-Associate's",'Pivot Table for 1-11'!$A$3,"State","TN","SREB Type",9,"SREB Type2","Two-Year")</f>
        <v>4492</v>
      </c>
      <c r="L274" s="6">
        <f>+GETPIVOTDATA(" Old-Less Than 2-Year",'Pivot Table for 1-11'!$A$3,"State","TN","SREB Type",10,"SREB Type2","Two-Year")+GETPIVOTDATA(" Old-2 But Less Than 4-Year",'Pivot Table for 1-11'!$A$3,"State","TN","SREB Type",10,"SREB Type2","Two-Year")</f>
        <v>9</v>
      </c>
      <c r="M274" s="6">
        <f>+GETPIVOTDATA(" Old-Associate's",'Pivot Table for 1-11'!$A$3,"State","TN","SREB Type",10,"SREB Type2","Two-Year")</f>
        <v>187</v>
      </c>
      <c r="N274" s="181"/>
      <c r="O274" s="181"/>
      <c r="P274" s="106"/>
    </row>
    <row r="275" spans="1:22" ht="15" customHeight="1">
      <c r="A275" s="5" t="s">
        <v>310</v>
      </c>
      <c r="B275" s="6">
        <f>+GETPIVOTDATA(" Old-Less Than 2-Year",'Pivot Table for 1-11'!$A$3,"State","TX","SREB Type2","Two-Year")+GETPIVOTDATA(" Old-2 But Less Than 4-Year",'Pivot Table for 1-11'!$A$3,"State","TX","SREB Type2","Two-Year")</f>
        <v>20100</v>
      </c>
      <c r="C275" s="6">
        <f>+GETPIVOTDATA(" Old-Associate's",'Pivot Table for 1-11'!$A$3,"State","TX","SREB Type2","Two-Year")</f>
        <v>38903</v>
      </c>
      <c r="D275" s="6">
        <f>+GETPIVOTDATA(" Old-Bachelor's",'Pivot Table for 1-11'!$A$3,"State","TX","SREB Type2","Two-Year")</f>
        <v>46</v>
      </c>
      <c r="E275" s="17">
        <f>+GETPIVOTDATA(" Old-Less Than 2-Year",'Pivot Table for 1-11'!$A$3,"State","TX","SREB Type",7,"SREB Type2","Two-Year")+GETPIVOTDATA(" Old-2 But Less Than 4-Year",'Pivot Table for 1-11'!$A$3,"State","TX","SREB Type",7,"SREB Type2","Two-Year")</f>
        <v>862</v>
      </c>
      <c r="F275" s="40">
        <f>+GETPIVOTDATA(" Old-Associate's",'Pivot Table for 1-11'!$A$3,"State","TX","SREB Type",7,"SREB Type2","Two-Year")</f>
        <v>2073</v>
      </c>
      <c r="G275" s="90">
        <f>+GETPIVOTDATA(" Old-Bachelor's",'Pivot Table for 1-11'!$A$3,"State","TX","SREB Type",7,"SREB Type2","Two-Year")</f>
        <v>46</v>
      </c>
      <c r="H275" s="17">
        <f>+GETPIVOTDATA(" Old-Less Than 2-Year",'Pivot Table for 1-11'!$A$3,"State","TX","SREB Type",8,"SREB Type2","Two-Year")+GETPIVOTDATA(" Old-2 But Less Than 4-Year",'Pivot Table for 1-11'!$A$3,"State","TX","SREB Type",8,"SREB Type2","Two-Year")</f>
        <v>10344</v>
      </c>
      <c r="I275" s="90">
        <f>+GETPIVOTDATA(" Old-Associate's",'Pivot Table for 1-11'!$A$3,"State","TX","SREB Type",8,"SREB Type2","Two-Year")</f>
        <v>25331</v>
      </c>
      <c r="J275" s="17">
        <f>+GETPIVOTDATA(" Old-Less Than 2-Year",'Pivot Table for 1-11'!$A$3,"State","TX","SREB Type",9,"SREB Type2","Two-Year")+GETPIVOTDATA(" Old-2 But Less Than 4-Year",'Pivot Table for 1-11'!$A$3,"State","TX","SREB Type",9,"SREB Type2","Two-Year")</f>
        <v>7391</v>
      </c>
      <c r="K275" s="90">
        <f>+GETPIVOTDATA(" Old-Associate's",'Pivot Table for 1-11'!$A$3,"State","TX","SREB Type",9,"SREB Type2","Two-Year")</f>
        <v>9889</v>
      </c>
      <c r="L275" s="6">
        <f>+GETPIVOTDATA(" Old-Less Than 2-Year",'Pivot Table for 1-11'!$A$3,"State","TX","SREB Type",10,"SREB Type2","Two-Year")+GETPIVOTDATA(" Old-2 But Less Than 4-Year",'Pivot Table for 1-11'!$A$3,"State","TX","SREB Type",10,"SREB Type2","Two-Year")</f>
        <v>1503</v>
      </c>
      <c r="M275" s="6">
        <f>+GETPIVOTDATA(" Old-Associate's",'Pivot Table for 1-11'!$A$3,"State","TX","SREB Type",10,"SREB Type2","Two-Year")</f>
        <v>1610</v>
      </c>
      <c r="N275" s="181"/>
      <c r="O275" s="181"/>
      <c r="P275" s="106"/>
    </row>
    <row r="276" spans="1:22" ht="15" customHeight="1">
      <c r="A276" s="5" t="s">
        <v>311</v>
      </c>
      <c r="B276" s="6">
        <f>+GETPIVOTDATA(" Old-Less Than 2-Year",'Pivot Table for 1-11'!$A$3,"State","VA","SREB Type2","Two-Year")+GETPIVOTDATA(" Old-2 But Less Than 4-Year",'Pivot Table for 1-11'!$A$3,"State","VA","SREB Type2","Two-Year")</f>
        <v>4886</v>
      </c>
      <c r="C276" s="6">
        <f>+GETPIVOTDATA(" Old-Associate's",'Pivot Table for 1-11'!$A$3,"State","VA","SREB Type2","Two-Year")</f>
        <v>12274</v>
      </c>
      <c r="D276" s="6">
        <f>+GETPIVOTDATA(" Old-Bachelor's",'Pivot Table for 1-11'!$A$3,"State","VA","SREB Type2","Two-Year")</f>
        <v>0</v>
      </c>
      <c r="E276" s="17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40">
        <f>+GETPIVOTDATA(" Old-Associate's",'Pivot Table for 1-11'!$A$3,"State","VA","SREB Type",7,"SREB Type2","Two-Year")</f>
        <v>0</v>
      </c>
      <c r="G276" s="90">
        <f>+GETPIVOTDATA(" Old-Bachelor's",'Pivot Table for 1-11'!$A$3,"State","VA","SREB Type",7,"SREB Type2","Two-Year")</f>
        <v>0</v>
      </c>
      <c r="H276" s="17">
        <f>+GETPIVOTDATA(" Old-Less Than 2-Year",'Pivot Table for 1-11'!$A$3,"State","VA","SREB Type",8,"SREB Type2","Two-Year")+GETPIVOTDATA(" Old-2 But Less Than 4-Year",'Pivot Table for 1-11'!$A$3,"State","VA","SREB Type",8,"SREB Type2","Two-Year")</f>
        <v>1374</v>
      </c>
      <c r="I276" s="90">
        <f>+GETPIVOTDATA(" Old-Associate's",'Pivot Table for 1-11'!$A$3,"State","VA","SREB Type",8,"SREB Type2","Two-Year")</f>
        <v>6597</v>
      </c>
      <c r="J276" s="17">
        <f>+GETPIVOTDATA(" Old-Less Than 2-Year",'Pivot Table for 1-11'!$A$3,"State","VA","SREB Type",9,"SREB Type2","Two-Year")+GETPIVOTDATA(" Old-2 But Less Than 4-Year",'Pivot Table for 1-11'!$A$3,"State","VA","SREB Type",9,"SREB Type2","Two-Year")</f>
        <v>2309</v>
      </c>
      <c r="K276" s="90">
        <f>+GETPIVOTDATA(" Old-Associate's",'Pivot Table for 1-11'!$A$3,"State","VA","SREB Type",9,"SREB Type2","Two-Year")</f>
        <v>4204</v>
      </c>
      <c r="L276" s="6">
        <f>+GETPIVOTDATA(" Old-Less Than 2-Year",'Pivot Table for 1-11'!$A$3,"State","VA","SREB Type",10,"SREB Type2","Two-Year")+GETPIVOTDATA(" Old-2 But Less Than 4-Year",'Pivot Table for 1-11'!$A$3,"State","VA","SREB Type",10,"SREB Type2","Two-Year")</f>
        <v>1203</v>
      </c>
      <c r="M276" s="6">
        <f>+GETPIVOTDATA(" Old-Associate's",'Pivot Table for 1-11'!$A$3,"State","VA","SREB Type",10,"SREB Type2","Two-Year")</f>
        <v>1473</v>
      </c>
      <c r="N276" s="181"/>
      <c r="O276" s="181"/>
      <c r="P276" s="106"/>
    </row>
    <row r="277" spans="1:22" ht="15" customHeight="1">
      <c r="A277" s="7" t="s">
        <v>312</v>
      </c>
      <c r="B277" s="8">
        <f>+GETPIVOTDATA(" Old-Less Than 2-Year",'Pivot Table for 1-11'!$A$3,"State","WV","SREB Type2","Two-Year")+GETPIVOTDATA(" Old-2 But Less Than 4-Year",'Pivot Table for 1-11'!$A$3,"State","WV","SREB Type2","Two-Year")</f>
        <v>548</v>
      </c>
      <c r="C277" s="8">
        <f>+GETPIVOTDATA(" Old-Associate's",'Pivot Table for 1-11'!$A$3,"State","WV","SREB Type2","Two-Year")</f>
        <v>2371</v>
      </c>
      <c r="D277" s="8">
        <f>+GETPIVOTDATA(" Old-Bachelor's",'Pivot Table for 1-11'!$A$3,"State","WV","SREB Type2","Two-Year")</f>
        <v>206</v>
      </c>
      <c r="E277" s="18">
        <f>+GETPIVOTDATA(" Old-Less Than 2-Year",'Pivot Table for 1-11'!$A$3,"State","WV","SREB Type",7,"SREB Type2","Two-Year")+GETPIVOTDATA(" Old-2 But Less Than 4-Year",'Pivot Table for 1-11'!$A$3,"State","WV","SREB Type",7,"SREB Type2","Two-Year")</f>
        <v>53</v>
      </c>
      <c r="F277" s="8">
        <f>+GETPIVOTDATA(" Old-Associate's",'Pivot Table for 1-11'!$A$3,"State","WV","SREB Type",7,"SREB Type2","Two-Year")</f>
        <v>518</v>
      </c>
      <c r="G277" s="91">
        <f>+GETPIVOTDATA(" Old-Bachelor's",'Pivot Table for 1-11'!$A$3,"State","WV","SREB Type",7,"SREB Type2","Two-Year")</f>
        <v>206</v>
      </c>
      <c r="H277" s="18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91">
        <f>+GETPIVOTDATA(" Old-Associate's",'Pivot Table for 1-11'!$A$3,"State","WV","SREB Type",8,"SREB Type2","Two-Year")</f>
        <v>0</v>
      </c>
      <c r="J277" s="18">
        <f>+GETPIVOTDATA(" Old-Less Than 2-Year",'Pivot Table for 1-11'!$A$3,"State","WV","SREB Type",9,"SREB Type2","Two-Year")+GETPIVOTDATA(" Old-2 But Less Than 4-Year",'Pivot Table for 1-11'!$A$3,"State","WV","SREB Type",9,"SREB Type2","Two-Year")</f>
        <v>111</v>
      </c>
      <c r="K277" s="91">
        <f>+GETPIVOTDATA(" Old-Associate's",'Pivot Table for 1-11'!$A$3,"State","WV","SREB Type",9,"SREB Type2","Two-Year")</f>
        <v>313</v>
      </c>
      <c r="L277" s="8">
        <f>+GETPIVOTDATA(" Old-Less Than 2-Year",'Pivot Table for 1-11'!$A$3,"State","WV","SREB Type",10,"SREB Type2","Two-Year")+GETPIVOTDATA(" Old-2 But Less Than 4-Year",'Pivot Table for 1-11'!$A$3,"State","WV","SREB Type",10,"SREB Type2","Two-Year")</f>
        <v>384</v>
      </c>
      <c r="M277" s="8">
        <f>+GETPIVOTDATA(" Old-Associate's",'Pivot Table for 1-11'!$A$3,"State","WV","SREB Type",10,"SREB Type2","Two-Year")</f>
        <v>1540</v>
      </c>
      <c r="N277" s="186"/>
      <c r="O277" s="186"/>
    </row>
    <row r="278" spans="1:22" s="43" customFormat="1" ht="15" customHeight="1">
      <c r="A278" s="39"/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87"/>
      <c r="O278" s="87"/>
      <c r="P278" s="85"/>
      <c r="T278" s="3"/>
      <c r="U278" s="3"/>
      <c r="V278" s="3"/>
    </row>
    <row r="279" spans="1:22" s="43" customFormat="1" ht="15.75" customHeight="1">
      <c r="A279" s="767" t="s">
        <v>34</v>
      </c>
      <c r="B279" s="768"/>
      <c r="C279" s="768"/>
      <c r="D279" s="768"/>
      <c r="E279" s="768"/>
      <c r="F279" s="768"/>
      <c r="G279" s="768"/>
      <c r="H279" s="768"/>
      <c r="I279" s="768"/>
      <c r="J279" s="768"/>
      <c r="K279" s="768"/>
      <c r="L279" s="768"/>
      <c r="M279" s="768"/>
      <c r="N279" s="768"/>
      <c r="O279" s="768"/>
      <c r="P279" s="768"/>
    </row>
    <row r="280" spans="1:22" s="43" customFormat="1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184" t="s">
        <v>1267</v>
      </c>
      <c r="N280" s="184"/>
      <c r="O280" s="184"/>
      <c r="P280" s="185"/>
    </row>
    <row r="281" spans="1:22" ht="18">
      <c r="A281" s="22" t="s">
        <v>328</v>
      </c>
      <c r="B281" s="1"/>
      <c r="C281" s="1"/>
      <c r="D281" s="1"/>
      <c r="E281" s="1"/>
      <c r="F281" s="1"/>
      <c r="G281" s="1"/>
      <c r="H281" s="1"/>
      <c r="I281" s="1"/>
      <c r="J281" s="1" t="s">
        <v>321</v>
      </c>
      <c r="K281" s="1"/>
      <c r="L281" s="1"/>
      <c r="N281" s="93"/>
      <c r="O281" s="93"/>
      <c r="P281" s="93"/>
    </row>
    <row r="282" spans="1:2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 t="s">
        <v>321</v>
      </c>
      <c r="K282" s="4"/>
      <c r="L282" s="4"/>
      <c r="M282" s="4"/>
      <c r="N282" s="92"/>
      <c r="O282" s="92"/>
      <c r="P282" s="92"/>
    </row>
    <row r="283" spans="1:22" ht="15.75">
      <c r="A283" s="1" t="s">
        <v>285</v>
      </c>
      <c r="B283" s="1"/>
      <c r="C283" s="1"/>
      <c r="D283" s="1"/>
      <c r="E283" s="1"/>
      <c r="F283" s="1"/>
      <c r="G283" s="1"/>
      <c r="H283" s="1"/>
      <c r="I283" s="1"/>
      <c r="J283" s="1" t="s">
        <v>321</v>
      </c>
      <c r="K283" s="1"/>
      <c r="L283" s="1"/>
      <c r="M283" s="1"/>
      <c r="N283" s="93"/>
      <c r="O283" s="93"/>
      <c r="P283" s="93"/>
    </row>
    <row r="284" spans="1:22" ht="15.75">
      <c r="A284" s="1" t="s">
        <v>1317</v>
      </c>
      <c r="B284" s="1"/>
      <c r="C284" s="1"/>
      <c r="D284" s="1"/>
      <c r="E284" s="1"/>
      <c r="F284" s="1"/>
      <c r="G284" s="1"/>
      <c r="H284" s="1"/>
      <c r="I284" s="1"/>
      <c r="J284" s="1" t="s">
        <v>321</v>
      </c>
      <c r="K284" s="1"/>
      <c r="L284" s="1"/>
      <c r="M284" s="1"/>
      <c r="N284" s="93"/>
      <c r="O284" s="93"/>
      <c r="P284" s="93"/>
    </row>
    <row r="285" spans="1:22" ht="13.5" customHeight="1">
      <c r="A285" s="4"/>
      <c r="B285" s="4"/>
      <c r="C285" s="4"/>
      <c r="D285" s="4"/>
      <c r="E285" s="4"/>
      <c r="F285" s="4"/>
      <c r="G285" s="4"/>
      <c r="H285" s="4"/>
      <c r="I285" s="4"/>
    </row>
    <row r="286" spans="1:22" ht="52.5" customHeight="1">
      <c r="A286" s="11"/>
      <c r="B286" s="585" t="s">
        <v>329</v>
      </c>
      <c r="C286" s="586"/>
      <c r="D286" s="585" t="s">
        <v>330</v>
      </c>
      <c r="E286" s="586"/>
      <c r="F286" s="585" t="s">
        <v>331</v>
      </c>
      <c r="G286" s="586"/>
      <c r="H286" s="585" t="s">
        <v>33</v>
      </c>
      <c r="I286" s="585"/>
    </row>
    <row r="287" spans="1:22" ht="32.25" customHeight="1">
      <c r="A287" s="14"/>
      <c r="B287" s="15" t="s">
        <v>696</v>
      </c>
      <c r="C287" s="15" t="s">
        <v>327</v>
      </c>
      <c r="D287" s="16" t="s">
        <v>696</v>
      </c>
      <c r="E287" s="15" t="s">
        <v>327</v>
      </c>
      <c r="F287" s="16" t="s">
        <v>696</v>
      </c>
      <c r="G287" s="15" t="s">
        <v>327</v>
      </c>
      <c r="H287" s="16" t="s">
        <v>696</v>
      </c>
      <c r="I287" s="15" t="s">
        <v>327</v>
      </c>
    </row>
    <row r="288" spans="1:22" ht="15" customHeight="1">
      <c r="A288" s="5" t="s">
        <v>296</v>
      </c>
      <c r="B288" s="6">
        <f>+GETPIVOTDATA(" Old-Less Than 2-Year",'Pivot Table for 1-11'!$A$3,"SREB Type2","Technical")+GETPIVOTDATA(" Old-2 But Less Than 4-Year",'Pivot Table for 1-11'!$A$3,"SREB Type2","Technical")</f>
        <v>50414</v>
      </c>
      <c r="C288" s="6">
        <f>+GETPIVOTDATA(" Old-Associate's",'Pivot Table for 1-11'!$A$3,"SREB Type2","Technical")</f>
        <v>4927</v>
      </c>
      <c r="D288" s="375">
        <f>+GETPIVOTDATA(" Old-Less Than 2-Year",'Pivot Table for 1-11'!$A$3,"SREB Type",12,"SREB Type2","Technical")+GETPIVOTDATA(" Old-2 But Less Than 4-Year",'Pivot Table for 1-11'!$A$3,"SREB Type",12,"SREB Type2","Technical")</f>
        <v>33561</v>
      </c>
      <c r="E288" s="377">
        <f>+GETPIVOTDATA(" Old-Associate's",'Pivot Table for 1-11'!$A$3,"SREB Type",12,"SREB Type2","Technical")</f>
        <v>4460</v>
      </c>
      <c r="F288" s="375">
        <f>+GETPIVOTDATA(" Old-Less Than 2-Year",'Pivot Table for 1-11'!$A$3,"SREB Type",13,"SREB Type2","Technical")+GETPIVOTDATA(" Old-2 But Less Than 4-Year",'Pivot Table for 1-11'!$A$3,"SREB Type",13,"SREB Type2","Technical")</f>
        <v>14178</v>
      </c>
      <c r="G288" s="377">
        <f>+GETPIVOTDATA(" Old-Associate's",'Pivot Table for 1-11'!$A$3,"SREB Type",13,"SREB Type2","Technical")</f>
        <v>192</v>
      </c>
      <c r="H288" s="6">
        <f>+GETPIVOTDATA(" Old-Less Than 2-Year",'Pivot Table for 1-11'!$A$3,"SREB Type",14,"SREB Type2","Technical")+GETPIVOTDATA(" Old-2 But Less Than 4-Year",'Pivot Table for 1-11'!$A$3,"SREB Type",14,"SREB Type2","Technical")</f>
        <v>2675</v>
      </c>
      <c r="I288" s="6">
        <f>+GETPIVOTDATA(" Old-Associate's",'Pivot Table for 1-11'!$A$3,"SREB Type",14,"SREB Type2","Technical")</f>
        <v>275</v>
      </c>
    </row>
    <row r="289" spans="1:9" ht="15" customHeight="1">
      <c r="A289" s="5"/>
      <c r="B289" s="6"/>
      <c r="C289" s="6"/>
      <c r="D289" s="17"/>
      <c r="E289" s="90"/>
      <c r="F289" s="17"/>
      <c r="G289" s="90"/>
      <c r="H289" s="6"/>
      <c r="I289" s="6"/>
    </row>
    <row r="290" spans="1:9" ht="15" customHeight="1">
      <c r="A290" s="5" t="s">
        <v>297</v>
      </c>
      <c r="B290" s="6">
        <f>+GETPIVOTDATA(" Old-Less Than 2-Year",'Pivot Table for 1-11'!$A$3,"State","AL","SREB Type2","Technical")+GETPIVOTDATA(" Old-2 But Less Than 4-Year",'Pivot Table for 1-11'!$A$3,"State","AL","SREB Type2","Technical")</f>
        <v>741</v>
      </c>
      <c r="C290" s="6">
        <f>+GETPIVOTDATA(" Old-Associate's",'Pivot Table for 1-11'!$A$3,"State","AL","SREB Type2","Technical")</f>
        <v>231</v>
      </c>
      <c r="D290" s="17">
        <f>GETPIVOTDATA(" Old-Less Than 2-Year",'Pivot Table for 1-11'!$A$3,"State","AL")+GETPIVOTDATA(" Old-2 But Less Than 4-Year",'Pivot Table for 1-11'!$A$3,"State","AL","SREB Type",12,"SREB Type2","Technical")</f>
        <v>4092</v>
      </c>
      <c r="E290" s="90">
        <f>+GETPIVOTDATA(" Old-Associate's",'Pivot Table for 1-11'!$A$3,"State","AL","SREB Type",12,"SREB Type2","Technical")</f>
        <v>127</v>
      </c>
      <c r="F290" s="17">
        <f>GETPIVOTDATA(" Old-Less Than 2-Year",'Pivot Table for 1-11'!$A$3,"State","AL")+GETPIVOTDATA(" Old-2 But Less Than 4-Year",'Pivot Table for 1-11'!$A$3,"State","AL","SREB Type",13,"SREB Type2","Technical")</f>
        <v>4092</v>
      </c>
      <c r="G290" s="90">
        <f>+GETPIVOTDATA(" Old-Associate's",'Pivot Table for 1-11'!$A$3,"State","AL","SREB Type",13,"SREB Type2","Technical")</f>
        <v>104</v>
      </c>
      <c r="H290" s="6">
        <f>GETPIVOTDATA(" Old-Less Than 2-Year",'Pivot Table for 1-11'!$A$3,"State","AL")+GETPIVOTDATA(" Old-2 But Less Than 4-Year",'Pivot Table for 1-11'!$A$3,"State","AL","SREB Type",14,"SREB Type2","Technical")</f>
        <v>4092</v>
      </c>
      <c r="I290" s="6">
        <f>+GETPIVOTDATA(" Old-Associate's",'Pivot Table for 1-11'!$A$3,"State","AL","SREB Type",14,"SREB Type2","Technical")</f>
        <v>0</v>
      </c>
    </row>
    <row r="291" spans="1:9" ht="15" customHeight="1">
      <c r="A291" s="5" t="s">
        <v>298</v>
      </c>
      <c r="B291" s="6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6">
        <f>+GETPIVOTDATA(" Old-Associate's",'Pivot Table for 1-11'!$A$3,"State","AR","SREB Type2","Technical")</f>
        <v>0</v>
      </c>
      <c r="D291" s="17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90">
        <f>+GETPIVOTDATA(" Old-Associate's",'Pivot Table for 1-11'!$A$3,"State","AR","SREB Type",12,"SREB Type2","Technical")</f>
        <v>0</v>
      </c>
      <c r="F291" s="17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90">
        <f>+GETPIVOTDATA(" Old-Associate's",'Pivot Table for 1-11'!$A$3,"State","AR","SREB Type",13,"SREB Type2","Technical")</f>
        <v>0</v>
      </c>
      <c r="H291" s="6">
        <f>+GETPIVOTDATA(" Old-Less Than 2-Year",'Pivot Table for 1-11'!$A$3,"State","AR","SREB Type",14,"SREB Type2","Technical")+GETPIVOTDATA(" Old-2 But Less Than 4-Year",'Pivot Table for 1-11'!$A$3,"State","AR","SREB Type",14,"SREB Type2","Technical")</f>
        <v>0</v>
      </c>
      <c r="I291" s="6">
        <f>+GETPIVOTDATA(" Old-Associate's",'Pivot Table for 1-11'!$A$3,"State","AR","SREB Type",14,"SREB Type2","Technical")</f>
        <v>0</v>
      </c>
    </row>
    <row r="292" spans="1:9" ht="15" customHeight="1">
      <c r="A292" s="5" t="s">
        <v>299</v>
      </c>
      <c r="B292" s="6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6">
        <f>+GETPIVOTDATA(" Old-Associate's",'Pivot Table for 1-11'!$A$3,"State","DE","SREB Type2","Technical")</f>
        <v>0</v>
      </c>
      <c r="D292" s="17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90">
        <f>+GETPIVOTDATA(" Old-Associate's",'Pivot Table for 1-11'!$A$3,"State","DE","SREB Type",12,"SREB Type2","Technical")</f>
        <v>0</v>
      </c>
      <c r="F292" s="17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90">
        <f>+GETPIVOTDATA(" Old-Associate's",'Pivot Table for 1-11'!$A$3,"State","DE","SREB Type",13,"SREB Type2","Technical")</f>
        <v>0</v>
      </c>
      <c r="H292" s="6">
        <f>+GETPIVOTDATA(" Old-Less Than 2-Year",'Pivot Table for 1-11'!$A$3,"State","DE","SREB Type",14,"SREB Type2","Technical")+GETPIVOTDATA(" Old-2 But Less Than 4-Year",'Pivot Table for 1-11'!$A$3,"State","DE","SREB Type",14,"SREB Type2","Technical")</f>
        <v>0</v>
      </c>
      <c r="I292" s="6">
        <f>+GETPIVOTDATA(" Old-Associate's",'Pivot Table for 1-11'!$A$3,"State","DE","SREB Type",14,"SREB Type2","Technical")</f>
        <v>0</v>
      </c>
    </row>
    <row r="293" spans="1:9" ht="15" customHeight="1">
      <c r="A293" s="5" t="s">
        <v>300</v>
      </c>
      <c r="B293" s="6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6">
        <f>+GETPIVOTDATA(" Old-Associate's",'Pivot Table for 1-11'!$A$3,"State","FL","SREB Type2","Technical")</f>
        <v>0</v>
      </c>
      <c r="D293" s="17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90">
        <f>+GETPIVOTDATA(" Old-Associate's",'Pivot Table for 1-11'!$A$3,"State","FL","SREB Type",12,"SREB Type2","Technical")</f>
        <v>0</v>
      </c>
      <c r="F293" s="17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90">
        <f>+GETPIVOTDATA(" Old-Associate's",'Pivot Table for 1-11'!$A$3,"State","FL","SREB Type",13,"SREB Type2","Technical")</f>
        <v>0</v>
      </c>
      <c r="H293" s="6">
        <f>+GETPIVOTDATA(" Old-Less Than 2-Year",'Pivot Table for 1-11'!$A$3,"State","FL","SREB Type",14,"SREB Type2","Technical")+GETPIVOTDATA(" Old-2 But Less Than 4-Year",'Pivot Table for 1-11'!$A$3,"State","FL","SREB Type",14,"SREB Type2","Technical")</f>
        <v>0</v>
      </c>
      <c r="I293" s="6">
        <f>+GETPIVOTDATA(" Old-Associate's",'Pivot Table for 1-11'!$A$3,"State","FL","SREB Type",14,"SREB Type2","Technical")</f>
        <v>0</v>
      </c>
    </row>
    <row r="294" spans="1:9" ht="15" customHeight="1">
      <c r="A294" s="5"/>
      <c r="B294" s="6"/>
      <c r="C294" s="6"/>
      <c r="D294" s="17"/>
      <c r="E294" s="90"/>
      <c r="F294" s="17"/>
      <c r="G294" s="90"/>
      <c r="H294" s="6"/>
      <c r="I294" s="6"/>
    </row>
    <row r="295" spans="1:9" ht="15" customHeight="1">
      <c r="A295" s="5" t="s">
        <v>301</v>
      </c>
      <c r="B295" s="6">
        <f>+GETPIVOTDATA(" Old-Less Than 2-Year",'Pivot Table for 1-11'!$A$3,"State","GA","SREB Type2","Technical")+GETPIVOTDATA(" Old-2 But Less Than 4-Year",'Pivot Table for 1-11'!$A$3,"State","GA","SREB Type2","Technical")</f>
        <v>31694</v>
      </c>
      <c r="C295" s="6">
        <f>+GETPIVOTDATA(" Old-Associate's",'Pivot Table for 1-11'!$A$3,"State","GA","SREB Type2","Technical")</f>
        <v>3866</v>
      </c>
      <c r="D295" s="17">
        <f>+GETPIVOTDATA(" Old-Less Than 2-Year",'Pivot Table for 1-11'!$A$3,"State","GA","SREB Type",12,"SREB Type2","Technical")+GETPIVOTDATA(" Old-2 But Less Than 4-Year",'Pivot Table for 1-11'!$A$3,"State","GA","SREB Type",12,"SREB Type2","Technical")</f>
        <v>29876</v>
      </c>
      <c r="E295" s="90">
        <f>+GETPIVOTDATA(" Old-Associate's",'Pivot Table for 1-11'!$A$3,"State","GA","SREB Type",12,"SREB Type2","Technical")</f>
        <v>3811</v>
      </c>
      <c r="F295" s="17">
        <f>+GETPIVOTDATA(" Old-Less Than 2-Year",'Pivot Table for 1-11'!$A$3,"State","GA","SREB Type",13,"SREB Type2","Technical")+GETPIVOTDATA(" Old-2 But Less Than 4-Year",'Pivot Table for 1-11'!$A$3,"State","GA","SREB Type",13,"SREB Type2","Technical")</f>
        <v>1818</v>
      </c>
      <c r="G295" s="90">
        <f>+GETPIVOTDATA(" Old-Associate's",'Pivot Table for 1-11'!$A$3,"State","GA","SREB Type",13,"SREB Type2","Technical")</f>
        <v>55</v>
      </c>
      <c r="H295" s="6">
        <f>+GETPIVOTDATA(" Old-Less Than 2-Year",'Pivot Table for 1-11'!$A$3,"State","GA","SREB Type",14,"SREB Type2","Technical")+GETPIVOTDATA(" Old-2 But Less Than 4-Year",'Pivot Table for 1-11'!$A$3,"State","GA","SREB Type",14,"SREB Type2","Technical")</f>
        <v>0</v>
      </c>
      <c r="I295" s="6">
        <f>+GETPIVOTDATA(" Old-Associate's",'Pivot Table for 1-11'!$A$3,"State","GA","SREB Type",14,"SREB Type2","Technical")</f>
        <v>0</v>
      </c>
    </row>
    <row r="296" spans="1:9" ht="15" customHeight="1">
      <c r="A296" s="5" t="s">
        <v>302</v>
      </c>
      <c r="B296" s="6">
        <f>+GETPIVOTDATA(" Old-Less Than 2-Year",'Pivot Table for 1-11'!$A$3,"State","KY","SREB Type2","Technical")+GETPIVOTDATA(" Old-2 But Less Than 4-Year",'Pivot Table for 1-11'!$A$3,"State","KY","SREB Type2","Technical")</f>
        <v>1611</v>
      </c>
      <c r="C296" s="6">
        <f>+GETPIVOTDATA(" Old-Associate's",'Pivot Table for 1-11'!$A$3,"State","KY","SREB Type2","Technical")</f>
        <v>330</v>
      </c>
      <c r="D296" s="17">
        <f>+GETPIVOTDATA(" Old-Less Than 2-Year",'Pivot Table for 1-11'!$A$3,"State","KY","SREB Type",12,"SREB Type2","Technical")+GETPIVOTDATA(" Old-2 But Less Than 4-Year",'Pivot Table for 1-11'!$A$3,"State","KY","SREB Type",12,"SREB Type2","Technical")</f>
        <v>1611</v>
      </c>
      <c r="E296" s="90">
        <f>+GETPIVOTDATA(" Old-Associate's",'Pivot Table for 1-11'!$A$3,"State","KY","SREB Type",12,"SREB Type2","Technical")</f>
        <v>330</v>
      </c>
      <c r="F296" s="17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90">
        <f>+GETPIVOTDATA(" Old-Associate's",'Pivot Table for 1-11'!$A$3,"State","KY","SREB Type",13,"SREB Type2","Technical")</f>
        <v>0</v>
      </c>
      <c r="H296" s="6">
        <f>+GETPIVOTDATA(" Old-Less Than 2-Year",'Pivot Table for 1-11'!$A$3,"State","KY","SREB Type",14,"SREB Type2","Technical")+GETPIVOTDATA(" Old-2 But Less Than 4-Year",'Pivot Table for 1-11'!$A$3,"State","KY","SREB Type",14,"SREB Type2","Technical")</f>
        <v>0</v>
      </c>
      <c r="I296" s="6">
        <f>+GETPIVOTDATA(" Old-Associate's",'Pivot Table for 1-11'!$A$3,"State","KY","SREB Type",14,"SREB Type2","Technical")</f>
        <v>0</v>
      </c>
    </row>
    <row r="297" spans="1:9" ht="15" customHeight="1">
      <c r="A297" s="5" t="s">
        <v>303</v>
      </c>
      <c r="B297" s="6">
        <f>+GETPIVOTDATA(" Old-Less Than 2-Year",'Pivot Table for 1-11'!$A$3,"State","LA","SREB Type2","Technical")+GETPIVOTDATA(" Old-2 But Less Than 4-Year",'Pivot Table for 1-11'!$A$3,"State","LA","SREB Type2","Technical")</f>
        <v>2865</v>
      </c>
      <c r="C297" s="6">
        <f>+GETPIVOTDATA(" Old-Associate's",'Pivot Table for 1-11'!$A$3,"State","LA","SREB Type2","Technical")</f>
        <v>500</v>
      </c>
      <c r="D297" s="17">
        <f>+GETPIVOTDATA(" Old-Less Than 2-Year",'Pivot Table for 1-11'!$A$3,"State","LA","SREB Type",12,"SREB Type2","Technical")+GETPIVOTDATA(" Old-2 But Less Than 4-Year",'Pivot Table for 1-11'!$A$3,"State","LA","SREB Type",12,"SREB Type2","Technical")</f>
        <v>137</v>
      </c>
      <c r="E297" s="90">
        <f>+GETPIVOTDATA(" Old-Associate's",'Pivot Table for 1-11'!$A$3,"State","LA","SREB Type",12,"SREB Type2","Technical")</f>
        <v>192</v>
      </c>
      <c r="F297" s="17">
        <f>+GETPIVOTDATA(" Old-Less Than 2-Year",'Pivot Table for 1-11'!$A$3,"State","LA","SREB Type",13,"SREB Type2","Technical")+GETPIVOTDATA(" Old-2 But Less Than 4-Year",'Pivot Table for 1-11'!$A$3,"State","LA","SREB Type",13,"SREB Type2","Technical")</f>
        <v>53</v>
      </c>
      <c r="G297" s="90">
        <f>+GETPIVOTDATA(" Old-Associate's",'Pivot Table for 1-11'!$A$3,"State","LA","SREB Type",13,"SREB Type2","Technical")</f>
        <v>33</v>
      </c>
      <c r="H297" s="6">
        <f>+GETPIVOTDATA(" Old-Less Than 2-Year",'Pivot Table for 1-11'!$A$3,"State","LA","SREB Type",14,"SREB Type2","Technical")+GETPIVOTDATA(" Old-2 But Less Than 4-Year",'Pivot Table for 1-11'!$A$3,"State","LA","SREB Type",14,"SREB Type2","Technical")</f>
        <v>2675</v>
      </c>
      <c r="I297" s="6">
        <f>+GETPIVOTDATA(" Old-Associate's",'Pivot Table for 1-11'!$A$3,"State","LA","SREB Type",14,"SREB Type2","Technical")</f>
        <v>275</v>
      </c>
    </row>
    <row r="298" spans="1:9" ht="15" customHeight="1">
      <c r="A298" s="5" t="s">
        <v>304</v>
      </c>
      <c r="B298" s="6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6">
        <f>+GETPIVOTDATA(" Old-Associate's",'Pivot Table for 1-11'!$A$3,"State","MD","SREB Type2","Technical")</f>
        <v>0</v>
      </c>
      <c r="D298" s="17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90">
        <f>+GETPIVOTDATA(" Old-Associate's",'Pivot Table for 1-11'!$A$3,"State","MD","SREB Type",12,"SREB Type2","Technical")</f>
        <v>0</v>
      </c>
      <c r="F298" s="17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90">
        <f>+GETPIVOTDATA(" Old-Associate's",'Pivot Table for 1-11'!$A$3,"State","MD","SREB Type",13,"SREB Type2","Technical")</f>
        <v>0</v>
      </c>
      <c r="H298" s="6">
        <f>+GETPIVOTDATA(" Old-Less Than 2-Year",'Pivot Table for 1-11'!$A$3,"State","MD","SREB Type",14,"SREB Type2","Technical")+GETPIVOTDATA(" Old-2 But Less Than 4-Year",'Pivot Table for 1-11'!$A$3,"State","MD","SREB Type",14,"SREB Type2","Technical")</f>
        <v>0</v>
      </c>
      <c r="I298" s="6">
        <f>+GETPIVOTDATA(" Old-Associate's",'Pivot Table for 1-11'!$A$3,"State","MD","SREB Type",14,"SREB Type2","Technical")</f>
        <v>0</v>
      </c>
    </row>
    <row r="299" spans="1:9" ht="15" customHeight="1">
      <c r="A299" s="5"/>
      <c r="B299" s="6"/>
      <c r="C299" s="6"/>
      <c r="D299" s="17"/>
      <c r="E299" s="90"/>
      <c r="F299" s="17"/>
      <c r="G299" s="90"/>
      <c r="H299" s="6"/>
      <c r="I299" s="6"/>
    </row>
    <row r="300" spans="1:9" ht="15" customHeight="1">
      <c r="A300" s="5" t="s">
        <v>305</v>
      </c>
      <c r="B300" s="6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6">
        <f>+GETPIVOTDATA(" Old-Associate's",'Pivot Table for 1-11'!$A$3,"State","MS","SREB Type2","Technical")</f>
        <v>0</v>
      </c>
      <c r="D300" s="17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90">
        <f>+GETPIVOTDATA(" Old-Associate's",'Pivot Table for 1-11'!$A$3,"State","MS","SREB Type",12,"SREB Type2","Technical")</f>
        <v>0</v>
      </c>
      <c r="F300" s="17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90">
        <f>+GETPIVOTDATA(" Old-Associate's",'Pivot Table for 1-11'!$A$3,"State","MS","SREB Type",13,"SREB Type2","Technical")</f>
        <v>0</v>
      </c>
      <c r="H300" s="6">
        <f>+GETPIVOTDATA(" Old-Less Than 2-Year",'Pivot Table for 1-11'!$A$3,"State","MS","SREB Type",14,"SREB Type2","Technical")+GETPIVOTDATA(" Old-2 But Less Than 4-Year",'Pivot Table for 1-11'!$A$3,"State","MS","SREB Type",14,"SREB Type2","Technical")</f>
        <v>0</v>
      </c>
      <c r="I300" s="6">
        <f>+GETPIVOTDATA(" Old-Associate's",'Pivot Table for 1-11'!$A$3,"State","MS","SREB Type",14,"SREB Type2","Technical")</f>
        <v>0</v>
      </c>
    </row>
    <row r="301" spans="1:9" ht="15" customHeight="1">
      <c r="A301" s="5" t="s">
        <v>306</v>
      </c>
      <c r="B301" s="6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6">
        <f>+GETPIVOTDATA(" Old-Associate's",'Pivot Table for 1-11'!$A$3,"State","NC","SREB Type2","Technical")</f>
        <v>0</v>
      </c>
      <c r="D301" s="17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90">
        <f>+GETPIVOTDATA(" Old-Associate's",'Pivot Table for 1-11'!$A$3,"State","NC","SREB Type",12,"SREB Type2","Technical")</f>
        <v>0</v>
      </c>
      <c r="F301" s="17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90">
        <f>+GETPIVOTDATA(" Old-Associate's",'Pivot Table for 1-11'!$A$3,"State","NC","SREB Type",13,"SREB Type2","Technical")</f>
        <v>0</v>
      </c>
      <c r="H301" s="6">
        <f>+GETPIVOTDATA(" Old-Less Than 2-Year",'Pivot Table for 1-11'!$A$3,"State","NC","SREB Type",14,"SREB Type2","Technical")+GETPIVOTDATA(" Old-2 But Less Than 4-Year",'Pivot Table for 1-11'!$A$3,"State","NC","SREB Type",14,"SREB Type2","Technical")</f>
        <v>0</v>
      </c>
      <c r="I301" s="6">
        <f>+GETPIVOTDATA(" Old-Associate's",'Pivot Table for 1-11'!$A$3,"State","NC","SREB Type",14,"SREB Type2","Technical")</f>
        <v>0</v>
      </c>
    </row>
    <row r="302" spans="1:9" ht="15" customHeight="1">
      <c r="A302" s="5" t="s">
        <v>307</v>
      </c>
      <c r="B302" s="6">
        <f>+GETPIVOTDATA(" Old-Less Than 2-Year",'Pivot Table for 1-11'!$A$3,"State","OK","SREB Type2","Technical")+GETPIVOTDATA(" Old-2 But Less Than 4-Year",'Pivot Table for 1-11'!$A$3,"State","OK","SREB Type2","Technical")</f>
        <v>7099</v>
      </c>
      <c r="C302" s="6">
        <f>+GETPIVOTDATA(" Old-Associate's",'Pivot Table for 1-11'!$A$3,"State","OK","SREB Type2","Technical")</f>
        <v>0</v>
      </c>
      <c r="D302" s="17">
        <f>+GETPIVOTDATA(" Old-Less Than 2-Year",'Pivot Table for 1-11'!$A$3,"State","OK","SREB Type",12,"SREB Type2","Technical")+GETPIVOTDATA(" Old-2 But Less Than 4-Year",'Pivot Table for 1-11'!$A$3,"State","OK","SREB Type",12,"SREB Type2","Technical")</f>
        <v>1631</v>
      </c>
      <c r="E302" s="90">
        <f>+GETPIVOTDATA(" Old-Associate's",'Pivot Table for 1-11'!$A$3,"State","OK","SREB Type",12,"SREB Type2","Technical")</f>
        <v>0</v>
      </c>
      <c r="F302" s="17">
        <f>+GETPIVOTDATA(" Old-Less Than 2-Year",'Pivot Table for 1-11'!$A$3,"State","OK","SREB Type",13,"SREB Type2","Technical")+GETPIVOTDATA(" Old-2 But Less Than 4-Year",'Pivot Table for 1-11'!$A$3,"State","OK","SREB Type",13,"SREB Type2","Technical")</f>
        <v>5468</v>
      </c>
      <c r="G302" s="90">
        <f>+GETPIVOTDATA(" Old-Associate's",'Pivot Table for 1-11'!$A$3,"State","OK","SREB Type",13,"SREB Type2","Technical")</f>
        <v>0</v>
      </c>
      <c r="H302" s="6">
        <f>+GETPIVOTDATA(" Old-Less Than 2-Year",'Pivot Table for 1-11'!$A$3,"State","OK","SREB Type",14,"SREB Type2","Technical")+GETPIVOTDATA(" Old-2 But Less Than 4-Year",'Pivot Table for 1-11'!$A$3,"State","OK","SREB Type",14,"SREB Type2","Technical")</f>
        <v>0</v>
      </c>
      <c r="I302" s="6">
        <f>+GETPIVOTDATA(" Old-Associate's",'Pivot Table for 1-11'!$A$3,"State","OK","SREB Type",14,"SREB Type2","Technical")</f>
        <v>0</v>
      </c>
    </row>
    <row r="303" spans="1:9" ht="15" customHeight="1">
      <c r="A303" s="5" t="s">
        <v>308</v>
      </c>
      <c r="B303" s="6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6">
        <f>+GETPIVOTDATA(" Old-Associate's",'Pivot Table for 1-11'!$A$3,"State","SC","SREB Type2","Technical")</f>
        <v>0</v>
      </c>
      <c r="D303" s="17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90">
        <f>+GETPIVOTDATA(" Old-Associate's",'Pivot Table for 1-11'!$A$3,"State","SC","SREB Type",12,"SREB Type2","Technical")</f>
        <v>0</v>
      </c>
      <c r="F303" s="17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90">
        <f>+GETPIVOTDATA(" Old-Associate's",'Pivot Table for 1-11'!$A$3,"State","SC","SREB Type",13,"SREB Type2","Technical")</f>
        <v>0</v>
      </c>
      <c r="H303" s="6">
        <f>+GETPIVOTDATA(" Old-Less Than 2-Year",'Pivot Table for 1-11'!$A$3,"State","SC","SREB Type",14,"SREB Type2","Technical")+GETPIVOTDATA(" Old-2 But Less Than 4-Year",'Pivot Table for 1-11'!$A$3,"State","SC","SREB Type",14,"SREB Type2","Technical")</f>
        <v>0</v>
      </c>
      <c r="I303" s="6">
        <f>+GETPIVOTDATA(" Old-Associate's",'Pivot Table for 1-11'!$A$3,"State","SC","SREB Type",14,"SREB Type2","Technical")</f>
        <v>0</v>
      </c>
    </row>
    <row r="304" spans="1:9" ht="15" customHeight="1">
      <c r="A304" s="5"/>
      <c r="B304" s="6"/>
      <c r="C304" s="6"/>
      <c r="D304" s="17"/>
      <c r="E304" s="90"/>
      <c r="F304" s="17"/>
      <c r="G304" s="90"/>
      <c r="H304" s="6"/>
      <c r="I304" s="6"/>
    </row>
    <row r="305" spans="1:17" ht="15" customHeight="1">
      <c r="A305" s="5" t="s">
        <v>309</v>
      </c>
      <c r="B305" s="6">
        <f>+GETPIVOTDATA(" Old-Less Than 2-Year",'Pivot Table for 1-11'!$A$3,"State","TN","SREB Type2","Technical")+GETPIVOTDATA(" Old-2 But Less Than 4-Year",'Pivot Table for 1-11'!$A$3,"State","TN","SREB Type2","Technical")</f>
        <v>6404</v>
      </c>
      <c r="C305" s="6">
        <f>+GETPIVOTDATA(" Old-Associate's",'Pivot Table for 1-11'!$A$3,"State","TN","SREB Type2","Technical")</f>
        <v>0</v>
      </c>
      <c r="D305" s="17">
        <f>+GETPIVOTDATA(" Old-Less Than 2-Year",'Pivot Table for 1-11'!$A$3,"State","TN","SREB Type",12,"SREB Type2","Technical")+GETPIVOTDATA(" Old-2 But Less Than 4-Year",'Pivot Table for 1-11'!$A$3,"State","TN","SREB Type",12,"SREB Type2","Technical")</f>
        <v>0</v>
      </c>
      <c r="E305" s="90">
        <f>+GETPIVOTDATA(" Old-Associate's",'Pivot Table for 1-11'!$A$3,"State","TN","SREB Type",12,"SREB Type2","Technical")</f>
        <v>0</v>
      </c>
      <c r="F305" s="17">
        <f>+GETPIVOTDATA(" Old-Less Than 2-Year",'Pivot Table for 1-11'!$A$3,"State","TN","SREB Type",13,"SREB Type2","Technical")+GETPIVOTDATA(" Old-2 But Less Than 4-Year",'Pivot Table for 1-11'!$A$3,"State","TN","SREB Type",13,"SREB Type2","Technical")</f>
        <v>6404</v>
      </c>
      <c r="G305" s="90">
        <f>+GETPIVOTDATA(" Old-Associate's",'Pivot Table for 1-11'!$A$3,"State","TN","SREB Type",13,"SREB Type2","Technical")</f>
        <v>0</v>
      </c>
      <c r="H305" s="6">
        <f>+GETPIVOTDATA(" Old-Less Than 2-Year",'Pivot Table for 1-11'!$A$3,"State","TN","SREB Type",14,"SREB Type2","Technical")+GETPIVOTDATA(" Old-2 But Less Than 4-Year",'Pivot Table for 1-11'!$A$3,"State","TN","SREB Type",14,"SREB Type2","Technical")</f>
        <v>0</v>
      </c>
      <c r="I305" s="6">
        <f>+GETPIVOTDATA(" Old-Associate's",'Pivot Table for 1-11'!$A$3,"State","TN","SREB Type",14,"SREB Type2","Technical")</f>
        <v>0</v>
      </c>
    </row>
    <row r="306" spans="1:17" ht="15" customHeight="1">
      <c r="A306" s="5" t="s">
        <v>310</v>
      </c>
      <c r="B306" s="6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6">
        <f>+GETPIVOTDATA(" Old-Associate's",'Pivot Table for 1-11'!$A$3,"State","TX","SREB Type2","Technical")</f>
        <v>0</v>
      </c>
      <c r="D306" s="17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90">
        <f>+GETPIVOTDATA(" Old-Associate's",'Pivot Table for 1-11'!$A$3,"State","TX","SREB Type",12,"SREB Type2","Technical")</f>
        <v>0</v>
      </c>
      <c r="F306" s="17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90">
        <f>+GETPIVOTDATA(" Old-Associate's",'Pivot Table for 1-11'!$A$3,"State","TX","SREB Type",13,"SREB Type2","Technical")</f>
        <v>0</v>
      </c>
      <c r="H306" s="6">
        <f>+GETPIVOTDATA(" Old-Less Than 2-Year",'Pivot Table for 1-11'!$A$3,"State","TX","SREB Type",14,"SREB Type2","Technical")+GETPIVOTDATA(" Old-2 But Less Than 4-Year",'Pivot Table for 1-11'!$A$3,"State","TX","SREB Type",14,"SREB Type2","Technical")</f>
        <v>0</v>
      </c>
      <c r="I306" s="6">
        <f>+GETPIVOTDATA(" Old-Associate's",'Pivot Table for 1-11'!$A$3,"State","TX","SREB Type",14,"SREB Type2","Technical")</f>
        <v>0</v>
      </c>
    </row>
    <row r="307" spans="1:17" ht="15" customHeight="1">
      <c r="A307" s="5" t="s">
        <v>311</v>
      </c>
      <c r="B307" s="6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6">
        <f>+GETPIVOTDATA(" Old-Associate's",'Pivot Table for 1-11'!$A$3,"State","VA","SREB Type2","Technical")</f>
        <v>0</v>
      </c>
      <c r="D307" s="17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90">
        <f>+GETPIVOTDATA(" Old-Associate's",'Pivot Table for 1-11'!$A$3,"State","VA","SREB Type",12,"SREB Type2","Technical")</f>
        <v>0</v>
      </c>
      <c r="F307" s="17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90">
        <f>+GETPIVOTDATA(" Old-Associate's",'Pivot Table for 1-11'!$A$3,"State","VA","SREB Type",13,"SREB Type2","Technical")</f>
        <v>0</v>
      </c>
      <c r="H307" s="6">
        <f>+GETPIVOTDATA(" Old-Less Than 2-Year",'Pivot Table for 1-11'!$A$3,"State","VA","SREB Type",14,"SREB Type2","Technical")+GETPIVOTDATA(" Old-2 But Less Than 4-Year",'Pivot Table for 1-11'!$A$3,"State","VA","SREB Type",14,"SREB Type2","Technical")</f>
        <v>0</v>
      </c>
      <c r="I307" s="6">
        <f>+GETPIVOTDATA(" Old-Associate's",'Pivot Table for 1-11'!$A$3,"State","VA","SREB Type",14,"SREB Type2","Technical")</f>
        <v>0</v>
      </c>
    </row>
    <row r="308" spans="1:17" ht="15" customHeight="1">
      <c r="A308" s="7" t="s">
        <v>312</v>
      </c>
      <c r="B308" s="8">
        <f>+GETPIVOTDATA(" Old-Less Than 2-Year",'Pivot Table for 1-11'!$A$3,"State","WV","SREB Type2","Technical")+GETPIVOTDATA(" Old-2 But Less Than 4-Year",'Pivot Table for 1-11'!$A$3,"State","WV","SREB Type2","Technical")</f>
        <v>0</v>
      </c>
      <c r="C308" s="8">
        <f>+GETPIVOTDATA(" Old-Associate's",'Pivot Table for 1-11'!$A$3,"State","WV","SREB Type2","Technical")</f>
        <v>0</v>
      </c>
      <c r="D308" s="18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91">
        <f>+GETPIVOTDATA(" Old-Associate's",'Pivot Table for 1-11'!$A$3,"State","WV","SREB Type",12,"SREB Type2","Technical")</f>
        <v>0</v>
      </c>
      <c r="F308" s="18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91">
        <f>+GETPIVOTDATA(" Old-Associate's",'Pivot Table for 1-11'!$A$3,"State","WV","SREB Type",13,"SREB Type2","Technical")</f>
        <v>0</v>
      </c>
      <c r="H308" s="8">
        <f>+GETPIVOTDATA(" Old-Less Than 2-Year",'Pivot Table for 1-11'!$A$3,"State","WV","SREB Type",14,"SREB Type2","Technical")+GETPIVOTDATA(" Old-2 But Less Than 4-Year",'Pivot Table for 1-11'!$A$3,"State","WV","SREB Type",14,"SREB Type2","Technical")</f>
        <v>0</v>
      </c>
      <c r="I308" s="8">
        <f>+GETPIVOTDATA(" Old-Associate's",'Pivot Table for 1-11'!$A$3,"State","WV","SREB Type",14,"SREB Type2","Technical")</f>
        <v>0</v>
      </c>
      <c r="L308" s="166"/>
    </row>
    <row r="309" spans="1:17" ht="7.5" customHeight="1">
      <c r="A309" s="45"/>
      <c r="B309" s="46"/>
      <c r="C309" s="46"/>
      <c r="D309" s="46"/>
      <c r="E309" s="46"/>
      <c r="F309" s="47"/>
      <c r="G309" s="47"/>
      <c r="H309" s="47"/>
      <c r="I309" s="47"/>
      <c r="L309" s="166"/>
      <c r="Q309" s="243"/>
    </row>
    <row r="310" spans="1:17" ht="16.5" customHeight="1">
      <c r="A310" s="767" t="s">
        <v>34</v>
      </c>
      <c r="B310" s="768"/>
      <c r="C310" s="768"/>
      <c r="D310" s="768"/>
      <c r="E310" s="768"/>
      <c r="F310" s="768"/>
      <c r="G310" s="768"/>
      <c r="H310" s="768"/>
      <c r="I310" s="768"/>
      <c r="J310" s="695"/>
      <c r="K310" s="695"/>
      <c r="L310" s="695"/>
      <c r="M310" s="695"/>
      <c r="N310" s="695"/>
      <c r="O310" s="695"/>
      <c r="P310" s="695"/>
      <c r="Q310" s="243"/>
    </row>
    <row r="311" spans="1:17">
      <c r="I311" s="184" t="s">
        <v>1267</v>
      </c>
      <c r="N311" s="242"/>
      <c r="O311" s="184"/>
    </row>
    <row r="312" spans="1:17" ht="18">
      <c r="A312" s="22" t="s">
        <v>332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</row>
    <row r="313" spans="1:17">
      <c r="A313" s="20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92"/>
      <c r="O313" s="92"/>
      <c r="P313" s="92"/>
    </row>
    <row r="314" spans="1:17" ht="15.75">
      <c r="A314" s="1" t="s">
        <v>285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7" ht="15.75">
      <c r="A315" s="1" t="s">
        <v>1318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7" ht="15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94"/>
      <c r="O316" s="94"/>
      <c r="P316" s="94"/>
    </row>
    <row r="317" spans="1:17" ht="15.75">
      <c r="A317" s="192"/>
      <c r="B317" s="192"/>
      <c r="C317" s="192"/>
      <c r="D317" s="192"/>
      <c r="E317" s="192"/>
      <c r="F317" s="192"/>
      <c r="G317" s="192"/>
      <c r="H317" s="196" t="s">
        <v>1254</v>
      </c>
      <c r="I317" s="26"/>
      <c r="J317" s="26"/>
      <c r="K317" s="26"/>
      <c r="L317" s="26"/>
      <c r="M317" s="26"/>
      <c r="N317" s="193"/>
      <c r="O317" s="200"/>
      <c r="P317" s="195" t="s">
        <v>321</v>
      </c>
    </row>
    <row r="318" spans="1:17" ht="40.5" customHeight="1">
      <c r="A318" s="14"/>
      <c r="B318" s="15" t="s">
        <v>696</v>
      </c>
      <c r="C318" s="15" t="s">
        <v>286</v>
      </c>
      <c r="D318" s="15" t="s">
        <v>278</v>
      </c>
      <c r="E318" s="15" t="s">
        <v>279</v>
      </c>
      <c r="F318" s="15" t="s">
        <v>288</v>
      </c>
      <c r="G318" s="15" t="s">
        <v>289</v>
      </c>
      <c r="H318" s="16" t="s">
        <v>290</v>
      </c>
      <c r="I318" s="15" t="s">
        <v>291</v>
      </c>
      <c r="J318" s="15" t="s">
        <v>292</v>
      </c>
      <c r="K318" s="15" t="s">
        <v>283</v>
      </c>
      <c r="L318" s="15" t="s">
        <v>293</v>
      </c>
      <c r="M318" s="15" t="s">
        <v>294</v>
      </c>
      <c r="N318" s="191" t="s">
        <v>1320</v>
      </c>
      <c r="O318" s="197" t="s">
        <v>1321</v>
      </c>
      <c r="P318" s="191" t="s">
        <v>295</v>
      </c>
    </row>
    <row r="319" spans="1:17" ht="15" customHeight="1">
      <c r="A319" s="5" t="s">
        <v>296</v>
      </c>
      <c r="B319" s="6">
        <f>GETPIVOTDATA(" Old-Less Than 2-Year",'Pivot Table for 1-11'!$A$3,"SREB Type2","Specialized")+GETPIVOTDATA(" Old-2 But Less Than 4-Year",'Pivot Table for 1-11'!$A$3,"SREB Type2","Specialized")</f>
        <v>532</v>
      </c>
      <c r="C319" s="6">
        <f>GETPIVOTDATA(" Old-Associate's",'Pivot Table for 1-11'!$A$3,"SREB Type2","Specialized")</f>
        <v>557</v>
      </c>
      <c r="D319" s="6">
        <f>GETPIVOTDATA(" Old-Bachelor's",'Pivot Table for 1-11'!$A$3,"SREB Type2","Specialized")</f>
        <v>6967</v>
      </c>
      <c r="E319" s="6">
        <f>GETPIVOTDATA(" Old-Post-Bachelor's",'Pivot Table for 1-11'!$A$3,"SREB Type2","Specialized")</f>
        <v>456</v>
      </c>
      <c r="F319" s="6">
        <f>GETPIVOTDATA(" Old-Total Master's#",'Pivot Table for 1-11'!$A$3,"SREB Type2","Specialized")</f>
        <v>5769</v>
      </c>
      <c r="G319" s="6">
        <f>GETPIVOTDATA(" Old-Total Doctorates#",'Pivot Table for 1-11'!$A$3,"SREB Type2","Specialized")</f>
        <v>1000</v>
      </c>
      <c r="H319" s="17">
        <f>GETPIVOTDATA(" Old-Law",'Pivot Table for 1-11'!$A$3,"SREB Type2","Specialized")</f>
        <v>268</v>
      </c>
      <c r="I319" s="6">
        <f>GETPIVOTDATA(" Old-Medicine",'Pivot Table for 1-11'!$A$3,"SREB Type2","Specialized")</f>
        <v>2113</v>
      </c>
      <c r="J319" s="6">
        <f>GETPIVOTDATA(" Old-Dentistry",'Pivot Table for 1-11'!$A$3,"SREB Type2","Specialized")</f>
        <v>603</v>
      </c>
      <c r="K319" s="6">
        <f>GETPIVOTDATA(" Old-Pharmacy",'Pivot Table for 1-11'!$A$3,"SREB Type2","Specialized")</f>
        <v>516</v>
      </c>
      <c r="L319" s="6">
        <f>GETPIVOTDATA(" Old-Optometry",'Pivot Table for 1-11'!$A$3,"SREB Type2","Specialized")</f>
        <v>0</v>
      </c>
      <c r="M319" s="6">
        <f>GETPIVOTDATA(" Old-Osteopathic Medicine",'Pivot Table for 1-11'!$A$3,"SREB Type2","Specialized")</f>
        <v>222</v>
      </c>
      <c r="N319" s="181">
        <f>GETPIVOTDATA(" Old-Veterinary Medicine",'Pivot Table for 1-11'!$A$3,"SREB Type2","Specialized")</f>
        <v>0</v>
      </c>
      <c r="O319" s="198">
        <f>+GETPIVOTDATA(" Old-Oth PP",'Pivot Table for 1-11'!$A$3,"SREB Type2","Specialized")</f>
        <v>0</v>
      </c>
      <c r="P319" s="182">
        <f>SUM(B319:O319)</f>
        <v>19003</v>
      </c>
    </row>
    <row r="320" spans="1:17" ht="15" customHeight="1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181"/>
      <c r="O320" s="198"/>
      <c r="P320" s="182"/>
    </row>
    <row r="321" spans="1:16" ht="15" customHeight="1">
      <c r="A321" s="5" t="s">
        <v>297</v>
      </c>
      <c r="B321" s="6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6">
        <f>GETPIVOTDATA(" Old-Associate's",'Pivot Table for 1-11'!$A$3,"State","AL","SREB Type2","Specialized")</f>
        <v>86</v>
      </c>
      <c r="D321" s="6">
        <f>GETPIVOTDATA(" Old-Bachelor's",'Pivot Table for 1-11'!$A$3,"State","AL","SREB Type2","Specialized")</f>
        <v>0</v>
      </c>
      <c r="E321" s="6">
        <f>GETPIVOTDATA(" Old-Post-Bachelor's",'Pivot Table for 1-11'!$A$3,"State","AL","SREB Type2","Specialized")</f>
        <v>0</v>
      </c>
      <c r="F321" s="6">
        <f>GETPIVOTDATA(" Old-Total Master's#",'Pivot Table for 1-11'!$A$3,"State","AL","SREB Type2","Specialized")</f>
        <v>0</v>
      </c>
      <c r="G321" s="6">
        <f>GETPIVOTDATA(" Old-Total Doctorates#",'Pivot Table for 1-11'!$A$3,"State","AL","SREB Type2","Specialized")</f>
        <v>0</v>
      </c>
      <c r="H321" s="17">
        <f>GETPIVOTDATA(" Old-Law",'Pivot Table for 1-11'!$A$3,"State","AL","SREB Type2","Specialized")</f>
        <v>0</v>
      </c>
      <c r="I321" s="6">
        <f>GETPIVOTDATA(" Old-Medicine",'Pivot Table for 1-11'!$A$3,"State","AL","SREB Type2","Specialized")</f>
        <v>0</v>
      </c>
      <c r="J321" s="6">
        <f>GETPIVOTDATA(" Old-Dentistry",'Pivot Table for 1-11'!$A$3,"State","AL","SREB Type2","Specialized")</f>
        <v>0</v>
      </c>
      <c r="K321" s="6">
        <f>GETPIVOTDATA(" Old-Pharmacy",'Pivot Table for 1-11'!$A$3,"State","AL","SREB Type2","Specialized")</f>
        <v>0</v>
      </c>
      <c r="L321" s="6">
        <f>GETPIVOTDATA(" Old-Optometry",'Pivot Table for 1-11'!$A$3,"State","AL","SREB Type2","Specialized")</f>
        <v>0</v>
      </c>
      <c r="M321" s="6">
        <f>GETPIVOTDATA(" Old-Osteopathic Medicine",'Pivot Table for 1-11'!$A$3,"State","AL","SREB Type2","Specialized")</f>
        <v>0</v>
      </c>
      <c r="N321" s="181">
        <f>GETPIVOTDATA(" Old-Veterinary Medicine",'Pivot Table for 1-11'!$A$3,"State","AL","SREB Type2","Specialized")</f>
        <v>0</v>
      </c>
      <c r="O321" s="198">
        <f>+GETPIVOTDATA(" Old-Oth PP",'Pivot Table for 1-11'!$A$3,"State","AL","SREB Type2","Specialized")</f>
        <v>0</v>
      </c>
      <c r="P321" s="182">
        <f t="shared" ref="P321:P339" si="8">SUM(B321:O321)</f>
        <v>86</v>
      </c>
    </row>
    <row r="322" spans="1:16" ht="15" customHeight="1">
      <c r="A322" s="5" t="s">
        <v>298</v>
      </c>
      <c r="B322" s="6">
        <f>GETPIVOTDATA(" Old-Less Than 2-Year",'Pivot Table for 1-11'!$A$3,"State","AR","SREB Type2","Specialized")+GETPIVOTDATA(" Old-2 But Less Than 4-Year",'Pivot Table for 1-11'!$A$3,"State","AR","SREB Type2","Specialized")</f>
        <v>19</v>
      </c>
      <c r="C322" s="6">
        <f>GETPIVOTDATA(" Old-Associate's",'Pivot Table for 1-11'!$A$3,"State","AR","SREB Type2","Specialized")</f>
        <v>67</v>
      </c>
      <c r="D322" s="6">
        <f>GETPIVOTDATA(" Old-Bachelor's",'Pivot Table for 1-11'!$A$3,"State","AR","SREB Type2","Specialized")</f>
        <v>313</v>
      </c>
      <c r="E322" s="6">
        <f>GETPIVOTDATA(" Old-Post-Bachelor's",'Pivot Table for 1-11'!$A$3,"State","AR","SREB Type2","Specialized")</f>
        <v>20</v>
      </c>
      <c r="F322" s="6">
        <f>GETPIVOTDATA(" Old-Total Master's#",'Pivot Table for 1-11'!$A$3,"State","AR","SREB Type2","Specialized")</f>
        <v>137</v>
      </c>
      <c r="G322" s="6">
        <f>GETPIVOTDATA(" Old-Total Doctorates#",'Pivot Table for 1-11'!$A$3,"State","AR","SREB Type2","Specialized")</f>
        <v>23</v>
      </c>
      <c r="H322" s="17">
        <f>GETPIVOTDATA(" Old-Law",'Pivot Table for 1-11'!$A$3,"State","AR","SREB Type2","Specialized")</f>
        <v>0</v>
      </c>
      <c r="I322" s="6">
        <f>GETPIVOTDATA(" Old-Medicine",'Pivot Table for 1-11'!$A$3,"State","AR","SREB Type2","Specialized")</f>
        <v>140</v>
      </c>
      <c r="J322" s="6">
        <f>GETPIVOTDATA(" Old-Dentistry",'Pivot Table for 1-11'!$A$3,"State","AR","SREB Type2","Specialized")</f>
        <v>0</v>
      </c>
      <c r="K322" s="6">
        <f>GETPIVOTDATA(" Old-Pharmacy",'Pivot Table for 1-11'!$A$3,"State","AR","SREB Type2","Specialized")</f>
        <v>114</v>
      </c>
      <c r="L322" s="6">
        <f>GETPIVOTDATA(" Old-Optometry",'Pivot Table for 1-11'!$A$3,"State","AR","SREB Type2","Specialized")</f>
        <v>0</v>
      </c>
      <c r="M322" s="6">
        <f>GETPIVOTDATA(" Old-Osteopathic Medicine",'Pivot Table for 1-11'!$A$3,"State","AR","SREB Type2","Specialized")</f>
        <v>0</v>
      </c>
      <c r="N322" s="181">
        <f>GETPIVOTDATA(" Old-Veterinary Medicine",'Pivot Table for 1-11'!$A$3,"State","AR","SREB Type2","Specialized")</f>
        <v>0</v>
      </c>
      <c r="O322" s="198">
        <f>+GETPIVOTDATA(" Old-Oth PP",'Pivot Table for 1-11'!$A$3,"State","AR","SREB Type2","Specialized")</f>
        <v>0</v>
      </c>
      <c r="P322" s="182">
        <f t="shared" si="8"/>
        <v>833</v>
      </c>
    </row>
    <row r="323" spans="1:16" ht="15" customHeight="1">
      <c r="A323" s="5" t="s">
        <v>299</v>
      </c>
      <c r="B323" s="6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6">
        <f>GETPIVOTDATA(" Old-Associate's",'Pivot Table for 1-11'!$A$3,"State","DE","SREB Type2","Specialized")</f>
        <v>0</v>
      </c>
      <c r="D323" s="6">
        <f>GETPIVOTDATA(" Old-Bachelor's",'Pivot Table for 1-11'!$A$3,"State","DE","SREB Type2","Specialized")</f>
        <v>0</v>
      </c>
      <c r="E323" s="6">
        <f>GETPIVOTDATA(" Old-Post-Bachelor's",'Pivot Table for 1-11'!$A$3,"State","DE","SREB Type2","Specialized")</f>
        <v>0</v>
      </c>
      <c r="F323" s="6">
        <f>GETPIVOTDATA(" Old-Total Master's#",'Pivot Table for 1-11'!$A$3,"State","DE","SREB Type2","Specialized")</f>
        <v>0</v>
      </c>
      <c r="G323" s="6">
        <f>GETPIVOTDATA(" Old-Total Doctorates#",'Pivot Table for 1-11'!$A$3,"State","DE","SREB Type2","Specialized")</f>
        <v>0</v>
      </c>
      <c r="H323" s="17">
        <f>GETPIVOTDATA(" Old-Law",'Pivot Table for 1-11'!$A$3,"State","DE","SREB Type2","Specialized")</f>
        <v>0</v>
      </c>
      <c r="I323" s="6">
        <f>GETPIVOTDATA(" Old-Medicine",'Pivot Table for 1-11'!$A$3,"State","DE","SREB Type2","Specialized")</f>
        <v>0</v>
      </c>
      <c r="J323" s="6">
        <f>GETPIVOTDATA(" Old-Dentistry",'Pivot Table for 1-11'!$A$3,"State","DE","SREB Type2","Specialized")</f>
        <v>0</v>
      </c>
      <c r="K323" s="6">
        <f>GETPIVOTDATA(" Old-Pharmacy",'Pivot Table for 1-11'!$A$3,"State","DE","SREB Type2","Specialized")</f>
        <v>0</v>
      </c>
      <c r="L323" s="6">
        <f>GETPIVOTDATA(" Old-Optometry",'Pivot Table for 1-11'!$A$3,"State","DE","SREB Type2","Specialized")</f>
        <v>0</v>
      </c>
      <c r="M323" s="6">
        <f>GETPIVOTDATA(" Old-Osteopathic Medicine",'Pivot Table for 1-11'!$A$3,"State","DE","SREB Type2","Specialized")</f>
        <v>0</v>
      </c>
      <c r="N323" s="181">
        <f>GETPIVOTDATA(" Old-Veterinary Medicine",'Pivot Table for 1-11'!$A$3,"State","DE","SREB Type2","Specialized")</f>
        <v>0</v>
      </c>
      <c r="O323" s="198">
        <f>+GETPIVOTDATA(" Old-Oth PP",'Pivot Table for 1-11'!$A$3,"State","DE","SREB Type2","Specialized")</f>
        <v>0</v>
      </c>
      <c r="P323" s="182">
        <f t="shared" si="8"/>
        <v>0</v>
      </c>
    </row>
    <row r="324" spans="1:16" ht="15" customHeight="1">
      <c r="A324" s="5" t="s">
        <v>300</v>
      </c>
      <c r="B324" s="6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6">
        <f>GETPIVOTDATA(" Old-Associate's",'Pivot Table for 1-11'!$A$3,"State","FL","SREB Type2","Specialized")</f>
        <v>0</v>
      </c>
      <c r="D324" s="6">
        <f>GETPIVOTDATA(" Old-Bachelor's",'Pivot Table for 1-11'!$A$3,"State","FL","SREB Type2","Specialized")</f>
        <v>0</v>
      </c>
      <c r="E324" s="6">
        <f>GETPIVOTDATA(" Old-Post-Bachelor's",'Pivot Table for 1-11'!$A$3,"State","FL","SREB Type2","Specialized")</f>
        <v>0</v>
      </c>
      <c r="F324" s="6">
        <f>GETPIVOTDATA(" Old-Total Master's#",'Pivot Table for 1-11'!$A$3,"State","FL","SREB Type2","Specialized")</f>
        <v>0</v>
      </c>
      <c r="G324" s="6">
        <f>GETPIVOTDATA(" Old-Total Doctorates#",'Pivot Table for 1-11'!$A$3,"State","FL","SREB Type2","Specialized")</f>
        <v>0</v>
      </c>
      <c r="H324" s="17">
        <f>GETPIVOTDATA(" Old-Law",'Pivot Table for 1-11'!$A$3,"State","FL","SREB Type2","Specialized")</f>
        <v>0</v>
      </c>
      <c r="I324" s="6">
        <f>GETPIVOTDATA(" Old-Medicine",'Pivot Table for 1-11'!$A$3,"State","FL","SREB Type2","Specialized")</f>
        <v>0</v>
      </c>
      <c r="J324" s="6">
        <f>GETPIVOTDATA(" Old-Dentistry",'Pivot Table for 1-11'!$A$3,"State","FL","SREB Type2","Specialized")</f>
        <v>0</v>
      </c>
      <c r="K324" s="6">
        <f>GETPIVOTDATA(" Old-Pharmacy",'Pivot Table for 1-11'!$A$3,"State","FL","SREB Type2","Specialized")</f>
        <v>0</v>
      </c>
      <c r="L324" s="6">
        <f>GETPIVOTDATA(" Old-Optometry",'Pivot Table for 1-11'!$A$3,"State","FL","SREB Type2","Specialized")</f>
        <v>0</v>
      </c>
      <c r="M324" s="6">
        <f>GETPIVOTDATA(" Old-Osteopathic Medicine",'Pivot Table for 1-11'!$A$3,"State","FL","SREB Type2","Specialized")</f>
        <v>0</v>
      </c>
      <c r="N324" s="181">
        <f>GETPIVOTDATA(" Old-Veterinary Medicine",'Pivot Table for 1-11'!$A$3,"State","FL","SREB Type2","Specialized")</f>
        <v>0</v>
      </c>
      <c r="O324" s="198">
        <f>+GETPIVOTDATA(" Old-Oth PP",'Pivot Table for 1-11'!$A$3,"State","FL","SREB Type2","Specialized")</f>
        <v>0</v>
      </c>
      <c r="P324" s="182">
        <f t="shared" si="8"/>
        <v>0</v>
      </c>
    </row>
    <row r="325" spans="1:16" ht="15" customHeight="1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181"/>
      <c r="O325" s="198"/>
      <c r="P325" s="182"/>
    </row>
    <row r="326" spans="1:16" ht="15" customHeight="1">
      <c r="A326" s="5" t="s">
        <v>301</v>
      </c>
      <c r="B326" s="6">
        <f>GETPIVOTDATA(" Old-Less Than 2-Year",'Pivot Table for 1-11'!$A$3,"State","GA","SREB Type2","Specialized")+GETPIVOTDATA(" Old-2 But Less Than 4-Year",'Pivot Table for 1-11'!$A$3,"State","GA","SREB Type2","Specialized")</f>
        <v>27</v>
      </c>
      <c r="C326" s="6">
        <f>GETPIVOTDATA(" Old-Associate's",'Pivot Table for 1-11'!$A$3,"State","GA","SREB Type2","Specialized")</f>
        <v>3</v>
      </c>
      <c r="D326" s="6">
        <f>GETPIVOTDATA(" Old-Bachelor's",'Pivot Table for 1-11'!$A$3,"State","GA","SREB Type2","Specialized")</f>
        <v>833</v>
      </c>
      <c r="E326" s="6">
        <f>GETPIVOTDATA(" Old-Post-Bachelor's",'Pivot Table for 1-11'!$A$3,"State","GA","SREB Type2","Specialized")</f>
        <v>43</v>
      </c>
      <c r="F326" s="6">
        <f>GETPIVOTDATA(" Old-Total Master's#",'Pivot Table for 1-11'!$A$3,"State","GA","SREB Type2","Specialized")</f>
        <v>250</v>
      </c>
      <c r="G326" s="6">
        <f>GETPIVOTDATA(" Old-Total Doctorates#",'Pivot Table for 1-11'!$A$3,"State","GA","SREB Type2","Specialized")</f>
        <v>93</v>
      </c>
      <c r="H326" s="17">
        <f>GETPIVOTDATA(" Old-Law",'Pivot Table for 1-11'!$A$3,"State","GA","SREB Type2","Specialized")</f>
        <v>0</v>
      </c>
      <c r="I326" s="6">
        <f>GETPIVOTDATA(" Old-Medicine",'Pivot Table for 1-11'!$A$3,"State","GA","SREB Type2","Specialized")</f>
        <v>175</v>
      </c>
      <c r="J326" s="6">
        <f>GETPIVOTDATA(" Old-Dentistry",'Pivot Table for 1-11'!$A$3,"State","GA","SREB Type2","Specialized")</f>
        <v>56</v>
      </c>
      <c r="K326" s="6">
        <f>GETPIVOTDATA(" Old-Pharmacy",'Pivot Table for 1-11'!$A$3,"State","GA","SREB Type2","Specialized")</f>
        <v>0</v>
      </c>
      <c r="L326" s="6">
        <f>GETPIVOTDATA(" Old-Optometry",'Pivot Table for 1-11'!$A$3,"State","GA","SREB Type2","Specialized")</f>
        <v>0</v>
      </c>
      <c r="M326" s="6">
        <f>GETPIVOTDATA(" Old-Osteopathic Medicine",'Pivot Table for 1-11'!$A$3,"State","GA","SREB Type2","Specialized")</f>
        <v>0</v>
      </c>
      <c r="N326" s="181">
        <f>GETPIVOTDATA(" Old-Veterinary Medicine",'Pivot Table for 1-11'!$A$3,"State","GA","SREB Type2","Specialized")</f>
        <v>0</v>
      </c>
      <c r="O326" s="198">
        <f>+GETPIVOTDATA(" Old-Oth PP",'Pivot Table for 1-11'!$A$3,"State","GA","SREB Type2","Specialized")</f>
        <v>0</v>
      </c>
      <c r="P326" s="182">
        <f t="shared" si="8"/>
        <v>1480</v>
      </c>
    </row>
    <row r="327" spans="1:16" ht="15" customHeight="1">
      <c r="A327" s="5" t="s">
        <v>302</v>
      </c>
      <c r="B327" s="6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6">
        <f>GETPIVOTDATA(" Old-Associate's",'Pivot Table for 1-11'!$A$3,"State","KY","SREB Type2","Specialized")</f>
        <v>0</v>
      </c>
      <c r="D327" s="6">
        <f>GETPIVOTDATA(" Old-Bachelor's",'Pivot Table for 1-11'!$A$3,"State","KY","SREB Type2","Specialized")</f>
        <v>0</v>
      </c>
      <c r="E327" s="6">
        <f>GETPIVOTDATA(" Old-Post-Bachelor's",'Pivot Table for 1-11'!$A$3,"State","KY","SREB Type2","Specialized")</f>
        <v>0</v>
      </c>
      <c r="F327" s="6">
        <f>GETPIVOTDATA(" Old-Total Master's#",'Pivot Table for 1-11'!$A$3,"State","KY","SREB Type2","Specialized")</f>
        <v>0</v>
      </c>
      <c r="G327" s="6">
        <f>GETPIVOTDATA(" Old-Total Doctorates#",'Pivot Table for 1-11'!$A$3,"State","KY","SREB Type2","Specialized")</f>
        <v>0</v>
      </c>
      <c r="H327" s="17">
        <f>GETPIVOTDATA(" Old-Law",'Pivot Table for 1-11'!$A$3,"State","KY","SREB Type2","Specialized")</f>
        <v>0</v>
      </c>
      <c r="I327" s="6">
        <f>GETPIVOTDATA(" Old-Medicine",'Pivot Table for 1-11'!$A$3,"State","KY","SREB Type2","Specialized")</f>
        <v>0</v>
      </c>
      <c r="J327" s="6">
        <f>GETPIVOTDATA(" Old-Dentistry",'Pivot Table for 1-11'!$A$3,"State","KY","SREB Type2","Specialized")</f>
        <v>0</v>
      </c>
      <c r="K327" s="6">
        <f>GETPIVOTDATA(" Old-Pharmacy",'Pivot Table for 1-11'!$A$3,"State","KY","SREB Type2","Specialized")</f>
        <v>0</v>
      </c>
      <c r="L327" s="6">
        <f>GETPIVOTDATA(" Old-Optometry",'Pivot Table for 1-11'!$A$3,"State","KY","SREB Type2","Specialized")</f>
        <v>0</v>
      </c>
      <c r="M327" s="6">
        <f>GETPIVOTDATA(" Old-Osteopathic Medicine",'Pivot Table for 1-11'!$A$3,"State","KY","SREB Type2","Specialized")</f>
        <v>0</v>
      </c>
      <c r="N327" s="181">
        <f>GETPIVOTDATA(" Old-Veterinary Medicine",'Pivot Table for 1-11'!$A$3,"State","KY","SREB Type2","Specialized")</f>
        <v>0</v>
      </c>
      <c r="O327" s="198">
        <f>+GETPIVOTDATA(" Old-Oth PP",'Pivot Table for 1-11'!$A$3,"State","KY","SREB Type2","Specialized")</f>
        <v>0</v>
      </c>
      <c r="P327" s="182">
        <f t="shared" si="8"/>
        <v>0</v>
      </c>
    </row>
    <row r="328" spans="1:16" ht="15" customHeight="1">
      <c r="A328" s="5" t="s">
        <v>303</v>
      </c>
      <c r="B328" s="6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6">
        <f>GETPIVOTDATA(" Old-Associate's",'Pivot Table for 1-11'!$A$3,"State","LA","SREB Type2","Specialized")</f>
        <v>5</v>
      </c>
      <c r="D328" s="6">
        <f>GETPIVOTDATA(" Old-Bachelor's",'Pivot Table for 1-11'!$A$3,"State","LA","SREB Type2","Specialized")</f>
        <v>302</v>
      </c>
      <c r="E328" s="6">
        <f>GETPIVOTDATA(" Old-Post-Bachelor's",'Pivot Table for 1-11'!$A$3,"State","LA","SREB Type2","Specialized")</f>
        <v>0</v>
      </c>
      <c r="F328" s="6">
        <f>GETPIVOTDATA(" Old-Total Master's#",'Pivot Table for 1-11'!$A$3,"State","LA","SREB Type2","Specialized")</f>
        <v>246</v>
      </c>
      <c r="G328" s="6">
        <f>GETPIVOTDATA(" Old-Total Doctorates#",'Pivot Table for 1-11'!$A$3,"State","LA","SREB Type2","Specialized")</f>
        <v>41</v>
      </c>
      <c r="H328" s="17">
        <f>GETPIVOTDATA(" Old-Law",'Pivot Table for 1-11'!$A$3,"State","LA","SREB Type2","Specialized")</f>
        <v>0</v>
      </c>
      <c r="I328" s="6">
        <f>GETPIVOTDATA(" Old-Medicine",'Pivot Table for 1-11'!$A$3,"State","LA","SREB Type2","Specialized")</f>
        <v>252</v>
      </c>
      <c r="J328" s="6">
        <f>GETPIVOTDATA(" Old-Dentistry",'Pivot Table for 1-11'!$A$3,"State","LA","SREB Type2","Specialized")</f>
        <v>58</v>
      </c>
      <c r="K328" s="6">
        <f>GETPIVOTDATA(" Old-Pharmacy",'Pivot Table for 1-11'!$A$3,"State","LA","SREB Type2","Specialized")</f>
        <v>0</v>
      </c>
      <c r="L328" s="6">
        <f>GETPIVOTDATA(" Old-Optometry",'Pivot Table for 1-11'!$A$3,"State","LA","SREB Type2","Specialized")</f>
        <v>0</v>
      </c>
      <c r="M328" s="6">
        <f>GETPIVOTDATA(" Old-Osteopathic Medicine",'Pivot Table for 1-11'!$A$3,"State","LA","SREB Type2","Specialized")</f>
        <v>0</v>
      </c>
      <c r="N328" s="181">
        <f>GETPIVOTDATA(" Old-Veterinary Medicine",'Pivot Table for 1-11'!$A$3,"State","LA","SREB Type2","Specialized")</f>
        <v>0</v>
      </c>
      <c r="O328" s="198">
        <f>+GETPIVOTDATA(" Old-Oth PP",'Pivot Table for 1-11'!$A$3,"State","LA","SREB Type2","Specialized")</f>
        <v>0</v>
      </c>
      <c r="P328" s="182">
        <f t="shared" si="8"/>
        <v>904</v>
      </c>
    </row>
    <row r="329" spans="1:16" ht="15" customHeight="1">
      <c r="A329" s="5" t="s">
        <v>304</v>
      </c>
      <c r="B329" s="6">
        <f>GETPIVOTDATA(" Old-Less Than 2-Year",'Pivot Table for 1-11'!$A$3,"State","MD","SREB Type2","Specialized")+GETPIVOTDATA(" Old-2 But Less Than 4-Year",'Pivot Table for 1-11'!$A$3,"State","MD","SREB Type2","Specialized")</f>
        <v>415</v>
      </c>
      <c r="C329" s="6">
        <f>GETPIVOTDATA(" Old-Associate's",'Pivot Table for 1-11'!$A$3,"State","MD","SREB Type2","Specialized")</f>
        <v>191</v>
      </c>
      <c r="D329" s="6">
        <f>GETPIVOTDATA(" Old-Bachelor's",'Pivot Table for 1-11'!$A$3,"State","MD","SREB Type2","Specialized")</f>
        <v>3143</v>
      </c>
      <c r="E329" s="6">
        <f>GETPIVOTDATA(" Old-Post-Bachelor's",'Pivot Table for 1-11'!$A$3,"State","MD","SREB Type2","Specialized")</f>
        <v>386</v>
      </c>
      <c r="F329" s="6">
        <f>GETPIVOTDATA(" Old-Total Master's#",'Pivot Table for 1-11'!$A$3,"State","MD","SREB Type2","Specialized")</f>
        <v>2818</v>
      </c>
      <c r="G329" s="6">
        <f>GETPIVOTDATA(" Old-Total Doctorates#",'Pivot Table for 1-11'!$A$3,"State","MD","SREB Type2","Specialized")</f>
        <v>161</v>
      </c>
      <c r="H329" s="17">
        <f>GETPIVOTDATA(" Old-Law",'Pivot Table for 1-11'!$A$3,"State","MD","SREB Type2","Specialized")</f>
        <v>268</v>
      </c>
      <c r="I329" s="6">
        <f>GETPIVOTDATA(" Old-Medicine",'Pivot Table for 1-11'!$A$3,"State","MD","SREB Type2","Specialized")</f>
        <v>146</v>
      </c>
      <c r="J329" s="6">
        <f>GETPIVOTDATA(" Old-Dentistry",'Pivot Table for 1-11'!$A$3,"State","MD","SREB Type2","Specialized")</f>
        <v>100</v>
      </c>
      <c r="K329" s="6">
        <f>GETPIVOTDATA(" Old-Pharmacy",'Pivot Table for 1-11'!$A$3,"State","MD","SREB Type2","Specialized")</f>
        <v>114</v>
      </c>
      <c r="L329" s="6">
        <f>GETPIVOTDATA(" Old-Optometry",'Pivot Table for 1-11'!$A$3,"State","MD","SREB Type2","Specialized")</f>
        <v>0</v>
      </c>
      <c r="M329" s="6">
        <f>GETPIVOTDATA(" Old-Osteopathic Medicine",'Pivot Table for 1-11'!$A$3,"State","MD","SREB Type2","Specialized")</f>
        <v>0</v>
      </c>
      <c r="N329" s="181">
        <f>GETPIVOTDATA(" Old-Veterinary Medicine",'Pivot Table for 1-11'!$A$3,"State","MD","SREB Type2","Specialized")</f>
        <v>0</v>
      </c>
      <c r="O329" s="198">
        <f>+GETPIVOTDATA(" Old-Oth PP",'Pivot Table for 1-11'!$A$3,"State","MD","SREB Type2","Specialized")</f>
        <v>0</v>
      </c>
      <c r="P329" s="182">
        <f t="shared" si="8"/>
        <v>7742</v>
      </c>
    </row>
    <row r="330" spans="1:16" ht="10.5" customHeight="1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181"/>
      <c r="O330" s="198"/>
      <c r="P330" s="182">
        <f t="shared" si="8"/>
        <v>0</v>
      </c>
    </row>
    <row r="331" spans="1:16" ht="15" customHeight="1">
      <c r="A331" s="5" t="s">
        <v>305</v>
      </c>
      <c r="B331" s="6">
        <f>GETPIVOTDATA(" Old-Less Than 2-Year",'Pivot Table for 1-11'!$A$3,"State","MS","SREB Type2","Specialized")+GETPIVOTDATA(" Old-2 But Less Than 4-Year",'Pivot Table for 1-11'!$A$3,"State","MS","SREB Type2","Specialized")</f>
        <v>47</v>
      </c>
      <c r="C331" s="6">
        <f>GETPIVOTDATA(" Old-Associate's",'Pivot Table for 1-11'!$A$3,"State","MS","SREB Type2","Specialized")</f>
        <v>0</v>
      </c>
      <c r="D331" s="6">
        <f>GETPIVOTDATA(" Old-Bachelor's",'Pivot Table for 1-11'!$A$3,"State","MS","SREB Type2","Specialized")</f>
        <v>201</v>
      </c>
      <c r="E331" s="6">
        <f>GETPIVOTDATA(" Old-Post-Bachelor's",'Pivot Table for 1-11'!$A$3,"State","MS","SREB Type2","Specialized")</f>
        <v>0</v>
      </c>
      <c r="F331" s="6">
        <f>GETPIVOTDATA(" Old-Total Master's#",'Pivot Table for 1-11'!$A$3,"State","MS","SREB Type2","Specialized")</f>
        <v>87</v>
      </c>
      <c r="G331" s="6">
        <f>GETPIVOTDATA(" Old-Total Doctorates#",'Pivot Table for 1-11'!$A$3,"State","MS","SREB Type2","Specialized")</f>
        <v>75</v>
      </c>
      <c r="H331" s="17">
        <f>GETPIVOTDATA(" Old-Law",'Pivot Table for 1-11'!$A$3,"State","MS","SREB Type2","Specialized")</f>
        <v>0</v>
      </c>
      <c r="I331" s="6">
        <f>GETPIVOTDATA(" Old-Medicine",'Pivot Table for 1-11'!$A$3,"State","MS","SREB Type2","Specialized")</f>
        <v>98</v>
      </c>
      <c r="J331" s="6">
        <f>GETPIVOTDATA(" Old-Dentistry",'Pivot Table for 1-11'!$A$3,"State","MS","SREB Type2","Specialized")</f>
        <v>29</v>
      </c>
      <c r="K331" s="6">
        <f>GETPIVOTDATA(" Old-Pharmacy",'Pivot Table for 1-11'!$A$3,"State","MS","SREB Type2","Specialized")</f>
        <v>0</v>
      </c>
      <c r="L331" s="6">
        <f>GETPIVOTDATA(" Old-Optometry",'Pivot Table for 1-11'!$A$3,"State","MS","SREB Type2","Specialized")</f>
        <v>0</v>
      </c>
      <c r="M331" s="6">
        <f>GETPIVOTDATA(" Old-Osteopathic Medicine",'Pivot Table for 1-11'!$A$3,"State","MS","SREB Type2","Specialized")</f>
        <v>0</v>
      </c>
      <c r="N331" s="181">
        <f>GETPIVOTDATA(" Old-Veterinary Medicine",'Pivot Table for 1-11'!$A$3,"State","MS","SREB Type2","Specialized")</f>
        <v>0</v>
      </c>
      <c r="O331" s="198">
        <f>+GETPIVOTDATA(" Old-Oth PP",'Pivot Table for 1-11'!$A$3,"State","MS","SREB Type2","Specialized")</f>
        <v>0</v>
      </c>
      <c r="P331" s="182">
        <f t="shared" si="8"/>
        <v>537</v>
      </c>
    </row>
    <row r="332" spans="1:16" ht="15" customHeight="1">
      <c r="A332" s="5" t="s">
        <v>306</v>
      </c>
      <c r="B332" s="6">
        <f>GETPIVOTDATA(" Old-Less Than 2-Year",'Pivot Table for 1-11'!$A$3,"State","NC","SREB Type2","Specialized")+GETPIVOTDATA(" Old-2 But Less Than 4-Year",'Pivot Table for 1-11'!$A$3,"State","NC","SREB Type2","Specialized")</f>
        <v>24</v>
      </c>
      <c r="C332" s="6">
        <f>GETPIVOTDATA(" Old-Associate's",'Pivot Table for 1-11'!$A$3,"State","NC","SREB Type2","Specialized")</f>
        <v>0</v>
      </c>
      <c r="D332" s="6">
        <f>GETPIVOTDATA(" Old-Bachelor's",'Pivot Table for 1-11'!$A$3,"State","NC","SREB Type2","Specialized")</f>
        <v>119</v>
      </c>
      <c r="E332" s="6">
        <f>GETPIVOTDATA(" Old-Post-Bachelor's",'Pivot Table for 1-11'!$A$3,"State","NC","SREB Type2","Specialized")</f>
        <v>0</v>
      </c>
      <c r="F332" s="6">
        <f>GETPIVOTDATA(" Old-Total Master's#",'Pivot Table for 1-11'!$A$3,"State","NC","SREB Type2","Specialized")</f>
        <v>42</v>
      </c>
      <c r="G332" s="6">
        <f>GETPIVOTDATA(" Old-Total Doctorates#",'Pivot Table for 1-11'!$A$3,"State","NC","SREB Type2","Specialized")</f>
        <v>0</v>
      </c>
      <c r="H332" s="17">
        <f>GETPIVOTDATA(" Old-Law",'Pivot Table for 1-11'!$A$3,"State","NC","SREB Type2","Specialized")</f>
        <v>0</v>
      </c>
      <c r="I332" s="6">
        <f>GETPIVOTDATA(" Old-Medicine",'Pivot Table for 1-11'!$A$3,"State","NC","SREB Type2","Specialized")</f>
        <v>0</v>
      </c>
      <c r="J332" s="6">
        <f>GETPIVOTDATA(" Old-Dentistry",'Pivot Table for 1-11'!$A$3,"State","NC","SREB Type2","Specialized")</f>
        <v>0</v>
      </c>
      <c r="K332" s="6">
        <f>GETPIVOTDATA(" Old-Pharmacy",'Pivot Table for 1-11'!$A$3,"State","NC","SREB Type2","Specialized")</f>
        <v>0</v>
      </c>
      <c r="L332" s="6">
        <f>GETPIVOTDATA(" Old-Optometry",'Pivot Table for 1-11'!$A$3,"State","NC","SREB Type2","Specialized")</f>
        <v>0</v>
      </c>
      <c r="M332" s="6">
        <f>GETPIVOTDATA(" Old-Osteopathic Medicine",'Pivot Table for 1-11'!$A$3,"State","NC","SREB Type2","Specialized")</f>
        <v>0</v>
      </c>
      <c r="N332" s="181">
        <f>GETPIVOTDATA(" Old-Veterinary Medicine",'Pivot Table for 1-11'!$A$3,"State","NC","SREB Type2","Specialized")</f>
        <v>0</v>
      </c>
      <c r="O332" s="198">
        <f>+GETPIVOTDATA(" Old-Oth PP",'Pivot Table for 1-11'!$A$3,"State","NC","SREB Type2","Specialized")</f>
        <v>0</v>
      </c>
      <c r="P332" s="182">
        <f t="shared" si="8"/>
        <v>185</v>
      </c>
    </row>
    <row r="333" spans="1:16" ht="15" customHeight="1">
      <c r="A333" s="5" t="s">
        <v>307</v>
      </c>
      <c r="B333" s="6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6">
        <f>GETPIVOTDATA(" Old-Associate's",'Pivot Table for 1-11'!$A$3,"State","OK","SREB Type2","Specialized")</f>
        <v>0</v>
      </c>
      <c r="D333" s="6">
        <f>GETPIVOTDATA(" Old-Bachelor's",'Pivot Table for 1-11'!$A$3,"State","OK","SREB Type2","Specialized")</f>
        <v>0</v>
      </c>
      <c r="E333" s="6">
        <f>GETPIVOTDATA(" Old-Post-Bachelor's",'Pivot Table for 1-11'!$A$3,"State","OK","SREB Type2","Specialized")</f>
        <v>0</v>
      </c>
      <c r="F333" s="6">
        <f>GETPIVOTDATA(" Old-Total Master's#",'Pivot Table for 1-11'!$A$3,"State","OK","SREB Type2","Specialized")</f>
        <v>0</v>
      </c>
      <c r="G333" s="6">
        <f>GETPIVOTDATA(" Old-Total Doctorates#",'Pivot Table for 1-11'!$A$3,"State","OK","SREB Type2","Specialized")</f>
        <v>0</v>
      </c>
      <c r="H333" s="17">
        <f>GETPIVOTDATA(" Old-Law",'Pivot Table for 1-11'!$A$3,"State","OK","SREB Type2","Specialized")</f>
        <v>0</v>
      </c>
      <c r="I333" s="6">
        <f>GETPIVOTDATA(" Old-Medicine",'Pivot Table for 1-11'!$A$3,"State","OK","SREB Type2","Specialized")</f>
        <v>0</v>
      </c>
      <c r="J333" s="6">
        <f>GETPIVOTDATA(" Old-Dentistry",'Pivot Table for 1-11'!$A$3,"State","OK","SREB Type2","Specialized")</f>
        <v>0</v>
      </c>
      <c r="K333" s="6">
        <f>GETPIVOTDATA(" Old-Pharmacy",'Pivot Table for 1-11'!$A$3,"State","OK","SREB Type2","Specialized")</f>
        <v>0</v>
      </c>
      <c r="L333" s="6">
        <f>GETPIVOTDATA(" Old-Optometry",'Pivot Table for 1-11'!$A$3,"State","OK","SREB Type2","Specialized")</f>
        <v>0</v>
      </c>
      <c r="M333" s="6">
        <f>GETPIVOTDATA(" Old-Osteopathic Medicine",'Pivot Table for 1-11'!$A$3,"State","OK","SREB Type2","Specialized")</f>
        <v>0</v>
      </c>
      <c r="N333" s="181">
        <f>GETPIVOTDATA(" Old-Veterinary Medicine",'Pivot Table for 1-11'!$A$3,"State","OK","SREB Type2","Specialized")</f>
        <v>0</v>
      </c>
      <c r="O333" s="198">
        <f>+GETPIVOTDATA(" Old-Oth PP",'Pivot Table for 1-11'!$A$3,"State","OK","SREB Type2","Specialized")</f>
        <v>0</v>
      </c>
      <c r="P333" s="182">
        <f t="shared" si="8"/>
        <v>0</v>
      </c>
    </row>
    <row r="334" spans="1:16" ht="15" customHeight="1">
      <c r="A334" s="5" t="s">
        <v>308</v>
      </c>
      <c r="B334" s="6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6">
        <f>GETPIVOTDATA(" Old-Associate's",'Pivot Table for 1-11'!$A$3,"State","SC","SREB Type2","Specialized")</f>
        <v>0</v>
      </c>
      <c r="D334" s="6">
        <f>GETPIVOTDATA(" Old-Bachelor's",'Pivot Table for 1-11'!$A$3,"State","SC","SREB Type2","Specialized")</f>
        <v>182</v>
      </c>
      <c r="E334" s="6">
        <f>GETPIVOTDATA(" Old-Post-Bachelor's",'Pivot Table for 1-11'!$A$3,"State","SC","SREB Type2","Specialized")</f>
        <v>7</v>
      </c>
      <c r="F334" s="6">
        <f>GETPIVOTDATA(" Old-Total Master's#",'Pivot Table for 1-11'!$A$3,"State","SC","SREB Type2","Specialized")</f>
        <v>275</v>
      </c>
      <c r="G334" s="6">
        <f>GETPIVOTDATA(" Old-Total Doctorates#",'Pivot Table for 1-11'!$A$3,"State","SC","SREB Type2","Specialized")</f>
        <v>168</v>
      </c>
      <c r="H334" s="17">
        <f>GETPIVOTDATA(" Old-Law",'Pivot Table for 1-11'!$A$3,"State","SC","SREB Type2","Specialized")</f>
        <v>0</v>
      </c>
      <c r="I334" s="6">
        <f>GETPIVOTDATA(" Old-Medicine",'Pivot Table for 1-11'!$A$3,"State","SC","SREB Type2","Specialized")</f>
        <v>135</v>
      </c>
      <c r="J334" s="6">
        <f>GETPIVOTDATA(" Old-Dentistry",'Pivot Table for 1-11'!$A$3,"State","SC","SREB Type2","Specialized")</f>
        <v>54</v>
      </c>
      <c r="K334" s="6">
        <f>GETPIVOTDATA(" Old-Pharmacy",'Pivot Table for 1-11'!$A$3,"State","SC","SREB Type2","Specialized")</f>
        <v>78</v>
      </c>
      <c r="L334" s="6">
        <f>GETPIVOTDATA(" Old-Optometry",'Pivot Table for 1-11'!$A$3,"State","SC","SREB Type2","Specialized")</f>
        <v>0</v>
      </c>
      <c r="M334" s="6">
        <f>GETPIVOTDATA(" Old-Osteopathic Medicine",'Pivot Table for 1-11'!$A$3,"State","SC","SREB Type2","Specialized")</f>
        <v>0</v>
      </c>
      <c r="N334" s="181">
        <f>GETPIVOTDATA(" Old-Veterinary Medicine",'Pivot Table for 1-11'!$A$3,"State","SC","SREB Type2","Specialized")</f>
        <v>0</v>
      </c>
      <c r="O334" s="198">
        <f>+GETPIVOTDATA(" Old-Oth PP",'Pivot Table for 1-11'!$A$3,"State","SC","SREB Type2","Specialized")</f>
        <v>0</v>
      </c>
      <c r="P334" s="182">
        <f t="shared" si="8"/>
        <v>899</v>
      </c>
    </row>
    <row r="335" spans="1:16" ht="10.5" customHeight="1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181"/>
      <c r="O335" s="198"/>
      <c r="P335" s="182"/>
    </row>
    <row r="336" spans="1:16" ht="15" customHeight="1">
      <c r="A336" s="5" t="s">
        <v>309</v>
      </c>
      <c r="B336" s="6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6">
        <f>GETPIVOTDATA(" Old-Associate's",'Pivot Table for 1-11'!$A$3,"State","TN","SREB Type2","Specialized")</f>
        <v>0</v>
      </c>
      <c r="D336" s="6">
        <f>GETPIVOTDATA(" Old-Bachelor's",'Pivot Table for 1-11'!$A$3,"State","TN","SREB Type2","Specialized")</f>
        <v>103</v>
      </c>
      <c r="E336" s="6">
        <f>GETPIVOTDATA(" Old-Post-Bachelor's",'Pivot Table for 1-11'!$A$3,"State","TN","SREB Type2","Specialized")</f>
        <v>0</v>
      </c>
      <c r="F336" s="6">
        <f>GETPIVOTDATA(" Old-Total Master's#",'Pivot Table for 1-11'!$A$3,"State","TN","SREB Type2","Specialized")</f>
        <v>399</v>
      </c>
      <c r="G336" s="6">
        <f>GETPIVOTDATA(" Old-Total Doctorates#",'Pivot Table for 1-11'!$A$3,"State","TN","SREB Type2","Specialized")</f>
        <v>105</v>
      </c>
      <c r="H336" s="17">
        <f>GETPIVOTDATA(" Old-Law",'Pivot Table for 1-11'!$A$3,"State","TN","SREB Type2","Specialized")</f>
        <v>0</v>
      </c>
      <c r="I336" s="6">
        <f>GETPIVOTDATA(" Old-Medicine",'Pivot Table for 1-11'!$A$3,"State","TN","SREB Type2","Specialized")</f>
        <v>150</v>
      </c>
      <c r="J336" s="6">
        <f>GETPIVOTDATA(" Old-Dentistry",'Pivot Table for 1-11'!$A$3,"State","TN","SREB Type2","Specialized")</f>
        <v>77</v>
      </c>
      <c r="K336" s="6">
        <f>GETPIVOTDATA(" Old-Pharmacy",'Pivot Table for 1-11'!$A$3,"State","TN","SREB Type2","Specialized")</f>
        <v>126</v>
      </c>
      <c r="L336" s="6">
        <f>GETPIVOTDATA(" Old-Optometry",'Pivot Table for 1-11'!$A$3,"State","TN","SREB Type2","Specialized")</f>
        <v>0</v>
      </c>
      <c r="M336" s="6">
        <f>GETPIVOTDATA(" Old-Osteopathic Medicine",'Pivot Table for 1-11'!$A$3,"State","TN","SREB Type2","Specialized")</f>
        <v>0</v>
      </c>
      <c r="N336" s="181">
        <f>GETPIVOTDATA(" Old-Veterinary Medicine",'Pivot Table for 1-11'!$A$3,"State","TN","SREB Type2","Specialized")</f>
        <v>0</v>
      </c>
      <c r="O336" s="198">
        <f>+GETPIVOTDATA(" Old-Oth PP",'Pivot Table for 1-11'!$A$3,"State","TN","SREB Type2","Specialized")</f>
        <v>0</v>
      </c>
      <c r="P336" s="182">
        <f t="shared" si="8"/>
        <v>960</v>
      </c>
    </row>
    <row r="337" spans="1:16" ht="15" customHeight="1">
      <c r="A337" s="5" t="s">
        <v>310</v>
      </c>
      <c r="B337" s="6">
        <f>GETPIVOTDATA(" Old-Less Than 2-Year",'Pivot Table for 1-11'!$A$3,"State","TX","SREB Type2","Specialized")+GETPIVOTDATA(" Old-2 But Less Than 4-Year",'Pivot Table for 1-11'!$A$3,"State","TX","SREB Type2","Specialized")</f>
        <v>0</v>
      </c>
      <c r="C337" s="6">
        <f>GETPIVOTDATA(" Old-Associate's",'Pivot Table for 1-11'!$A$3,"State","TX","SREB Type2","Specialized")</f>
        <v>205</v>
      </c>
      <c r="D337" s="6">
        <f>GETPIVOTDATA(" Old-Bachelor's",'Pivot Table for 1-11'!$A$3,"State","TX","SREB Type2","Specialized")</f>
        <v>1491</v>
      </c>
      <c r="E337" s="6">
        <f>GETPIVOTDATA(" Old-Post-Bachelor's",'Pivot Table for 1-11'!$A$3,"State","TX","SREB Type2","Specialized")</f>
        <v>0</v>
      </c>
      <c r="F337" s="6">
        <f>GETPIVOTDATA(" Old-Total Master's#",'Pivot Table for 1-11'!$A$3,"State","TX","SREB Type2","Specialized")</f>
        <v>1515</v>
      </c>
      <c r="G337" s="6">
        <f>GETPIVOTDATA(" Old-Total Doctorates#",'Pivot Table for 1-11'!$A$3,"State","TX","SREB Type2","Specialized")</f>
        <v>334</v>
      </c>
      <c r="H337" s="17">
        <f>GETPIVOTDATA(" Old-Law",'Pivot Table for 1-11'!$A$3,"State","TX","SREB Type2","Specialized")</f>
        <v>0</v>
      </c>
      <c r="I337" s="6">
        <f>GETPIVOTDATA(" Old-Medicine",'Pivot Table for 1-11'!$A$3,"State","TX","SREB Type2","Specialized")</f>
        <v>1017</v>
      </c>
      <c r="J337" s="6">
        <f>GETPIVOTDATA(" Old-Dentistry",'Pivot Table for 1-11'!$A$3,"State","TX","SREB Type2","Specialized")</f>
        <v>229</v>
      </c>
      <c r="K337" s="6">
        <f>GETPIVOTDATA(" Old-Pharmacy",'Pivot Table for 1-11'!$A$3,"State","TX","SREB Type2","Specialized")</f>
        <v>84</v>
      </c>
      <c r="L337" s="6">
        <f>GETPIVOTDATA(" Old-Optometry",'Pivot Table for 1-11'!$A$3,"State","TX","SREB Type2","Specialized")</f>
        <v>0</v>
      </c>
      <c r="M337" s="6">
        <f>GETPIVOTDATA(" Old-Osteopathic Medicine",'Pivot Table for 1-11'!$A$3,"State","TX","SREB Type2","Specialized")</f>
        <v>128</v>
      </c>
      <c r="N337" s="181">
        <f>GETPIVOTDATA(" Old-Veterinary Medicine",'Pivot Table for 1-11'!$A$3,"State","TX","SREB Type2","Specialized")</f>
        <v>0</v>
      </c>
      <c r="O337" s="198">
        <f>+GETPIVOTDATA(" Old-Oth PP",'Pivot Table for 1-11'!$A$3,"State","TX","SREB Type2","Specialized")</f>
        <v>0</v>
      </c>
      <c r="P337" s="182">
        <f t="shared" si="8"/>
        <v>5003</v>
      </c>
    </row>
    <row r="338" spans="1:16" ht="15" customHeight="1">
      <c r="A338" s="5" t="s">
        <v>311</v>
      </c>
      <c r="B338" s="6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6">
        <f>GETPIVOTDATA(" Old-Associate's",'Pivot Table for 1-11'!$A$3,"State","VA","SREB Type2","Specialized")</f>
        <v>0</v>
      </c>
      <c r="D338" s="6">
        <f>GETPIVOTDATA(" Old-Bachelor's",'Pivot Table for 1-11'!$A$3,"State","VA","SREB Type2","Specialized")</f>
        <v>280</v>
      </c>
      <c r="E338" s="6">
        <f>GETPIVOTDATA(" Old-Post-Bachelor's",'Pivot Table for 1-11'!$A$3,"State","VA","SREB Type2","Specialized")</f>
        <v>0</v>
      </c>
      <c r="F338" s="6">
        <f>GETPIVOTDATA(" Old-Total Master's#",'Pivot Table for 1-11'!$A$3,"State","VA","SREB Type2","Specialized")</f>
        <v>0</v>
      </c>
      <c r="G338" s="6">
        <f>GETPIVOTDATA(" Old-Total Doctorates#",'Pivot Table for 1-11'!$A$3,"State","VA","SREB Type2","Specialized")</f>
        <v>0</v>
      </c>
      <c r="H338" s="17">
        <f>GETPIVOTDATA(" Old-Law",'Pivot Table for 1-11'!$A$3,"State","VA","SREB Type2","Specialized")</f>
        <v>0</v>
      </c>
      <c r="I338" s="6">
        <f>GETPIVOTDATA(" Old-Medicine",'Pivot Table for 1-11'!$A$3,"State","VA","SREB Type2","Specialized")</f>
        <v>0</v>
      </c>
      <c r="J338" s="6">
        <f>GETPIVOTDATA(" Old-Dentistry",'Pivot Table for 1-11'!$A$3,"State","VA","SREB Type2","Specialized")</f>
        <v>0</v>
      </c>
      <c r="K338" s="6">
        <f>GETPIVOTDATA(" Old-Pharmacy",'Pivot Table for 1-11'!$A$3,"State","VA","SREB Type2","Specialized")</f>
        <v>0</v>
      </c>
      <c r="L338" s="6">
        <f>GETPIVOTDATA(" Old-Optometry",'Pivot Table for 1-11'!$A$3,"State","VA","SREB Type2","Specialized")</f>
        <v>0</v>
      </c>
      <c r="M338" s="6">
        <f>GETPIVOTDATA(" Old-Osteopathic Medicine",'Pivot Table for 1-11'!$A$3,"State","VA","SREB Type2","Specialized")</f>
        <v>0</v>
      </c>
      <c r="N338" s="181">
        <f>GETPIVOTDATA(" Old-Veterinary Medicine",'Pivot Table for 1-11'!$A$3,"State","VA","SREB Type2","Specialized")</f>
        <v>0</v>
      </c>
      <c r="O338" s="198">
        <f>+GETPIVOTDATA(" Old-Oth PP",'Pivot Table for 1-11'!$A$3,"State","VA","SREB Type2","Specialized")</f>
        <v>0</v>
      </c>
      <c r="P338" s="182">
        <f t="shared" si="8"/>
        <v>280</v>
      </c>
    </row>
    <row r="339" spans="1:16" ht="15" customHeight="1">
      <c r="A339" s="7" t="s">
        <v>312</v>
      </c>
      <c r="B339" s="8">
        <f>GETPIVOTDATA(" Old-Less Than 2-Year",'Pivot Table for 1-11'!$A$3,"State","WV","SREB Type2","Specialized")+GETPIVOTDATA(" Old-2 But Less Than 4-Year",'Pivot Table for 1-11'!$A$3,"State","WV","SREB Type2","Specialized")</f>
        <v>0</v>
      </c>
      <c r="C339" s="8">
        <f>GETPIVOTDATA(" Old-Associate's",'Pivot Table for 1-11'!$A$3,"State","WV","SREB Type2","Specialized")</f>
        <v>0</v>
      </c>
      <c r="D339" s="8">
        <f>GETPIVOTDATA(" Old-Bachelor's",'Pivot Table for 1-11'!$A$3,"State","WV","SREB Type2","Specialized")</f>
        <v>0</v>
      </c>
      <c r="E339" s="8">
        <f>GETPIVOTDATA(" Old-Post-Bachelor's",'Pivot Table for 1-11'!$A$3,"State","WV","SREB Type2","Specialized")</f>
        <v>0</v>
      </c>
      <c r="F339" s="8">
        <f>GETPIVOTDATA(" Old-Total Master's#",'Pivot Table for 1-11'!$A$3,"State","WV","SREB Type2","Specialized")</f>
        <v>0</v>
      </c>
      <c r="G339" s="8">
        <f>GETPIVOTDATA(" Old-Total Doctorates#",'Pivot Table for 1-11'!$A$3,"State","WV","SREB Type2","Specialized")</f>
        <v>0</v>
      </c>
      <c r="H339" s="18">
        <f>GETPIVOTDATA(" Old-Law",'Pivot Table for 1-11'!$A$3,"State","WV","SREB Type2","Specialized")</f>
        <v>0</v>
      </c>
      <c r="I339" s="8">
        <f>GETPIVOTDATA(" Old-Medicine",'Pivot Table for 1-11'!$A$3,"State","WV","SREB Type2","Specialized")</f>
        <v>0</v>
      </c>
      <c r="J339" s="8">
        <f>GETPIVOTDATA(" Old-Dentistry",'Pivot Table for 1-11'!$A$3,"State","WV","SREB Type2","Specialized")</f>
        <v>0</v>
      </c>
      <c r="K339" s="8">
        <f>GETPIVOTDATA(" Old-Pharmacy",'Pivot Table for 1-11'!$A$3,"State","WV","SREB Type2","Specialized")</f>
        <v>0</v>
      </c>
      <c r="L339" s="8">
        <f>GETPIVOTDATA(" Old-Optometry",'Pivot Table for 1-11'!$A$3,"State","WV","SREB Type2","Specialized")</f>
        <v>0</v>
      </c>
      <c r="M339" s="8">
        <f>GETPIVOTDATA(" Old-Osteopathic Medicine",'Pivot Table for 1-11'!$A$3,"State","WV","SREB Type2","Specialized")</f>
        <v>94</v>
      </c>
      <c r="N339" s="189">
        <f>GETPIVOTDATA(" Old-Veterinary Medicine",'Pivot Table for 1-11'!$A$3,"State","WV","SREB Type2","Specialized")</f>
        <v>0</v>
      </c>
      <c r="O339" s="199">
        <f>+GETPIVOTDATA(" Old-Oth PP",'Pivot Table for 1-11'!$A$3,"State","WV","SREB Type2","Specialized")</f>
        <v>0</v>
      </c>
      <c r="P339" s="183">
        <f t="shared" si="8"/>
        <v>94</v>
      </c>
    </row>
    <row r="340" spans="1:16" s="43" customFormat="1" ht="24" customHeight="1">
      <c r="A340" s="767" t="s">
        <v>1253</v>
      </c>
      <c r="B340" s="768"/>
      <c r="C340" s="768"/>
      <c r="D340" s="768"/>
      <c r="E340" s="768"/>
      <c r="F340" s="768"/>
      <c r="G340" s="768"/>
      <c r="H340" s="768"/>
      <c r="I340" s="768"/>
      <c r="J340" s="768"/>
      <c r="K340" s="768"/>
      <c r="L340" s="768"/>
      <c r="M340" s="768"/>
      <c r="N340" s="768"/>
      <c r="O340" s="768"/>
      <c r="P340" s="768"/>
    </row>
    <row r="341" spans="1:16">
      <c r="N341" s="3"/>
      <c r="O341" s="184"/>
      <c r="P341" s="184" t="s">
        <v>1267</v>
      </c>
    </row>
    <row r="342" spans="1:16" ht="18">
      <c r="A342" s="22" t="s">
        <v>333</v>
      </c>
      <c r="B342" s="22"/>
      <c r="C342" s="22"/>
      <c r="D342" s="22"/>
      <c r="E342" s="22"/>
      <c r="F342" s="22"/>
      <c r="G342" s="22"/>
      <c r="H342" s="21" t="s">
        <v>321</v>
      </c>
      <c r="I342" s="21"/>
      <c r="J342" s="21"/>
      <c r="K342" s="21"/>
      <c r="L342" s="21"/>
      <c r="M342" s="21"/>
      <c r="N342" s="187"/>
      <c r="O342" s="187"/>
      <c r="P342" s="187"/>
    </row>
    <row r="343" spans="1:16" ht="6.75" customHeight="1">
      <c r="A343" s="4"/>
      <c r="B343" s="4"/>
      <c r="C343" s="4"/>
      <c r="D343" s="4"/>
      <c r="E343" s="4"/>
      <c r="F343" s="4"/>
      <c r="G343" s="4"/>
      <c r="H343" s="4"/>
      <c r="I343" s="92"/>
      <c r="J343" s="92"/>
      <c r="K343" s="92"/>
      <c r="L343" s="86"/>
      <c r="M343" s="86"/>
    </row>
    <row r="344" spans="1:16" ht="15.75">
      <c r="A344" s="1" t="s">
        <v>334</v>
      </c>
      <c r="B344" s="1"/>
      <c r="C344" s="1"/>
      <c r="D344" s="1"/>
      <c r="E344" s="1"/>
      <c r="F344" s="1"/>
      <c r="G344" s="1"/>
      <c r="H344" s="1" t="s">
        <v>321</v>
      </c>
      <c r="I344" s="93"/>
      <c r="J344" s="93"/>
      <c r="K344" s="93"/>
      <c r="L344" s="94"/>
      <c r="M344" s="94"/>
      <c r="N344" s="94"/>
      <c r="O344" s="94"/>
      <c r="P344" s="94"/>
    </row>
    <row r="345" spans="1:16" ht="15.75">
      <c r="A345" s="1" t="s">
        <v>335</v>
      </c>
      <c r="B345" s="1"/>
      <c r="C345" s="1"/>
      <c r="D345" s="1"/>
      <c r="E345" s="1"/>
      <c r="F345" s="1"/>
      <c r="G345" s="1"/>
      <c r="H345" s="1" t="s">
        <v>321</v>
      </c>
      <c r="I345" s="93"/>
      <c r="J345" s="93"/>
      <c r="K345" s="93"/>
      <c r="L345" s="94"/>
      <c r="M345" s="94"/>
      <c r="N345" s="94"/>
      <c r="O345" s="94"/>
      <c r="P345" s="94"/>
    </row>
    <row r="346" spans="1:16" ht="15.75">
      <c r="A346" s="1" t="s">
        <v>1319</v>
      </c>
      <c r="B346" s="1"/>
      <c r="C346" s="1"/>
      <c r="D346" s="1"/>
      <c r="E346" s="1"/>
      <c r="F346" s="1"/>
      <c r="G346" s="1"/>
      <c r="H346" s="1" t="s">
        <v>321</v>
      </c>
      <c r="I346" s="93"/>
      <c r="J346" s="93"/>
      <c r="K346" s="93"/>
      <c r="L346" s="94"/>
      <c r="M346" s="94"/>
      <c r="N346" s="94"/>
      <c r="O346" s="94"/>
      <c r="P346" s="94"/>
    </row>
    <row r="347" spans="1:16" ht="9" customHeight="1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94"/>
      <c r="O347" s="94"/>
      <c r="P347" s="94"/>
    </row>
    <row r="348" spans="1:16" ht="15.75">
      <c r="A348" s="23"/>
      <c r="B348" s="168"/>
      <c r="C348" s="24" t="s">
        <v>336</v>
      </c>
      <c r="D348" s="25"/>
      <c r="E348" s="25"/>
      <c r="F348" s="25"/>
      <c r="G348" s="26"/>
      <c r="H348" s="1" t="s">
        <v>321</v>
      </c>
      <c r="I348" s="1"/>
      <c r="J348" s="1"/>
      <c r="K348" s="1"/>
      <c r="L348" s="1"/>
      <c r="M348" s="2"/>
      <c r="N348" s="94"/>
      <c r="O348" s="94"/>
      <c r="P348" s="94"/>
    </row>
    <row r="349" spans="1:16" ht="86.25" customHeight="1">
      <c r="A349" s="27"/>
      <c r="B349" s="28" t="s">
        <v>337</v>
      </c>
      <c r="C349" s="29" t="s">
        <v>1322</v>
      </c>
      <c r="D349" s="29" t="s">
        <v>339</v>
      </c>
      <c r="E349" s="29" t="s">
        <v>340</v>
      </c>
      <c r="F349" s="30" t="s">
        <v>295</v>
      </c>
      <c r="G349" s="29" t="s">
        <v>723</v>
      </c>
      <c r="H349" s="1"/>
      <c r="I349" s="1"/>
      <c r="J349" s="1"/>
      <c r="K349" s="1"/>
      <c r="L349" s="1"/>
    </row>
    <row r="350" spans="1:16" ht="15" customHeight="1">
      <c r="A350" s="5" t="s">
        <v>296</v>
      </c>
      <c r="B350" s="20">
        <f>GETPIVOTDATA(" Old-Bachelor's",'Pivot Table for 12'!$A$3)</f>
        <v>367275</v>
      </c>
      <c r="C350" s="31">
        <f>GETPIVOTDATA(" Old-Bach-TeachEd by CIP",'Pivot Table for 12'!$A$3)</f>
        <v>15940</v>
      </c>
      <c r="D350" s="20">
        <f>GETPIVOTDATA(" Old-Bach-TeachEd by Courses",'Pivot Table for 12'!$A$3)</f>
        <v>4435</v>
      </c>
      <c r="E350" s="20">
        <f>GETPIVOTDATA(" Old-Bach-TeachEd-Other",'Pivot Table for 12'!$A$3)</f>
        <v>3748</v>
      </c>
      <c r="F350" s="19">
        <f>GETPIVOTDATA(" Old-Bach-TeachEd-Subtot",'Pivot Table for 12'!$A$3)</f>
        <v>24123</v>
      </c>
      <c r="G350" s="247">
        <f>(F350/(B350-B368-B369))*100</f>
        <v>9.3092629539727323</v>
      </c>
      <c r="I350" s="1"/>
      <c r="J350" s="1"/>
      <c r="K350" s="1"/>
      <c r="L350" s="1"/>
    </row>
    <row r="351" spans="1:16" ht="7.5" customHeight="1">
      <c r="A351" s="5"/>
      <c r="B351" s="20"/>
      <c r="C351" s="31"/>
      <c r="D351" s="20"/>
      <c r="E351" s="20"/>
      <c r="F351" s="19"/>
      <c r="G351" s="37"/>
      <c r="J351" s="33"/>
      <c r="K351" s="169"/>
    </row>
    <row r="352" spans="1:16" ht="15" customHeight="1">
      <c r="A352" s="5" t="s">
        <v>297</v>
      </c>
      <c r="B352" s="20">
        <f>GETPIVOTDATA(" Old-Bachelor's",'Pivot Table for 12'!$A$3,"State","AL")</f>
        <v>18120</v>
      </c>
      <c r="C352" s="31">
        <f>GETPIVOTDATA(" Old-Bach-TeachEd by CIP",'Pivot Table for 12'!$A$3,"State","AL")</f>
        <v>2007</v>
      </c>
      <c r="D352" s="20">
        <f>GETPIVOTDATA(" Old-Bach-TeachEd by Courses",'Pivot Table for 12'!$A$3,"State","AL")</f>
        <v>0</v>
      </c>
      <c r="E352" s="20">
        <f>GETPIVOTDATA(" Old-Bach-TeachEd-Other",'Pivot Table for 12'!$A$3,"State","AL")</f>
        <v>174</v>
      </c>
      <c r="F352" s="19">
        <f>GETPIVOTDATA(" Old-Bach-TeachEd-Subtot",'Pivot Table for 12'!$A$3,"State","AL")</f>
        <v>2181</v>
      </c>
      <c r="G352" s="37">
        <f>(F352/B352)*100</f>
        <v>12.036423841059603</v>
      </c>
      <c r="J352" s="170"/>
      <c r="K352" s="10"/>
    </row>
    <row r="353" spans="1:11" ht="15" customHeight="1">
      <c r="A353" s="5" t="s">
        <v>298</v>
      </c>
      <c r="B353" s="20">
        <f>GETPIVOTDATA(" Old-Bachelor's",'Pivot Table for 12'!$A$3,"State","AR")</f>
        <v>9306</v>
      </c>
      <c r="C353" s="31">
        <f>GETPIVOTDATA(" Old-Bach-TeachEd by CIP",'Pivot Table for 12'!$A$3,"State","AR")</f>
        <v>1198</v>
      </c>
      <c r="D353" s="20">
        <f>GETPIVOTDATA(" Old-Bach-TeachEd by Courses",'Pivot Table for 12'!$A$3,"State","AR")</f>
        <v>0</v>
      </c>
      <c r="E353" s="20">
        <f>GETPIVOTDATA(" Old-Bach-TeachEd-Other",'Pivot Table for 12'!$A$3,"State","AR")</f>
        <v>0</v>
      </c>
      <c r="F353" s="19">
        <f>GETPIVOTDATA(" Old-Bach-TeachEd-Subtot",'Pivot Table for 12'!$A$3,"State","AR")</f>
        <v>1198</v>
      </c>
      <c r="G353" s="37">
        <f t="shared" ref="G353:G370" si="9">(F353/B353)*100</f>
        <v>12.873415001074576</v>
      </c>
      <c r="I353" s="48"/>
      <c r="J353" s="33"/>
      <c r="K353" s="169"/>
    </row>
    <row r="354" spans="1:11" ht="15" customHeight="1">
      <c r="A354" s="5" t="s">
        <v>299</v>
      </c>
      <c r="B354" s="20">
        <f>GETPIVOTDATA(" Old-Bachelor's",'Pivot Table for 12'!$A$3,"State","DE")</f>
        <v>3955</v>
      </c>
      <c r="C354" s="31">
        <f>GETPIVOTDATA(" Old-Bach-TeachEd by CIP",'Pivot Table for 12'!$A$3,"State","DE")</f>
        <v>332</v>
      </c>
      <c r="D354" s="20">
        <f>GETPIVOTDATA(" Old-Bach-TeachEd by Courses",'Pivot Table for 12'!$A$3,"State","DE")</f>
        <v>0</v>
      </c>
      <c r="E354" s="20">
        <f>GETPIVOTDATA(" Old-Bach-TeachEd-Other",'Pivot Table for 12'!$A$3,"State","DE")</f>
        <v>0</v>
      </c>
      <c r="F354" s="19">
        <f>GETPIVOTDATA(" Old-Bach-TeachEd-Subtot",'Pivot Table for 12'!$A$3,"State","DE")</f>
        <v>332</v>
      </c>
      <c r="G354" s="37">
        <f t="shared" si="9"/>
        <v>8.3944374209860939</v>
      </c>
      <c r="J354" s="33"/>
      <c r="K354" s="169"/>
    </row>
    <row r="355" spans="1:11" ht="15" customHeight="1">
      <c r="A355" s="5" t="s">
        <v>300</v>
      </c>
      <c r="B355" s="20">
        <f>GETPIVOTDATA(" Old-Bachelor's",'Pivot Table for 12'!$A$3,"State","FL")</f>
        <v>50465</v>
      </c>
      <c r="C355" s="31">
        <f>GETPIVOTDATA(" Old-Bach-TeachEd by CIP",'Pivot Table for 12'!$A$3,"State","FL")</f>
        <v>259</v>
      </c>
      <c r="D355" s="20">
        <f>GETPIVOTDATA(" Old-Bach-TeachEd by Courses",'Pivot Table for 12'!$A$3,"State","FL")</f>
        <v>0</v>
      </c>
      <c r="E355" s="20">
        <f>GETPIVOTDATA(" Old-Bach-TeachEd-Other",'Pivot Table for 12'!$A$3,"State","FL")</f>
        <v>3132</v>
      </c>
      <c r="F355" s="19">
        <f>GETPIVOTDATA(" Old-Bach-TeachEd-Subtot",'Pivot Table for 12'!$A$3,"State","FL")</f>
        <v>3391</v>
      </c>
      <c r="G355" s="37">
        <f t="shared" si="9"/>
        <v>6.7195085702962452</v>
      </c>
      <c r="J355" s="33"/>
      <c r="K355" s="169"/>
    </row>
    <row r="356" spans="1:11" ht="7.5" customHeight="1">
      <c r="A356" s="5"/>
      <c r="B356" s="20"/>
      <c r="C356" s="31"/>
      <c r="D356" s="20"/>
      <c r="E356" s="20"/>
      <c r="F356" s="19"/>
      <c r="G356" s="37"/>
      <c r="J356" s="33"/>
      <c r="K356" s="169"/>
    </row>
    <row r="357" spans="1:11" ht="15" customHeight="1">
      <c r="A357" s="5" t="s">
        <v>301</v>
      </c>
      <c r="B357" s="20">
        <f>GETPIVOTDATA(" Old-Bachelor's",'Pivot Table for 12'!$A$3,"State","GA")</f>
        <v>28247</v>
      </c>
      <c r="C357" s="31">
        <f>GETPIVOTDATA(" Old-Bach-TeachEd by CIP",'Pivot Table for 12'!$A$3,"State","GA")</f>
        <v>3260</v>
      </c>
      <c r="D357" s="20">
        <f>GETPIVOTDATA(" Old-Bach-TeachEd by Courses",'Pivot Table for 12'!$A$3,"State","GA")</f>
        <v>0</v>
      </c>
      <c r="E357" s="20">
        <f>GETPIVOTDATA(" Old-Bach-TeachEd-Other",'Pivot Table for 12'!$A$3,"State","GA")</f>
        <v>0</v>
      </c>
      <c r="F357" s="19">
        <f>GETPIVOTDATA(" Old-Bach-TeachEd-Subtot",'Pivot Table for 12'!$A$3,"State","GA")</f>
        <v>3260</v>
      </c>
      <c r="G357" s="37">
        <f t="shared" si="9"/>
        <v>11.54104860693171</v>
      </c>
      <c r="J357" s="33"/>
      <c r="K357" s="169"/>
    </row>
    <row r="358" spans="1:11" ht="15" customHeight="1">
      <c r="A358" s="5" t="s">
        <v>302</v>
      </c>
      <c r="B358" s="20">
        <f>GETPIVOTDATA(" Old-Bachelor's",'Pivot Table for 12'!$A$3,"State","KY")</f>
        <v>15036</v>
      </c>
      <c r="C358" s="31">
        <f>GETPIVOTDATA(" Old-Bach-TeachEd by CIP",'Pivot Table for 12'!$A$3,"State","KY")</f>
        <v>0</v>
      </c>
      <c r="D358" s="20">
        <f>GETPIVOTDATA(" Old-Bach-TeachEd by Courses",'Pivot Table for 12'!$A$3,"State","KY")</f>
        <v>1662</v>
      </c>
      <c r="E358" s="20">
        <f>GETPIVOTDATA(" Old-Bach-TeachEd-Other",'Pivot Table for 12'!$A$3,"State","KY")</f>
        <v>0</v>
      </c>
      <c r="F358" s="19">
        <f>GETPIVOTDATA(" Old-Bach-TeachEd-Subtot",'Pivot Table for 12'!$A$3,"State","KY")</f>
        <v>1662</v>
      </c>
      <c r="G358" s="37">
        <f t="shared" si="9"/>
        <v>11.053471667996808</v>
      </c>
      <c r="J358" s="33"/>
      <c r="K358" s="169"/>
    </row>
    <row r="359" spans="1:11" ht="15" customHeight="1">
      <c r="A359" s="5" t="s">
        <v>303</v>
      </c>
      <c r="B359" s="20">
        <f>GETPIVOTDATA(" Old-Bachelor's",'Pivot Table for 12'!$A$3,"State","LA")</f>
        <v>17631</v>
      </c>
      <c r="C359" s="31">
        <f>GETPIVOTDATA(" Old-Bach-TeachEd by CIP",'Pivot Table for 12'!$A$3,"State","LA")</f>
        <v>1527</v>
      </c>
      <c r="D359" s="20">
        <f>GETPIVOTDATA(" Old-Bach-TeachEd by Courses",'Pivot Table for 12'!$A$3,"State","LA")</f>
        <v>0</v>
      </c>
      <c r="E359" s="20">
        <f>GETPIVOTDATA(" Old-Bach-TeachEd-Other",'Pivot Table for 12'!$A$3,"State","LA")</f>
        <v>0</v>
      </c>
      <c r="F359" s="19">
        <f>GETPIVOTDATA(" Old-Bach-TeachEd-Subtot",'Pivot Table for 12'!$A$3,"State","LA")</f>
        <v>1527</v>
      </c>
      <c r="G359" s="37">
        <f t="shared" si="9"/>
        <v>8.6608814020758889</v>
      </c>
      <c r="J359" s="33"/>
      <c r="K359" s="169"/>
    </row>
    <row r="360" spans="1:11" ht="15" customHeight="1">
      <c r="A360" s="5" t="s">
        <v>304</v>
      </c>
      <c r="B360" s="20">
        <f>GETPIVOTDATA(" Old-Bachelor's",'Pivot Table for 12'!$A$3,"State","MD")</f>
        <v>19958</v>
      </c>
      <c r="C360" s="31">
        <f>GETPIVOTDATA(" Old-Bach-TeachEd by CIP",'Pivot Table for 12'!$A$3,"State","MD")</f>
        <v>1492</v>
      </c>
      <c r="D360" s="20">
        <f>GETPIVOTDATA(" Old-Bach-TeachEd by Courses",'Pivot Table for 12'!$A$3,"State","MD")</f>
        <v>0</v>
      </c>
      <c r="E360" s="20">
        <f>GETPIVOTDATA(" Old-Bach-TeachEd-Other",'Pivot Table for 12'!$A$3,"State","MD")</f>
        <v>0</v>
      </c>
      <c r="F360" s="19">
        <f>GETPIVOTDATA(" Old-Bach-TeachEd-Subtot",'Pivot Table for 12'!$A$3,"State","MD")</f>
        <v>1492</v>
      </c>
      <c r="G360" s="37">
        <f t="shared" si="9"/>
        <v>7.4756989678324475</v>
      </c>
      <c r="J360" s="33"/>
      <c r="K360" s="169"/>
    </row>
    <row r="361" spans="1:11" ht="7.5" customHeight="1">
      <c r="A361" s="5"/>
      <c r="B361" s="20"/>
      <c r="C361" s="31"/>
      <c r="D361" s="20"/>
      <c r="E361" s="20"/>
      <c r="F361" s="19"/>
      <c r="G361" s="37"/>
      <c r="J361" s="33"/>
      <c r="K361" s="169"/>
    </row>
    <row r="362" spans="1:11" ht="15" customHeight="1">
      <c r="A362" s="5" t="s">
        <v>305</v>
      </c>
      <c r="B362" s="20">
        <f>GETPIVOTDATA(" Old-Bachelor's",'Pivot Table for 12'!$A$3,"State","MS")</f>
        <v>10191</v>
      </c>
      <c r="C362" s="31">
        <f>GETPIVOTDATA(" Old-Bach-TeachEd by CIP",'Pivot Table for 12'!$A$3,"State","MS")</f>
        <v>1409</v>
      </c>
      <c r="D362" s="20">
        <f>GETPIVOTDATA(" Old-Bach-TeachEd by Courses",'Pivot Table for 12'!$A$3,"State","MS")</f>
        <v>0</v>
      </c>
      <c r="E362" s="20">
        <f>GETPIVOTDATA(" Old-Bach-TeachEd-Other",'Pivot Table for 12'!$A$3,"State","MS")</f>
        <v>0</v>
      </c>
      <c r="F362" s="19">
        <f>GETPIVOTDATA(" Old-Bach-TeachEd-Subtot",'Pivot Table for 12'!$A$3,"State","MS")</f>
        <v>1409</v>
      </c>
      <c r="G362" s="37">
        <f t="shared" si="9"/>
        <v>13.825924835639288</v>
      </c>
      <c r="J362" s="33"/>
      <c r="K362" s="169"/>
    </row>
    <row r="363" spans="1:11" ht="15" customHeight="1">
      <c r="A363" s="5" t="s">
        <v>306</v>
      </c>
      <c r="B363" s="20">
        <f>GETPIVOTDATA(" Old-Bachelor's",'Pivot Table for 12'!$A$3,"State","NC")</f>
        <v>30084</v>
      </c>
      <c r="C363" s="31">
        <f>GETPIVOTDATA(" Old-Bach-TeachEd by CIP",'Pivot Table for 12'!$A$3,"State","NC")</f>
        <v>0</v>
      </c>
      <c r="D363" s="20">
        <f>GETPIVOTDATA(" Old-Bach-TeachEd by Courses",'Pivot Table for 12'!$A$3,"State","NC")</f>
        <v>2773</v>
      </c>
      <c r="E363" s="20">
        <f>GETPIVOTDATA(" Old-Bach-TeachEd-Other",'Pivot Table for 12'!$A$3,"State","NC")</f>
        <v>0</v>
      </c>
      <c r="F363" s="19">
        <f>GETPIVOTDATA(" Old-Bach-TeachEd-Subtot",'Pivot Table for 12'!$A$3,"State","NC")</f>
        <v>2773</v>
      </c>
      <c r="G363" s="37">
        <f t="shared" si="9"/>
        <v>9.2175242653902405</v>
      </c>
      <c r="J363" s="33"/>
      <c r="K363" s="169"/>
    </row>
    <row r="364" spans="1:11" ht="15" customHeight="1">
      <c r="A364" s="5" t="s">
        <v>307</v>
      </c>
      <c r="B364" s="20">
        <f>GETPIVOTDATA(" Old-Bachelor's",'Pivot Table for 12'!$A$3,"State","OK")</f>
        <v>15610</v>
      </c>
      <c r="C364" s="31">
        <f>GETPIVOTDATA(" Old-Bach-TeachEd by CIP",'Pivot Table for 12'!$A$3,"State","OK")</f>
        <v>1732</v>
      </c>
      <c r="D364" s="20">
        <f>GETPIVOTDATA(" Old-Bach-TeachEd by Courses",'Pivot Table for 12'!$A$3,"State","OK")</f>
        <v>0</v>
      </c>
      <c r="E364" s="20">
        <f>GETPIVOTDATA(" Old-Bach-TeachEd-Other",'Pivot Table for 12'!$A$3,"State","OK")</f>
        <v>0</v>
      </c>
      <c r="F364" s="19">
        <f>GETPIVOTDATA(" Old-Bach-TeachEd-Subtot",'Pivot Table for 12'!$A$3,"State","OK")</f>
        <v>1732</v>
      </c>
      <c r="G364" s="37">
        <f t="shared" si="9"/>
        <v>11.095451633568224</v>
      </c>
      <c r="J364" s="33"/>
      <c r="K364" s="169"/>
    </row>
    <row r="365" spans="1:11" ht="15" customHeight="1">
      <c r="A365" s="5" t="s">
        <v>308</v>
      </c>
      <c r="B365" s="20">
        <f>GETPIVOTDATA(" Old-Bachelor's",'Pivot Table for 12'!$A$3,"State","SC")</f>
        <v>14719</v>
      </c>
      <c r="C365" s="31">
        <f>GETPIVOTDATA(" Old-Bach-TeachEd by CIP",'Pivot Table for 12'!$A$3,"State","SC")</f>
        <v>1420</v>
      </c>
      <c r="D365" s="20">
        <f>GETPIVOTDATA(" Old-Bach-TeachEd by Courses",'Pivot Table for 12'!$A$3,"State","SC")</f>
        <v>0</v>
      </c>
      <c r="E365" s="20">
        <f>GETPIVOTDATA(" Old-Bach-TeachEd-Other",'Pivot Table for 12'!$A$3,"State","SC")</f>
        <v>102</v>
      </c>
      <c r="F365" s="19">
        <f>GETPIVOTDATA(" Old-Bach-TeachEd-Subtot",'Pivot Table for 12'!$A$3,"State","SC")</f>
        <v>1522</v>
      </c>
      <c r="G365" s="37">
        <f t="shared" si="9"/>
        <v>10.340376384265236</v>
      </c>
      <c r="J365" s="33"/>
      <c r="K365" s="169"/>
    </row>
    <row r="366" spans="1:11" ht="9" customHeight="1">
      <c r="A366" s="5"/>
      <c r="B366" s="20"/>
      <c r="C366" s="31"/>
      <c r="D366" s="20"/>
      <c r="E366" s="20"/>
      <c r="F366" s="19"/>
      <c r="G366" s="37"/>
      <c r="J366" s="33"/>
      <c r="K366" s="169"/>
    </row>
    <row r="367" spans="1:11" ht="15" customHeight="1">
      <c r="A367" s="5" t="s">
        <v>309</v>
      </c>
      <c r="B367" s="20">
        <f>GETPIVOTDATA(" Old-Bachelor's",'Pivot Table for 12'!$A$3,"State","TN")</f>
        <v>17278</v>
      </c>
      <c r="C367" s="31">
        <f>GETPIVOTDATA(" Old-Bach-TeachEd by CIP",'Pivot Table for 12'!$A$3,"State","TN")</f>
        <v>603</v>
      </c>
      <c r="D367" s="20">
        <f>GETPIVOTDATA(" Old-Bach-TeachEd by Courses",'Pivot Table for 12'!$A$3,"State","TN")</f>
        <v>0</v>
      </c>
      <c r="E367" s="20">
        <f>GETPIVOTDATA(" Old-Bach-TeachEd-Other",'Pivot Table for 12'!$A$3,"State","TN")</f>
        <v>122</v>
      </c>
      <c r="F367" s="19">
        <f>GETPIVOTDATA(" Old-Bach-TeachEd-Subtot",'Pivot Table for 12'!$A$3,"State","TN")</f>
        <v>725</v>
      </c>
      <c r="G367" s="37">
        <f t="shared" si="9"/>
        <v>4.1960875101284874</v>
      </c>
      <c r="J367" s="33"/>
      <c r="K367" s="169"/>
    </row>
    <row r="368" spans="1:11" ht="15" customHeight="1">
      <c r="A368" s="5" t="s">
        <v>310</v>
      </c>
      <c r="B368" s="20">
        <f>GETPIVOTDATA(" Old-Bachelor's",'Pivot Table for 12'!$A$3,"State","TX")</f>
        <v>78035</v>
      </c>
      <c r="C368" s="31">
        <f>GETPIVOTDATA(" Old-Bach-TeachEd by CIP",'Pivot Table for 12'!$A$3,"State","TX")</f>
        <v>0</v>
      </c>
      <c r="D368" s="20">
        <f>GETPIVOTDATA(" Old-Bach-TeachEd by Courses",'Pivot Table for 12'!$A$3,"State","TX")</f>
        <v>0</v>
      </c>
      <c r="E368" s="20">
        <f>GETPIVOTDATA(" Old-Bach-TeachEd-Other",'Pivot Table for 12'!$A$3,"State","TX")</f>
        <v>0</v>
      </c>
      <c r="F368" s="19">
        <f>GETPIVOTDATA(" Old-Bach-TeachEd-Subtot",'Pivot Table for 12'!$A$3,"State","TX")</f>
        <v>0</v>
      </c>
      <c r="G368" s="37" t="str">
        <f>IF(F368&gt;0,(F368/B368)*100," ")</f>
        <v xml:space="preserve"> </v>
      </c>
      <c r="J368" s="33"/>
      <c r="K368" s="169"/>
    </row>
    <row r="369" spans="1:16" ht="15" customHeight="1">
      <c r="A369" s="5" t="s">
        <v>311</v>
      </c>
      <c r="B369" s="20">
        <f>GETPIVOTDATA(" Old-Bachelor's",'Pivot Table for 12'!$A$3,"State","VA")</f>
        <v>30111</v>
      </c>
      <c r="C369" s="31">
        <f>GETPIVOTDATA(" Old-Bach-TeachEd by CIP",'Pivot Table for 12'!$A$3,"State","VA")</f>
        <v>0</v>
      </c>
      <c r="D369" s="20">
        <f>GETPIVOTDATA(" Old-Bach-TeachEd by Courses",'Pivot Table for 12'!$A$3,"State","VA")</f>
        <v>0</v>
      </c>
      <c r="E369" s="20">
        <f>GETPIVOTDATA(" Old-Bach-TeachEd-Other",'Pivot Table for 12'!$A$3,"State","VA")</f>
        <v>0</v>
      </c>
      <c r="F369" s="19">
        <f>GETPIVOTDATA(" Old-Bach-TeachEd-Subtot",'Pivot Table for 12'!$A$3,"State","VA")</f>
        <v>0</v>
      </c>
      <c r="G369" s="37" t="str">
        <f>IF(F369&gt;0,(F369/B369)*100," ")</f>
        <v xml:space="preserve"> </v>
      </c>
    </row>
    <row r="370" spans="1:16" ht="15" customHeight="1">
      <c r="A370" s="7" t="s">
        <v>312</v>
      </c>
      <c r="B370" s="34">
        <f>GETPIVOTDATA(" Old-Bachelor's",'Pivot Table for 12'!$A$3,"State","WV")</f>
        <v>8529</v>
      </c>
      <c r="C370" s="35">
        <f>GETPIVOTDATA(" Old-Bach-TeachEd by CIP",'Pivot Table for 12'!$A$3,"State","WV")</f>
        <v>701</v>
      </c>
      <c r="D370" s="34">
        <f>GETPIVOTDATA(" Old-Bach-TeachEd by Courses",'Pivot Table for 12'!$A$3,"State","WV")</f>
        <v>0</v>
      </c>
      <c r="E370" s="34">
        <f>GETPIVOTDATA(" Old-Bach-TeachEd-Other",'Pivot Table for 12'!$A$3,"State","WV")</f>
        <v>218</v>
      </c>
      <c r="F370" s="36">
        <f>GETPIVOTDATA(" Old-Bach-TeachEd-Subtot",'Pivot Table for 12'!$A$3,"State","WV")</f>
        <v>919</v>
      </c>
      <c r="G370" s="38">
        <f t="shared" si="9"/>
        <v>10.775002931175989</v>
      </c>
    </row>
    <row r="371" spans="1:16" ht="15" customHeight="1">
      <c r="A371" s="96" t="s">
        <v>73</v>
      </c>
      <c r="B371" s="32"/>
      <c r="C371" s="32"/>
      <c r="D371" s="32"/>
      <c r="E371" s="32"/>
      <c r="F371" s="32"/>
      <c r="G371" s="42"/>
    </row>
    <row r="372" spans="1:16" s="43" customFormat="1" ht="15" customHeight="1">
      <c r="A372" s="96" t="s">
        <v>722</v>
      </c>
      <c r="B372" s="32"/>
      <c r="C372" s="32"/>
      <c r="D372" s="32"/>
      <c r="E372" s="32"/>
      <c r="F372" s="32"/>
      <c r="G372" s="42"/>
      <c r="N372" s="85"/>
      <c r="O372" s="85"/>
      <c r="P372" s="85"/>
    </row>
    <row r="373" spans="1:16">
      <c r="A373" s="44"/>
      <c r="B373" s="44"/>
      <c r="C373" s="44"/>
      <c r="D373" s="44"/>
      <c r="E373" s="44"/>
      <c r="F373" s="44"/>
      <c r="G373" s="184" t="s">
        <v>1267</v>
      </c>
      <c r="H373" s="44"/>
      <c r="I373" s="44"/>
      <c r="J373" s="44"/>
      <c r="K373" s="44"/>
      <c r="L373" s="44"/>
      <c r="M373" s="44"/>
      <c r="N373" s="242"/>
      <c r="O373" s="184"/>
      <c r="P373" s="188"/>
    </row>
  </sheetData>
  <mergeCells count="11">
    <mergeCell ref="A217:P217"/>
    <mergeCell ref="A248:P248"/>
    <mergeCell ref="A279:P279"/>
    <mergeCell ref="A310:I310"/>
    <mergeCell ref="A340:P340"/>
    <mergeCell ref="A186:P186"/>
    <mergeCell ref="A30:P30"/>
    <mergeCell ref="A61:P61"/>
    <mergeCell ref="A93:P93"/>
    <mergeCell ref="A124:P124"/>
    <mergeCell ref="A155:P155"/>
  </mergeCells>
  <pageMargins left="0.5" right="0.46" top="0.75" bottom="0.75" header="0.75" footer="0.5"/>
  <pageSetup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18"/>
  </sheetPr>
  <dimension ref="A1:HC770"/>
  <sheetViews>
    <sheetView tabSelected="1" zoomScale="90" zoomScaleNormal="90" workbookViewId="0">
      <pane xSplit="4" ySplit="9" topLeftCell="EP271" activePane="bottomRight" state="frozen"/>
      <selection pane="topRight" activeCell="E1" sqref="E1"/>
      <selection pane="bottomLeft" activeCell="A10" sqref="A10"/>
      <selection pane="bottomRight" activeCell="K284" sqref="K284"/>
    </sheetView>
  </sheetViews>
  <sheetFormatPr defaultColWidth="9" defaultRowHeight="12.75"/>
  <cols>
    <col min="1" max="1" width="4" style="231" customWidth="1"/>
    <col min="2" max="2" width="15.625" style="334" customWidth="1"/>
    <col min="3" max="3" width="7.25" style="231" customWidth="1"/>
    <col min="4" max="4" width="5" style="231" customWidth="1"/>
    <col min="5" max="5" width="8" style="85" customWidth="1"/>
    <col min="6" max="6" width="8.5" style="175" customWidth="1"/>
    <col min="7" max="7" width="6.875" style="85" customWidth="1"/>
    <col min="8" max="8" width="8.5" style="175" customWidth="1"/>
    <col min="9" max="9" width="7" style="85" customWidth="1"/>
    <col min="10" max="10" width="8.5" style="175" customWidth="1"/>
    <col min="11" max="11" width="7.5" style="172" customWidth="1"/>
    <col min="12" max="12" width="8" style="172" customWidth="1"/>
    <col min="13" max="13" width="7.25" style="85" customWidth="1"/>
    <col min="14" max="16" width="5.5" style="85" customWidth="1"/>
    <col min="17" max="17" width="4.75" style="172" customWidth="1"/>
    <col min="18" max="18" width="7.75" style="172" customWidth="1"/>
    <col min="19" max="21" width="5.5" style="172" customWidth="1"/>
    <col min="22" max="22" width="5.75" style="172" customWidth="1"/>
    <col min="23" max="23" width="3.5" style="231" customWidth="1"/>
    <col min="24" max="24" width="6.5" style="173" customWidth="1"/>
    <col min="25" max="25" width="3.5" style="230" customWidth="1"/>
    <col min="26" max="26" width="6.5" style="174" customWidth="1"/>
    <col min="27" max="27" width="3.5" style="229" customWidth="1"/>
    <col min="28" max="28" width="6.5" style="173" customWidth="1"/>
    <col min="29" max="29" width="3.5" style="230" customWidth="1"/>
    <col min="30" max="30" width="6.5" style="174" customWidth="1"/>
    <col min="31" max="31" width="3.5" style="229" customWidth="1"/>
    <col min="32" max="32" width="6.5" style="173" customWidth="1"/>
    <col min="33" max="33" width="3.5" style="230" customWidth="1"/>
    <col min="34" max="34" width="6.5" style="174" customWidth="1"/>
    <col min="35" max="35" width="3.5" style="229" customWidth="1"/>
    <col min="36" max="36" width="6.5" style="173" customWidth="1"/>
    <col min="37" max="37" width="3.5" style="230" customWidth="1"/>
    <col min="38" max="38" width="6.5" style="174" customWidth="1"/>
    <col min="39" max="39" width="3.5" style="229" customWidth="1"/>
    <col min="40" max="40" width="6.5" style="173" customWidth="1"/>
    <col min="41" max="41" width="3.5" style="230" customWidth="1"/>
    <col min="42" max="42" width="6.5" style="174" customWidth="1"/>
    <col min="43" max="43" width="10" style="85" customWidth="1"/>
    <col min="44" max="44" width="8.5" style="85" customWidth="1"/>
    <col min="45" max="45" width="10" style="85" customWidth="1"/>
    <col min="46" max="46" width="9.5" style="172" customWidth="1"/>
    <col min="47" max="47" width="8.875" style="85" customWidth="1"/>
    <col min="48" max="48" width="8.875" style="172" customWidth="1"/>
    <col min="49" max="49" width="3.5" style="231" customWidth="1"/>
    <col min="50" max="50" width="6.5" style="85" customWidth="1"/>
    <col min="51" max="51" width="5.125" style="232" customWidth="1"/>
    <col min="52" max="52" width="6.5" style="172" customWidth="1"/>
    <col min="53" max="53" width="3.5" style="231" customWidth="1"/>
    <col min="54" max="54" width="6.5" style="85" customWidth="1"/>
    <col min="55" max="55" width="3.5" style="232" customWidth="1"/>
    <col min="56" max="56" width="6.5" style="172" customWidth="1"/>
    <col min="57" max="57" width="3.5" style="231" customWidth="1"/>
    <col min="58" max="58" width="6.5" style="85" customWidth="1"/>
    <col min="59" max="59" width="3.5" style="232" customWidth="1"/>
    <col min="60" max="60" width="6.5" style="172" customWidth="1"/>
    <col min="61" max="61" width="3.5" style="231" customWidth="1"/>
    <col min="62" max="62" width="6.5" style="85" customWidth="1"/>
    <col min="63" max="63" width="3.5" style="232" customWidth="1"/>
    <col min="64" max="64" width="6.5" style="172" customWidth="1"/>
    <col min="65" max="65" width="3.5" style="231" customWidth="1"/>
    <col min="66" max="66" width="6.5" style="85" customWidth="1"/>
    <col min="67" max="67" width="3.5" style="232" customWidth="1"/>
    <col min="68" max="68" width="6.5" style="172" customWidth="1"/>
    <col min="69" max="69" width="3.5" style="231" customWidth="1"/>
    <col min="70" max="70" width="6.5" style="85" customWidth="1"/>
    <col min="71" max="71" width="3.5" style="232" customWidth="1"/>
    <col min="72" max="72" width="6.5" style="172" customWidth="1"/>
    <col min="73" max="73" width="3.5" style="231" customWidth="1"/>
    <col min="74" max="74" width="6.5" style="85" customWidth="1"/>
    <col min="75" max="75" width="3.5" style="232" customWidth="1"/>
    <col min="76" max="76" width="6.5" style="172" customWidth="1"/>
    <col min="77" max="77" width="3.5" style="231" customWidth="1"/>
    <col min="78" max="78" width="6.5" style="85" customWidth="1"/>
    <col min="79" max="79" width="3.5" style="232" customWidth="1"/>
    <col min="80" max="80" width="6.5" style="172" customWidth="1"/>
    <col min="81" max="81" width="3.5" style="231" customWidth="1"/>
    <col min="82" max="82" width="6.5" style="85" customWidth="1"/>
    <col min="83" max="83" width="3.5" style="232" customWidth="1"/>
    <col min="84" max="84" width="6.5" style="172" customWidth="1"/>
    <col min="85" max="85" width="3.5" style="231" customWidth="1"/>
    <col min="86" max="86" width="6.5" style="85" customWidth="1"/>
    <col min="87" max="87" width="3.5" style="232" customWidth="1"/>
    <col min="88" max="88" width="6.5" style="172" customWidth="1"/>
    <col min="89" max="89" width="10.875" style="85" customWidth="1"/>
    <col min="90" max="90" width="11.25" style="172" customWidth="1"/>
    <col min="91" max="91" width="11.5" style="85" customWidth="1"/>
    <col min="92" max="92" width="13" style="85" customWidth="1"/>
    <col min="93" max="94" width="9" style="172"/>
    <col min="95" max="95" width="10.625" style="231" customWidth="1"/>
    <col min="96" max="96" width="6.5" style="85" customWidth="1"/>
    <col min="97" max="97" width="3.5" style="232" customWidth="1"/>
    <col min="98" max="98" width="6.5" style="172" customWidth="1"/>
    <col min="99" max="99" width="3.5" style="231" customWidth="1"/>
    <col min="100" max="100" width="6.5" style="85" customWidth="1"/>
    <col min="101" max="101" width="3.5" style="232" customWidth="1"/>
    <col min="102" max="102" width="6.5" style="172" customWidth="1"/>
    <col min="103" max="103" width="3.5" style="231" customWidth="1"/>
    <col min="104" max="104" width="6.5" style="85" customWidth="1"/>
    <col min="105" max="105" width="3.5" style="232" customWidth="1"/>
    <col min="106" max="106" width="6.5" style="172" customWidth="1"/>
    <col min="107" max="107" width="3.5" style="231" customWidth="1"/>
    <col min="108" max="108" width="6.5" style="85" customWidth="1"/>
    <col min="109" max="109" width="3.5" style="232" customWidth="1"/>
    <col min="110" max="110" width="6.5" style="172" customWidth="1"/>
    <col min="111" max="111" width="3.5" style="231" customWidth="1"/>
    <col min="112" max="112" width="6.5" style="85" customWidth="1"/>
    <col min="113" max="113" width="3.5" style="232" customWidth="1"/>
    <col min="114" max="114" width="6.5" style="172" customWidth="1"/>
    <col min="115" max="115" width="3.5" style="231" customWidth="1"/>
    <col min="116" max="116" width="6.5" style="85" customWidth="1"/>
    <col min="117" max="117" width="3.5" style="232" customWidth="1"/>
    <col min="118" max="118" width="6.5" style="172" customWidth="1"/>
    <col min="119" max="119" width="3.5" style="231" customWidth="1"/>
    <col min="120" max="120" width="6.5" style="85" customWidth="1"/>
    <col min="121" max="121" width="3.5" style="232" customWidth="1"/>
    <col min="122" max="122" width="6.5" style="172" customWidth="1"/>
    <col min="123" max="123" width="3.5" style="231" customWidth="1"/>
    <col min="124" max="124" width="6.5" style="85" customWidth="1"/>
    <col min="125" max="125" width="3.5" style="232" customWidth="1"/>
    <col min="126" max="126" width="6.5" style="172" customWidth="1"/>
    <col min="127" max="127" width="3.5" style="231" customWidth="1"/>
    <col min="128" max="128" width="6.5" style="85" customWidth="1"/>
    <col min="129" max="129" width="3.5" style="232" customWidth="1"/>
    <col min="130" max="130" width="6.5" style="172" customWidth="1"/>
    <col min="131" max="131" width="3.5" style="231" customWidth="1"/>
    <col min="132" max="132" width="6.5" style="85" customWidth="1"/>
    <col min="133" max="133" width="3.5" style="232" customWidth="1"/>
    <col min="134" max="134" width="6.5" style="172" customWidth="1"/>
    <col min="135" max="135" width="7.75" style="85" customWidth="1"/>
    <col min="136" max="136" width="7.625" style="172" customWidth="1"/>
    <col min="137" max="138" width="8.875" style="85" customWidth="1"/>
    <col min="139" max="139" width="8.875" style="171" customWidth="1"/>
    <col min="140" max="140" width="9" style="172"/>
    <col min="141" max="141" width="9" style="175"/>
    <col min="142" max="142" width="9.75" style="175" customWidth="1"/>
    <col min="143" max="143" width="11.125" style="85" customWidth="1"/>
    <col min="144" max="144" width="13.625" style="172" customWidth="1"/>
    <col min="145" max="145" width="14.125" style="171" customWidth="1"/>
    <col min="146" max="146" width="14.625" style="175" customWidth="1"/>
    <col min="147" max="147" width="8.875" style="171" customWidth="1"/>
    <col min="148" max="148" width="9" style="175"/>
    <col min="149" max="149" width="8.875" style="171" customWidth="1"/>
    <col min="150" max="150" width="9" style="175"/>
    <col min="151" max="151" width="8.875" style="171" customWidth="1"/>
    <col min="152" max="152" width="9" style="175"/>
    <col min="153" max="153" width="8.875" style="171" customWidth="1"/>
    <col min="154" max="154" width="9" style="175"/>
    <col min="155" max="155" width="8.875" style="171" customWidth="1"/>
    <col min="156" max="156" width="9" style="175"/>
    <col min="157" max="157" width="8.875" style="171" customWidth="1"/>
    <col min="158" max="158" width="9" style="175"/>
    <col min="159" max="159" width="8.875" style="171" customWidth="1"/>
    <col min="160" max="160" width="9" style="175"/>
    <col min="161" max="161" width="8.875" style="171" customWidth="1"/>
    <col min="162" max="162" width="9" style="175"/>
    <col min="163" max="163" width="8.875" style="171" customWidth="1"/>
    <col min="164" max="164" width="9" style="175"/>
    <col min="165" max="165" width="11.625" style="85" customWidth="1"/>
    <col min="166" max="166" width="12.125" style="85" customWidth="1"/>
    <col min="167" max="167" width="12" style="85" customWidth="1"/>
    <col min="168" max="168" width="13.375" style="85" customWidth="1"/>
    <col min="169" max="16384" width="9" style="43"/>
  </cols>
  <sheetData>
    <row r="1" spans="1:211" s="233" customFormat="1" ht="27" customHeight="1">
      <c r="A1" s="205"/>
      <c r="B1" s="565" t="s">
        <v>74</v>
      </c>
      <c r="C1" s="205"/>
      <c r="D1" s="205"/>
      <c r="E1" s="400" t="s">
        <v>1165</v>
      </c>
      <c r="F1" s="235" t="s">
        <v>1166</v>
      </c>
      <c r="H1" s="235"/>
      <c r="I1" s="56"/>
      <c r="J1" s="235"/>
      <c r="K1" s="108" t="s">
        <v>697</v>
      </c>
      <c r="L1" s="236"/>
      <c r="M1" s="56"/>
      <c r="N1" s="56"/>
      <c r="O1" s="56"/>
      <c r="P1" s="56"/>
      <c r="Q1" s="108"/>
      <c r="R1" s="108"/>
      <c r="S1" s="108"/>
      <c r="T1" s="108"/>
      <c r="U1" s="108"/>
      <c r="W1" s="720"/>
      <c r="X1" s="57"/>
      <c r="Y1" s="203"/>
      <c r="Z1" s="58"/>
      <c r="AA1" s="202"/>
      <c r="AB1" s="57"/>
      <c r="AC1" s="203"/>
      <c r="AD1" s="58"/>
      <c r="AE1" s="202"/>
      <c r="AF1" s="57"/>
      <c r="AG1" s="203"/>
      <c r="AH1" s="58"/>
      <c r="AI1" s="202"/>
      <c r="AJ1" s="57"/>
      <c r="AK1" s="203"/>
      <c r="AL1" s="58"/>
      <c r="AM1" s="202"/>
      <c r="AN1" s="57"/>
      <c r="AO1" s="203"/>
      <c r="AP1" s="58"/>
      <c r="AQ1" s="108" t="s">
        <v>697</v>
      </c>
      <c r="AR1" s="236"/>
      <c r="AS1" s="236"/>
      <c r="AT1" s="236"/>
      <c r="AU1" s="237"/>
      <c r="AV1" s="238"/>
      <c r="AW1" s="720"/>
      <c r="AX1" s="239"/>
      <c r="AY1" s="206"/>
      <c r="AZ1" s="240"/>
      <c r="BA1" s="205"/>
      <c r="BB1" s="239"/>
      <c r="BC1" s="206"/>
      <c r="BD1" s="240"/>
      <c r="BE1" s="205"/>
      <c r="BF1" s="239"/>
      <c r="BG1" s="206"/>
      <c r="BH1" s="240"/>
      <c r="BI1" s="205"/>
      <c r="BJ1" s="239"/>
      <c r="BK1" s="206"/>
      <c r="BL1" s="240"/>
      <c r="BM1" s="205"/>
      <c r="BN1" s="239"/>
      <c r="BO1" s="206"/>
      <c r="BP1" s="240"/>
      <c r="BQ1" s="205"/>
      <c r="BR1" s="239"/>
      <c r="BS1" s="206"/>
      <c r="BT1" s="240"/>
      <c r="BU1" s="205"/>
      <c r="BV1" s="239"/>
      <c r="BW1" s="206"/>
      <c r="BX1" s="240"/>
      <c r="BY1" s="205"/>
      <c r="BZ1" s="239"/>
      <c r="CA1" s="206"/>
      <c r="CB1" s="240"/>
      <c r="CC1" s="205"/>
      <c r="CD1" s="239"/>
      <c r="CE1" s="206"/>
      <c r="CF1" s="240"/>
      <c r="CG1" s="205"/>
      <c r="CH1" s="239"/>
      <c r="CI1" s="206"/>
      <c r="CJ1" s="240"/>
      <c r="CL1" s="108"/>
      <c r="CM1" s="248"/>
      <c r="CN1" s="108"/>
      <c r="CO1" s="248" t="s">
        <v>697</v>
      </c>
      <c r="CP1" s="236"/>
      <c r="CQ1" s="248" t="s">
        <v>697</v>
      </c>
      <c r="CR1" s="239"/>
      <c r="CS1" s="206"/>
      <c r="CT1" s="240"/>
      <c r="CU1" s="205"/>
      <c r="CV1" s="239"/>
      <c r="CW1" s="206"/>
      <c r="CX1" s="240"/>
      <c r="CY1" s="205"/>
      <c r="CZ1" s="239"/>
      <c r="DA1" s="206"/>
      <c r="DB1" s="240"/>
      <c r="DC1" s="205"/>
      <c r="DD1" s="239"/>
      <c r="DE1" s="206"/>
      <c r="DF1" s="240"/>
      <c r="DG1" s="205"/>
      <c r="DH1" s="239"/>
      <c r="DI1" s="206"/>
      <c r="DJ1" s="240"/>
      <c r="DK1" s="205"/>
      <c r="DL1" s="239"/>
      <c r="DM1" s="206"/>
      <c r="DN1" s="240"/>
      <c r="DO1" s="205"/>
      <c r="DP1" s="239"/>
      <c r="DQ1" s="206"/>
      <c r="DR1" s="240"/>
      <c r="DS1" s="205"/>
      <c r="DT1" s="239"/>
      <c r="DU1" s="206"/>
      <c r="DV1" s="240"/>
      <c r="DW1" s="205"/>
      <c r="DX1" s="239"/>
      <c r="DY1" s="206"/>
      <c r="DZ1" s="240"/>
      <c r="EA1" s="205"/>
      <c r="EB1" s="239"/>
      <c r="EC1" s="206"/>
      <c r="ED1" s="240"/>
      <c r="EG1" s="108"/>
      <c r="EH1" s="249"/>
      <c r="EI1" s="249" t="s">
        <v>697</v>
      </c>
      <c r="EJ1" s="250"/>
      <c r="EL1" s="250"/>
      <c r="EM1" s="249"/>
      <c r="EN1" s="249"/>
      <c r="EO1" s="251"/>
      <c r="EP1" s="250"/>
      <c r="EQ1" s="737"/>
      <c r="ER1" s="250"/>
      <c r="ES1" s="234"/>
      <c r="ET1" s="250"/>
      <c r="EU1" s="234"/>
      <c r="EV1" s="250"/>
      <c r="EW1" s="234"/>
      <c r="EX1" s="250"/>
      <c r="EY1" s="234"/>
      <c r="EZ1" s="250"/>
      <c r="FA1" s="234"/>
      <c r="FB1" s="250"/>
      <c r="FC1" s="234"/>
      <c r="FD1" s="250"/>
      <c r="FE1" s="234"/>
      <c r="FF1" s="250"/>
      <c r="FG1" s="234"/>
      <c r="FH1" s="250"/>
      <c r="FI1" s="250"/>
      <c r="FJ1" s="250"/>
      <c r="FK1" s="241" t="s">
        <v>697</v>
      </c>
      <c r="FL1" s="236"/>
      <c r="FP1" s="740" t="s">
        <v>1268</v>
      </c>
      <c r="FQ1" s="402"/>
      <c r="FR1" s="403"/>
      <c r="FS1" s="404"/>
      <c r="FT1" s="405"/>
      <c r="FU1" s="406"/>
      <c r="FV1" s="407"/>
      <c r="FW1" s="407"/>
      <c r="FX1" s="407"/>
      <c r="FY1" s="407"/>
      <c r="FZ1" s="407"/>
      <c r="GA1" s="407"/>
      <c r="GB1" s="407"/>
      <c r="GC1" s="407"/>
      <c r="GD1" s="407"/>
      <c r="GE1" s="407"/>
      <c r="GF1" s="407"/>
      <c r="GG1" s="407"/>
      <c r="GH1" s="407"/>
      <c r="GI1" s="407"/>
      <c r="GJ1" s="407"/>
      <c r="GK1" s="407"/>
      <c r="GL1" s="407"/>
      <c r="GM1" s="407"/>
      <c r="GN1" s="407"/>
      <c r="GO1" s="407"/>
      <c r="GP1" s="407"/>
      <c r="GQ1" s="407"/>
      <c r="GR1" s="407"/>
      <c r="GS1" s="407"/>
      <c r="GT1" s="407"/>
      <c r="GU1" s="407"/>
      <c r="GV1" s="407"/>
      <c r="GW1" s="407"/>
      <c r="GX1" s="407"/>
      <c r="GY1" s="407"/>
      <c r="GZ1" s="407"/>
      <c r="HA1" s="407"/>
      <c r="HB1" s="769" t="s">
        <v>1169</v>
      </c>
      <c r="HC1" s="769"/>
    </row>
    <row r="2" spans="1:211" s="9" customFormat="1">
      <c r="A2" s="252"/>
      <c r="B2" s="253"/>
      <c r="C2" s="252"/>
      <c r="D2" s="252"/>
      <c r="E2" s="120"/>
      <c r="F2" s="254"/>
      <c r="G2" s="120"/>
      <c r="H2" s="121"/>
      <c r="I2" s="132"/>
      <c r="J2" s="121"/>
      <c r="K2" s="111" t="s">
        <v>698</v>
      </c>
      <c r="L2" s="112" t="s">
        <v>698</v>
      </c>
      <c r="M2" s="113" t="s">
        <v>699</v>
      </c>
      <c r="N2" s="207"/>
      <c r="O2" s="208"/>
      <c r="P2" s="208"/>
      <c r="Q2" s="209"/>
      <c r="R2" s="744" t="s">
        <v>699</v>
      </c>
      <c r="S2" s="745"/>
      <c r="T2" s="746"/>
      <c r="U2" s="746"/>
      <c r="V2" s="747"/>
      <c r="W2" s="722" t="s">
        <v>1239</v>
      </c>
      <c r="X2" s="117"/>
      <c r="Y2" s="210"/>
      <c r="Z2" s="255"/>
      <c r="AA2" s="256"/>
      <c r="AB2" s="257"/>
      <c r="AC2" s="258"/>
      <c r="AD2" s="255"/>
      <c r="AE2" s="256"/>
      <c r="AF2" s="257"/>
      <c r="AG2" s="258"/>
      <c r="AH2" s="255"/>
      <c r="AI2" s="256"/>
      <c r="AJ2" s="257"/>
      <c r="AK2" s="258"/>
      <c r="AL2" s="255"/>
      <c r="AM2" s="256"/>
      <c r="AN2" s="117"/>
      <c r="AO2" s="210"/>
      <c r="AP2" s="65"/>
      <c r="AQ2" s="65"/>
      <c r="AR2" s="65"/>
      <c r="AS2" s="65"/>
      <c r="AT2" s="65"/>
      <c r="AU2" s="110"/>
      <c r="AV2" s="725"/>
      <c r="AW2" s="722" t="s">
        <v>700</v>
      </c>
      <c r="AX2" s="118"/>
      <c r="AY2" s="211"/>
      <c r="AZ2" s="259"/>
      <c r="BA2" s="260"/>
      <c r="BB2" s="261"/>
      <c r="BC2" s="262"/>
      <c r="BD2" s="259"/>
      <c r="BE2" s="260"/>
      <c r="BF2" s="261"/>
      <c r="BG2" s="262"/>
      <c r="BH2" s="259"/>
      <c r="BI2" s="260"/>
      <c r="BJ2" s="261"/>
      <c r="BK2" s="262"/>
      <c r="BL2" s="259"/>
      <c r="BM2" s="260"/>
      <c r="BN2" s="261"/>
      <c r="BO2" s="262"/>
      <c r="BP2" s="259"/>
      <c r="BQ2" s="260"/>
      <c r="BR2" s="261"/>
      <c r="BS2" s="262"/>
      <c r="BT2" s="259"/>
      <c r="BU2" s="260"/>
      <c r="BV2" s="261"/>
      <c r="BW2" s="262"/>
      <c r="BX2" s="259"/>
      <c r="BY2" s="260"/>
      <c r="BZ2" s="261"/>
      <c r="CA2" s="262"/>
      <c r="CB2" s="259"/>
      <c r="CC2" s="260"/>
      <c r="CD2" s="261"/>
      <c r="CE2" s="262"/>
      <c r="CF2" s="259"/>
      <c r="CG2" s="260"/>
      <c r="CH2" s="261"/>
      <c r="CI2" s="262"/>
      <c r="CJ2" s="259"/>
      <c r="CK2" s="120"/>
      <c r="CL2" s="121"/>
      <c r="CM2" s="279" t="s">
        <v>701</v>
      </c>
      <c r="CN2" s="121" t="s">
        <v>701</v>
      </c>
      <c r="CO2" s="122"/>
      <c r="CP2" s="123"/>
      <c r="CQ2" s="116"/>
      <c r="CR2" s="60"/>
      <c r="CS2" s="722" t="s">
        <v>1167</v>
      </c>
      <c r="CT2" s="118"/>
      <c r="CU2" s="211"/>
      <c r="CV2" s="259"/>
      <c r="CW2" s="260"/>
      <c r="CX2" s="261"/>
      <c r="CY2" s="262"/>
      <c r="CZ2" s="259"/>
      <c r="DA2" s="260"/>
      <c r="DB2" s="261"/>
      <c r="DC2" s="262"/>
      <c r="DD2" s="259"/>
      <c r="DE2" s="260"/>
      <c r="DF2" s="261"/>
      <c r="DG2" s="262"/>
      <c r="DH2" s="259"/>
      <c r="DI2" s="260"/>
      <c r="DJ2" s="261"/>
      <c r="DK2" s="262"/>
      <c r="DL2" s="259"/>
      <c r="DM2" s="260"/>
      <c r="DN2" s="261"/>
      <c r="DO2" s="262"/>
      <c r="DP2" s="259"/>
      <c r="DQ2" s="260"/>
      <c r="DR2" s="261"/>
      <c r="DS2" s="262"/>
      <c r="DT2" s="259"/>
      <c r="DU2" s="260"/>
      <c r="DV2" s="261"/>
      <c r="DW2" s="262"/>
      <c r="DX2" s="259"/>
      <c r="DY2" s="260"/>
      <c r="DZ2" s="261"/>
      <c r="EA2" s="262"/>
      <c r="EB2" s="259"/>
      <c r="EC2" s="260"/>
      <c r="ED2" s="261"/>
      <c r="EE2" s="262"/>
      <c r="EF2" s="259"/>
      <c r="EG2" s="279" t="s">
        <v>701</v>
      </c>
      <c r="EH2" s="254" t="s">
        <v>701</v>
      </c>
      <c r="EI2" s="114"/>
      <c r="EJ2" s="124"/>
      <c r="EK2" s="124"/>
      <c r="EL2" s="78"/>
      <c r="EM2" s="62"/>
      <c r="EN2" s="63"/>
      <c r="EO2" s="134" t="s">
        <v>295</v>
      </c>
      <c r="EP2" s="62" t="s">
        <v>295</v>
      </c>
      <c r="EQ2" s="738" t="s">
        <v>1168</v>
      </c>
      <c r="ER2" s="401"/>
      <c r="ES2" s="564"/>
      <c r="ET2" s="401"/>
      <c r="EU2" s="564"/>
      <c r="EV2" s="401"/>
      <c r="EW2" s="564"/>
      <c r="EX2" s="401"/>
      <c r="EY2" s="564"/>
      <c r="EZ2" s="401"/>
      <c r="FA2" s="564"/>
      <c r="FB2" s="401"/>
      <c r="FC2" s="564"/>
      <c r="FD2" s="401"/>
      <c r="FE2" s="564"/>
      <c r="FF2" s="401"/>
      <c r="FG2" s="564"/>
      <c r="FH2" s="401"/>
      <c r="FI2" s="279"/>
      <c r="FJ2" s="121"/>
      <c r="FK2" s="125"/>
      <c r="FL2" s="126"/>
      <c r="FM2" s="125"/>
      <c r="FN2" s="126"/>
      <c r="FP2" s="740" t="s">
        <v>1170</v>
      </c>
      <c r="FQ2" s="410"/>
      <c r="FR2" s="411"/>
      <c r="FS2" s="412"/>
      <c r="FT2" s="413"/>
      <c r="FU2" s="414"/>
      <c r="FV2" s="415"/>
      <c r="FW2" s="415"/>
      <c r="FX2" s="415"/>
      <c r="FY2" s="415"/>
      <c r="FZ2" s="415"/>
      <c r="GA2" s="415"/>
      <c r="GB2" s="415"/>
      <c r="GC2" s="415"/>
      <c r="GD2" s="415"/>
      <c r="GE2" s="415"/>
      <c r="GF2" s="415"/>
      <c r="GG2" s="415"/>
      <c r="GH2" s="415"/>
      <c r="GI2" s="415"/>
      <c r="GJ2" s="415"/>
      <c r="GK2" s="415"/>
      <c r="GL2" s="415"/>
      <c r="GM2" s="415"/>
      <c r="GN2" s="415"/>
      <c r="GO2" s="415"/>
      <c r="GP2" s="415"/>
      <c r="GQ2" s="415"/>
      <c r="GR2" s="415"/>
      <c r="GS2" s="415"/>
      <c r="GT2" s="415"/>
      <c r="GU2" s="415"/>
      <c r="GV2" s="415"/>
      <c r="GW2" s="415"/>
      <c r="GX2" s="415"/>
      <c r="GY2" s="415"/>
      <c r="GZ2" s="415"/>
      <c r="HA2" s="415"/>
      <c r="HB2" s="770"/>
      <c r="HC2" s="770"/>
    </row>
    <row r="3" spans="1:211" s="3" customFormat="1">
      <c r="A3" s="263"/>
      <c r="B3" s="264"/>
      <c r="C3" s="252"/>
      <c r="D3" s="252"/>
      <c r="E3" s="120"/>
      <c r="F3" s="254"/>
      <c r="G3" s="120" t="s">
        <v>464</v>
      </c>
      <c r="H3" s="121" t="s">
        <v>464</v>
      </c>
      <c r="I3" s="132"/>
      <c r="J3" s="121"/>
      <c r="K3" s="111" t="s">
        <v>702</v>
      </c>
      <c r="L3" s="112" t="s">
        <v>702</v>
      </c>
      <c r="M3" s="127"/>
      <c r="N3" s="69" t="s">
        <v>724</v>
      </c>
      <c r="O3" s="70"/>
      <c r="P3" s="70"/>
      <c r="Q3" s="70"/>
      <c r="R3" s="748"/>
      <c r="S3" s="749" t="s">
        <v>724</v>
      </c>
      <c r="T3" s="750"/>
      <c r="U3" s="750"/>
      <c r="V3" s="750"/>
      <c r="W3" s="723" t="s">
        <v>281</v>
      </c>
      <c r="X3" s="64"/>
      <c r="Y3" s="213"/>
      <c r="Z3" s="65"/>
      <c r="AA3" s="265"/>
      <c r="AB3" s="64"/>
      <c r="AC3" s="213"/>
      <c r="AD3" s="65"/>
      <c r="AE3" s="265"/>
      <c r="AF3" s="64"/>
      <c r="AG3" s="213"/>
      <c r="AH3" s="65"/>
      <c r="AI3" s="265"/>
      <c r="AJ3" s="64"/>
      <c r="AK3" s="213"/>
      <c r="AL3" s="65"/>
      <c r="AM3" s="265"/>
      <c r="AN3" s="64"/>
      <c r="AO3" s="213"/>
      <c r="AP3" s="65"/>
      <c r="AQ3" s="114"/>
      <c r="AR3" s="114"/>
      <c r="AS3" s="115"/>
      <c r="AT3" s="116"/>
      <c r="AU3" s="110"/>
      <c r="AV3" s="725"/>
      <c r="AW3" s="723" t="s">
        <v>97</v>
      </c>
      <c r="AX3" s="10"/>
      <c r="AY3" s="214"/>
      <c r="AZ3" s="266"/>
      <c r="BA3" s="267"/>
      <c r="BB3" s="119"/>
      <c r="BC3" s="268"/>
      <c r="BD3" s="266"/>
      <c r="BE3" s="267"/>
      <c r="BF3" s="119"/>
      <c r="BG3" s="268"/>
      <c r="BH3" s="266"/>
      <c r="BI3" s="267"/>
      <c r="BJ3" s="119"/>
      <c r="BK3" s="268"/>
      <c r="BL3" s="266"/>
      <c r="BM3" s="267"/>
      <c r="BN3" s="119"/>
      <c r="BO3" s="268"/>
      <c r="BP3" s="266"/>
      <c r="BQ3" s="267"/>
      <c r="BR3" s="119"/>
      <c r="BS3" s="268"/>
      <c r="BT3" s="266"/>
      <c r="BU3" s="267"/>
      <c r="BV3" s="119"/>
      <c r="BW3" s="268"/>
      <c r="BX3" s="266"/>
      <c r="BY3" s="267"/>
      <c r="BZ3" s="119"/>
      <c r="CA3" s="268"/>
      <c r="CB3" s="266"/>
      <c r="CC3" s="267"/>
      <c r="CD3" s="119"/>
      <c r="CE3" s="268"/>
      <c r="CF3" s="266"/>
      <c r="CG3" s="267"/>
      <c r="CH3" s="119"/>
      <c r="CI3" s="268"/>
      <c r="CJ3" s="266"/>
      <c r="CK3" s="120"/>
      <c r="CL3" s="121"/>
      <c r="CM3" s="279" t="s">
        <v>98</v>
      </c>
      <c r="CN3" s="121" t="s">
        <v>98</v>
      </c>
      <c r="CO3" s="122"/>
      <c r="CP3" s="123"/>
      <c r="CQ3" s="116"/>
      <c r="CR3" s="66"/>
      <c r="CS3" s="723" t="s">
        <v>97</v>
      </c>
      <c r="CT3" s="10"/>
      <c r="CU3" s="214"/>
      <c r="CV3" s="266"/>
      <c r="CW3" s="267"/>
      <c r="CX3" s="119"/>
      <c r="CY3" s="268"/>
      <c r="CZ3" s="266"/>
      <c r="DA3" s="267"/>
      <c r="DB3" s="119"/>
      <c r="DC3" s="268"/>
      <c r="DD3" s="266"/>
      <c r="DE3" s="267"/>
      <c r="DF3" s="119"/>
      <c r="DG3" s="268"/>
      <c r="DH3" s="266"/>
      <c r="DI3" s="267"/>
      <c r="DJ3" s="119"/>
      <c r="DK3" s="268"/>
      <c r="DL3" s="266"/>
      <c r="DM3" s="267"/>
      <c r="DN3" s="119"/>
      <c r="DO3" s="268"/>
      <c r="DP3" s="266"/>
      <c r="DQ3" s="267"/>
      <c r="DR3" s="119"/>
      <c r="DS3" s="268"/>
      <c r="DT3" s="266"/>
      <c r="DU3" s="267"/>
      <c r="DV3" s="119"/>
      <c r="DW3" s="268"/>
      <c r="DX3" s="266"/>
      <c r="DY3" s="267"/>
      <c r="DZ3" s="119"/>
      <c r="EA3" s="268"/>
      <c r="EB3" s="266"/>
      <c r="EC3" s="267"/>
      <c r="ED3" s="119"/>
      <c r="EE3" s="268"/>
      <c r="EF3" s="266"/>
      <c r="EG3" s="279" t="s">
        <v>98</v>
      </c>
      <c r="EH3" s="254" t="s">
        <v>98</v>
      </c>
      <c r="EI3" s="134" t="s">
        <v>295</v>
      </c>
      <c r="EJ3" s="128"/>
      <c r="EK3" s="124"/>
      <c r="EL3" s="78" t="s">
        <v>295</v>
      </c>
      <c r="EM3" s="67"/>
      <c r="EN3" s="68"/>
      <c r="EO3" s="134" t="s">
        <v>288</v>
      </c>
      <c r="EP3" s="67" t="s">
        <v>288</v>
      </c>
      <c r="EQ3" s="408" t="s">
        <v>71</v>
      </c>
      <c r="ER3" s="254" t="s">
        <v>71</v>
      </c>
      <c r="ES3" s="408" t="s">
        <v>71</v>
      </c>
      <c r="ET3" s="254" t="s">
        <v>71</v>
      </c>
      <c r="EU3" s="408" t="s">
        <v>71</v>
      </c>
      <c r="EV3" s="409" t="s">
        <v>71</v>
      </c>
      <c r="EW3" s="408" t="s">
        <v>71</v>
      </c>
      <c r="EX3" s="409" t="s">
        <v>71</v>
      </c>
      <c r="EY3" s="408" t="s">
        <v>71</v>
      </c>
      <c r="EZ3" s="409" t="s">
        <v>71</v>
      </c>
      <c r="FA3" s="408" t="s">
        <v>71</v>
      </c>
      <c r="FB3" s="409" t="s">
        <v>71</v>
      </c>
      <c r="FC3" s="408" t="s">
        <v>71</v>
      </c>
      <c r="FD3" s="409" t="s">
        <v>71</v>
      </c>
      <c r="FE3" s="408" t="s">
        <v>71</v>
      </c>
      <c r="FF3" s="409" t="s">
        <v>71</v>
      </c>
      <c r="FG3" s="408" t="s">
        <v>71</v>
      </c>
      <c r="FH3" s="409" t="s">
        <v>71</v>
      </c>
      <c r="FI3" s="279"/>
      <c r="FJ3" s="121"/>
      <c r="FK3" s="122"/>
      <c r="FL3" s="129"/>
      <c r="FM3" s="122"/>
      <c r="FN3" s="129"/>
      <c r="FP3" s="741"/>
      <c r="FQ3" s="412"/>
      <c r="FR3" s="412"/>
      <c r="FS3" s="412"/>
      <c r="FT3" s="419"/>
      <c r="FU3" s="414"/>
      <c r="FV3" s="415"/>
      <c r="FW3" s="415"/>
      <c r="FX3" s="415"/>
      <c r="FY3" s="415"/>
      <c r="FZ3" s="415"/>
      <c r="GA3" s="415"/>
      <c r="GB3" s="415"/>
      <c r="GC3" s="415"/>
      <c r="GD3" s="415"/>
      <c r="GE3" s="415"/>
      <c r="GF3" s="415"/>
      <c r="GG3" s="415"/>
      <c r="GH3" s="415"/>
      <c r="GI3" s="415"/>
      <c r="GJ3" s="415"/>
      <c r="GK3" s="415"/>
      <c r="GL3" s="415"/>
      <c r="GM3" s="415"/>
      <c r="GN3" s="415"/>
      <c r="GO3" s="415"/>
      <c r="GP3" s="415"/>
      <c r="GQ3" s="415"/>
      <c r="GR3" s="415"/>
      <c r="GS3" s="415"/>
      <c r="GT3" s="415"/>
      <c r="GU3" s="415"/>
      <c r="GV3" s="415"/>
      <c r="GW3" s="415"/>
      <c r="GX3" s="415"/>
      <c r="GY3" s="415"/>
      <c r="GZ3" s="415"/>
      <c r="HA3" s="415"/>
      <c r="HB3" s="770"/>
      <c r="HC3" s="770"/>
    </row>
    <row r="4" spans="1:211" s="3" customFormat="1">
      <c r="A4" s="263"/>
      <c r="B4" s="264"/>
      <c r="C4" s="252"/>
      <c r="D4" s="252"/>
      <c r="E4" s="120" t="s">
        <v>464</v>
      </c>
      <c r="F4" s="254" t="s">
        <v>464</v>
      </c>
      <c r="G4" s="120" t="s">
        <v>99</v>
      </c>
      <c r="H4" s="121" t="s">
        <v>99</v>
      </c>
      <c r="I4" s="132"/>
      <c r="J4" s="121"/>
      <c r="K4" s="111" t="s">
        <v>100</v>
      </c>
      <c r="L4" s="112" t="s">
        <v>100</v>
      </c>
      <c r="M4" s="130"/>
      <c r="N4" s="69" t="s">
        <v>725</v>
      </c>
      <c r="O4" s="70"/>
      <c r="P4" s="70"/>
      <c r="Q4" s="70"/>
      <c r="R4" s="751" t="s">
        <v>321</v>
      </c>
      <c r="S4" s="745" t="s">
        <v>725</v>
      </c>
      <c r="T4" s="747"/>
      <c r="U4" s="747"/>
      <c r="V4" s="747"/>
      <c r="W4" s="723" t="s">
        <v>101</v>
      </c>
      <c r="X4" s="64"/>
      <c r="Y4" s="213"/>
      <c r="Z4" s="65"/>
      <c r="AA4" s="265"/>
      <c r="AB4" s="64"/>
      <c r="AC4" s="213"/>
      <c r="AD4" s="65"/>
      <c r="AE4" s="265"/>
      <c r="AF4" s="64"/>
      <c r="AG4" s="213"/>
      <c r="AH4" s="65"/>
      <c r="AI4" s="265"/>
      <c r="AJ4" s="64"/>
      <c r="AK4" s="213"/>
      <c r="AL4" s="65"/>
      <c r="AM4" s="265"/>
      <c r="AN4" s="64"/>
      <c r="AO4" s="213"/>
      <c r="AP4" s="65"/>
      <c r="AQ4" s="114"/>
      <c r="AR4" s="114"/>
      <c r="AS4" s="115"/>
      <c r="AT4" s="116"/>
      <c r="AU4" s="110"/>
      <c r="AV4" s="725"/>
      <c r="AW4" s="723" t="s">
        <v>101</v>
      </c>
      <c r="AX4" s="10"/>
      <c r="AY4" s="214"/>
      <c r="AZ4" s="266"/>
      <c r="BA4" s="212"/>
      <c r="BB4" s="119"/>
      <c r="BC4" s="268"/>
      <c r="BD4" s="266"/>
      <c r="BE4" s="212"/>
      <c r="BF4" s="119"/>
      <c r="BG4" s="268"/>
      <c r="BH4" s="266"/>
      <c r="BI4" s="212"/>
      <c r="BJ4" s="119"/>
      <c r="BK4" s="268"/>
      <c r="BL4" s="266"/>
      <c r="BM4" s="212"/>
      <c r="BN4" s="119"/>
      <c r="BO4" s="268"/>
      <c r="BP4" s="266"/>
      <c r="BQ4" s="212"/>
      <c r="BR4" s="119"/>
      <c r="BS4" s="268"/>
      <c r="BT4" s="266"/>
      <c r="BU4" s="212"/>
      <c r="BV4" s="119"/>
      <c r="BW4" s="268"/>
      <c r="BX4" s="266"/>
      <c r="BY4" s="212"/>
      <c r="BZ4" s="119"/>
      <c r="CA4" s="268"/>
      <c r="CB4" s="266"/>
      <c r="CC4" s="212"/>
      <c r="CD4" s="119"/>
      <c r="CE4" s="268"/>
      <c r="CF4" s="266"/>
      <c r="CG4" s="212"/>
      <c r="CH4" s="119"/>
      <c r="CI4" s="268"/>
      <c r="CJ4" s="266"/>
      <c r="CK4" s="120"/>
      <c r="CL4" s="121"/>
      <c r="CM4" s="279" t="s">
        <v>288</v>
      </c>
      <c r="CN4" s="121" t="s">
        <v>288</v>
      </c>
      <c r="CO4" s="122"/>
      <c r="CP4" s="123"/>
      <c r="CQ4" s="131"/>
      <c r="CR4" s="71"/>
      <c r="CS4" s="723" t="s">
        <v>101</v>
      </c>
      <c r="CT4" s="10"/>
      <c r="CU4" s="214"/>
      <c r="CV4" s="266"/>
      <c r="CW4" s="212"/>
      <c r="CX4" s="119"/>
      <c r="CY4" s="268"/>
      <c r="CZ4" s="266"/>
      <c r="DA4" s="212"/>
      <c r="DB4" s="119"/>
      <c r="DC4" s="268"/>
      <c r="DD4" s="266"/>
      <c r="DE4" s="212"/>
      <c r="DF4" s="119"/>
      <c r="DG4" s="268"/>
      <c r="DH4" s="266"/>
      <c r="DI4" s="212"/>
      <c r="DJ4" s="119"/>
      <c r="DK4" s="268"/>
      <c r="DL4" s="266"/>
      <c r="DM4" s="212"/>
      <c r="DN4" s="119"/>
      <c r="DO4" s="268"/>
      <c r="DP4" s="266"/>
      <c r="DQ4" s="212"/>
      <c r="DR4" s="119"/>
      <c r="DS4" s="268"/>
      <c r="DT4" s="266"/>
      <c r="DU4" s="212"/>
      <c r="DV4" s="119"/>
      <c r="DW4" s="268"/>
      <c r="DX4" s="266"/>
      <c r="DY4" s="212"/>
      <c r="DZ4" s="119"/>
      <c r="EA4" s="268"/>
      <c r="EB4" s="266"/>
      <c r="EC4" s="212"/>
      <c r="ED4" s="119"/>
      <c r="EE4" s="268"/>
      <c r="EF4" s="266"/>
      <c r="EG4" s="279" t="s">
        <v>1171</v>
      </c>
      <c r="EH4" s="254" t="s">
        <v>1171</v>
      </c>
      <c r="EI4" s="134" t="s">
        <v>124</v>
      </c>
      <c r="EJ4" s="128"/>
      <c r="EK4" s="124"/>
      <c r="EL4" s="78" t="s">
        <v>124</v>
      </c>
      <c r="EM4" s="72"/>
      <c r="EN4" s="72"/>
      <c r="EO4" s="134" t="s">
        <v>102</v>
      </c>
      <c r="EP4" s="67" t="s">
        <v>102</v>
      </c>
      <c r="EQ4" s="417">
        <v>22.010100000000001</v>
      </c>
      <c r="ER4" s="416">
        <v>22.010100000000001</v>
      </c>
      <c r="ES4" s="417">
        <v>51.120100000000001</v>
      </c>
      <c r="ET4" s="416">
        <v>51.120100000000001</v>
      </c>
      <c r="EU4" s="417">
        <v>51.040100000000002</v>
      </c>
      <c r="EV4" s="418">
        <v>51.040100000000002</v>
      </c>
      <c r="EW4" s="417">
        <v>51.200099999999999</v>
      </c>
      <c r="EX4" s="416">
        <v>51.200099999999999</v>
      </c>
      <c r="EY4" s="417">
        <v>51.010100000000001</v>
      </c>
      <c r="EZ4" s="418">
        <v>51.010100000000001</v>
      </c>
      <c r="FA4" s="417">
        <v>51.170099999999998</v>
      </c>
      <c r="FB4" s="418">
        <v>51.170099999999998</v>
      </c>
      <c r="FC4" s="417">
        <v>51.190100000000001</v>
      </c>
      <c r="FD4" s="418">
        <v>51.190100000000001</v>
      </c>
      <c r="FE4" s="417">
        <v>51.240099999999998</v>
      </c>
      <c r="FF4" s="418">
        <v>51.240099999999998</v>
      </c>
      <c r="FG4" s="417">
        <v>51.210099999999997</v>
      </c>
      <c r="FH4" s="418">
        <v>51.210099999999997</v>
      </c>
      <c r="FI4" s="279" t="s">
        <v>1172</v>
      </c>
      <c r="FJ4" s="121" t="s">
        <v>1172</v>
      </c>
      <c r="FK4" s="122"/>
      <c r="FL4" s="129"/>
      <c r="FM4" s="122"/>
      <c r="FN4" s="129"/>
      <c r="FP4" s="741"/>
      <c r="FQ4" s="412"/>
      <c r="FR4" s="412"/>
      <c r="FS4" s="412"/>
      <c r="FT4" s="419"/>
      <c r="FU4" s="420"/>
      <c r="FV4" s="415"/>
      <c r="FW4" s="415"/>
      <c r="FX4" s="415"/>
      <c r="FY4" s="415"/>
      <c r="FZ4" s="415"/>
      <c r="GA4" s="415"/>
      <c r="GB4" s="415"/>
      <c r="GC4" s="415"/>
      <c r="GD4" s="415"/>
      <c r="GE4" s="415"/>
      <c r="GF4" s="415"/>
      <c r="GG4" s="415"/>
      <c r="GH4" s="415"/>
      <c r="GI4" s="415"/>
      <c r="GJ4" s="415"/>
      <c r="GK4" s="415"/>
      <c r="GL4" s="415"/>
      <c r="GM4" s="415"/>
      <c r="GN4" s="415"/>
      <c r="GO4" s="415"/>
      <c r="GP4" s="415"/>
      <c r="GQ4" s="415"/>
      <c r="GR4" s="415"/>
      <c r="GS4" s="415"/>
      <c r="GT4" s="415"/>
      <c r="GU4" s="415"/>
      <c r="GV4" s="415"/>
      <c r="GW4" s="415"/>
      <c r="GX4" s="415"/>
      <c r="GY4" s="415"/>
      <c r="GZ4" s="415"/>
      <c r="HA4" s="415"/>
      <c r="HB4" s="770"/>
      <c r="HC4" s="770"/>
    </row>
    <row r="5" spans="1:211" s="3" customFormat="1">
      <c r="A5" s="263"/>
      <c r="B5" s="264"/>
      <c r="C5" s="252"/>
      <c r="D5" s="252"/>
      <c r="E5" s="120" t="s">
        <v>103</v>
      </c>
      <c r="F5" s="254" t="s">
        <v>103</v>
      </c>
      <c r="G5" s="120" t="s">
        <v>103</v>
      </c>
      <c r="H5" s="121" t="s">
        <v>103</v>
      </c>
      <c r="I5" s="132" t="s">
        <v>698</v>
      </c>
      <c r="J5" s="121" t="s">
        <v>698</v>
      </c>
      <c r="K5" s="111" t="s">
        <v>104</v>
      </c>
      <c r="L5" s="112" t="s">
        <v>104</v>
      </c>
      <c r="M5" s="133"/>
      <c r="N5" s="73" t="s">
        <v>726</v>
      </c>
      <c r="O5" s="74"/>
      <c r="P5" s="74"/>
      <c r="Q5" s="74"/>
      <c r="R5" s="751" t="s">
        <v>321</v>
      </c>
      <c r="S5" s="752" t="s">
        <v>726</v>
      </c>
      <c r="T5" s="753"/>
      <c r="U5" s="753"/>
      <c r="V5" s="753"/>
      <c r="W5" s="724" t="s">
        <v>106</v>
      </c>
      <c r="X5" s="75"/>
      <c r="Y5" s="215"/>
      <c r="Z5" s="76"/>
      <c r="AA5" s="269"/>
      <c r="AB5" s="75"/>
      <c r="AC5" s="215"/>
      <c r="AD5" s="76"/>
      <c r="AE5" s="269"/>
      <c r="AF5" s="75"/>
      <c r="AG5" s="215"/>
      <c r="AH5" s="76"/>
      <c r="AI5" s="269"/>
      <c r="AJ5" s="75"/>
      <c r="AK5" s="215"/>
      <c r="AL5" s="76"/>
      <c r="AM5" s="269"/>
      <c r="AN5" s="75"/>
      <c r="AO5" s="215"/>
      <c r="AP5" s="76"/>
      <c r="AQ5" s="134"/>
      <c r="AR5" s="134"/>
      <c r="AS5" s="77"/>
      <c r="AT5" s="78"/>
      <c r="AU5" s="120" t="s">
        <v>105</v>
      </c>
      <c r="AV5" s="121" t="s">
        <v>105</v>
      </c>
      <c r="AW5" s="724" t="s">
        <v>106</v>
      </c>
      <c r="AX5" s="109"/>
      <c r="AY5" s="216"/>
      <c r="AZ5" s="217"/>
      <c r="BA5" s="204"/>
      <c r="BB5" s="9"/>
      <c r="BC5" s="270"/>
      <c r="BD5" s="217"/>
      <c r="BE5" s="204"/>
      <c r="BF5" s="9"/>
      <c r="BG5" s="270"/>
      <c r="BH5" s="217"/>
      <c r="BI5" s="204"/>
      <c r="BJ5" s="9"/>
      <c r="BK5" s="270"/>
      <c r="BL5" s="217"/>
      <c r="BM5" s="204"/>
      <c r="BN5" s="9"/>
      <c r="BO5" s="270"/>
      <c r="BP5" s="217"/>
      <c r="BQ5" s="204"/>
      <c r="BR5" s="9"/>
      <c r="BS5" s="270"/>
      <c r="BT5" s="217"/>
      <c r="BU5" s="204"/>
      <c r="BV5" s="9"/>
      <c r="BW5" s="270"/>
      <c r="BX5" s="217"/>
      <c r="BY5" s="204"/>
      <c r="BZ5" s="9"/>
      <c r="CA5" s="270"/>
      <c r="CB5" s="217"/>
      <c r="CC5" s="204"/>
      <c r="CD5" s="9"/>
      <c r="CE5" s="270"/>
      <c r="CF5" s="217"/>
      <c r="CG5" s="204"/>
      <c r="CH5" s="9"/>
      <c r="CI5" s="270"/>
      <c r="CJ5" s="217"/>
      <c r="CK5" s="120" t="s">
        <v>111</v>
      </c>
      <c r="CL5" s="121" t="s">
        <v>111</v>
      </c>
      <c r="CM5" s="279" t="s">
        <v>102</v>
      </c>
      <c r="CN5" s="121" t="s">
        <v>102</v>
      </c>
      <c r="CO5" s="135" t="s">
        <v>295</v>
      </c>
      <c r="CP5" s="136"/>
      <c r="CQ5" s="78" t="s">
        <v>295</v>
      </c>
      <c r="CR5" s="67"/>
      <c r="CS5" s="724" t="s">
        <v>106</v>
      </c>
      <c r="CT5" s="109"/>
      <c r="CU5" s="216"/>
      <c r="CV5" s="217"/>
      <c r="CW5" s="204"/>
      <c r="CX5" s="9"/>
      <c r="CY5" s="270"/>
      <c r="CZ5" s="217"/>
      <c r="DA5" s="204"/>
      <c r="DB5" s="9"/>
      <c r="DC5" s="270"/>
      <c r="DD5" s="217"/>
      <c r="DE5" s="204"/>
      <c r="DF5" s="9"/>
      <c r="DG5" s="270"/>
      <c r="DH5" s="217"/>
      <c r="DI5" s="204"/>
      <c r="DJ5" s="9"/>
      <c r="DK5" s="270"/>
      <c r="DL5" s="217"/>
      <c r="DM5" s="204"/>
      <c r="DN5" s="9"/>
      <c r="DO5" s="270"/>
      <c r="DP5" s="217"/>
      <c r="DQ5" s="204"/>
      <c r="DR5" s="9"/>
      <c r="DS5" s="270"/>
      <c r="DT5" s="217"/>
      <c r="DU5" s="204"/>
      <c r="DV5" s="9"/>
      <c r="DW5" s="270"/>
      <c r="DX5" s="217"/>
      <c r="DY5" s="204"/>
      <c r="DZ5" s="9"/>
      <c r="EA5" s="270"/>
      <c r="EB5" s="217"/>
      <c r="EC5" s="204"/>
      <c r="ED5" s="9"/>
      <c r="EE5" s="270"/>
      <c r="EF5" s="217"/>
      <c r="EG5" s="279" t="s">
        <v>1173</v>
      </c>
      <c r="EH5" s="254" t="s">
        <v>1173</v>
      </c>
      <c r="EI5" s="134" t="s">
        <v>1171</v>
      </c>
      <c r="EJ5" s="128"/>
      <c r="EK5" s="124"/>
      <c r="EL5" s="78" t="s">
        <v>1171</v>
      </c>
      <c r="EM5" s="67"/>
      <c r="EN5" s="68"/>
      <c r="EO5" s="134" t="s">
        <v>107</v>
      </c>
      <c r="EP5" s="67" t="s">
        <v>107</v>
      </c>
      <c r="EQ5" s="120"/>
      <c r="ER5" s="121"/>
      <c r="ES5" s="120"/>
      <c r="ET5" s="121"/>
      <c r="EU5" s="120"/>
      <c r="EV5" s="121"/>
      <c r="EW5" s="120"/>
      <c r="EX5" s="121"/>
      <c r="EY5" s="120"/>
      <c r="EZ5" s="121"/>
      <c r="FA5" s="120"/>
      <c r="FB5" s="121"/>
      <c r="FC5" s="120" t="s">
        <v>109</v>
      </c>
      <c r="FD5" s="121" t="s">
        <v>109</v>
      </c>
      <c r="FE5" s="120" t="s">
        <v>110</v>
      </c>
      <c r="FF5" s="121" t="s">
        <v>110</v>
      </c>
      <c r="FG5" s="120"/>
      <c r="FH5" s="121"/>
      <c r="FI5" s="120" t="s">
        <v>129</v>
      </c>
      <c r="FJ5" s="254" t="s">
        <v>129</v>
      </c>
      <c r="FK5" s="135" t="s">
        <v>295</v>
      </c>
      <c r="FL5" s="62" t="s">
        <v>295</v>
      </c>
      <c r="FM5" s="135"/>
      <c r="FN5" s="62"/>
      <c r="FP5" s="742"/>
      <c r="FQ5" s="421"/>
      <c r="FR5" s="422"/>
      <c r="FS5" s="423"/>
      <c r="FT5" s="424"/>
      <c r="FU5" s="425"/>
      <c r="FV5" s="426"/>
      <c r="FW5" s="426"/>
      <c r="FX5" s="426"/>
      <c r="FY5" s="426"/>
      <c r="FZ5" s="426"/>
      <c r="GA5" s="426"/>
      <c r="GB5" s="426"/>
      <c r="GC5" s="426"/>
      <c r="GD5" s="426"/>
      <c r="GE5" s="426"/>
      <c r="GF5" s="426"/>
      <c r="GG5" s="426"/>
      <c r="GH5" s="426"/>
      <c r="GI5" s="426"/>
      <c r="GJ5" s="426"/>
      <c r="GK5" s="426"/>
      <c r="GL5" s="426"/>
      <c r="GM5" s="426"/>
      <c r="GN5" s="426"/>
      <c r="GO5" s="426"/>
      <c r="GP5" s="426"/>
      <c r="GQ5" s="426"/>
      <c r="GR5" s="426"/>
      <c r="GS5" s="426"/>
      <c r="GT5" s="426"/>
      <c r="GU5" s="426"/>
      <c r="GV5" s="426"/>
      <c r="GW5" s="426"/>
      <c r="GX5" s="426"/>
      <c r="GY5" s="426"/>
      <c r="GZ5" s="426"/>
      <c r="HA5" s="426"/>
      <c r="HB5" s="771"/>
      <c r="HC5" s="771"/>
    </row>
    <row r="6" spans="1:211" s="3" customFormat="1">
      <c r="A6" s="263"/>
      <c r="B6" s="264"/>
      <c r="C6" s="252" t="s">
        <v>112</v>
      </c>
      <c r="D6" s="252"/>
      <c r="E6" s="120" t="s">
        <v>113</v>
      </c>
      <c r="F6" s="254" t="s">
        <v>113</v>
      </c>
      <c r="G6" s="120" t="s">
        <v>114</v>
      </c>
      <c r="H6" s="121" t="s">
        <v>114</v>
      </c>
      <c r="I6" s="132" t="s">
        <v>702</v>
      </c>
      <c r="J6" s="121" t="s">
        <v>702</v>
      </c>
      <c r="K6" s="111" t="s">
        <v>115</v>
      </c>
      <c r="L6" s="112" t="s">
        <v>115</v>
      </c>
      <c r="M6" s="133"/>
      <c r="N6" s="69" t="s">
        <v>116</v>
      </c>
      <c r="O6" s="137" t="s">
        <v>117</v>
      </c>
      <c r="P6" s="137" t="s">
        <v>321</v>
      </c>
      <c r="Q6" s="138" t="s">
        <v>118</v>
      </c>
      <c r="R6" s="745" t="s">
        <v>321</v>
      </c>
      <c r="S6" s="749" t="s">
        <v>116</v>
      </c>
      <c r="T6" s="749" t="s">
        <v>117</v>
      </c>
      <c r="U6" s="749"/>
      <c r="V6" s="139" t="s">
        <v>118</v>
      </c>
      <c r="W6" s="428" t="s">
        <v>120</v>
      </c>
      <c r="X6" s="140"/>
      <c r="Y6" s="219" t="s">
        <v>120</v>
      </c>
      <c r="Z6" s="79"/>
      <c r="AA6" s="218">
        <v>2</v>
      </c>
      <c r="AB6" s="140"/>
      <c r="AC6" s="219">
        <v>2</v>
      </c>
      <c r="AD6" s="79"/>
      <c r="AE6" s="218">
        <v>3</v>
      </c>
      <c r="AF6" s="140"/>
      <c r="AG6" s="219">
        <v>3</v>
      </c>
      <c r="AH6" s="79"/>
      <c r="AI6" s="218">
        <v>4</v>
      </c>
      <c r="AJ6" s="140"/>
      <c r="AK6" s="219">
        <v>4</v>
      </c>
      <c r="AL6" s="79"/>
      <c r="AM6" s="218">
        <v>5</v>
      </c>
      <c r="AN6" s="140"/>
      <c r="AO6" s="219">
        <v>5</v>
      </c>
      <c r="AP6" s="79"/>
      <c r="AQ6" s="134" t="s">
        <v>953</v>
      </c>
      <c r="AR6" s="134" t="s">
        <v>348</v>
      </c>
      <c r="AS6" s="78" t="s">
        <v>953</v>
      </c>
      <c r="AT6" s="78" t="s">
        <v>348</v>
      </c>
      <c r="AU6" s="120" t="s">
        <v>119</v>
      </c>
      <c r="AV6" s="121" t="s">
        <v>119</v>
      </c>
      <c r="AW6" s="428" t="s">
        <v>120</v>
      </c>
      <c r="AX6" s="141"/>
      <c r="AY6" s="220" t="s">
        <v>120</v>
      </c>
      <c r="AZ6" s="61"/>
      <c r="BA6" s="221">
        <v>2</v>
      </c>
      <c r="BB6" s="142"/>
      <c r="BC6" s="220">
        <v>2</v>
      </c>
      <c r="BD6" s="61"/>
      <c r="BE6" s="221">
        <v>3</v>
      </c>
      <c r="BF6" s="142"/>
      <c r="BG6" s="220">
        <v>3</v>
      </c>
      <c r="BH6" s="61"/>
      <c r="BI6" s="221">
        <v>4</v>
      </c>
      <c r="BJ6" s="142"/>
      <c r="BK6" s="220">
        <v>4</v>
      </c>
      <c r="BL6" s="61"/>
      <c r="BM6" s="221">
        <v>5</v>
      </c>
      <c r="BN6" s="142"/>
      <c r="BO6" s="220">
        <v>5</v>
      </c>
      <c r="BP6" s="61"/>
      <c r="BQ6" s="221">
        <v>6</v>
      </c>
      <c r="BR6" s="142"/>
      <c r="BS6" s="220">
        <v>6</v>
      </c>
      <c r="BT6" s="61"/>
      <c r="BU6" s="221">
        <v>7</v>
      </c>
      <c r="BV6" s="142"/>
      <c r="BW6" s="220">
        <v>7</v>
      </c>
      <c r="BX6" s="61"/>
      <c r="BY6" s="221">
        <v>8</v>
      </c>
      <c r="BZ6" s="142"/>
      <c r="CA6" s="220">
        <v>8</v>
      </c>
      <c r="CB6" s="61"/>
      <c r="CC6" s="221">
        <v>9</v>
      </c>
      <c r="CD6" s="142"/>
      <c r="CE6" s="220">
        <v>9</v>
      </c>
      <c r="CF6" s="61"/>
      <c r="CG6" s="221">
        <v>10</v>
      </c>
      <c r="CH6" s="142"/>
      <c r="CI6" s="220">
        <v>10</v>
      </c>
      <c r="CJ6" s="61"/>
      <c r="CK6" s="120" t="s">
        <v>129</v>
      </c>
      <c r="CL6" s="121" t="s">
        <v>129</v>
      </c>
      <c r="CM6" s="279" t="s">
        <v>121</v>
      </c>
      <c r="CN6" s="121" t="s">
        <v>121</v>
      </c>
      <c r="CO6" s="135" t="s">
        <v>122</v>
      </c>
      <c r="CP6" s="136" t="s">
        <v>123</v>
      </c>
      <c r="CQ6" s="78" t="s">
        <v>122</v>
      </c>
      <c r="CR6" s="67" t="s">
        <v>123</v>
      </c>
      <c r="CS6" s="428">
        <v>1</v>
      </c>
      <c r="CT6" s="141"/>
      <c r="CU6" s="220">
        <v>1</v>
      </c>
      <c r="CV6" s="61"/>
      <c r="CW6" s="221">
        <v>2</v>
      </c>
      <c r="CX6" s="142"/>
      <c r="CY6" s="220">
        <v>2</v>
      </c>
      <c r="CZ6" s="61"/>
      <c r="DA6" s="221">
        <v>3</v>
      </c>
      <c r="DB6" s="142"/>
      <c r="DC6" s="220">
        <v>3</v>
      </c>
      <c r="DD6" s="61"/>
      <c r="DE6" s="221">
        <v>4</v>
      </c>
      <c r="DF6" s="142"/>
      <c r="DG6" s="220">
        <v>4</v>
      </c>
      <c r="DH6" s="61"/>
      <c r="DI6" s="221">
        <v>5</v>
      </c>
      <c r="DJ6" s="142"/>
      <c r="DK6" s="220">
        <v>5</v>
      </c>
      <c r="DL6" s="61"/>
      <c r="DM6" s="221">
        <v>6</v>
      </c>
      <c r="DN6" s="142"/>
      <c r="DO6" s="220">
        <v>6</v>
      </c>
      <c r="DP6" s="61"/>
      <c r="DQ6" s="221">
        <v>7</v>
      </c>
      <c r="DR6" s="142"/>
      <c r="DS6" s="220">
        <v>7</v>
      </c>
      <c r="DT6" s="61"/>
      <c r="DU6" s="221">
        <v>8</v>
      </c>
      <c r="DV6" s="142"/>
      <c r="DW6" s="220">
        <v>8</v>
      </c>
      <c r="DX6" s="61"/>
      <c r="DY6" s="221">
        <v>9</v>
      </c>
      <c r="DZ6" s="142"/>
      <c r="EA6" s="220">
        <v>9</v>
      </c>
      <c r="EB6" s="61"/>
      <c r="EC6" s="221">
        <v>10</v>
      </c>
      <c r="ED6" s="142"/>
      <c r="EE6" s="220">
        <v>10</v>
      </c>
      <c r="EF6" s="61"/>
      <c r="EG6" s="279" t="s">
        <v>124</v>
      </c>
      <c r="EH6" s="254" t="s">
        <v>124</v>
      </c>
      <c r="EI6" s="134" t="s">
        <v>1173</v>
      </c>
      <c r="EJ6" s="143" t="s">
        <v>125</v>
      </c>
      <c r="EK6" s="144" t="s">
        <v>126</v>
      </c>
      <c r="EL6" s="78" t="s">
        <v>1173</v>
      </c>
      <c r="EM6" s="67" t="s">
        <v>125</v>
      </c>
      <c r="EN6" s="67" t="s">
        <v>126</v>
      </c>
      <c r="EO6" s="134" t="s">
        <v>1327</v>
      </c>
      <c r="EP6" s="67" t="s">
        <v>1327</v>
      </c>
      <c r="EQ6" s="120"/>
      <c r="ER6" s="121"/>
      <c r="ES6" s="120"/>
      <c r="ET6" s="121"/>
      <c r="EU6" s="120"/>
      <c r="EV6" s="121"/>
      <c r="EW6" s="120"/>
      <c r="EX6" s="121"/>
      <c r="EY6" s="120"/>
      <c r="EZ6" s="121"/>
      <c r="FA6" s="120"/>
      <c r="FB6" s="121"/>
      <c r="FC6" s="120" t="s">
        <v>127</v>
      </c>
      <c r="FD6" s="121" t="s">
        <v>127</v>
      </c>
      <c r="FE6" s="120" t="s">
        <v>128</v>
      </c>
      <c r="FF6" s="121" t="s">
        <v>128</v>
      </c>
      <c r="FG6" s="120"/>
      <c r="FH6" s="121"/>
      <c r="FI6" s="120" t="s">
        <v>1174</v>
      </c>
      <c r="FJ6" s="254" t="s">
        <v>1174</v>
      </c>
      <c r="FK6" s="135" t="s">
        <v>111</v>
      </c>
      <c r="FL6" s="62" t="s">
        <v>111</v>
      </c>
      <c r="FM6" s="135" t="s">
        <v>693</v>
      </c>
      <c r="FN6" s="62" t="s">
        <v>693</v>
      </c>
      <c r="FP6" s="428">
        <v>1</v>
      </c>
      <c r="FQ6" s="141"/>
      <c r="FR6" s="427">
        <v>1</v>
      </c>
      <c r="FS6" s="61"/>
      <c r="FT6" s="428">
        <v>2</v>
      </c>
      <c r="FU6" s="142"/>
      <c r="FV6" s="427">
        <v>2</v>
      </c>
      <c r="FW6" s="61"/>
      <c r="FX6" s="428">
        <v>3</v>
      </c>
      <c r="FY6" s="142"/>
      <c r="FZ6" s="427">
        <v>3</v>
      </c>
      <c r="GA6" s="61"/>
      <c r="GB6" s="428">
        <v>4</v>
      </c>
      <c r="GC6" s="142"/>
      <c r="GD6" s="427">
        <v>4</v>
      </c>
      <c r="GE6" s="61"/>
      <c r="GF6" s="428">
        <v>5</v>
      </c>
      <c r="GG6" s="142"/>
      <c r="GH6" s="427">
        <v>5</v>
      </c>
      <c r="GI6" s="61"/>
      <c r="GJ6" s="428">
        <v>6</v>
      </c>
      <c r="GK6" s="142"/>
      <c r="GL6" s="427">
        <v>6</v>
      </c>
      <c r="GM6" s="61"/>
      <c r="GN6" s="428">
        <v>7</v>
      </c>
      <c r="GO6" s="142"/>
      <c r="GP6" s="427">
        <v>7</v>
      </c>
      <c r="GQ6" s="61"/>
      <c r="GR6" s="428">
        <v>8</v>
      </c>
      <c r="GS6" s="142"/>
      <c r="GT6" s="427">
        <v>8</v>
      </c>
      <c r="GU6" s="61"/>
      <c r="GV6" s="428">
        <v>9</v>
      </c>
      <c r="GW6" s="142"/>
      <c r="GX6" s="427">
        <v>9</v>
      </c>
      <c r="GY6" s="61"/>
      <c r="GZ6" s="428">
        <v>10</v>
      </c>
      <c r="HA6" s="142"/>
      <c r="HB6" s="427">
        <v>10</v>
      </c>
      <c r="HC6" s="61"/>
    </row>
    <row r="7" spans="1:211" s="9" customFormat="1">
      <c r="A7" s="271" t="s">
        <v>342</v>
      </c>
      <c r="B7" s="272" t="s">
        <v>130</v>
      </c>
      <c r="C7" s="271" t="s">
        <v>131</v>
      </c>
      <c r="D7" s="271" t="s">
        <v>132</v>
      </c>
      <c r="E7" s="145" t="s">
        <v>133</v>
      </c>
      <c r="F7" s="249" t="s">
        <v>133</v>
      </c>
      <c r="G7" s="145" t="s">
        <v>134</v>
      </c>
      <c r="H7" s="146" t="s">
        <v>134</v>
      </c>
      <c r="I7" s="147" t="s">
        <v>100</v>
      </c>
      <c r="J7" s="146" t="s">
        <v>100</v>
      </c>
      <c r="K7" s="148" t="s">
        <v>135</v>
      </c>
      <c r="L7" s="149" t="s">
        <v>135</v>
      </c>
      <c r="M7" s="150" t="s">
        <v>295</v>
      </c>
      <c r="N7" s="80" t="s">
        <v>136</v>
      </c>
      <c r="O7" s="80" t="s">
        <v>137</v>
      </c>
      <c r="P7" s="80" t="s">
        <v>98</v>
      </c>
      <c r="Q7" s="151" t="s">
        <v>295</v>
      </c>
      <c r="R7" s="754" t="s">
        <v>295</v>
      </c>
      <c r="S7" s="754" t="s">
        <v>136</v>
      </c>
      <c r="T7" s="754" t="s">
        <v>137</v>
      </c>
      <c r="U7" s="754" t="s">
        <v>98</v>
      </c>
      <c r="V7" s="81" t="s">
        <v>295</v>
      </c>
      <c r="W7" s="225" t="s">
        <v>71</v>
      </c>
      <c r="X7" s="153" t="s">
        <v>139</v>
      </c>
      <c r="Y7" s="223" t="s">
        <v>71</v>
      </c>
      <c r="Z7" s="83" t="s">
        <v>139</v>
      </c>
      <c r="AA7" s="222" t="s">
        <v>71</v>
      </c>
      <c r="AB7" s="153" t="s">
        <v>139</v>
      </c>
      <c r="AC7" s="223" t="s">
        <v>71</v>
      </c>
      <c r="AD7" s="83" t="s">
        <v>139</v>
      </c>
      <c r="AE7" s="222" t="s">
        <v>71</v>
      </c>
      <c r="AF7" s="153" t="s">
        <v>139</v>
      </c>
      <c r="AG7" s="223" t="s">
        <v>71</v>
      </c>
      <c r="AH7" s="83" t="s">
        <v>139</v>
      </c>
      <c r="AI7" s="222" t="s">
        <v>71</v>
      </c>
      <c r="AJ7" s="153" t="s">
        <v>139</v>
      </c>
      <c r="AK7" s="223" t="s">
        <v>71</v>
      </c>
      <c r="AL7" s="83" t="s">
        <v>139</v>
      </c>
      <c r="AM7" s="222" t="s">
        <v>71</v>
      </c>
      <c r="AN7" s="153" t="s">
        <v>139</v>
      </c>
      <c r="AO7" s="223" t="s">
        <v>71</v>
      </c>
      <c r="AP7" s="83" t="s">
        <v>139</v>
      </c>
      <c r="AQ7" s="152" t="s">
        <v>140</v>
      </c>
      <c r="AR7" s="152" t="s">
        <v>690</v>
      </c>
      <c r="AS7" s="82" t="s">
        <v>140</v>
      </c>
      <c r="AT7" s="82" t="s">
        <v>690</v>
      </c>
      <c r="AU7" s="145" t="s">
        <v>138</v>
      </c>
      <c r="AV7" s="146" t="s">
        <v>138</v>
      </c>
      <c r="AW7" s="225" t="s">
        <v>71</v>
      </c>
      <c r="AX7" s="154" t="s">
        <v>139</v>
      </c>
      <c r="AY7" s="224" t="s">
        <v>71</v>
      </c>
      <c r="AZ7" s="59" t="s">
        <v>139</v>
      </c>
      <c r="BA7" s="225" t="s">
        <v>71</v>
      </c>
      <c r="BB7" s="154" t="s">
        <v>139</v>
      </c>
      <c r="BC7" s="224" t="s">
        <v>71</v>
      </c>
      <c r="BD7" s="59" t="s">
        <v>139</v>
      </c>
      <c r="BE7" s="225" t="s">
        <v>71</v>
      </c>
      <c r="BF7" s="154" t="s">
        <v>139</v>
      </c>
      <c r="BG7" s="224" t="s">
        <v>71</v>
      </c>
      <c r="BH7" s="59" t="s">
        <v>139</v>
      </c>
      <c r="BI7" s="225" t="s">
        <v>71</v>
      </c>
      <c r="BJ7" s="154" t="s">
        <v>139</v>
      </c>
      <c r="BK7" s="224" t="s">
        <v>71</v>
      </c>
      <c r="BL7" s="59" t="s">
        <v>139</v>
      </c>
      <c r="BM7" s="225" t="s">
        <v>71</v>
      </c>
      <c r="BN7" s="154" t="s">
        <v>139</v>
      </c>
      <c r="BO7" s="224" t="s">
        <v>71</v>
      </c>
      <c r="BP7" s="59" t="s">
        <v>139</v>
      </c>
      <c r="BQ7" s="225" t="s">
        <v>71</v>
      </c>
      <c r="BR7" s="154" t="s">
        <v>139</v>
      </c>
      <c r="BS7" s="224" t="s">
        <v>71</v>
      </c>
      <c r="BT7" s="59" t="s">
        <v>139</v>
      </c>
      <c r="BU7" s="225" t="s">
        <v>71</v>
      </c>
      <c r="BV7" s="154" t="s">
        <v>139</v>
      </c>
      <c r="BW7" s="224" t="s">
        <v>71</v>
      </c>
      <c r="BX7" s="59" t="s">
        <v>139</v>
      </c>
      <c r="BY7" s="225" t="s">
        <v>71</v>
      </c>
      <c r="BZ7" s="154" t="s">
        <v>139</v>
      </c>
      <c r="CA7" s="224" t="s">
        <v>71</v>
      </c>
      <c r="CB7" s="59" t="s">
        <v>139</v>
      </c>
      <c r="CC7" s="225" t="s">
        <v>71</v>
      </c>
      <c r="CD7" s="154" t="s">
        <v>139</v>
      </c>
      <c r="CE7" s="224" t="s">
        <v>71</v>
      </c>
      <c r="CF7" s="59" t="s">
        <v>139</v>
      </c>
      <c r="CG7" s="225" t="s">
        <v>71</v>
      </c>
      <c r="CH7" s="154" t="s">
        <v>139</v>
      </c>
      <c r="CI7" s="224" t="s">
        <v>71</v>
      </c>
      <c r="CJ7" s="59" t="s">
        <v>139</v>
      </c>
      <c r="CK7" s="145" t="s">
        <v>148</v>
      </c>
      <c r="CL7" s="146" t="s">
        <v>148</v>
      </c>
      <c r="CM7" s="279" t="s">
        <v>139</v>
      </c>
      <c r="CN7" s="146" t="s">
        <v>139</v>
      </c>
      <c r="CO7" s="155" t="s">
        <v>139</v>
      </c>
      <c r="CP7" s="156" t="s">
        <v>140</v>
      </c>
      <c r="CQ7" s="82" t="s">
        <v>139</v>
      </c>
      <c r="CR7" s="84" t="s">
        <v>140</v>
      </c>
      <c r="CS7" s="225" t="s">
        <v>71</v>
      </c>
      <c r="CT7" s="154" t="s">
        <v>139</v>
      </c>
      <c r="CU7" s="224" t="s">
        <v>71</v>
      </c>
      <c r="CV7" s="59" t="s">
        <v>139</v>
      </c>
      <c r="CW7" s="225" t="s">
        <v>71</v>
      </c>
      <c r="CX7" s="154" t="s">
        <v>139</v>
      </c>
      <c r="CY7" s="224" t="s">
        <v>71</v>
      </c>
      <c r="CZ7" s="59" t="s">
        <v>139</v>
      </c>
      <c r="DA7" s="225" t="s">
        <v>71</v>
      </c>
      <c r="DB7" s="154" t="s">
        <v>139</v>
      </c>
      <c r="DC7" s="224" t="s">
        <v>71</v>
      </c>
      <c r="DD7" s="59" t="s">
        <v>139</v>
      </c>
      <c r="DE7" s="225" t="s">
        <v>71</v>
      </c>
      <c r="DF7" s="154" t="s">
        <v>139</v>
      </c>
      <c r="DG7" s="224" t="s">
        <v>71</v>
      </c>
      <c r="DH7" s="59" t="s">
        <v>139</v>
      </c>
      <c r="DI7" s="225" t="s">
        <v>71</v>
      </c>
      <c r="DJ7" s="154" t="s">
        <v>139</v>
      </c>
      <c r="DK7" s="224" t="s">
        <v>71</v>
      </c>
      <c r="DL7" s="59" t="s">
        <v>139</v>
      </c>
      <c r="DM7" s="225" t="s">
        <v>71</v>
      </c>
      <c r="DN7" s="154" t="s">
        <v>139</v>
      </c>
      <c r="DO7" s="224" t="s">
        <v>71</v>
      </c>
      <c r="DP7" s="59" t="s">
        <v>139</v>
      </c>
      <c r="DQ7" s="225" t="s">
        <v>71</v>
      </c>
      <c r="DR7" s="154" t="s">
        <v>139</v>
      </c>
      <c r="DS7" s="224" t="s">
        <v>71</v>
      </c>
      <c r="DT7" s="59" t="s">
        <v>139</v>
      </c>
      <c r="DU7" s="225" t="s">
        <v>71</v>
      </c>
      <c r="DV7" s="154" t="s">
        <v>139</v>
      </c>
      <c r="DW7" s="224" t="s">
        <v>71</v>
      </c>
      <c r="DX7" s="59" t="s">
        <v>139</v>
      </c>
      <c r="DY7" s="225" t="s">
        <v>71</v>
      </c>
      <c r="DZ7" s="154" t="s">
        <v>139</v>
      </c>
      <c r="EA7" s="224" t="s">
        <v>71</v>
      </c>
      <c r="EB7" s="59" t="s">
        <v>139</v>
      </c>
      <c r="EC7" s="225" t="s">
        <v>71</v>
      </c>
      <c r="ED7" s="154" t="s">
        <v>139</v>
      </c>
      <c r="EE7" s="224" t="s">
        <v>71</v>
      </c>
      <c r="EF7" s="59" t="s">
        <v>139</v>
      </c>
      <c r="EG7" s="429" t="s">
        <v>139</v>
      </c>
      <c r="EH7" s="249" t="s">
        <v>139</v>
      </c>
      <c r="EI7" s="152" t="s">
        <v>139</v>
      </c>
      <c r="EJ7" s="157" t="s">
        <v>140</v>
      </c>
      <c r="EK7" s="157" t="s">
        <v>141</v>
      </c>
      <c r="EL7" s="82" t="s">
        <v>139</v>
      </c>
      <c r="EM7" s="84" t="s">
        <v>140</v>
      </c>
      <c r="EN7" s="84" t="s">
        <v>141</v>
      </c>
      <c r="EO7" s="152" t="s">
        <v>139</v>
      </c>
      <c r="EP7" s="84" t="s">
        <v>139</v>
      </c>
      <c r="EQ7" s="145" t="s">
        <v>290</v>
      </c>
      <c r="ER7" s="146" t="s">
        <v>290</v>
      </c>
      <c r="ES7" s="145" t="s">
        <v>142</v>
      </c>
      <c r="ET7" s="146" t="s">
        <v>142</v>
      </c>
      <c r="EU7" s="145" t="s">
        <v>143</v>
      </c>
      <c r="EV7" s="146" t="s">
        <v>143</v>
      </c>
      <c r="EW7" s="145" t="s">
        <v>144</v>
      </c>
      <c r="EX7" s="146" t="s">
        <v>144</v>
      </c>
      <c r="EY7" s="145" t="s">
        <v>145</v>
      </c>
      <c r="EZ7" s="146" t="s">
        <v>145</v>
      </c>
      <c r="FA7" s="145" t="s">
        <v>146</v>
      </c>
      <c r="FB7" s="146" t="s">
        <v>146</v>
      </c>
      <c r="FC7" s="145" t="s">
        <v>142</v>
      </c>
      <c r="FD7" s="146" t="s">
        <v>142</v>
      </c>
      <c r="FE7" s="145" t="s">
        <v>142</v>
      </c>
      <c r="FF7" s="146" t="s">
        <v>142</v>
      </c>
      <c r="FG7" s="145" t="s">
        <v>147</v>
      </c>
      <c r="FH7" s="146" t="s">
        <v>147</v>
      </c>
      <c r="FI7" s="145" t="s">
        <v>124</v>
      </c>
      <c r="FJ7" s="249" t="s">
        <v>124</v>
      </c>
      <c r="FK7" s="155" t="s">
        <v>129</v>
      </c>
      <c r="FL7" s="84" t="s">
        <v>129</v>
      </c>
      <c r="FM7" s="155" t="s">
        <v>295</v>
      </c>
      <c r="FN7" s="84" t="s">
        <v>295</v>
      </c>
      <c r="FP7" s="225" t="s">
        <v>71</v>
      </c>
      <c r="FQ7" s="154" t="s">
        <v>139</v>
      </c>
      <c r="FR7" s="224" t="s">
        <v>71</v>
      </c>
      <c r="FS7" s="59" t="s">
        <v>139</v>
      </c>
      <c r="FT7" s="225" t="s">
        <v>71</v>
      </c>
      <c r="FU7" s="154" t="s">
        <v>139</v>
      </c>
      <c r="FV7" s="224" t="s">
        <v>71</v>
      </c>
      <c r="FW7" s="59" t="s">
        <v>139</v>
      </c>
      <c r="FX7" s="225" t="s">
        <v>71</v>
      </c>
      <c r="FY7" s="154" t="s">
        <v>139</v>
      </c>
      <c r="FZ7" s="224" t="s">
        <v>71</v>
      </c>
      <c r="GA7" s="59" t="s">
        <v>139</v>
      </c>
      <c r="GB7" s="225" t="s">
        <v>71</v>
      </c>
      <c r="GC7" s="154" t="s">
        <v>139</v>
      </c>
      <c r="GD7" s="224" t="s">
        <v>71</v>
      </c>
      <c r="GE7" s="59" t="s">
        <v>139</v>
      </c>
      <c r="GF7" s="225" t="s">
        <v>71</v>
      </c>
      <c r="GG7" s="154" t="s">
        <v>139</v>
      </c>
      <c r="GH7" s="224" t="s">
        <v>71</v>
      </c>
      <c r="GI7" s="59" t="s">
        <v>139</v>
      </c>
      <c r="GJ7" s="225" t="s">
        <v>71</v>
      </c>
      <c r="GK7" s="154" t="s">
        <v>139</v>
      </c>
      <c r="GL7" s="224" t="s">
        <v>71</v>
      </c>
      <c r="GM7" s="59" t="s">
        <v>139</v>
      </c>
      <c r="GN7" s="225" t="s">
        <v>71</v>
      </c>
      <c r="GO7" s="154" t="s">
        <v>139</v>
      </c>
      <c r="GP7" s="224" t="s">
        <v>71</v>
      </c>
      <c r="GQ7" s="59" t="s">
        <v>139</v>
      </c>
      <c r="GR7" s="225" t="s">
        <v>71</v>
      </c>
      <c r="GS7" s="154" t="s">
        <v>139</v>
      </c>
      <c r="GT7" s="224" t="s">
        <v>71</v>
      </c>
      <c r="GU7" s="59" t="s">
        <v>139</v>
      </c>
      <c r="GV7" s="225" t="s">
        <v>71</v>
      </c>
      <c r="GW7" s="154" t="s">
        <v>139</v>
      </c>
      <c r="GX7" s="224" t="s">
        <v>71</v>
      </c>
      <c r="GY7" s="59" t="s">
        <v>139</v>
      </c>
      <c r="GZ7" s="225" t="s">
        <v>71</v>
      </c>
      <c r="HA7" s="154" t="s">
        <v>139</v>
      </c>
      <c r="HB7" s="224" t="s">
        <v>71</v>
      </c>
      <c r="HC7" s="59" t="s">
        <v>139</v>
      </c>
    </row>
    <row r="8" spans="1:211" s="85" customFormat="1" ht="64.5" customHeight="1">
      <c r="A8" s="430"/>
      <c r="B8" s="431"/>
      <c r="C8" s="430"/>
      <c r="D8" s="430"/>
      <c r="E8" s="432" t="s">
        <v>1175</v>
      </c>
      <c r="F8" s="433"/>
      <c r="G8" s="434" t="s">
        <v>1176</v>
      </c>
      <c r="H8" s="433"/>
      <c r="I8" s="434" t="s">
        <v>1177</v>
      </c>
      <c r="J8" s="433"/>
      <c r="K8" s="435"/>
      <c r="L8" s="436"/>
      <c r="M8" s="434" t="s">
        <v>1178</v>
      </c>
      <c r="N8" s="566"/>
      <c r="O8" s="566"/>
      <c r="P8" s="566"/>
      <c r="Q8" s="567"/>
      <c r="R8" s="433" t="s">
        <v>1178</v>
      </c>
      <c r="S8" s="755"/>
      <c r="T8" s="755"/>
      <c r="U8" s="755"/>
      <c r="V8" s="568"/>
      <c r="W8" s="447"/>
      <c r="X8" s="569" t="s">
        <v>1238</v>
      </c>
      <c r="Y8" s="439"/>
      <c r="Z8" s="440"/>
      <c r="AA8" s="441"/>
      <c r="AB8" s="442"/>
      <c r="AC8" s="439"/>
      <c r="AD8" s="443"/>
      <c r="AE8" s="441"/>
      <c r="AF8" s="442"/>
      <c r="AG8" s="439"/>
      <c r="AH8" s="443"/>
      <c r="AI8" s="441"/>
      <c r="AJ8" s="442"/>
      <c r="AK8" s="439"/>
      <c r="AL8" s="443"/>
      <c r="AM8" s="441"/>
      <c r="AN8" s="442"/>
      <c r="AO8" s="439"/>
      <c r="AP8" s="443"/>
      <c r="AQ8" s="437"/>
      <c r="AR8" s="437"/>
      <c r="AS8" s="438"/>
      <c r="AT8" s="438"/>
      <c r="AU8" s="434" t="s">
        <v>1179</v>
      </c>
      <c r="AV8" s="433"/>
      <c r="AW8" s="447"/>
      <c r="AX8" s="570" t="s">
        <v>1240</v>
      </c>
      <c r="AY8" s="445"/>
      <c r="AZ8" s="446"/>
      <c r="BA8" s="447"/>
      <c r="BB8" s="448"/>
      <c r="BC8" s="445"/>
      <c r="BD8" s="449"/>
      <c r="BE8" s="447"/>
      <c r="BF8" s="448"/>
      <c r="BG8" s="445"/>
      <c r="BH8" s="449"/>
      <c r="BI8" s="447"/>
      <c r="BJ8" s="448"/>
      <c r="BK8" s="445"/>
      <c r="BL8" s="449"/>
      <c r="BM8" s="447"/>
      <c r="BN8" s="448"/>
      <c r="BO8" s="445"/>
      <c r="BP8" s="449"/>
      <c r="BQ8" s="447"/>
      <c r="BR8" s="448"/>
      <c r="BS8" s="445"/>
      <c r="BT8" s="449"/>
      <c r="BU8" s="447"/>
      <c r="BV8" s="448"/>
      <c r="BW8" s="445"/>
      <c r="BX8" s="449"/>
      <c r="BY8" s="447"/>
      <c r="BZ8" s="448"/>
      <c r="CA8" s="445"/>
      <c r="CB8" s="449"/>
      <c r="CC8" s="447"/>
      <c r="CD8" s="448"/>
      <c r="CE8" s="445"/>
      <c r="CF8" s="449"/>
      <c r="CG8" s="447"/>
      <c r="CH8" s="448"/>
      <c r="CI8" s="445"/>
      <c r="CJ8" s="449"/>
      <c r="CK8" s="434"/>
      <c r="CL8" s="433"/>
      <c r="CM8" s="434" t="s">
        <v>1241</v>
      </c>
      <c r="CN8" s="433"/>
      <c r="CO8" s="450"/>
      <c r="CP8" s="451"/>
      <c r="CQ8" s="438"/>
      <c r="CR8" s="452"/>
      <c r="CS8" s="447"/>
      <c r="CT8" s="570" t="s">
        <v>1180</v>
      </c>
      <c r="CU8" s="445"/>
      <c r="CV8" s="453"/>
      <c r="CW8" s="447"/>
      <c r="CX8" s="448"/>
      <c r="CY8" s="445"/>
      <c r="CZ8" s="449"/>
      <c r="DA8" s="447"/>
      <c r="DB8" s="448"/>
      <c r="DC8" s="445"/>
      <c r="DD8" s="449"/>
      <c r="DE8" s="447"/>
      <c r="DF8" s="448"/>
      <c r="DG8" s="445"/>
      <c r="DH8" s="449"/>
      <c r="DI8" s="447"/>
      <c r="DJ8" s="448"/>
      <c r="DK8" s="445"/>
      <c r="DL8" s="449"/>
      <c r="DM8" s="447"/>
      <c r="DN8" s="448"/>
      <c r="DO8" s="445"/>
      <c r="DP8" s="449"/>
      <c r="DQ8" s="447"/>
      <c r="DR8" s="448"/>
      <c r="DS8" s="445"/>
      <c r="DT8" s="449"/>
      <c r="DU8" s="447"/>
      <c r="DV8" s="448"/>
      <c r="DW8" s="445"/>
      <c r="DX8" s="449"/>
      <c r="DY8" s="447"/>
      <c r="DZ8" s="448"/>
      <c r="EA8" s="445"/>
      <c r="EB8" s="449"/>
      <c r="EC8" s="447"/>
      <c r="ED8" s="448"/>
      <c r="EE8" s="445"/>
      <c r="EF8" s="449"/>
      <c r="EG8" s="434" t="s">
        <v>1181</v>
      </c>
      <c r="EH8" s="433"/>
      <c r="EI8" s="437"/>
      <c r="EJ8" s="454"/>
      <c r="EK8" s="454"/>
      <c r="EL8" s="438"/>
      <c r="EM8" s="452"/>
      <c r="EN8" s="452"/>
      <c r="EO8" s="455"/>
      <c r="EP8" s="452"/>
      <c r="EQ8" s="739" t="s">
        <v>1182</v>
      </c>
      <c r="ER8" s="433"/>
      <c r="ES8" s="456"/>
      <c r="ET8" s="433"/>
      <c r="EU8" s="456"/>
      <c r="EV8" s="433"/>
      <c r="EW8" s="456"/>
      <c r="EX8" s="433"/>
      <c r="EY8" s="456"/>
      <c r="EZ8" s="433"/>
      <c r="FA8" s="456"/>
      <c r="FB8" s="433"/>
      <c r="FC8" s="456"/>
      <c r="FD8" s="433"/>
      <c r="FE8" s="456"/>
      <c r="FF8" s="433"/>
      <c r="FG8" s="456"/>
      <c r="FH8" s="433"/>
      <c r="FI8" s="457" t="s">
        <v>1242</v>
      </c>
      <c r="FJ8" s="433"/>
      <c r="FK8" s="450"/>
      <c r="FL8" s="452"/>
      <c r="FM8" s="450"/>
      <c r="FN8" s="452"/>
      <c r="FO8" s="458"/>
      <c r="FP8" s="743" t="s">
        <v>1183</v>
      </c>
      <c r="FQ8" s="444"/>
      <c r="FR8" s="445"/>
      <c r="FS8" s="453"/>
      <c r="FT8" s="447"/>
      <c r="FU8" s="448"/>
      <c r="FV8" s="445"/>
      <c r="FW8" s="449"/>
      <c r="FX8" s="447"/>
      <c r="FY8" s="448"/>
      <c r="FZ8" s="445"/>
      <c r="GA8" s="449"/>
      <c r="GB8" s="447"/>
      <c r="GC8" s="448"/>
      <c r="GD8" s="445"/>
      <c r="GE8" s="449"/>
      <c r="GF8" s="447"/>
      <c r="GG8" s="448"/>
      <c r="GH8" s="445"/>
      <c r="GI8" s="449"/>
      <c r="GJ8" s="447"/>
      <c r="GK8" s="448"/>
      <c r="GL8" s="445"/>
      <c r="GM8" s="449"/>
      <c r="GN8" s="447"/>
      <c r="GO8" s="448"/>
      <c r="GP8" s="445"/>
      <c r="GQ8" s="449"/>
      <c r="GR8" s="447"/>
      <c r="GS8" s="448"/>
      <c r="GT8" s="445"/>
      <c r="GU8" s="449"/>
      <c r="GV8" s="447"/>
      <c r="GW8" s="448"/>
      <c r="GX8" s="445"/>
      <c r="GY8" s="449"/>
      <c r="GZ8" s="447"/>
      <c r="HA8" s="448"/>
      <c r="HB8" s="445"/>
      <c r="HC8" s="449"/>
    </row>
    <row r="9" spans="1:211" s="86" customFormat="1" ht="25.5" customHeight="1">
      <c r="A9" s="273" t="s">
        <v>342</v>
      </c>
      <c r="B9" s="274" t="s">
        <v>130</v>
      </c>
      <c r="C9" s="273" t="s">
        <v>149</v>
      </c>
      <c r="D9" s="273" t="s">
        <v>341</v>
      </c>
      <c r="E9" s="104" t="s">
        <v>150</v>
      </c>
      <c r="F9" s="104" t="s">
        <v>151</v>
      </c>
      <c r="G9" s="104" t="s">
        <v>152</v>
      </c>
      <c r="H9" s="104" t="s">
        <v>153</v>
      </c>
      <c r="I9" s="104" t="s">
        <v>154</v>
      </c>
      <c r="J9" s="104" t="s">
        <v>156</v>
      </c>
      <c r="K9" s="104" t="s">
        <v>155</v>
      </c>
      <c r="L9" s="104" t="s">
        <v>157</v>
      </c>
      <c r="M9" s="101" t="s">
        <v>160</v>
      </c>
      <c r="N9" s="104" t="s">
        <v>704</v>
      </c>
      <c r="O9" s="104" t="s">
        <v>712</v>
      </c>
      <c r="P9" s="104" t="s">
        <v>703</v>
      </c>
      <c r="Q9" s="104" t="s">
        <v>705</v>
      </c>
      <c r="R9" s="101" t="s">
        <v>161</v>
      </c>
      <c r="S9" s="104" t="s">
        <v>706</v>
      </c>
      <c r="T9" s="104" t="s">
        <v>707</v>
      </c>
      <c r="U9" s="104" t="s">
        <v>708</v>
      </c>
      <c r="V9" s="104" t="s">
        <v>709</v>
      </c>
      <c r="W9" s="227" t="s">
        <v>76</v>
      </c>
      <c r="X9" s="102" t="s">
        <v>77</v>
      </c>
      <c r="Y9" s="226" t="s">
        <v>78</v>
      </c>
      <c r="Z9" s="102" t="s">
        <v>79</v>
      </c>
      <c r="AA9" s="226" t="s">
        <v>80</v>
      </c>
      <c r="AB9" s="102" t="s">
        <v>81</v>
      </c>
      <c r="AC9" s="226" t="s">
        <v>82</v>
      </c>
      <c r="AD9" s="102" t="s">
        <v>83</v>
      </c>
      <c r="AE9" s="226" t="s">
        <v>84</v>
      </c>
      <c r="AF9" s="102" t="s">
        <v>85</v>
      </c>
      <c r="AG9" s="226" t="s">
        <v>86</v>
      </c>
      <c r="AH9" s="102" t="s">
        <v>87</v>
      </c>
      <c r="AI9" s="226" t="s">
        <v>88</v>
      </c>
      <c r="AJ9" s="102" t="s">
        <v>89</v>
      </c>
      <c r="AK9" s="226" t="s">
        <v>90</v>
      </c>
      <c r="AL9" s="102" t="s">
        <v>91</v>
      </c>
      <c r="AM9" s="226" t="s">
        <v>92</v>
      </c>
      <c r="AN9" s="102" t="s">
        <v>93</v>
      </c>
      <c r="AO9" s="226" t="s">
        <v>94</v>
      </c>
      <c r="AP9" s="102" t="s">
        <v>95</v>
      </c>
      <c r="AQ9" s="104" t="s">
        <v>711</v>
      </c>
      <c r="AR9" s="104" t="s">
        <v>691</v>
      </c>
      <c r="AS9" s="104" t="s">
        <v>710</v>
      </c>
      <c r="AT9" s="104" t="s">
        <v>692</v>
      </c>
      <c r="AU9" s="104" t="s">
        <v>162</v>
      </c>
      <c r="AV9" s="104" t="s">
        <v>163</v>
      </c>
      <c r="AW9" s="227" t="s">
        <v>164</v>
      </c>
      <c r="AX9" s="100" t="s">
        <v>165</v>
      </c>
      <c r="AY9" s="227" t="s">
        <v>166</v>
      </c>
      <c r="AZ9" s="100" t="s">
        <v>167</v>
      </c>
      <c r="BA9" s="227" t="s">
        <v>168</v>
      </c>
      <c r="BB9" s="100" t="s">
        <v>169</v>
      </c>
      <c r="BC9" s="227" t="s">
        <v>170</v>
      </c>
      <c r="BD9" s="100" t="s">
        <v>171</v>
      </c>
      <c r="BE9" s="227" t="s">
        <v>172</v>
      </c>
      <c r="BF9" s="100" t="s">
        <v>173</v>
      </c>
      <c r="BG9" s="227" t="s">
        <v>174</v>
      </c>
      <c r="BH9" s="100" t="s">
        <v>175</v>
      </c>
      <c r="BI9" s="227" t="s">
        <v>176</v>
      </c>
      <c r="BJ9" s="100" t="s">
        <v>177</v>
      </c>
      <c r="BK9" s="227" t="s">
        <v>178</v>
      </c>
      <c r="BL9" s="100" t="s">
        <v>179</v>
      </c>
      <c r="BM9" s="227" t="s">
        <v>180</v>
      </c>
      <c r="BN9" s="100" t="s">
        <v>181</v>
      </c>
      <c r="BO9" s="227" t="s">
        <v>182</v>
      </c>
      <c r="BP9" s="100" t="s">
        <v>183</v>
      </c>
      <c r="BQ9" s="227" t="s">
        <v>184</v>
      </c>
      <c r="BR9" s="100" t="s">
        <v>185</v>
      </c>
      <c r="BS9" s="227" t="s">
        <v>186</v>
      </c>
      <c r="BT9" s="100" t="s">
        <v>187</v>
      </c>
      <c r="BU9" s="227" t="s">
        <v>188</v>
      </c>
      <c r="BV9" s="100" t="s">
        <v>189</v>
      </c>
      <c r="BW9" s="227" t="s">
        <v>190</v>
      </c>
      <c r="BX9" s="100" t="s">
        <v>191</v>
      </c>
      <c r="BY9" s="227" t="s">
        <v>192</v>
      </c>
      <c r="BZ9" s="100" t="s">
        <v>193</v>
      </c>
      <c r="CA9" s="227" t="s">
        <v>194</v>
      </c>
      <c r="CB9" s="100" t="s">
        <v>195</v>
      </c>
      <c r="CC9" s="227" t="s">
        <v>196</v>
      </c>
      <c r="CD9" s="100" t="s">
        <v>197</v>
      </c>
      <c r="CE9" s="227" t="s">
        <v>198</v>
      </c>
      <c r="CF9" s="100" t="s">
        <v>199</v>
      </c>
      <c r="CG9" s="227" t="s">
        <v>200</v>
      </c>
      <c r="CH9" s="100" t="s">
        <v>201</v>
      </c>
      <c r="CI9" s="227" t="s">
        <v>202</v>
      </c>
      <c r="CJ9" s="100" t="s">
        <v>203</v>
      </c>
      <c r="CK9" s="100" t="s">
        <v>1246</v>
      </c>
      <c r="CL9" s="100" t="s">
        <v>1247</v>
      </c>
      <c r="CM9" s="104" t="s">
        <v>204</v>
      </c>
      <c r="CN9" s="104" t="s">
        <v>205</v>
      </c>
      <c r="CO9" s="104" t="s">
        <v>206</v>
      </c>
      <c r="CP9" s="100" t="s">
        <v>207</v>
      </c>
      <c r="CQ9" s="104" t="s">
        <v>208</v>
      </c>
      <c r="CR9" s="100" t="s">
        <v>209</v>
      </c>
      <c r="CS9" s="227" t="s">
        <v>210</v>
      </c>
      <c r="CT9" s="100" t="s">
        <v>211</v>
      </c>
      <c r="CU9" s="227" t="s">
        <v>212</v>
      </c>
      <c r="CV9" s="100" t="s">
        <v>213</v>
      </c>
      <c r="CW9" s="227" t="s">
        <v>214</v>
      </c>
      <c r="CX9" s="100" t="s">
        <v>215</v>
      </c>
      <c r="CY9" s="227" t="s">
        <v>216</v>
      </c>
      <c r="CZ9" s="100" t="s">
        <v>217</v>
      </c>
      <c r="DA9" s="227" t="s">
        <v>218</v>
      </c>
      <c r="DB9" s="100" t="s">
        <v>219</v>
      </c>
      <c r="DC9" s="227" t="s">
        <v>220</v>
      </c>
      <c r="DD9" s="100" t="s">
        <v>221</v>
      </c>
      <c r="DE9" s="227" t="s">
        <v>222</v>
      </c>
      <c r="DF9" s="100" t="s">
        <v>223</v>
      </c>
      <c r="DG9" s="227" t="s">
        <v>224</v>
      </c>
      <c r="DH9" s="100" t="s">
        <v>225</v>
      </c>
      <c r="DI9" s="227" t="s">
        <v>226</v>
      </c>
      <c r="DJ9" s="100" t="s">
        <v>227</v>
      </c>
      <c r="DK9" s="227" t="s">
        <v>228</v>
      </c>
      <c r="DL9" s="100" t="s">
        <v>229</v>
      </c>
      <c r="DM9" s="227" t="s">
        <v>230</v>
      </c>
      <c r="DN9" s="100" t="s">
        <v>231</v>
      </c>
      <c r="DO9" s="227" t="s">
        <v>232</v>
      </c>
      <c r="DP9" s="100" t="s">
        <v>233</v>
      </c>
      <c r="DQ9" s="227" t="s">
        <v>234</v>
      </c>
      <c r="DR9" s="100" t="s">
        <v>235</v>
      </c>
      <c r="DS9" s="227" t="s">
        <v>236</v>
      </c>
      <c r="DT9" s="100" t="s">
        <v>237</v>
      </c>
      <c r="DU9" s="227" t="s">
        <v>238</v>
      </c>
      <c r="DV9" s="100" t="s">
        <v>239</v>
      </c>
      <c r="DW9" s="227" t="s">
        <v>240</v>
      </c>
      <c r="DX9" s="100" t="s">
        <v>241</v>
      </c>
      <c r="DY9" s="227" t="s">
        <v>242</v>
      </c>
      <c r="DZ9" s="100" t="s">
        <v>243</v>
      </c>
      <c r="EA9" s="227" t="s">
        <v>244</v>
      </c>
      <c r="EB9" s="100" t="s">
        <v>245</v>
      </c>
      <c r="EC9" s="227" t="s">
        <v>246</v>
      </c>
      <c r="ED9" s="100" t="s">
        <v>247</v>
      </c>
      <c r="EE9" s="227" t="s">
        <v>248</v>
      </c>
      <c r="EF9" s="100" t="s">
        <v>249</v>
      </c>
      <c r="EG9" s="104" t="s">
        <v>250</v>
      </c>
      <c r="EH9" s="104" t="s">
        <v>251</v>
      </c>
      <c r="EI9" s="104" t="s">
        <v>252</v>
      </c>
      <c r="EJ9" s="100" t="s">
        <v>253</v>
      </c>
      <c r="EK9" s="100" t="s">
        <v>254</v>
      </c>
      <c r="EL9" s="104" t="s">
        <v>255</v>
      </c>
      <c r="EM9" s="100" t="s">
        <v>256</v>
      </c>
      <c r="EN9" s="100" t="s">
        <v>257</v>
      </c>
      <c r="EO9" s="101" t="s">
        <v>258</v>
      </c>
      <c r="EP9" s="104" t="s">
        <v>259</v>
      </c>
      <c r="EQ9" s="104" t="s">
        <v>260</v>
      </c>
      <c r="ER9" s="104" t="s">
        <v>261</v>
      </c>
      <c r="ES9" s="104" t="s">
        <v>262</v>
      </c>
      <c r="ET9" s="104" t="s">
        <v>263</v>
      </c>
      <c r="EU9" s="104" t="s">
        <v>264</v>
      </c>
      <c r="EV9" s="104" t="s">
        <v>265</v>
      </c>
      <c r="EW9" s="104" t="s">
        <v>266</v>
      </c>
      <c r="EX9" s="104" t="s">
        <v>267</v>
      </c>
      <c r="EY9" s="104" t="s">
        <v>268</v>
      </c>
      <c r="EZ9" s="104" t="s">
        <v>269</v>
      </c>
      <c r="FA9" s="104" t="s">
        <v>270</v>
      </c>
      <c r="FB9" s="104" t="s">
        <v>271</v>
      </c>
      <c r="FC9" s="104" t="s">
        <v>272</v>
      </c>
      <c r="FD9" s="104" t="s">
        <v>273</v>
      </c>
      <c r="FE9" s="104" t="s">
        <v>274</v>
      </c>
      <c r="FF9" s="104" t="s">
        <v>275</v>
      </c>
      <c r="FG9" s="104" t="s">
        <v>276</v>
      </c>
      <c r="FH9" s="104" t="s">
        <v>277</v>
      </c>
      <c r="FI9" s="104" t="s">
        <v>1236</v>
      </c>
      <c r="FJ9" s="104" t="s">
        <v>1237</v>
      </c>
      <c r="FK9" s="104" t="s">
        <v>158</v>
      </c>
      <c r="FL9" s="100" t="s">
        <v>159</v>
      </c>
      <c r="FM9" s="104" t="s">
        <v>694</v>
      </c>
      <c r="FN9" s="100" t="s">
        <v>695</v>
      </c>
      <c r="FP9" s="227" t="s">
        <v>1184</v>
      </c>
      <c r="FQ9" s="100" t="s">
        <v>1185</v>
      </c>
      <c r="FR9" s="459" t="s">
        <v>1186</v>
      </c>
      <c r="FS9" s="100" t="s">
        <v>1187</v>
      </c>
      <c r="FT9" s="459" t="s">
        <v>1188</v>
      </c>
      <c r="FU9" s="100" t="s">
        <v>1189</v>
      </c>
      <c r="FV9" s="459" t="s">
        <v>1190</v>
      </c>
      <c r="FW9" s="100" t="s">
        <v>1191</v>
      </c>
      <c r="FX9" s="459" t="s">
        <v>1192</v>
      </c>
      <c r="FY9" s="100" t="s">
        <v>1193</v>
      </c>
      <c r="FZ9" s="459" t="s">
        <v>1194</v>
      </c>
      <c r="GA9" s="100" t="s">
        <v>1195</v>
      </c>
      <c r="GB9" s="459" t="s">
        <v>1196</v>
      </c>
      <c r="GC9" s="100" t="s">
        <v>1197</v>
      </c>
      <c r="GD9" s="459" t="s">
        <v>1198</v>
      </c>
      <c r="GE9" s="100" t="s">
        <v>1199</v>
      </c>
      <c r="GF9" s="459" t="s">
        <v>1200</v>
      </c>
      <c r="GG9" s="100" t="s">
        <v>1201</v>
      </c>
      <c r="GH9" s="459" t="s">
        <v>1202</v>
      </c>
      <c r="GI9" s="100" t="s">
        <v>1203</v>
      </c>
      <c r="GJ9" s="459" t="s">
        <v>1204</v>
      </c>
      <c r="GK9" s="100" t="s">
        <v>1205</v>
      </c>
      <c r="GL9" s="459" t="s">
        <v>1206</v>
      </c>
      <c r="GM9" s="100" t="s">
        <v>1207</v>
      </c>
      <c r="GN9" s="459" t="s">
        <v>1208</v>
      </c>
      <c r="GO9" s="100" t="s">
        <v>1209</v>
      </c>
      <c r="GP9" s="459" t="s">
        <v>1210</v>
      </c>
      <c r="GQ9" s="100" t="s">
        <v>1211</v>
      </c>
      <c r="GR9" s="459" t="s">
        <v>1212</v>
      </c>
      <c r="GS9" s="100" t="s">
        <v>1213</v>
      </c>
      <c r="GT9" s="459" t="s">
        <v>1214</v>
      </c>
      <c r="GU9" s="100" t="s">
        <v>1215</v>
      </c>
      <c r="GV9" s="459" t="s">
        <v>1216</v>
      </c>
      <c r="GW9" s="100" t="s">
        <v>1217</v>
      </c>
      <c r="GX9" s="459" t="s">
        <v>1218</v>
      </c>
      <c r="GY9" s="100" t="s">
        <v>1219</v>
      </c>
      <c r="GZ9" s="459" t="s">
        <v>1220</v>
      </c>
      <c r="HA9" s="100" t="s">
        <v>1221</v>
      </c>
      <c r="HB9" s="459" t="s">
        <v>1222</v>
      </c>
      <c r="HC9" s="100" t="s">
        <v>1223</v>
      </c>
    </row>
    <row r="10" spans="1:211" s="85" customFormat="1">
      <c r="A10" s="275" t="s">
        <v>30</v>
      </c>
      <c r="B10" s="276" t="s">
        <v>459</v>
      </c>
      <c r="C10" s="275">
        <v>100858</v>
      </c>
      <c r="D10" s="340">
        <v>1</v>
      </c>
      <c r="E10" s="460"/>
      <c r="F10" s="663"/>
      <c r="G10" s="158"/>
      <c r="H10" s="663"/>
      <c r="I10" s="158"/>
      <c r="J10" s="663"/>
      <c r="K10" s="160">
        <f t="shared" ref="K10" si="0">IF(M10&gt;0,I10/M10, )</f>
        <v>0</v>
      </c>
      <c r="L10" s="161">
        <f t="shared" ref="L10:L73" si="1">IF(R10&gt;0,J10/R10, )</f>
        <v>0</v>
      </c>
      <c r="M10" s="54">
        <v>3763</v>
      </c>
      <c r="N10" s="55">
        <v>339</v>
      </c>
      <c r="O10" s="55"/>
      <c r="P10" s="55"/>
      <c r="Q10" s="162">
        <f t="shared" ref="Q10" si="2">SUM(N10:P10)</f>
        <v>339</v>
      </c>
      <c r="R10" s="461">
        <v>3942</v>
      </c>
      <c r="S10" s="462">
        <v>385</v>
      </c>
      <c r="T10" s="462"/>
      <c r="U10" s="462">
        <v>1</v>
      </c>
      <c r="V10" s="97">
        <f t="shared" ref="V10" si="3">SUM(S10:U10)</f>
        <v>386</v>
      </c>
      <c r="W10" s="279"/>
      <c r="X10" s="52"/>
      <c r="Y10" s="99"/>
      <c r="Z10" s="53"/>
      <c r="AA10" s="228"/>
      <c r="AB10" s="52"/>
      <c r="AC10" s="99"/>
      <c r="AD10" s="53"/>
      <c r="AE10" s="228"/>
      <c r="AF10" s="52"/>
      <c r="AG10" s="99"/>
      <c r="AH10" s="53"/>
      <c r="AI10" s="228"/>
      <c r="AJ10" s="52"/>
      <c r="AK10" s="99"/>
      <c r="AL10" s="53"/>
      <c r="AM10" s="228"/>
      <c r="AN10" s="52"/>
      <c r="AO10" s="99"/>
      <c r="AP10" s="53"/>
      <c r="AQ10" s="50">
        <f t="shared" ref="AQ10:AQ73" si="4">COUNTA(W10,AA10,AE10,AI10,AM10)</f>
        <v>0</v>
      </c>
      <c r="AR10" s="163">
        <f t="shared" ref="AR10:AR73" si="5">IF(FM10&gt;0,M10/FM10,)</f>
        <v>0.74647887323943662</v>
      </c>
      <c r="AS10" s="97">
        <f t="shared" ref="AS10:AS73" si="6">COUNTA(Y10,AC10,AG10,AK10,AO10)</f>
        <v>0</v>
      </c>
      <c r="AT10" s="278">
        <f t="shared" ref="AT10:AT73" si="7">IF(FN10&gt;0,R10/FN10,)</f>
        <v>0.75057121096725055</v>
      </c>
      <c r="AU10" s="55"/>
      <c r="AV10" s="663"/>
      <c r="AW10" s="279">
        <v>13</v>
      </c>
      <c r="AX10" s="52">
        <v>214</v>
      </c>
      <c r="AY10" s="105">
        <v>52</v>
      </c>
      <c r="AZ10" s="98">
        <v>235</v>
      </c>
      <c r="BA10" s="279">
        <v>52</v>
      </c>
      <c r="BB10" s="52">
        <v>200</v>
      </c>
      <c r="BC10" s="105">
        <v>13</v>
      </c>
      <c r="BD10" s="98">
        <v>215</v>
      </c>
      <c r="BE10" s="279">
        <v>14</v>
      </c>
      <c r="BF10" s="52">
        <v>148</v>
      </c>
      <c r="BG10" s="105">
        <v>14</v>
      </c>
      <c r="BH10" s="98">
        <v>142</v>
      </c>
      <c r="BI10" s="279">
        <v>1</v>
      </c>
      <c r="BJ10" s="52">
        <v>50</v>
      </c>
      <c r="BK10" s="105">
        <v>1</v>
      </c>
      <c r="BL10" s="98">
        <v>48</v>
      </c>
      <c r="BM10" s="279">
        <v>4</v>
      </c>
      <c r="BN10" s="52">
        <v>35</v>
      </c>
      <c r="BO10" s="105">
        <v>23</v>
      </c>
      <c r="BP10" s="98">
        <v>37</v>
      </c>
      <c r="BQ10" s="279">
        <v>42</v>
      </c>
      <c r="BR10" s="52">
        <v>27</v>
      </c>
      <c r="BS10" s="105">
        <v>51</v>
      </c>
      <c r="BT10" s="98">
        <v>34</v>
      </c>
      <c r="BU10" s="279">
        <v>51</v>
      </c>
      <c r="BV10" s="52">
        <v>26</v>
      </c>
      <c r="BW10" s="105">
        <v>19</v>
      </c>
      <c r="BX10" s="98">
        <v>23</v>
      </c>
      <c r="BY10" s="279">
        <v>23</v>
      </c>
      <c r="BZ10" s="52">
        <v>25</v>
      </c>
      <c r="CA10" s="463">
        <v>26</v>
      </c>
      <c r="CB10" s="464">
        <v>22</v>
      </c>
      <c r="CC10" s="279">
        <v>44</v>
      </c>
      <c r="CD10" s="52">
        <v>20</v>
      </c>
      <c r="CE10" s="105">
        <v>42</v>
      </c>
      <c r="CF10" s="98">
        <v>20</v>
      </c>
      <c r="CG10" s="279">
        <v>26</v>
      </c>
      <c r="CH10" s="52">
        <v>19</v>
      </c>
      <c r="CI10" s="105">
        <v>27</v>
      </c>
      <c r="CJ10" s="98">
        <v>16</v>
      </c>
      <c r="CK10" s="281"/>
      <c r="CL10" s="461"/>
      <c r="CM10" s="159">
        <v>94</v>
      </c>
      <c r="CN10" s="462">
        <v>81</v>
      </c>
      <c r="CO10" s="50">
        <f t="shared" ref="CO10" si="8">AX10+BB10+BF10+BJ10+BN10+BR10+BV10+BZ10+CD10+CH10+CK10+CM10</f>
        <v>858</v>
      </c>
      <c r="CP10" s="103">
        <f t="shared" ref="CP10" si="9">COUNTA(AW10,BA10,BE10,BI10,BM10,BQ10,BU10,BY10,CC10,CG10)</f>
        <v>10</v>
      </c>
      <c r="CQ10" s="465">
        <f t="shared" ref="CQ10" si="10">AZ10+BD10+BH10+BL10+BP10+BT10+BX10+CF10+CB10+CJ10+CL10+CN10</f>
        <v>873</v>
      </c>
      <c r="CR10" s="466">
        <f t="shared" ref="CR10" si="11">COUNTA(AY10,BC10,BG10,BK10,BO10,BS10,BW10,CE10,CA10,CI10)</f>
        <v>10</v>
      </c>
      <c r="CS10" s="279">
        <v>14</v>
      </c>
      <c r="CT10" s="52">
        <v>48</v>
      </c>
      <c r="CU10" s="105">
        <v>14</v>
      </c>
      <c r="CV10" s="98">
        <v>51</v>
      </c>
      <c r="CW10" s="279">
        <v>13</v>
      </c>
      <c r="CX10" s="52">
        <v>44</v>
      </c>
      <c r="CY10" s="105">
        <v>13</v>
      </c>
      <c r="CZ10" s="98">
        <v>39</v>
      </c>
      <c r="DA10" s="279">
        <v>51</v>
      </c>
      <c r="DB10" s="52">
        <v>19</v>
      </c>
      <c r="DC10" s="105">
        <v>42</v>
      </c>
      <c r="DD10" s="98">
        <v>22</v>
      </c>
      <c r="DE10" s="279">
        <v>42</v>
      </c>
      <c r="DF10" s="52">
        <v>17</v>
      </c>
      <c r="DG10" s="105">
        <v>51</v>
      </c>
      <c r="DH10" s="98">
        <v>20</v>
      </c>
      <c r="DI10" s="279">
        <v>1</v>
      </c>
      <c r="DJ10" s="52">
        <v>15</v>
      </c>
      <c r="DK10" s="105">
        <v>1</v>
      </c>
      <c r="DL10" s="98">
        <v>17</v>
      </c>
      <c r="DM10" s="279">
        <v>52</v>
      </c>
      <c r="DN10" s="52">
        <v>15</v>
      </c>
      <c r="DO10" s="105">
        <v>40</v>
      </c>
      <c r="DP10" s="98">
        <v>17</v>
      </c>
      <c r="DQ10" s="279">
        <v>40</v>
      </c>
      <c r="DR10" s="52">
        <v>8</v>
      </c>
      <c r="DS10" s="105">
        <v>26</v>
      </c>
      <c r="DT10" s="98">
        <v>11</v>
      </c>
      <c r="DU10" s="279">
        <v>26</v>
      </c>
      <c r="DV10" s="52">
        <v>7</v>
      </c>
      <c r="DW10" s="105">
        <v>27</v>
      </c>
      <c r="DX10" s="98">
        <v>10</v>
      </c>
      <c r="DY10" s="279">
        <v>27</v>
      </c>
      <c r="DZ10" s="52">
        <v>7</v>
      </c>
      <c r="EA10" s="105">
        <v>54</v>
      </c>
      <c r="EB10" s="98">
        <v>9</v>
      </c>
      <c r="EC10" s="279">
        <v>44</v>
      </c>
      <c r="ED10" s="52">
        <v>6</v>
      </c>
      <c r="EE10" s="105">
        <v>44</v>
      </c>
      <c r="EF10" s="98">
        <v>6</v>
      </c>
      <c r="EG10" s="159">
        <v>19</v>
      </c>
      <c r="EH10" s="462">
        <v>20</v>
      </c>
      <c r="EI10" s="50">
        <f t="shared" ref="EI10" si="12">CT10+CX10+DB10+DF10+DJ10+DN10+DR10+DV10+DZ10+ED10+EG10</f>
        <v>205</v>
      </c>
      <c r="EJ10" s="103">
        <f t="shared" ref="EJ10" si="13">COUNTA(CS10,CW10,DA10,DE10,DI10,DM10,DQ10,DU10,DY10,EC10)</f>
        <v>10</v>
      </c>
      <c r="EK10" s="164">
        <f t="shared" ref="EK10" si="14">IF(EI10&gt;0,CT10/EI10,)</f>
        <v>0.23414634146341465</v>
      </c>
      <c r="EL10" s="465">
        <f t="shared" ref="EL10" si="15">CV10+CZ10+DD10+DH10+DL10+DP10+DT10+DX10+EB10+EF10+EH10</f>
        <v>222</v>
      </c>
      <c r="EM10" s="466">
        <f t="shared" ref="EM10" si="16">COUNTA(CU10,CY10,DC10,DG10,DK10,DO10,DS10,DW10,EA10,EE10)</f>
        <v>10</v>
      </c>
      <c r="EN10" s="359">
        <f t="shared" ref="EN10" si="17">IF(EL10&gt;0,CV10/EL10,)</f>
        <v>0.22972972972972974</v>
      </c>
      <c r="EO10" s="51">
        <f t="shared" ref="EO10" si="18">CO10+EI10</f>
        <v>1063</v>
      </c>
      <c r="EP10" s="361">
        <f t="shared" ref="EP10" si="19">CQ10+EL10</f>
        <v>1095</v>
      </c>
      <c r="EQ10" s="281"/>
      <c r="ER10" s="462"/>
      <c r="ES10" s="281"/>
      <c r="ET10" s="462"/>
      <c r="EU10" s="281"/>
      <c r="EV10" s="462"/>
      <c r="EW10" s="281">
        <v>126</v>
      </c>
      <c r="EX10" s="462">
        <v>119</v>
      </c>
      <c r="EY10" s="281"/>
      <c r="EZ10" s="462"/>
      <c r="FA10" s="281"/>
      <c r="FB10" s="462"/>
      <c r="FC10" s="281"/>
      <c r="FD10" s="462"/>
      <c r="FE10" s="281">
        <v>89</v>
      </c>
      <c r="FF10" s="462">
        <v>96</v>
      </c>
      <c r="FG10" s="281"/>
      <c r="FH10" s="462"/>
      <c r="FI10" s="281"/>
      <c r="FJ10" s="462"/>
      <c r="FK10" s="50">
        <f t="shared" ref="FK10:FL10" si="20">EQ10+ES10+EU10+EW10+EY10+FA10+FC10+FE10+FG10+FI10</f>
        <v>215</v>
      </c>
      <c r="FL10" s="466">
        <f t="shared" si="20"/>
        <v>215</v>
      </c>
      <c r="FM10" s="50">
        <f t="shared" ref="FM10:FM73" si="21">E10+G10+I10+M10+AU10+EO10+FK10</f>
        <v>5041</v>
      </c>
      <c r="FN10" s="360">
        <f t="shared" ref="FN10:FN73" si="22">F10+H10+J10+R10+AV10+EP10+FL10</f>
        <v>5252</v>
      </c>
      <c r="FO10" s="464"/>
      <c r="FP10" s="279"/>
      <c r="FQ10" s="52"/>
      <c r="FR10" s="98"/>
      <c r="FS10" s="98"/>
      <c r="FT10" s="467"/>
      <c r="FU10" s="52"/>
      <c r="FV10" s="98"/>
      <c r="FW10" s="98"/>
      <c r="FX10" s="467"/>
      <c r="FY10" s="52"/>
      <c r="FZ10" s="98"/>
      <c r="GA10" s="98"/>
      <c r="GB10" s="467"/>
      <c r="GC10" s="52"/>
      <c r="GD10" s="98"/>
      <c r="GE10" s="98"/>
      <c r="GF10" s="467"/>
      <c r="GG10" s="52"/>
      <c r="GH10" s="98"/>
      <c r="GI10" s="98"/>
      <c r="GJ10" s="467"/>
      <c r="GK10" s="52"/>
      <c r="GL10" s="98"/>
      <c r="GM10" s="464"/>
      <c r="GN10" s="467"/>
      <c r="GO10" s="52"/>
      <c r="GP10" s="98"/>
      <c r="GQ10" s="464"/>
      <c r="GR10" s="467"/>
      <c r="GS10" s="52"/>
      <c r="GT10" s="98"/>
      <c r="GU10" s="464"/>
      <c r="GV10" s="467"/>
      <c r="GW10" s="52"/>
      <c r="GX10" s="98"/>
      <c r="GY10" s="464"/>
      <c r="GZ10" s="467"/>
      <c r="HA10" s="52"/>
      <c r="HB10" s="98"/>
      <c r="HC10" s="464"/>
    </row>
    <row r="11" spans="1:211" s="85" customFormat="1">
      <c r="A11" s="275" t="s">
        <v>30</v>
      </c>
      <c r="B11" s="276" t="s">
        <v>460</v>
      </c>
      <c r="C11" s="275">
        <v>100751</v>
      </c>
      <c r="D11" s="340">
        <v>1</v>
      </c>
      <c r="E11" s="460"/>
      <c r="F11" s="663"/>
      <c r="G11" s="158"/>
      <c r="H11" s="663"/>
      <c r="I11" s="158"/>
      <c r="J11" s="663"/>
      <c r="K11" s="160">
        <f t="shared" ref="K11:K74" si="23">IF(M11&gt;0,I11/M11, )</f>
        <v>0</v>
      </c>
      <c r="L11" s="161">
        <f t="shared" si="1"/>
        <v>0</v>
      </c>
      <c r="M11" s="54">
        <v>3398</v>
      </c>
      <c r="N11" s="55">
        <v>218</v>
      </c>
      <c r="O11" s="55"/>
      <c r="P11" s="55"/>
      <c r="Q11" s="162">
        <f t="shared" ref="Q11:Q74" si="24">SUM(N11:P11)</f>
        <v>218</v>
      </c>
      <c r="R11" s="461">
        <v>3713</v>
      </c>
      <c r="S11" s="462">
        <v>272</v>
      </c>
      <c r="T11" s="462"/>
      <c r="U11" s="462"/>
      <c r="V11" s="97">
        <f t="shared" ref="V11:V74" si="25">SUM(S11:U11)</f>
        <v>272</v>
      </c>
      <c r="W11" s="279"/>
      <c r="X11" s="52"/>
      <c r="Y11" s="99"/>
      <c r="Z11" s="53"/>
      <c r="AA11" s="228"/>
      <c r="AB11" s="52"/>
      <c r="AC11" s="99"/>
      <c r="AD11" s="53"/>
      <c r="AE11" s="228"/>
      <c r="AF11" s="52"/>
      <c r="AG11" s="99"/>
      <c r="AH11" s="53"/>
      <c r="AI11" s="228"/>
      <c r="AJ11" s="52"/>
      <c r="AK11" s="99"/>
      <c r="AL11" s="53"/>
      <c r="AM11" s="228"/>
      <c r="AN11" s="52"/>
      <c r="AO11" s="99"/>
      <c r="AP11" s="53"/>
      <c r="AQ11" s="50">
        <f t="shared" si="4"/>
        <v>0</v>
      </c>
      <c r="AR11" s="163">
        <f t="shared" si="5"/>
        <v>0.67114359075646846</v>
      </c>
      <c r="AS11" s="97">
        <f t="shared" si="6"/>
        <v>0</v>
      </c>
      <c r="AT11" s="278">
        <f t="shared" si="7"/>
        <v>0.68848507324309294</v>
      </c>
      <c r="AU11" s="55"/>
      <c r="AV11" s="663"/>
      <c r="AW11" s="279">
        <v>13</v>
      </c>
      <c r="AX11" s="52">
        <v>303</v>
      </c>
      <c r="AY11" s="105">
        <v>52</v>
      </c>
      <c r="AZ11" s="98">
        <v>255</v>
      </c>
      <c r="BA11" s="279">
        <v>52</v>
      </c>
      <c r="BB11" s="52">
        <v>200</v>
      </c>
      <c r="BC11" s="105">
        <v>13</v>
      </c>
      <c r="BD11" s="98">
        <v>253</v>
      </c>
      <c r="BE11" s="279">
        <v>44</v>
      </c>
      <c r="BF11" s="52">
        <v>161</v>
      </c>
      <c r="BG11" s="105">
        <v>44</v>
      </c>
      <c r="BH11" s="98">
        <v>132</v>
      </c>
      <c r="BI11" s="279">
        <v>25</v>
      </c>
      <c r="BJ11" s="52">
        <v>111</v>
      </c>
      <c r="BK11" s="105">
        <v>19</v>
      </c>
      <c r="BL11" s="98">
        <v>117</v>
      </c>
      <c r="BM11" s="279">
        <v>19</v>
      </c>
      <c r="BN11" s="52">
        <v>105</v>
      </c>
      <c r="BO11" s="105">
        <v>51</v>
      </c>
      <c r="BP11" s="98">
        <v>114</v>
      </c>
      <c r="BQ11" s="279">
        <v>51</v>
      </c>
      <c r="BR11" s="52">
        <v>95</v>
      </c>
      <c r="BS11" s="105">
        <v>25</v>
      </c>
      <c r="BT11" s="98">
        <v>104</v>
      </c>
      <c r="BU11" s="279">
        <v>14</v>
      </c>
      <c r="BV11" s="52">
        <v>60</v>
      </c>
      <c r="BW11" s="105">
        <v>14</v>
      </c>
      <c r="BX11" s="98">
        <v>53</v>
      </c>
      <c r="BY11" s="279">
        <v>22</v>
      </c>
      <c r="BZ11" s="52">
        <v>38</v>
      </c>
      <c r="CA11" s="105">
        <v>50</v>
      </c>
      <c r="CB11" s="98">
        <v>46</v>
      </c>
      <c r="CC11" s="279">
        <v>42</v>
      </c>
      <c r="CD11" s="52">
        <v>35</v>
      </c>
      <c r="CE11" s="105">
        <v>9</v>
      </c>
      <c r="CF11" s="98">
        <v>46</v>
      </c>
      <c r="CG11" s="279">
        <v>9</v>
      </c>
      <c r="CH11" s="52">
        <v>35</v>
      </c>
      <c r="CI11" s="105">
        <v>42</v>
      </c>
      <c r="CJ11" s="98">
        <v>29</v>
      </c>
      <c r="CK11" s="281"/>
      <c r="CL11" s="461"/>
      <c r="CM11" s="159">
        <v>177</v>
      </c>
      <c r="CN11" s="462">
        <v>167</v>
      </c>
      <c r="CO11" s="50">
        <f t="shared" ref="CO11:CO74" si="26">AX11+BB11+BF11+BJ11+BN11+BR11+BV11+BZ11+CD11+CH11+CK11+CM11</f>
        <v>1320</v>
      </c>
      <c r="CP11" s="103">
        <f t="shared" ref="CP11:CP74" si="27">COUNTA(AW11,BA11,BE11,BI11,BM11,BQ11,BU11,BY11,CC11,CG11)</f>
        <v>10</v>
      </c>
      <c r="CQ11" s="465">
        <f t="shared" ref="CQ11:CQ74" si="28">AZ11+BD11+BH11+BL11+BP11+BT11+BX11+CF11+CB11+CJ11+CL11+CN11</f>
        <v>1316</v>
      </c>
      <c r="CR11" s="466">
        <f t="shared" ref="CR11:CR74" si="29">COUNTA(AY11,BC11,BG11,BK11,BO11,BS11,BW11,CE11,CA11,CI11)</f>
        <v>10</v>
      </c>
      <c r="CS11" s="279">
        <v>13</v>
      </c>
      <c r="CT11" s="52">
        <v>55</v>
      </c>
      <c r="CU11" s="105">
        <v>13</v>
      </c>
      <c r="CV11" s="98">
        <v>51</v>
      </c>
      <c r="CW11" s="279">
        <v>40</v>
      </c>
      <c r="CX11" s="52">
        <v>28</v>
      </c>
      <c r="CY11" s="105">
        <v>14</v>
      </c>
      <c r="CZ11" s="98">
        <v>21</v>
      </c>
      <c r="DA11" s="279">
        <v>52</v>
      </c>
      <c r="DB11" s="52">
        <v>25</v>
      </c>
      <c r="DC11" s="105">
        <v>40</v>
      </c>
      <c r="DD11" s="98">
        <v>16</v>
      </c>
      <c r="DE11" s="279">
        <v>42</v>
      </c>
      <c r="DF11" s="52">
        <v>18</v>
      </c>
      <c r="DG11" s="105">
        <v>52</v>
      </c>
      <c r="DH11" s="98">
        <v>16</v>
      </c>
      <c r="DI11" s="279">
        <v>14</v>
      </c>
      <c r="DJ11" s="52">
        <v>15</v>
      </c>
      <c r="DK11" s="105">
        <v>26</v>
      </c>
      <c r="DL11" s="98">
        <v>13</v>
      </c>
      <c r="DM11" s="279">
        <v>26</v>
      </c>
      <c r="DN11" s="52">
        <v>7</v>
      </c>
      <c r="DO11" s="105">
        <v>42</v>
      </c>
      <c r="DP11" s="98">
        <v>12</v>
      </c>
      <c r="DQ11" s="279">
        <v>31</v>
      </c>
      <c r="DR11" s="52">
        <v>7</v>
      </c>
      <c r="DS11" s="105">
        <v>9</v>
      </c>
      <c r="DT11" s="98">
        <v>12</v>
      </c>
      <c r="DU11" s="279">
        <v>50</v>
      </c>
      <c r="DV11" s="52">
        <v>6</v>
      </c>
      <c r="DW11" s="105">
        <v>27</v>
      </c>
      <c r="DX11" s="98">
        <v>8</v>
      </c>
      <c r="DY11" s="279">
        <v>9</v>
      </c>
      <c r="DZ11" s="52">
        <v>6</v>
      </c>
      <c r="EA11" s="463">
        <v>45</v>
      </c>
      <c r="EB11" s="464">
        <v>7</v>
      </c>
      <c r="EC11" s="279">
        <v>27</v>
      </c>
      <c r="ED11" s="52">
        <v>5</v>
      </c>
      <c r="EE11" s="105">
        <v>23</v>
      </c>
      <c r="EF11" s="98">
        <v>6</v>
      </c>
      <c r="EG11" s="159">
        <v>19</v>
      </c>
      <c r="EH11" s="462">
        <v>30</v>
      </c>
      <c r="EI11" s="50">
        <f t="shared" ref="EI11:EI74" si="30">CT11+CX11+DB11+DF11+DJ11+DN11+DR11+DV11+DZ11+ED11+EG11</f>
        <v>191</v>
      </c>
      <c r="EJ11" s="103">
        <f t="shared" ref="EJ11:EJ74" si="31">COUNTA(CS11,CW11,DA11,DE11,DI11,DM11,DQ11,DU11,DY11,EC11)</f>
        <v>10</v>
      </c>
      <c r="EK11" s="164">
        <f t="shared" ref="EK11:EK74" si="32">IF(EI11&gt;0,CT11/EI11,)</f>
        <v>0.2879581151832461</v>
      </c>
      <c r="EL11" s="465">
        <f t="shared" ref="EL11:EL74" si="33">CV11+CZ11+DD11+DH11+DL11+DP11+DT11+DX11+EB11+EF11+EH11</f>
        <v>192</v>
      </c>
      <c r="EM11" s="466">
        <f t="shared" ref="EM11:EM74" si="34">COUNTA(CU11,CY11,DC11,DG11,DK11,DO11,DS11,DW11,EA11,EE11)</f>
        <v>10</v>
      </c>
      <c r="EN11" s="359">
        <f t="shared" ref="EN11:EN74" si="35">IF(EL11&gt;0,CV11/EL11,)</f>
        <v>0.265625</v>
      </c>
      <c r="EO11" s="51">
        <f t="shared" ref="EO11:EO74" si="36">CO11+EI11</f>
        <v>1511</v>
      </c>
      <c r="EP11" s="361">
        <f t="shared" ref="EP11:EP74" si="37">CQ11+EL11</f>
        <v>1508</v>
      </c>
      <c r="EQ11" s="281">
        <v>154</v>
      </c>
      <c r="ER11" s="462">
        <v>172</v>
      </c>
      <c r="ES11" s="281"/>
      <c r="ET11" s="462"/>
      <c r="EU11" s="281"/>
      <c r="EV11" s="462"/>
      <c r="EW11" s="281"/>
      <c r="EX11" s="462"/>
      <c r="EY11" s="281"/>
      <c r="EZ11" s="462"/>
      <c r="FA11" s="281"/>
      <c r="FB11" s="462"/>
      <c r="FC11" s="281"/>
      <c r="FD11" s="462"/>
      <c r="FE11" s="281"/>
      <c r="FF11" s="462"/>
      <c r="FG11" s="281"/>
      <c r="FH11" s="462"/>
      <c r="FI11" s="281"/>
      <c r="FJ11" s="462"/>
      <c r="FK11" s="50">
        <f t="shared" ref="FK11:FK74" si="38">EQ11+ES11+EU11+EW11+EY11+FA11+FC11+FE11+FG11+FI11</f>
        <v>154</v>
      </c>
      <c r="FL11" s="466">
        <f t="shared" ref="FL11:FL74" si="39">ER11+ET11+EV11+EX11+EZ11+FB11+FD11+FF11+FH11+FJ11</f>
        <v>172</v>
      </c>
      <c r="FM11" s="50">
        <f t="shared" si="21"/>
        <v>5063</v>
      </c>
      <c r="FN11" s="360">
        <f t="shared" si="22"/>
        <v>5393</v>
      </c>
      <c r="FO11" s="464"/>
      <c r="FP11" s="279"/>
      <c r="FQ11" s="52"/>
      <c r="FR11" s="296"/>
      <c r="FS11" s="98"/>
      <c r="FT11" s="467"/>
      <c r="FU11" s="52"/>
      <c r="FV11" s="296"/>
      <c r="FW11" s="98"/>
      <c r="FX11" s="467"/>
      <c r="FY11" s="52"/>
      <c r="FZ11" s="296"/>
      <c r="GA11" s="98"/>
      <c r="GB11" s="467"/>
      <c r="GC11" s="52"/>
      <c r="GD11" s="296"/>
      <c r="GE11" s="98"/>
      <c r="GF11" s="467"/>
      <c r="GG11" s="52"/>
      <c r="GH11" s="296"/>
      <c r="GI11" s="98"/>
      <c r="GJ11" s="467"/>
      <c r="GK11" s="52"/>
      <c r="GL11" s="296"/>
      <c r="GM11" s="464"/>
      <c r="GN11" s="467"/>
      <c r="GO11" s="52"/>
      <c r="GP11" s="296"/>
      <c r="GQ11" s="464"/>
      <c r="GR11" s="467"/>
      <c r="GS11" s="52"/>
      <c r="GT11" s="296"/>
      <c r="GU11" s="464"/>
      <c r="GV11" s="467"/>
      <c r="GW11" s="52"/>
      <c r="GX11" s="296"/>
      <c r="GY11" s="464"/>
      <c r="GZ11" s="467"/>
      <c r="HA11" s="52"/>
      <c r="HB11" s="296"/>
      <c r="HC11" s="464"/>
    </row>
    <row r="12" spans="1:211" s="85" customFormat="1">
      <c r="A12" s="275" t="s">
        <v>30</v>
      </c>
      <c r="B12" s="276" t="s">
        <v>461</v>
      </c>
      <c r="C12" s="275">
        <v>100663</v>
      </c>
      <c r="D12" s="340">
        <v>1</v>
      </c>
      <c r="E12" s="460"/>
      <c r="F12" s="663"/>
      <c r="G12" s="158"/>
      <c r="H12" s="663"/>
      <c r="I12" s="158"/>
      <c r="J12" s="663"/>
      <c r="K12" s="160">
        <f t="shared" si="23"/>
        <v>0</v>
      </c>
      <c r="L12" s="161">
        <f t="shared" si="1"/>
        <v>0</v>
      </c>
      <c r="M12" s="54">
        <v>1907</v>
      </c>
      <c r="N12" s="55">
        <v>140</v>
      </c>
      <c r="O12" s="55"/>
      <c r="P12" s="55">
        <v>92</v>
      </c>
      <c r="Q12" s="162">
        <f t="shared" si="24"/>
        <v>232</v>
      </c>
      <c r="R12" s="461">
        <v>1916</v>
      </c>
      <c r="S12" s="462">
        <v>125</v>
      </c>
      <c r="T12" s="462"/>
      <c r="U12" s="462">
        <v>73</v>
      </c>
      <c r="V12" s="97">
        <f t="shared" si="25"/>
        <v>198</v>
      </c>
      <c r="W12" s="279"/>
      <c r="X12" s="52"/>
      <c r="Y12" s="99"/>
      <c r="Z12" s="53"/>
      <c r="AA12" s="228"/>
      <c r="AB12" s="52"/>
      <c r="AC12" s="99"/>
      <c r="AD12" s="53"/>
      <c r="AE12" s="228"/>
      <c r="AF12" s="52"/>
      <c r="AG12" s="99"/>
      <c r="AH12" s="53"/>
      <c r="AI12" s="228"/>
      <c r="AJ12" s="52"/>
      <c r="AK12" s="99"/>
      <c r="AL12" s="53"/>
      <c r="AM12" s="228"/>
      <c r="AN12" s="52"/>
      <c r="AO12" s="99"/>
      <c r="AP12" s="53"/>
      <c r="AQ12" s="50">
        <f t="shared" si="4"/>
        <v>0</v>
      </c>
      <c r="AR12" s="163">
        <f t="shared" si="5"/>
        <v>0.54657494984236166</v>
      </c>
      <c r="AS12" s="97">
        <f t="shared" si="6"/>
        <v>0</v>
      </c>
      <c r="AT12" s="278">
        <f t="shared" si="7"/>
        <v>0.55778748180494908</v>
      </c>
      <c r="AU12" s="55">
        <v>14</v>
      </c>
      <c r="AV12" s="461">
        <v>11</v>
      </c>
      <c r="AW12" s="279">
        <v>51</v>
      </c>
      <c r="AX12" s="52">
        <v>447</v>
      </c>
      <c r="AY12" s="105">
        <v>51</v>
      </c>
      <c r="AZ12" s="98">
        <v>449</v>
      </c>
      <c r="BA12" s="279">
        <v>13</v>
      </c>
      <c r="BB12" s="52">
        <v>316</v>
      </c>
      <c r="BC12" s="105">
        <v>13</v>
      </c>
      <c r="BD12" s="98">
        <v>282</v>
      </c>
      <c r="BE12" s="279">
        <v>52</v>
      </c>
      <c r="BF12" s="52">
        <v>144</v>
      </c>
      <c r="BG12" s="105">
        <v>52</v>
      </c>
      <c r="BH12" s="98">
        <v>165</v>
      </c>
      <c r="BI12" s="279">
        <v>14</v>
      </c>
      <c r="BJ12" s="52">
        <v>74</v>
      </c>
      <c r="BK12" s="105">
        <v>14</v>
      </c>
      <c r="BL12" s="98">
        <v>82</v>
      </c>
      <c r="BM12" s="279">
        <v>44</v>
      </c>
      <c r="BN12" s="52">
        <v>26</v>
      </c>
      <c r="BO12" s="105">
        <v>26</v>
      </c>
      <c r="BP12" s="98">
        <v>20</v>
      </c>
      <c r="BQ12" s="279">
        <v>26</v>
      </c>
      <c r="BR12" s="52">
        <v>21</v>
      </c>
      <c r="BS12" s="105">
        <v>44</v>
      </c>
      <c r="BT12" s="98">
        <v>17</v>
      </c>
      <c r="BU12" s="279">
        <v>11</v>
      </c>
      <c r="BV12" s="52">
        <v>19</v>
      </c>
      <c r="BW12" s="105">
        <v>9</v>
      </c>
      <c r="BX12" s="98">
        <v>14</v>
      </c>
      <c r="BY12" s="279">
        <v>23</v>
      </c>
      <c r="BZ12" s="52">
        <v>14</v>
      </c>
      <c r="CA12" s="105">
        <v>11</v>
      </c>
      <c r="CB12" s="98">
        <v>13</v>
      </c>
      <c r="CC12" s="279">
        <v>9</v>
      </c>
      <c r="CD12" s="52">
        <v>13</v>
      </c>
      <c r="CE12" s="105">
        <v>23</v>
      </c>
      <c r="CF12" s="98">
        <v>13</v>
      </c>
      <c r="CG12" s="279">
        <v>27</v>
      </c>
      <c r="CH12" s="52">
        <v>11</v>
      </c>
      <c r="CI12" s="105">
        <v>40</v>
      </c>
      <c r="CJ12" s="98">
        <v>11</v>
      </c>
      <c r="CK12" s="281"/>
      <c r="CL12" s="461"/>
      <c r="CM12" s="159">
        <v>41</v>
      </c>
      <c r="CN12" s="468"/>
      <c r="CO12" s="50">
        <f t="shared" si="26"/>
        <v>1126</v>
      </c>
      <c r="CP12" s="103">
        <f t="shared" si="27"/>
        <v>10</v>
      </c>
      <c r="CQ12" s="465">
        <f t="shared" si="28"/>
        <v>1066</v>
      </c>
      <c r="CR12" s="466">
        <f t="shared" si="29"/>
        <v>10</v>
      </c>
      <c r="CS12" s="279">
        <v>26</v>
      </c>
      <c r="CT12" s="52">
        <v>81</v>
      </c>
      <c r="CU12" s="105">
        <v>26</v>
      </c>
      <c r="CV12" s="98">
        <v>84</v>
      </c>
      <c r="CW12" s="279">
        <v>51</v>
      </c>
      <c r="CX12" s="52">
        <v>57</v>
      </c>
      <c r="CY12" s="105">
        <v>51</v>
      </c>
      <c r="CZ12" s="98">
        <v>54</v>
      </c>
      <c r="DA12" s="279">
        <v>14</v>
      </c>
      <c r="DB12" s="52">
        <v>13</v>
      </c>
      <c r="DC12" s="105">
        <v>14</v>
      </c>
      <c r="DD12" s="98">
        <v>13</v>
      </c>
      <c r="DE12" s="279">
        <v>13</v>
      </c>
      <c r="DF12" s="52">
        <v>12</v>
      </c>
      <c r="DG12" s="105">
        <v>13</v>
      </c>
      <c r="DH12" s="98">
        <v>10</v>
      </c>
      <c r="DI12" s="279">
        <v>31</v>
      </c>
      <c r="DJ12" s="52">
        <v>8</v>
      </c>
      <c r="DK12" s="105">
        <v>42</v>
      </c>
      <c r="DL12" s="98">
        <v>9</v>
      </c>
      <c r="DM12" s="279">
        <v>42</v>
      </c>
      <c r="DN12" s="52">
        <v>8</v>
      </c>
      <c r="DO12" s="105">
        <v>31</v>
      </c>
      <c r="DP12" s="98">
        <v>4</v>
      </c>
      <c r="DQ12" s="279">
        <v>11</v>
      </c>
      <c r="DR12" s="52">
        <v>6</v>
      </c>
      <c r="DS12" s="105">
        <v>11</v>
      </c>
      <c r="DT12" s="98">
        <v>3</v>
      </c>
      <c r="DU12" s="279">
        <v>45</v>
      </c>
      <c r="DV12" s="52">
        <v>5</v>
      </c>
      <c r="DW12" s="105">
        <v>40</v>
      </c>
      <c r="DX12" s="98">
        <v>3</v>
      </c>
      <c r="DY12" s="279">
        <v>27</v>
      </c>
      <c r="DZ12" s="52">
        <v>3</v>
      </c>
      <c r="EA12" s="105">
        <v>45</v>
      </c>
      <c r="EB12" s="98">
        <v>3</v>
      </c>
      <c r="EC12" s="279">
        <v>40</v>
      </c>
      <c r="ED12" s="52">
        <v>3</v>
      </c>
      <c r="EE12" s="105">
        <v>27</v>
      </c>
      <c r="EF12" s="98">
        <v>2</v>
      </c>
      <c r="EG12" s="159">
        <v>1</v>
      </c>
      <c r="EH12" s="462">
        <v>1</v>
      </c>
      <c r="EI12" s="50">
        <f t="shared" si="30"/>
        <v>197</v>
      </c>
      <c r="EJ12" s="103">
        <f t="shared" si="31"/>
        <v>10</v>
      </c>
      <c r="EK12" s="164">
        <f t="shared" si="32"/>
        <v>0.41116751269035534</v>
      </c>
      <c r="EL12" s="465">
        <f t="shared" si="33"/>
        <v>186</v>
      </c>
      <c r="EM12" s="466">
        <f t="shared" si="34"/>
        <v>10</v>
      </c>
      <c r="EN12" s="359">
        <f t="shared" si="35"/>
        <v>0.45161290322580644</v>
      </c>
      <c r="EO12" s="51">
        <f t="shared" si="36"/>
        <v>1323</v>
      </c>
      <c r="EP12" s="361">
        <f t="shared" si="37"/>
        <v>1252</v>
      </c>
      <c r="EQ12" s="281"/>
      <c r="ER12" s="462"/>
      <c r="ES12" s="281">
        <v>160</v>
      </c>
      <c r="ET12" s="462">
        <v>161</v>
      </c>
      <c r="EU12" s="281">
        <v>51</v>
      </c>
      <c r="EV12" s="462">
        <v>56</v>
      </c>
      <c r="EW12" s="281"/>
      <c r="EX12" s="462"/>
      <c r="EY12" s="281"/>
      <c r="EZ12" s="462"/>
      <c r="FA12" s="281">
        <v>34</v>
      </c>
      <c r="FB12" s="462">
        <v>39</v>
      </c>
      <c r="FC12" s="281"/>
      <c r="FD12" s="462"/>
      <c r="FE12" s="281"/>
      <c r="FF12" s="462"/>
      <c r="FG12" s="281"/>
      <c r="FH12" s="462"/>
      <c r="FI12" s="281"/>
      <c r="FJ12" s="462"/>
      <c r="FK12" s="50">
        <f t="shared" si="38"/>
        <v>245</v>
      </c>
      <c r="FL12" s="466">
        <f t="shared" si="39"/>
        <v>256</v>
      </c>
      <c r="FM12" s="50">
        <f t="shared" si="21"/>
        <v>3489</v>
      </c>
      <c r="FN12" s="360">
        <f t="shared" si="22"/>
        <v>3435</v>
      </c>
      <c r="FO12" s="464"/>
      <c r="FP12" s="279"/>
      <c r="FQ12" s="52"/>
      <c r="FR12" s="296"/>
      <c r="FS12" s="98"/>
      <c r="FT12" s="467"/>
      <c r="FU12" s="52"/>
      <c r="FV12" s="296"/>
      <c r="FW12" s="98"/>
      <c r="FX12" s="467"/>
      <c r="FY12" s="52"/>
      <c r="FZ12" s="296"/>
      <c r="GA12" s="98"/>
      <c r="GB12" s="467"/>
      <c r="GC12" s="52"/>
      <c r="GD12" s="296"/>
      <c r="GE12" s="98"/>
      <c r="GF12" s="467"/>
      <c r="GG12" s="52"/>
      <c r="GH12" s="296"/>
      <c r="GI12" s="98"/>
      <c r="GJ12" s="467"/>
      <c r="GK12" s="52"/>
      <c r="GL12" s="296"/>
      <c r="GM12" s="464"/>
      <c r="GN12" s="467"/>
      <c r="GO12" s="52"/>
      <c r="GP12" s="296"/>
      <c r="GQ12" s="464"/>
      <c r="GR12" s="467"/>
      <c r="GS12" s="52"/>
      <c r="GT12" s="296"/>
      <c r="GU12" s="464"/>
      <c r="GV12" s="467"/>
      <c r="GW12" s="52"/>
      <c r="GX12" s="296"/>
      <c r="GY12" s="464"/>
      <c r="GZ12" s="467"/>
      <c r="HA12" s="52"/>
      <c r="HB12" s="296"/>
      <c r="HC12" s="464"/>
    </row>
    <row r="13" spans="1:211" s="85" customFormat="1">
      <c r="A13" s="275" t="s">
        <v>30</v>
      </c>
      <c r="B13" s="276" t="s">
        <v>462</v>
      </c>
      <c r="C13" s="275">
        <v>100706</v>
      </c>
      <c r="D13" s="340">
        <v>2</v>
      </c>
      <c r="E13" s="460"/>
      <c r="F13" s="663"/>
      <c r="G13" s="158"/>
      <c r="H13" s="663"/>
      <c r="I13" s="158"/>
      <c r="J13" s="663"/>
      <c r="K13" s="160">
        <f t="shared" si="23"/>
        <v>0</v>
      </c>
      <c r="L13" s="161">
        <f t="shared" si="1"/>
        <v>0</v>
      </c>
      <c r="M13" s="54">
        <v>889</v>
      </c>
      <c r="N13" s="55">
        <v>27</v>
      </c>
      <c r="O13" s="55"/>
      <c r="P13" s="55"/>
      <c r="Q13" s="162">
        <f t="shared" si="24"/>
        <v>27</v>
      </c>
      <c r="R13" s="461">
        <v>900</v>
      </c>
      <c r="S13" s="462">
        <v>28</v>
      </c>
      <c r="T13" s="462"/>
      <c r="U13" s="462"/>
      <c r="V13" s="97">
        <f t="shared" si="25"/>
        <v>28</v>
      </c>
      <c r="W13" s="279"/>
      <c r="X13" s="52"/>
      <c r="Y13" s="99"/>
      <c r="Z13" s="53"/>
      <c r="AA13" s="228"/>
      <c r="AB13" s="52"/>
      <c r="AC13" s="99"/>
      <c r="AD13" s="53"/>
      <c r="AE13" s="228"/>
      <c r="AF13" s="52"/>
      <c r="AG13" s="99"/>
      <c r="AH13" s="53"/>
      <c r="AI13" s="228"/>
      <c r="AJ13" s="52"/>
      <c r="AK13" s="99"/>
      <c r="AL13" s="53"/>
      <c r="AM13" s="228"/>
      <c r="AN13" s="52"/>
      <c r="AO13" s="99"/>
      <c r="AP13" s="53"/>
      <c r="AQ13" s="50">
        <f t="shared" si="4"/>
        <v>0</v>
      </c>
      <c r="AR13" s="163">
        <f t="shared" si="5"/>
        <v>0.69561815336463229</v>
      </c>
      <c r="AS13" s="97">
        <f t="shared" si="6"/>
        <v>0</v>
      </c>
      <c r="AT13" s="278">
        <f t="shared" si="7"/>
        <v>0.67314884068810765</v>
      </c>
      <c r="AU13" s="55">
        <v>29</v>
      </c>
      <c r="AV13" s="461">
        <v>26</v>
      </c>
      <c r="AW13" s="279">
        <v>14</v>
      </c>
      <c r="AX13" s="52">
        <v>111</v>
      </c>
      <c r="AY13" s="105">
        <v>14</v>
      </c>
      <c r="AZ13" s="98">
        <v>134</v>
      </c>
      <c r="BA13" s="279">
        <v>52</v>
      </c>
      <c r="BB13" s="52">
        <v>59</v>
      </c>
      <c r="BC13" s="105">
        <v>52</v>
      </c>
      <c r="BD13" s="98">
        <v>64</v>
      </c>
      <c r="BE13" s="279">
        <v>51</v>
      </c>
      <c r="BF13" s="52">
        <v>57</v>
      </c>
      <c r="BG13" s="105">
        <v>51</v>
      </c>
      <c r="BH13" s="98">
        <v>55</v>
      </c>
      <c r="BI13" s="279">
        <v>11</v>
      </c>
      <c r="BJ13" s="52">
        <v>32</v>
      </c>
      <c r="BK13" s="105">
        <v>11</v>
      </c>
      <c r="BL13" s="98">
        <v>52</v>
      </c>
      <c r="BM13" s="279">
        <v>23</v>
      </c>
      <c r="BN13" s="52">
        <v>20</v>
      </c>
      <c r="BO13" s="105">
        <v>40</v>
      </c>
      <c r="BP13" s="98">
        <v>26</v>
      </c>
      <c r="BQ13" s="279">
        <v>40</v>
      </c>
      <c r="BR13" s="52">
        <v>15</v>
      </c>
      <c r="BS13" s="105">
        <v>23</v>
      </c>
      <c r="BT13" s="98">
        <v>23</v>
      </c>
      <c r="BU13" s="279">
        <v>26</v>
      </c>
      <c r="BV13" s="52">
        <v>7</v>
      </c>
      <c r="BW13" s="105">
        <v>44</v>
      </c>
      <c r="BX13" s="98">
        <v>9</v>
      </c>
      <c r="BY13" s="279">
        <v>27</v>
      </c>
      <c r="BZ13" s="52">
        <v>6</v>
      </c>
      <c r="CA13" s="105">
        <v>26</v>
      </c>
      <c r="CB13" s="98">
        <v>8</v>
      </c>
      <c r="CC13" s="279">
        <v>42</v>
      </c>
      <c r="CD13" s="52">
        <v>5</v>
      </c>
      <c r="CE13" s="105">
        <v>27</v>
      </c>
      <c r="CF13" s="98">
        <v>4</v>
      </c>
      <c r="CG13" s="279">
        <v>44</v>
      </c>
      <c r="CH13" s="52">
        <v>5</v>
      </c>
      <c r="CI13" s="105">
        <v>54</v>
      </c>
      <c r="CJ13" s="98">
        <v>4</v>
      </c>
      <c r="CK13" s="281"/>
      <c r="CL13" s="462"/>
      <c r="CM13" s="159">
        <v>6</v>
      </c>
      <c r="CN13" s="468"/>
      <c r="CO13" s="50">
        <f t="shared" si="26"/>
        <v>323</v>
      </c>
      <c r="CP13" s="103">
        <f t="shared" si="27"/>
        <v>10</v>
      </c>
      <c r="CQ13" s="465">
        <f t="shared" si="28"/>
        <v>379</v>
      </c>
      <c r="CR13" s="466">
        <f t="shared" si="29"/>
        <v>10</v>
      </c>
      <c r="CS13" s="279">
        <v>14</v>
      </c>
      <c r="CT13" s="52">
        <v>22</v>
      </c>
      <c r="CU13" s="105">
        <v>14</v>
      </c>
      <c r="CV13" s="98">
        <v>16</v>
      </c>
      <c r="CW13" s="279">
        <v>11</v>
      </c>
      <c r="CX13" s="52">
        <v>5</v>
      </c>
      <c r="CY13" s="105">
        <v>11</v>
      </c>
      <c r="CZ13" s="98">
        <v>6</v>
      </c>
      <c r="DA13" s="279">
        <v>40</v>
      </c>
      <c r="DB13" s="52">
        <v>5</v>
      </c>
      <c r="DC13" s="105">
        <v>40</v>
      </c>
      <c r="DD13" s="98">
        <v>6</v>
      </c>
      <c r="DE13" s="279">
        <v>27</v>
      </c>
      <c r="DF13" s="52">
        <v>3</v>
      </c>
      <c r="DG13" s="105">
        <v>26</v>
      </c>
      <c r="DH13" s="98">
        <v>2</v>
      </c>
      <c r="DI13" s="279">
        <v>26</v>
      </c>
      <c r="DJ13" s="52">
        <v>1</v>
      </c>
      <c r="DK13" s="105">
        <v>27</v>
      </c>
      <c r="DL13" s="98">
        <v>2</v>
      </c>
      <c r="DM13" s="279">
        <v>30</v>
      </c>
      <c r="DN13" s="52">
        <v>1</v>
      </c>
      <c r="DO13" s="105"/>
      <c r="DP13" s="98"/>
      <c r="DQ13" s="279"/>
      <c r="DR13" s="52"/>
      <c r="DS13" s="105"/>
      <c r="DT13" s="98"/>
      <c r="DU13" s="279"/>
      <c r="DV13" s="52"/>
      <c r="DW13" s="105"/>
      <c r="DX13" s="98"/>
      <c r="DY13" s="279"/>
      <c r="DZ13" s="52"/>
      <c r="EA13" s="105"/>
      <c r="EB13" s="98"/>
      <c r="EC13" s="279"/>
      <c r="ED13" s="52"/>
      <c r="EE13" s="105"/>
      <c r="EF13" s="98"/>
      <c r="EG13" s="159"/>
      <c r="EH13" s="462"/>
      <c r="EI13" s="50">
        <f t="shared" si="30"/>
        <v>37</v>
      </c>
      <c r="EJ13" s="103">
        <f t="shared" si="31"/>
        <v>6</v>
      </c>
      <c r="EK13" s="164">
        <f t="shared" si="32"/>
        <v>0.59459459459459463</v>
      </c>
      <c r="EL13" s="465">
        <f t="shared" si="33"/>
        <v>32</v>
      </c>
      <c r="EM13" s="466">
        <f t="shared" si="34"/>
        <v>5</v>
      </c>
      <c r="EN13" s="359">
        <f t="shared" si="35"/>
        <v>0.5</v>
      </c>
      <c r="EO13" s="51">
        <f t="shared" si="36"/>
        <v>360</v>
      </c>
      <c r="EP13" s="361">
        <f t="shared" si="37"/>
        <v>411</v>
      </c>
      <c r="EQ13" s="281"/>
      <c r="ER13" s="462"/>
      <c r="ES13" s="281"/>
      <c r="ET13" s="462"/>
      <c r="EU13" s="281"/>
      <c r="EV13" s="462"/>
      <c r="EW13" s="281"/>
      <c r="EX13" s="462"/>
      <c r="EY13" s="281"/>
      <c r="EZ13" s="462"/>
      <c r="FA13" s="281"/>
      <c r="FB13" s="462"/>
      <c r="FC13" s="281"/>
      <c r="FD13" s="462"/>
      <c r="FE13" s="281"/>
      <c r="FF13" s="462"/>
      <c r="FG13" s="281"/>
      <c r="FH13" s="462"/>
      <c r="FI13" s="281"/>
      <c r="FJ13" s="462"/>
      <c r="FK13" s="50">
        <f t="shared" si="38"/>
        <v>0</v>
      </c>
      <c r="FL13" s="466">
        <f t="shared" si="39"/>
        <v>0</v>
      </c>
      <c r="FM13" s="50">
        <f t="shared" si="21"/>
        <v>1278</v>
      </c>
      <c r="FN13" s="360">
        <f t="shared" si="22"/>
        <v>1337</v>
      </c>
      <c r="FO13" s="464"/>
      <c r="FP13" s="279"/>
      <c r="FQ13" s="52"/>
      <c r="FR13" s="296"/>
      <c r="FS13" s="98"/>
      <c r="FT13" s="467"/>
      <c r="FU13" s="52"/>
      <c r="FV13" s="296"/>
      <c r="FW13" s="98"/>
      <c r="FX13" s="467"/>
      <c r="FY13" s="52"/>
      <c r="FZ13" s="296"/>
      <c r="GA13" s="98"/>
      <c r="GB13" s="467"/>
      <c r="GC13" s="52"/>
      <c r="GD13" s="296"/>
      <c r="GE13" s="98"/>
      <c r="GF13" s="467"/>
      <c r="GG13" s="52"/>
      <c r="GH13" s="296"/>
      <c r="GI13" s="98"/>
      <c r="GJ13" s="467"/>
      <c r="GK13" s="52"/>
      <c r="GL13" s="296"/>
      <c r="GM13" s="464"/>
      <c r="GN13" s="467"/>
      <c r="GO13" s="52"/>
      <c r="GP13" s="296"/>
      <c r="GQ13" s="464"/>
      <c r="GR13" s="467"/>
      <c r="GS13" s="52"/>
      <c r="GT13" s="296"/>
      <c r="GU13" s="464"/>
      <c r="GV13" s="467"/>
      <c r="GW13" s="52"/>
      <c r="GX13" s="296"/>
      <c r="GY13" s="464"/>
      <c r="GZ13" s="467"/>
      <c r="HA13" s="52"/>
      <c r="HB13" s="296"/>
      <c r="HC13" s="464"/>
    </row>
    <row r="14" spans="1:211" s="85" customFormat="1">
      <c r="A14" s="275" t="s">
        <v>30</v>
      </c>
      <c r="B14" s="276" t="s">
        <v>463</v>
      </c>
      <c r="C14" s="275">
        <v>100654</v>
      </c>
      <c r="D14" s="340">
        <v>3</v>
      </c>
      <c r="E14" s="460"/>
      <c r="F14" s="663"/>
      <c r="G14" s="158"/>
      <c r="H14" s="663"/>
      <c r="I14" s="158"/>
      <c r="J14" s="663"/>
      <c r="K14" s="160">
        <f t="shared" si="23"/>
        <v>0</v>
      </c>
      <c r="L14" s="161">
        <f t="shared" si="1"/>
        <v>0</v>
      </c>
      <c r="M14" s="54">
        <v>631</v>
      </c>
      <c r="N14" s="55">
        <v>78</v>
      </c>
      <c r="O14" s="55"/>
      <c r="P14" s="55"/>
      <c r="Q14" s="162">
        <f t="shared" si="24"/>
        <v>78</v>
      </c>
      <c r="R14" s="461">
        <v>628</v>
      </c>
      <c r="S14" s="462">
        <v>76</v>
      </c>
      <c r="T14" s="462"/>
      <c r="U14" s="462"/>
      <c r="V14" s="97">
        <f t="shared" si="25"/>
        <v>76</v>
      </c>
      <c r="W14" s="279"/>
      <c r="X14" s="52"/>
      <c r="Y14" s="99"/>
      <c r="Z14" s="53"/>
      <c r="AA14" s="228"/>
      <c r="AB14" s="52"/>
      <c r="AC14" s="99"/>
      <c r="AD14" s="53"/>
      <c r="AE14" s="228"/>
      <c r="AF14" s="52"/>
      <c r="AG14" s="99"/>
      <c r="AH14" s="53"/>
      <c r="AI14" s="228"/>
      <c r="AJ14" s="52"/>
      <c r="AK14" s="99"/>
      <c r="AL14" s="53"/>
      <c r="AM14" s="228"/>
      <c r="AN14" s="52"/>
      <c r="AO14" s="99"/>
      <c r="AP14" s="53"/>
      <c r="AQ14" s="50">
        <f t="shared" si="4"/>
        <v>0</v>
      </c>
      <c r="AR14" s="163">
        <f t="shared" si="5"/>
        <v>0.69037199124726478</v>
      </c>
      <c r="AS14" s="97">
        <f t="shared" si="6"/>
        <v>0</v>
      </c>
      <c r="AT14" s="278">
        <f t="shared" si="7"/>
        <v>0.67891891891891887</v>
      </c>
      <c r="AU14" s="55"/>
      <c r="AV14" s="663"/>
      <c r="AW14" s="279">
        <v>13</v>
      </c>
      <c r="AX14" s="52">
        <v>85</v>
      </c>
      <c r="AY14" s="105">
        <v>13</v>
      </c>
      <c r="AZ14" s="98">
        <v>83</v>
      </c>
      <c r="BA14" s="279">
        <v>42</v>
      </c>
      <c r="BB14" s="52">
        <v>40</v>
      </c>
      <c r="BC14" s="105">
        <v>44</v>
      </c>
      <c r="BD14" s="98">
        <v>83</v>
      </c>
      <c r="BE14" s="279">
        <v>44</v>
      </c>
      <c r="BF14" s="52">
        <v>39</v>
      </c>
      <c r="BG14" s="105">
        <v>42</v>
      </c>
      <c r="BH14" s="98">
        <v>32</v>
      </c>
      <c r="BI14" s="279">
        <v>52</v>
      </c>
      <c r="BJ14" s="52">
        <v>16</v>
      </c>
      <c r="BK14" s="105">
        <v>1</v>
      </c>
      <c r="BL14" s="98">
        <v>18</v>
      </c>
      <c r="BM14" s="279">
        <v>11</v>
      </c>
      <c r="BN14" s="52">
        <v>14</v>
      </c>
      <c r="BO14" s="105">
        <v>51</v>
      </c>
      <c r="BP14" s="98">
        <v>11</v>
      </c>
      <c r="BQ14" s="279">
        <v>19</v>
      </c>
      <c r="BR14" s="52">
        <v>14</v>
      </c>
      <c r="BS14" s="105">
        <v>11</v>
      </c>
      <c r="BT14" s="98">
        <v>10</v>
      </c>
      <c r="BU14" s="279">
        <v>1</v>
      </c>
      <c r="BV14" s="52">
        <v>14</v>
      </c>
      <c r="BW14" s="105">
        <v>52</v>
      </c>
      <c r="BX14" s="98">
        <v>10</v>
      </c>
      <c r="BY14" s="279">
        <v>15</v>
      </c>
      <c r="BZ14" s="52">
        <v>12</v>
      </c>
      <c r="CA14" s="105">
        <v>26</v>
      </c>
      <c r="CB14" s="98">
        <v>10</v>
      </c>
      <c r="CC14" s="279">
        <v>26</v>
      </c>
      <c r="CD14" s="52">
        <v>10</v>
      </c>
      <c r="CE14" s="105">
        <v>15</v>
      </c>
      <c r="CF14" s="98">
        <v>9</v>
      </c>
      <c r="CG14" s="279">
        <v>51</v>
      </c>
      <c r="CH14" s="52">
        <v>9</v>
      </c>
      <c r="CI14" s="105">
        <v>19</v>
      </c>
      <c r="CJ14" s="98">
        <v>9</v>
      </c>
      <c r="CK14" s="281"/>
      <c r="CL14" s="462"/>
      <c r="CM14" s="159">
        <v>5</v>
      </c>
      <c r="CN14" s="462">
        <v>6</v>
      </c>
      <c r="CO14" s="50">
        <f t="shared" si="26"/>
        <v>258</v>
      </c>
      <c r="CP14" s="103">
        <f t="shared" si="27"/>
        <v>10</v>
      </c>
      <c r="CQ14" s="465">
        <f t="shared" si="28"/>
        <v>281</v>
      </c>
      <c r="CR14" s="466">
        <f t="shared" si="29"/>
        <v>10</v>
      </c>
      <c r="CS14" s="279">
        <v>13</v>
      </c>
      <c r="CT14" s="52">
        <v>12</v>
      </c>
      <c r="CU14" s="105">
        <v>1</v>
      </c>
      <c r="CV14" s="98">
        <v>11</v>
      </c>
      <c r="CW14" s="279">
        <v>1</v>
      </c>
      <c r="CX14" s="52">
        <v>8</v>
      </c>
      <c r="CY14" s="105">
        <v>40</v>
      </c>
      <c r="CZ14" s="98">
        <v>3</v>
      </c>
      <c r="DA14" s="279">
        <v>40</v>
      </c>
      <c r="DB14" s="52">
        <v>5</v>
      </c>
      <c r="DC14" s="105">
        <v>13</v>
      </c>
      <c r="DD14" s="98">
        <v>2</v>
      </c>
      <c r="DE14" s="279"/>
      <c r="DF14" s="52"/>
      <c r="DG14" s="105"/>
      <c r="DH14" s="98"/>
      <c r="DI14" s="279"/>
      <c r="DJ14" s="52"/>
      <c r="DK14" s="105"/>
      <c r="DL14" s="98"/>
      <c r="DM14" s="279"/>
      <c r="DN14" s="52"/>
      <c r="DO14" s="105"/>
      <c r="DP14" s="98"/>
      <c r="DQ14" s="279"/>
      <c r="DR14" s="52"/>
      <c r="DS14" s="105"/>
      <c r="DT14" s="98"/>
      <c r="DU14" s="279"/>
      <c r="DV14" s="52"/>
      <c r="DW14" s="105"/>
      <c r="DX14" s="98"/>
      <c r="DY14" s="279"/>
      <c r="DZ14" s="52"/>
      <c r="EA14" s="105"/>
      <c r="EB14" s="98"/>
      <c r="EC14" s="279"/>
      <c r="ED14" s="52"/>
      <c r="EE14" s="105"/>
      <c r="EF14" s="98"/>
      <c r="EG14" s="159"/>
      <c r="EH14" s="462"/>
      <c r="EI14" s="50">
        <f t="shared" si="30"/>
        <v>25</v>
      </c>
      <c r="EJ14" s="103">
        <f t="shared" si="31"/>
        <v>3</v>
      </c>
      <c r="EK14" s="164">
        <f t="shared" si="32"/>
        <v>0.48</v>
      </c>
      <c r="EL14" s="465">
        <f t="shared" si="33"/>
        <v>16</v>
      </c>
      <c r="EM14" s="466">
        <f t="shared" si="34"/>
        <v>3</v>
      </c>
      <c r="EN14" s="359">
        <f t="shared" si="35"/>
        <v>0.6875</v>
      </c>
      <c r="EO14" s="51">
        <f t="shared" si="36"/>
        <v>283</v>
      </c>
      <c r="EP14" s="361">
        <f t="shared" si="37"/>
        <v>297</v>
      </c>
      <c r="EQ14" s="281"/>
      <c r="ER14" s="462"/>
      <c r="ES14" s="281"/>
      <c r="ET14" s="462"/>
      <c r="EU14" s="281"/>
      <c r="EV14" s="462"/>
      <c r="EW14" s="281"/>
      <c r="EX14" s="462"/>
      <c r="EY14" s="281"/>
      <c r="EZ14" s="462"/>
      <c r="FA14" s="281"/>
      <c r="FB14" s="462"/>
      <c r="FC14" s="281"/>
      <c r="FD14" s="462"/>
      <c r="FE14" s="281"/>
      <c r="FF14" s="462"/>
      <c r="FG14" s="281"/>
      <c r="FH14" s="462"/>
      <c r="FI14" s="281"/>
      <c r="FJ14" s="462"/>
      <c r="FK14" s="50">
        <f t="shared" si="38"/>
        <v>0</v>
      </c>
      <c r="FL14" s="466">
        <f t="shared" si="39"/>
        <v>0</v>
      </c>
      <c r="FM14" s="50">
        <f t="shared" si="21"/>
        <v>914</v>
      </c>
      <c r="FN14" s="360">
        <f t="shared" si="22"/>
        <v>925</v>
      </c>
      <c r="FO14" s="464"/>
      <c r="FP14" s="279"/>
      <c r="FQ14" s="52"/>
      <c r="FR14" s="296"/>
      <c r="FS14" s="98"/>
      <c r="FT14" s="467"/>
      <c r="FU14" s="52"/>
      <c r="FV14" s="296"/>
      <c r="FW14" s="98"/>
      <c r="FX14" s="467"/>
      <c r="FY14" s="52"/>
      <c r="FZ14" s="296"/>
      <c r="GA14" s="98"/>
      <c r="GB14" s="467"/>
      <c r="GC14" s="52"/>
      <c r="GD14" s="296"/>
      <c r="GE14" s="98"/>
      <c r="GF14" s="467"/>
      <c r="GG14" s="52"/>
      <c r="GH14" s="296"/>
      <c r="GI14" s="98"/>
      <c r="GJ14" s="467"/>
      <c r="GK14" s="52"/>
      <c r="GL14" s="296"/>
      <c r="GM14" s="464"/>
      <c r="GN14" s="467"/>
      <c r="GO14" s="52"/>
      <c r="GP14" s="296"/>
      <c r="GQ14" s="464"/>
      <c r="GR14" s="467"/>
      <c r="GS14" s="52"/>
      <c r="GT14" s="296"/>
      <c r="GU14" s="464"/>
      <c r="GV14" s="467"/>
      <c r="GW14" s="52"/>
      <c r="GX14" s="296"/>
      <c r="GY14" s="464"/>
      <c r="GZ14" s="467"/>
      <c r="HA14" s="52"/>
      <c r="HB14" s="296"/>
      <c r="HC14" s="464"/>
    </row>
    <row r="15" spans="1:211" s="85" customFormat="1">
      <c r="A15" s="275" t="s">
        <v>30</v>
      </c>
      <c r="B15" s="276" t="s">
        <v>465</v>
      </c>
      <c r="C15" s="275">
        <v>101480</v>
      </c>
      <c r="D15" s="340">
        <v>3</v>
      </c>
      <c r="E15" s="460"/>
      <c r="F15" s="663"/>
      <c r="G15" s="158"/>
      <c r="H15" s="663"/>
      <c r="I15" s="158"/>
      <c r="J15" s="663"/>
      <c r="K15" s="160">
        <f t="shared" si="23"/>
        <v>0</v>
      </c>
      <c r="L15" s="161">
        <f t="shared" si="1"/>
        <v>0</v>
      </c>
      <c r="M15" s="54">
        <v>1051</v>
      </c>
      <c r="N15" s="55">
        <v>169</v>
      </c>
      <c r="O15" s="55"/>
      <c r="P15" s="55">
        <v>0</v>
      </c>
      <c r="Q15" s="162">
        <f t="shared" si="24"/>
        <v>169</v>
      </c>
      <c r="R15" s="461">
        <v>1137</v>
      </c>
      <c r="S15" s="462">
        <v>182</v>
      </c>
      <c r="T15" s="462"/>
      <c r="U15" s="462">
        <v>1</v>
      </c>
      <c r="V15" s="97">
        <f t="shared" si="25"/>
        <v>183</v>
      </c>
      <c r="W15" s="279"/>
      <c r="X15" s="52"/>
      <c r="Y15" s="99"/>
      <c r="Z15" s="53"/>
      <c r="AA15" s="228"/>
      <c r="AB15" s="52"/>
      <c r="AC15" s="99"/>
      <c r="AD15" s="53"/>
      <c r="AE15" s="228"/>
      <c r="AF15" s="52"/>
      <c r="AG15" s="99"/>
      <c r="AH15" s="53"/>
      <c r="AI15" s="228"/>
      <c r="AJ15" s="52"/>
      <c r="AK15" s="99"/>
      <c r="AL15" s="53"/>
      <c r="AM15" s="228"/>
      <c r="AN15" s="52"/>
      <c r="AO15" s="99"/>
      <c r="AP15" s="53"/>
      <c r="AQ15" s="50">
        <f t="shared" si="4"/>
        <v>0</v>
      </c>
      <c r="AR15" s="163">
        <f t="shared" si="5"/>
        <v>0.64124466137888958</v>
      </c>
      <c r="AS15" s="97">
        <f t="shared" si="6"/>
        <v>0</v>
      </c>
      <c r="AT15" s="278">
        <f t="shared" si="7"/>
        <v>0.66569086651053866</v>
      </c>
      <c r="AU15" s="469"/>
      <c r="AV15" s="461">
        <v>75</v>
      </c>
      <c r="AW15" s="279">
        <v>13</v>
      </c>
      <c r="AX15" s="52">
        <v>433</v>
      </c>
      <c r="AY15" s="105">
        <v>13</v>
      </c>
      <c r="AZ15" s="98">
        <v>329</v>
      </c>
      <c r="BA15" s="279">
        <v>44</v>
      </c>
      <c r="BB15" s="52">
        <v>55</v>
      </c>
      <c r="BC15" s="105">
        <v>44</v>
      </c>
      <c r="BD15" s="98">
        <v>64</v>
      </c>
      <c r="BE15" s="279">
        <v>52</v>
      </c>
      <c r="BF15" s="52">
        <v>17</v>
      </c>
      <c r="BG15" s="105">
        <v>51</v>
      </c>
      <c r="BH15" s="98">
        <v>17</v>
      </c>
      <c r="BI15" s="279">
        <v>54</v>
      </c>
      <c r="BJ15" s="52">
        <v>15</v>
      </c>
      <c r="BK15" s="105">
        <v>52</v>
      </c>
      <c r="BL15" s="98">
        <v>17</v>
      </c>
      <c r="BM15" s="279">
        <v>51</v>
      </c>
      <c r="BN15" s="52">
        <v>14</v>
      </c>
      <c r="BO15" s="105">
        <v>43</v>
      </c>
      <c r="BP15" s="98">
        <v>12</v>
      </c>
      <c r="BQ15" s="279">
        <v>26</v>
      </c>
      <c r="BR15" s="52">
        <v>11</v>
      </c>
      <c r="BS15" s="105">
        <v>54</v>
      </c>
      <c r="BT15" s="98">
        <v>11</v>
      </c>
      <c r="BU15" s="279">
        <v>43</v>
      </c>
      <c r="BV15" s="52">
        <v>10</v>
      </c>
      <c r="BW15" s="105">
        <v>26</v>
      </c>
      <c r="BX15" s="98">
        <v>10</v>
      </c>
      <c r="BY15" s="279">
        <v>42</v>
      </c>
      <c r="BZ15" s="52">
        <v>8</v>
      </c>
      <c r="CA15" s="105">
        <v>24</v>
      </c>
      <c r="CB15" s="98">
        <v>9</v>
      </c>
      <c r="CC15" s="279">
        <v>23</v>
      </c>
      <c r="CD15" s="52">
        <v>7</v>
      </c>
      <c r="CE15" s="105">
        <v>23</v>
      </c>
      <c r="CF15" s="98">
        <v>8</v>
      </c>
      <c r="CG15" s="279">
        <v>24</v>
      </c>
      <c r="CH15" s="52">
        <v>6</v>
      </c>
      <c r="CI15" s="105">
        <v>42</v>
      </c>
      <c r="CJ15" s="98">
        <v>7</v>
      </c>
      <c r="CK15" s="281"/>
      <c r="CL15" s="462"/>
      <c r="CM15" s="159">
        <v>12</v>
      </c>
      <c r="CN15" s="462">
        <v>12</v>
      </c>
      <c r="CO15" s="50">
        <f t="shared" si="26"/>
        <v>588</v>
      </c>
      <c r="CP15" s="103">
        <f t="shared" si="27"/>
        <v>10</v>
      </c>
      <c r="CQ15" s="465">
        <f t="shared" si="28"/>
        <v>496</v>
      </c>
      <c r="CR15" s="466">
        <f t="shared" si="29"/>
        <v>10</v>
      </c>
      <c r="CS15" s="279"/>
      <c r="CT15" s="52"/>
      <c r="CU15" s="105"/>
      <c r="CV15" s="98"/>
      <c r="CW15" s="279"/>
      <c r="CX15" s="52"/>
      <c r="CY15" s="105"/>
      <c r="CZ15" s="98"/>
      <c r="DA15" s="279"/>
      <c r="DB15" s="52"/>
      <c r="DC15" s="105"/>
      <c r="DD15" s="98"/>
      <c r="DE15" s="279"/>
      <c r="DF15" s="52"/>
      <c r="DG15" s="105"/>
      <c r="DH15" s="98"/>
      <c r="DI15" s="279"/>
      <c r="DJ15" s="52"/>
      <c r="DK15" s="105"/>
      <c r="DL15" s="98"/>
      <c r="DM15" s="279"/>
      <c r="DN15" s="52"/>
      <c r="DO15" s="105"/>
      <c r="DP15" s="98"/>
      <c r="DQ15" s="279"/>
      <c r="DR15" s="52"/>
      <c r="DS15" s="105"/>
      <c r="DT15" s="98"/>
      <c r="DU15" s="279"/>
      <c r="DV15" s="52"/>
      <c r="DW15" s="105"/>
      <c r="DX15" s="98"/>
      <c r="DY15" s="279"/>
      <c r="DZ15" s="52"/>
      <c r="EA15" s="105"/>
      <c r="EB15" s="98"/>
      <c r="EC15" s="279"/>
      <c r="ED15" s="52"/>
      <c r="EE15" s="105"/>
      <c r="EF15" s="98"/>
      <c r="EG15" s="159"/>
      <c r="EH15" s="462"/>
      <c r="EI15" s="50">
        <f t="shared" si="30"/>
        <v>0</v>
      </c>
      <c r="EJ15" s="103">
        <f t="shared" si="31"/>
        <v>0</v>
      </c>
      <c r="EK15" s="164">
        <f t="shared" si="32"/>
        <v>0</v>
      </c>
      <c r="EL15" s="465">
        <f t="shared" si="33"/>
        <v>0</v>
      </c>
      <c r="EM15" s="466">
        <f t="shared" si="34"/>
        <v>0</v>
      </c>
      <c r="EN15" s="359">
        <f t="shared" si="35"/>
        <v>0</v>
      </c>
      <c r="EO15" s="51">
        <f t="shared" si="36"/>
        <v>588</v>
      </c>
      <c r="EP15" s="361">
        <f t="shared" si="37"/>
        <v>496</v>
      </c>
      <c r="EQ15" s="281"/>
      <c r="ER15" s="462"/>
      <c r="ES15" s="281"/>
      <c r="ET15" s="462"/>
      <c r="EU15" s="281"/>
      <c r="EV15" s="462"/>
      <c r="EW15" s="281"/>
      <c r="EX15" s="462"/>
      <c r="EY15" s="281"/>
      <c r="EZ15" s="462"/>
      <c r="FA15" s="281"/>
      <c r="FB15" s="462"/>
      <c r="FC15" s="281"/>
      <c r="FD15" s="462"/>
      <c r="FE15" s="281"/>
      <c r="FF15" s="462"/>
      <c r="FG15" s="281"/>
      <c r="FH15" s="462"/>
      <c r="FI15" s="281"/>
      <c r="FJ15" s="462"/>
      <c r="FK15" s="50">
        <f t="shared" si="38"/>
        <v>0</v>
      </c>
      <c r="FL15" s="466">
        <f t="shared" si="39"/>
        <v>0</v>
      </c>
      <c r="FM15" s="50">
        <f t="shared" si="21"/>
        <v>1639</v>
      </c>
      <c r="FN15" s="360">
        <f t="shared" si="22"/>
        <v>1708</v>
      </c>
      <c r="FO15" s="464"/>
      <c r="FP15" s="279"/>
      <c r="FQ15" s="52"/>
      <c r="FR15" s="296"/>
      <c r="FS15" s="98"/>
      <c r="FT15" s="467"/>
      <c r="FU15" s="52"/>
      <c r="FV15" s="296"/>
      <c r="FW15" s="98"/>
      <c r="FX15" s="467"/>
      <c r="FY15" s="52"/>
      <c r="FZ15" s="296"/>
      <c r="GA15" s="98"/>
      <c r="GB15" s="467"/>
      <c r="GC15" s="52"/>
      <c r="GD15" s="296"/>
      <c r="GE15" s="98"/>
      <c r="GF15" s="467"/>
      <c r="GG15" s="52"/>
      <c r="GH15" s="296"/>
      <c r="GI15" s="98"/>
      <c r="GJ15" s="467"/>
      <c r="GK15" s="52"/>
      <c r="GL15" s="296"/>
      <c r="GM15" s="464"/>
      <c r="GN15" s="467"/>
      <c r="GO15" s="52"/>
      <c r="GP15" s="296"/>
      <c r="GQ15" s="464"/>
      <c r="GR15" s="467"/>
      <c r="GS15" s="52"/>
      <c r="GT15" s="296"/>
      <c r="GU15" s="464"/>
      <c r="GV15" s="467"/>
      <c r="GW15" s="52"/>
      <c r="GX15" s="296"/>
      <c r="GY15" s="464"/>
      <c r="GZ15" s="467"/>
      <c r="HA15" s="52"/>
      <c r="HB15" s="296"/>
      <c r="HC15" s="464"/>
    </row>
    <row r="16" spans="1:211" s="85" customFormat="1">
      <c r="A16" s="275" t="s">
        <v>30</v>
      </c>
      <c r="B16" s="276" t="s">
        <v>466</v>
      </c>
      <c r="C16" s="275">
        <v>102368</v>
      </c>
      <c r="D16" s="340">
        <v>3</v>
      </c>
      <c r="E16" s="460"/>
      <c r="F16" s="663"/>
      <c r="G16" s="158"/>
      <c r="H16" s="663"/>
      <c r="I16" s="158">
        <v>127</v>
      </c>
      <c r="J16" s="461">
        <v>145</v>
      </c>
      <c r="K16" s="160">
        <f t="shared" si="23"/>
        <v>8.0840229153405468E-2</v>
      </c>
      <c r="L16" s="161">
        <f t="shared" si="1"/>
        <v>9.2474489795918366E-2</v>
      </c>
      <c r="M16" s="54">
        <v>1571</v>
      </c>
      <c r="N16" s="55">
        <v>185</v>
      </c>
      <c r="O16" s="55"/>
      <c r="P16" s="55"/>
      <c r="Q16" s="162">
        <f t="shared" si="24"/>
        <v>185</v>
      </c>
      <c r="R16" s="461">
        <v>1568</v>
      </c>
      <c r="S16" s="462">
        <v>223</v>
      </c>
      <c r="T16" s="462"/>
      <c r="U16" s="462">
        <v>9</v>
      </c>
      <c r="V16" s="97">
        <f t="shared" si="25"/>
        <v>232</v>
      </c>
      <c r="W16" s="279"/>
      <c r="X16" s="52"/>
      <c r="Y16" s="99"/>
      <c r="Z16" s="53"/>
      <c r="AA16" s="228"/>
      <c r="AB16" s="52"/>
      <c r="AC16" s="99"/>
      <c r="AD16" s="53"/>
      <c r="AE16" s="228"/>
      <c r="AF16" s="52"/>
      <c r="AG16" s="99"/>
      <c r="AH16" s="53"/>
      <c r="AI16" s="228"/>
      <c r="AJ16" s="52"/>
      <c r="AK16" s="99"/>
      <c r="AL16" s="53"/>
      <c r="AM16" s="228"/>
      <c r="AN16" s="52"/>
      <c r="AO16" s="99"/>
      <c r="AP16" s="53"/>
      <c r="AQ16" s="50">
        <f t="shared" si="4"/>
        <v>0</v>
      </c>
      <c r="AR16" s="163">
        <f t="shared" si="5"/>
        <v>0.59440030268634125</v>
      </c>
      <c r="AS16" s="97">
        <f t="shared" si="6"/>
        <v>0</v>
      </c>
      <c r="AT16" s="278">
        <f t="shared" si="7"/>
        <v>0.6108297623685236</v>
      </c>
      <c r="AU16" s="55"/>
      <c r="AV16" s="663"/>
      <c r="AW16" s="279">
        <v>52</v>
      </c>
      <c r="AX16" s="52">
        <v>374</v>
      </c>
      <c r="AY16" s="105">
        <v>52</v>
      </c>
      <c r="AZ16" s="98">
        <v>327</v>
      </c>
      <c r="BA16" s="279">
        <v>13</v>
      </c>
      <c r="BB16" s="52">
        <v>352</v>
      </c>
      <c r="BC16" s="105">
        <v>13</v>
      </c>
      <c r="BD16" s="98">
        <v>324</v>
      </c>
      <c r="BE16" s="279">
        <v>42</v>
      </c>
      <c r="BF16" s="52">
        <v>123</v>
      </c>
      <c r="BG16" s="105">
        <v>42</v>
      </c>
      <c r="BH16" s="98">
        <v>96</v>
      </c>
      <c r="BI16" s="279">
        <v>51</v>
      </c>
      <c r="BJ16" s="52">
        <v>31</v>
      </c>
      <c r="BK16" s="105">
        <v>44</v>
      </c>
      <c r="BL16" s="98">
        <v>32</v>
      </c>
      <c r="BM16" s="279">
        <v>44</v>
      </c>
      <c r="BN16" s="52">
        <v>20</v>
      </c>
      <c r="BO16" s="105">
        <v>51</v>
      </c>
      <c r="BP16" s="98">
        <v>25</v>
      </c>
      <c r="BQ16" s="279">
        <v>31</v>
      </c>
      <c r="BR16" s="52">
        <v>14</v>
      </c>
      <c r="BS16" s="105">
        <v>31</v>
      </c>
      <c r="BT16" s="98">
        <v>20</v>
      </c>
      <c r="BU16" s="279">
        <v>45</v>
      </c>
      <c r="BV16" s="52">
        <v>11</v>
      </c>
      <c r="BW16" s="105">
        <v>43</v>
      </c>
      <c r="BX16" s="98">
        <v>12</v>
      </c>
      <c r="BY16" s="279">
        <v>43</v>
      </c>
      <c r="BZ16" s="52">
        <v>8</v>
      </c>
      <c r="CA16" s="105">
        <v>30</v>
      </c>
      <c r="CB16" s="98">
        <v>10</v>
      </c>
      <c r="CC16" s="279">
        <v>11</v>
      </c>
      <c r="CD16" s="52">
        <v>7</v>
      </c>
      <c r="CE16" s="105">
        <v>45</v>
      </c>
      <c r="CF16" s="98">
        <v>7</v>
      </c>
      <c r="CG16" s="279">
        <v>30</v>
      </c>
      <c r="CH16" s="52">
        <v>5</v>
      </c>
      <c r="CI16" s="105">
        <v>11</v>
      </c>
      <c r="CJ16" s="98">
        <v>1</v>
      </c>
      <c r="CK16" s="281"/>
      <c r="CL16" s="462"/>
      <c r="CM16" s="159"/>
      <c r="CN16" s="462">
        <v>0</v>
      </c>
      <c r="CO16" s="50">
        <f t="shared" si="26"/>
        <v>945</v>
      </c>
      <c r="CP16" s="103">
        <f t="shared" si="27"/>
        <v>10</v>
      </c>
      <c r="CQ16" s="465">
        <f t="shared" si="28"/>
        <v>854</v>
      </c>
      <c r="CR16" s="466">
        <f t="shared" si="29"/>
        <v>10</v>
      </c>
      <c r="CS16" s="279"/>
      <c r="CT16" s="52"/>
      <c r="CU16" s="105"/>
      <c r="CV16" s="98"/>
      <c r="CW16" s="279"/>
      <c r="CX16" s="52"/>
      <c r="CY16" s="105"/>
      <c r="CZ16" s="98"/>
      <c r="DA16" s="279"/>
      <c r="DB16" s="52"/>
      <c r="DC16" s="105"/>
      <c r="DD16" s="98"/>
      <c r="DE16" s="279"/>
      <c r="DF16" s="52"/>
      <c r="DG16" s="105"/>
      <c r="DH16" s="98"/>
      <c r="DI16" s="279"/>
      <c r="DJ16" s="52"/>
      <c r="DK16" s="105"/>
      <c r="DL16" s="98"/>
      <c r="DM16" s="279"/>
      <c r="DN16" s="52"/>
      <c r="DO16" s="105"/>
      <c r="DP16" s="98"/>
      <c r="DQ16" s="279"/>
      <c r="DR16" s="52"/>
      <c r="DS16" s="105"/>
      <c r="DT16" s="98"/>
      <c r="DU16" s="279"/>
      <c r="DV16" s="52"/>
      <c r="DW16" s="105"/>
      <c r="DX16" s="98"/>
      <c r="DY16" s="279"/>
      <c r="DZ16" s="52"/>
      <c r="EA16" s="105"/>
      <c r="EB16" s="98"/>
      <c r="EC16" s="279"/>
      <c r="ED16" s="52"/>
      <c r="EE16" s="105"/>
      <c r="EF16" s="98"/>
      <c r="EG16" s="159"/>
      <c r="EH16" s="462"/>
      <c r="EI16" s="50">
        <f t="shared" si="30"/>
        <v>0</v>
      </c>
      <c r="EJ16" s="103">
        <f t="shared" si="31"/>
        <v>0</v>
      </c>
      <c r="EK16" s="164">
        <f t="shared" si="32"/>
        <v>0</v>
      </c>
      <c r="EL16" s="465">
        <f t="shared" si="33"/>
        <v>0</v>
      </c>
      <c r="EM16" s="466">
        <f t="shared" si="34"/>
        <v>0</v>
      </c>
      <c r="EN16" s="359">
        <f t="shared" si="35"/>
        <v>0</v>
      </c>
      <c r="EO16" s="51">
        <f t="shared" si="36"/>
        <v>945</v>
      </c>
      <c r="EP16" s="361">
        <f t="shared" si="37"/>
        <v>854</v>
      </c>
      <c r="EQ16" s="281"/>
      <c r="ER16" s="462"/>
      <c r="ES16" s="281"/>
      <c r="ET16" s="462"/>
      <c r="EU16" s="281"/>
      <c r="EV16" s="462"/>
      <c r="EW16" s="281"/>
      <c r="EX16" s="462"/>
      <c r="EY16" s="281"/>
      <c r="EZ16" s="462"/>
      <c r="FA16" s="281"/>
      <c r="FB16" s="462"/>
      <c r="FC16" s="281"/>
      <c r="FD16" s="462"/>
      <c r="FE16" s="281"/>
      <c r="FF16" s="462"/>
      <c r="FG16" s="281"/>
      <c r="FH16" s="462"/>
      <c r="FI16" s="281"/>
      <c r="FJ16" s="462"/>
      <c r="FK16" s="50">
        <f t="shared" si="38"/>
        <v>0</v>
      </c>
      <c r="FL16" s="466">
        <f t="shared" si="39"/>
        <v>0</v>
      </c>
      <c r="FM16" s="50">
        <f t="shared" si="21"/>
        <v>2643</v>
      </c>
      <c r="FN16" s="360">
        <f t="shared" si="22"/>
        <v>2567</v>
      </c>
      <c r="FO16" s="464"/>
      <c r="FP16" s="279"/>
      <c r="FQ16" s="52"/>
      <c r="FR16" s="296"/>
      <c r="FS16" s="98"/>
      <c r="FT16" s="467"/>
      <c r="FU16" s="52"/>
      <c r="FV16" s="296"/>
      <c r="FW16" s="98"/>
      <c r="FX16" s="467"/>
      <c r="FY16" s="52"/>
      <c r="FZ16" s="296"/>
      <c r="GA16" s="98"/>
      <c r="GB16" s="467"/>
      <c r="GC16" s="52"/>
      <c r="GD16" s="296"/>
      <c r="GE16" s="98"/>
      <c r="GF16" s="467"/>
      <c r="GG16" s="52"/>
      <c r="GH16" s="296"/>
      <c r="GI16" s="98"/>
      <c r="GJ16" s="467"/>
      <c r="GK16" s="52"/>
      <c r="GL16" s="296"/>
      <c r="GM16" s="464"/>
      <c r="GN16" s="467"/>
      <c r="GO16" s="52"/>
      <c r="GP16" s="296"/>
      <c r="GQ16" s="464"/>
      <c r="GR16" s="467"/>
      <c r="GS16" s="52"/>
      <c r="GT16" s="296"/>
      <c r="GU16" s="464"/>
      <c r="GV16" s="467"/>
      <c r="GW16" s="52"/>
      <c r="GX16" s="296"/>
      <c r="GY16" s="464"/>
      <c r="GZ16" s="467"/>
      <c r="HA16" s="52"/>
      <c r="HB16" s="296"/>
      <c r="HC16" s="464"/>
    </row>
    <row r="17" spans="1:211" s="85" customFormat="1">
      <c r="A17" s="275" t="s">
        <v>30</v>
      </c>
      <c r="B17" s="276" t="s">
        <v>467</v>
      </c>
      <c r="C17" s="275">
        <v>102094</v>
      </c>
      <c r="D17" s="340">
        <v>3</v>
      </c>
      <c r="E17" s="460">
        <v>60</v>
      </c>
      <c r="F17" s="461">
        <v>83</v>
      </c>
      <c r="G17" s="158">
        <v>29</v>
      </c>
      <c r="H17" s="461">
        <v>27</v>
      </c>
      <c r="I17" s="158"/>
      <c r="J17" s="663"/>
      <c r="K17" s="160">
        <f t="shared" si="23"/>
        <v>0</v>
      </c>
      <c r="L17" s="161">
        <f t="shared" si="1"/>
        <v>0</v>
      </c>
      <c r="M17" s="54">
        <v>1559</v>
      </c>
      <c r="N17" s="55">
        <v>243</v>
      </c>
      <c r="O17" s="55"/>
      <c r="P17" s="55"/>
      <c r="Q17" s="162">
        <f t="shared" si="24"/>
        <v>243</v>
      </c>
      <c r="R17" s="461">
        <v>1654</v>
      </c>
      <c r="S17" s="462">
        <v>224</v>
      </c>
      <c r="T17" s="462"/>
      <c r="U17" s="462"/>
      <c r="V17" s="97">
        <f t="shared" si="25"/>
        <v>224</v>
      </c>
      <c r="W17" s="279"/>
      <c r="X17" s="52"/>
      <c r="Y17" s="99"/>
      <c r="Z17" s="53"/>
      <c r="AA17" s="228"/>
      <c r="AB17" s="52"/>
      <c r="AC17" s="99"/>
      <c r="AD17" s="53"/>
      <c r="AE17" s="228"/>
      <c r="AF17" s="52"/>
      <c r="AG17" s="99"/>
      <c r="AH17" s="53"/>
      <c r="AI17" s="228"/>
      <c r="AJ17" s="52"/>
      <c r="AK17" s="99"/>
      <c r="AL17" s="53"/>
      <c r="AM17" s="228"/>
      <c r="AN17" s="52"/>
      <c r="AO17" s="99"/>
      <c r="AP17" s="53"/>
      <c r="AQ17" s="50">
        <f t="shared" si="4"/>
        <v>0</v>
      </c>
      <c r="AR17" s="163">
        <f t="shared" si="5"/>
        <v>0.61499013806706115</v>
      </c>
      <c r="AS17" s="97">
        <f t="shared" si="6"/>
        <v>0</v>
      </c>
      <c r="AT17" s="278">
        <f t="shared" si="7"/>
        <v>0.59432267337405675</v>
      </c>
      <c r="AU17" s="55">
        <v>3</v>
      </c>
      <c r="AV17" s="461">
        <v>3</v>
      </c>
      <c r="AW17" s="279">
        <v>51</v>
      </c>
      <c r="AX17" s="52">
        <v>319</v>
      </c>
      <c r="AY17" s="105">
        <v>51</v>
      </c>
      <c r="AZ17" s="98">
        <v>327</v>
      </c>
      <c r="BA17" s="279">
        <v>13</v>
      </c>
      <c r="BB17" s="52">
        <v>195</v>
      </c>
      <c r="BC17" s="105">
        <v>13</v>
      </c>
      <c r="BD17" s="98">
        <v>194</v>
      </c>
      <c r="BE17" s="279">
        <v>14</v>
      </c>
      <c r="BF17" s="52">
        <v>117</v>
      </c>
      <c r="BG17" s="105">
        <v>14</v>
      </c>
      <c r="BH17" s="98">
        <v>154</v>
      </c>
      <c r="BI17" s="279">
        <v>11</v>
      </c>
      <c r="BJ17" s="52">
        <v>37</v>
      </c>
      <c r="BK17" s="105">
        <v>11</v>
      </c>
      <c r="BL17" s="98">
        <v>41</v>
      </c>
      <c r="BM17" s="279">
        <v>52</v>
      </c>
      <c r="BN17" s="52">
        <v>31</v>
      </c>
      <c r="BO17" s="105">
        <v>23</v>
      </c>
      <c r="BP17" s="98">
        <v>12</v>
      </c>
      <c r="BQ17" s="279">
        <v>42</v>
      </c>
      <c r="BR17" s="52">
        <v>13</v>
      </c>
      <c r="BS17" s="105">
        <v>52</v>
      </c>
      <c r="BT17" s="98">
        <v>36</v>
      </c>
      <c r="BU17" s="279">
        <v>44</v>
      </c>
      <c r="BV17" s="52">
        <v>7</v>
      </c>
      <c r="BW17" s="105">
        <v>9</v>
      </c>
      <c r="BX17" s="98">
        <v>13</v>
      </c>
      <c r="BY17" s="279">
        <v>26</v>
      </c>
      <c r="BZ17" s="52">
        <v>6</v>
      </c>
      <c r="CA17" s="105">
        <v>30</v>
      </c>
      <c r="CB17" s="98">
        <v>7</v>
      </c>
      <c r="CC17" s="279">
        <v>9</v>
      </c>
      <c r="CD17" s="52">
        <v>6</v>
      </c>
      <c r="CE17" s="105">
        <v>42</v>
      </c>
      <c r="CF17" s="98">
        <v>7</v>
      </c>
      <c r="CG17" s="279">
        <v>30</v>
      </c>
      <c r="CH17" s="52">
        <v>5</v>
      </c>
      <c r="CI17" s="105">
        <v>26</v>
      </c>
      <c r="CJ17" s="98">
        <v>4</v>
      </c>
      <c r="CK17" s="281"/>
      <c r="CL17" s="462"/>
      <c r="CM17" s="159">
        <v>11</v>
      </c>
      <c r="CN17" s="468"/>
      <c r="CO17" s="50">
        <f t="shared" si="26"/>
        <v>747</v>
      </c>
      <c r="CP17" s="103">
        <f t="shared" si="27"/>
        <v>10</v>
      </c>
      <c r="CQ17" s="465">
        <f t="shared" si="28"/>
        <v>795</v>
      </c>
      <c r="CR17" s="466">
        <f t="shared" si="29"/>
        <v>10</v>
      </c>
      <c r="CS17" s="279">
        <v>51</v>
      </c>
      <c r="CT17" s="52">
        <v>55</v>
      </c>
      <c r="CU17" s="105">
        <v>51</v>
      </c>
      <c r="CV17" s="98">
        <v>139</v>
      </c>
      <c r="CW17" s="279">
        <v>13</v>
      </c>
      <c r="CX17" s="52">
        <v>9</v>
      </c>
      <c r="CY17" s="105">
        <v>13</v>
      </c>
      <c r="CZ17" s="98">
        <v>10</v>
      </c>
      <c r="DA17" s="279">
        <v>30</v>
      </c>
      <c r="DB17" s="52">
        <v>5</v>
      </c>
      <c r="DC17" s="105">
        <v>26</v>
      </c>
      <c r="DD17" s="98">
        <v>6</v>
      </c>
      <c r="DE17" s="279">
        <v>26</v>
      </c>
      <c r="DF17" s="52">
        <v>3</v>
      </c>
      <c r="DG17" s="105">
        <v>30</v>
      </c>
      <c r="DH17" s="98">
        <v>3</v>
      </c>
      <c r="DI17" s="279"/>
      <c r="DJ17" s="52"/>
      <c r="DK17" s="105"/>
      <c r="DL17" s="98"/>
      <c r="DM17" s="279"/>
      <c r="DN17" s="52"/>
      <c r="DO17" s="105"/>
      <c r="DP17" s="98"/>
      <c r="DQ17" s="279"/>
      <c r="DR17" s="52"/>
      <c r="DS17" s="105"/>
      <c r="DT17" s="98"/>
      <c r="DU17" s="279"/>
      <c r="DV17" s="52"/>
      <c r="DW17" s="105"/>
      <c r="DX17" s="98"/>
      <c r="DY17" s="279"/>
      <c r="DZ17" s="52"/>
      <c r="EA17" s="105"/>
      <c r="EB17" s="98"/>
      <c r="EC17" s="279"/>
      <c r="ED17" s="52"/>
      <c r="EE17" s="105"/>
      <c r="EF17" s="98"/>
      <c r="EG17" s="159"/>
      <c r="EH17" s="462"/>
      <c r="EI17" s="50">
        <f t="shared" si="30"/>
        <v>72</v>
      </c>
      <c r="EJ17" s="103">
        <f t="shared" si="31"/>
        <v>4</v>
      </c>
      <c r="EK17" s="164">
        <f t="shared" si="32"/>
        <v>0.76388888888888884</v>
      </c>
      <c r="EL17" s="465">
        <f t="shared" si="33"/>
        <v>158</v>
      </c>
      <c r="EM17" s="466">
        <f t="shared" si="34"/>
        <v>4</v>
      </c>
      <c r="EN17" s="359">
        <f t="shared" si="35"/>
        <v>0.879746835443038</v>
      </c>
      <c r="EO17" s="51">
        <f t="shared" si="36"/>
        <v>819</v>
      </c>
      <c r="EP17" s="361">
        <f t="shared" si="37"/>
        <v>953</v>
      </c>
      <c r="EQ17" s="281"/>
      <c r="ER17" s="462"/>
      <c r="ES17" s="281">
        <v>65</v>
      </c>
      <c r="ET17" s="470">
        <v>63</v>
      </c>
      <c r="EU17" s="281"/>
      <c r="EV17" s="462"/>
      <c r="EW17" s="281"/>
      <c r="EX17" s="462"/>
      <c r="EY17" s="281"/>
      <c r="EZ17" s="462"/>
      <c r="FA17" s="281"/>
      <c r="FB17" s="462"/>
      <c r="FC17" s="281"/>
      <c r="FD17" s="462"/>
      <c r="FE17" s="281"/>
      <c r="FF17" s="462"/>
      <c r="FG17" s="281"/>
      <c r="FH17" s="462"/>
      <c r="FI17" s="281"/>
      <c r="FJ17" s="462"/>
      <c r="FK17" s="50">
        <f t="shared" si="38"/>
        <v>65</v>
      </c>
      <c r="FL17" s="466">
        <f t="shared" si="39"/>
        <v>63</v>
      </c>
      <c r="FM17" s="50">
        <f t="shared" si="21"/>
        <v>2535</v>
      </c>
      <c r="FN17" s="360">
        <f t="shared" si="22"/>
        <v>2783</v>
      </c>
      <c r="FO17" s="464"/>
      <c r="FP17" s="279"/>
      <c r="FQ17" s="52"/>
      <c r="FR17" s="574">
        <v>51.120100000000001</v>
      </c>
      <c r="FS17" s="572">
        <v>63</v>
      </c>
      <c r="FT17" s="467"/>
      <c r="FU17" s="52"/>
      <c r="FV17" s="296"/>
      <c r="FW17" s="98"/>
      <c r="FX17" s="467"/>
      <c r="FY17" s="52"/>
      <c r="FZ17" s="296"/>
      <c r="GA17" s="98"/>
      <c r="GB17" s="467"/>
      <c r="GC17" s="52"/>
      <c r="GD17" s="296"/>
      <c r="GE17" s="98"/>
      <c r="GF17" s="467"/>
      <c r="GG17" s="52"/>
      <c r="GH17" s="296"/>
      <c r="GI17" s="98"/>
      <c r="GJ17" s="467"/>
      <c r="GK17" s="52"/>
      <c r="GL17" s="296"/>
      <c r="GM17" s="464"/>
      <c r="GN17" s="467"/>
      <c r="GO17" s="52"/>
      <c r="GP17" s="296"/>
      <c r="GQ17" s="464"/>
      <c r="GR17" s="467"/>
      <c r="GS17" s="52"/>
      <c r="GT17" s="296"/>
      <c r="GU17" s="464"/>
      <c r="GV17" s="467"/>
      <c r="GW17" s="52"/>
      <c r="GX17" s="296"/>
      <c r="GY17" s="464"/>
      <c r="GZ17" s="467"/>
      <c r="HA17" s="52"/>
      <c r="HB17" s="296"/>
      <c r="HC17" s="464"/>
    </row>
    <row r="18" spans="1:211" s="85" customFormat="1">
      <c r="A18" s="275" t="s">
        <v>30</v>
      </c>
      <c r="B18" s="276" t="s">
        <v>468</v>
      </c>
      <c r="C18" s="275">
        <v>100724</v>
      </c>
      <c r="D18" s="340">
        <v>4</v>
      </c>
      <c r="E18" s="460"/>
      <c r="F18" s="663"/>
      <c r="G18" s="158"/>
      <c r="H18" s="663"/>
      <c r="I18" s="158"/>
      <c r="J18" s="663"/>
      <c r="K18" s="160">
        <f t="shared" si="23"/>
        <v>0</v>
      </c>
      <c r="L18" s="161">
        <f t="shared" si="1"/>
        <v>0</v>
      </c>
      <c r="M18" s="54">
        <v>457</v>
      </c>
      <c r="N18" s="55">
        <v>89</v>
      </c>
      <c r="O18" s="55"/>
      <c r="P18" s="55"/>
      <c r="Q18" s="162">
        <f t="shared" si="24"/>
        <v>89</v>
      </c>
      <c r="R18" s="461">
        <v>497</v>
      </c>
      <c r="S18" s="462">
        <v>91</v>
      </c>
      <c r="T18" s="462"/>
      <c r="U18" s="462"/>
      <c r="V18" s="97">
        <f t="shared" si="25"/>
        <v>91</v>
      </c>
      <c r="W18" s="279"/>
      <c r="X18" s="52"/>
      <c r="Y18" s="99"/>
      <c r="Z18" s="53"/>
      <c r="AA18" s="228"/>
      <c r="AB18" s="52"/>
      <c r="AC18" s="99"/>
      <c r="AD18" s="53"/>
      <c r="AE18" s="228"/>
      <c r="AF18" s="52"/>
      <c r="AG18" s="99"/>
      <c r="AH18" s="53"/>
      <c r="AI18" s="228"/>
      <c r="AJ18" s="52"/>
      <c r="AK18" s="99"/>
      <c r="AL18" s="53"/>
      <c r="AM18" s="228"/>
      <c r="AN18" s="52"/>
      <c r="AO18" s="99"/>
      <c r="AP18" s="53"/>
      <c r="AQ18" s="50">
        <f t="shared" si="4"/>
        <v>0</v>
      </c>
      <c r="AR18" s="163">
        <f t="shared" si="5"/>
        <v>0.67503692762186118</v>
      </c>
      <c r="AS18" s="97">
        <f t="shared" si="6"/>
        <v>0</v>
      </c>
      <c r="AT18" s="278">
        <f t="shared" si="7"/>
        <v>0.58816568047337281</v>
      </c>
      <c r="AU18" s="55"/>
      <c r="AV18" s="663"/>
      <c r="AW18" s="279">
        <v>13</v>
      </c>
      <c r="AX18" s="52">
        <v>177</v>
      </c>
      <c r="AY18" s="105">
        <v>13</v>
      </c>
      <c r="AZ18" s="98">
        <v>195</v>
      </c>
      <c r="BA18" s="279">
        <v>44</v>
      </c>
      <c r="BB18" s="52">
        <v>15</v>
      </c>
      <c r="BC18" s="105">
        <v>44</v>
      </c>
      <c r="BD18" s="98">
        <v>18</v>
      </c>
      <c r="BE18" s="279">
        <v>52</v>
      </c>
      <c r="BF18" s="52">
        <v>6</v>
      </c>
      <c r="BG18" s="105">
        <v>52</v>
      </c>
      <c r="BH18" s="98">
        <v>12</v>
      </c>
      <c r="BI18" s="279">
        <v>27</v>
      </c>
      <c r="BJ18" s="52">
        <v>1</v>
      </c>
      <c r="BK18" s="105">
        <v>51</v>
      </c>
      <c r="BL18" s="98">
        <v>8</v>
      </c>
      <c r="BM18" s="279"/>
      <c r="BN18" s="52"/>
      <c r="BO18" s="105">
        <v>26</v>
      </c>
      <c r="BP18" s="98">
        <v>6</v>
      </c>
      <c r="BQ18" s="279"/>
      <c r="BR18" s="52"/>
      <c r="BS18" s="105">
        <v>27</v>
      </c>
      <c r="BT18" s="98">
        <v>1</v>
      </c>
      <c r="BU18" s="279"/>
      <c r="BV18" s="52"/>
      <c r="BW18" s="105"/>
      <c r="BX18" s="98"/>
      <c r="BY18" s="279"/>
      <c r="BZ18" s="52"/>
      <c r="CA18" s="105"/>
      <c r="CB18" s="98"/>
      <c r="CC18" s="279"/>
      <c r="CD18" s="52"/>
      <c r="CE18" s="105"/>
      <c r="CF18" s="98"/>
      <c r="CG18" s="279"/>
      <c r="CH18" s="52"/>
      <c r="CI18" s="105"/>
      <c r="CJ18" s="98"/>
      <c r="CK18" s="281"/>
      <c r="CL18" s="462"/>
      <c r="CM18" s="159"/>
      <c r="CN18" s="462"/>
      <c r="CO18" s="50">
        <f t="shared" si="26"/>
        <v>199</v>
      </c>
      <c r="CP18" s="103">
        <f t="shared" si="27"/>
        <v>4</v>
      </c>
      <c r="CQ18" s="465">
        <f t="shared" si="28"/>
        <v>240</v>
      </c>
      <c r="CR18" s="466">
        <f t="shared" si="29"/>
        <v>6</v>
      </c>
      <c r="CS18" s="279">
        <v>51</v>
      </c>
      <c r="CT18" s="52">
        <v>12</v>
      </c>
      <c r="CU18" s="105">
        <v>51</v>
      </c>
      <c r="CV18" s="98">
        <v>50</v>
      </c>
      <c r="CW18" s="279">
        <v>13</v>
      </c>
      <c r="CX18" s="52">
        <v>9</v>
      </c>
      <c r="CY18" s="105">
        <v>13</v>
      </c>
      <c r="CZ18" s="98">
        <v>8</v>
      </c>
      <c r="DA18" s="279"/>
      <c r="DB18" s="52"/>
      <c r="DC18" s="105"/>
      <c r="DD18" s="98"/>
      <c r="DE18" s="279"/>
      <c r="DF18" s="52"/>
      <c r="DG18" s="105"/>
      <c r="DH18" s="98"/>
      <c r="DI18" s="279"/>
      <c r="DJ18" s="52"/>
      <c r="DK18" s="105"/>
      <c r="DL18" s="98"/>
      <c r="DM18" s="279"/>
      <c r="DN18" s="52"/>
      <c r="DO18" s="105"/>
      <c r="DP18" s="98"/>
      <c r="DQ18" s="279"/>
      <c r="DR18" s="52"/>
      <c r="DS18" s="105"/>
      <c r="DT18" s="98"/>
      <c r="DU18" s="279"/>
      <c r="DV18" s="52"/>
      <c r="DW18" s="105"/>
      <c r="DX18" s="98"/>
      <c r="DY18" s="279"/>
      <c r="DZ18" s="52"/>
      <c r="EA18" s="105"/>
      <c r="EB18" s="98"/>
      <c r="EC18" s="279"/>
      <c r="ED18" s="52"/>
      <c r="EE18" s="105"/>
      <c r="EF18" s="98"/>
      <c r="EG18" s="159"/>
      <c r="EH18" s="462"/>
      <c r="EI18" s="50">
        <f t="shared" si="30"/>
        <v>21</v>
      </c>
      <c r="EJ18" s="103">
        <f t="shared" si="31"/>
        <v>2</v>
      </c>
      <c r="EK18" s="164">
        <f t="shared" si="32"/>
        <v>0.5714285714285714</v>
      </c>
      <c r="EL18" s="465">
        <f t="shared" si="33"/>
        <v>58</v>
      </c>
      <c r="EM18" s="466">
        <f t="shared" si="34"/>
        <v>2</v>
      </c>
      <c r="EN18" s="359">
        <f t="shared" si="35"/>
        <v>0.86206896551724133</v>
      </c>
      <c r="EO18" s="51">
        <f t="shared" si="36"/>
        <v>220</v>
      </c>
      <c r="EP18" s="361">
        <f t="shared" si="37"/>
        <v>298</v>
      </c>
      <c r="EQ18" s="281"/>
      <c r="ER18" s="462"/>
      <c r="ES18" s="281"/>
      <c r="ET18" s="462"/>
      <c r="EU18" s="281"/>
      <c r="EV18" s="462"/>
      <c r="EW18" s="281"/>
      <c r="EX18" s="462"/>
      <c r="EY18" s="281"/>
      <c r="EZ18" s="462"/>
      <c r="FA18" s="281"/>
      <c r="FB18" s="462"/>
      <c r="FC18" s="281"/>
      <c r="FD18" s="462"/>
      <c r="FE18" s="281"/>
      <c r="FF18" s="462"/>
      <c r="FG18" s="281"/>
      <c r="FH18" s="462"/>
      <c r="FI18" s="281"/>
      <c r="FJ18" s="462">
        <v>50</v>
      </c>
      <c r="FK18" s="50">
        <f t="shared" si="38"/>
        <v>0</v>
      </c>
      <c r="FL18" s="466">
        <f t="shared" si="39"/>
        <v>50</v>
      </c>
      <c r="FM18" s="50">
        <f t="shared" si="21"/>
        <v>677</v>
      </c>
      <c r="FN18" s="360">
        <f t="shared" si="22"/>
        <v>845</v>
      </c>
      <c r="FO18" s="464"/>
      <c r="FP18" s="279"/>
      <c r="FQ18" s="52"/>
      <c r="FR18" s="573">
        <v>51.230800000000002</v>
      </c>
      <c r="FS18" s="98">
        <v>50</v>
      </c>
      <c r="FT18" s="467"/>
      <c r="FU18" s="52"/>
      <c r="FV18" s="296"/>
      <c r="FW18" s="98"/>
      <c r="FX18" s="467"/>
      <c r="FY18" s="52"/>
      <c r="FZ18" s="296"/>
      <c r="GA18" s="98"/>
      <c r="GB18" s="467"/>
      <c r="GC18" s="52"/>
      <c r="GD18" s="296"/>
      <c r="GE18" s="98"/>
      <c r="GF18" s="467"/>
      <c r="GG18" s="52"/>
      <c r="GH18" s="296"/>
      <c r="GI18" s="98"/>
      <c r="GJ18" s="467"/>
      <c r="GK18" s="52"/>
      <c r="GL18" s="296"/>
      <c r="GM18" s="464"/>
      <c r="GN18" s="467"/>
      <c r="GO18" s="52"/>
      <c r="GP18" s="296"/>
      <c r="GQ18" s="464"/>
      <c r="GR18" s="467"/>
      <c r="GS18" s="52"/>
      <c r="GT18" s="296"/>
      <c r="GU18" s="464"/>
      <c r="GV18" s="467"/>
      <c r="GW18" s="52"/>
      <c r="GX18" s="296"/>
      <c r="GY18" s="464"/>
      <c r="GZ18" s="467"/>
      <c r="HA18" s="52"/>
      <c r="HB18" s="296"/>
      <c r="HC18" s="464"/>
    </row>
    <row r="19" spans="1:211" s="85" customFormat="1">
      <c r="A19" s="275" t="s">
        <v>30</v>
      </c>
      <c r="B19" s="276" t="s">
        <v>469</v>
      </c>
      <c r="C19" s="275">
        <v>100830</v>
      </c>
      <c r="D19" s="340">
        <v>4</v>
      </c>
      <c r="E19" s="460"/>
      <c r="F19" s="663"/>
      <c r="G19" s="158"/>
      <c r="H19" s="663"/>
      <c r="I19" s="158"/>
      <c r="J19" s="663"/>
      <c r="K19" s="160">
        <f t="shared" si="23"/>
        <v>0</v>
      </c>
      <c r="L19" s="161">
        <f t="shared" si="1"/>
        <v>0</v>
      </c>
      <c r="M19" s="54">
        <v>678</v>
      </c>
      <c r="N19" s="55">
        <v>85</v>
      </c>
      <c r="O19" s="55"/>
      <c r="P19" s="55"/>
      <c r="Q19" s="162">
        <f t="shared" si="24"/>
        <v>85</v>
      </c>
      <c r="R19" s="461">
        <v>651</v>
      </c>
      <c r="S19" s="462">
        <v>86</v>
      </c>
      <c r="T19" s="462"/>
      <c r="U19" s="462">
        <v>8</v>
      </c>
      <c r="V19" s="97">
        <f t="shared" si="25"/>
        <v>94</v>
      </c>
      <c r="W19" s="279"/>
      <c r="X19" s="52"/>
      <c r="Y19" s="99"/>
      <c r="Z19" s="53"/>
      <c r="AA19" s="228"/>
      <c r="AB19" s="52"/>
      <c r="AC19" s="99"/>
      <c r="AD19" s="53"/>
      <c r="AE19" s="228"/>
      <c r="AF19" s="52"/>
      <c r="AG19" s="99"/>
      <c r="AH19" s="53"/>
      <c r="AI19" s="228"/>
      <c r="AJ19" s="52"/>
      <c r="AK19" s="99"/>
      <c r="AL19" s="53"/>
      <c r="AM19" s="228"/>
      <c r="AN19" s="52"/>
      <c r="AO19" s="99"/>
      <c r="AP19" s="53"/>
      <c r="AQ19" s="50">
        <f t="shared" si="4"/>
        <v>0</v>
      </c>
      <c r="AR19" s="163">
        <f t="shared" si="5"/>
        <v>0.7369565217391304</v>
      </c>
      <c r="AS19" s="97">
        <f t="shared" si="6"/>
        <v>0</v>
      </c>
      <c r="AT19" s="278">
        <f t="shared" si="7"/>
        <v>0.7217294900221729</v>
      </c>
      <c r="AU19" s="55"/>
      <c r="AV19" s="663"/>
      <c r="AW19" s="279">
        <v>13</v>
      </c>
      <c r="AX19" s="52">
        <v>107</v>
      </c>
      <c r="AY19" s="105">
        <v>13</v>
      </c>
      <c r="AZ19" s="98">
        <v>112</v>
      </c>
      <c r="BA19" s="279">
        <v>52</v>
      </c>
      <c r="BB19" s="52">
        <v>58</v>
      </c>
      <c r="BC19" s="105">
        <v>52</v>
      </c>
      <c r="BD19" s="98">
        <v>78</v>
      </c>
      <c r="BE19" s="279">
        <v>43</v>
      </c>
      <c r="BF19" s="52">
        <v>31</v>
      </c>
      <c r="BG19" s="105">
        <v>43</v>
      </c>
      <c r="BH19" s="98">
        <v>29</v>
      </c>
      <c r="BI19" s="279">
        <v>44</v>
      </c>
      <c r="BJ19" s="52">
        <v>28</v>
      </c>
      <c r="BK19" s="105">
        <v>44</v>
      </c>
      <c r="BL19" s="98">
        <v>21</v>
      </c>
      <c r="BM19" s="279">
        <v>42</v>
      </c>
      <c r="BN19" s="52">
        <v>11</v>
      </c>
      <c r="BO19" s="105">
        <v>24</v>
      </c>
      <c r="BP19" s="98">
        <v>6</v>
      </c>
      <c r="BQ19" s="279">
        <v>24</v>
      </c>
      <c r="BR19" s="52">
        <v>5</v>
      </c>
      <c r="BS19" s="105">
        <v>42</v>
      </c>
      <c r="BT19" s="98">
        <v>4</v>
      </c>
      <c r="BU19" s="279">
        <v>45</v>
      </c>
      <c r="BV19" s="52">
        <v>2</v>
      </c>
      <c r="BW19" s="105">
        <v>45</v>
      </c>
      <c r="BX19" s="98">
        <v>1</v>
      </c>
      <c r="BY19" s="279"/>
      <c r="BZ19" s="52"/>
      <c r="CA19" s="105"/>
      <c r="CB19" s="98"/>
      <c r="CC19" s="279"/>
      <c r="CD19" s="52"/>
      <c r="CE19" s="105"/>
      <c r="CF19" s="98"/>
      <c r="CG19" s="279"/>
      <c r="CH19" s="52"/>
      <c r="CI19" s="105"/>
      <c r="CJ19" s="98"/>
      <c r="CK19" s="281"/>
      <c r="CL19" s="462"/>
      <c r="CM19" s="159"/>
      <c r="CN19" s="462"/>
      <c r="CO19" s="50">
        <f t="shared" si="26"/>
        <v>242</v>
      </c>
      <c r="CP19" s="103">
        <f t="shared" si="27"/>
        <v>7</v>
      </c>
      <c r="CQ19" s="465">
        <f t="shared" si="28"/>
        <v>251</v>
      </c>
      <c r="CR19" s="466">
        <f t="shared" si="29"/>
        <v>7</v>
      </c>
      <c r="CS19" s="279"/>
      <c r="CT19" s="52"/>
      <c r="CU19" s="105"/>
      <c r="CV19" s="98"/>
      <c r="CW19" s="279"/>
      <c r="CX19" s="52"/>
      <c r="CY19" s="105"/>
      <c r="CZ19" s="98"/>
      <c r="DA19" s="279"/>
      <c r="DB19" s="52"/>
      <c r="DC19" s="105"/>
      <c r="DD19" s="98"/>
      <c r="DE19" s="279"/>
      <c r="DF19" s="52"/>
      <c r="DG19" s="105"/>
      <c r="DH19" s="98"/>
      <c r="DI19" s="279"/>
      <c r="DJ19" s="52"/>
      <c r="DK19" s="105"/>
      <c r="DL19" s="98"/>
      <c r="DM19" s="279"/>
      <c r="DN19" s="52"/>
      <c r="DO19" s="105"/>
      <c r="DP19" s="98"/>
      <c r="DQ19" s="279"/>
      <c r="DR19" s="52"/>
      <c r="DS19" s="105"/>
      <c r="DT19" s="98"/>
      <c r="DU19" s="279"/>
      <c r="DV19" s="52"/>
      <c r="DW19" s="105"/>
      <c r="DX19" s="98"/>
      <c r="DY19" s="279"/>
      <c r="DZ19" s="52"/>
      <c r="EA19" s="105"/>
      <c r="EB19" s="98"/>
      <c r="EC19" s="279"/>
      <c r="ED19" s="52"/>
      <c r="EE19" s="105"/>
      <c r="EF19" s="98"/>
      <c r="EG19" s="159"/>
      <c r="EH19" s="462"/>
      <c r="EI19" s="50">
        <f t="shared" si="30"/>
        <v>0</v>
      </c>
      <c r="EJ19" s="103">
        <f t="shared" si="31"/>
        <v>0</v>
      </c>
      <c r="EK19" s="164">
        <f t="shared" si="32"/>
        <v>0</v>
      </c>
      <c r="EL19" s="465">
        <f t="shared" si="33"/>
        <v>0</v>
      </c>
      <c r="EM19" s="466">
        <f t="shared" si="34"/>
        <v>0</v>
      </c>
      <c r="EN19" s="359">
        <f t="shared" si="35"/>
        <v>0</v>
      </c>
      <c r="EO19" s="51">
        <f t="shared" si="36"/>
        <v>242</v>
      </c>
      <c r="EP19" s="361">
        <f t="shared" si="37"/>
        <v>251</v>
      </c>
      <c r="EQ19" s="281"/>
      <c r="ER19" s="462"/>
      <c r="ES19" s="281"/>
      <c r="ET19" s="462"/>
      <c r="EU19" s="281"/>
      <c r="EV19" s="462"/>
      <c r="EW19" s="281"/>
      <c r="EX19" s="462"/>
      <c r="EY19" s="281"/>
      <c r="EZ19" s="462"/>
      <c r="FA19" s="281"/>
      <c r="FB19" s="462"/>
      <c r="FC19" s="281"/>
      <c r="FD19" s="462"/>
      <c r="FE19" s="281"/>
      <c r="FF19" s="462"/>
      <c r="FG19" s="281"/>
      <c r="FH19" s="462"/>
      <c r="FI19" s="281"/>
      <c r="FJ19" s="462"/>
      <c r="FK19" s="50">
        <f t="shared" si="38"/>
        <v>0</v>
      </c>
      <c r="FL19" s="466">
        <f t="shared" si="39"/>
        <v>0</v>
      </c>
      <c r="FM19" s="50">
        <f t="shared" si="21"/>
        <v>920</v>
      </c>
      <c r="FN19" s="360">
        <f t="shared" si="22"/>
        <v>902</v>
      </c>
      <c r="FO19" s="464"/>
      <c r="FP19" s="279"/>
      <c r="FQ19" s="52"/>
      <c r="FR19" s="296"/>
      <c r="FS19" s="98"/>
      <c r="FT19" s="467"/>
      <c r="FU19" s="52"/>
      <c r="FV19" s="296"/>
      <c r="FW19" s="98"/>
      <c r="FX19" s="467"/>
      <c r="FY19" s="52"/>
      <c r="FZ19" s="296"/>
      <c r="GA19" s="98"/>
      <c r="GB19" s="467"/>
      <c r="GC19" s="52"/>
      <c r="GD19" s="296"/>
      <c r="GE19" s="98"/>
      <c r="GF19" s="467"/>
      <c r="GG19" s="52"/>
      <c r="GH19" s="296"/>
      <c r="GI19" s="98"/>
      <c r="GJ19" s="467"/>
      <c r="GK19" s="52"/>
      <c r="GL19" s="296"/>
      <c r="GM19" s="464"/>
      <c r="GN19" s="467"/>
      <c r="GO19" s="52"/>
      <c r="GP19" s="296"/>
      <c r="GQ19" s="464"/>
      <c r="GR19" s="467"/>
      <c r="GS19" s="52"/>
      <c r="GT19" s="296"/>
      <c r="GU19" s="464"/>
      <c r="GV19" s="467"/>
      <c r="GW19" s="52"/>
      <c r="GX19" s="296"/>
      <c r="GY19" s="464"/>
      <c r="GZ19" s="467"/>
      <c r="HA19" s="52"/>
      <c r="HB19" s="296"/>
      <c r="HC19" s="464"/>
    </row>
    <row r="20" spans="1:211" s="85" customFormat="1">
      <c r="A20" s="275" t="s">
        <v>30</v>
      </c>
      <c r="B20" s="276" t="s">
        <v>470</v>
      </c>
      <c r="C20" s="275">
        <v>101879</v>
      </c>
      <c r="D20" s="340">
        <v>4</v>
      </c>
      <c r="E20" s="460"/>
      <c r="F20" s="663"/>
      <c r="G20" s="158"/>
      <c r="H20" s="663"/>
      <c r="I20" s="158"/>
      <c r="J20" s="663"/>
      <c r="K20" s="160">
        <f t="shared" si="23"/>
        <v>0</v>
      </c>
      <c r="L20" s="161">
        <f t="shared" si="1"/>
        <v>0</v>
      </c>
      <c r="M20" s="54">
        <v>845</v>
      </c>
      <c r="N20" s="55">
        <v>78</v>
      </c>
      <c r="O20" s="55"/>
      <c r="P20" s="55">
        <v>65</v>
      </c>
      <c r="Q20" s="162">
        <f t="shared" si="24"/>
        <v>143</v>
      </c>
      <c r="R20" s="461">
        <v>901</v>
      </c>
      <c r="S20" s="462">
        <v>90</v>
      </c>
      <c r="T20" s="462"/>
      <c r="U20" s="462">
        <v>35</v>
      </c>
      <c r="V20" s="97">
        <f t="shared" si="25"/>
        <v>125</v>
      </c>
      <c r="W20" s="279"/>
      <c r="X20" s="52"/>
      <c r="Y20" s="99"/>
      <c r="Z20" s="53"/>
      <c r="AA20" s="228"/>
      <c r="AB20" s="52"/>
      <c r="AC20" s="99"/>
      <c r="AD20" s="53"/>
      <c r="AE20" s="228"/>
      <c r="AF20" s="52"/>
      <c r="AG20" s="99"/>
      <c r="AH20" s="53"/>
      <c r="AI20" s="228"/>
      <c r="AJ20" s="52"/>
      <c r="AK20" s="99"/>
      <c r="AL20" s="53"/>
      <c r="AM20" s="228"/>
      <c r="AN20" s="52"/>
      <c r="AO20" s="99"/>
      <c r="AP20" s="53"/>
      <c r="AQ20" s="50">
        <f t="shared" si="4"/>
        <v>0</v>
      </c>
      <c r="AR20" s="163">
        <f t="shared" si="5"/>
        <v>0.63677467972871138</v>
      </c>
      <c r="AS20" s="97">
        <f t="shared" si="6"/>
        <v>0</v>
      </c>
      <c r="AT20" s="278">
        <f t="shared" si="7"/>
        <v>0.6018704074816299</v>
      </c>
      <c r="AU20" s="55"/>
      <c r="AV20" s="663"/>
      <c r="AW20" s="279">
        <v>52</v>
      </c>
      <c r="AX20" s="52">
        <v>302</v>
      </c>
      <c r="AY20" s="105">
        <v>52</v>
      </c>
      <c r="AZ20" s="98">
        <v>417</v>
      </c>
      <c r="BA20" s="279">
        <v>13</v>
      </c>
      <c r="BB20" s="52">
        <v>127</v>
      </c>
      <c r="BC20" s="105">
        <v>13</v>
      </c>
      <c r="BD20" s="98">
        <v>100</v>
      </c>
      <c r="BE20" s="279">
        <v>42</v>
      </c>
      <c r="BF20" s="52">
        <v>17</v>
      </c>
      <c r="BG20" s="105">
        <v>42</v>
      </c>
      <c r="BH20" s="98">
        <v>25</v>
      </c>
      <c r="BI20" s="279">
        <v>51</v>
      </c>
      <c r="BJ20" s="52">
        <v>10</v>
      </c>
      <c r="BK20" s="105">
        <v>23</v>
      </c>
      <c r="BL20" s="98">
        <v>14</v>
      </c>
      <c r="BM20" s="279">
        <v>31</v>
      </c>
      <c r="BN20" s="52">
        <v>10</v>
      </c>
      <c r="BO20" s="105">
        <v>51</v>
      </c>
      <c r="BP20" s="98">
        <v>14</v>
      </c>
      <c r="BQ20" s="279">
        <v>43</v>
      </c>
      <c r="BR20" s="52">
        <v>9</v>
      </c>
      <c r="BS20" s="105">
        <v>31</v>
      </c>
      <c r="BT20" s="98">
        <v>12</v>
      </c>
      <c r="BU20" s="279">
        <v>23</v>
      </c>
      <c r="BV20" s="52">
        <v>7</v>
      </c>
      <c r="BW20" s="105">
        <v>54</v>
      </c>
      <c r="BX20" s="98">
        <v>9</v>
      </c>
      <c r="BY20" s="279"/>
      <c r="BZ20" s="52"/>
      <c r="CA20" s="105">
        <v>43</v>
      </c>
      <c r="CB20" s="98">
        <v>5</v>
      </c>
      <c r="CC20" s="279"/>
      <c r="CD20" s="52"/>
      <c r="CE20" s="105"/>
      <c r="CF20" s="98"/>
      <c r="CG20" s="279"/>
      <c r="CH20" s="52"/>
      <c r="CI20" s="105"/>
      <c r="CJ20" s="98"/>
      <c r="CK20" s="281"/>
      <c r="CL20" s="462"/>
      <c r="CM20" s="159"/>
      <c r="CN20" s="462"/>
      <c r="CO20" s="50">
        <f t="shared" si="26"/>
        <v>482</v>
      </c>
      <c r="CP20" s="103">
        <f t="shared" si="27"/>
        <v>7</v>
      </c>
      <c r="CQ20" s="465">
        <f t="shared" si="28"/>
        <v>596</v>
      </c>
      <c r="CR20" s="466">
        <f t="shared" si="29"/>
        <v>8</v>
      </c>
      <c r="CS20" s="279"/>
      <c r="CT20" s="52"/>
      <c r="CU20" s="105"/>
      <c r="CV20" s="98"/>
      <c r="CW20" s="279"/>
      <c r="CX20" s="52"/>
      <c r="CY20" s="105"/>
      <c r="CZ20" s="98"/>
      <c r="DA20" s="279"/>
      <c r="DB20" s="52"/>
      <c r="DC20" s="105"/>
      <c r="DD20" s="98"/>
      <c r="DE20" s="279"/>
      <c r="DF20" s="52"/>
      <c r="DG20" s="105"/>
      <c r="DH20" s="98"/>
      <c r="DI20" s="279"/>
      <c r="DJ20" s="52"/>
      <c r="DK20" s="105"/>
      <c r="DL20" s="98"/>
      <c r="DM20" s="279"/>
      <c r="DN20" s="52"/>
      <c r="DO20" s="105"/>
      <c r="DP20" s="98"/>
      <c r="DQ20" s="279"/>
      <c r="DR20" s="52"/>
      <c r="DS20" s="105"/>
      <c r="DT20" s="98"/>
      <c r="DU20" s="279"/>
      <c r="DV20" s="52"/>
      <c r="DW20" s="105"/>
      <c r="DX20" s="98"/>
      <c r="DY20" s="279"/>
      <c r="DZ20" s="52"/>
      <c r="EA20" s="105"/>
      <c r="EB20" s="98"/>
      <c r="EC20" s="279"/>
      <c r="ED20" s="52"/>
      <c r="EE20" s="105"/>
      <c r="EF20" s="98"/>
      <c r="EG20" s="159"/>
      <c r="EH20" s="462"/>
      <c r="EI20" s="50">
        <f t="shared" si="30"/>
        <v>0</v>
      </c>
      <c r="EJ20" s="103">
        <f t="shared" si="31"/>
        <v>0</v>
      </c>
      <c r="EK20" s="164">
        <f t="shared" si="32"/>
        <v>0</v>
      </c>
      <c r="EL20" s="465">
        <f t="shared" si="33"/>
        <v>0</v>
      </c>
      <c r="EM20" s="466">
        <f t="shared" si="34"/>
        <v>0</v>
      </c>
      <c r="EN20" s="359">
        <f t="shared" si="35"/>
        <v>0</v>
      </c>
      <c r="EO20" s="51">
        <f t="shared" si="36"/>
        <v>482</v>
      </c>
      <c r="EP20" s="361">
        <f t="shared" si="37"/>
        <v>596</v>
      </c>
      <c r="EQ20" s="281"/>
      <c r="ER20" s="462"/>
      <c r="ES20" s="281"/>
      <c r="ET20" s="462"/>
      <c r="EU20" s="281"/>
      <c r="EV20" s="462"/>
      <c r="EW20" s="281"/>
      <c r="EX20" s="462"/>
      <c r="EY20" s="281"/>
      <c r="EZ20" s="462"/>
      <c r="FA20" s="281"/>
      <c r="FB20" s="462"/>
      <c r="FC20" s="281"/>
      <c r="FD20" s="462"/>
      <c r="FE20" s="281"/>
      <c r="FF20" s="462"/>
      <c r="FG20" s="281"/>
      <c r="FH20" s="462"/>
      <c r="FI20" s="281"/>
      <c r="FJ20" s="462"/>
      <c r="FK20" s="50">
        <f t="shared" si="38"/>
        <v>0</v>
      </c>
      <c r="FL20" s="466">
        <f t="shared" si="39"/>
        <v>0</v>
      </c>
      <c r="FM20" s="50">
        <f t="shared" si="21"/>
        <v>1327</v>
      </c>
      <c r="FN20" s="360">
        <f t="shared" si="22"/>
        <v>1497</v>
      </c>
      <c r="FO20" s="464"/>
      <c r="FP20" s="279"/>
      <c r="FQ20" s="52"/>
      <c r="FR20" s="296"/>
      <c r="FS20" s="98"/>
      <c r="FT20" s="467"/>
      <c r="FU20" s="52"/>
      <c r="FV20" s="296"/>
      <c r="FW20" s="98"/>
      <c r="FX20" s="467"/>
      <c r="FY20" s="52"/>
      <c r="FZ20" s="296"/>
      <c r="GA20" s="98"/>
      <c r="GB20" s="467"/>
      <c r="GC20" s="52"/>
      <c r="GD20" s="296"/>
      <c r="GE20" s="98"/>
      <c r="GF20" s="467"/>
      <c r="GG20" s="52"/>
      <c r="GH20" s="296"/>
      <c r="GI20" s="98"/>
      <c r="GJ20" s="467"/>
      <c r="GK20" s="52"/>
      <c r="GL20" s="296"/>
      <c r="GM20" s="464"/>
      <c r="GN20" s="467"/>
      <c r="GO20" s="52"/>
      <c r="GP20" s="296"/>
      <c r="GQ20" s="464"/>
      <c r="GR20" s="467"/>
      <c r="GS20" s="52"/>
      <c r="GT20" s="296"/>
      <c r="GU20" s="464"/>
      <c r="GV20" s="467"/>
      <c r="GW20" s="52"/>
      <c r="GX20" s="296"/>
      <c r="GY20" s="464"/>
      <c r="GZ20" s="467"/>
      <c r="HA20" s="52"/>
      <c r="HB20" s="296"/>
      <c r="HC20" s="464"/>
    </row>
    <row r="21" spans="1:211" s="85" customFormat="1">
      <c r="A21" s="275" t="s">
        <v>30</v>
      </c>
      <c r="B21" s="276" t="s">
        <v>471</v>
      </c>
      <c r="C21" s="275">
        <v>101709</v>
      </c>
      <c r="D21" s="340">
        <v>5</v>
      </c>
      <c r="E21" s="460"/>
      <c r="F21" s="663"/>
      <c r="G21" s="158"/>
      <c r="H21" s="663"/>
      <c r="I21" s="158"/>
      <c r="J21" s="663"/>
      <c r="K21" s="160">
        <f t="shared" si="23"/>
        <v>0</v>
      </c>
      <c r="L21" s="161">
        <f t="shared" si="1"/>
        <v>0</v>
      </c>
      <c r="M21" s="54">
        <v>411</v>
      </c>
      <c r="N21" s="55">
        <v>46</v>
      </c>
      <c r="O21" s="55"/>
      <c r="P21" s="55">
        <v>4</v>
      </c>
      <c r="Q21" s="162">
        <f t="shared" si="24"/>
        <v>50</v>
      </c>
      <c r="R21" s="461">
        <v>458</v>
      </c>
      <c r="S21" s="462">
        <v>45</v>
      </c>
      <c r="T21" s="462"/>
      <c r="U21" s="462">
        <v>3</v>
      </c>
      <c r="V21" s="97">
        <f t="shared" si="25"/>
        <v>48</v>
      </c>
      <c r="W21" s="279"/>
      <c r="X21" s="52"/>
      <c r="Y21" s="99"/>
      <c r="Z21" s="53"/>
      <c r="AA21" s="228"/>
      <c r="AB21" s="52"/>
      <c r="AC21" s="99"/>
      <c r="AD21" s="53"/>
      <c r="AE21" s="228"/>
      <c r="AF21" s="52"/>
      <c r="AG21" s="99"/>
      <c r="AH21" s="53"/>
      <c r="AI21" s="228"/>
      <c r="AJ21" s="52"/>
      <c r="AK21" s="99"/>
      <c r="AL21" s="53"/>
      <c r="AM21" s="228"/>
      <c r="AN21" s="52"/>
      <c r="AO21" s="99"/>
      <c r="AP21" s="53"/>
      <c r="AQ21" s="50">
        <f t="shared" si="4"/>
        <v>0</v>
      </c>
      <c r="AR21" s="163">
        <f t="shared" si="5"/>
        <v>0.69191919191919193</v>
      </c>
      <c r="AS21" s="97">
        <f t="shared" si="6"/>
        <v>0</v>
      </c>
      <c r="AT21" s="278">
        <f t="shared" si="7"/>
        <v>0.74471544715447158</v>
      </c>
      <c r="AU21" s="55"/>
      <c r="AV21" s="663"/>
      <c r="AW21" s="279">
        <v>13</v>
      </c>
      <c r="AX21" s="52">
        <v>164</v>
      </c>
      <c r="AY21" s="105">
        <v>13</v>
      </c>
      <c r="AZ21" s="98">
        <v>137</v>
      </c>
      <c r="BA21" s="279">
        <v>51</v>
      </c>
      <c r="BB21" s="52">
        <v>14</v>
      </c>
      <c r="BC21" s="105">
        <v>51</v>
      </c>
      <c r="BD21" s="98">
        <v>13</v>
      </c>
      <c r="BE21" s="279">
        <v>23</v>
      </c>
      <c r="BF21" s="52">
        <v>5</v>
      </c>
      <c r="BG21" s="105">
        <v>23</v>
      </c>
      <c r="BH21" s="98">
        <v>7</v>
      </c>
      <c r="BI21" s="279"/>
      <c r="BJ21" s="52"/>
      <c r="BK21" s="105"/>
      <c r="BL21" s="98"/>
      <c r="BM21" s="279"/>
      <c r="BN21" s="52"/>
      <c r="BO21" s="105"/>
      <c r="BP21" s="98"/>
      <c r="BQ21" s="279"/>
      <c r="BR21" s="52"/>
      <c r="BS21" s="105"/>
      <c r="BT21" s="98"/>
      <c r="BU21" s="279"/>
      <c r="BV21" s="52"/>
      <c r="BW21" s="105"/>
      <c r="BX21" s="98"/>
      <c r="BY21" s="279"/>
      <c r="BZ21" s="52"/>
      <c r="CA21" s="105"/>
      <c r="CB21" s="98"/>
      <c r="CC21" s="279"/>
      <c r="CD21" s="52"/>
      <c r="CE21" s="105"/>
      <c r="CF21" s="98"/>
      <c r="CG21" s="279"/>
      <c r="CH21" s="52"/>
      <c r="CI21" s="105"/>
      <c r="CJ21" s="98"/>
      <c r="CK21" s="281"/>
      <c r="CL21" s="462"/>
      <c r="CM21" s="159"/>
      <c r="CN21" s="462"/>
      <c r="CO21" s="50">
        <f t="shared" si="26"/>
        <v>183</v>
      </c>
      <c r="CP21" s="103">
        <f t="shared" si="27"/>
        <v>3</v>
      </c>
      <c r="CQ21" s="465">
        <f t="shared" si="28"/>
        <v>157</v>
      </c>
      <c r="CR21" s="466">
        <f t="shared" si="29"/>
        <v>3</v>
      </c>
      <c r="CS21" s="279"/>
      <c r="CT21" s="52"/>
      <c r="CU21" s="105"/>
      <c r="CV21" s="98"/>
      <c r="CW21" s="279"/>
      <c r="CX21" s="52"/>
      <c r="CY21" s="105"/>
      <c r="CZ21" s="98"/>
      <c r="DA21" s="279"/>
      <c r="DB21" s="52"/>
      <c r="DC21" s="105"/>
      <c r="DD21" s="98"/>
      <c r="DE21" s="279"/>
      <c r="DF21" s="52"/>
      <c r="DG21" s="105"/>
      <c r="DH21" s="98"/>
      <c r="DI21" s="279"/>
      <c r="DJ21" s="52"/>
      <c r="DK21" s="105"/>
      <c r="DL21" s="98"/>
      <c r="DM21" s="279"/>
      <c r="DN21" s="52"/>
      <c r="DO21" s="105"/>
      <c r="DP21" s="98"/>
      <c r="DQ21" s="279"/>
      <c r="DR21" s="52"/>
      <c r="DS21" s="105"/>
      <c r="DT21" s="98"/>
      <c r="DU21" s="279"/>
      <c r="DV21" s="52"/>
      <c r="DW21" s="105"/>
      <c r="DX21" s="98"/>
      <c r="DY21" s="279"/>
      <c r="DZ21" s="52"/>
      <c r="EA21" s="105"/>
      <c r="EB21" s="98"/>
      <c r="EC21" s="279"/>
      <c r="ED21" s="52"/>
      <c r="EE21" s="105"/>
      <c r="EF21" s="98"/>
      <c r="EG21" s="159"/>
      <c r="EH21" s="462"/>
      <c r="EI21" s="50">
        <f t="shared" si="30"/>
        <v>0</v>
      </c>
      <c r="EJ21" s="103">
        <f t="shared" si="31"/>
        <v>0</v>
      </c>
      <c r="EK21" s="164">
        <f t="shared" si="32"/>
        <v>0</v>
      </c>
      <c r="EL21" s="465">
        <f t="shared" si="33"/>
        <v>0</v>
      </c>
      <c r="EM21" s="466">
        <f t="shared" si="34"/>
        <v>0</v>
      </c>
      <c r="EN21" s="359">
        <f t="shared" si="35"/>
        <v>0</v>
      </c>
      <c r="EO21" s="51">
        <f t="shared" si="36"/>
        <v>183</v>
      </c>
      <c r="EP21" s="361">
        <f t="shared" si="37"/>
        <v>157</v>
      </c>
      <c r="EQ21" s="281"/>
      <c r="ER21" s="462"/>
      <c r="ES21" s="281"/>
      <c r="ET21" s="462"/>
      <c r="EU21" s="281"/>
      <c r="EV21" s="462"/>
      <c r="EW21" s="281"/>
      <c r="EX21" s="462"/>
      <c r="EY21" s="281"/>
      <c r="EZ21" s="462"/>
      <c r="FA21" s="281"/>
      <c r="FB21" s="462"/>
      <c r="FC21" s="281"/>
      <c r="FD21" s="462"/>
      <c r="FE21" s="281"/>
      <c r="FF21" s="462"/>
      <c r="FG21" s="281"/>
      <c r="FH21" s="462"/>
      <c r="FI21" s="281"/>
      <c r="FJ21" s="462"/>
      <c r="FK21" s="50">
        <f t="shared" si="38"/>
        <v>0</v>
      </c>
      <c r="FL21" s="466">
        <f t="shared" si="39"/>
        <v>0</v>
      </c>
      <c r="FM21" s="50">
        <f t="shared" si="21"/>
        <v>594</v>
      </c>
      <c r="FN21" s="360">
        <f t="shared" si="22"/>
        <v>615</v>
      </c>
      <c r="FO21" s="464"/>
      <c r="FP21" s="279"/>
      <c r="FQ21" s="52"/>
      <c r="FR21" s="296"/>
      <c r="FS21" s="98"/>
      <c r="FT21" s="467"/>
      <c r="FU21" s="52"/>
      <c r="FV21" s="296"/>
      <c r="FW21" s="98"/>
      <c r="FX21" s="467"/>
      <c r="FY21" s="52"/>
      <c r="FZ21" s="296"/>
      <c r="GA21" s="98"/>
      <c r="GB21" s="467"/>
      <c r="GC21" s="52"/>
      <c r="GD21" s="296"/>
      <c r="GE21" s="98"/>
      <c r="GF21" s="467"/>
      <c r="GG21" s="52"/>
      <c r="GH21" s="296"/>
      <c r="GI21" s="98"/>
      <c r="GJ21" s="467"/>
      <c r="GK21" s="52"/>
      <c r="GL21" s="296"/>
      <c r="GM21" s="464"/>
      <c r="GN21" s="467"/>
      <c r="GO21" s="52"/>
      <c r="GP21" s="296"/>
      <c r="GQ21" s="464"/>
      <c r="GR21" s="467"/>
      <c r="GS21" s="52"/>
      <c r="GT21" s="296"/>
      <c r="GU21" s="464"/>
      <c r="GV21" s="467"/>
      <c r="GW21" s="52"/>
      <c r="GX21" s="296"/>
      <c r="GY21" s="464"/>
      <c r="GZ21" s="467"/>
      <c r="HA21" s="52"/>
      <c r="HB21" s="296"/>
      <c r="HC21" s="464"/>
    </row>
    <row r="22" spans="1:211" s="85" customFormat="1">
      <c r="A22" s="275" t="s">
        <v>30</v>
      </c>
      <c r="B22" s="276" t="s">
        <v>472</v>
      </c>
      <c r="C22" s="275">
        <v>101587</v>
      </c>
      <c r="D22" s="340">
        <v>5</v>
      </c>
      <c r="E22" s="460"/>
      <c r="F22" s="663"/>
      <c r="G22" s="158"/>
      <c r="H22" s="663"/>
      <c r="I22" s="158">
        <v>49</v>
      </c>
      <c r="J22" s="461">
        <v>39</v>
      </c>
      <c r="K22" s="160">
        <f t="shared" si="23"/>
        <v>0.24019607843137256</v>
      </c>
      <c r="L22" s="161">
        <f t="shared" si="1"/>
        <v>0.19696969696969696</v>
      </c>
      <c r="M22" s="54">
        <v>204</v>
      </c>
      <c r="N22" s="55">
        <v>57</v>
      </c>
      <c r="O22" s="55"/>
      <c r="P22" s="55">
        <v>13</v>
      </c>
      <c r="Q22" s="162">
        <f t="shared" si="24"/>
        <v>70</v>
      </c>
      <c r="R22" s="461">
        <v>198</v>
      </c>
      <c r="S22" s="462">
        <v>59</v>
      </c>
      <c r="T22" s="462"/>
      <c r="U22" s="462"/>
      <c r="V22" s="97">
        <f t="shared" si="25"/>
        <v>59</v>
      </c>
      <c r="W22" s="279"/>
      <c r="X22" s="52"/>
      <c r="Y22" s="99"/>
      <c r="Z22" s="53"/>
      <c r="AA22" s="228"/>
      <c r="AB22" s="52"/>
      <c r="AC22" s="99"/>
      <c r="AD22" s="53"/>
      <c r="AE22" s="228"/>
      <c r="AF22" s="52"/>
      <c r="AG22" s="99"/>
      <c r="AH22" s="53"/>
      <c r="AI22" s="228"/>
      <c r="AJ22" s="52"/>
      <c r="AK22" s="99"/>
      <c r="AL22" s="53"/>
      <c r="AM22" s="228"/>
      <c r="AN22" s="52"/>
      <c r="AO22" s="99"/>
      <c r="AP22" s="53"/>
      <c r="AQ22" s="50">
        <f t="shared" si="4"/>
        <v>0</v>
      </c>
      <c r="AR22" s="163">
        <f t="shared" si="5"/>
        <v>0.23181818181818181</v>
      </c>
      <c r="AS22" s="97">
        <f t="shared" si="6"/>
        <v>0</v>
      </c>
      <c r="AT22" s="278">
        <f t="shared" si="7"/>
        <v>0.18065693430656934</v>
      </c>
      <c r="AU22" s="55"/>
      <c r="AV22" s="663"/>
      <c r="AW22" s="279">
        <v>13</v>
      </c>
      <c r="AX22" s="52">
        <v>627</v>
      </c>
      <c r="AY22" s="105">
        <v>13</v>
      </c>
      <c r="AZ22" s="98">
        <v>859</v>
      </c>
      <c r="BA22" s="279"/>
      <c r="BB22" s="52"/>
      <c r="BC22" s="105"/>
      <c r="BD22" s="98"/>
      <c r="BE22" s="279"/>
      <c r="BF22" s="52"/>
      <c r="BG22" s="105"/>
      <c r="BH22" s="98"/>
      <c r="BI22" s="279"/>
      <c r="BJ22" s="52"/>
      <c r="BK22" s="105"/>
      <c r="BL22" s="98"/>
      <c r="BM22" s="279"/>
      <c r="BN22" s="52"/>
      <c r="BO22" s="105"/>
      <c r="BP22" s="98"/>
      <c r="BQ22" s="279"/>
      <c r="BR22" s="52"/>
      <c r="BS22" s="105"/>
      <c r="BT22" s="98"/>
      <c r="BU22" s="279"/>
      <c r="BV22" s="52"/>
      <c r="BW22" s="105"/>
      <c r="BX22" s="98"/>
      <c r="BY22" s="279"/>
      <c r="BZ22" s="52"/>
      <c r="CA22" s="105"/>
      <c r="CB22" s="98"/>
      <c r="CC22" s="279"/>
      <c r="CD22" s="52"/>
      <c r="CE22" s="105"/>
      <c r="CF22" s="98"/>
      <c r="CG22" s="279"/>
      <c r="CH22" s="52"/>
      <c r="CI22" s="105"/>
      <c r="CJ22" s="98"/>
      <c r="CK22" s="281"/>
      <c r="CL22" s="462"/>
      <c r="CM22" s="159"/>
      <c r="CN22" s="462"/>
      <c r="CO22" s="50">
        <f t="shared" si="26"/>
        <v>627</v>
      </c>
      <c r="CP22" s="103">
        <f t="shared" si="27"/>
        <v>1</v>
      </c>
      <c r="CQ22" s="465">
        <f t="shared" si="28"/>
        <v>859</v>
      </c>
      <c r="CR22" s="466">
        <f t="shared" si="29"/>
        <v>1</v>
      </c>
      <c r="CS22" s="279"/>
      <c r="CT22" s="52"/>
      <c r="CU22" s="105"/>
      <c r="CV22" s="98"/>
      <c r="CW22" s="279"/>
      <c r="CX22" s="52"/>
      <c r="CY22" s="105"/>
      <c r="CZ22" s="98"/>
      <c r="DA22" s="279"/>
      <c r="DB22" s="52"/>
      <c r="DC22" s="105"/>
      <c r="DD22" s="98"/>
      <c r="DE22" s="279"/>
      <c r="DF22" s="52"/>
      <c r="DG22" s="105"/>
      <c r="DH22" s="98"/>
      <c r="DI22" s="279"/>
      <c r="DJ22" s="52"/>
      <c r="DK22" s="105"/>
      <c r="DL22" s="98"/>
      <c r="DM22" s="279"/>
      <c r="DN22" s="52"/>
      <c r="DO22" s="105"/>
      <c r="DP22" s="98"/>
      <c r="DQ22" s="279"/>
      <c r="DR22" s="52"/>
      <c r="DS22" s="105"/>
      <c r="DT22" s="98"/>
      <c r="DU22" s="279"/>
      <c r="DV22" s="52"/>
      <c r="DW22" s="105"/>
      <c r="DX22" s="98"/>
      <c r="DY22" s="279"/>
      <c r="DZ22" s="52"/>
      <c r="EA22" s="105"/>
      <c r="EB22" s="98"/>
      <c r="EC22" s="279"/>
      <c r="ED22" s="52"/>
      <c r="EE22" s="105"/>
      <c r="EF22" s="98"/>
      <c r="EG22" s="159"/>
      <c r="EH22" s="462"/>
      <c r="EI22" s="50">
        <f t="shared" si="30"/>
        <v>0</v>
      </c>
      <c r="EJ22" s="103">
        <f t="shared" si="31"/>
        <v>0</v>
      </c>
      <c r="EK22" s="164">
        <f t="shared" si="32"/>
        <v>0</v>
      </c>
      <c r="EL22" s="465">
        <f t="shared" si="33"/>
        <v>0</v>
      </c>
      <c r="EM22" s="466">
        <f t="shared" si="34"/>
        <v>0</v>
      </c>
      <c r="EN22" s="359">
        <f t="shared" si="35"/>
        <v>0</v>
      </c>
      <c r="EO22" s="51">
        <f t="shared" si="36"/>
        <v>627</v>
      </c>
      <c r="EP22" s="361">
        <f t="shared" si="37"/>
        <v>859</v>
      </c>
      <c r="EQ22" s="281"/>
      <c r="ER22" s="462"/>
      <c r="ES22" s="281"/>
      <c r="ET22" s="462"/>
      <c r="EU22" s="281"/>
      <c r="EV22" s="462"/>
      <c r="EW22" s="281"/>
      <c r="EX22" s="462"/>
      <c r="EY22" s="281"/>
      <c r="EZ22" s="462"/>
      <c r="FA22" s="281"/>
      <c r="FB22" s="462"/>
      <c r="FC22" s="281"/>
      <c r="FD22" s="462"/>
      <c r="FE22" s="281"/>
      <c r="FF22" s="462"/>
      <c r="FG22" s="281"/>
      <c r="FH22" s="462"/>
      <c r="FI22" s="281"/>
      <c r="FJ22" s="462"/>
      <c r="FK22" s="50">
        <f t="shared" si="38"/>
        <v>0</v>
      </c>
      <c r="FL22" s="466">
        <f t="shared" si="39"/>
        <v>0</v>
      </c>
      <c r="FM22" s="50">
        <f t="shared" si="21"/>
        <v>880</v>
      </c>
      <c r="FN22" s="360">
        <f t="shared" si="22"/>
        <v>1096</v>
      </c>
      <c r="FO22" s="464"/>
      <c r="FP22" s="279"/>
      <c r="FQ22" s="52"/>
      <c r="FR22" s="296"/>
      <c r="FS22" s="98"/>
      <c r="FT22" s="467"/>
      <c r="FU22" s="52"/>
      <c r="FV22" s="296"/>
      <c r="FW22" s="98"/>
      <c r="FX22" s="467"/>
      <c r="FY22" s="52"/>
      <c r="FZ22" s="296"/>
      <c r="GA22" s="98"/>
      <c r="GB22" s="467"/>
      <c r="GC22" s="52"/>
      <c r="GD22" s="296"/>
      <c r="GE22" s="98"/>
      <c r="GF22" s="467"/>
      <c r="GG22" s="52"/>
      <c r="GH22" s="296"/>
      <c r="GI22" s="98"/>
      <c r="GJ22" s="467"/>
      <c r="GK22" s="52"/>
      <c r="GL22" s="296"/>
      <c r="GM22" s="464"/>
      <c r="GN22" s="467"/>
      <c r="GO22" s="52"/>
      <c r="GP22" s="296"/>
      <c r="GQ22" s="464"/>
      <c r="GR22" s="467"/>
      <c r="GS22" s="52"/>
      <c r="GT22" s="296"/>
      <c r="GU22" s="464"/>
      <c r="GV22" s="467"/>
      <c r="GW22" s="52"/>
      <c r="GX22" s="296"/>
      <c r="GY22" s="464"/>
      <c r="GZ22" s="467"/>
      <c r="HA22" s="52"/>
      <c r="HB22" s="296"/>
      <c r="HC22" s="464"/>
    </row>
    <row r="23" spans="1:211" s="85" customFormat="1">
      <c r="A23" s="275" t="s">
        <v>30</v>
      </c>
      <c r="B23" s="276" t="s">
        <v>473</v>
      </c>
      <c r="C23" s="282">
        <v>100812</v>
      </c>
      <c r="D23" s="340">
        <v>6</v>
      </c>
      <c r="E23" s="460"/>
      <c r="F23" s="663"/>
      <c r="G23" s="158"/>
      <c r="H23" s="663"/>
      <c r="I23" s="158"/>
      <c r="J23" s="663"/>
      <c r="K23" s="160">
        <f t="shared" si="23"/>
        <v>0</v>
      </c>
      <c r="L23" s="161">
        <f t="shared" si="1"/>
        <v>0</v>
      </c>
      <c r="M23" s="54">
        <v>756</v>
      </c>
      <c r="N23" s="55">
        <v>253</v>
      </c>
      <c r="O23" s="55"/>
      <c r="P23" s="55"/>
      <c r="Q23" s="162">
        <f t="shared" si="24"/>
        <v>253</v>
      </c>
      <c r="R23" s="461">
        <v>833</v>
      </c>
      <c r="S23" s="462">
        <v>277</v>
      </c>
      <c r="T23" s="462"/>
      <c r="U23" s="462">
        <v>3</v>
      </c>
      <c r="V23" s="97">
        <f t="shared" si="25"/>
        <v>280</v>
      </c>
      <c r="W23" s="279"/>
      <c r="X23" s="52"/>
      <c r="Y23" s="99"/>
      <c r="Z23" s="53"/>
      <c r="AA23" s="228"/>
      <c r="AB23" s="52"/>
      <c r="AC23" s="99"/>
      <c r="AD23" s="53"/>
      <c r="AE23" s="228"/>
      <c r="AF23" s="52"/>
      <c r="AG23" s="99"/>
      <c r="AH23" s="53"/>
      <c r="AI23" s="228"/>
      <c r="AJ23" s="52"/>
      <c r="AK23" s="99"/>
      <c r="AL23" s="53"/>
      <c r="AM23" s="228"/>
      <c r="AN23" s="52"/>
      <c r="AO23" s="99"/>
      <c r="AP23" s="53"/>
      <c r="AQ23" s="50">
        <f t="shared" si="4"/>
        <v>0</v>
      </c>
      <c r="AR23" s="163">
        <f t="shared" si="5"/>
        <v>1</v>
      </c>
      <c r="AS23" s="97">
        <f t="shared" si="6"/>
        <v>0</v>
      </c>
      <c r="AT23" s="278">
        <f t="shared" si="7"/>
        <v>1</v>
      </c>
      <c r="AU23" s="55"/>
      <c r="AV23" s="663"/>
      <c r="AW23" s="279"/>
      <c r="AX23" s="52"/>
      <c r="AY23" s="105"/>
      <c r="AZ23" s="98"/>
      <c r="BA23" s="279"/>
      <c r="BB23" s="52"/>
      <c r="BC23" s="105"/>
      <c r="BD23" s="98"/>
      <c r="BE23" s="279"/>
      <c r="BF23" s="52"/>
      <c r="BG23" s="105"/>
      <c r="BH23" s="98"/>
      <c r="BI23" s="279"/>
      <c r="BJ23" s="52"/>
      <c r="BK23" s="105"/>
      <c r="BL23" s="98"/>
      <c r="BM23" s="279"/>
      <c r="BN23" s="52"/>
      <c r="BO23" s="105"/>
      <c r="BP23" s="98"/>
      <c r="BQ23" s="279"/>
      <c r="BR23" s="52"/>
      <c r="BS23" s="105"/>
      <c r="BT23" s="98"/>
      <c r="BU23" s="279"/>
      <c r="BV23" s="52"/>
      <c r="BW23" s="105"/>
      <c r="BX23" s="98"/>
      <c r="BY23" s="279"/>
      <c r="BZ23" s="52"/>
      <c r="CA23" s="105"/>
      <c r="CB23" s="98"/>
      <c r="CC23" s="279"/>
      <c r="CD23" s="52"/>
      <c r="CE23" s="105"/>
      <c r="CF23" s="98"/>
      <c r="CG23" s="279"/>
      <c r="CH23" s="52"/>
      <c r="CI23" s="105"/>
      <c r="CJ23" s="98"/>
      <c r="CK23" s="281"/>
      <c r="CL23" s="462"/>
      <c r="CM23" s="159"/>
      <c r="CN23" s="462"/>
      <c r="CO23" s="50">
        <f t="shared" si="26"/>
        <v>0</v>
      </c>
      <c r="CP23" s="103">
        <f t="shared" si="27"/>
        <v>0</v>
      </c>
      <c r="CQ23" s="465">
        <f t="shared" si="28"/>
        <v>0</v>
      </c>
      <c r="CR23" s="466">
        <f t="shared" si="29"/>
        <v>0</v>
      </c>
      <c r="CS23" s="279"/>
      <c r="CT23" s="52"/>
      <c r="CU23" s="105"/>
      <c r="CV23" s="98"/>
      <c r="CW23" s="279"/>
      <c r="CX23" s="52"/>
      <c r="CY23" s="105"/>
      <c r="CZ23" s="98"/>
      <c r="DA23" s="279"/>
      <c r="DB23" s="52"/>
      <c r="DC23" s="105"/>
      <c r="DD23" s="98"/>
      <c r="DE23" s="279"/>
      <c r="DF23" s="52"/>
      <c r="DG23" s="105"/>
      <c r="DH23" s="98"/>
      <c r="DI23" s="279"/>
      <c r="DJ23" s="52"/>
      <c r="DK23" s="105"/>
      <c r="DL23" s="98"/>
      <c r="DM23" s="279"/>
      <c r="DN23" s="52"/>
      <c r="DO23" s="105"/>
      <c r="DP23" s="98"/>
      <c r="DQ23" s="279"/>
      <c r="DR23" s="52"/>
      <c r="DS23" s="105"/>
      <c r="DT23" s="98"/>
      <c r="DU23" s="279"/>
      <c r="DV23" s="52"/>
      <c r="DW23" s="105"/>
      <c r="DX23" s="98"/>
      <c r="DY23" s="279"/>
      <c r="DZ23" s="52"/>
      <c r="EA23" s="105"/>
      <c r="EB23" s="98"/>
      <c r="EC23" s="279"/>
      <c r="ED23" s="52"/>
      <c r="EE23" s="105"/>
      <c r="EF23" s="98"/>
      <c r="EG23" s="159"/>
      <c r="EH23" s="462"/>
      <c r="EI23" s="50">
        <f t="shared" si="30"/>
        <v>0</v>
      </c>
      <c r="EJ23" s="103">
        <f t="shared" si="31"/>
        <v>0</v>
      </c>
      <c r="EK23" s="164">
        <f t="shared" si="32"/>
        <v>0</v>
      </c>
      <c r="EL23" s="465">
        <f t="shared" si="33"/>
        <v>0</v>
      </c>
      <c r="EM23" s="466">
        <f t="shared" si="34"/>
        <v>0</v>
      </c>
      <c r="EN23" s="359">
        <f t="shared" si="35"/>
        <v>0</v>
      </c>
      <c r="EO23" s="51">
        <f t="shared" si="36"/>
        <v>0</v>
      </c>
      <c r="EP23" s="361">
        <f t="shared" si="37"/>
        <v>0</v>
      </c>
      <c r="EQ23" s="281"/>
      <c r="ER23" s="462"/>
      <c r="ES23" s="281"/>
      <c r="ET23" s="462"/>
      <c r="EU23" s="281"/>
      <c r="EV23" s="462"/>
      <c r="EW23" s="281"/>
      <c r="EX23" s="462"/>
      <c r="EY23" s="281"/>
      <c r="EZ23" s="462"/>
      <c r="FA23" s="281"/>
      <c r="FB23" s="462"/>
      <c r="FC23" s="281"/>
      <c r="FD23" s="462"/>
      <c r="FE23" s="281"/>
      <c r="FF23" s="462"/>
      <c r="FG23" s="281"/>
      <c r="FH23" s="462"/>
      <c r="FI23" s="281"/>
      <c r="FJ23" s="462"/>
      <c r="FK23" s="50">
        <f t="shared" si="38"/>
        <v>0</v>
      </c>
      <c r="FL23" s="466">
        <f t="shared" si="39"/>
        <v>0</v>
      </c>
      <c r="FM23" s="50">
        <f t="shared" si="21"/>
        <v>756</v>
      </c>
      <c r="FN23" s="360">
        <f t="shared" si="22"/>
        <v>833</v>
      </c>
      <c r="FO23" s="464"/>
      <c r="FP23" s="279"/>
      <c r="FQ23" s="52"/>
      <c r="FR23" s="296"/>
      <c r="FS23" s="98"/>
      <c r="FT23" s="467"/>
      <c r="FU23" s="52"/>
      <c r="FV23" s="296"/>
      <c r="FW23" s="98"/>
      <c r="FX23" s="467"/>
      <c r="FY23" s="52"/>
      <c r="FZ23" s="296"/>
      <c r="GA23" s="98"/>
      <c r="GB23" s="467"/>
      <c r="GC23" s="52"/>
      <c r="GD23" s="296"/>
      <c r="GE23" s="98"/>
      <c r="GF23" s="467"/>
      <c r="GG23" s="52"/>
      <c r="GH23" s="296"/>
      <c r="GI23" s="98"/>
      <c r="GJ23" s="467"/>
      <c r="GK23" s="52"/>
      <c r="GL23" s="296"/>
      <c r="GM23" s="464"/>
      <c r="GN23" s="467"/>
      <c r="GO23" s="52"/>
      <c r="GP23" s="296"/>
      <c r="GQ23" s="464"/>
      <c r="GR23" s="467"/>
      <c r="GS23" s="52"/>
      <c r="GT23" s="296"/>
      <c r="GU23" s="464"/>
      <c r="GV23" s="467"/>
      <c r="GW23" s="52"/>
      <c r="GX23" s="296"/>
      <c r="GY23" s="464"/>
      <c r="GZ23" s="467"/>
      <c r="HA23" s="52"/>
      <c r="HB23" s="296"/>
      <c r="HC23" s="464"/>
    </row>
    <row r="24" spans="1:211" s="85" customFormat="1">
      <c r="A24" s="275" t="s">
        <v>30</v>
      </c>
      <c r="B24" s="276" t="s">
        <v>474</v>
      </c>
      <c r="C24" s="275">
        <v>101505</v>
      </c>
      <c r="D24" s="340">
        <v>8</v>
      </c>
      <c r="E24" s="460">
        <v>201</v>
      </c>
      <c r="F24" s="461">
        <v>191</v>
      </c>
      <c r="G24" s="158"/>
      <c r="H24" s="663"/>
      <c r="I24" s="158">
        <v>689</v>
      </c>
      <c r="J24" s="461">
        <v>619</v>
      </c>
      <c r="K24" s="160">
        <f t="shared" si="23"/>
        <v>0</v>
      </c>
      <c r="L24" s="161">
        <f t="shared" si="1"/>
        <v>0</v>
      </c>
      <c r="M24" s="54"/>
      <c r="N24" s="55"/>
      <c r="O24" s="55"/>
      <c r="P24" s="55"/>
      <c r="Q24" s="162">
        <f t="shared" si="24"/>
        <v>0</v>
      </c>
      <c r="R24" s="462"/>
      <c r="S24" s="462"/>
      <c r="T24" s="462"/>
      <c r="U24" s="462"/>
      <c r="V24" s="97">
        <f t="shared" si="25"/>
        <v>0</v>
      </c>
      <c r="W24" s="279"/>
      <c r="X24" s="52"/>
      <c r="Y24" s="99"/>
      <c r="Z24" s="53"/>
      <c r="AA24" s="228"/>
      <c r="AB24" s="52"/>
      <c r="AC24" s="99"/>
      <c r="AD24" s="53"/>
      <c r="AE24" s="228"/>
      <c r="AF24" s="52"/>
      <c r="AG24" s="99"/>
      <c r="AH24" s="53"/>
      <c r="AI24" s="228"/>
      <c r="AJ24" s="52"/>
      <c r="AK24" s="99"/>
      <c r="AL24" s="53"/>
      <c r="AM24" s="228"/>
      <c r="AN24" s="52"/>
      <c r="AO24" s="99"/>
      <c r="AP24" s="53"/>
      <c r="AQ24" s="50">
        <f t="shared" si="4"/>
        <v>0</v>
      </c>
      <c r="AR24" s="163">
        <f t="shared" si="5"/>
        <v>0</v>
      </c>
      <c r="AS24" s="97">
        <f t="shared" si="6"/>
        <v>0</v>
      </c>
      <c r="AT24" s="278">
        <f t="shared" si="7"/>
        <v>0</v>
      </c>
      <c r="AU24" s="55"/>
      <c r="AV24" s="462"/>
      <c r="AW24" s="279"/>
      <c r="AX24" s="52"/>
      <c r="AY24" s="105"/>
      <c r="AZ24" s="98"/>
      <c r="BA24" s="279"/>
      <c r="BB24" s="52"/>
      <c r="BC24" s="105"/>
      <c r="BD24" s="98"/>
      <c r="BE24" s="279"/>
      <c r="BF24" s="52"/>
      <c r="BG24" s="105"/>
      <c r="BH24" s="98"/>
      <c r="BI24" s="279"/>
      <c r="BJ24" s="52"/>
      <c r="BK24" s="105"/>
      <c r="BL24" s="98"/>
      <c r="BM24" s="279"/>
      <c r="BN24" s="52"/>
      <c r="BO24" s="105"/>
      <c r="BP24" s="98"/>
      <c r="BQ24" s="279"/>
      <c r="BR24" s="52"/>
      <c r="BS24" s="105"/>
      <c r="BT24" s="98"/>
      <c r="BU24" s="279"/>
      <c r="BV24" s="52"/>
      <c r="BW24" s="105"/>
      <c r="BX24" s="98"/>
      <c r="BY24" s="279"/>
      <c r="BZ24" s="52"/>
      <c r="CA24" s="105"/>
      <c r="CB24" s="98"/>
      <c r="CC24" s="279"/>
      <c r="CD24" s="52"/>
      <c r="CE24" s="105"/>
      <c r="CF24" s="98"/>
      <c r="CG24" s="279"/>
      <c r="CH24" s="52"/>
      <c r="CI24" s="105"/>
      <c r="CJ24" s="98"/>
      <c r="CK24" s="281"/>
      <c r="CL24" s="462"/>
      <c r="CM24" s="159"/>
      <c r="CN24" s="462"/>
      <c r="CO24" s="50">
        <f t="shared" si="26"/>
        <v>0</v>
      </c>
      <c r="CP24" s="103">
        <f t="shared" si="27"/>
        <v>0</v>
      </c>
      <c r="CQ24" s="465">
        <f t="shared" si="28"/>
        <v>0</v>
      </c>
      <c r="CR24" s="466">
        <f t="shared" si="29"/>
        <v>0</v>
      </c>
      <c r="CS24" s="279"/>
      <c r="CT24" s="52"/>
      <c r="CU24" s="105"/>
      <c r="CV24" s="98"/>
      <c r="CW24" s="279"/>
      <c r="CX24" s="52"/>
      <c r="CY24" s="105"/>
      <c r="CZ24" s="98"/>
      <c r="DA24" s="279"/>
      <c r="DB24" s="52"/>
      <c r="DC24" s="105"/>
      <c r="DD24" s="98"/>
      <c r="DE24" s="279"/>
      <c r="DF24" s="52"/>
      <c r="DG24" s="105"/>
      <c r="DH24" s="98"/>
      <c r="DI24" s="279"/>
      <c r="DJ24" s="52"/>
      <c r="DK24" s="105"/>
      <c r="DL24" s="98"/>
      <c r="DM24" s="279"/>
      <c r="DN24" s="52"/>
      <c r="DO24" s="105"/>
      <c r="DP24" s="98"/>
      <c r="DQ24" s="279"/>
      <c r="DR24" s="52"/>
      <c r="DS24" s="105"/>
      <c r="DT24" s="98"/>
      <c r="DU24" s="279"/>
      <c r="DV24" s="52"/>
      <c r="DW24" s="105"/>
      <c r="DX24" s="98"/>
      <c r="DY24" s="279"/>
      <c r="DZ24" s="52"/>
      <c r="EA24" s="105"/>
      <c r="EB24" s="98"/>
      <c r="EC24" s="279"/>
      <c r="ED24" s="52"/>
      <c r="EE24" s="105"/>
      <c r="EF24" s="98"/>
      <c r="EG24" s="159"/>
      <c r="EH24" s="462"/>
      <c r="EI24" s="50">
        <f t="shared" si="30"/>
        <v>0</v>
      </c>
      <c r="EJ24" s="103">
        <f t="shared" si="31"/>
        <v>0</v>
      </c>
      <c r="EK24" s="164">
        <f t="shared" si="32"/>
        <v>0</v>
      </c>
      <c r="EL24" s="465">
        <f t="shared" si="33"/>
        <v>0</v>
      </c>
      <c r="EM24" s="466">
        <f t="shared" si="34"/>
        <v>0</v>
      </c>
      <c r="EN24" s="359">
        <f t="shared" si="35"/>
        <v>0</v>
      </c>
      <c r="EO24" s="51">
        <f t="shared" si="36"/>
        <v>0</v>
      </c>
      <c r="EP24" s="361">
        <f t="shared" si="37"/>
        <v>0</v>
      </c>
      <c r="EQ24" s="281"/>
      <c r="ER24" s="462"/>
      <c r="ES24" s="281"/>
      <c r="ET24" s="462"/>
      <c r="EU24" s="281"/>
      <c r="EV24" s="462"/>
      <c r="EW24" s="281"/>
      <c r="EX24" s="462"/>
      <c r="EY24" s="281"/>
      <c r="EZ24" s="462"/>
      <c r="FA24" s="281"/>
      <c r="FB24" s="462"/>
      <c r="FC24" s="281"/>
      <c r="FD24" s="462"/>
      <c r="FE24" s="281"/>
      <c r="FF24" s="462"/>
      <c r="FG24" s="281"/>
      <c r="FH24" s="462"/>
      <c r="FI24" s="281"/>
      <c r="FJ24" s="462"/>
      <c r="FK24" s="50">
        <f t="shared" si="38"/>
        <v>0</v>
      </c>
      <c r="FL24" s="466">
        <f t="shared" si="39"/>
        <v>0</v>
      </c>
      <c r="FM24" s="50">
        <f t="shared" si="21"/>
        <v>890</v>
      </c>
      <c r="FN24" s="360">
        <f t="shared" si="22"/>
        <v>810</v>
      </c>
      <c r="FO24" s="464"/>
      <c r="FP24" s="279"/>
      <c r="FQ24" s="52"/>
      <c r="FR24" s="296"/>
      <c r="FS24" s="98"/>
      <c r="FT24" s="467"/>
      <c r="FU24" s="52"/>
      <c r="FV24" s="296"/>
      <c r="FW24" s="98"/>
      <c r="FX24" s="467"/>
      <c r="FY24" s="52"/>
      <c r="FZ24" s="296"/>
      <c r="GA24" s="98"/>
      <c r="GB24" s="467"/>
      <c r="GC24" s="52"/>
      <c r="GD24" s="296"/>
      <c r="GE24" s="98"/>
      <c r="GF24" s="467"/>
      <c r="GG24" s="52"/>
      <c r="GH24" s="296"/>
      <c r="GI24" s="98"/>
      <c r="GJ24" s="467"/>
      <c r="GK24" s="52"/>
      <c r="GL24" s="296"/>
      <c r="GM24" s="464"/>
      <c r="GN24" s="467"/>
      <c r="GO24" s="52"/>
      <c r="GP24" s="296"/>
      <c r="GQ24" s="464"/>
      <c r="GR24" s="467"/>
      <c r="GS24" s="52"/>
      <c r="GT24" s="296"/>
      <c r="GU24" s="464"/>
      <c r="GV24" s="467"/>
      <c r="GW24" s="52"/>
      <c r="GX24" s="296"/>
      <c r="GY24" s="464"/>
      <c r="GZ24" s="467"/>
      <c r="HA24" s="52"/>
      <c r="HB24" s="296"/>
      <c r="HC24" s="464"/>
    </row>
    <row r="25" spans="1:211" s="85" customFormat="1">
      <c r="A25" s="275" t="s">
        <v>30</v>
      </c>
      <c r="B25" s="276" t="s">
        <v>475</v>
      </c>
      <c r="C25" s="275">
        <v>101514</v>
      </c>
      <c r="D25" s="340">
        <v>8</v>
      </c>
      <c r="E25" s="460">
        <v>194</v>
      </c>
      <c r="F25" s="461">
        <v>333</v>
      </c>
      <c r="G25" s="158"/>
      <c r="H25" s="663"/>
      <c r="I25" s="158">
        <v>636</v>
      </c>
      <c r="J25" s="461">
        <v>683</v>
      </c>
      <c r="K25" s="160">
        <f t="shared" si="23"/>
        <v>0</v>
      </c>
      <c r="L25" s="161">
        <f t="shared" si="1"/>
        <v>0</v>
      </c>
      <c r="M25" s="54"/>
      <c r="N25" s="55"/>
      <c r="O25" s="55"/>
      <c r="P25" s="55"/>
      <c r="Q25" s="162">
        <f t="shared" si="24"/>
        <v>0</v>
      </c>
      <c r="R25" s="462"/>
      <c r="S25" s="462"/>
      <c r="T25" s="462"/>
      <c r="U25" s="462"/>
      <c r="V25" s="97">
        <f t="shared" si="25"/>
        <v>0</v>
      </c>
      <c r="W25" s="279"/>
      <c r="X25" s="52"/>
      <c r="Y25" s="99"/>
      <c r="Z25" s="53"/>
      <c r="AA25" s="228"/>
      <c r="AB25" s="52"/>
      <c r="AC25" s="99"/>
      <c r="AD25" s="53"/>
      <c r="AE25" s="228"/>
      <c r="AF25" s="52"/>
      <c r="AG25" s="99"/>
      <c r="AH25" s="53"/>
      <c r="AI25" s="228"/>
      <c r="AJ25" s="52"/>
      <c r="AK25" s="99"/>
      <c r="AL25" s="53"/>
      <c r="AM25" s="228"/>
      <c r="AN25" s="52"/>
      <c r="AO25" s="99"/>
      <c r="AP25" s="53"/>
      <c r="AQ25" s="50">
        <f t="shared" si="4"/>
        <v>0</v>
      </c>
      <c r="AR25" s="163">
        <f t="shared" si="5"/>
        <v>0</v>
      </c>
      <c r="AS25" s="97">
        <f t="shared" si="6"/>
        <v>0</v>
      </c>
      <c r="AT25" s="278">
        <f t="shared" si="7"/>
        <v>0</v>
      </c>
      <c r="AU25" s="55"/>
      <c r="AV25" s="462"/>
      <c r="AW25" s="279"/>
      <c r="AX25" s="52"/>
      <c r="AY25" s="105"/>
      <c r="AZ25" s="98"/>
      <c r="BA25" s="279"/>
      <c r="BB25" s="52"/>
      <c r="BC25" s="105"/>
      <c r="BD25" s="98"/>
      <c r="BE25" s="279"/>
      <c r="BF25" s="52"/>
      <c r="BG25" s="105"/>
      <c r="BH25" s="98"/>
      <c r="BI25" s="279"/>
      <c r="BJ25" s="52"/>
      <c r="BK25" s="105"/>
      <c r="BL25" s="98"/>
      <c r="BM25" s="279"/>
      <c r="BN25" s="52"/>
      <c r="BO25" s="105"/>
      <c r="BP25" s="98"/>
      <c r="BQ25" s="279"/>
      <c r="BR25" s="52"/>
      <c r="BS25" s="105"/>
      <c r="BT25" s="98"/>
      <c r="BU25" s="279"/>
      <c r="BV25" s="52"/>
      <c r="BW25" s="105"/>
      <c r="BX25" s="98"/>
      <c r="BY25" s="279"/>
      <c r="BZ25" s="52"/>
      <c r="CA25" s="105"/>
      <c r="CB25" s="98"/>
      <c r="CC25" s="279"/>
      <c r="CD25" s="52"/>
      <c r="CE25" s="105"/>
      <c r="CF25" s="98"/>
      <c r="CG25" s="279"/>
      <c r="CH25" s="52"/>
      <c r="CI25" s="105"/>
      <c r="CJ25" s="98"/>
      <c r="CK25" s="281"/>
      <c r="CL25" s="462"/>
      <c r="CM25" s="159"/>
      <c r="CN25" s="462"/>
      <c r="CO25" s="50">
        <f t="shared" si="26"/>
        <v>0</v>
      </c>
      <c r="CP25" s="103">
        <f t="shared" si="27"/>
        <v>0</v>
      </c>
      <c r="CQ25" s="465">
        <f t="shared" si="28"/>
        <v>0</v>
      </c>
      <c r="CR25" s="466">
        <f t="shared" si="29"/>
        <v>0</v>
      </c>
      <c r="CS25" s="279"/>
      <c r="CT25" s="52"/>
      <c r="CU25" s="105"/>
      <c r="CV25" s="98"/>
      <c r="CW25" s="279"/>
      <c r="CX25" s="52"/>
      <c r="CY25" s="105"/>
      <c r="CZ25" s="98"/>
      <c r="DA25" s="279"/>
      <c r="DB25" s="52"/>
      <c r="DC25" s="105"/>
      <c r="DD25" s="98"/>
      <c r="DE25" s="279"/>
      <c r="DF25" s="52"/>
      <c r="DG25" s="105"/>
      <c r="DH25" s="98"/>
      <c r="DI25" s="279"/>
      <c r="DJ25" s="52"/>
      <c r="DK25" s="105"/>
      <c r="DL25" s="98"/>
      <c r="DM25" s="279"/>
      <c r="DN25" s="52"/>
      <c r="DO25" s="105"/>
      <c r="DP25" s="98"/>
      <c r="DQ25" s="279"/>
      <c r="DR25" s="52"/>
      <c r="DS25" s="105"/>
      <c r="DT25" s="98"/>
      <c r="DU25" s="279"/>
      <c r="DV25" s="52"/>
      <c r="DW25" s="105"/>
      <c r="DX25" s="98"/>
      <c r="DY25" s="279"/>
      <c r="DZ25" s="52"/>
      <c r="EA25" s="105"/>
      <c r="EB25" s="98"/>
      <c r="EC25" s="279"/>
      <c r="ED25" s="52"/>
      <c r="EE25" s="105"/>
      <c r="EF25" s="98"/>
      <c r="EG25" s="159"/>
      <c r="EH25" s="462"/>
      <c r="EI25" s="50">
        <f t="shared" si="30"/>
        <v>0</v>
      </c>
      <c r="EJ25" s="103">
        <f t="shared" si="31"/>
        <v>0</v>
      </c>
      <c r="EK25" s="164">
        <f t="shared" si="32"/>
        <v>0</v>
      </c>
      <c r="EL25" s="465">
        <f t="shared" si="33"/>
        <v>0</v>
      </c>
      <c r="EM25" s="466">
        <f t="shared" si="34"/>
        <v>0</v>
      </c>
      <c r="EN25" s="359">
        <f t="shared" si="35"/>
        <v>0</v>
      </c>
      <c r="EO25" s="51">
        <f t="shared" si="36"/>
        <v>0</v>
      </c>
      <c r="EP25" s="361">
        <f t="shared" si="37"/>
        <v>0</v>
      </c>
      <c r="EQ25" s="281"/>
      <c r="ER25" s="462"/>
      <c r="ES25" s="281"/>
      <c r="ET25" s="462"/>
      <c r="EU25" s="281"/>
      <c r="EV25" s="462"/>
      <c r="EW25" s="281"/>
      <c r="EX25" s="462"/>
      <c r="EY25" s="281"/>
      <c r="EZ25" s="462"/>
      <c r="FA25" s="281"/>
      <c r="FB25" s="462"/>
      <c r="FC25" s="281"/>
      <c r="FD25" s="462"/>
      <c r="FE25" s="281"/>
      <c r="FF25" s="462"/>
      <c r="FG25" s="281"/>
      <c r="FH25" s="462"/>
      <c r="FI25" s="281"/>
      <c r="FJ25" s="462"/>
      <c r="FK25" s="50">
        <f t="shared" si="38"/>
        <v>0</v>
      </c>
      <c r="FL25" s="466">
        <f t="shared" si="39"/>
        <v>0</v>
      </c>
      <c r="FM25" s="50">
        <f t="shared" si="21"/>
        <v>830</v>
      </c>
      <c r="FN25" s="360">
        <f t="shared" si="22"/>
        <v>1016</v>
      </c>
      <c r="FO25" s="464"/>
      <c r="FP25" s="279"/>
      <c r="FQ25" s="52"/>
      <c r="FR25" s="296"/>
      <c r="FS25" s="98"/>
      <c r="FT25" s="467"/>
      <c r="FU25" s="52"/>
      <c r="FV25" s="296"/>
      <c r="FW25" s="98"/>
      <c r="FX25" s="467"/>
      <c r="FY25" s="52"/>
      <c r="FZ25" s="296"/>
      <c r="GA25" s="98"/>
      <c r="GB25" s="467"/>
      <c r="GC25" s="52"/>
      <c r="GD25" s="296"/>
      <c r="GE25" s="98"/>
      <c r="GF25" s="467"/>
      <c r="GG25" s="52"/>
      <c r="GH25" s="296"/>
      <c r="GI25" s="98"/>
      <c r="GJ25" s="467"/>
      <c r="GK25" s="52"/>
      <c r="GL25" s="296"/>
      <c r="GM25" s="464"/>
      <c r="GN25" s="467"/>
      <c r="GO25" s="52"/>
      <c r="GP25" s="296"/>
      <c r="GQ25" s="464"/>
      <c r="GR25" s="467"/>
      <c r="GS25" s="52"/>
      <c r="GT25" s="296"/>
      <c r="GU25" s="464"/>
      <c r="GV25" s="467"/>
      <c r="GW25" s="52"/>
      <c r="GX25" s="296"/>
      <c r="GY25" s="464"/>
      <c r="GZ25" s="467"/>
      <c r="HA25" s="52"/>
      <c r="HB25" s="296"/>
      <c r="HC25" s="464"/>
    </row>
    <row r="26" spans="1:211" s="85" customFormat="1">
      <c r="A26" s="275" t="s">
        <v>30</v>
      </c>
      <c r="B26" s="276" t="s">
        <v>476</v>
      </c>
      <c r="C26" s="275">
        <v>102429</v>
      </c>
      <c r="D26" s="340">
        <v>9</v>
      </c>
      <c r="E26" s="460">
        <v>281</v>
      </c>
      <c r="F26" s="461">
        <v>300</v>
      </c>
      <c r="G26" s="158"/>
      <c r="H26" s="663"/>
      <c r="I26" s="158">
        <v>465</v>
      </c>
      <c r="J26" s="461">
        <v>464</v>
      </c>
      <c r="K26" s="160">
        <f t="shared" si="23"/>
        <v>0</v>
      </c>
      <c r="L26" s="161">
        <f t="shared" si="1"/>
        <v>0</v>
      </c>
      <c r="M26" s="54"/>
      <c r="N26" s="55"/>
      <c r="O26" s="55"/>
      <c r="P26" s="55"/>
      <c r="Q26" s="162">
        <f t="shared" si="24"/>
        <v>0</v>
      </c>
      <c r="R26" s="462"/>
      <c r="S26" s="462"/>
      <c r="T26" s="462"/>
      <c r="U26" s="462"/>
      <c r="V26" s="97">
        <f t="shared" si="25"/>
        <v>0</v>
      </c>
      <c r="W26" s="279"/>
      <c r="X26" s="52"/>
      <c r="Y26" s="99"/>
      <c r="Z26" s="53"/>
      <c r="AA26" s="228"/>
      <c r="AB26" s="52"/>
      <c r="AC26" s="99"/>
      <c r="AD26" s="53"/>
      <c r="AE26" s="228"/>
      <c r="AF26" s="52"/>
      <c r="AG26" s="99"/>
      <c r="AH26" s="53"/>
      <c r="AI26" s="228"/>
      <c r="AJ26" s="52"/>
      <c r="AK26" s="99"/>
      <c r="AL26" s="53"/>
      <c r="AM26" s="228"/>
      <c r="AN26" s="52"/>
      <c r="AO26" s="99"/>
      <c r="AP26" s="53"/>
      <c r="AQ26" s="50">
        <f t="shared" si="4"/>
        <v>0</v>
      </c>
      <c r="AR26" s="163">
        <f t="shared" si="5"/>
        <v>0</v>
      </c>
      <c r="AS26" s="97">
        <f t="shared" si="6"/>
        <v>0</v>
      </c>
      <c r="AT26" s="278">
        <f t="shared" si="7"/>
        <v>0</v>
      </c>
      <c r="AU26" s="55"/>
      <c r="AV26" s="462"/>
      <c r="AW26" s="279"/>
      <c r="AX26" s="52"/>
      <c r="AY26" s="105"/>
      <c r="AZ26" s="98"/>
      <c r="BA26" s="279"/>
      <c r="BB26" s="52"/>
      <c r="BC26" s="105"/>
      <c r="BD26" s="98"/>
      <c r="BE26" s="279"/>
      <c r="BF26" s="52"/>
      <c r="BG26" s="105"/>
      <c r="BH26" s="98"/>
      <c r="BI26" s="279"/>
      <c r="BJ26" s="52"/>
      <c r="BK26" s="105"/>
      <c r="BL26" s="98"/>
      <c r="BM26" s="279"/>
      <c r="BN26" s="52"/>
      <c r="BO26" s="105"/>
      <c r="BP26" s="98"/>
      <c r="BQ26" s="279"/>
      <c r="BR26" s="52"/>
      <c r="BS26" s="105"/>
      <c r="BT26" s="98"/>
      <c r="BU26" s="279"/>
      <c r="BV26" s="52"/>
      <c r="BW26" s="105"/>
      <c r="BX26" s="98"/>
      <c r="BY26" s="279"/>
      <c r="BZ26" s="52"/>
      <c r="CA26" s="105"/>
      <c r="CB26" s="98"/>
      <c r="CC26" s="279"/>
      <c r="CD26" s="52"/>
      <c r="CE26" s="105"/>
      <c r="CF26" s="98"/>
      <c r="CG26" s="279"/>
      <c r="CH26" s="52"/>
      <c r="CI26" s="105"/>
      <c r="CJ26" s="98"/>
      <c r="CK26" s="281"/>
      <c r="CL26" s="462"/>
      <c r="CM26" s="159"/>
      <c r="CN26" s="462"/>
      <c r="CO26" s="50">
        <f t="shared" si="26"/>
        <v>0</v>
      </c>
      <c r="CP26" s="103">
        <f t="shared" si="27"/>
        <v>0</v>
      </c>
      <c r="CQ26" s="465">
        <f t="shared" si="28"/>
        <v>0</v>
      </c>
      <c r="CR26" s="466">
        <f t="shared" si="29"/>
        <v>0</v>
      </c>
      <c r="CS26" s="279"/>
      <c r="CT26" s="52"/>
      <c r="CU26" s="105"/>
      <c r="CV26" s="98"/>
      <c r="CW26" s="279"/>
      <c r="CX26" s="52"/>
      <c r="CY26" s="105"/>
      <c r="CZ26" s="98"/>
      <c r="DA26" s="279"/>
      <c r="DB26" s="52"/>
      <c r="DC26" s="105"/>
      <c r="DD26" s="98"/>
      <c r="DE26" s="279"/>
      <c r="DF26" s="52"/>
      <c r="DG26" s="105"/>
      <c r="DH26" s="98"/>
      <c r="DI26" s="279"/>
      <c r="DJ26" s="52"/>
      <c r="DK26" s="105"/>
      <c r="DL26" s="98"/>
      <c r="DM26" s="279"/>
      <c r="DN26" s="52"/>
      <c r="DO26" s="105"/>
      <c r="DP26" s="98"/>
      <c r="DQ26" s="279"/>
      <c r="DR26" s="52"/>
      <c r="DS26" s="105"/>
      <c r="DT26" s="98"/>
      <c r="DU26" s="279"/>
      <c r="DV26" s="52"/>
      <c r="DW26" s="105"/>
      <c r="DX26" s="98"/>
      <c r="DY26" s="279"/>
      <c r="DZ26" s="52"/>
      <c r="EA26" s="105"/>
      <c r="EB26" s="98"/>
      <c r="EC26" s="279"/>
      <c r="ED26" s="52"/>
      <c r="EE26" s="105"/>
      <c r="EF26" s="98"/>
      <c r="EG26" s="159"/>
      <c r="EH26" s="462"/>
      <c r="EI26" s="50">
        <f t="shared" si="30"/>
        <v>0</v>
      </c>
      <c r="EJ26" s="103">
        <f t="shared" si="31"/>
        <v>0</v>
      </c>
      <c r="EK26" s="164">
        <f t="shared" si="32"/>
        <v>0</v>
      </c>
      <c r="EL26" s="465">
        <f t="shared" si="33"/>
        <v>0</v>
      </c>
      <c r="EM26" s="466">
        <f t="shared" si="34"/>
        <v>0</v>
      </c>
      <c r="EN26" s="359">
        <f t="shared" si="35"/>
        <v>0</v>
      </c>
      <c r="EO26" s="51">
        <f t="shared" si="36"/>
        <v>0</v>
      </c>
      <c r="EP26" s="361">
        <f t="shared" si="37"/>
        <v>0</v>
      </c>
      <c r="EQ26" s="281"/>
      <c r="ER26" s="462"/>
      <c r="ES26" s="281"/>
      <c r="ET26" s="462"/>
      <c r="EU26" s="281"/>
      <c r="EV26" s="462"/>
      <c r="EW26" s="281"/>
      <c r="EX26" s="462"/>
      <c r="EY26" s="281"/>
      <c r="EZ26" s="462"/>
      <c r="FA26" s="281"/>
      <c r="FB26" s="462"/>
      <c r="FC26" s="281"/>
      <c r="FD26" s="462"/>
      <c r="FE26" s="281"/>
      <c r="FF26" s="462"/>
      <c r="FG26" s="281"/>
      <c r="FH26" s="462"/>
      <c r="FI26" s="281"/>
      <c r="FJ26" s="462"/>
      <c r="FK26" s="50">
        <f t="shared" si="38"/>
        <v>0</v>
      </c>
      <c r="FL26" s="466">
        <f t="shared" si="39"/>
        <v>0</v>
      </c>
      <c r="FM26" s="50">
        <f t="shared" si="21"/>
        <v>746</v>
      </c>
      <c r="FN26" s="360">
        <f t="shared" si="22"/>
        <v>764</v>
      </c>
      <c r="FO26" s="464"/>
      <c r="FP26" s="279"/>
      <c r="FQ26" s="52"/>
      <c r="FR26" s="296"/>
      <c r="FS26" s="98"/>
      <c r="FT26" s="467"/>
      <c r="FU26" s="52"/>
      <c r="FV26" s="296"/>
      <c r="FW26" s="98"/>
      <c r="FX26" s="467"/>
      <c r="FY26" s="52"/>
      <c r="FZ26" s="296"/>
      <c r="GA26" s="98"/>
      <c r="GB26" s="467"/>
      <c r="GC26" s="52"/>
      <c r="GD26" s="296"/>
      <c r="GE26" s="98"/>
      <c r="GF26" s="467"/>
      <c r="GG26" s="52"/>
      <c r="GH26" s="296"/>
      <c r="GI26" s="98"/>
      <c r="GJ26" s="467"/>
      <c r="GK26" s="52"/>
      <c r="GL26" s="296"/>
      <c r="GM26" s="464"/>
      <c r="GN26" s="467"/>
      <c r="GO26" s="52"/>
      <c r="GP26" s="296"/>
      <c r="GQ26" s="464"/>
      <c r="GR26" s="467"/>
      <c r="GS26" s="52"/>
      <c r="GT26" s="296"/>
      <c r="GU26" s="464"/>
      <c r="GV26" s="467"/>
      <c r="GW26" s="52"/>
      <c r="GX26" s="296"/>
      <c r="GY26" s="464"/>
      <c r="GZ26" s="467"/>
      <c r="HA26" s="52"/>
      <c r="HB26" s="296"/>
      <c r="HC26" s="464"/>
    </row>
    <row r="27" spans="1:211" s="85" customFormat="1">
      <c r="A27" s="275" t="s">
        <v>30</v>
      </c>
      <c r="B27" s="362" t="s">
        <v>477</v>
      </c>
      <c r="C27" s="275">
        <v>102030</v>
      </c>
      <c r="D27" s="340">
        <v>9</v>
      </c>
      <c r="E27" s="460">
        <v>154</v>
      </c>
      <c r="F27" s="461">
        <v>149</v>
      </c>
      <c r="G27" s="158"/>
      <c r="H27" s="663"/>
      <c r="I27" s="158">
        <v>268</v>
      </c>
      <c r="J27" s="461">
        <v>208</v>
      </c>
      <c r="K27" s="160">
        <f t="shared" si="23"/>
        <v>0</v>
      </c>
      <c r="L27" s="161">
        <f t="shared" si="1"/>
        <v>0</v>
      </c>
      <c r="M27" s="54"/>
      <c r="N27" s="55"/>
      <c r="O27" s="55"/>
      <c r="P27" s="55"/>
      <c r="Q27" s="162">
        <f t="shared" si="24"/>
        <v>0</v>
      </c>
      <c r="R27" s="462"/>
      <c r="S27" s="462"/>
      <c r="T27" s="462"/>
      <c r="U27" s="462"/>
      <c r="V27" s="97">
        <f t="shared" si="25"/>
        <v>0</v>
      </c>
      <c r="W27" s="279"/>
      <c r="X27" s="52"/>
      <c r="Y27" s="99"/>
      <c r="Z27" s="53"/>
      <c r="AA27" s="228"/>
      <c r="AB27" s="52"/>
      <c r="AC27" s="99"/>
      <c r="AD27" s="53"/>
      <c r="AE27" s="228"/>
      <c r="AF27" s="52"/>
      <c r="AG27" s="99"/>
      <c r="AH27" s="53"/>
      <c r="AI27" s="228"/>
      <c r="AJ27" s="52"/>
      <c r="AK27" s="99"/>
      <c r="AL27" s="53"/>
      <c r="AM27" s="228"/>
      <c r="AN27" s="52"/>
      <c r="AO27" s="99"/>
      <c r="AP27" s="53"/>
      <c r="AQ27" s="50">
        <f t="shared" si="4"/>
        <v>0</v>
      </c>
      <c r="AR27" s="163">
        <f t="shared" si="5"/>
        <v>0</v>
      </c>
      <c r="AS27" s="97">
        <f t="shared" si="6"/>
        <v>0</v>
      </c>
      <c r="AT27" s="278">
        <f t="shared" si="7"/>
        <v>0</v>
      </c>
      <c r="AU27" s="55"/>
      <c r="AV27" s="462"/>
      <c r="AW27" s="279"/>
      <c r="AX27" s="52"/>
      <c r="AY27" s="105"/>
      <c r="AZ27" s="98"/>
      <c r="BA27" s="279"/>
      <c r="BB27" s="52"/>
      <c r="BC27" s="105"/>
      <c r="BD27" s="98"/>
      <c r="BE27" s="279"/>
      <c r="BF27" s="52"/>
      <c r="BG27" s="105"/>
      <c r="BH27" s="98"/>
      <c r="BI27" s="279"/>
      <c r="BJ27" s="52"/>
      <c r="BK27" s="105"/>
      <c r="BL27" s="98"/>
      <c r="BM27" s="279"/>
      <c r="BN27" s="52"/>
      <c r="BO27" s="105"/>
      <c r="BP27" s="98"/>
      <c r="BQ27" s="279"/>
      <c r="BR27" s="52"/>
      <c r="BS27" s="105"/>
      <c r="BT27" s="98"/>
      <c r="BU27" s="279"/>
      <c r="BV27" s="52"/>
      <c r="BW27" s="105"/>
      <c r="BX27" s="98"/>
      <c r="BY27" s="279"/>
      <c r="BZ27" s="52"/>
      <c r="CA27" s="105"/>
      <c r="CB27" s="98"/>
      <c r="CC27" s="279"/>
      <c r="CD27" s="52"/>
      <c r="CE27" s="105"/>
      <c r="CF27" s="98"/>
      <c r="CG27" s="279"/>
      <c r="CH27" s="52"/>
      <c r="CI27" s="105"/>
      <c r="CJ27" s="98"/>
      <c r="CK27" s="281"/>
      <c r="CL27" s="462"/>
      <c r="CM27" s="159"/>
      <c r="CN27" s="462"/>
      <c r="CO27" s="50">
        <f t="shared" si="26"/>
        <v>0</v>
      </c>
      <c r="CP27" s="103">
        <f t="shared" si="27"/>
        <v>0</v>
      </c>
      <c r="CQ27" s="465">
        <f t="shared" si="28"/>
        <v>0</v>
      </c>
      <c r="CR27" s="466">
        <f t="shared" si="29"/>
        <v>0</v>
      </c>
      <c r="CS27" s="279"/>
      <c r="CT27" s="52"/>
      <c r="CU27" s="105"/>
      <c r="CV27" s="98"/>
      <c r="CW27" s="279"/>
      <c r="CX27" s="52"/>
      <c r="CY27" s="105"/>
      <c r="CZ27" s="98"/>
      <c r="DA27" s="279"/>
      <c r="DB27" s="52"/>
      <c r="DC27" s="105"/>
      <c r="DD27" s="98"/>
      <c r="DE27" s="279"/>
      <c r="DF27" s="52"/>
      <c r="DG27" s="105"/>
      <c r="DH27" s="98"/>
      <c r="DI27" s="279"/>
      <c r="DJ27" s="52"/>
      <c r="DK27" s="105"/>
      <c r="DL27" s="98"/>
      <c r="DM27" s="279"/>
      <c r="DN27" s="52"/>
      <c r="DO27" s="105"/>
      <c r="DP27" s="98"/>
      <c r="DQ27" s="279"/>
      <c r="DR27" s="52"/>
      <c r="DS27" s="105"/>
      <c r="DT27" s="98"/>
      <c r="DU27" s="279"/>
      <c r="DV27" s="52"/>
      <c r="DW27" s="105"/>
      <c r="DX27" s="98"/>
      <c r="DY27" s="279"/>
      <c r="DZ27" s="52"/>
      <c r="EA27" s="105"/>
      <c r="EB27" s="98"/>
      <c r="EC27" s="279"/>
      <c r="ED27" s="52"/>
      <c r="EE27" s="105"/>
      <c r="EF27" s="98"/>
      <c r="EG27" s="159"/>
      <c r="EH27" s="462"/>
      <c r="EI27" s="50">
        <f t="shared" si="30"/>
        <v>0</v>
      </c>
      <c r="EJ27" s="103">
        <f t="shared" si="31"/>
        <v>0</v>
      </c>
      <c r="EK27" s="164">
        <f t="shared" si="32"/>
        <v>0</v>
      </c>
      <c r="EL27" s="465">
        <f t="shared" si="33"/>
        <v>0</v>
      </c>
      <c r="EM27" s="466">
        <f t="shared" si="34"/>
        <v>0</v>
      </c>
      <c r="EN27" s="359">
        <f t="shared" si="35"/>
        <v>0</v>
      </c>
      <c r="EO27" s="51">
        <f t="shared" si="36"/>
        <v>0</v>
      </c>
      <c r="EP27" s="361">
        <f t="shared" si="37"/>
        <v>0</v>
      </c>
      <c r="EQ27" s="281"/>
      <c r="ER27" s="462"/>
      <c r="ES27" s="281"/>
      <c r="ET27" s="462"/>
      <c r="EU27" s="281"/>
      <c r="EV27" s="462"/>
      <c r="EW27" s="281"/>
      <c r="EX27" s="462"/>
      <c r="EY27" s="281"/>
      <c r="EZ27" s="462"/>
      <c r="FA27" s="281"/>
      <c r="FB27" s="462"/>
      <c r="FC27" s="281"/>
      <c r="FD27" s="462"/>
      <c r="FE27" s="281"/>
      <c r="FF27" s="462"/>
      <c r="FG27" s="281"/>
      <c r="FH27" s="462"/>
      <c r="FI27" s="281"/>
      <c r="FJ27" s="462"/>
      <c r="FK27" s="50">
        <f t="shared" si="38"/>
        <v>0</v>
      </c>
      <c r="FL27" s="466">
        <f t="shared" si="39"/>
        <v>0</v>
      </c>
      <c r="FM27" s="50">
        <f t="shared" si="21"/>
        <v>422</v>
      </c>
      <c r="FN27" s="360">
        <f t="shared" si="22"/>
        <v>357</v>
      </c>
      <c r="FO27" s="464"/>
      <c r="FP27" s="279"/>
      <c r="FQ27" s="52"/>
      <c r="FR27" s="296"/>
      <c r="FS27" s="98"/>
      <c r="FT27" s="467"/>
      <c r="FU27" s="52"/>
      <c r="FV27" s="296"/>
      <c r="FW27" s="98"/>
      <c r="FX27" s="467"/>
      <c r="FY27" s="52"/>
      <c r="FZ27" s="296"/>
      <c r="GA27" s="98"/>
      <c r="GB27" s="467"/>
      <c r="GC27" s="52"/>
      <c r="GD27" s="296"/>
      <c r="GE27" s="98"/>
      <c r="GF27" s="467"/>
      <c r="GG27" s="52"/>
      <c r="GH27" s="296"/>
      <c r="GI27" s="98"/>
      <c r="GJ27" s="467"/>
      <c r="GK27" s="52"/>
      <c r="GL27" s="296"/>
      <c r="GM27" s="464"/>
      <c r="GN27" s="467"/>
      <c r="GO27" s="52"/>
      <c r="GP27" s="296"/>
      <c r="GQ27" s="464"/>
      <c r="GR27" s="467"/>
      <c r="GS27" s="52"/>
      <c r="GT27" s="296"/>
      <c r="GU27" s="464"/>
      <c r="GV27" s="467"/>
      <c r="GW27" s="52"/>
      <c r="GX27" s="296"/>
      <c r="GY27" s="464"/>
      <c r="GZ27" s="467"/>
      <c r="HA27" s="52"/>
      <c r="HB27" s="296"/>
      <c r="HC27" s="464"/>
    </row>
    <row r="28" spans="1:211" s="85" customFormat="1">
      <c r="A28" s="275" t="s">
        <v>30</v>
      </c>
      <c r="B28" s="276" t="s">
        <v>478</v>
      </c>
      <c r="C28" s="275">
        <v>101240</v>
      </c>
      <c r="D28" s="340">
        <v>9</v>
      </c>
      <c r="E28" s="460">
        <v>324</v>
      </c>
      <c r="F28" s="461">
        <v>340</v>
      </c>
      <c r="G28" s="158"/>
      <c r="H28" s="663"/>
      <c r="I28" s="158">
        <v>492</v>
      </c>
      <c r="J28" s="461">
        <v>449</v>
      </c>
      <c r="K28" s="160">
        <f t="shared" si="23"/>
        <v>0</v>
      </c>
      <c r="L28" s="161">
        <f t="shared" si="1"/>
        <v>0</v>
      </c>
      <c r="M28" s="54"/>
      <c r="N28" s="55"/>
      <c r="O28" s="55"/>
      <c r="P28" s="55"/>
      <c r="Q28" s="162">
        <f t="shared" si="24"/>
        <v>0</v>
      </c>
      <c r="R28" s="462"/>
      <c r="S28" s="462"/>
      <c r="T28" s="462"/>
      <c r="U28" s="462"/>
      <c r="V28" s="97">
        <f t="shared" si="25"/>
        <v>0</v>
      </c>
      <c r="W28" s="279"/>
      <c r="X28" s="52"/>
      <c r="Y28" s="99"/>
      <c r="Z28" s="53"/>
      <c r="AA28" s="228"/>
      <c r="AB28" s="52"/>
      <c r="AC28" s="99"/>
      <c r="AD28" s="53"/>
      <c r="AE28" s="228"/>
      <c r="AF28" s="52"/>
      <c r="AG28" s="99"/>
      <c r="AH28" s="53"/>
      <c r="AI28" s="228"/>
      <c r="AJ28" s="52"/>
      <c r="AK28" s="99"/>
      <c r="AL28" s="53"/>
      <c r="AM28" s="228"/>
      <c r="AN28" s="52"/>
      <c r="AO28" s="99"/>
      <c r="AP28" s="53"/>
      <c r="AQ28" s="50">
        <f t="shared" si="4"/>
        <v>0</v>
      </c>
      <c r="AR28" s="163">
        <f t="shared" si="5"/>
        <v>0</v>
      </c>
      <c r="AS28" s="97">
        <f t="shared" si="6"/>
        <v>0</v>
      </c>
      <c r="AT28" s="278">
        <f t="shared" si="7"/>
        <v>0</v>
      </c>
      <c r="AU28" s="55"/>
      <c r="AV28" s="462"/>
      <c r="AW28" s="279"/>
      <c r="AX28" s="52"/>
      <c r="AY28" s="105"/>
      <c r="AZ28" s="98"/>
      <c r="BA28" s="279"/>
      <c r="BB28" s="52"/>
      <c r="BC28" s="105"/>
      <c r="BD28" s="98"/>
      <c r="BE28" s="279"/>
      <c r="BF28" s="52"/>
      <c r="BG28" s="105"/>
      <c r="BH28" s="98"/>
      <c r="BI28" s="279"/>
      <c r="BJ28" s="52"/>
      <c r="BK28" s="105"/>
      <c r="BL28" s="98"/>
      <c r="BM28" s="279"/>
      <c r="BN28" s="52"/>
      <c r="BO28" s="105"/>
      <c r="BP28" s="98"/>
      <c r="BQ28" s="279"/>
      <c r="BR28" s="52"/>
      <c r="BS28" s="105"/>
      <c r="BT28" s="98"/>
      <c r="BU28" s="279"/>
      <c r="BV28" s="52"/>
      <c r="BW28" s="105"/>
      <c r="BX28" s="98"/>
      <c r="BY28" s="279"/>
      <c r="BZ28" s="52"/>
      <c r="CA28" s="105"/>
      <c r="CB28" s="98"/>
      <c r="CC28" s="279"/>
      <c r="CD28" s="52"/>
      <c r="CE28" s="105"/>
      <c r="CF28" s="98"/>
      <c r="CG28" s="279"/>
      <c r="CH28" s="52"/>
      <c r="CI28" s="105"/>
      <c r="CJ28" s="98"/>
      <c r="CK28" s="281"/>
      <c r="CL28" s="462"/>
      <c r="CM28" s="159"/>
      <c r="CN28" s="462"/>
      <c r="CO28" s="50">
        <f t="shared" si="26"/>
        <v>0</v>
      </c>
      <c r="CP28" s="103">
        <f t="shared" si="27"/>
        <v>0</v>
      </c>
      <c r="CQ28" s="465">
        <f t="shared" si="28"/>
        <v>0</v>
      </c>
      <c r="CR28" s="466">
        <f t="shared" si="29"/>
        <v>0</v>
      </c>
      <c r="CS28" s="279"/>
      <c r="CT28" s="52"/>
      <c r="CU28" s="105"/>
      <c r="CV28" s="98"/>
      <c r="CW28" s="279"/>
      <c r="CX28" s="52"/>
      <c r="CY28" s="105"/>
      <c r="CZ28" s="98"/>
      <c r="DA28" s="279"/>
      <c r="DB28" s="52"/>
      <c r="DC28" s="105"/>
      <c r="DD28" s="98"/>
      <c r="DE28" s="279"/>
      <c r="DF28" s="52"/>
      <c r="DG28" s="105"/>
      <c r="DH28" s="98"/>
      <c r="DI28" s="279"/>
      <c r="DJ28" s="52"/>
      <c r="DK28" s="105"/>
      <c r="DL28" s="98"/>
      <c r="DM28" s="279"/>
      <c r="DN28" s="52"/>
      <c r="DO28" s="105"/>
      <c r="DP28" s="98"/>
      <c r="DQ28" s="279"/>
      <c r="DR28" s="52"/>
      <c r="DS28" s="105"/>
      <c r="DT28" s="98"/>
      <c r="DU28" s="279"/>
      <c r="DV28" s="52"/>
      <c r="DW28" s="105"/>
      <c r="DX28" s="98"/>
      <c r="DY28" s="279"/>
      <c r="DZ28" s="52"/>
      <c r="EA28" s="105"/>
      <c r="EB28" s="98"/>
      <c r="EC28" s="279"/>
      <c r="ED28" s="52"/>
      <c r="EE28" s="105"/>
      <c r="EF28" s="98"/>
      <c r="EG28" s="159"/>
      <c r="EH28" s="462"/>
      <c r="EI28" s="50">
        <f t="shared" si="30"/>
        <v>0</v>
      </c>
      <c r="EJ28" s="103">
        <f t="shared" si="31"/>
        <v>0</v>
      </c>
      <c r="EK28" s="164">
        <f t="shared" si="32"/>
        <v>0</v>
      </c>
      <c r="EL28" s="465">
        <f t="shared" si="33"/>
        <v>0</v>
      </c>
      <c r="EM28" s="466">
        <f t="shared" si="34"/>
        <v>0</v>
      </c>
      <c r="EN28" s="359">
        <f t="shared" si="35"/>
        <v>0</v>
      </c>
      <c r="EO28" s="51">
        <f t="shared" si="36"/>
        <v>0</v>
      </c>
      <c r="EP28" s="361">
        <f t="shared" si="37"/>
        <v>0</v>
      </c>
      <c r="EQ28" s="281"/>
      <c r="ER28" s="462"/>
      <c r="ES28" s="281"/>
      <c r="ET28" s="462"/>
      <c r="EU28" s="281"/>
      <c r="EV28" s="462"/>
      <c r="EW28" s="281"/>
      <c r="EX28" s="462"/>
      <c r="EY28" s="281"/>
      <c r="EZ28" s="462"/>
      <c r="FA28" s="281"/>
      <c r="FB28" s="462"/>
      <c r="FC28" s="281"/>
      <c r="FD28" s="462"/>
      <c r="FE28" s="281"/>
      <c r="FF28" s="462"/>
      <c r="FG28" s="281"/>
      <c r="FH28" s="462"/>
      <c r="FI28" s="281"/>
      <c r="FJ28" s="462"/>
      <c r="FK28" s="50">
        <f t="shared" si="38"/>
        <v>0</v>
      </c>
      <c r="FL28" s="466">
        <f t="shared" si="39"/>
        <v>0</v>
      </c>
      <c r="FM28" s="50">
        <f t="shared" si="21"/>
        <v>816</v>
      </c>
      <c r="FN28" s="360">
        <f t="shared" si="22"/>
        <v>789</v>
      </c>
      <c r="FO28" s="464"/>
      <c r="FP28" s="279"/>
      <c r="FQ28" s="52"/>
      <c r="FR28" s="296"/>
      <c r="FS28" s="98"/>
      <c r="FT28" s="467"/>
      <c r="FU28" s="52"/>
      <c r="FV28" s="296"/>
      <c r="FW28" s="98"/>
      <c r="FX28" s="467"/>
      <c r="FY28" s="52"/>
      <c r="FZ28" s="296"/>
      <c r="GA28" s="98"/>
      <c r="GB28" s="467"/>
      <c r="GC28" s="52"/>
      <c r="GD28" s="296"/>
      <c r="GE28" s="98"/>
      <c r="GF28" s="467"/>
      <c r="GG28" s="52"/>
      <c r="GH28" s="296"/>
      <c r="GI28" s="98"/>
      <c r="GJ28" s="467"/>
      <c r="GK28" s="52"/>
      <c r="GL28" s="296"/>
      <c r="GM28" s="464"/>
      <c r="GN28" s="467"/>
      <c r="GO28" s="52"/>
      <c r="GP28" s="296"/>
      <c r="GQ28" s="464"/>
      <c r="GR28" s="467"/>
      <c r="GS28" s="52"/>
      <c r="GT28" s="296"/>
      <c r="GU28" s="464"/>
      <c r="GV28" s="467"/>
      <c r="GW28" s="52"/>
      <c r="GX28" s="296"/>
      <c r="GY28" s="464"/>
      <c r="GZ28" s="467"/>
      <c r="HA28" s="52"/>
      <c r="HB28" s="296"/>
      <c r="HC28" s="464"/>
    </row>
    <row r="29" spans="1:211" s="85" customFormat="1">
      <c r="A29" s="275" t="s">
        <v>30</v>
      </c>
      <c r="B29" s="276" t="s">
        <v>479</v>
      </c>
      <c r="C29" s="275">
        <v>101286</v>
      </c>
      <c r="D29" s="340">
        <v>9</v>
      </c>
      <c r="E29" s="460">
        <v>203</v>
      </c>
      <c r="F29" s="461">
        <v>256</v>
      </c>
      <c r="G29" s="158"/>
      <c r="H29" s="663"/>
      <c r="I29" s="158">
        <v>479</v>
      </c>
      <c r="J29" s="461">
        <v>456</v>
      </c>
      <c r="K29" s="160">
        <f t="shared" si="23"/>
        <v>0</v>
      </c>
      <c r="L29" s="161">
        <f t="shared" si="1"/>
        <v>0</v>
      </c>
      <c r="M29" s="54"/>
      <c r="N29" s="55"/>
      <c r="O29" s="55"/>
      <c r="P29" s="55"/>
      <c r="Q29" s="162">
        <f t="shared" si="24"/>
        <v>0</v>
      </c>
      <c r="R29" s="462"/>
      <c r="S29" s="462"/>
      <c r="T29" s="462"/>
      <c r="U29" s="462"/>
      <c r="V29" s="97">
        <f t="shared" si="25"/>
        <v>0</v>
      </c>
      <c r="W29" s="279"/>
      <c r="X29" s="52"/>
      <c r="Y29" s="99"/>
      <c r="Z29" s="53"/>
      <c r="AA29" s="228"/>
      <c r="AB29" s="52"/>
      <c r="AC29" s="99"/>
      <c r="AD29" s="53"/>
      <c r="AE29" s="228"/>
      <c r="AF29" s="52"/>
      <c r="AG29" s="99"/>
      <c r="AH29" s="53"/>
      <c r="AI29" s="228"/>
      <c r="AJ29" s="52"/>
      <c r="AK29" s="99"/>
      <c r="AL29" s="53"/>
      <c r="AM29" s="228"/>
      <c r="AN29" s="52"/>
      <c r="AO29" s="99"/>
      <c r="AP29" s="53"/>
      <c r="AQ29" s="50">
        <f t="shared" si="4"/>
        <v>0</v>
      </c>
      <c r="AR29" s="163">
        <f t="shared" si="5"/>
        <v>0</v>
      </c>
      <c r="AS29" s="97">
        <f t="shared" si="6"/>
        <v>0</v>
      </c>
      <c r="AT29" s="278">
        <f t="shared" si="7"/>
        <v>0</v>
      </c>
      <c r="AU29" s="55"/>
      <c r="AV29" s="462"/>
      <c r="AW29" s="279"/>
      <c r="AX29" s="52"/>
      <c r="AY29" s="105"/>
      <c r="AZ29" s="98"/>
      <c r="BA29" s="279"/>
      <c r="BB29" s="52"/>
      <c r="BC29" s="105"/>
      <c r="BD29" s="98"/>
      <c r="BE29" s="279"/>
      <c r="BF29" s="52"/>
      <c r="BG29" s="105"/>
      <c r="BH29" s="98"/>
      <c r="BI29" s="279"/>
      <c r="BJ29" s="52"/>
      <c r="BK29" s="105"/>
      <c r="BL29" s="98"/>
      <c r="BM29" s="279"/>
      <c r="BN29" s="52"/>
      <c r="BO29" s="105"/>
      <c r="BP29" s="98"/>
      <c r="BQ29" s="279"/>
      <c r="BR29" s="52"/>
      <c r="BS29" s="105"/>
      <c r="BT29" s="98"/>
      <c r="BU29" s="279"/>
      <c r="BV29" s="52"/>
      <c r="BW29" s="105"/>
      <c r="BX29" s="98"/>
      <c r="BY29" s="279"/>
      <c r="BZ29" s="52"/>
      <c r="CA29" s="105"/>
      <c r="CB29" s="98"/>
      <c r="CC29" s="279"/>
      <c r="CD29" s="52"/>
      <c r="CE29" s="105"/>
      <c r="CF29" s="98"/>
      <c r="CG29" s="279"/>
      <c r="CH29" s="52"/>
      <c r="CI29" s="105"/>
      <c r="CJ29" s="98"/>
      <c r="CK29" s="281"/>
      <c r="CL29" s="462"/>
      <c r="CM29" s="159"/>
      <c r="CN29" s="462"/>
      <c r="CO29" s="50">
        <f t="shared" si="26"/>
        <v>0</v>
      </c>
      <c r="CP29" s="103">
        <f t="shared" si="27"/>
        <v>0</v>
      </c>
      <c r="CQ29" s="465">
        <f t="shared" si="28"/>
        <v>0</v>
      </c>
      <c r="CR29" s="466">
        <f t="shared" si="29"/>
        <v>0</v>
      </c>
      <c r="CS29" s="279"/>
      <c r="CT29" s="52"/>
      <c r="CU29" s="105"/>
      <c r="CV29" s="98"/>
      <c r="CW29" s="279"/>
      <c r="CX29" s="52"/>
      <c r="CY29" s="105"/>
      <c r="CZ29" s="98"/>
      <c r="DA29" s="279"/>
      <c r="DB29" s="52"/>
      <c r="DC29" s="105"/>
      <c r="DD29" s="98"/>
      <c r="DE29" s="279"/>
      <c r="DF29" s="52"/>
      <c r="DG29" s="105"/>
      <c r="DH29" s="98"/>
      <c r="DI29" s="279"/>
      <c r="DJ29" s="52"/>
      <c r="DK29" s="105"/>
      <c r="DL29" s="98"/>
      <c r="DM29" s="279"/>
      <c r="DN29" s="52"/>
      <c r="DO29" s="105"/>
      <c r="DP29" s="98"/>
      <c r="DQ29" s="279"/>
      <c r="DR29" s="52"/>
      <c r="DS29" s="105"/>
      <c r="DT29" s="98"/>
      <c r="DU29" s="279"/>
      <c r="DV29" s="52"/>
      <c r="DW29" s="105"/>
      <c r="DX29" s="98"/>
      <c r="DY29" s="279"/>
      <c r="DZ29" s="52"/>
      <c r="EA29" s="105"/>
      <c r="EB29" s="98"/>
      <c r="EC29" s="279"/>
      <c r="ED29" s="52"/>
      <c r="EE29" s="105"/>
      <c r="EF29" s="98"/>
      <c r="EG29" s="159"/>
      <c r="EH29" s="462"/>
      <c r="EI29" s="50">
        <f t="shared" si="30"/>
        <v>0</v>
      </c>
      <c r="EJ29" s="103">
        <f t="shared" si="31"/>
        <v>0</v>
      </c>
      <c r="EK29" s="164">
        <f t="shared" si="32"/>
        <v>0</v>
      </c>
      <c r="EL29" s="465">
        <f t="shared" si="33"/>
        <v>0</v>
      </c>
      <c r="EM29" s="466">
        <f t="shared" si="34"/>
        <v>0</v>
      </c>
      <c r="EN29" s="359">
        <f t="shared" si="35"/>
        <v>0</v>
      </c>
      <c r="EO29" s="51">
        <f t="shared" si="36"/>
        <v>0</v>
      </c>
      <c r="EP29" s="361">
        <f t="shared" si="37"/>
        <v>0</v>
      </c>
      <c r="EQ29" s="281"/>
      <c r="ER29" s="462"/>
      <c r="ES29" s="281"/>
      <c r="ET29" s="462"/>
      <c r="EU29" s="281"/>
      <c r="EV29" s="462"/>
      <c r="EW29" s="281"/>
      <c r="EX29" s="462"/>
      <c r="EY29" s="281"/>
      <c r="EZ29" s="462"/>
      <c r="FA29" s="281"/>
      <c r="FB29" s="462"/>
      <c r="FC29" s="281"/>
      <c r="FD29" s="462"/>
      <c r="FE29" s="281"/>
      <c r="FF29" s="462"/>
      <c r="FG29" s="281"/>
      <c r="FH29" s="462"/>
      <c r="FI29" s="281"/>
      <c r="FJ29" s="462"/>
      <c r="FK29" s="50">
        <f t="shared" si="38"/>
        <v>0</v>
      </c>
      <c r="FL29" s="466">
        <f t="shared" si="39"/>
        <v>0</v>
      </c>
      <c r="FM29" s="50">
        <f t="shared" si="21"/>
        <v>682</v>
      </c>
      <c r="FN29" s="360">
        <f t="shared" si="22"/>
        <v>712</v>
      </c>
      <c r="FO29" s="464"/>
      <c r="FP29" s="279"/>
      <c r="FQ29" s="52"/>
      <c r="FR29" s="296"/>
      <c r="FS29" s="98"/>
      <c r="FT29" s="467"/>
      <c r="FU29" s="52"/>
      <c r="FV29" s="296"/>
      <c r="FW29" s="98"/>
      <c r="FX29" s="467"/>
      <c r="FY29" s="52"/>
      <c r="FZ29" s="296"/>
      <c r="GA29" s="98"/>
      <c r="GB29" s="467"/>
      <c r="GC29" s="52"/>
      <c r="GD29" s="296"/>
      <c r="GE29" s="98"/>
      <c r="GF29" s="467"/>
      <c r="GG29" s="52"/>
      <c r="GH29" s="296"/>
      <c r="GI29" s="98"/>
      <c r="GJ29" s="467"/>
      <c r="GK29" s="52"/>
      <c r="GL29" s="296"/>
      <c r="GM29" s="464"/>
      <c r="GN29" s="467"/>
      <c r="GO29" s="52"/>
      <c r="GP29" s="296"/>
      <c r="GQ29" s="464"/>
      <c r="GR29" s="467"/>
      <c r="GS29" s="52"/>
      <c r="GT29" s="296"/>
      <c r="GU29" s="464"/>
      <c r="GV29" s="467"/>
      <c r="GW29" s="52"/>
      <c r="GX29" s="296"/>
      <c r="GY29" s="464"/>
      <c r="GZ29" s="467"/>
      <c r="HA29" s="52"/>
      <c r="HB29" s="296"/>
      <c r="HC29" s="464"/>
    </row>
    <row r="30" spans="1:211" s="85" customFormat="1">
      <c r="A30" s="275" t="s">
        <v>30</v>
      </c>
      <c r="B30" s="276" t="s">
        <v>480</v>
      </c>
      <c r="C30" s="275">
        <v>101161</v>
      </c>
      <c r="D30" s="340">
        <v>9</v>
      </c>
      <c r="E30" s="460">
        <v>45</v>
      </c>
      <c r="F30" s="461">
        <v>53</v>
      </c>
      <c r="G30" s="158"/>
      <c r="H30" s="663"/>
      <c r="I30" s="158">
        <v>334</v>
      </c>
      <c r="J30" s="461">
        <v>358</v>
      </c>
      <c r="K30" s="160">
        <f t="shared" si="23"/>
        <v>0</v>
      </c>
      <c r="L30" s="161">
        <f t="shared" si="1"/>
        <v>0</v>
      </c>
      <c r="M30" s="54"/>
      <c r="N30" s="55"/>
      <c r="O30" s="55"/>
      <c r="P30" s="55"/>
      <c r="Q30" s="162">
        <f t="shared" si="24"/>
        <v>0</v>
      </c>
      <c r="R30" s="462"/>
      <c r="S30" s="462"/>
      <c r="T30" s="462"/>
      <c r="U30" s="462"/>
      <c r="V30" s="97">
        <f t="shared" si="25"/>
        <v>0</v>
      </c>
      <c r="W30" s="279"/>
      <c r="X30" s="52"/>
      <c r="Y30" s="99"/>
      <c r="Z30" s="53"/>
      <c r="AA30" s="228"/>
      <c r="AB30" s="52"/>
      <c r="AC30" s="99"/>
      <c r="AD30" s="53"/>
      <c r="AE30" s="228"/>
      <c r="AF30" s="52"/>
      <c r="AG30" s="99"/>
      <c r="AH30" s="53"/>
      <c r="AI30" s="228"/>
      <c r="AJ30" s="52"/>
      <c r="AK30" s="99"/>
      <c r="AL30" s="53"/>
      <c r="AM30" s="228"/>
      <c r="AN30" s="52"/>
      <c r="AO30" s="99"/>
      <c r="AP30" s="53"/>
      <c r="AQ30" s="50">
        <f t="shared" si="4"/>
        <v>0</v>
      </c>
      <c r="AR30" s="163">
        <f t="shared" si="5"/>
        <v>0</v>
      </c>
      <c r="AS30" s="97">
        <f t="shared" si="6"/>
        <v>0</v>
      </c>
      <c r="AT30" s="278">
        <f t="shared" si="7"/>
        <v>0</v>
      </c>
      <c r="AU30" s="55"/>
      <c r="AV30" s="462"/>
      <c r="AW30" s="279"/>
      <c r="AX30" s="52"/>
      <c r="AY30" s="105"/>
      <c r="AZ30" s="98"/>
      <c r="BA30" s="279"/>
      <c r="BB30" s="52"/>
      <c r="BC30" s="105"/>
      <c r="BD30" s="98"/>
      <c r="BE30" s="279"/>
      <c r="BF30" s="52"/>
      <c r="BG30" s="105"/>
      <c r="BH30" s="98"/>
      <c r="BI30" s="279"/>
      <c r="BJ30" s="52"/>
      <c r="BK30" s="105"/>
      <c r="BL30" s="98"/>
      <c r="BM30" s="279"/>
      <c r="BN30" s="52"/>
      <c r="BO30" s="105"/>
      <c r="BP30" s="98"/>
      <c r="BQ30" s="279"/>
      <c r="BR30" s="52"/>
      <c r="BS30" s="105"/>
      <c r="BT30" s="98"/>
      <c r="BU30" s="279"/>
      <c r="BV30" s="52"/>
      <c r="BW30" s="105"/>
      <c r="BX30" s="98"/>
      <c r="BY30" s="279"/>
      <c r="BZ30" s="52"/>
      <c r="CA30" s="105"/>
      <c r="CB30" s="98"/>
      <c r="CC30" s="279"/>
      <c r="CD30" s="52"/>
      <c r="CE30" s="105"/>
      <c r="CF30" s="98"/>
      <c r="CG30" s="279"/>
      <c r="CH30" s="52"/>
      <c r="CI30" s="105"/>
      <c r="CJ30" s="98"/>
      <c r="CK30" s="281"/>
      <c r="CL30" s="462"/>
      <c r="CM30" s="159"/>
      <c r="CN30" s="462"/>
      <c r="CO30" s="50">
        <f t="shared" si="26"/>
        <v>0</v>
      </c>
      <c r="CP30" s="103">
        <f t="shared" si="27"/>
        <v>0</v>
      </c>
      <c r="CQ30" s="465">
        <f t="shared" si="28"/>
        <v>0</v>
      </c>
      <c r="CR30" s="466">
        <f t="shared" si="29"/>
        <v>0</v>
      </c>
      <c r="CS30" s="279"/>
      <c r="CT30" s="52"/>
      <c r="CU30" s="105"/>
      <c r="CV30" s="98"/>
      <c r="CW30" s="279"/>
      <c r="CX30" s="52"/>
      <c r="CY30" s="105"/>
      <c r="CZ30" s="98"/>
      <c r="DA30" s="279"/>
      <c r="DB30" s="52"/>
      <c r="DC30" s="105"/>
      <c r="DD30" s="98"/>
      <c r="DE30" s="279"/>
      <c r="DF30" s="52"/>
      <c r="DG30" s="105"/>
      <c r="DH30" s="98"/>
      <c r="DI30" s="279"/>
      <c r="DJ30" s="52"/>
      <c r="DK30" s="105"/>
      <c r="DL30" s="98"/>
      <c r="DM30" s="279"/>
      <c r="DN30" s="52"/>
      <c r="DO30" s="105"/>
      <c r="DP30" s="98"/>
      <c r="DQ30" s="279"/>
      <c r="DR30" s="52"/>
      <c r="DS30" s="105"/>
      <c r="DT30" s="98"/>
      <c r="DU30" s="279"/>
      <c r="DV30" s="52"/>
      <c r="DW30" s="105"/>
      <c r="DX30" s="98"/>
      <c r="DY30" s="279"/>
      <c r="DZ30" s="52"/>
      <c r="EA30" s="105"/>
      <c r="EB30" s="98"/>
      <c r="EC30" s="279"/>
      <c r="ED30" s="52"/>
      <c r="EE30" s="105"/>
      <c r="EF30" s="98"/>
      <c r="EG30" s="159"/>
      <c r="EH30" s="462"/>
      <c r="EI30" s="50">
        <f t="shared" si="30"/>
        <v>0</v>
      </c>
      <c r="EJ30" s="103">
        <f t="shared" si="31"/>
        <v>0</v>
      </c>
      <c r="EK30" s="164">
        <f t="shared" si="32"/>
        <v>0</v>
      </c>
      <c r="EL30" s="465">
        <f t="shared" si="33"/>
        <v>0</v>
      </c>
      <c r="EM30" s="466">
        <f t="shared" si="34"/>
        <v>0</v>
      </c>
      <c r="EN30" s="359">
        <f t="shared" si="35"/>
        <v>0</v>
      </c>
      <c r="EO30" s="51">
        <f t="shared" si="36"/>
        <v>0</v>
      </c>
      <c r="EP30" s="361">
        <f t="shared" si="37"/>
        <v>0</v>
      </c>
      <c r="EQ30" s="281"/>
      <c r="ER30" s="462"/>
      <c r="ES30" s="281"/>
      <c r="ET30" s="462"/>
      <c r="EU30" s="281"/>
      <c r="EV30" s="462"/>
      <c r="EW30" s="281"/>
      <c r="EX30" s="462"/>
      <c r="EY30" s="281"/>
      <c r="EZ30" s="462"/>
      <c r="FA30" s="281"/>
      <c r="FB30" s="462"/>
      <c r="FC30" s="281"/>
      <c r="FD30" s="462"/>
      <c r="FE30" s="281"/>
      <c r="FF30" s="462"/>
      <c r="FG30" s="281"/>
      <c r="FH30" s="462"/>
      <c r="FI30" s="281"/>
      <c r="FJ30" s="462"/>
      <c r="FK30" s="50">
        <f t="shared" si="38"/>
        <v>0</v>
      </c>
      <c r="FL30" s="466">
        <f t="shared" si="39"/>
        <v>0</v>
      </c>
      <c r="FM30" s="50">
        <f t="shared" si="21"/>
        <v>379</v>
      </c>
      <c r="FN30" s="360">
        <f t="shared" si="22"/>
        <v>411</v>
      </c>
      <c r="FO30" s="464"/>
      <c r="FP30" s="279"/>
      <c r="FQ30" s="52"/>
      <c r="FR30" s="296"/>
      <c r="FS30" s="98"/>
      <c r="FT30" s="467"/>
      <c r="FU30" s="52"/>
      <c r="FV30" s="296"/>
      <c r="FW30" s="98"/>
      <c r="FX30" s="467"/>
      <c r="FY30" s="52"/>
      <c r="FZ30" s="296"/>
      <c r="GA30" s="98"/>
      <c r="GB30" s="467"/>
      <c r="GC30" s="52"/>
      <c r="GD30" s="296"/>
      <c r="GE30" s="98"/>
      <c r="GF30" s="467"/>
      <c r="GG30" s="52"/>
      <c r="GH30" s="296"/>
      <c r="GI30" s="98"/>
      <c r="GJ30" s="467"/>
      <c r="GK30" s="52"/>
      <c r="GL30" s="296"/>
      <c r="GM30" s="464"/>
      <c r="GN30" s="467"/>
      <c r="GO30" s="52"/>
      <c r="GP30" s="296"/>
      <c r="GQ30" s="464"/>
      <c r="GR30" s="467"/>
      <c r="GS30" s="52"/>
      <c r="GT30" s="296"/>
      <c r="GU30" s="464"/>
      <c r="GV30" s="467"/>
      <c r="GW30" s="52"/>
      <c r="GX30" s="296"/>
      <c r="GY30" s="464"/>
      <c r="GZ30" s="467"/>
      <c r="HA30" s="52"/>
      <c r="HB30" s="296"/>
      <c r="HC30" s="464"/>
    </row>
    <row r="31" spans="1:211" s="85" customFormat="1">
      <c r="A31" s="275" t="s">
        <v>30</v>
      </c>
      <c r="B31" s="276" t="s">
        <v>481</v>
      </c>
      <c r="C31" s="275">
        <v>101569</v>
      </c>
      <c r="D31" s="340">
        <v>9</v>
      </c>
      <c r="E31" s="460">
        <v>267</v>
      </c>
      <c r="F31" s="461">
        <v>318</v>
      </c>
      <c r="G31" s="158"/>
      <c r="H31" s="663"/>
      <c r="I31" s="158">
        <v>248</v>
      </c>
      <c r="J31" s="461">
        <v>233</v>
      </c>
      <c r="K31" s="160">
        <f t="shared" si="23"/>
        <v>0</v>
      </c>
      <c r="L31" s="161">
        <f t="shared" si="1"/>
        <v>0</v>
      </c>
      <c r="M31" s="54"/>
      <c r="N31" s="55"/>
      <c r="O31" s="55"/>
      <c r="P31" s="55"/>
      <c r="Q31" s="162">
        <f t="shared" si="24"/>
        <v>0</v>
      </c>
      <c r="R31" s="462"/>
      <c r="S31" s="462"/>
      <c r="T31" s="462"/>
      <c r="U31" s="462"/>
      <c r="V31" s="97">
        <f t="shared" si="25"/>
        <v>0</v>
      </c>
      <c r="W31" s="279"/>
      <c r="X31" s="52"/>
      <c r="Y31" s="99"/>
      <c r="Z31" s="53"/>
      <c r="AA31" s="228"/>
      <c r="AB31" s="52"/>
      <c r="AC31" s="99"/>
      <c r="AD31" s="53"/>
      <c r="AE31" s="228"/>
      <c r="AF31" s="52"/>
      <c r="AG31" s="99"/>
      <c r="AH31" s="53"/>
      <c r="AI31" s="228"/>
      <c r="AJ31" s="52"/>
      <c r="AK31" s="99"/>
      <c r="AL31" s="53"/>
      <c r="AM31" s="228"/>
      <c r="AN31" s="52"/>
      <c r="AO31" s="99"/>
      <c r="AP31" s="53"/>
      <c r="AQ31" s="50">
        <f t="shared" si="4"/>
        <v>0</v>
      </c>
      <c r="AR31" s="163">
        <f t="shared" si="5"/>
        <v>0</v>
      </c>
      <c r="AS31" s="97">
        <f t="shared" si="6"/>
        <v>0</v>
      </c>
      <c r="AT31" s="278">
        <f t="shared" si="7"/>
        <v>0</v>
      </c>
      <c r="AU31" s="55"/>
      <c r="AV31" s="462"/>
      <c r="AW31" s="279"/>
      <c r="AX31" s="52"/>
      <c r="AY31" s="105"/>
      <c r="AZ31" s="98"/>
      <c r="BA31" s="279"/>
      <c r="BB31" s="52"/>
      <c r="BC31" s="105"/>
      <c r="BD31" s="98"/>
      <c r="BE31" s="279"/>
      <c r="BF31" s="52"/>
      <c r="BG31" s="105"/>
      <c r="BH31" s="98"/>
      <c r="BI31" s="279"/>
      <c r="BJ31" s="52"/>
      <c r="BK31" s="105"/>
      <c r="BL31" s="98"/>
      <c r="BM31" s="279"/>
      <c r="BN31" s="52"/>
      <c r="BO31" s="105"/>
      <c r="BP31" s="98"/>
      <c r="BQ31" s="279"/>
      <c r="BR31" s="52"/>
      <c r="BS31" s="105"/>
      <c r="BT31" s="98"/>
      <c r="BU31" s="279"/>
      <c r="BV31" s="52"/>
      <c r="BW31" s="105"/>
      <c r="BX31" s="98"/>
      <c r="BY31" s="279"/>
      <c r="BZ31" s="52"/>
      <c r="CA31" s="105"/>
      <c r="CB31" s="98"/>
      <c r="CC31" s="279"/>
      <c r="CD31" s="52"/>
      <c r="CE31" s="105"/>
      <c r="CF31" s="98"/>
      <c r="CG31" s="279"/>
      <c r="CH31" s="52"/>
      <c r="CI31" s="105"/>
      <c r="CJ31" s="98"/>
      <c r="CK31" s="281"/>
      <c r="CL31" s="462"/>
      <c r="CM31" s="159"/>
      <c r="CN31" s="462"/>
      <c r="CO31" s="50">
        <f t="shared" si="26"/>
        <v>0</v>
      </c>
      <c r="CP31" s="103">
        <f t="shared" si="27"/>
        <v>0</v>
      </c>
      <c r="CQ31" s="465">
        <f t="shared" si="28"/>
        <v>0</v>
      </c>
      <c r="CR31" s="466">
        <f t="shared" si="29"/>
        <v>0</v>
      </c>
      <c r="CS31" s="279"/>
      <c r="CT31" s="52"/>
      <c r="CU31" s="105"/>
      <c r="CV31" s="98"/>
      <c r="CW31" s="279"/>
      <c r="CX31" s="52"/>
      <c r="CY31" s="105"/>
      <c r="CZ31" s="98"/>
      <c r="DA31" s="279"/>
      <c r="DB31" s="52"/>
      <c r="DC31" s="105"/>
      <c r="DD31" s="98"/>
      <c r="DE31" s="279"/>
      <c r="DF31" s="52"/>
      <c r="DG31" s="105"/>
      <c r="DH31" s="98"/>
      <c r="DI31" s="279"/>
      <c r="DJ31" s="52"/>
      <c r="DK31" s="105"/>
      <c r="DL31" s="98"/>
      <c r="DM31" s="279"/>
      <c r="DN31" s="52"/>
      <c r="DO31" s="105"/>
      <c r="DP31" s="98"/>
      <c r="DQ31" s="279"/>
      <c r="DR31" s="52"/>
      <c r="DS31" s="105"/>
      <c r="DT31" s="98"/>
      <c r="DU31" s="279"/>
      <c r="DV31" s="52"/>
      <c r="DW31" s="105"/>
      <c r="DX31" s="98"/>
      <c r="DY31" s="279"/>
      <c r="DZ31" s="52"/>
      <c r="EA31" s="105"/>
      <c r="EB31" s="98"/>
      <c r="EC31" s="279"/>
      <c r="ED31" s="52"/>
      <c r="EE31" s="105"/>
      <c r="EF31" s="98"/>
      <c r="EG31" s="159"/>
      <c r="EH31" s="462"/>
      <c r="EI31" s="50">
        <f t="shared" si="30"/>
        <v>0</v>
      </c>
      <c r="EJ31" s="103">
        <f t="shared" si="31"/>
        <v>0</v>
      </c>
      <c r="EK31" s="164">
        <f t="shared" si="32"/>
        <v>0</v>
      </c>
      <c r="EL31" s="465">
        <f t="shared" si="33"/>
        <v>0</v>
      </c>
      <c r="EM31" s="466">
        <f t="shared" si="34"/>
        <v>0</v>
      </c>
      <c r="EN31" s="359">
        <f t="shared" si="35"/>
        <v>0</v>
      </c>
      <c r="EO31" s="51">
        <f t="shared" si="36"/>
        <v>0</v>
      </c>
      <c r="EP31" s="361">
        <f t="shared" si="37"/>
        <v>0</v>
      </c>
      <c r="EQ31" s="281"/>
      <c r="ER31" s="462"/>
      <c r="ES31" s="281"/>
      <c r="ET31" s="462"/>
      <c r="EU31" s="281"/>
      <c r="EV31" s="462"/>
      <c r="EW31" s="281"/>
      <c r="EX31" s="462"/>
      <c r="EY31" s="281"/>
      <c r="EZ31" s="462"/>
      <c r="FA31" s="281"/>
      <c r="FB31" s="462"/>
      <c r="FC31" s="281"/>
      <c r="FD31" s="462"/>
      <c r="FE31" s="281"/>
      <c r="FF31" s="462"/>
      <c r="FG31" s="281"/>
      <c r="FH31" s="462"/>
      <c r="FI31" s="281"/>
      <c r="FJ31" s="462"/>
      <c r="FK31" s="50">
        <f t="shared" si="38"/>
        <v>0</v>
      </c>
      <c r="FL31" s="466">
        <f t="shared" si="39"/>
        <v>0</v>
      </c>
      <c r="FM31" s="50">
        <f t="shared" si="21"/>
        <v>515</v>
      </c>
      <c r="FN31" s="360">
        <f t="shared" si="22"/>
        <v>551</v>
      </c>
      <c r="FO31" s="464"/>
      <c r="FP31" s="279"/>
      <c r="FQ31" s="52"/>
      <c r="FR31" s="296"/>
      <c r="FS31" s="98"/>
      <c r="FT31" s="467"/>
      <c r="FU31" s="52"/>
      <c r="FV31" s="296"/>
      <c r="FW31" s="98"/>
      <c r="FX31" s="467"/>
      <c r="FY31" s="52"/>
      <c r="FZ31" s="296"/>
      <c r="GA31" s="98"/>
      <c r="GB31" s="467"/>
      <c r="GC31" s="52"/>
      <c r="GD31" s="296"/>
      <c r="GE31" s="98"/>
      <c r="GF31" s="467"/>
      <c r="GG31" s="52"/>
      <c r="GH31" s="296"/>
      <c r="GI31" s="98"/>
      <c r="GJ31" s="467"/>
      <c r="GK31" s="52"/>
      <c r="GL31" s="296"/>
      <c r="GM31" s="464"/>
      <c r="GN31" s="467"/>
      <c r="GO31" s="52"/>
      <c r="GP31" s="296"/>
      <c r="GQ31" s="464"/>
      <c r="GR31" s="467"/>
      <c r="GS31" s="52"/>
      <c r="GT31" s="296"/>
      <c r="GU31" s="464"/>
      <c r="GV31" s="467"/>
      <c r="GW31" s="52"/>
      <c r="GX31" s="296"/>
      <c r="GY31" s="464"/>
      <c r="GZ31" s="467"/>
      <c r="HA31" s="52"/>
      <c r="HB31" s="296"/>
      <c r="HC31" s="464"/>
    </row>
    <row r="32" spans="1:211" s="85" customFormat="1">
      <c r="A32" s="275" t="s">
        <v>30</v>
      </c>
      <c r="B32" s="276" t="s">
        <v>482</v>
      </c>
      <c r="C32" s="275">
        <v>101736</v>
      </c>
      <c r="D32" s="340">
        <v>9</v>
      </c>
      <c r="E32" s="460">
        <v>130</v>
      </c>
      <c r="F32" s="461">
        <v>114</v>
      </c>
      <c r="G32" s="158"/>
      <c r="H32" s="663"/>
      <c r="I32" s="158">
        <v>288</v>
      </c>
      <c r="J32" s="461">
        <v>245</v>
      </c>
      <c r="K32" s="160">
        <f t="shared" si="23"/>
        <v>0</v>
      </c>
      <c r="L32" s="161">
        <f t="shared" si="1"/>
        <v>0</v>
      </c>
      <c r="M32" s="54"/>
      <c r="N32" s="55"/>
      <c r="O32" s="55"/>
      <c r="P32" s="55"/>
      <c r="Q32" s="162">
        <f t="shared" si="24"/>
        <v>0</v>
      </c>
      <c r="R32" s="462"/>
      <c r="S32" s="462"/>
      <c r="T32" s="462"/>
      <c r="U32" s="462"/>
      <c r="V32" s="97">
        <f t="shared" si="25"/>
        <v>0</v>
      </c>
      <c r="W32" s="279"/>
      <c r="X32" s="52"/>
      <c r="Y32" s="99"/>
      <c r="Z32" s="53"/>
      <c r="AA32" s="228"/>
      <c r="AB32" s="52"/>
      <c r="AC32" s="99"/>
      <c r="AD32" s="53"/>
      <c r="AE32" s="228"/>
      <c r="AF32" s="52"/>
      <c r="AG32" s="99"/>
      <c r="AH32" s="53"/>
      <c r="AI32" s="228"/>
      <c r="AJ32" s="52"/>
      <c r="AK32" s="99"/>
      <c r="AL32" s="53"/>
      <c r="AM32" s="228"/>
      <c r="AN32" s="52"/>
      <c r="AO32" s="99"/>
      <c r="AP32" s="53"/>
      <c r="AQ32" s="50">
        <f t="shared" si="4"/>
        <v>0</v>
      </c>
      <c r="AR32" s="163">
        <f t="shared" si="5"/>
        <v>0</v>
      </c>
      <c r="AS32" s="97">
        <f t="shared" si="6"/>
        <v>0</v>
      </c>
      <c r="AT32" s="278">
        <f t="shared" si="7"/>
        <v>0</v>
      </c>
      <c r="AU32" s="55"/>
      <c r="AV32" s="462"/>
      <c r="AW32" s="279"/>
      <c r="AX32" s="52"/>
      <c r="AY32" s="105"/>
      <c r="AZ32" s="98"/>
      <c r="BA32" s="279"/>
      <c r="BB32" s="52"/>
      <c r="BC32" s="105"/>
      <c r="BD32" s="98"/>
      <c r="BE32" s="279"/>
      <c r="BF32" s="52"/>
      <c r="BG32" s="105"/>
      <c r="BH32" s="98"/>
      <c r="BI32" s="279"/>
      <c r="BJ32" s="52"/>
      <c r="BK32" s="105"/>
      <c r="BL32" s="98"/>
      <c r="BM32" s="279"/>
      <c r="BN32" s="52"/>
      <c r="BO32" s="105"/>
      <c r="BP32" s="98"/>
      <c r="BQ32" s="279"/>
      <c r="BR32" s="52"/>
      <c r="BS32" s="105"/>
      <c r="BT32" s="98"/>
      <c r="BU32" s="279"/>
      <c r="BV32" s="52"/>
      <c r="BW32" s="105"/>
      <c r="BX32" s="98"/>
      <c r="BY32" s="279"/>
      <c r="BZ32" s="52"/>
      <c r="CA32" s="105"/>
      <c r="CB32" s="98"/>
      <c r="CC32" s="279"/>
      <c r="CD32" s="52"/>
      <c r="CE32" s="105"/>
      <c r="CF32" s="98"/>
      <c r="CG32" s="279"/>
      <c r="CH32" s="52"/>
      <c r="CI32" s="105"/>
      <c r="CJ32" s="98"/>
      <c r="CK32" s="281"/>
      <c r="CL32" s="462"/>
      <c r="CM32" s="159"/>
      <c r="CN32" s="462"/>
      <c r="CO32" s="50">
        <f t="shared" si="26"/>
        <v>0</v>
      </c>
      <c r="CP32" s="103">
        <f t="shared" si="27"/>
        <v>0</v>
      </c>
      <c r="CQ32" s="465">
        <f t="shared" si="28"/>
        <v>0</v>
      </c>
      <c r="CR32" s="466">
        <f t="shared" si="29"/>
        <v>0</v>
      </c>
      <c r="CS32" s="279"/>
      <c r="CT32" s="52"/>
      <c r="CU32" s="105"/>
      <c r="CV32" s="98"/>
      <c r="CW32" s="279"/>
      <c r="CX32" s="52"/>
      <c r="CY32" s="105"/>
      <c r="CZ32" s="98"/>
      <c r="DA32" s="279"/>
      <c r="DB32" s="52"/>
      <c r="DC32" s="105"/>
      <c r="DD32" s="98"/>
      <c r="DE32" s="279"/>
      <c r="DF32" s="52"/>
      <c r="DG32" s="105"/>
      <c r="DH32" s="98"/>
      <c r="DI32" s="279"/>
      <c r="DJ32" s="52"/>
      <c r="DK32" s="105"/>
      <c r="DL32" s="98"/>
      <c r="DM32" s="279"/>
      <c r="DN32" s="52"/>
      <c r="DO32" s="105"/>
      <c r="DP32" s="98"/>
      <c r="DQ32" s="279"/>
      <c r="DR32" s="52"/>
      <c r="DS32" s="105"/>
      <c r="DT32" s="98"/>
      <c r="DU32" s="279"/>
      <c r="DV32" s="52"/>
      <c r="DW32" s="105"/>
      <c r="DX32" s="98"/>
      <c r="DY32" s="279"/>
      <c r="DZ32" s="52"/>
      <c r="EA32" s="105"/>
      <c r="EB32" s="98"/>
      <c r="EC32" s="279"/>
      <c r="ED32" s="52"/>
      <c r="EE32" s="105"/>
      <c r="EF32" s="98"/>
      <c r="EG32" s="159"/>
      <c r="EH32" s="462"/>
      <c r="EI32" s="50">
        <f t="shared" si="30"/>
        <v>0</v>
      </c>
      <c r="EJ32" s="103">
        <f t="shared" si="31"/>
        <v>0</v>
      </c>
      <c r="EK32" s="164">
        <f t="shared" si="32"/>
        <v>0</v>
      </c>
      <c r="EL32" s="465">
        <f t="shared" si="33"/>
        <v>0</v>
      </c>
      <c r="EM32" s="466">
        <f t="shared" si="34"/>
        <v>0</v>
      </c>
      <c r="EN32" s="359">
        <f t="shared" si="35"/>
        <v>0</v>
      </c>
      <c r="EO32" s="51">
        <f t="shared" si="36"/>
        <v>0</v>
      </c>
      <c r="EP32" s="361">
        <f t="shared" si="37"/>
        <v>0</v>
      </c>
      <c r="EQ32" s="281"/>
      <c r="ER32" s="462"/>
      <c r="ES32" s="281"/>
      <c r="ET32" s="462"/>
      <c r="EU32" s="281"/>
      <c r="EV32" s="462"/>
      <c r="EW32" s="281"/>
      <c r="EX32" s="462"/>
      <c r="EY32" s="281"/>
      <c r="EZ32" s="462"/>
      <c r="FA32" s="281"/>
      <c r="FB32" s="462"/>
      <c r="FC32" s="281"/>
      <c r="FD32" s="462"/>
      <c r="FE32" s="281"/>
      <c r="FF32" s="462"/>
      <c r="FG32" s="281"/>
      <c r="FH32" s="462"/>
      <c r="FI32" s="281"/>
      <c r="FJ32" s="462"/>
      <c r="FK32" s="50">
        <f t="shared" si="38"/>
        <v>0</v>
      </c>
      <c r="FL32" s="466">
        <f t="shared" si="39"/>
        <v>0</v>
      </c>
      <c r="FM32" s="50">
        <f t="shared" si="21"/>
        <v>418</v>
      </c>
      <c r="FN32" s="360">
        <f t="shared" si="22"/>
        <v>359</v>
      </c>
      <c r="FO32" s="464"/>
      <c r="FP32" s="279"/>
      <c r="FQ32" s="52"/>
      <c r="FR32" s="296"/>
      <c r="FS32" s="98"/>
      <c r="FT32" s="467"/>
      <c r="FU32" s="52"/>
      <c r="FV32" s="296"/>
      <c r="FW32" s="98"/>
      <c r="FX32" s="467"/>
      <c r="FY32" s="52"/>
      <c r="FZ32" s="296"/>
      <c r="GA32" s="98"/>
      <c r="GB32" s="467"/>
      <c r="GC32" s="52"/>
      <c r="GD32" s="296"/>
      <c r="GE32" s="98"/>
      <c r="GF32" s="467"/>
      <c r="GG32" s="52"/>
      <c r="GH32" s="296"/>
      <c r="GI32" s="98"/>
      <c r="GJ32" s="467"/>
      <c r="GK32" s="52"/>
      <c r="GL32" s="296"/>
      <c r="GM32" s="464"/>
      <c r="GN32" s="467"/>
      <c r="GO32" s="52"/>
      <c r="GP32" s="296"/>
      <c r="GQ32" s="464"/>
      <c r="GR32" s="467"/>
      <c r="GS32" s="52"/>
      <c r="GT32" s="296"/>
      <c r="GU32" s="464"/>
      <c r="GV32" s="467"/>
      <c r="GW32" s="52"/>
      <c r="GX32" s="296"/>
      <c r="GY32" s="464"/>
      <c r="GZ32" s="467"/>
      <c r="HA32" s="52"/>
      <c r="HB32" s="296"/>
      <c r="HC32" s="464"/>
    </row>
    <row r="33" spans="1:211" s="85" customFormat="1">
      <c r="A33" s="275" t="s">
        <v>30</v>
      </c>
      <c r="B33" s="276" t="s">
        <v>483</v>
      </c>
      <c r="C33" s="275">
        <v>102067</v>
      </c>
      <c r="D33" s="340">
        <v>9</v>
      </c>
      <c r="E33" s="460">
        <v>159</v>
      </c>
      <c r="F33" s="461">
        <v>176</v>
      </c>
      <c r="G33" s="158"/>
      <c r="H33" s="663"/>
      <c r="I33" s="158">
        <v>238</v>
      </c>
      <c r="J33" s="461">
        <v>225</v>
      </c>
      <c r="K33" s="160">
        <f t="shared" si="23"/>
        <v>0</v>
      </c>
      <c r="L33" s="161">
        <f t="shared" si="1"/>
        <v>0</v>
      </c>
      <c r="M33" s="54"/>
      <c r="N33" s="55"/>
      <c r="O33" s="55"/>
      <c r="P33" s="55"/>
      <c r="Q33" s="162">
        <f t="shared" si="24"/>
        <v>0</v>
      </c>
      <c r="R33" s="462"/>
      <c r="S33" s="462"/>
      <c r="T33" s="462"/>
      <c r="U33" s="462"/>
      <c r="V33" s="97">
        <f t="shared" si="25"/>
        <v>0</v>
      </c>
      <c r="W33" s="279"/>
      <c r="X33" s="52"/>
      <c r="Y33" s="99"/>
      <c r="Z33" s="53"/>
      <c r="AA33" s="228"/>
      <c r="AB33" s="52"/>
      <c r="AC33" s="99"/>
      <c r="AD33" s="53"/>
      <c r="AE33" s="228"/>
      <c r="AF33" s="52"/>
      <c r="AG33" s="99"/>
      <c r="AH33" s="53"/>
      <c r="AI33" s="228"/>
      <c r="AJ33" s="52"/>
      <c r="AK33" s="99"/>
      <c r="AL33" s="53"/>
      <c r="AM33" s="228"/>
      <c r="AN33" s="52"/>
      <c r="AO33" s="99"/>
      <c r="AP33" s="53"/>
      <c r="AQ33" s="50">
        <f t="shared" si="4"/>
        <v>0</v>
      </c>
      <c r="AR33" s="163">
        <f t="shared" si="5"/>
        <v>0</v>
      </c>
      <c r="AS33" s="97">
        <f t="shared" si="6"/>
        <v>0</v>
      </c>
      <c r="AT33" s="278">
        <f t="shared" si="7"/>
        <v>0</v>
      </c>
      <c r="AU33" s="55"/>
      <c r="AV33" s="462"/>
      <c r="AW33" s="279"/>
      <c r="AX33" s="52"/>
      <c r="AY33" s="105"/>
      <c r="AZ33" s="98"/>
      <c r="BA33" s="279"/>
      <c r="BB33" s="52"/>
      <c r="BC33" s="105"/>
      <c r="BD33" s="98"/>
      <c r="BE33" s="279"/>
      <c r="BF33" s="52"/>
      <c r="BG33" s="105"/>
      <c r="BH33" s="98"/>
      <c r="BI33" s="279"/>
      <c r="BJ33" s="52"/>
      <c r="BK33" s="105"/>
      <c r="BL33" s="98"/>
      <c r="BM33" s="279"/>
      <c r="BN33" s="52"/>
      <c r="BO33" s="105"/>
      <c r="BP33" s="98"/>
      <c r="BQ33" s="279"/>
      <c r="BR33" s="52"/>
      <c r="BS33" s="105"/>
      <c r="BT33" s="98"/>
      <c r="BU33" s="279"/>
      <c r="BV33" s="52"/>
      <c r="BW33" s="105"/>
      <c r="BX33" s="98"/>
      <c r="BY33" s="279"/>
      <c r="BZ33" s="52"/>
      <c r="CA33" s="105"/>
      <c r="CB33" s="98"/>
      <c r="CC33" s="279"/>
      <c r="CD33" s="52"/>
      <c r="CE33" s="105"/>
      <c r="CF33" s="98"/>
      <c r="CG33" s="279"/>
      <c r="CH33" s="52"/>
      <c r="CI33" s="105"/>
      <c r="CJ33" s="98"/>
      <c r="CK33" s="281"/>
      <c r="CL33" s="462"/>
      <c r="CM33" s="159"/>
      <c r="CN33" s="462"/>
      <c r="CO33" s="50">
        <f t="shared" si="26"/>
        <v>0</v>
      </c>
      <c r="CP33" s="103">
        <f t="shared" si="27"/>
        <v>0</v>
      </c>
      <c r="CQ33" s="465">
        <f t="shared" si="28"/>
        <v>0</v>
      </c>
      <c r="CR33" s="466">
        <f t="shared" si="29"/>
        <v>0</v>
      </c>
      <c r="CS33" s="279"/>
      <c r="CT33" s="52"/>
      <c r="CU33" s="105"/>
      <c r="CV33" s="98"/>
      <c r="CW33" s="279"/>
      <c r="CX33" s="52"/>
      <c r="CY33" s="105"/>
      <c r="CZ33" s="98"/>
      <c r="DA33" s="279"/>
      <c r="DB33" s="52"/>
      <c r="DC33" s="105"/>
      <c r="DD33" s="98"/>
      <c r="DE33" s="279"/>
      <c r="DF33" s="52"/>
      <c r="DG33" s="105"/>
      <c r="DH33" s="98"/>
      <c r="DI33" s="279"/>
      <c r="DJ33" s="52"/>
      <c r="DK33" s="105"/>
      <c r="DL33" s="98"/>
      <c r="DM33" s="279"/>
      <c r="DN33" s="52"/>
      <c r="DO33" s="105"/>
      <c r="DP33" s="98"/>
      <c r="DQ33" s="279"/>
      <c r="DR33" s="52"/>
      <c r="DS33" s="105"/>
      <c r="DT33" s="98"/>
      <c r="DU33" s="279"/>
      <c r="DV33" s="52"/>
      <c r="DW33" s="105"/>
      <c r="DX33" s="98"/>
      <c r="DY33" s="279"/>
      <c r="DZ33" s="52"/>
      <c r="EA33" s="105"/>
      <c r="EB33" s="98"/>
      <c r="EC33" s="279"/>
      <c r="ED33" s="52"/>
      <c r="EE33" s="105"/>
      <c r="EF33" s="98"/>
      <c r="EG33" s="159"/>
      <c r="EH33" s="462"/>
      <c r="EI33" s="50">
        <f t="shared" si="30"/>
        <v>0</v>
      </c>
      <c r="EJ33" s="103">
        <f t="shared" si="31"/>
        <v>0</v>
      </c>
      <c r="EK33" s="164">
        <f t="shared" si="32"/>
        <v>0</v>
      </c>
      <c r="EL33" s="465">
        <f t="shared" si="33"/>
        <v>0</v>
      </c>
      <c r="EM33" s="466">
        <f t="shared" si="34"/>
        <v>0</v>
      </c>
      <c r="EN33" s="359">
        <f t="shared" si="35"/>
        <v>0</v>
      </c>
      <c r="EO33" s="51">
        <f t="shared" si="36"/>
        <v>0</v>
      </c>
      <c r="EP33" s="361">
        <f t="shared" si="37"/>
        <v>0</v>
      </c>
      <c r="EQ33" s="281"/>
      <c r="ER33" s="462"/>
      <c r="ES33" s="281"/>
      <c r="ET33" s="462"/>
      <c r="EU33" s="281"/>
      <c r="EV33" s="462"/>
      <c r="EW33" s="281"/>
      <c r="EX33" s="462"/>
      <c r="EY33" s="281"/>
      <c r="EZ33" s="462"/>
      <c r="FA33" s="281"/>
      <c r="FB33" s="462"/>
      <c r="FC33" s="281"/>
      <c r="FD33" s="462"/>
      <c r="FE33" s="281"/>
      <c r="FF33" s="462"/>
      <c r="FG33" s="281"/>
      <c r="FH33" s="462"/>
      <c r="FI33" s="281"/>
      <c r="FJ33" s="462"/>
      <c r="FK33" s="50">
        <f t="shared" si="38"/>
        <v>0</v>
      </c>
      <c r="FL33" s="466">
        <f t="shared" si="39"/>
        <v>0</v>
      </c>
      <c r="FM33" s="50">
        <f t="shared" si="21"/>
        <v>397</v>
      </c>
      <c r="FN33" s="360">
        <f t="shared" si="22"/>
        <v>401</v>
      </c>
      <c r="FO33" s="464"/>
      <c r="FP33" s="279"/>
      <c r="FQ33" s="52"/>
      <c r="FR33" s="296"/>
      <c r="FS33" s="98"/>
      <c r="FT33" s="467"/>
      <c r="FU33" s="52"/>
      <c r="FV33" s="296"/>
      <c r="FW33" s="98"/>
      <c r="FX33" s="467"/>
      <c r="FY33" s="52"/>
      <c r="FZ33" s="296"/>
      <c r="GA33" s="98"/>
      <c r="GB33" s="467"/>
      <c r="GC33" s="52"/>
      <c r="GD33" s="296"/>
      <c r="GE33" s="98"/>
      <c r="GF33" s="467"/>
      <c r="GG33" s="52"/>
      <c r="GH33" s="296"/>
      <c r="GI33" s="98"/>
      <c r="GJ33" s="467"/>
      <c r="GK33" s="52"/>
      <c r="GL33" s="296"/>
      <c r="GM33" s="464"/>
      <c r="GN33" s="467"/>
      <c r="GO33" s="52"/>
      <c r="GP33" s="296"/>
      <c r="GQ33" s="464"/>
      <c r="GR33" s="467"/>
      <c r="GS33" s="52"/>
      <c r="GT33" s="296"/>
      <c r="GU33" s="464"/>
      <c r="GV33" s="467"/>
      <c r="GW33" s="52"/>
      <c r="GX33" s="296"/>
      <c r="GY33" s="464"/>
      <c r="GZ33" s="467"/>
      <c r="HA33" s="52"/>
      <c r="HB33" s="296"/>
      <c r="HC33" s="464"/>
    </row>
    <row r="34" spans="1:211" s="85" customFormat="1">
      <c r="A34" s="275" t="s">
        <v>30</v>
      </c>
      <c r="B34" s="276" t="s">
        <v>484</v>
      </c>
      <c r="C34" s="275">
        <v>251260</v>
      </c>
      <c r="D34" s="340">
        <v>9</v>
      </c>
      <c r="E34" s="460">
        <v>147</v>
      </c>
      <c r="F34" s="461">
        <v>121</v>
      </c>
      <c r="G34" s="158"/>
      <c r="H34" s="663"/>
      <c r="I34" s="158">
        <v>434</v>
      </c>
      <c r="J34" s="461">
        <v>489</v>
      </c>
      <c r="K34" s="160">
        <f t="shared" si="23"/>
        <v>0</v>
      </c>
      <c r="L34" s="161">
        <f t="shared" si="1"/>
        <v>0</v>
      </c>
      <c r="M34" s="54"/>
      <c r="N34" s="55"/>
      <c r="O34" s="55"/>
      <c r="P34" s="55"/>
      <c r="Q34" s="162">
        <f t="shared" si="24"/>
        <v>0</v>
      </c>
      <c r="R34" s="462"/>
      <c r="S34" s="462"/>
      <c r="T34" s="462"/>
      <c r="U34" s="462"/>
      <c r="V34" s="97">
        <f t="shared" si="25"/>
        <v>0</v>
      </c>
      <c r="W34" s="279"/>
      <c r="X34" s="52"/>
      <c r="Y34" s="99"/>
      <c r="Z34" s="53"/>
      <c r="AA34" s="228"/>
      <c r="AB34" s="52"/>
      <c r="AC34" s="99"/>
      <c r="AD34" s="53"/>
      <c r="AE34" s="228"/>
      <c r="AF34" s="52"/>
      <c r="AG34" s="99"/>
      <c r="AH34" s="53"/>
      <c r="AI34" s="228"/>
      <c r="AJ34" s="52"/>
      <c r="AK34" s="99"/>
      <c r="AL34" s="53"/>
      <c r="AM34" s="228"/>
      <c r="AN34" s="52"/>
      <c r="AO34" s="99"/>
      <c r="AP34" s="53"/>
      <c r="AQ34" s="50">
        <f t="shared" si="4"/>
        <v>0</v>
      </c>
      <c r="AR34" s="163">
        <f t="shared" si="5"/>
        <v>0</v>
      </c>
      <c r="AS34" s="97">
        <f t="shared" si="6"/>
        <v>0</v>
      </c>
      <c r="AT34" s="278">
        <f t="shared" si="7"/>
        <v>0</v>
      </c>
      <c r="AU34" s="55"/>
      <c r="AV34" s="462"/>
      <c r="AW34" s="279"/>
      <c r="AX34" s="52"/>
      <c r="AY34" s="105"/>
      <c r="AZ34" s="98"/>
      <c r="BA34" s="279"/>
      <c r="BB34" s="52"/>
      <c r="BC34" s="105"/>
      <c r="BD34" s="98"/>
      <c r="BE34" s="279"/>
      <c r="BF34" s="52"/>
      <c r="BG34" s="105"/>
      <c r="BH34" s="98"/>
      <c r="BI34" s="279"/>
      <c r="BJ34" s="52"/>
      <c r="BK34" s="105"/>
      <c r="BL34" s="98"/>
      <c r="BM34" s="279"/>
      <c r="BN34" s="52"/>
      <c r="BO34" s="105"/>
      <c r="BP34" s="98"/>
      <c r="BQ34" s="279"/>
      <c r="BR34" s="52"/>
      <c r="BS34" s="105"/>
      <c r="BT34" s="98"/>
      <c r="BU34" s="279"/>
      <c r="BV34" s="52"/>
      <c r="BW34" s="105"/>
      <c r="BX34" s="98"/>
      <c r="BY34" s="279"/>
      <c r="BZ34" s="52"/>
      <c r="CA34" s="105"/>
      <c r="CB34" s="98"/>
      <c r="CC34" s="279"/>
      <c r="CD34" s="52"/>
      <c r="CE34" s="105"/>
      <c r="CF34" s="98"/>
      <c r="CG34" s="279"/>
      <c r="CH34" s="52"/>
      <c r="CI34" s="105"/>
      <c r="CJ34" s="98"/>
      <c r="CK34" s="281"/>
      <c r="CL34" s="462"/>
      <c r="CM34" s="159"/>
      <c r="CN34" s="462"/>
      <c r="CO34" s="50">
        <f t="shared" si="26"/>
        <v>0</v>
      </c>
      <c r="CP34" s="103">
        <f t="shared" si="27"/>
        <v>0</v>
      </c>
      <c r="CQ34" s="465">
        <f t="shared" si="28"/>
        <v>0</v>
      </c>
      <c r="CR34" s="466">
        <f t="shared" si="29"/>
        <v>0</v>
      </c>
      <c r="CS34" s="279"/>
      <c r="CT34" s="52"/>
      <c r="CU34" s="105"/>
      <c r="CV34" s="98"/>
      <c r="CW34" s="279"/>
      <c r="CX34" s="52"/>
      <c r="CY34" s="105"/>
      <c r="CZ34" s="98"/>
      <c r="DA34" s="279"/>
      <c r="DB34" s="52"/>
      <c r="DC34" s="105"/>
      <c r="DD34" s="98"/>
      <c r="DE34" s="279"/>
      <c r="DF34" s="52"/>
      <c r="DG34" s="105"/>
      <c r="DH34" s="98"/>
      <c r="DI34" s="279"/>
      <c r="DJ34" s="52"/>
      <c r="DK34" s="105"/>
      <c r="DL34" s="98"/>
      <c r="DM34" s="279"/>
      <c r="DN34" s="52"/>
      <c r="DO34" s="105"/>
      <c r="DP34" s="98"/>
      <c r="DQ34" s="279"/>
      <c r="DR34" s="52"/>
      <c r="DS34" s="105"/>
      <c r="DT34" s="98"/>
      <c r="DU34" s="279"/>
      <c r="DV34" s="52"/>
      <c r="DW34" s="105"/>
      <c r="DX34" s="98"/>
      <c r="DY34" s="279"/>
      <c r="DZ34" s="52"/>
      <c r="EA34" s="105"/>
      <c r="EB34" s="98"/>
      <c r="EC34" s="279"/>
      <c r="ED34" s="52"/>
      <c r="EE34" s="105"/>
      <c r="EF34" s="98"/>
      <c r="EG34" s="159"/>
      <c r="EH34" s="462"/>
      <c r="EI34" s="50">
        <f t="shared" si="30"/>
        <v>0</v>
      </c>
      <c r="EJ34" s="103">
        <f t="shared" si="31"/>
        <v>0</v>
      </c>
      <c r="EK34" s="164">
        <f t="shared" si="32"/>
        <v>0</v>
      </c>
      <c r="EL34" s="465">
        <f t="shared" si="33"/>
        <v>0</v>
      </c>
      <c r="EM34" s="466">
        <f t="shared" si="34"/>
        <v>0</v>
      </c>
      <c r="EN34" s="359">
        <f t="shared" si="35"/>
        <v>0</v>
      </c>
      <c r="EO34" s="51">
        <f t="shared" si="36"/>
        <v>0</v>
      </c>
      <c r="EP34" s="361">
        <f t="shared" si="37"/>
        <v>0</v>
      </c>
      <c r="EQ34" s="281"/>
      <c r="ER34" s="462"/>
      <c r="ES34" s="281"/>
      <c r="ET34" s="462"/>
      <c r="EU34" s="281"/>
      <c r="EV34" s="462"/>
      <c r="EW34" s="281"/>
      <c r="EX34" s="462"/>
      <c r="EY34" s="281"/>
      <c r="EZ34" s="462"/>
      <c r="FA34" s="281"/>
      <c r="FB34" s="462"/>
      <c r="FC34" s="281"/>
      <c r="FD34" s="462"/>
      <c r="FE34" s="281"/>
      <c r="FF34" s="462"/>
      <c r="FG34" s="281"/>
      <c r="FH34" s="462"/>
      <c r="FI34" s="281"/>
      <c r="FJ34" s="462"/>
      <c r="FK34" s="50">
        <f t="shared" si="38"/>
        <v>0</v>
      </c>
      <c r="FL34" s="466">
        <f t="shared" si="39"/>
        <v>0</v>
      </c>
      <c r="FM34" s="50">
        <f t="shared" si="21"/>
        <v>581</v>
      </c>
      <c r="FN34" s="360">
        <f t="shared" si="22"/>
        <v>610</v>
      </c>
      <c r="FO34" s="464"/>
      <c r="FP34" s="279"/>
      <c r="FQ34" s="52"/>
      <c r="FR34" s="296"/>
      <c r="FS34" s="98"/>
      <c r="FT34" s="467"/>
      <c r="FU34" s="52"/>
      <c r="FV34" s="296"/>
      <c r="FW34" s="98"/>
      <c r="FX34" s="467"/>
      <c r="FY34" s="52"/>
      <c r="FZ34" s="296"/>
      <c r="GA34" s="98"/>
      <c r="GB34" s="467"/>
      <c r="GC34" s="52"/>
      <c r="GD34" s="296"/>
      <c r="GE34" s="98"/>
      <c r="GF34" s="467"/>
      <c r="GG34" s="52"/>
      <c r="GH34" s="296"/>
      <c r="GI34" s="98"/>
      <c r="GJ34" s="467"/>
      <c r="GK34" s="52"/>
      <c r="GL34" s="296"/>
      <c r="GM34" s="464"/>
      <c r="GN34" s="467"/>
      <c r="GO34" s="52"/>
      <c r="GP34" s="296"/>
      <c r="GQ34" s="464"/>
      <c r="GR34" s="467"/>
      <c r="GS34" s="52"/>
      <c r="GT34" s="296"/>
      <c r="GU34" s="464"/>
      <c r="GV34" s="467"/>
      <c r="GW34" s="52"/>
      <c r="GX34" s="296"/>
      <c r="GY34" s="464"/>
      <c r="GZ34" s="467"/>
      <c r="HA34" s="52"/>
      <c r="HB34" s="296"/>
      <c r="HC34" s="464"/>
    </row>
    <row r="35" spans="1:211" s="85" customFormat="1">
      <c r="A35" s="275" t="s">
        <v>30</v>
      </c>
      <c r="B35" s="276" t="s">
        <v>485</v>
      </c>
      <c r="C35" s="275">
        <v>101295</v>
      </c>
      <c r="D35" s="340">
        <v>9</v>
      </c>
      <c r="E35" s="460">
        <v>236</v>
      </c>
      <c r="F35" s="461">
        <v>186</v>
      </c>
      <c r="G35" s="158"/>
      <c r="H35" s="663"/>
      <c r="I35" s="158">
        <v>904</v>
      </c>
      <c r="J35" s="461">
        <v>765</v>
      </c>
      <c r="K35" s="160">
        <f t="shared" si="23"/>
        <v>0</v>
      </c>
      <c r="L35" s="161">
        <f t="shared" si="1"/>
        <v>0</v>
      </c>
      <c r="M35" s="54"/>
      <c r="N35" s="55"/>
      <c r="O35" s="55"/>
      <c r="P35" s="55"/>
      <c r="Q35" s="162">
        <f t="shared" si="24"/>
        <v>0</v>
      </c>
      <c r="R35" s="462"/>
      <c r="S35" s="462"/>
      <c r="T35" s="462"/>
      <c r="U35" s="462"/>
      <c r="V35" s="97">
        <f t="shared" si="25"/>
        <v>0</v>
      </c>
      <c r="W35" s="279"/>
      <c r="X35" s="52"/>
      <c r="Y35" s="99"/>
      <c r="Z35" s="53"/>
      <c r="AA35" s="228"/>
      <c r="AB35" s="52"/>
      <c r="AC35" s="99"/>
      <c r="AD35" s="53"/>
      <c r="AE35" s="228"/>
      <c r="AF35" s="52"/>
      <c r="AG35" s="99"/>
      <c r="AH35" s="53"/>
      <c r="AI35" s="228"/>
      <c r="AJ35" s="52"/>
      <c r="AK35" s="99"/>
      <c r="AL35" s="53"/>
      <c r="AM35" s="228"/>
      <c r="AN35" s="52"/>
      <c r="AO35" s="99"/>
      <c r="AP35" s="53"/>
      <c r="AQ35" s="50">
        <f t="shared" si="4"/>
        <v>0</v>
      </c>
      <c r="AR35" s="163">
        <f t="shared" si="5"/>
        <v>0</v>
      </c>
      <c r="AS35" s="97">
        <f t="shared" si="6"/>
        <v>0</v>
      </c>
      <c r="AT35" s="278">
        <f t="shared" si="7"/>
        <v>0</v>
      </c>
      <c r="AU35" s="55"/>
      <c r="AV35" s="462"/>
      <c r="AW35" s="279"/>
      <c r="AX35" s="52"/>
      <c r="AY35" s="105"/>
      <c r="AZ35" s="98"/>
      <c r="BA35" s="279"/>
      <c r="BB35" s="52"/>
      <c r="BC35" s="105"/>
      <c r="BD35" s="98"/>
      <c r="BE35" s="279"/>
      <c r="BF35" s="52"/>
      <c r="BG35" s="105"/>
      <c r="BH35" s="98"/>
      <c r="BI35" s="279"/>
      <c r="BJ35" s="52"/>
      <c r="BK35" s="105"/>
      <c r="BL35" s="98"/>
      <c r="BM35" s="279"/>
      <c r="BN35" s="52"/>
      <c r="BO35" s="105"/>
      <c r="BP35" s="98"/>
      <c r="BQ35" s="279"/>
      <c r="BR35" s="52"/>
      <c r="BS35" s="105"/>
      <c r="BT35" s="98"/>
      <c r="BU35" s="279"/>
      <c r="BV35" s="52"/>
      <c r="BW35" s="105"/>
      <c r="BX35" s="98"/>
      <c r="BY35" s="279"/>
      <c r="BZ35" s="52"/>
      <c r="CA35" s="105"/>
      <c r="CB35" s="98"/>
      <c r="CC35" s="279"/>
      <c r="CD35" s="52"/>
      <c r="CE35" s="105"/>
      <c r="CF35" s="98"/>
      <c r="CG35" s="279"/>
      <c r="CH35" s="52"/>
      <c r="CI35" s="105"/>
      <c r="CJ35" s="98"/>
      <c r="CK35" s="281"/>
      <c r="CL35" s="462"/>
      <c r="CM35" s="159"/>
      <c r="CN35" s="462"/>
      <c r="CO35" s="50">
        <f t="shared" si="26"/>
        <v>0</v>
      </c>
      <c r="CP35" s="103">
        <f t="shared" si="27"/>
        <v>0</v>
      </c>
      <c r="CQ35" s="465">
        <f t="shared" si="28"/>
        <v>0</v>
      </c>
      <c r="CR35" s="466">
        <f t="shared" si="29"/>
        <v>0</v>
      </c>
      <c r="CS35" s="279"/>
      <c r="CT35" s="52"/>
      <c r="CU35" s="105"/>
      <c r="CV35" s="98"/>
      <c r="CW35" s="279"/>
      <c r="CX35" s="52"/>
      <c r="CY35" s="105"/>
      <c r="CZ35" s="98"/>
      <c r="DA35" s="279"/>
      <c r="DB35" s="52"/>
      <c r="DC35" s="105"/>
      <c r="DD35" s="98"/>
      <c r="DE35" s="279"/>
      <c r="DF35" s="52"/>
      <c r="DG35" s="105"/>
      <c r="DH35" s="98"/>
      <c r="DI35" s="279"/>
      <c r="DJ35" s="52"/>
      <c r="DK35" s="105"/>
      <c r="DL35" s="98"/>
      <c r="DM35" s="279"/>
      <c r="DN35" s="52"/>
      <c r="DO35" s="105"/>
      <c r="DP35" s="98"/>
      <c r="DQ35" s="279"/>
      <c r="DR35" s="52"/>
      <c r="DS35" s="105"/>
      <c r="DT35" s="98"/>
      <c r="DU35" s="279"/>
      <c r="DV35" s="52"/>
      <c r="DW35" s="105"/>
      <c r="DX35" s="98"/>
      <c r="DY35" s="279"/>
      <c r="DZ35" s="52"/>
      <c r="EA35" s="105"/>
      <c r="EB35" s="98"/>
      <c r="EC35" s="279"/>
      <c r="ED35" s="52"/>
      <c r="EE35" s="105"/>
      <c r="EF35" s="98"/>
      <c r="EG35" s="159"/>
      <c r="EH35" s="462"/>
      <c r="EI35" s="50">
        <f t="shared" si="30"/>
        <v>0</v>
      </c>
      <c r="EJ35" s="103">
        <f t="shared" si="31"/>
        <v>0</v>
      </c>
      <c r="EK35" s="164">
        <f t="shared" si="32"/>
        <v>0</v>
      </c>
      <c r="EL35" s="465">
        <f t="shared" si="33"/>
        <v>0</v>
      </c>
      <c r="EM35" s="466">
        <f t="shared" si="34"/>
        <v>0</v>
      </c>
      <c r="EN35" s="359">
        <f t="shared" si="35"/>
        <v>0</v>
      </c>
      <c r="EO35" s="51">
        <f t="shared" si="36"/>
        <v>0</v>
      </c>
      <c r="EP35" s="361">
        <f t="shared" si="37"/>
        <v>0</v>
      </c>
      <c r="EQ35" s="281"/>
      <c r="ER35" s="462"/>
      <c r="ES35" s="281"/>
      <c r="ET35" s="462"/>
      <c r="EU35" s="281"/>
      <c r="EV35" s="462"/>
      <c r="EW35" s="281"/>
      <c r="EX35" s="462"/>
      <c r="EY35" s="281"/>
      <c r="EZ35" s="462"/>
      <c r="FA35" s="281"/>
      <c r="FB35" s="462"/>
      <c r="FC35" s="281"/>
      <c r="FD35" s="462"/>
      <c r="FE35" s="281"/>
      <c r="FF35" s="462"/>
      <c r="FG35" s="281"/>
      <c r="FH35" s="462"/>
      <c r="FI35" s="281"/>
      <c r="FJ35" s="462"/>
      <c r="FK35" s="50">
        <f t="shared" si="38"/>
        <v>0</v>
      </c>
      <c r="FL35" s="466">
        <f t="shared" si="39"/>
        <v>0</v>
      </c>
      <c r="FM35" s="50">
        <f t="shared" si="21"/>
        <v>1140</v>
      </c>
      <c r="FN35" s="360">
        <f t="shared" si="22"/>
        <v>951</v>
      </c>
      <c r="FO35" s="464"/>
      <c r="FP35" s="279"/>
      <c r="FQ35" s="52"/>
      <c r="FR35" s="296"/>
      <c r="FS35" s="98"/>
      <c r="FT35" s="467"/>
      <c r="FU35" s="52"/>
      <c r="FV35" s="296"/>
      <c r="FW35" s="98"/>
      <c r="FX35" s="467"/>
      <c r="FY35" s="52"/>
      <c r="FZ35" s="296"/>
      <c r="GA35" s="98"/>
      <c r="GB35" s="467"/>
      <c r="GC35" s="52"/>
      <c r="GD35" s="296"/>
      <c r="GE35" s="98"/>
      <c r="GF35" s="467"/>
      <c r="GG35" s="52"/>
      <c r="GH35" s="296"/>
      <c r="GI35" s="98"/>
      <c r="GJ35" s="467"/>
      <c r="GK35" s="52"/>
      <c r="GL35" s="296"/>
      <c r="GM35" s="464"/>
      <c r="GN35" s="467"/>
      <c r="GO35" s="52"/>
      <c r="GP35" s="296"/>
      <c r="GQ35" s="464"/>
      <c r="GR35" s="467"/>
      <c r="GS35" s="52"/>
      <c r="GT35" s="296"/>
      <c r="GU35" s="464"/>
      <c r="GV35" s="467"/>
      <c r="GW35" s="52"/>
      <c r="GX35" s="296"/>
      <c r="GY35" s="464"/>
      <c r="GZ35" s="467"/>
      <c r="HA35" s="52"/>
      <c r="HB35" s="296"/>
      <c r="HC35" s="464"/>
    </row>
    <row r="36" spans="1:211" s="85" customFormat="1">
      <c r="A36" s="275" t="s">
        <v>30</v>
      </c>
      <c r="B36" s="276" t="s">
        <v>486</v>
      </c>
      <c r="C36" s="275">
        <v>101949</v>
      </c>
      <c r="D36" s="340">
        <v>10</v>
      </c>
      <c r="E36" s="460">
        <v>53</v>
      </c>
      <c r="F36" s="461">
        <v>77</v>
      </c>
      <c r="G36" s="158"/>
      <c r="H36" s="664"/>
      <c r="I36" s="158">
        <v>142</v>
      </c>
      <c r="J36" s="461">
        <v>125</v>
      </c>
      <c r="K36" s="160">
        <f t="shared" si="23"/>
        <v>0</v>
      </c>
      <c r="L36" s="161">
        <f t="shared" si="1"/>
        <v>0</v>
      </c>
      <c r="M36" s="54"/>
      <c r="N36" s="55"/>
      <c r="O36" s="55"/>
      <c r="P36" s="55"/>
      <c r="Q36" s="162">
        <f t="shared" si="24"/>
        <v>0</v>
      </c>
      <c r="R36" s="462"/>
      <c r="S36" s="462"/>
      <c r="T36" s="462"/>
      <c r="U36" s="462"/>
      <c r="V36" s="97">
        <f t="shared" si="25"/>
        <v>0</v>
      </c>
      <c r="W36" s="279"/>
      <c r="X36" s="52"/>
      <c r="Y36" s="99"/>
      <c r="Z36" s="53"/>
      <c r="AA36" s="228"/>
      <c r="AB36" s="52"/>
      <c r="AC36" s="99"/>
      <c r="AD36" s="53"/>
      <c r="AE36" s="228"/>
      <c r="AF36" s="52"/>
      <c r="AG36" s="99"/>
      <c r="AH36" s="53"/>
      <c r="AI36" s="228"/>
      <c r="AJ36" s="52"/>
      <c r="AK36" s="99"/>
      <c r="AL36" s="53"/>
      <c r="AM36" s="228"/>
      <c r="AN36" s="52"/>
      <c r="AO36" s="99"/>
      <c r="AP36" s="53"/>
      <c r="AQ36" s="50">
        <f t="shared" si="4"/>
        <v>0</v>
      </c>
      <c r="AR36" s="163">
        <f t="shared" si="5"/>
        <v>0</v>
      </c>
      <c r="AS36" s="97">
        <f t="shared" si="6"/>
        <v>0</v>
      </c>
      <c r="AT36" s="278">
        <f t="shared" si="7"/>
        <v>0</v>
      </c>
      <c r="AU36" s="55"/>
      <c r="AV36" s="462"/>
      <c r="AW36" s="279"/>
      <c r="AX36" s="52"/>
      <c r="AY36" s="105"/>
      <c r="AZ36" s="98"/>
      <c r="BA36" s="279"/>
      <c r="BB36" s="52"/>
      <c r="BC36" s="105"/>
      <c r="BD36" s="98"/>
      <c r="BE36" s="279"/>
      <c r="BF36" s="52"/>
      <c r="BG36" s="105"/>
      <c r="BH36" s="98"/>
      <c r="BI36" s="279"/>
      <c r="BJ36" s="52"/>
      <c r="BK36" s="105"/>
      <c r="BL36" s="98"/>
      <c r="BM36" s="279"/>
      <c r="BN36" s="52"/>
      <c r="BO36" s="105"/>
      <c r="BP36" s="98"/>
      <c r="BQ36" s="279"/>
      <c r="BR36" s="52"/>
      <c r="BS36" s="105"/>
      <c r="BT36" s="98"/>
      <c r="BU36" s="279"/>
      <c r="BV36" s="52"/>
      <c r="BW36" s="105"/>
      <c r="BX36" s="98"/>
      <c r="BY36" s="279"/>
      <c r="BZ36" s="52"/>
      <c r="CA36" s="105"/>
      <c r="CB36" s="98"/>
      <c r="CC36" s="279"/>
      <c r="CD36" s="52"/>
      <c r="CE36" s="105"/>
      <c r="CF36" s="98"/>
      <c r="CG36" s="279"/>
      <c r="CH36" s="52"/>
      <c r="CI36" s="105"/>
      <c r="CJ36" s="98"/>
      <c r="CK36" s="281"/>
      <c r="CL36" s="462"/>
      <c r="CM36" s="159"/>
      <c r="CN36" s="462"/>
      <c r="CO36" s="50">
        <f t="shared" si="26"/>
        <v>0</v>
      </c>
      <c r="CP36" s="103">
        <f t="shared" si="27"/>
        <v>0</v>
      </c>
      <c r="CQ36" s="465">
        <f t="shared" si="28"/>
        <v>0</v>
      </c>
      <c r="CR36" s="466">
        <f t="shared" si="29"/>
        <v>0</v>
      </c>
      <c r="CS36" s="279"/>
      <c r="CT36" s="52"/>
      <c r="CU36" s="105"/>
      <c r="CV36" s="98"/>
      <c r="CW36" s="279"/>
      <c r="CX36" s="52"/>
      <c r="CY36" s="105"/>
      <c r="CZ36" s="98"/>
      <c r="DA36" s="279"/>
      <c r="DB36" s="52"/>
      <c r="DC36" s="105"/>
      <c r="DD36" s="98"/>
      <c r="DE36" s="279"/>
      <c r="DF36" s="52"/>
      <c r="DG36" s="105"/>
      <c r="DH36" s="98"/>
      <c r="DI36" s="279"/>
      <c r="DJ36" s="52"/>
      <c r="DK36" s="105"/>
      <c r="DL36" s="98"/>
      <c r="DM36" s="279"/>
      <c r="DN36" s="52"/>
      <c r="DO36" s="105"/>
      <c r="DP36" s="98"/>
      <c r="DQ36" s="279"/>
      <c r="DR36" s="52"/>
      <c r="DS36" s="105"/>
      <c r="DT36" s="98"/>
      <c r="DU36" s="279"/>
      <c r="DV36" s="52"/>
      <c r="DW36" s="105"/>
      <c r="DX36" s="98"/>
      <c r="DY36" s="279"/>
      <c r="DZ36" s="52"/>
      <c r="EA36" s="105"/>
      <c r="EB36" s="98"/>
      <c r="EC36" s="279"/>
      <c r="ED36" s="52"/>
      <c r="EE36" s="105"/>
      <c r="EF36" s="98"/>
      <c r="EG36" s="159"/>
      <c r="EH36" s="462"/>
      <c r="EI36" s="50">
        <f t="shared" si="30"/>
        <v>0</v>
      </c>
      <c r="EJ36" s="103">
        <f t="shared" si="31"/>
        <v>0</v>
      </c>
      <c r="EK36" s="164">
        <f t="shared" si="32"/>
        <v>0</v>
      </c>
      <c r="EL36" s="465">
        <f t="shared" si="33"/>
        <v>0</v>
      </c>
      <c r="EM36" s="466">
        <f t="shared" si="34"/>
        <v>0</v>
      </c>
      <c r="EN36" s="359">
        <f t="shared" si="35"/>
        <v>0</v>
      </c>
      <c r="EO36" s="51">
        <f t="shared" si="36"/>
        <v>0</v>
      </c>
      <c r="EP36" s="361">
        <f t="shared" si="37"/>
        <v>0</v>
      </c>
      <c r="EQ36" s="281"/>
      <c r="ER36" s="462"/>
      <c r="ES36" s="281"/>
      <c r="ET36" s="462"/>
      <c r="EU36" s="281"/>
      <c r="EV36" s="462"/>
      <c r="EW36" s="281"/>
      <c r="EX36" s="462"/>
      <c r="EY36" s="281"/>
      <c r="EZ36" s="462"/>
      <c r="FA36" s="281"/>
      <c r="FB36" s="462"/>
      <c r="FC36" s="281"/>
      <c r="FD36" s="462"/>
      <c r="FE36" s="281"/>
      <c r="FF36" s="462"/>
      <c r="FG36" s="281"/>
      <c r="FH36" s="462"/>
      <c r="FI36" s="281"/>
      <c r="FJ36" s="462"/>
      <c r="FK36" s="50">
        <f t="shared" si="38"/>
        <v>0</v>
      </c>
      <c r="FL36" s="466">
        <f t="shared" si="39"/>
        <v>0</v>
      </c>
      <c r="FM36" s="50">
        <f t="shared" si="21"/>
        <v>195</v>
      </c>
      <c r="FN36" s="360">
        <f t="shared" si="22"/>
        <v>202</v>
      </c>
      <c r="FO36" s="464"/>
      <c r="FP36" s="279"/>
      <c r="FQ36" s="52"/>
      <c r="FR36" s="296"/>
      <c r="FS36" s="98"/>
      <c r="FT36" s="467"/>
      <c r="FU36" s="52"/>
      <c r="FV36" s="296"/>
      <c r="FW36" s="98"/>
      <c r="FX36" s="467"/>
      <c r="FY36" s="52"/>
      <c r="FZ36" s="296"/>
      <c r="GA36" s="98"/>
      <c r="GB36" s="467"/>
      <c r="GC36" s="52"/>
      <c r="GD36" s="296"/>
      <c r="GE36" s="98"/>
      <c r="GF36" s="467"/>
      <c r="GG36" s="52"/>
      <c r="GH36" s="296"/>
      <c r="GI36" s="98"/>
      <c r="GJ36" s="467"/>
      <c r="GK36" s="52"/>
      <c r="GL36" s="296"/>
      <c r="GM36" s="464"/>
      <c r="GN36" s="467"/>
      <c r="GO36" s="52"/>
      <c r="GP36" s="296"/>
      <c r="GQ36" s="464"/>
      <c r="GR36" s="467"/>
      <c r="GS36" s="52"/>
      <c r="GT36" s="296"/>
      <c r="GU36" s="464"/>
      <c r="GV36" s="467"/>
      <c r="GW36" s="52"/>
      <c r="GX36" s="296"/>
      <c r="GY36" s="464"/>
      <c r="GZ36" s="467"/>
      <c r="HA36" s="52"/>
      <c r="HB36" s="296"/>
      <c r="HC36" s="464"/>
    </row>
    <row r="37" spans="1:211" s="85" customFormat="1">
      <c r="A37" s="275" t="s">
        <v>30</v>
      </c>
      <c r="B37" s="276" t="s">
        <v>487</v>
      </c>
      <c r="C37" s="275">
        <v>100760</v>
      </c>
      <c r="D37" s="340">
        <v>10</v>
      </c>
      <c r="E37" s="460">
        <v>52</v>
      </c>
      <c r="F37" s="461">
        <v>66</v>
      </c>
      <c r="G37" s="158"/>
      <c r="H37" s="664"/>
      <c r="I37" s="158">
        <v>217</v>
      </c>
      <c r="J37" s="461">
        <v>283</v>
      </c>
      <c r="K37" s="160">
        <f t="shared" si="23"/>
        <v>0</v>
      </c>
      <c r="L37" s="161">
        <f t="shared" si="1"/>
        <v>0</v>
      </c>
      <c r="M37" s="54"/>
      <c r="N37" s="55"/>
      <c r="O37" s="55"/>
      <c r="P37" s="55"/>
      <c r="Q37" s="162">
        <f t="shared" si="24"/>
        <v>0</v>
      </c>
      <c r="R37" s="462"/>
      <c r="S37" s="462"/>
      <c r="T37" s="462"/>
      <c r="U37" s="462"/>
      <c r="V37" s="97">
        <f t="shared" si="25"/>
        <v>0</v>
      </c>
      <c r="W37" s="279"/>
      <c r="X37" s="52"/>
      <c r="Y37" s="99"/>
      <c r="Z37" s="53"/>
      <c r="AA37" s="228"/>
      <c r="AB37" s="52"/>
      <c r="AC37" s="99"/>
      <c r="AD37" s="53"/>
      <c r="AE37" s="228"/>
      <c r="AF37" s="52"/>
      <c r="AG37" s="99"/>
      <c r="AH37" s="53"/>
      <c r="AI37" s="228"/>
      <c r="AJ37" s="52"/>
      <c r="AK37" s="99"/>
      <c r="AL37" s="53"/>
      <c r="AM37" s="228"/>
      <c r="AN37" s="52"/>
      <c r="AO37" s="99"/>
      <c r="AP37" s="53"/>
      <c r="AQ37" s="50">
        <f t="shared" si="4"/>
        <v>0</v>
      </c>
      <c r="AR37" s="163">
        <f t="shared" si="5"/>
        <v>0</v>
      </c>
      <c r="AS37" s="97">
        <f t="shared" si="6"/>
        <v>0</v>
      </c>
      <c r="AT37" s="278">
        <f t="shared" si="7"/>
        <v>0</v>
      </c>
      <c r="AU37" s="55"/>
      <c r="AV37" s="462"/>
      <c r="AW37" s="279"/>
      <c r="AX37" s="52"/>
      <c r="AY37" s="105"/>
      <c r="AZ37" s="98"/>
      <c r="BA37" s="279"/>
      <c r="BB37" s="52"/>
      <c r="BC37" s="105"/>
      <c r="BD37" s="98"/>
      <c r="BE37" s="279"/>
      <c r="BF37" s="52"/>
      <c r="BG37" s="105"/>
      <c r="BH37" s="98"/>
      <c r="BI37" s="279"/>
      <c r="BJ37" s="52"/>
      <c r="BK37" s="105"/>
      <c r="BL37" s="98"/>
      <c r="BM37" s="279"/>
      <c r="BN37" s="52"/>
      <c r="BO37" s="105"/>
      <c r="BP37" s="98"/>
      <c r="BQ37" s="279"/>
      <c r="BR37" s="52"/>
      <c r="BS37" s="105"/>
      <c r="BT37" s="98"/>
      <c r="BU37" s="279"/>
      <c r="BV37" s="52"/>
      <c r="BW37" s="105"/>
      <c r="BX37" s="98"/>
      <c r="BY37" s="279"/>
      <c r="BZ37" s="52"/>
      <c r="CA37" s="105"/>
      <c r="CB37" s="98"/>
      <c r="CC37" s="279"/>
      <c r="CD37" s="52"/>
      <c r="CE37" s="105"/>
      <c r="CF37" s="98"/>
      <c r="CG37" s="279"/>
      <c r="CH37" s="52"/>
      <c r="CI37" s="105"/>
      <c r="CJ37" s="98"/>
      <c r="CK37" s="281"/>
      <c r="CL37" s="462"/>
      <c r="CM37" s="159"/>
      <c r="CN37" s="462"/>
      <c r="CO37" s="50">
        <f t="shared" si="26"/>
        <v>0</v>
      </c>
      <c r="CP37" s="103">
        <f t="shared" si="27"/>
        <v>0</v>
      </c>
      <c r="CQ37" s="465">
        <f t="shared" si="28"/>
        <v>0</v>
      </c>
      <c r="CR37" s="466">
        <f t="shared" si="29"/>
        <v>0</v>
      </c>
      <c r="CS37" s="279"/>
      <c r="CT37" s="52"/>
      <c r="CU37" s="105"/>
      <c r="CV37" s="98"/>
      <c r="CW37" s="279"/>
      <c r="CX37" s="52"/>
      <c r="CY37" s="105"/>
      <c r="CZ37" s="98"/>
      <c r="DA37" s="279"/>
      <c r="DB37" s="52"/>
      <c r="DC37" s="105"/>
      <c r="DD37" s="98"/>
      <c r="DE37" s="279"/>
      <c r="DF37" s="52"/>
      <c r="DG37" s="105"/>
      <c r="DH37" s="98"/>
      <c r="DI37" s="279"/>
      <c r="DJ37" s="52"/>
      <c r="DK37" s="105"/>
      <c r="DL37" s="98"/>
      <c r="DM37" s="279"/>
      <c r="DN37" s="52"/>
      <c r="DO37" s="105"/>
      <c r="DP37" s="98"/>
      <c r="DQ37" s="279"/>
      <c r="DR37" s="52"/>
      <c r="DS37" s="105"/>
      <c r="DT37" s="98"/>
      <c r="DU37" s="279"/>
      <c r="DV37" s="52"/>
      <c r="DW37" s="105"/>
      <c r="DX37" s="98"/>
      <c r="DY37" s="279"/>
      <c r="DZ37" s="52"/>
      <c r="EA37" s="105"/>
      <c r="EB37" s="98"/>
      <c r="EC37" s="279"/>
      <c r="ED37" s="52"/>
      <c r="EE37" s="105"/>
      <c r="EF37" s="98"/>
      <c r="EG37" s="159"/>
      <c r="EH37" s="462"/>
      <c r="EI37" s="50">
        <f t="shared" si="30"/>
        <v>0</v>
      </c>
      <c r="EJ37" s="103">
        <f t="shared" si="31"/>
        <v>0</v>
      </c>
      <c r="EK37" s="164">
        <f t="shared" si="32"/>
        <v>0</v>
      </c>
      <c r="EL37" s="465">
        <f t="shared" si="33"/>
        <v>0</v>
      </c>
      <c r="EM37" s="466">
        <f t="shared" si="34"/>
        <v>0</v>
      </c>
      <c r="EN37" s="359">
        <f t="shared" si="35"/>
        <v>0</v>
      </c>
      <c r="EO37" s="51">
        <f t="shared" si="36"/>
        <v>0</v>
      </c>
      <c r="EP37" s="361">
        <f t="shared" si="37"/>
        <v>0</v>
      </c>
      <c r="EQ37" s="281"/>
      <c r="ER37" s="462"/>
      <c r="ES37" s="281"/>
      <c r="ET37" s="462"/>
      <c r="EU37" s="281"/>
      <c r="EV37" s="462"/>
      <c r="EW37" s="281"/>
      <c r="EX37" s="462"/>
      <c r="EY37" s="281"/>
      <c r="EZ37" s="462"/>
      <c r="FA37" s="281"/>
      <c r="FB37" s="462"/>
      <c r="FC37" s="281"/>
      <c r="FD37" s="462"/>
      <c r="FE37" s="281"/>
      <c r="FF37" s="462"/>
      <c r="FG37" s="281"/>
      <c r="FH37" s="462"/>
      <c r="FI37" s="281"/>
      <c r="FJ37" s="462"/>
      <c r="FK37" s="50">
        <f t="shared" si="38"/>
        <v>0</v>
      </c>
      <c r="FL37" s="466">
        <f t="shared" si="39"/>
        <v>0</v>
      </c>
      <c r="FM37" s="50">
        <f t="shared" si="21"/>
        <v>269</v>
      </c>
      <c r="FN37" s="360">
        <f t="shared" si="22"/>
        <v>349</v>
      </c>
      <c r="FO37" s="464"/>
      <c r="FP37" s="279"/>
      <c r="FQ37" s="52"/>
      <c r="FR37" s="296"/>
      <c r="FS37" s="98"/>
      <c r="FT37" s="467"/>
      <c r="FU37" s="52"/>
      <c r="FV37" s="296"/>
      <c r="FW37" s="98"/>
      <c r="FX37" s="467"/>
      <c r="FY37" s="52"/>
      <c r="FZ37" s="296"/>
      <c r="GA37" s="98"/>
      <c r="GB37" s="467"/>
      <c r="GC37" s="52"/>
      <c r="GD37" s="296"/>
      <c r="GE37" s="98"/>
      <c r="GF37" s="467"/>
      <c r="GG37" s="52"/>
      <c r="GH37" s="296"/>
      <c r="GI37" s="98"/>
      <c r="GJ37" s="467"/>
      <c r="GK37" s="52"/>
      <c r="GL37" s="296"/>
      <c r="GM37" s="464"/>
      <c r="GN37" s="467"/>
      <c r="GO37" s="52"/>
      <c r="GP37" s="296"/>
      <c r="GQ37" s="464"/>
      <c r="GR37" s="467"/>
      <c r="GS37" s="52"/>
      <c r="GT37" s="296"/>
      <c r="GU37" s="464"/>
      <c r="GV37" s="467"/>
      <c r="GW37" s="52"/>
      <c r="GX37" s="296"/>
      <c r="GY37" s="464"/>
      <c r="GZ37" s="467"/>
      <c r="HA37" s="52"/>
      <c r="HB37" s="296"/>
      <c r="HC37" s="464"/>
    </row>
    <row r="38" spans="1:211" s="85" customFormat="1">
      <c r="A38" s="275" t="s">
        <v>30</v>
      </c>
      <c r="B38" s="276" t="s">
        <v>488</v>
      </c>
      <c r="C38" s="275">
        <v>101028</v>
      </c>
      <c r="D38" s="340">
        <v>10</v>
      </c>
      <c r="E38" s="460">
        <v>29</v>
      </c>
      <c r="F38" s="461">
        <v>30</v>
      </c>
      <c r="G38" s="158"/>
      <c r="H38" s="664"/>
      <c r="I38" s="158">
        <v>187</v>
      </c>
      <c r="J38" s="461">
        <v>152</v>
      </c>
      <c r="K38" s="160">
        <f t="shared" si="23"/>
        <v>0</v>
      </c>
      <c r="L38" s="161">
        <f t="shared" si="1"/>
        <v>0</v>
      </c>
      <c r="M38" s="54"/>
      <c r="N38" s="55"/>
      <c r="O38" s="55"/>
      <c r="P38" s="55"/>
      <c r="Q38" s="162">
        <f t="shared" si="24"/>
        <v>0</v>
      </c>
      <c r="R38" s="462"/>
      <c r="S38" s="462"/>
      <c r="T38" s="462"/>
      <c r="U38" s="462"/>
      <c r="V38" s="97">
        <f t="shared" si="25"/>
        <v>0</v>
      </c>
      <c r="W38" s="279"/>
      <c r="X38" s="52"/>
      <c r="Y38" s="99"/>
      <c r="Z38" s="53"/>
      <c r="AA38" s="228"/>
      <c r="AB38" s="52"/>
      <c r="AC38" s="99"/>
      <c r="AD38" s="53"/>
      <c r="AE38" s="228"/>
      <c r="AF38" s="52"/>
      <c r="AG38" s="99"/>
      <c r="AH38" s="53"/>
      <c r="AI38" s="228"/>
      <c r="AJ38" s="52"/>
      <c r="AK38" s="99"/>
      <c r="AL38" s="53"/>
      <c r="AM38" s="228"/>
      <c r="AN38" s="52"/>
      <c r="AO38" s="99"/>
      <c r="AP38" s="53"/>
      <c r="AQ38" s="50">
        <f t="shared" si="4"/>
        <v>0</v>
      </c>
      <c r="AR38" s="163">
        <f t="shared" si="5"/>
        <v>0</v>
      </c>
      <c r="AS38" s="97">
        <f t="shared" si="6"/>
        <v>0</v>
      </c>
      <c r="AT38" s="278">
        <f t="shared" si="7"/>
        <v>0</v>
      </c>
      <c r="AU38" s="55"/>
      <c r="AV38" s="462"/>
      <c r="AW38" s="279"/>
      <c r="AX38" s="52"/>
      <c r="AY38" s="105"/>
      <c r="AZ38" s="98"/>
      <c r="BA38" s="279"/>
      <c r="BB38" s="52"/>
      <c r="BC38" s="105"/>
      <c r="BD38" s="98"/>
      <c r="BE38" s="279"/>
      <c r="BF38" s="52"/>
      <c r="BG38" s="105"/>
      <c r="BH38" s="98"/>
      <c r="BI38" s="279"/>
      <c r="BJ38" s="52"/>
      <c r="BK38" s="105"/>
      <c r="BL38" s="98"/>
      <c r="BM38" s="279"/>
      <c r="BN38" s="52"/>
      <c r="BO38" s="105"/>
      <c r="BP38" s="98"/>
      <c r="BQ38" s="279"/>
      <c r="BR38" s="52"/>
      <c r="BS38" s="105"/>
      <c r="BT38" s="98"/>
      <c r="BU38" s="279"/>
      <c r="BV38" s="52"/>
      <c r="BW38" s="105"/>
      <c r="BX38" s="98"/>
      <c r="BY38" s="279"/>
      <c r="BZ38" s="52"/>
      <c r="CA38" s="105"/>
      <c r="CB38" s="98"/>
      <c r="CC38" s="279"/>
      <c r="CD38" s="52"/>
      <c r="CE38" s="105"/>
      <c r="CF38" s="98"/>
      <c r="CG38" s="279"/>
      <c r="CH38" s="52"/>
      <c r="CI38" s="105"/>
      <c r="CJ38" s="98"/>
      <c r="CK38" s="281"/>
      <c r="CL38" s="462"/>
      <c r="CM38" s="159"/>
      <c r="CN38" s="462"/>
      <c r="CO38" s="50">
        <f t="shared" si="26"/>
        <v>0</v>
      </c>
      <c r="CP38" s="103">
        <f t="shared" si="27"/>
        <v>0</v>
      </c>
      <c r="CQ38" s="465">
        <f t="shared" si="28"/>
        <v>0</v>
      </c>
      <c r="CR38" s="466">
        <f t="shared" si="29"/>
        <v>0</v>
      </c>
      <c r="CS38" s="279"/>
      <c r="CT38" s="52"/>
      <c r="CU38" s="105"/>
      <c r="CV38" s="98"/>
      <c r="CW38" s="279"/>
      <c r="CX38" s="52"/>
      <c r="CY38" s="105"/>
      <c r="CZ38" s="98"/>
      <c r="DA38" s="279"/>
      <c r="DB38" s="52"/>
      <c r="DC38" s="105"/>
      <c r="DD38" s="98"/>
      <c r="DE38" s="279"/>
      <c r="DF38" s="52"/>
      <c r="DG38" s="105"/>
      <c r="DH38" s="98"/>
      <c r="DI38" s="279"/>
      <c r="DJ38" s="52"/>
      <c r="DK38" s="105"/>
      <c r="DL38" s="98"/>
      <c r="DM38" s="279"/>
      <c r="DN38" s="52"/>
      <c r="DO38" s="105"/>
      <c r="DP38" s="98"/>
      <c r="DQ38" s="279"/>
      <c r="DR38" s="52"/>
      <c r="DS38" s="105"/>
      <c r="DT38" s="98"/>
      <c r="DU38" s="279"/>
      <c r="DV38" s="52"/>
      <c r="DW38" s="105"/>
      <c r="DX38" s="98"/>
      <c r="DY38" s="279"/>
      <c r="DZ38" s="52"/>
      <c r="EA38" s="105"/>
      <c r="EB38" s="98"/>
      <c r="EC38" s="279"/>
      <c r="ED38" s="52"/>
      <c r="EE38" s="105"/>
      <c r="EF38" s="98"/>
      <c r="EG38" s="159"/>
      <c r="EH38" s="462"/>
      <c r="EI38" s="50">
        <f t="shared" si="30"/>
        <v>0</v>
      </c>
      <c r="EJ38" s="103">
        <f t="shared" si="31"/>
        <v>0</v>
      </c>
      <c r="EK38" s="164">
        <f t="shared" si="32"/>
        <v>0</v>
      </c>
      <c r="EL38" s="465">
        <f t="shared" si="33"/>
        <v>0</v>
      </c>
      <c r="EM38" s="466">
        <f t="shared" si="34"/>
        <v>0</v>
      </c>
      <c r="EN38" s="359">
        <f t="shared" si="35"/>
        <v>0</v>
      </c>
      <c r="EO38" s="51">
        <f t="shared" si="36"/>
        <v>0</v>
      </c>
      <c r="EP38" s="361">
        <f t="shared" si="37"/>
        <v>0</v>
      </c>
      <c r="EQ38" s="281"/>
      <c r="ER38" s="462"/>
      <c r="ES38" s="281"/>
      <c r="ET38" s="462"/>
      <c r="EU38" s="281"/>
      <c r="EV38" s="462"/>
      <c r="EW38" s="281"/>
      <c r="EX38" s="462"/>
      <c r="EY38" s="281"/>
      <c r="EZ38" s="462"/>
      <c r="FA38" s="281"/>
      <c r="FB38" s="462"/>
      <c r="FC38" s="281"/>
      <c r="FD38" s="462"/>
      <c r="FE38" s="281"/>
      <c r="FF38" s="462"/>
      <c r="FG38" s="281"/>
      <c r="FH38" s="462"/>
      <c r="FI38" s="281"/>
      <c r="FJ38" s="462"/>
      <c r="FK38" s="50">
        <f t="shared" si="38"/>
        <v>0</v>
      </c>
      <c r="FL38" s="466">
        <f t="shared" si="39"/>
        <v>0</v>
      </c>
      <c r="FM38" s="50">
        <f t="shared" si="21"/>
        <v>216</v>
      </c>
      <c r="FN38" s="360">
        <f t="shared" si="22"/>
        <v>182</v>
      </c>
      <c r="FO38" s="464"/>
      <c r="FP38" s="279"/>
      <c r="FQ38" s="52"/>
      <c r="FR38" s="296"/>
      <c r="FS38" s="98"/>
      <c r="FT38" s="467"/>
      <c r="FU38" s="52"/>
      <c r="FV38" s="296"/>
      <c r="FW38" s="98"/>
      <c r="FX38" s="467"/>
      <c r="FY38" s="52"/>
      <c r="FZ38" s="296"/>
      <c r="GA38" s="98"/>
      <c r="GB38" s="467"/>
      <c r="GC38" s="52"/>
      <c r="GD38" s="296"/>
      <c r="GE38" s="98"/>
      <c r="GF38" s="467"/>
      <c r="GG38" s="52"/>
      <c r="GH38" s="296"/>
      <c r="GI38" s="98"/>
      <c r="GJ38" s="467"/>
      <c r="GK38" s="52"/>
      <c r="GL38" s="296"/>
      <c r="GM38" s="464"/>
      <c r="GN38" s="467"/>
      <c r="GO38" s="52"/>
      <c r="GP38" s="296"/>
      <c r="GQ38" s="464"/>
      <c r="GR38" s="467"/>
      <c r="GS38" s="52"/>
      <c r="GT38" s="296"/>
      <c r="GU38" s="464"/>
      <c r="GV38" s="467"/>
      <c r="GW38" s="52"/>
      <c r="GX38" s="296"/>
      <c r="GY38" s="464"/>
      <c r="GZ38" s="467"/>
      <c r="HA38" s="52"/>
      <c r="HB38" s="296"/>
      <c r="HC38" s="464"/>
    </row>
    <row r="39" spans="1:211" s="86" customFormat="1">
      <c r="A39" s="275" t="s">
        <v>30</v>
      </c>
      <c r="B39" s="276" t="s">
        <v>489</v>
      </c>
      <c r="C39" s="275">
        <v>101143</v>
      </c>
      <c r="D39" s="340">
        <v>10</v>
      </c>
      <c r="E39" s="460">
        <v>291</v>
      </c>
      <c r="F39" s="461">
        <v>192</v>
      </c>
      <c r="G39" s="158"/>
      <c r="H39" s="664"/>
      <c r="I39" s="158">
        <v>230</v>
      </c>
      <c r="J39" s="461">
        <v>289</v>
      </c>
      <c r="K39" s="160">
        <f t="shared" si="23"/>
        <v>0</v>
      </c>
      <c r="L39" s="161">
        <f t="shared" si="1"/>
        <v>0</v>
      </c>
      <c r="M39" s="54"/>
      <c r="N39" s="55"/>
      <c r="O39" s="55"/>
      <c r="P39" s="55"/>
      <c r="Q39" s="162">
        <f t="shared" si="24"/>
        <v>0</v>
      </c>
      <c r="R39" s="462"/>
      <c r="S39" s="462"/>
      <c r="T39" s="462"/>
      <c r="U39" s="462"/>
      <c r="V39" s="97">
        <f t="shared" si="25"/>
        <v>0</v>
      </c>
      <c r="W39" s="279"/>
      <c r="X39" s="52"/>
      <c r="Y39" s="99"/>
      <c r="Z39" s="53"/>
      <c r="AA39" s="228"/>
      <c r="AB39" s="52"/>
      <c r="AC39" s="99"/>
      <c r="AD39" s="53"/>
      <c r="AE39" s="228"/>
      <c r="AF39" s="52"/>
      <c r="AG39" s="99"/>
      <c r="AH39" s="53"/>
      <c r="AI39" s="228"/>
      <c r="AJ39" s="52"/>
      <c r="AK39" s="99"/>
      <c r="AL39" s="53"/>
      <c r="AM39" s="228"/>
      <c r="AN39" s="52"/>
      <c r="AO39" s="99"/>
      <c r="AP39" s="53"/>
      <c r="AQ39" s="50">
        <f t="shared" si="4"/>
        <v>0</v>
      </c>
      <c r="AR39" s="163">
        <f t="shared" si="5"/>
        <v>0</v>
      </c>
      <c r="AS39" s="97">
        <f t="shared" si="6"/>
        <v>0</v>
      </c>
      <c r="AT39" s="278">
        <f t="shared" si="7"/>
        <v>0</v>
      </c>
      <c r="AU39" s="55"/>
      <c r="AV39" s="462"/>
      <c r="AW39" s="279"/>
      <c r="AX39" s="52"/>
      <c r="AY39" s="105"/>
      <c r="AZ39" s="98"/>
      <c r="BA39" s="279"/>
      <c r="BB39" s="52"/>
      <c r="BC39" s="105"/>
      <c r="BD39" s="98"/>
      <c r="BE39" s="279"/>
      <c r="BF39" s="52"/>
      <c r="BG39" s="105"/>
      <c r="BH39" s="98"/>
      <c r="BI39" s="279"/>
      <c r="BJ39" s="52"/>
      <c r="BK39" s="105"/>
      <c r="BL39" s="98"/>
      <c r="BM39" s="279"/>
      <c r="BN39" s="52"/>
      <c r="BO39" s="105"/>
      <c r="BP39" s="98"/>
      <c r="BQ39" s="279"/>
      <c r="BR39" s="52"/>
      <c r="BS39" s="105"/>
      <c r="BT39" s="98"/>
      <c r="BU39" s="279"/>
      <c r="BV39" s="52"/>
      <c r="BW39" s="105"/>
      <c r="BX39" s="98"/>
      <c r="BY39" s="279"/>
      <c r="BZ39" s="52"/>
      <c r="CA39" s="105"/>
      <c r="CB39" s="98"/>
      <c r="CC39" s="279"/>
      <c r="CD39" s="52"/>
      <c r="CE39" s="105"/>
      <c r="CF39" s="98"/>
      <c r="CG39" s="279"/>
      <c r="CH39" s="52"/>
      <c r="CI39" s="105"/>
      <c r="CJ39" s="98"/>
      <c r="CK39" s="281"/>
      <c r="CL39" s="462"/>
      <c r="CM39" s="159"/>
      <c r="CN39" s="462"/>
      <c r="CO39" s="50">
        <f t="shared" si="26"/>
        <v>0</v>
      </c>
      <c r="CP39" s="103">
        <f t="shared" si="27"/>
        <v>0</v>
      </c>
      <c r="CQ39" s="465">
        <f t="shared" si="28"/>
        <v>0</v>
      </c>
      <c r="CR39" s="466">
        <f t="shared" si="29"/>
        <v>0</v>
      </c>
      <c r="CS39" s="279"/>
      <c r="CT39" s="52"/>
      <c r="CU39" s="105"/>
      <c r="CV39" s="98"/>
      <c r="CW39" s="279"/>
      <c r="CX39" s="52"/>
      <c r="CY39" s="105"/>
      <c r="CZ39" s="98"/>
      <c r="DA39" s="279"/>
      <c r="DB39" s="52"/>
      <c r="DC39" s="105"/>
      <c r="DD39" s="98"/>
      <c r="DE39" s="279"/>
      <c r="DF39" s="52"/>
      <c r="DG39" s="105"/>
      <c r="DH39" s="98"/>
      <c r="DI39" s="279"/>
      <c r="DJ39" s="52"/>
      <c r="DK39" s="105"/>
      <c r="DL39" s="98"/>
      <c r="DM39" s="279"/>
      <c r="DN39" s="52"/>
      <c r="DO39" s="105"/>
      <c r="DP39" s="98"/>
      <c r="DQ39" s="279"/>
      <c r="DR39" s="52"/>
      <c r="DS39" s="105"/>
      <c r="DT39" s="98"/>
      <c r="DU39" s="279"/>
      <c r="DV39" s="52"/>
      <c r="DW39" s="105"/>
      <c r="DX39" s="98"/>
      <c r="DY39" s="279"/>
      <c r="DZ39" s="52"/>
      <c r="EA39" s="105"/>
      <c r="EB39" s="98"/>
      <c r="EC39" s="279"/>
      <c r="ED39" s="52"/>
      <c r="EE39" s="105"/>
      <c r="EF39" s="98"/>
      <c r="EG39" s="159"/>
      <c r="EH39" s="462"/>
      <c r="EI39" s="50">
        <f t="shared" si="30"/>
        <v>0</v>
      </c>
      <c r="EJ39" s="103">
        <f t="shared" si="31"/>
        <v>0</v>
      </c>
      <c r="EK39" s="164">
        <f t="shared" si="32"/>
        <v>0</v>
      </c>
      <c r="EL39" s="465">
        <f t="shared" si="33"/>
        <v>0</v>
      </c>
      <c r="EM39" s="466">
        <f t="shared" si="34"/>
        <v>0</v>
      </c>
      <c r="EN39" s="359">
        <f t="shared" si="35"/>
        <v>0</v>
      </c>
      <c r="EO39" s="51">
        <f t="shared" si="36"/>
        <v>0</v>
      </c>
      <c r="EP39" s="361">
        <f t="shared" si="37"/>
        <v>0</v>
      </c>
      <c r="EQ39" s="281"/>
      <c r="ER39" s="462"/>
      <c r="ES39" s="281"/>
      <c r="ET39" s="462"/>
      <c r="EU39" s="281"/>
      <c r="EV39" s="462"/>
      <c r="EW39" s="281"/>
      <c r="EX39" s="462"/>
      <c r="EY39" s="281"/>
      <c r="EZ39" s="462"/>
      <c r="FA39" s="281"/>
      <c r="FB39" s="462"/>
      <c r="FC39" s="281"/>
      <c r="FD39" s="462"/>
      <c r="FE39" s="281"/>
      <c r="FF39" s="462"/>
      <c r="FG39" s="281"/>
      <c r="FH39" s="462"/>
      <c r="FI39" s="281"/>
      <c r="FJ39" s="462"/>
      <c r="FK39" s="50">
        <f t="shared" si="38"/>
        <v>0</v>
      </c>
      <c r="FL39" s="466">
        <f t="shared" si="39"/>
        <v>0</v>
      </c>
      <c r="FM39" s="50">
        <f t="shared" si="21"/>
        <v>521</v>
      </c>
      <c r="FN39" s="360">
        <f t="shared" si="22"/>
        <v>481</v>
      </c>
      <c r="FO39" s="464"/>
      <c r="FP39" s="279"/>
      <c r="FQ39" s="52"/>
      <c r="FR39" s="296"/>
      <c r="FS39" s="98"/>
      <c r="FT39" s="467"/>
      <c r="FU39" s="52"/>
      <c r="FV39" s="296"/>
      <c r="FW39" s="98"/>
      <c r="FX39" s="467"/>
      <c r="FY39" s="52"/>
      <c r="FZ39" s="296"/>
      <c r="GA39" s="98"/>
      <c r="GB39" s="467"/>
      <c r="GC39" s="52"/>
      <c r="GD39" s="296"/>
      <c r="GE39" s="98"/>
      <c r="GF39" s="467"/>
      <c r="GG39" s="52"/>
      <c r="GH39" s="296"/>
      <c r="GI39" s="98"/>
      <c r="GJ39" s="467"/>
      <c r="GK39" s="52"/>
      <c r="GL39" s="296"/>
      <c r="GM39" s="464"/>
      <c r="GN39" s="467"/>
      <c r="GO39" s="52"/>
      <c r="GP39" s="296"/>
      <c r="GQ39" s="464"/>
      <c r="GR39" s="467"/>
      <c r="GS39" s="52"/>
      <c r="GT39" s="296"/>
      <c r="GU39" s="464"/>
      <c r="GV39" s="467"/>
      <c r="GW39" s="52"/>
      <c r="GX39" s="296"/>
      <c r="GY39" s="464"/>
      <c r="GZ39" s="467"/>
      <c r="HA39" s="52"/>
      <c r="HB39" s="296"/>
      <c r="HC39" s="464"/>
    </row>
    <row r="40" spans="1:211" s="86" customFormat="1">
      <c r="A40" s="275" t="s">
        <v>30</v>
      </c>
      <c r="B40" s="276" t="s">
        <v>490</v>
      </c>
      <c r="C40" s="275">
        <v>101301</v>
      </c>
      <c r="D40" s="340">
        <v>10</v>
      </c>
      <c r="E40" s="460">
        <v>128</v>
      </c>
      <c r="F40" s="461">
        <v>142</v>
      </c>
      <c r="G40" s="158"/>
      <c r="H40" s="664"/>
      <c r="I40" s="158">
        <v>236</v>
      </c>
      <c r="J40" s="461">
        <v>231</v>
      </c>
      <c r="K40" s="160">
        <f t="shared" si="23"/>
        <v>0</v>
      </c>
      <c r="L40" s="161">
        <f t="shared" si="1"/>
        <v>0</v>
      </c>
      <c r="M40" s="54"/>
      <c r="N40" s="55"/>
      <c r="O40" s="55"/>
      <c r="P40" s="55"/>
      <c r="Q40" s="162">
        <f t="shared" si="24"/>
        <v>0</v>
      </c>
      <c r="R40" s="462"/>
      <c r="S40" s="462"/>
      <c r="T40" s="462"/>
      <c r="U40" s="462"/>
      <c r="V40" s="97">
        <f t="shared" si="25"/>
        <v>0</v>
      </c>
      <c r="W40" s="279"/>
      <c r="X40" s="52"/>
      <c r="Y40" s="99"/>
      <c r="Z40" s="53"/>
      <c r="AA40" s="228"/>
      <c r="AB40" s="52"/>
      <c r="AC40" s="99"/>
      <c r="AD40" s="53"/>
      <c r="AE40" s="228"/>
      <c r="AF40" s="52"/>
      <c r="AG40" s="99"/>
      <c r="AH40" s="53"/>
      <c r="AI40" s="228"/>
      <c r="AJ40" s="52"/>
      <c r="AK40" s="99"/>
      <c r="AL40" s="53"/>
      <c r="AM40" s="228"/>
      <c r="AN40" s="52"/>
      <c r="AO40" s="99"/>
      <c r="AP40" s="53"/>
      <c r="AQ40" s="50">
        <f t="shared" si="4"/>
        <v>0</v>
      </c>
      <c r="AR40" s="163">
        <f t="shared" si="5"/>
        <v>0</v>
      </c>
      <c r="AS40" s="97">
        <f t="shared" si="6"/>
        <v>0</v>
      </c>
      <c r="AT40" s="278">
        <f t="shared" si="7"/>
        <v>0</v>
      </c>
      <c r="AU40" s="55"/>
      <c r="AV40" s="462"/>
      <c r="AW40" s="279"/>
      <c r="AX40" s="52"/>
      <c r="AY40" s="105"/>
      <c r="AZ40" s="98"/>
      <c r="BA40" s="279"/>
      <c r="BB40" s="52"/>
      <c r="BC40" s="105"/>
      <c r="BD40" s="98"/>
      <c r="BE40" s="279"/>
      <c r="BF40" s="52"/>
      <c r="BG40" s="105"/>
      <c r="BH40" s="98"/>
      <c r="BI40" s="279"/>
      <c r="BJ40" s="52"/>
      <c r="BK40" s="105"/>
      <c r="BL40" s="98"/>
      <c r="BM40" s="279"/>
      <c r="BN40" s="52"/>
      <c r="BO40" s="105"/>
      <c r="BP40" s="98"/>
      <c r="BQ40" s="279"/>
      <c r="BR40" s="52"/>
      <c r="BS40" s="105"/>
      <c r="BT40" s="98"/>
      <c r="BU40" s="279"/>
      <c r="BV40" s="52"/>
      <c r="BW40" s="105"/>
      <c r="BX40" s="98"/>
      <c r="BY40" s="279"/>
      <c r="BZ40" s="52"/>
      <c r="CA40" s="105"/>
      <c r="CB40" s="98"/>
      <c r="CC40" s="279"/>
      <c r="CD40" s="52"/>
      <c r="CE40" s="105"/>
      <c r="CF40" s="98"/>
      <c r="CG40" s="279"/>
      <c r="CH40" s="52"/>
      <c r="CI40" s="105"/>
      <c r="CJ40" s="98"/>
      <c r="CK40" s="281"/>
      <c r="CL40" s="462"/>
      <c r="CM40" s="159"/>
      <c r="CN40" s="462"/>
      <c r="CO40" s="50">
        <f t="shared" si="26"/>
        <v>0</v>
      </c>
      <c r="CP40" s="103">
        <f t="shared" si="27"/>
        <v>0</v>
      </c>
      <c r="CQ40" s="465">
        <f t="shared" si="28"/>
        <v>0</v>
      </c>
      <c r="CR40" s="466">
        <f t="shared" si="29"/>
        <v>0</v>
      </c>
      <c r="CS40" s="279"/>
      <c r="CT40" s="52"/>
      <c r="CU40" s="105"/>
      <c r="CV40" s="98"/>
      <c r="CW40" s="279"/>
      <c r="CX40" s="52"/>
      <c r="CY40" s="105"/>
      <c r="CZ40" s="98"/>
      <c r="DA40" s="279"/>
      <c r="DB40" s="52"/>
      <c r="DC40" s="105"/>
      <c r="DD40" s="98"/>
      <c r="DE40" s="279"/>
      <c r="DF40" s="52"/>
      <c r="DG40" s="105"/>
      <c r="DH40" s="98"/>
      <c r="DI40" s="279"/>
      <c r="DJ40" s="52"/>
      <c r="DK40" s="105"/>
      <c r="DL40" s="98"/>
      <c r="DM40" s="279"/>
      <c r="DN40" s="52"/>
      <c r="DO40" s="105"/>
      <c r="DP40" s="98"/>
      <c r="DQ40" s="279"/>
      <c r="DR40" s="52"/>
      <c r="DS40" s="105"/>
      <c r="DT40" s="98"/>
      <c r="DU40" s="279"/>
      <c r="DV40" s="52"/>
      <c r="DW40" s="105"/>
      <c r="DX40" s="98"/>
      <c r="DY40" s="279"/>
      <c r="DZ40" s="52"/>
      <c r="EA40" s="105"/>
      <c r="EB40" s="98"/>
      <c r="EC40" s="279"/>
      <c r="ED40" s="52"/>
      <c r="EE40" s="105"/>
      <c r="EF40" s="98"/>
      <c r="EG40" s="159"/>
      <c r="EH40" s="462"/>
      <c r="EI40" s="50">
        <f t="shared" si="30"/>
        <v>0</v>
      </c>
      <c r="EJ40" s="103">
        <f t="shared" si="31"/>
        <v>0</v>
      </c>
      <c r="EK40" s="164">
        <f t="shared" si="32"/>
        <v>0</v>
      </c>
      <c r="EL40" s="465">
        <f t="shared" si="33"/>
        <v>0</v>
      </c>
      <c r="EM40" s="466">
        <f t="shared" si="34"/>
        <v>0</v>
      </c>
      <c r="EN40" s="359">
        <f t="shared" si="35"/>
        <v>0</v>
      </c>
      <c r="EO40" s="51">
        <f t="shared" si="36"/>
        <v>0</v>
      </c>
      <c r="EP40" s="361">
        <f t="shared" si="37"/>
        <v>0</v>
      </c>
      <c r="EQ40" s="281"/>
      <c r="ER40" s="462"/>
      <c r="ES40" s="281"/>
      <c r="ET40" s="462"/>
      <c r="EU40" s="281"/>
      <c r="EV40" s="462"/>
      <c r="EW40" s="281"/>
      <c r="EX40" s="462"/>
      <c r="EY40" s="281"/>
      <c r="EZ40" s="462"/>
      <c r="FA40" s="281"/>
      <c r="FB40" s="462"/>
      <c r="FC40" s="281"/>
      <c r="FD40" s="462"/>
      <c r="FE40" s="281"/>
      <c r="FF40" s="462"/>
      <c r="FG40" s="281"/>
      <c r="FH40" s="462"/>
      <c r="FI40" s="281"/>
      <c r="FJ40" s="462"/>
      <c r="FK40" s="50">
        <f t="shared" si="38"/>
        <v>0</v>
      </c>
      <c r="FL40" s="466">
        <f t="shared" si="39"/>
        <v>0</v>
      </c>
      <c r="FM40" s="50">
        <f t="shared" si="21"/>
        <v>364</v>
      </c>
      <c r="FN40" s="360">
        <f t="shared" si="22"/>
        <v>373</v>
      </c>
      <c r="FO40" s="464"/>
      <c r="FP40" s="279"/>
      <c r="FQ40" s="52"/>
      <c r="FR40" s="296"/>
      <c r="FS40" s="98"/>
      <c r="FT40" s="467"/>
      <c r="FU40" s="52"/>
      <c r="FV40" s="296"/>
      <c r="FW40" s="98"/>
      <c r="FX40" s="467"/>
      <c r="FY40" s="52"/>
      <c r="FZ40" s="296"/>
      <c r="GA40" s="98"/>
      <c r="GB40" s="467"/>
      <c r="GC40" s="52"/>
      <c r="GD40" s="296"/>
      <c r="GE40" s="98"/>
      <c r="GF40" s="467"/>
      <c r="GG40" s="52"/>
      <c r="GH40" s="296"/>
      <c r="GI40" s="98"/>
      <c r="GJ40" s="467"/>
      <c r="GK40" s="52"/>
      <c r="GL40" s="296"/>
      <c r="GM40" s="464"/>
      <c r="GN40" s="467"/>
      <c r="GO40" s="52"/>
      <c r="GP40" s="296"/>
      <c r="GQ40" s="464"/>
      <c r="GR40" s="467"/>
      <c r="GS40" s="52"/>
      <c r="GT40" s="296"/>
      <c r="GU40" s="464"/>
      <c r="GV40" s="467"/>
      <c r="GW40" s="52"/>
      <c r="GX40" s="296"/>
      <c r="GY40" s="464"/>
      <c r="GZ40" s="467"/>
      <c r="HA40" s="52"/>
      <c r="HB40" s="296"/>
      <c r="HC40" s="464"/>
    </row>
    <row r="41" spans="1:211" s="86" customFormat="1">
      <c r="A41" s="275" t="s">
        <v>30</v>
      </c>
      <c r="B41" s="276" t="s">
        <v>491</v>
      </c>
      <c r="C41" s="275">
        <v>101499</v>
      </c>
      <c r="D41" s="340">
        <v>10</v>
      </c>
      <c r="E41" s="460">
        <v>114</v>
      </c>
      <c r="F41" s="461">
        <v>139</v>
      </c>
      <c r="G41" s="158"/>
      <c r="H41" s="664"/>
      <c r="I41" s="158">
        <v>158</v>
      </c>
      <c r="J41" s="461">
        <v>122</v>
      </c>
      <c r="K41" s="160">
        <f t="shared" si="23"/>
        <v>0</v>
      </c>
      <c r="L41" s="161">
        <f t="shared" si="1"/>
        <v>0</v>
      </c>
      <c r="M41" s="54"/>
      <c r="N41" s="55"/>
      <c r="O41" s="55"/>
      <c r="P41" s="55"/>
      <c r="Q41" s="162">
        <f t="shared" si="24"/>
        <v>0</v>
      </c>
      <c r="R41" s="462"/>
      <c r="S41" s="462"/>
      <c r="T41" s="462"/>
      <c r="U41" s="462"/>
      <c r="V41" s="97">
        <f t="shared" si="25"/>
        <v>0</v>
      </c>
      <c r="W41" s="279"/>
      <c r="X41" s="52"/>
      <c r="Y41" s="99"/>
      <c r="Z41" s="53"/>
      <c r="AA41" s="228"/>
      <c r="AB41" s="52"/>
      <c r="AC41" s="99"/>
      <c r="AD41" s="53"/>
      <c r="AE41" s="228"/>
      <c r="AF41" s="52"/>
      <c r="AG41" s="99"/>
      <c r="AH41" s="53"/>
      <c r="AI41" s="228"/>
      <c r="AJ41" s="52"/>
      <c r="AK41" s="99"/>
      <c r="AL41" s="53"/>
      <c r="AM41" s="228"/>
      <c r="AN41" s="52"/>
      <c r="AO41" s="99"/>
      <c r="AP41" s="53"/>
      <c r="AQ41" s="50">
        <f t="shared" si="4"/>
        <v>0</v>
      </c>
      <c r="AR41" s="163">
        <f t="shared" si="5"/>
        <v>0</v>
      </c>
      <c r="AS41" s="97">
        <f t="shared" si="6"/>
        <v>0</v>
      </c>
      <c r="AT41" s="278">
        <f t="shared" si="7"/>
        <v>0</v>
      </c>
      <c r="AU41" s="55"/>
      <c r="AV41" s="462"/>
      <c r="AW41" s="279"/>
      <c r="AX41" s="52"/>
      <c r="AY41" s="105"/>
      <c r="AZ41" s="98"/>
      <c r="BA41" s="279"/>
      <c r="BB41" s="52"/>
      <c r="BC41" s="105"/>
      <c r="BD41" s="98"/>
      <c r="BE41" s="279"/>
      <c r="BF41" s="52"/>
      <c r="BG41" s="105"/>
      <c r="BH41" s="98"/>
      <c r="BI41" s="279"/>
      <c r="BJ41" s="52"/>
      <c r="BK41" s="105"/>
      <c r="BL41" s="98"/>
      <c r="BM41" s="279"/>
      <c r="BN41" s="52"/>
      <c r="BO41" s="105"/>
      <c r="BP41" s="98"/>
      <c r="BQ41" s="279"/>
      <c r="BR41" s="52"/>
      <c r="BS41" s="105"/>
      <c r="BT41" s="98"/>
      <c r="BU41" s="279"/>
      <c r="BV41" s="52"/>
      <c r="BW41" s="105"/>
      <c r="BX41" s="98"/>
      <c r="BY41" s="279"/>
      <c r="BZ41" s="52"/>
      <c r="CA41" s="105"/>
      <c r="CB41" s="98"/>
      <c r="CC41" s="279"/>
      <c r="CD41" s="52"/>
      <c r="CE41" s="105"/>
      <c r="CF41" s="98"/>
      <c r="CG41" s="279"/>
      <c r="CH41" s="52"/>
      <c r="CI41" s="105"/>
      <c r="CJ41" s="98"/>
      <c r="CK41" s="281"/>
      <c r="CL41" s="462"/>
      <c r="CM41" s="159"/>
      <c r="CN41" s="462"/>
      <c r="CO41" s="50">
        <f t="shared" si="26"/>
        <v>0</v>
      </c>
      <c r="CP41" s="103">
        <f t="shared" si="27"/>
        <v>0</v>
      </c>
      <c r="CQ41" s="465">
        <f t="shared" si="28"/>
        <v>0</v>
      </c>
      <c r="CR41" s="466">
        <f t="shared" si="29"/>
        <v>0</v>
      </c>
      <c r="CS41" s="279"/>
      <c r="CT41" s="52"/>
      <c r="CU41" s="105"/>
      <c r="CV41" s="98"/>
      <c r="CW41" s="279"/>
      <c r="CX41" s="52"/>
      <c r="CY41" s="105"/>
      <c r="CZ41" s="98"/>
      <c r="DA41" s="279"/>
      <c r="DB41" s="52"/>
      <c r="DC41" s="105"/>
      <c r="DD41" s="98"/>
      <c r="DE41" s="279"/>
      <c r="DF41" s="52"/>
      <c r="DG41" s="105"/>
      <c r="DH41" s="98"/>
      <c r="DI41" s="279"/>
      <c r="DJ41" s="52"/>
      <c r="DK41" s="105"/>
      <c r="DL41" s="98"/>
      <c r="DM41" s="279"/>
      <c r="DN41" s="52"/>
      <c r="DO41" s="105"/>
      <c r="DP41" s="98"/>
      <c r="DQ41" s="279"/>
      <c r="DR41" s="52"/>
      <c r="DS41" s="105"/>
      <c r="DT41" s="98"/>
      <c r="DU41" s="279"/>
      <c r="DV41" s="52"/>
      <c r="DW41" s="105"/>
      <c r="DX41" s="98"/>
      <c r="DY41" s="279"/>
      <c r="DZ41" s="52"/>
      <c r="EA41" s="105"/>
      <c r="EB41" s="98"/>
      <c r="EC41" s="279"/>
      <c r="ED41" s="52"/>
      <c r="EE41" s="105"/>
      <c r="EF41" s="98"/>
      <c r="EG41" s="159"/>
      <c r="EH41" s="462"/>
      <c r="EI41" s="50">
        <f t="shared" si="30"/>
        <v>0</v>
      </c>
      <c r="EJ41" s="103">
        <f t="shared" si="31"/>
        <v>0</v>
      </c>
      <c r="EK41" s="164">
        <f t="shared" si="32"/>
        <v>0</v>
      </c>
      <c r="EL41" s="465">
        <f t="shared" si="33"/>
        <v>0</v>
      </c>
      <c r="EM41" s="466">
        <f t="shared" si="34"/>
        <v>0</v>
      </c>
      <c r="EN41" s="359">
        <f t="shared" si="35"/>
        <v>0</v>
      </c>
      <c r="EO41" s="51">
        <f t="shared" si="36"/>
        <v>0</v>
      </c>
      <c r="EP41" s="361">
        <f t="shared" si="37"/>
        <v>0</v>
      </c>
      <c r="EQ41" s="281"/>
      <c r="ER41" s="462"/>
      <c r="ES41" s="281"/>
      <c r="ET41" s="462"/>
      <c r="EU41" s="281"/>
      <c r="EV41" s="462"/>
      <c r="EW41" s="281"/>
      <c r="EX41" s="462"/>
      <c r="EY41" s="281"/>
      <c r="EZ41" s="462"/>
      <c r="FA41" s="281"/>
      <c r="FB41" s="462"/>
      <c r="FC41" s="281"/>
      <c r="FD41" s="462"/>
      <c r="FE41" s="281"/>
      <c r="FF41" s="462"/>
      <c r="FG41" s="281"/>
      <c r="FH41" s="462"/>
      <c r="FI41" s="281"/>
      <c r="FJ41" s="462"/>
      <c r="FK41" s="50">
        <f t="shared" si="38"/>
        <v>0</v>
      </c>
      <c r="FL41" s="466">
        <f t="shared" si="39"/>
        <v>0</v>
      </c>
      <c r="FM41" s="50">
        <f t="shared" si="21"/>
        <v>272</v>
      </c>
      <c r="FN41" s="360">
        <f t="shared" si="22"/>
        <v>261</v>
      </c>
      <c r="FO41" s="464"/>
      <c r="FP41" s="279"/>
      <c r="FQ41" s="52"/>
      <c r="FR41" s="296"/>
      <c r="FS41" s="98"/>
      <c r="FT41" s="467"/>
      <c r="FU41" s="52"/>
      <c r="FV41" s="296"/>
      <c r="FW41" s="98"/>
      <c r="FX41" s="467"/>
      <c r="FY41" s="52"/>
      <c r="FZ41" s="296"/>
      <c r="GA41" s="98"/>
      <c r="GB41" s="467"/>
      <c r="GC41" s="52"/>
      <c r="GD41" s="296"/>
      <c r="GE41" s="98"/>
      <c r="GF41" s="467"/>
      <c r="GG41" s="52"/>
      <c r="GH41" s="296"/>
      <c r="GI41" s="98"/>
      <c r="GJ41" s="467"/>
      <c r="GK41" s="52"/>
      <c r="GL41" s="296"/>
      <c r="GM41" s="464"/>
      <c r="GN41" s="467"/>
      <c r="GO41" s="52"/>
      <c r="GP41" s="296"/>
      <c r="GQ41" s="464"/>
      <c r="GR41" s="467"/>
      <c r="GS41" s="52"/>
      <c r="GT41" s="296"/>
      <c r="GU41" s="464"/>
      <c r="GV41" s="467"/>
      <c r="GW41" s="52"/>
      <c r="GX41" s="296"/>
      <c r="GY41" s="464"/>
      <c r="GZ41" s="467"/>
      <c r="HA41" s="52"/>
      <c r="HB41" s="296"/>
      <c r="HC41" s="464"/>
    </row>
    <row r="42" spans="1:211" s="86" customFormat="1">
      <c r="A42" s="275" t="s">
        <v>30</v>
      </c>
      <c r="B42" s="276" t="s">
        <v>492</v>
      </c>
      <c r="C42" s="275">
        <v>101602</v>
      </c>
      <c r="D42" s="340">
        <v>10</v>
      </c>
      <c r="E42" s="460">
        <v>138</v>
      </c>
      <c r="F42" s="461">
        <v>136</v>
      </c>
      <c r="G42" s="158"/>
      <c r="H42" s="664"/>
      <c r="I42" s="158">
        <v>190</v>
      </c>
      <c r="J42" s="461">
        <v>210</v>
      </c>
      <c r="K42" s="160">
        <f t="shared" si="23"/>
        <v>0</v>
      </c>
      <c r="L42" s="161">
        <f t="shared" si="1"/>
        <v>0</v>
      </c>
      <c r="M42" s="54"/>
      <c r="N42" s="55"/>
      <c r="O42" s="55"/>
      <c r="P42" s="55"/>
      <c r="Q42" s="162">
        <f t="shared" si="24"/>
        <v>0</v>
      </c>
      <c r="R42" s="462"/>
      <c r="S42" s="462"/>
      <c r="T42" s="462"/>
      <c r="U42" s="462"/>
      <c r="V42" s="97">
        <f t="shared" si="25"/>
        <v>0</v>
      </c>
      <c r="W42" s="279"/>
      <c r="X42" s="52"/>
      <c r="Y42" s="99"/>
      <c r="Z42" s="53"/>
      <c r="AA42" s="228"/>
      <c r="AB42" s="52"/>
      <c r="AC42" s="99"/>
      <c r="AD42" s="53"/>
      <c r="AE42" s="228"/>
      <c r="AF42" s="52"/>
      <c r="AG42" s="99"/>
      <c r="AH42" s="53"/>
      <c r="AI42" s="228"/>
      <c r="AJ42" s="52"/>
      <c r="AK42" s="99"/>
      <c r="AL42" s="53"/>
      <c r="AM42" s="228"/>
      <c r="AN42" s="52"/>
      <c r="AO42" s="99"/>
      <c r="AP42" s="53"/>
      <c r="AQ42" s="50">
        <f t="shared" si="4"/>
        <v>0</v>
      </c>
      <c r="AR42" s="163">
        <f t="shared" si="5"/>
        <v>0</v>
      </c>
      <c r="AS42" s="97">
        <f t="shared" si="6"/>
        <v>0</v>
      </c>
      <c r="AT42" s="278">
        <f t="shared" si="7"/>
        <v>0</v>
      </c>
      <c r="AU42" s="55"/>
      <c r="AV42" s="462"/>
      <c r="AW42" s="279"/>
      <c r="AX42" s="52"/>
      <c r="AY42" s="105"/>
      <c r="AZ42" s="98"/>
      <c r="BA42" s="279"/>
      <c r="BB42" s="52"/>
      <c r="BC42" s="105"/>
      <c r="BD42" s="98"/>
      <c r="BE42" s="279"/>
      <c r="BF42" s="52"/>
      <c r="BG42" s="105"/>
      <c r="BH42" s="98"/>
      <c r="BI42" s="279"/>
      <c r="BJ42" s="52"/>
      <c r="BK42" s="105"/>
      <c r="BL42" s="98"/>
      <c r="BM42" s="279"/>
      <c r="BN42" s="52"/>
      <c r="BO42" s="105"/>
      <c r="BP42" s="98"/>
      <c r="BQ42" s="279"/>
      <c r="BR42" s="52"/>
      <c r="BS42" s="105"/>
      <c r="BT42" s="98"/>
      <c r="BU42" s="279"/>
      <c r="BV42" s="52"/>
      <c r="BW42" s="105"/>
      <c r="BX42" s="98"/>
      <c r="BY42" s="279"/>
      <c r="BZ42" s="52"/>
      <c r="CA42" s="105"/>
      <c r="CB42" s="98"/>
      <c r="CC42" s="279"/>
      <c r="CD42" s="52"/>
      <c r="CE42" s="105"/>
      <c r="CF42" s="98"/>
      <c r="CG42" s="279"/>
      <c r="CH42" s="52"/>
      <c r="CI42" s="105"/>
      <c r="CJ42" s="98"/>
      <c r="CK42" s="281"/>
      <c r="CL42" s="462"/>
      <c r="CM42" s="159"/>
      <c r="CN42" s="462"/>
      <c r="CO42" s="50">
        <f t="shared" si="26"/>
        <v>0</v>
      </c>
      <c r="CP42" s="103">
        <f t="shared" si="27"/>
        <v>0</v>
      </c>
      <c r="CQ42" s="465">
        <f t="shared" si="28"/>
        <v>0</v>
      </c>
      <c r="CR42" s="466">
        <f t="shared" si="29"/>
        <v>0</v>
      </c>
      <c r="CS42" s="279"/>
      <c r="CT42" s="52"/>
      <c r="CU42" s="105"/>
      <c r="CV42" s="98"/>
      <c r="CW42" s="279"/>
      <c r="CX42" s="52"/>
      <c r="CY42" s="105"/>
      <c r="CZ42" s="98"/>
      <c r="DA42" s="279"/>
      <c r="DB42" s="52"/>
      <c r="DC42" s="105"/>
      <c r="DD42" s="98"/>
      <c r="DE42" s="279"/>
      <c r="DF42" s="52"/>
      <c r="DG42" s="105"/>
      <c r="DH42" s="98"/>
      <c r="DI42" s="279"/>
      <c r="DJ42" s="52"/>
      <c r="DK42" s="105"/>
      <c r="DL42" s="98"/>
      <c r="DM42" s="279"/>
      <c r="DN42" s="52"/>
      <c r="DO42" s="105"/>
      <c r="DP42" s="98"/>
      <c r="DQ42" s="279"/>
      <c r="DR42" s="52"/>
      <c r="DS42" s="105"/>
      <c r="DT42" s="98"/>
      <c r="DU42" s="279"/>
      <c r="DV42" s="52"/>
      <c r="DW42" s="105"/>
      <c r="DX42" s="98"/>
      <c r="DY42" s="279"/>
      <c r="DZ42" s="52"/>
      <c r="EA42" s="105"/>
      <c r="EB42" s="98"/>
      <c r="EC42" s="279"/>
      <c r="ED42" s="52"/>
      <c r="EE42" s="105"/>
      <c r="EF42" s="98"/>
      <c r="EG42" s="159"/>
      <c r="EH42" s="462"/>
      <c r="EI42" s="50">
        <f t="shared" si="30"/>
        <v>0</v>
      </c>
      <c r="EJ42" s="103">
        <f t="shared" si="31"/>
        <v>0</v>
      </c>
      <c r="EK42" s="164">
        <f t="shared" si="32"/>
        <v>0</v>
      </c>
      <c r="EL42" s="465">
        <f t="shared" si="33"/>
        <v>0</v>
      </c>
      <c r="EM42" s="466">
        <f t="shared" si="34"/>
        <v>0</v>
      </c>
      <c r="EN42" s="359">
        <f t="shared" si="35"/>
        <v>0</v>
      </c>
      <c r="EO42" s="51">
        <f t="shared" si="36"/>
        <v>0</v>
      </c>
      <c r="EP42" s="361">
        <f t="shared" si="37"/>
        <v>0</v>
      </c>
      <c r="EQ42" s="281"/>
      <c r="ER42" s="462"/>
      <c r="ES42" s="281"/>
      <c r="ET42" s="462"/>
      <c r="EU42" s="281"/>
      <c r="EV42" s="462"/>
      <c r="EW42" s="281"/>
      <c r="EX42" s="462"/>
      <c r="EY42" s="281"/>
      <c r="EZ42" s="462"/>
      <c r="FA42" s="281"/>
      <c r="FB42" s="462"/>
      <c r="FC42" s="281"/>
      <c r="FD42" s="462"/>
      <c r="FE42" s="281"/>
      <c r="FF42" s="462"/>
      <c r="FG42" s="281"/>
      <c r="FH42" s="462"/>
      <c r="FI42" s="281"/>
      <c r="FJ42" s="462"/>
      <c r="FK42" s="50">
        <f t="shared" si="38"/>
        <v>0</v>
      </c>
      <c r="FL42" s="466">
        <f t="shared" si="39"/>
        <v>0</v>
      </c>
      <c r="FM42" s="50">
        <f t="shared" si="21"/>
        <v>328</v>
      </c>
      <c r="FN42" s="360">
        <f t="shared" si="22"/>
        <v>346</v>
      </c>
      <c r="FO42" s="464"/>
      <c r="FP42" s="279"/>
      <c r="FQ42" s="52"/>
      <c r="FR42" s="296"/>
      <c r="FS42" s="98"/>
      <c r="FT42" s="467"/>
      <c r="FU42" s="52"/>
      <c r="FV42" s="296"/>
      <c r="FW42" s="98"/>
      <c r="FX42" s="467"/>
      <c r="FY42" s="52"/>
      <c r="FZ42" s="296"/>
      <c r="GA42" s="98"/>
      <c r="GB42" s="467"/>
      <c r="GC42" s="52"/>
      <c r="GD42" s="296"/>
      <c r="GE42" s="98"/>
      <c r="GF42" s="467"/>
      <c r="GG42" s="52"/>
      <c r="GH42" s="296"/>
      <c r="GI42" s="98"/>
      <c r="GJ42" s="467"/>
      <c r="GK42" s="52"/>
      <c r="GL42" s="296"/>
      <c r="GM42" s="464"/>
      <c r="GN42" s="467"/>
      <c r="GO42" s="52"/>
      <c r="GP42" s="296"/>
      <c r="GQ42" s="464"/>
      <c r="GR42" s="467"/>
      <c r="GS42" s="52"/>
      <c r="GT42" s="296"/>
      <c r="GU42" s="464"/>
      <c r="GV42" s="467"/>
      <c r="GW42" s="52"/>
      <c r="GX42" s="296"/>
      <c r="GY42" s="464"/>
      <c r="GZ42" s="467"/>
      <c r="HA42" s="52"/>
      <c r="HB42" s="296"/>
      <c r="HC42" s="464"/>
    </row>
    <row r="43" spans="1:211" s="86" customFormat="1">
      <c r="A43" s="275" t="s">
        <v>30</v>
      </c>
      <c r="B43" s="362" t="s">
        <v>493</v>
      </c>
      <c r="C43" s="275">
        <v>101897</v>
      </c>
      <c r="D43" s="340">
        <v>10</v>
      </c>
      <c r="E43" s="460">
        <v>123</v>
      </c>
      <c r="F43" s="461">
        <v>156</v>
      </c>
      <c r="G43" s="158"/>
      <c r="H43" s="664"/>
      <c r="I43" s="158">
        <v>294</v>
      </c>
      <c r="J43" s="471">
        <v>337</v>
      </c>
      <c r="K43" s="160">
        <f t="shared" si="23"/>
        <v>0</v>
      </c>
      <c r="L43" s="161">
        <f t="shared" si="1"/>
        <v>0</v>
      </c>
      <c r="M43" s="54"/>
      <c r="N43" s="55"/>
      <c r="O43" s="55"/>
      <c r="P43" s="55"/>
      <c r="Q43" s="162">
        <f t="shared" si="24"/>
        <v>0</v>
      </c>
      <c r="R43" s="472"/>
      <c r="S43" s="462"/>
      <c r="T43" s="462"/>
      <c r="U43" s="462"/>
      <c r="V43" s="97">
        <f t="shared" si="25"/>
        <v>0</v>
      </c>
      <c r="W43" s="279"/>
      <c r="X43" s="52"/>
      <c r="Y43" s="99"/>
      <c r="Z43" s="53"/>
      <c r="AA43" s="228"/>
      <c r="AB43" s="52"/>
      <c r="AC43" s="99"/>
      <c r="AD43" s="53"/>
      <c r="AE43" s="228"/>
      <c r="AF43" s="52"/>
      <c r="AG43" s="99"/>
      <c r="AH43" s="53"/>
      <c r="AI43" s="228"/>
      <c r="AJ43" s="52"/>
      <c r="AK43" s="99"/>
      <c r="AL43" s="53"/>
      <c r="AM43" s="228"/>
      <c r="AN43" s="52"/>
      <c r="AO43" s="99"/>
      <c r="AP43" s="53"/>
      <c r="AQ43" s="50">
        <f t="shared" si="4"/>
        <v>0</v>
      </c>
      <c r="AR43" s="163">
        <f t="shared" si="5"/>
        <v>0</v>
      </c>
      <c r="AS43" s="97">
        <f t="shared" si="6"/>
        <v>0</v>
      </c>
      <c r="AT43" s="278">
        <f t="shared" si="7"/>
        <v>0</v>
      </c>
      <c r="AU43" s="55"/>
      <c r="AV43" s="472"/>
      <c r="AW43" s="279"/>
      <c r="AX43" s="52"/>
      <c r="AY43" s="105"/>
      <c r="AZ43" s="98"/>
      <c r="BA43" s="279"/>
      <c r="BB43" s="52"/>
      <c r="BC43" s="105"/>
      <c r="BD43" s="98"/>
      <c r="BE43" s="279"/>
      <c r="BF43" s="52"/>
      <c r="BG43" s="105"/>
      <c r="BH43" s="98"/>
      <c r="BI43" s="279"/>
      <c r="BJ43" s="52"/>
      <c r="BK43" s="105"/>
      <c r="BL43" s="98"/>
      <c r="BM43" s="279"/>
      <c r="BN43" s="52"/>
      <c r="BO43" s="105"/>
      <c r="BP43" s="98"/>
      <c r="BQ43" s="279"/>
      <c r="BR43" s="52"/>
      <c r="BS43" s="105"/>
      <c r="BT43" s="98"/>
      <c r="BU43" s="279"/>
      <c r="BV43" s="52"/>
      <c r="BW43" s="105"/>
      <c r="BX43" s="98"/>
      <c r="BY43" s="279"/>
      <c r="BZ43" s="52"/>
      <c r="CA43" s="98"/>
      <c r="CB43" s="98"/>
      <c r="CC43" s="279"/>
      <c r="CD43" s="52"/>
      <c r="CE43" s="105"/>
      <c r="CF43" s="98"/>
      <c r="CG43" s="279"/>
      <c r="CH43" s="52"/>
      <c r="CI43" s="105"/>
      <c r="CJ43" s="98"/>
      <c r="CK43" s="281"/>
      <c r="CL43" s="472"/>
      <c r="CM43" s="159"/>
      <c r="CN43" s="462"/>
      <c r="CO43" s="50">
        <f t="shared" si="26"/>
        <v>0</v>
      </c>
      <c r="CP43" s="103">
        <f t="shared" si="27"/>
        <v>0</v>
      </c>
      <c r="CQ43" s="465">
        <f t="shared" si="28"/>
        <v>0</v>
      </c>
      <c r="CR43" s="466">
        <f t="shared" si="29"/>
        <v>0</v>
      </c>
      <c r="CS43" s="279"/>
      <c r="CT43" s="52"/>
      <c r="CU43" s="105"/>
      <c r="CV43" s="98"/>
      <c r="CW43" s="279"/>
      <c r="CX43" s="52"/>
      <c r="CY43" s="105"/>
      <c r="CZ43" s="98"/>
      <c r="DA43" s="279"/>
      <c r="DB43" s="52"/>
      <c r="DC43" s="105"/>
      <c r="DD43" s="98"/>
      <c r="DE43" s="279"/>
      <c r="DF43" s="52"/>
      <c r="DG43" s="105"/>
      <c r="DH43" s="98"/>
      <c r="DI43" s="279"/>
      <c r="DJ43" s="52"/>
      <c r="DK43" s="105"/>
      <c r="DL43" s="98"/>
      <c r="DM43" s="279"/>
      <c r="DN43" s="52"/>
      <c r="DO43" s="105"/>
      <c r="DP43" s="98"/>
      <c r="DQ43" s="279"/>
      <c r="DR43" s="52"/>
      <c r="DS43" s="105"/>
      <c r="DT43" s="98"/>
      <c r="DU43" s="279"/>
      <c r="DV43" s="52"/>
      <c r="DW43" s="105"/>
      <c r="DX43" s="98"/>
      <c r="DY43" s="279"/>
      <c r="DZ43" s="52"/>
      <c r="EA43" s="105"/>
      <c r="EB43" s="98"/>
      <c r="EC43" s="279"/>
      <c r="ED43" s="52"/>
      <c r="EE43" s="105"/>
      <c r="EF43" s="98"/>
      <c r="EG43" s="159"/>
      <c r="EH43" s="462"/>
      <c r="EI43" s="50">
        <f t="shared" si="30"/>
        <v>0</v>
      </c>
      <c r="EJ43" s="103">
        <f t="shared" si="31"/>
        <v>0</v>
      </c>
      <c r="EK43" s="164">
        <f t="shared" si="32"/>
        <v>0</v>
      </c>
      <c r="EL43" s="465">
        <f t="shared" si="33"/>
        <v>0</v>
      </c>
      <c r="EM43" s="466">
        <f t="shared" si="34"/>
        <v>0</v>
      </c>
      <c r="EN43" s="359">
        <f t="shared" si="35"/>
        <v>0</v>
      </c>
      <c r="EO43" s="51">
        <f t="shared" si="36"/>
        <v>0</v>
      </c>
      <c r="EP43" s="361">
        <f t="shared" si="37"/>
        <v>0</v>
      </c>
      <c r="EQ43" s="281"/>
      <c r="ER43" s="462"/>
      <c r="ES43" s="281"/>
      <c r="ET43" s="462"/>
      <c r="EU43" s="281"/>
      <c r="EV43" s="462"/>
      <c r="EW43" s="281"/>
      <c r="EX43" s="462"/>
      <c r="EY43" s="281"/>
      <c r="EZ43" s="462"/>
      <c r="FA43" s="281"/>
      <c r="FB43" s="462"/>
      <c r="FC43" s="281"/>
      <c r="FD43" s="462"/>
      <c r="FE43" s="281"/>
      <c r="FF43" s="462"/>
      <c r="FG43" s="281"/>
      <c r="FH43" s="462"/>
      <c r="FI43" s="281"/>
      <c r="FJ43" s="462"/>
      <c r="FK43" s="50">
        <f t="shared" si="38"/>
        <v>0</v>
      </c>
      <c r="FL43" s="466">
        <f t="shared" si="39"/>
        <v>0</v>
      </c>
      <c r="FM43" s="50">
        <f t="shared" si="21"/>
        <v>417</v>
      </c>
      <c r="FN43" s="360">
        <f t="shared" si="22"/>
        <v>493</v>
      </c>
      <c r="FO43" s="464"/>
      <c r="FP43" s="279"/>
      <c r="FQ43" s="52"/>
      <c r="FR43" s="296"/>
      <c r="FS43" s="98"/>
      <c r="FT43" s="467"/>
      <c r="FU43" s="52"/>
      <c r="FV43" s="296"/>
      <c r="FW43" s="98"/>
      <c r="FX43" s="467"/>
      <c r="FY43" s="52"/>
      <c r="FZ43" s="296"/>
      <c r="GA43" s="98"/>
      <c r="GB43" s="467"/>
      <c r="GC43" s="52"/>
      <c r="GD43" s="296"/>
      <c r="GE43" s="98"/>
      <c r="GF43" s="467"/>
      <c r="GG43" s="52"/>
      <c r="GH43" s="296"/>
      <c r="GI43" s="98"/>
      <c r="GJ43" s="467"/>
      <c r="GK43" s="52"/>
      <c r="GL43" s="296"/>
      <c r="GM43" s="464"/>
      <c r="GN43" s="467"/>
      <c r="GO43" s="52"/>
      <c r="GP43" s="296"/>
      <c r="GQ43" s="464"/>
      <c r="GR43" s="467"/>
      <c r="GS43" s="52"/>
      <c r="GT43" s="296"/>
      <c r="GU43" s="464"/>
      <c r="GV43" s="467"/>
      <c r="GW43" s="52"/>
      <c r="GX43" s="296"/>
      <c r="GY43" s="464"/>
      <c r="GZ43" s="467"/>
      <c r="HA43" s="52"/>
      <c r="HB43" s="296"/>
      <c r="HC43" s="464"/>
    </row>
    <row r="44" spans="1:211" s="86" customFormat="1">
      <c r="A44" s="275" t="s">
        <v>30</v>
      </c>
      <c r="B44" s="276" t="s">
        <v>494</v>
      </c>
      <c r="C44" s="275">
        <v>102076</v>
      </c>
      <c r="D44" s="340">
        <v>10</v>
      </c>
      <c r="E44" s="460">
        <v>22</v>
      </c>
      <c r="F44" s="461">
        <v>61</v>
      </c>
      <c r="G44" s="158"/>
      <c r="H44" s="664"/>
      <c r="I44" s="158">
        <v>249</v>
      </c>
      <c r="J44" s="471">
        <v>248</v>
      </c>
      <c r="K44" s="160">
        <f t="shared" si="23"/>
        <v>0</v>
      </c>
      <c r="L44" s="161">
        <f t="shared" si="1"/>
        <v>0</v>
      </c>
      <c r="M44" s="54"/>
      <c r="N44" s="55"/>
      <c r="O44" s="55"/>
      <c r="P44" s="55"/>
      <c r="Q44" s="162">
        <f t="shared" si="24"/>
        <v>0</v>
      </c>
      <c r="R44" s="472"/>
      <c r="S44" s="462"/>
      <c r="T44" s="462"/>
      <c r="U44" s="462"/>
      <c r="V44" s="97">
        <f t="shared" si="25"/>
        <v>0</v>
      </c>
      <c r="W44" s="279"/>
      <c r="X44" s="52"/>
      <c r="Y44" s="99"/>
      <c r="Z44" s="53"/>
      <c r="AA44" s="228"/>
      <c r="AB44" s="52"/>
      <c r="AC44" s="99"/>
      <c r="AD44" s="53"/>
      <c r="AE44" s="228"/>
      <c r="AF44" s="52"/>
      <c r="AG44" s="99"/>
      <c r="AH44" s="53"/>
      <c r="AI44" s="228"/>
      <c r="AJ44" s="52"/>
      <c r="AK44" s="99"/>
      <c r="AL44" s="53"/>
      <c r="AM44" s="228"/>
      <c r="AN44" s="52"/>
      <c r="AO44" s="99"/>
      <c r="AP44" s="53"/>
      <c r="AQ44" s="50">
        <f t="shared" si="4"/>
        <v>0</v>
      </c>
      <c r="AR44" s="163">
        <f t="shared" si="5"/>
        <v>0</v>
      </c>
      <c r="AS44" s="97">
        <f t="shared" si="6"/>
        <v>0</v>
      </c>
      <c r="AT44" s="278">
        <f t="shared" si="7"/>
        <v>0</v>
      </c>
      <c r="AU44" s="55"/>
      <c r="AV44" s="472"/>
      <c r="AW44" s="279"/>
      <c r="AX44" s="52"/>
      <c r="AY44" s="105"/>
      <c r="AZ44" s="98"/>
      <c r="BA44" s="279"/>
      <c r="BB44" s="52"/>
      <c r="BC44" s="105"/>
      <c r="BD44" s="98"/>
      <c r="BE44" s="279"/>
      <c r="BF44" s="52"/>
      <c r="BG44" s="105"/>
      <c r="BH44" s="98"/>
      <c r="BI44" s="279"/>
      <c r="BJ44" s="52"/>
      <c r="BK44" s="105"/>
      <c r="BL44" s="98"/>
      <c r="BM44" s="279"/>
      <c r="BN44" s="52"/>
      <c r="BO44" s="105"/>
      <c r="BP44" s="98"/>
      <c r="BQ44" s="279"/>
      <c r="BR44" s="52"/>
      <c r="BS44" s="105"/>
      <c r="BT44" s="98"/>
      <c r="BU44" s="279"/>
      <c r="BV44" s="52"/>
      <c r="BW44" s="105"/>
      <c r="BX44" s="98"/>
      <c r="BY44" s="279"/>
      <c r="BZ44" s="52"/>
      <c r="CA44" s="105"/>
      <c r="CB44" s="98"/>
      <c r="CC44" s="279"/>
      <c r="CD44" s="52"/>
      <c r="CE44" s="105"/>
      <c r="CF44" s="98"/>
      <c r="CG44" s="279"/>
      <c r="CH44" s="52"/>
      <c r="CI44" s="105"/>
      <c r="CJ44" s="98"/>
      <c r="CK44" s="281"/>
      <c r="CL44" s="472"/>
      <c r="CM44" s="159"/>
      <c r="CN44" s="462"/>
      <c r="CO44" s="50">
        <f t="shared" si="26"/>
        <v>0</v>
      </c>
      <c r="CP44" s="103">
        <f t="shared" si="27"/>
        <v>0</v>
      </c>
      <c r="CQ44" s="465">
        <f t="shared" si="28"/>
        <v>0</v>
      </c>
      <c r="CR44" s="466">
        <f t="shared" si="29"/>
        <v>0</v>
      </c>
      <c r="CS44" s="279"/>
      <c r="CT44" s="52"/>
      <c r="CU44" s="105"/>
      <c r="CV44" s="98"/>
      <c r="CW44" s="279"/>
      <c r="CX44" s="52"/>
      <c r="CY44" s="105"/>
      <c r="CZ44" s="98"/>
      <c r="DA44" s="279"/>
      <c r="DB44" s="52"/>
      <c r="DC44" s="105"/>
      <c r="DD44" s="98"/>
      <c r="DE44" s="279"/>
      <c r="DF44" s="52"/>
      <c r="DG44" s="105"/>
      <c r="DH44" s="98"/>
      <c r="DI44" s="279"/>
      <c r="DJ44" s="52"/>
      <c r="DK44" s="105"/>
      <c r="DL44" s="98"/>
      <c r="DM44" s="279"/>
      <c r="DN44" s="52"/>
      <c r="DO44" s="105"/>
      <c r="DP44" s="98"/>
      <c r="DQ44" s="279"/>
      <c r="DR44" s="52"/>
      <c r="DS44" s="105"/>
      <c r="DT44" s="98"/>
      <c r="DU44" s="279"/>
      <c r="DV44" s="52"/>
      <c r="DW44" s="105"/>
      <c r="DX44" s="98"/>
      <c r="DY44" s="279"/>
      <c r="DZ44" s="52"/>
      <c r="EA44" s="98"/>
      <c r="EB44" s="98"/>
      <c r="EC44" s="279"/>
      <c r="ED44" s="52"/>
      <c r="EE44" s="105"/>
      <c r="EF44" s="98"/>
      <c r="EG44" s="159"/>
      <c r="EH44" s="462"/>
      <c r="EI44" s="50">
        <f t="shared" si="30"/>
        <v>0</v>
      </c>
      <c r="EJ44" s="103">
        <f t="shared" si="31"/>
        <v>0</v>
      </c>
      <c r="EK44" s="164">
        <f t="shared" si="32"/>
        <v>0</v>
      </c>
      <c r="EL44" s="465">
        <f t="shared" si="33"/>
        <v>0</v>
      </c>
      <c r="EM44" s="466">
        <f t="shared" si="34"/>
        <v>0</v>
      </c>
      <c r="EN44" s="359">
        <f t="shared" si="35"/>
        <v>0</v>
      </c>
      <c r="EO44" s="51">
        <f t="shared" si="36"/>
        <v>0</v>
      </c>
      <c r="EP44" s="361">
        <f t="shared" si="37"/>
        <v>0</v>
      </c>
      <c r="EQ44" s="281"/>
      <c r="ER44" s="462"/>
      <c r="ES44" s="281"/>
      <c r="ET44" s="462"/>
      <c r="EU44" s="281"/>
      <c r="EV44" s="462"/>
      <c r="EW44" s="281"/>
      <c r="EX44" s="462"/>
      <c r="EY44" s="281"/>
      <c r="EZ44" s="462"/>
      <c r="FA44" s="281"/>
      <c r="FB44" s="462"/>
      <c r="FC44" s="281"/>
      <c r="FD44" s="462"/>
      <c r="FE44" s="281"/>
      <c r="FF44" s="462"/>
      <c r="FG44" s="281"/>
      <c r="FH44" s="462"/>
      <c r="FI44" s="281"/>
      <c r="FJ44" s="462"/>
      <c r="FK44" s="50">
        <f t="shared" si="38"/>
        <v>0</v>
      </c>
      <c r="FL44" s="466">
        <f t="shared" si="39"/>
        <v>0</v>
      </c>
      <c r="FM44" s="50">
        <f t="shared" si="21"/>
        <v>271</v>
      </c>
      <c r="FN44" s="360">
        <f t="shared" si="22"/>
        <v>309</v>
      </c>
      <c r="FO44" s="464"/>
      <c r="FP44" s="279"/>
      <c r="FQ44" s="52"/>
      <c r="FR44" s="296"/>
      <c r="FS44" s="98"/>
      <c r="FT44" s="467"/>
      <c r="FU44" s="52"/>
      <c r="FV44" s="296"/>
      <c r="FW44" s="98"/>
      <c r="FX44" s="467"/>
      <c r="FY44" s="52"/>
      <c r="FZ44" s="296"/>
      <c r="GA44" s="98"/>
      <c r="GB44" s="467"/>
      <c r="GC44" s="52"/>
      <c r="GD44" s="296"/>
      <c r="GE44" s="98"/>
      <c r="GF44" s="467"/>
      <c r="GG44" s="52"/>
      <c r="GH44" s="296"/>
      <c r="GI44" s="98"/>
      <c r="GJ44" s="467"/>
      <c r="GK44" s="52"/>
      <c r="GL44" s="296"/>
      <c r="GM44" s="464"/>
      <c r="GN44" s="467"/>
      <c r="GO44" s="52"/>
      <c r="GP44" s="296"/>
      <c r="GQ44" s="464"/>
      <c r="GR44" s="467"/>
      <c r="GS44" s="52"/>
      <c r="GT44" s="296"/>
      <c r="GU44" s="464"/>
      <c r="GV44" s="467"/>
      <c r="GW44" s="52"/>
      <c r="GX44" s="296"/>
      <c r="GY44" s="464"/>
      <c r="GZ44" s="467"/>
      <c r="HA44" s="52"/>
      <c r="HB44" s="296"/>
      <c r="HC44" s="464"/>
    </row>
    <row r="45" spans="1:211" s="86" customFormat="1">
      <c r="A45" s="275" t="s">
        <v>30</v>
      </c>
      <c r="B45" s="276" t="s">
        <v>495</v>
      </c>
      <c r="C45" s="275">
        <v>102313</v>
      </c>
      <c r="D45" s="340">
        <v>12</v>
      </c>
      <c r="E45" s="460">
        <v>306</v>
      </c>
      <c r="F45" s="461">
        <v>345</v>
      </c>
      <c r="G45" s="158"/>
      <c r="H45" s="664"/>
      <c r="I45" s="158">
        <v>127</v>
      </c>
      <c r="J45" s="471">
        <v>135</v>
      </c>
      <c r="K45" s="160">
        <f t="shared" si="23"/>
        <v>0</v>
      </c>
      <c r="L45" s="161">
        <f t="shared" si="1"/>
        <v>0</v>
      </c>
      <c r="M45" s="54"/>
      <c r="N45" s="55"/>
      <c r="O45" s="55"/>
      <c r="P45" s="55"/>
      <c r="Q45" s="162">
        <f t="shared" si="24"/>
        <v>0</v>
      </c>
      <c r="R45" s="472"/>
      <c r="S45" s="462"/>
      <c r="T45" s="462"/>
      <c r="U45" s="462"/>
      <c r="V45" s="97">
        <f t="shared" si="25"/>
        <v>0</v>
      </c>
      <c r="W45" s="279"/>
      <c r="X45" s="52"/>
      <c r="Y45" s="99"/>
      <c r="Z45" s="53"/>
      <c r="AA45" s="228"/>
      <c r="AB45" s="52"/>
      <c r="AC45" s="99"/>
      <c r="AD45" s="53"/>
      <c r="AE45" s="228"/>
      <c r="AF45" s="52"/>
      <c r="AG45" s="99"/>
      <c r="AH45" s="53"/>
      <c r="AI45" s="228"/>
      <c r="AJ45" s="52"/>
      <c r="AK45" s="99"/>
      <c r="AL45" s="53"/>
      <c r="AM45" s="228"/>
      <c r="AN45" s="52"/>
      <c r="AO45" s="99"/>
      <c r="AP45" s="53"/>
      <c r="AQ45" s="50">
        <f t="shared" si="4"/>
        <v>0</v>
      </c>
      <c r="AR45" s="163">
        <f t="shared" si="5"/>
        <v>0</v>
      </c>
      <c r="AS45" s="97">
        <f t="shared" si="6"/>
        <v>0</v>
      </c>
      <c r="AT45" s="278">
        <f t="shared" si="7"/>
        <v>0</v>
      </c>
      <c r="AU45" s="55"/>
      <c r="AV45" s="472"/>
      <c r="AW45" s="279"/>
      <c r="AX45" s="52"/>
      <c r="AY45" s="105"/>
      <c r="AZ45" s="98"/>
      <c r="BA45" s="279"/>
      <c r="BB45" s="52"/>
      <c r="BC45" s="105"/>
      <c r="BD45" s="98"/>
      <c r="BE45" s="279"/>
      <c r="BF45" s="52"/>
      <c r="BG45" s="105"/>
      <c r="BH45" s="98"/>
      <c r="BI45" s="279"/>
      <c r="BJ45" s="52"/>
      <c r="BK45" s="105"/>
      <c r="BL45" s="98"/>
      <c r="BM45" s="279"/>
      <c r="BN45" s="52"/>
      <c r="BO45" s="105"/>
      <c r="BP45" s="98"/>
      <c r="BQ45" s="279"/>
      <c r="BR45" s="52"/>
      <c r="BS45" s="105"/>
      <c r="BT45" s="98"/>
      <c r="BU45" s="279"/>
      <c r="BV45" s="52"/>
      <c r="BW45" s="105"/>
      <c r="BX45" s="98"/>
      <c r="BY45" s="279"/>
      <c r="BZ45" s="52"/>
      <c r="CA45" s="105"/>
      <c r="CB45" s="98"/>
      <c r="CC45" s="279"/>
      <c r="CD45" s="52"/>
      <c r="CE45" s="105"/>
      <c r="CF45" s="98"/>
      <c r="CG45" s="279"/>
      <c r="CH45" s="52"/>
      <c r="CI45" s="105"/>
      <c r="CJ45" s="98"/>
      <c r="CK45" s="281"/>
      <c r="CL45" s="472"/>
      <c r="CM45" s="159"/>
      <c r="CN45" s="462"/>
      <c r="CO45" s="50">
        <f t="shared" si="26"/>
        <v>0</v>
      </c>
      <c r="CP45" s="103">
        <f t="shared" si="27"/>
        <v>0</v>
      </c>
      <c r="CQ45" s="465">
        <f t="shared" si="28"/>
        <v>0</v>
      </c>
      <c r="CR45" s="466">
        <f t="shared" si="29"/>
        <v>0</v>
      </c>
      <c r="CS45" s="279"/>
      <c r="CT45" s="52"/>
      <c r="CU45" s="105"/>
      <c r="CV45" s="98"/>
      <c r="CW45" s="279"/>
      <c r="CX45" s="52"/>
      <c r="CY45" s="105"/>
      <c r="CZ45" s="98"/>
      <c r="DA45" s="279"/>
      <c r="DB45" s="52"/>
      <c r="DC45" s="105"/>
      <c r="DD45" s="98"/>
      <c r="DE45" s="279"/>
      <c r="DF45" s="52"/>
      <c r="DG45" s="105"/>
      <c r="DH45" s="98"/>
      <c r="DI45" s="279"/>
      <c r="DJ45" s="52"/>
      <c r="DK45" s="105"/>
      <c r="DL45" s="98"/>
      <c r="DM45" s="279"/>
      <c r="DN45" s="52"/>
      <c r="DO45" s="105"/>
      <c r="DP45" s="98"/>
      <c r="DQ45" s="279"/>
      <c r="DR45" s="52"/>
      <c r="DS45" s="105"/>
      <c r="DT45" s="98"/>
      <c r="DU45" s="279"/>
      <c r="DV45" s="52"/>
      <c r="DW45" s="105"/>
      <c r="DX45" s="98"/>
      <c r="DY45" s="279"/>
      <c r="DZ45" s="52"/>
      <c r="EA45" s="105"/>
      <c r="EB45" s="98"/>
      <c r="EC45" s="279"/>
      <c r="ED45" s="52"/>
      <c r="EE45" s="105"/>
      <c r="EF45" s="98"/>
      <c r="EG45" s="159"/>
      <c r="EH45" s="462"/>
      <c r="EI45" s="50">
        <f t="shared" si="30"/>
        <v>0</v>
      </c>
      <c r="EJ45" s="103">
        <f t="shared" si="31"/>
        <v>0</v>
      </c>
      <c r="EK45" s="164">
        <f t="shared" si="32"/>
        <v>0</v>
      </c>
      <c r="EL45" s="465">
        <f t="shared" si="33"/>
        <v>0</v>
      </c>
      <c r="EM45" s="466">
        <f t="shared" si="34"/>
        <v>0</v>
      </c>
      <c r="EN45" s="359">
        <f t="shared" si="35"/>
        <v>0</v>
      </c>
      <c r="EO45" s="51">
        <f t="shared" si="36"/>
        <v>0</v>
      </c>
      <c r="EP45" s="361">
        <f t="shared" si="37"/>
        <v>0</v>
      </c>
      <c r="EQ45" s="281"/>
      <c r="ER45" s="462"/>
      <c r="ES45" s="281"/>
      <c r="ET45" s="462"/>
      <c r="EU45" s="281"/>
      <c r="EV45" s="462"/>
      <c r="EW45" s="281"/>
      <c r="EX45" s="462"/>
      <c r="EY45" s="281"/>
      <c r="EZ45" s="462"/>
      <c r="FA45" s="281"/>
      <c r="FB45" s="462"/>
      <c r="FC45" s="281"/>
      <c r="FD45" s="462"/>
      <c r="FE45" s="281"/>
      <c r="FF45" s="462"/>
      <c r="FG45" s="281"/>
      <c r="FH45" s="462"/>
      <c r="FI45" s="281"/>
      <c r="FJ45" s="462"/>
      <c r="FK45" s="50">
        <f t="shared" si="38"/>
        <v>0</v>
      </c>
      <c r="FL45" s="466">
        <f t="shared" si="39"/>
        <v>0</v>
      </c>
      <c r="FM45" s="50">
        <f t="shared" si="21"/>
        <v>433</v>
      </c>
      <c r="FN45" s="360">
        <f t="shared" si="22"/>
        <v>480</v>
      </c>
      <c r="FO45" s="464"/>
      <c r="FP45" s="279"/>
      <c r="FQ45" s="52"/>
      <c r="FR45" s="296"/>
      <c r="FS45" s="98"/>
      <c r="FT45" s="467"/>
      <c r="FU45" s="52"/>
      <c r="FV45" s="296"/>
      <c r="FW45" s="98"/>
      <c r="FX45" s="467"/>
      <c r="FY45" s="52"/>
      <c r="FZ45" s="296"/>
      <c r="GA45" s="98"/>
      <c r="GB45" s="467"/>
      <c r="GC45" s="52"/>
      <c r="GD45" s="296"/>
      <c r="GE45" s="98"/>
      <c r="GF45" s="467"/>
      <c r="GG45" s="52"/>
      <c r="GH45" s="296"/>
      <c r="GI45" s="98"/>
      <c r="GJ45" s="467"/>
      <c r="GK45" s="52"/>
      <c r="GL45" s="296"/>
      <c r="GM45" s="464"/>
      <c r="GN45" s="467"/>
      <c r="GO45" s="52"/>
      <c r="GP45" s="296"/>
      <c r="GQ45" s="464"/>
      <c r="GR45" s="467"/>
      <c r="GS45" s="52"/>
      <c r="GT45" s="296"/>
      <c r="GU45" s="464"/>
      <c r="GV45" s="467"/>
      <c r="GW45" s="52"/>
      <c r="GX45" s="296"/>
      <c r="GY45" s="464"/>
      <c r="GZ45" s="467"/>
      <c r="HA45" s="52"/>
      <c r="HB45" s="296"/>
      <c r="HC45" s="464"/>
    </row>
    <row r="46" spans="1:211" s="86" customFormat="1">
      <c r="A46" s="275" t="s">
        <v>30</v>
      </c>
      <c r="B46" s="276" t="s">
        <v>496</v>
      </c>
      <c r="C46" s="275">
        <v>101462</v>
      </c>
      <c r="D46" s="340">
        <v>13</v>
      </c>
      <c r="E46" s="460">
        <v>137</v>
      </c>
      <c r="F46" s="461">
        <v>126</v>
      </c>
      <c r="G46" s="158"/>
      <c r="H46" s="664"/>
      <c r="I46" s="158">
        <v>48</v>
      </c>
      <c r="J46" s="471">
        <v>56</v>
      </c>
      <c r="K46" s="160">
        <f t="shared" si="23"/>
        <v>0</v>
      </c>
      <c r="L46" s="161">
        <f t="shared" si="1"/>
        <v>0</v>
      </c>
      <c r="M46" s="54"/>
      <c r="N46" s="55"/>
      <c r="O46" s="55"/>
      <c r="P46" s="55"/>
      <c r="Q46" s="162">
        <f t="shared" si="24"/>
        <v>0</v>
      </c>
      <c r="R46" s="472"/>
      <c r="S46" s="462"/>
      <c r="T46" s="462"/>
      <c r="U46" s="462"/>
      <c r="V46" s="97">
        <f t="shared" si="25"/>
        <v>0</v>
      </c>
      <c r="W46" s="279"/>
      <c r="X46" s="52"/>
      <c r="Y46" s="99"/>
      <c r="Z46" s="53"/>
      <c r="AA46" s="228"/>
      <c r="AB46" s="52"/>
      <c r="AC46" s="99"/>
      <c r="AD46" s="53"/>
      <c r="AE46" s="228"/>
      <c r="AF46" s="52"/>
      <c r="AG46" s="99"/>
      <c r="AH46" s="53"/>
      <c r="AI46" s="228"/>
      <c r="AJ46" s="52"/>
      <c r="AK46" s="99"/>
      <c r="AL46" s="53"/>
      <c r="AM46" s="228"/>
      <c r="AN46" s="52"/>
      <c r="AO46" s="99"/>
      <c r="AP46" s="53"/>
      <c r="AQ46" s="50">
        <f t="shared" si="4"/>
        <v>0</v>
      </c>
      <c r="AR46" s="163">
        <f t="shared" si="5"/>
        <v>0</v>
      </c>
      <c r="AS46" s="97">
        <f t="shared" si="6"/>
        <v>0</v>
      </c>
      <c r="AT46" s="278">
        <f t="shared" si="7"/>
        <v>0</v>
      </c>
      <c r="AU46" s="55"/>
      <c r="AV46" s="472"/>
      <c r="AW46" s="279"/>
      <c r="AX46" s="52"/>
      <c r="AY46" s="105"/>
      <c r="AZ46" s="98"/>
      <c r="BA46" s="279"/>
      <c r="BB46" s="52"/>
      <c r="BC46" s="105"/>
      <c r="BD46" s="98"/>
      <c r="BE46" s="279"/>
      <c r="BF46" s="52"/>
      <c r="BG46" s="105"/>
      <c r="BH46" s="98"/>
      <c r="BI46" s="279"/>
      <c r="BJ46" s="52"/>
      <c r="BK46" s="105"/>
      <c r="BL46" s="98"/>
      <c r="BM46" s="279"/>
      <c r="BN46" s="52"/>
      <c r="BO46" s="105"/>
      <c r="BP46" s="98"/>
      <c r="BQ46" s="279"/>
      <c r="BR46" s="52"/>
      <c r="BS46" s="105"/>
      <c r="BT46" s="98"/>
      <c r="BU46" s="279"/>
      <c r="BV46" s="52"/>
      <c r="BW46" s="105"/>
      <c r="BX46" s="98"/>
      <c r="BY46" s="279"/>
      <c r="BZ46" s="52"/>
      <c r="CA46" s="105"/>
      <c r="CB46" s="98"/>
      <c r="CC46" s="279"/>
      <c r="CD46" s="52"/>
      <c r="CE46" s="105"/>
      <c r="CF46" s="98"/>
      <c r="CG46" s="279"/>
      <c r="CH46" s="52"/>
      <c r="CI46" s="105"/>
      <c r="CJ46" s="98"/>
      <c r="CK46" s="281"/>
      <c r="CL46" s="462"/>
      <c r="CM46" s="159"/>
      <c r="CN46" s="462"/>
      <c r="CO46" s="50">
        <f t="shared" si="26"/>
        <v>0</v>
      </c>
      <c r="CP46" s="103">
        <f t="shared" si="27"/>
        <v>0</v>
      </c>
      <c r="CQ46" s="465">
        <f t="shared" si="28"/>
        <v>0</v>
      </c>
      <c r="CR46" s="466">
        <f t="shared" si="29"/>
        <v>0</v>
      </c>
      <c r="CS46" s="279"/>
      <c r="CT46" s="52"/>
      <c r="CU46" s="105"/>
      <c r="CV46" s="98"/>
      <c r="CW46" s="279"/>
      <c r="CX46" s="52"/>
      <c r="CY46" s="105"/>
      <c r="CZ46" s="98"/>
      <c r="DA46" s="279"/>
      <c r="DB46" s="52"/>
      <c r="DC46" s="105"/>
      <c r="DD46" s="98"/>
      <c r="DE46" s="279"/>
      <c r="DF46" s="52"/>
      <c r="DG46" s="105"/>
      <c r="DH46" s="98"/>
      <c r="DI46" s="279"/>
      <c r="DJ46" s="52"/>
      <c r="DK46" s="105"/>
      <c r="DL46" s="98"/>
      <c r="DM46" s="279"/>
      <c r="DN46" s="52"/>
      <c r="DO46" s="105"/>
      <c r="DP46" s="98"/>
      <c r="DQ46" s="279"/>
      <c r="DR46" s="52"/>
      <c r="DS46" s="105"/>
      <c r="DT46" s="98"/>
      <c r="DU46" s="279"/>
      <c r="DV46" s="52"/>
      <c r="DW46" s="105"/>
      <c r="DX46" s="98"/>
      <c r="DY46" s="279"/>
      <c r="DZ46" s="52"/>
      <c r="EA46" s="105"/>
      <c r="EB46" s="98"/>
      <c r="EC46" s="279"/>
      <c r="ED46" s="52"/>
      <c r="EE46" s="105"/>
      <c r="EF46" s="98"/>
      <c r="EG46" s="159"/>
      <c r="EH46" s="462"/>
      <c r="EI46" s="50">
        <f t="shared" si="30"/>
        <v>0</v>
      </c>
      <c r="EJ46" s="103">
        <f t="shared" si="31"/>
        <v>0</v>
      </c>
      <c r="EK46" s="164">
        <f t="shared" si="32"/>
        <v>0</v>
      </c>
      <c r="EL46" s="465">
        <f t="shared" si="33"/>
        <v>0</v>
      </c>
      <c r="EM46" s="466">
        <f t="shared" si="34"/>
        <v>0</v>
      </c>
      <c r="EN46" s="359">
        <f t="shared" si="35"/>
        <v>0</v>
      </c>
      <c r="EO46" s="51">
        <f t="shared" si="36"/>
        <v>0</v>
      </c>
      <c r="EP46" s="361">
        <f t="shared" si="37"/>
        <v>0</v>
      </c>
      <c r="EQ46" s="281"/>
      <c r="ER46" s="462"/>
      <c r="ES46" s="281"/>
      <c r="ET46" s="462"/>
      <c r="EU46" s="281"/>
      <c r="EV46" s="462"/>
      <c r="EW46" s="281"/>
      <c r="EX46" s="462"/>
      <c r="EY46" s="281"/>
      <c r="EZ46" s="462"/>
      <c r="FA46" s="281"/>
      <c r="FB46" s="462"/>
      <c r="FC46" s="281"/>
      <c r="FD46" s="462"/>
      <c r="FE46" s="281"/>
      <c r="FF46" s="462"/>
      <c r="FG46" s="281"/>
      <c r="FH46" s="462"/>
      <c r="FI46" s="281"/>
      <c r="FJ46" s="462"/>
      <c r="FK46" s="50">
        <f t="shared" si="38"/>
        <v>0</v>
      </c>
      <c r="FL46" s="466">
        <f t="shared" si="39"/>
        <v>0</v>
      </c>
      <c r="FM46" s="50">
        <f t="shared" si="21"/>
        <v>185</v>
      </c>
      <c r="FN46" s="360">
        <f t="shared" si="22"/>
        <v>182</v>
      </c>
      <c r="FO46" s="464"/>
      <c r="FP46" s="279"/>
      <c r="FQ46" s="52"/>
      <c r="FR46" s="296"/>
      <c r="FS46" s="98"/>
      <c r="FT46" s="467"/>
      <c r="FU46" s="52"/>
      <c r="FV46" s="296"/>
      <c r="FW46" s="98"/>
      <c r="FX46" s="467"/>
      <c r="FY46" s="52"/>
      <c r="FZ46" s="296"/>
      <c r="GA46" s="98"/>
      <c r="GB46" s="467"/>
      <c r="GC46" s="52"/>
      <c r="GD46" s="296"/>
      <c r="GE46" s="98"/>
      <c r="GF46" s="467"/>
      <c r="GG46" s="52"/>
      <c r="GH46" s="296"/>
      <c r="GI46" s="98"/>
      <c r="GJ46" s="467"/>
      <c r="GK46" s="52"/>
      <c r="GL46" s="296"/>
      <c r="GM46" s="464"/>
      <c r="GN46" s="467"/>
      <c r="GO46" s="52"/>
      <c r="GP46" s="296"/>
      <c r="GQ46" s="464"/>
      <c r="GR46" s="467"/>
      <c r="GS46" s="52"/>
      <c r="GT46" s="296"/>
      <c r="GU46" s="464"/>
      <c r="GV46" s="467"/>
      <c r="GW46" s="52"/>
      <c r="GX46" s="296"/>
      <c r="GY46" s="464"/>
      <c r="GZ46" s="467"/>
      <c r="HA46" s="52"/>
      <c r="HB46" s="296"/>
      <c r="HC46" s="464"/>
    </row>
    <row r="47" spans="1:211" s="86" customFormat="1">
      <c r="A47" s="275" t="s">
        <v>30</v>
      </c>
      <c r="B47" s="276" t="s">
        <v>497</v>
      </c>
      <c r="C47" s="275">
        <v>101471</v>
      </c>
      <c r="D47" s="340">
        <v>13</v>
      </c>
      <c r="E47" s="460">
        <v>177</v>
      </c>
      <c r="F47" s="461">
        <v>156</v>
      </c>
      <c r="G47" s="158"/>
      <c r="H47" s="664"/>
      <c r="I47" s="158">
        <v>11</v>
      </c>
      <c r="J47" s="471">
        <v>12</v>
      </c>
      <c r="K47" s="160">
        <f t="shared" si="23"/>
        <v>0</v>
      </c>
      <c r="L47" s="161">
        <f t="shared" si="1"/>
        <v>0</v>
      </c>
      <c r="M47" s="54"/>
      <c r="N47" s="55"/>
      <c r="O47" s="55"/>
      <c r="P47" s="55"/>
      <c r="Q47" s="162">
        <f t="shared" si="24"/>
        <v>0</v>
      </c>
      <c r="R47" s="472"/>
      <c r="S47" s="462"/>
      <c r="T47" s="462"/>
      <c r="U47" s="462"/>
      <c r="V47" s="97">
        <f t="shared" si="25"/>
        <v>0</v>
      </c>
      <c r="W47" s="279"/>
      <c r="X47" s="52"/>
      <c r="Y47" s="99"/>
      <c r="Z47" s="53"/>
      <c r="AA47" s="228"/>
      <c r="AB47" s="52"/>
      <c r="AC47" s="99"/>
      <c r="AD47" s="53"/>
      <c r="AE47" s="228"/>
      <c r="AF47" s="52"/>
      <c r="AG47" s="99"/>
      <c r="AH47" s="53"/>
      <c r="AI47" s="228"/>
      <c r="AJ47" s="52"/>
      <c r="AK47" s="99"/>
      <c r="AL47" s="53"/>
      <c r="AM47" s="228"/>
      <c r="AN47" s="52"/>
      <c r="AO47" s="99"/>
      <c r="AP47" s="53"/>
      <c r="AQ47" s="50">
        <f t="shared" si="4"/>
        <v>0</v>
      </c>
      <c r="AR47" s="163">
        <f t="shared" si="5"/>
        <v>0</v>
      </c>
      <c r="AS47" s="97">
        <f t="shared" si="6"/>
        <v>0</v>
      </c>
      <c r="AT47" s="278">
        <f t="shared" si="7"/>
        <v>0</v>
      </c>
      <c r="AU47" s="55"/>
      <c r="AV47" s="472"/>
      <c r="AW47" s="279"/>
      <c r="AX47" s="52"/>
      <c r="AY47" s="105"/>
      <c r="AZ47" s="98"/>
      <c r="BA47" s="279"/>
      <c r="BB47" s="52"/>
      <c r="BC47" s="105"/>
      <c r="BD47" s="98"/>
      <c r="BE47" s="279"/>
      <c r="BF47" s="52"/>
      <c r="BG47" s="105"/>
      <c r="BH47" s="98"/>
      <c r="BI47" s="279"/>
      <c r="BJ47" s="52"/>
      <c r="BK47" s="105"/>
      <c r="BL47" s="98"/>
      <c r="BM47" s="279"/>
      <c r="BN47" s="52"/>
      <c r="BO47" s="105"/>
      <c r="BP47" s="98"/>
      <c r="BQ47" s="279"/>
      <c r="BR47" s="52"/>
      <c r="BS47" s="105"/>
      <c r="BT47" s="98"/>
      <c r="BU47" s="279"/>
      <c r="BV47" s="52"/>
      <c r="BW47" s="105"/>
      <c r="BX47" s="98"/>
      <c r="BY47" s="279"/>
      <c r="BZ47" s="52"/>
      <c r="CA47" s="105"/>
      <c r="CB47" s="98"/>
      <c r="CC47" s="279"/>
      <c r="CD47" s="52"/>
      <c r="CE47" s="105"/>
      <c r="CF47" s="98"/>
      <c r="CG47" s="279"/>
      <c r="CH47" s="52"/>
      <c r="CI47" s="105"/>
      <c r="CJ47" s="98"/>
      <c r="CK47" s="281"/>
      <c r="CL47" s="462"/>
      <c r="CM47" s="159"/>
      <c r="CN47" s="462"/>
      <c r="CO47" s="50">
        <f t="shared" si="26"/>
        <v>0</v>
      </c>
      <c r="CP47" s="103">
        <f t="shared" si="27"/>
        <v>0</v>
      </c>
      <c r="CQ47" s="465">
        <f t="shared" si="28"/>
        <v>0</v>
      </c>
      <c r="CR47" s="466">
        <f t="shared" si="29"/>
        <v>0</v>
      </c>
      <c r="CS47" s="279"/>
      <c r="CT47" s="52"/>
      <c r="CU47" s="105"/>
      <c r="CV47" s="98"/>
      <c r="CW47" s="279"/>
      <c r="CX47" s="52"/>
      <c r="CY47" s="105"/>
      <c r="CZ47" s="98"/>
      <c r="DA47" s="279"/>
      <c r="DB47" s="52"/>
      <c r="DC47" s="105"/>
      <c r="DD47" s="98"/>
      <c r="DE47" s="279"/>
      <c r="DF47" s="52"/>
      <c r="DG47" s="105"/>
      <c r="DH47" s="98"/>
      <c r="DI47" s="279"/>
      <c r="DJ47" s="52"/>
      <c r="DK47" s="105"/>
      <c r="DL47" s="98"/>
      <c r="DM47" s="279"/>
      <c r="DN47" s="52"/>
      <c r="DO47" s="105"/>
      <c r="DP47" s="98"/>
      <c r="DQ47" s="279"/>
      <c r="DR47" s="52"/>
      <c r="DS47" s="105"/>
      <c r="DT47" s="98"/>
      <c r="DU47" s="279"/>
      <c r="DV47" s="52"/>
      <c r="DW47" s="105"/>
      <c r="DX47" s="98"/>
      <c r="DY47" s="279"/>
      <c r="DZ47" s="52"/>
      <c r="EA47" s="105"/>
      <c r="EB47" s="98"/>
      <c r="EC47" s="279"/>
      <c r="ED47" s="52"/>
      <c r="EE47" s="105"/>
      <c r="EF47" s="98"/>
      <c r="EG47" s="159"/>
      <c r="EH47" s="462"/>
      <c r="EI47" s="50">
        <f t="shared" si="30"/>
        <v>0</v>
      </c>
      <c r="EJ47" s="103">
        <f t="shared" si="31"/>
        <v>0</v>
      </c>
      <c r="EK47" s="164">
        <f t="shared" si="32"/>
        <v>0</v>
      </c>
      <c r="EL47" s="465">
        <f t="shared" si="33"/>
        <v>0</v>
      </c>
      <c r="EM47" s="466">
        <f t="shared" si="34"/>
        <v>0</v>
      </c>
      <c r="EN47" s="359">
        <f t="shared" si="35"/>
        <v>0</v>
      </c>
      <c r="EO47" s="51">
        <f t="shared" si="36"/>
        <v>0</v>
      </c>
      <c r="EP47" s="361">
        <f t="shared" si="37"/>
        <v>0</v>
      </c>
      <c r="EQ47" s="281"/>
      <c r="ER47" s="462"/>
      <c r="ES47" s="281"/>
      <c r="ET47" s="462"/>
      <c r="EU47" s="281"/>
      <c r="EV47" s="462"/>
      <c r="EW47" s="281"/>
      <c r="EX47" s="462"/>
      <c r="EY47" s="281"/>
      <c r="EZ47" s="462"/>
      <c r="FA47" s="281"/>
      <c r="FB47" s="462"/>
      <c r="FC47" s="281"/>
      <c r="FD47" s="462"/>
      <c r="FE47" s="281"/>
      <c r="FF47" s="462"/>
      <c r="FG47" s="281"/>
      <c r="FH47" s="462"/>
      <c r="FI47" s="281"/>
      <c r="FJ47" s="462"/>
      <c r="FK47" s="50">
        <f t="shared" si="38"/>
        <v>0</v>
      </c>
      <c r="FL47" s="466">
        <f t="shared" si="39"/>
        <v>0</v>
      </c>
      <c r="FM47" s="50">
        <f t="shared" si="21"/>
        <v>188</v>
      </c>
      <c r="FN47" s="360">
        <f t="shared" si="22"/>
        <v>168</v>
      </c>
      <c r="FO47" s="464"/>
      <c r="FP47" s="279"/>
      <c r="FQ47" s="52"/>
      <c r="FR47" s="296"/>
      <c r="FS47" s="98"/>
      <c r="FT47" s="467"/>
      <c r="FU47" s="52"/>
      <c r="FV47" s="296"/>
      <c r="FW47" s="98"/>
      <c r="FX47" s="467"/>
      <c r="FY47" s="52"/>
      <c r="FZ47" s="296"/>
      <c r="GA47" s="98"/>
      <c r="GB47" s="467"/>
      <c r="GC47" s="52"/>
      <c r="GD47" s="296"/>
      <c r="GE47" s="98"/>
      <c r="GF47" s="467"/>
      <c r="GG47" s="52"/>
      <c r="GH47" s="296"/>
      <c r="GI47" s="98"/>
      <c r="GJ47" s="467"/>
      <c r="GK47" s="52"/>
      <c r="GL47" s="296"/>
      <c r="GM47" s="464"/>
      <c r="GN47" s="467"/>
      <c r="GO47" s="52"/>
      <c r="GP47" s="296"/>
      <c r="GQ47" s="464"/>
      <c r="GR47" s="467"/>
      <c r="GS47" s="52"/>
      <c r="GT47" s="296"/>
      <c r="GU47" s="464"/>
      <c r="GV47" s="467"/>
      <c r="GW47" s="52"/>
      <c r="GX47" s="296"/>
      <c r="GY47" s="464"/>
      <c r="GZ47" s="467"/>
      <c r="HA47" s="52"/>
      <c r="HB47" s="296"/>
      <c r="HC47" s="464"/>
    </row>
    <row r="48" spans="1:211" s="86" customFormat="1">
      <c r="A48" s="275" t="s">
        <v>30</v>
      </c>
      <c r="B48" s="276" t="s">
        <v>498</v>
      </c>
      <c r="C48" s="275">
        <v>101994</v>
      </c>
      <c r="D48" s="340">
        <v>13</v>
      </c>
      <c r="E48" s="460">
        <v>121</v>
      </c>
      <c r="F48" s="461">
        <v>140</v>
      </c>
      <c r="G48" s="158"/>
      <c r="H48" s="664"/>
      <c r="I48" s="158">
        <v>45</v>
      </c>
      <c r="J48" s="471">
        <v>54</v>
      </c>
      <c r="K48" s="160">
        <f t="shared" si="23"/>
        <v>0</v>
      </c>
      <c r="L48" s="161">
        <f t="shared" si="1"/>
        <v>0</v>
      </c>
      <c r="M48" s="54"/>
      <c r="N48" s="55"/>
      <c r="O48" s="55"/>
      <c r="P48" s="55"/>
      <c r="Q48" s="162">
        <f t="shared" si="24"/>
        <v>0</v>
      </c>
      <c r="R48" s="472"/>
      <c r="S48" s="462"/>
      <c r="T48" s="462"/>
      <c r="U48" s="462"/>
      <c r="V48" s="97">
        <f t="shared" si="25"/>
        <v>0</v>
      </c>
      <c r="W48" s="279"/>
      <c r="X48" s="52"/>
      <c r="Y48" s="99"/>
      <c r="Z48" s="53"/>
      <c r="AA48" s="228"/>
      <c r="AB48" s="52"/>
      <c r="AC48" s="99"/>
      <c r="AD48" s="53"/>
      <c r="AE48" s="228"/>
      <c r="AF48" s="52"/>
      <c r="AG48" s="99"/>
      <c r="AH48" s="53"/>
      <c r="AI48" s="228"/>
      <c r="AJ48" s="52"/>
      <c r="AK48" s="99"/>
      <c r="AL48" s="53"/>
      <c r="AM48" s="228"/>
      <c r="AN48" s="52"/>
      <c r="AO48" s="99"/>
      <c r="AP48" s="53"/>
      <c r="AQ48" s="50">
        <f t="shared" si="4"/>
        <v>0</v>
      </c>
      <c r="AR48" s="163">
        <f t="shared" si="5"/>
        <v>0</v>
      </c>
      <c r="AS48" s="97">
        <f t="shared" si="6"/>
        <v>0</v>
      </c>
      <c r="AT48" s="278">
        <f t="shared" si="7"/>
        <v>0</v>
      </c>
      <c r="AU48" s="55"/>
      <c r="AV48" s="472"/>
      <c r="AW48" s="279"/>
      <c r="AX48" s="52"/>
      <c r="AY48" s="105"/>
      <c r="AZ48" s="98"/>
      <c r="BA48" s="279"/>
      <c r="BB48" s="52"/>
      <c r="BC48" s="105"/>
      <c r="BD48" s="98"/>
      <c r="BE48" s="279"/>
      <c r="BF48" s="52"/>
      <c r="BG48" s="105"/>
      <c r="BH48" s="98"/>
      <c r="BI48" s="279"/>
      <c r="BJ48" s="52"/>
      <c r="BK48" s="105"/>
      <c r="BL48" s="98"/>
      <c r="BM48" s="279"/>
      <c r="BN48" s="52"/>
      <c r="BO48" s="105"/>
      <c r="BP48" s="98"/>
      <c r="BQ48" s="279"/>
      <c r="BR48" s="52"/>
      <c r="BS48" s="105"/>
      <c r="BT48" s="98"/>
      <c r="BU48" s="279"/>
      <c r="BV48" s="52"/>
      <c r="BW48" s="105"/>
      <c r="BX48" s="98"/>
      <c r="BY48" s="279"/>
      <c r="BZ48" s="52"/>
      <c r="CA48" s="105"/>
      <c r="CB48" s="98"/>
      <c r="CC48" s="279"/>
      <c r="CD48" s="52"/>
      <c r="CE48" s="105"/>
      <c r="CF48" s="98"/>
      <c r="CG48" s="279"/>
      <c r="CH48" s="52"/>
      <c r="CI48" s="105"/>
      <c r="CJ48" s="98"/>
      <c r="CK48" s="281"/>
      <c r="CL48" s="462"/>
      <c r="CM48" s="159"/>
      <c r="CN48" s="462"/>
      <c r="CO48" s="50">
        <f t="shared" si="26"/>
        <v>0</v>
      </c>
      <c r="CP48" s="103">
        <f t="shared" si="27"/>
        <v>0</v>
      </c>
      <c r="CQ48" s="465">
        <f t="shared" si="28"/>
        <v>0</v>
      </c>
      <c r="CR48" s="466">
        <f t="shared" si="29"/>
        <v>0</v>
      </c>
      <c r="CS48" s="279"/>
      <c r="CT48" s="52"/>
      <c r="CU48" s="105"/>
      <c r="CV48" s="98"/>
      <c r="CW48" s="279"/>
      <c r="CX48" s="52"/>
      <c r="CY48" s="105"/>
      <c r="CZ48" s="98"/>
      <c r="DA48" s="279"/>
      <c r="DB48" s="52"/>
      <c r="DC48" s="105"/>
      <c r="DD48" s="98"/>
      <c r="DE48" s="279"/>
      <c r="DF48" s="52"/>
      <c r="DG48" s="105"/>
      <c r="DH48" s="98"/>
      <c r="DI48" s="279"/>
      <c r="DJ48" s="52"/>
      <c r="DK48" s="105"/>
      <c r="DL48" s="98"/>
      <c r="DM48" s="279"/>
      <c r="DN48" s="52"/>
      <c r="DO48" s="105"/>
      <c r="DP48" s="98"/>
      <c r="DQ48" s="279"/>
      <c r="DR48" s="52"/>
      <c r="DS48" s="105"/>
      <c r="DT48" s="98"/>
      <c r="DU48" s="279"/>
      <c r="DV48" s="52"/>
      <c r="DW48" s="105"/>
      <c r="DX48" s="98"/>
      <c r="DY48" s="279"/>
      <c r="DZ48" s="52"/>
      <c r="EA48" s="105"/>
      <c r="EB48" s="98"/>
      <c r="EC48" s="279"/>
      <c r="ED48" s="52"/>
      <c r="EE48" s="105"/>
      <c r="EF48" s="98"/>
      <c r="EG48" s="159"/>
      <c r="EH48" s="462"/>
      <c r="EI48" s="50">
        <f t="shared" si="30"/>
        <v>0</v>
      </c>
      <c r="EJ48" s="103">
        <f t="shared" si="31"/>
        <v>0</v>
      </c>
      <c r="EK48" s="164">
        <f t="shared" si="32"/>
        <v>0</v>
      </c>
      <c r="EL48" s="465">
        <f t="shared" si="33"/>
        <v>0</v>
      </c>
      <c r="EM48" s="466">
        <f t="shared" si="34"/>
        <v>0</v>
      </c>
      <c r="EN48" s="359">
        <f t="shared" si="35"/>
        <v>0</v>
      </c>
      <c r="EO48" s="51">
        <f t="shared" si="36"/>
        <v>0</v>
      </c>
      <c r="EP48" s="361">
        <f t="shared" si="37"/>
        <v>0</v>
      </c>
      <c r="EQ48" s="281"/>
      <c r="ER48" s="462"/>
      <c r="ES48" s="281"/>
      <c r="ET48" s="462"/>
      <c r="EU48" s="281"/>
      <c r="EV48" s="462"/>
      <c r="EW48" s="281"/>
      <c r="EX48" s="462"/>
      <c r="EY48" s="281"/>
      <c r="EZ48" s="462"/>
      <c r="FA48" s="281"/>
      <c r="FB48" s="462"/>
      <c r="FC48" s="281"/>
      <c r="FD48" s="462"/>
      <c r="FE48" s="281"/>
      <c r="FF48" s="462"/>
      <c r="FG48" s="281"/>
      <c r="FH48" s="462"/>
      <c r="FI48" s="281"/>
      <c r="FJ48" s="462"/>
      <c r="FK48" s="50">
        <f t="shared" si="38"/>
        <v>0</v>
      </c>
      <c r="FL48" s="466">
        <f t="shared" si="39"/>
        <v>0</v>
      </c>
      <c r="FM48" s="50">
        <f t="shared" si="21"/>
        <v>166</v>
      </c>
      <c r="FN48" s="360">
        <f t="shared" si="22"/>
        <v>194</v>
      </c>
      <c r="FO48" s="464"/>
      <c r="FP48" s="279"/>
      <c r="FQ48" s="52"/>
      <c r="FR48" s="296"/>
      <c r="FS48" s="98"/>
      <c r="FT48" s="467"/>
      <c r="FU48" s="52"/>
      <c r="FV48" s="296"/>
      <c r="FW48" s="98"/>
      <c r="FX48" s="467"/>
      <c r="FY48" s="52"/>
      <c r="FZ48" s="296"/>
      <c r="GA48" s="98"/>
      <c r="GB48" s="467"/>
      <c r="GC48" s="52"/>
      <c r="GD48" s="296"/>
      <c r="GE48" s="98"/>
      <c r="GF48" s="467"/>
      <c r="GG48" s="52"/>
      <c r="GH48" s="296"/>
      <c r="GI48" s="98"/>
      <c r="GJ48" s="467"/>
      <c r="GK48" s="52"/>
      <c r="GL48" s="296"/>
      <c r="GM48" s="464"/>
      <c r="GN48" s="467"/>
      <c r="GO48" s="52"/>
      <c r="GP48" s="296"/>
      <c r="GQ48" s="464"/>
      <c r="GR48" s="467"/>
      <c r="GS48" s="52"/>
      <c r="GT48" s="296"/>
      <c r="GU48" s="464"/>
      <c r="GV48" s="467"/>
      <c r="GW48" s="52"/>
      <c r="GX48" s="296"/>
      <c r="GY48" s="464"/>
      <c r="GZ48" s="467"/>
      <c r="HA48" s="52"/>
      <c r="HB48" s="296"/>
      <c r="HC48" s="464"/>
    </row>
    <row r="49" spans="1:211" s="86" customFormat="1">
      <c r="A49" s="275" t="s">
        <v>30</v>
      </c>
      <c r="B49" s="276" t="s">
        <v>499</v>
      </c>
      <c r="C49" s="275">
        <v>101648</v>
      </c>
      <c r="D49" s="340">
        <v>15</v>
      </c>
      <c r="E49" s="460"/>
      <c r="F49" s="462"/>
      <c r="G49" s="158"/>
      <c r="H49" s="664"/>
      <c r="I49" s="158">
        <v>86</v>
      </c>
      <c r="J49" s="471">
        <v>61</v>
      </c>
      <c r="K49" s="160">
        <f t="shared" si="23"/>
        <v>0</v>
      </c>
      <c r="L49" s="161">
        <f t="shared" si="1"/>
        <v>0</v>
      </c>
      <c r="M49" s="54"/>
      <c r="N49" s="55"/>
      <c r="O49" s="55"/>
      <c r="P49" s="55"/>
      <c r="Q49" s="162">
        <f t="shared" si="24"/>
        <v>0</v>
      </c>
      <c r="R49" s="472"/>
      <c r="S49" s="462"/>
      <c r="T49" s="462"/>
      <c r="U49" s="462"/>
      <c r="V49" s="97">
        <f t="shared" si="25"/>
        <v>0</v>
      </c>
      <c r="W49" s="279"/>
      <c r="X49" s="52"/>
      <c r="Y49" s="99"/>
      <c r="Z49" s="53"/>
      <c r="AA49" s="228"/>
      <c r="AB49" s="52"/>
      <c r="AC49" s="99"/>
      <c r="AD49" s="53"/>
      <c r="AE49" s="228"/>
      <c r="AF49" s="52"/>
      <c r="AG49" s="99"/>
      <c r="AH49" s="53"/>
      <c r="AI49" s="228"/>
      <c r="AJ49" s="52"/>
      <c r="AK49" s="99"/>
      <c r="AL49" s="53"/>
      <c r="AM49" s="228"/>
      <c r="AN49" s="52"/>
      <c r="AO49" s="99"/>
      <c r="AP49" s="53"/>
      <c r="AQ49" s="50">
        <f t="shared" si="4"/>
        <v>0</v>
      </c>
      <c r="AR49" s="163">
        <f t="shared" si="5"/>
        <v>0</v>
      </c>
      <c r="AS49" s="97">
        <f t="shared" si="6"/>
        <v>0</v>
      </c>
      <c r="AT49" s="278">
        <f t="shared" si="7"/>
        <v>0</v>
      </c>
      <c r="AU49" s="55"/>
      <c r="AV49" s="472"/>
      <c r="AW49" s="279"/>
      <c r="AX49" s="52"/>
      <c r="AY49" s="105"/>
      <c r="AZ49" s="98"/>
      <c r="BA49" s="279"/>
      <c r="BB49" s="52"/>
      <c r="BC49" s="105"/>
      <c r="BD49" s="98"/>
      <c r="BE49" s="279"/>
      <c r="BF49" s="52"/>
      <c r="BG49" s="105"/>
      <c r="BH49" s="98"/>
      <c r="BI49" s="279"/>
      <c r="BJ49" s="52"/>
      <c r="BK49" s="105"/>
      <c r="BL49" s="98"/>
      <c r="BM49" s="279"/>
      <c r="BN49" s="52"/>
      <c r="BO49" s="105"/>
      <c r="BP49" s="98"/>
      <c r="BQ49" s="279"/>
      <c r="BR49" s="52"/>
      <c r="BS49" s="105"/>
      <c r="BT49" s="98"/>
      <c r="BU49" s="279"/>
      <c r="BV49" s="52"/>
      <c r="BW49" s="105"/>
      <c r="BX49" s="98"/>
      <c r="BY49" s="279"/>
      <c r="BZ49" s="52"/>
      <c r="CA49" s="105"/>
      <c r="CB49" s="98"/>
      <c r="CC49" s="279"/>
      <c r="CD49" s="52"/>
      <c r="CE49" s="105"/>
      <c r="CF49" s="98"/>
      <c r="CG49" s="279"/>
      <c r="CH49" s="52"/>
      <c r="CI49" s="105"/>
      <c r="CJ49" s="98"/>
      <c r="CK49" s="281"/>
      <c r="CL49" s="462"/>
      <c r="CM49" s="159"/>
      <c r="CN49" s="462"/>
      <c r="CO49" s="50">
        <f t="shared" si="26"/>
        <v>0</v>
      </c>
      <c r="CP49" s="103">
        <f t="shared" si="27"/>
        <v>0</v>
      </c>
      <c r="CQ49" s="465">
        <f t="shared" si="28"/>
        <v>0</v>
      </c>
      <c r="CR49" s="466">
        <f t="shared" si="29"/>
        <v>0</v>
      </c>
      <c r="CS49" s="279"/>
      <c r="CT49" s="52"/>
      <c r="CU49" s="105"/>
      <c r="CV49" s="98"/>
      <c r="CW49" s="279"/>
      <c r="CX49" s="52"/>
      <c r="CY49" s="105"/>
      <c r="CZ49" s="98"/>
      <c r="DA49" s="279"/>
      <c r="DB49" s="52"/>
      <c r="DC49" s="105"/>
      <c r="DD49" s="98"/>
      <c r="DE49" s="279"/>
      <c r="DF49" s="52"/>
      <c r="DG49" s="105"/>
      <c r="DH49" s="98"/>
      <c r="DI49" s="279"/>
      <c r="DJ49" s="52"/>
      <c r="DK49" s="105"/>
      <c r="DL49" s="98"/>
      <c r="DM49" s="279"/>
      <c r="DN49" s="52"/>
      <c r="DO49" s="105"/>
      <c r="DP49" s="98"/>
      <c r="DQ49" s="279"/>
      <c r="DR49" s="52"/>
      <c r="DS49" s="105"/>
      <c r="DT49" s="98"/>
      <c r="DU49" s="279"/>
      <c r="DV49" s="52"/>
      <c r="DW49" s="105"/>
      <c r="DX49" s="98"/>
      <c r="DY49" s="279"/>
      <c r="DZ49" s="52"/>
      <c r="EA49" s="105"/>
      <c r="EB49" s="98"/>
      <c r="EC49" s="279"/>
      <c r="ED49" s="52"/>
      <c r="EE49" s="105"/>
      <c r="EF49" s="98"/>
      <c r="EG49" s="159"/>
      <c r="EH49" s="462"/>
      <c r="EI49" s="50">
        <f t="shared" si="30"/>
        <v>0</v>
      </c>
      <c r="EJ49" s="103">
        <f t="shared" si="31"/>
        <v>0</v>
      </c>
      <c r="EK49" s="164">
        <f t="shared" si="32"/>
        <v>0</v>
      </c>
      <c r="EL49" s="465">
        <f t="shared" si="33"/>
        <v>0</v>
      </c>
      <c r="EM49" s="466">
        <f t="shared" si="34"/>
        <v>0</v>
      </c>
      <c r="EN49" s="359">
        <f t="shared" si="35"/>
        <v>0</v>
      </c>
      <c r="EO49" s="51">
        <f t="shared" si="36"/>
        <v>0</v>
      </c>
      <c r="EP49" s="361">
        <f t="shared" si="37"/>
        <v>0</v>
      </c>
      <c r="EQ49" s="281"/>
      <c r="ER49" s="462"/>
      <c r="ES49" s="281"/>
      <c r="ET49" s="462"/>
      <c r="EU49" s="281"/>
      <c r="EV49" s="462"/>
      <c r="EW49" s="281"/>
      <c r="EX49" s="462"/>
      <c r="EY49" s="281"/>
      <c r="EZ49" s="462"/>
      <c r="FA49" s="281"/>
      <c r="FB49" s="462"/>
      <c r="FC49" s="281"/>
      <c r="FD49" s="462"/>
      <c r="FE49" s="281"/>
      <c r="FF49" s="462"/>
      <c r="FG49" s="281"/>
      <c r="FH49" s="462"/>
      <c r="FI49" s="281"/>
      <c r="FJ49" s="462"/>
      <c r="FK49" s="50">
        <f t="shared" si="38"/>
        <v>0</v>
      </c>
      <c r="FL49" s="466">
        <f t="shared" si="39"/>
        <v>0</v>
      </c>
      <c r="FM49" s="50">
        <f t="shared" si="21"/>
        <v>86</v>
      </c>
      <c r="FN49" s="360">
        <f t="shared" si="22"/>
        <v>61</v>
      </c>
      <c r="FO49" s="464"/>
      <c r="FP49" s="279"/>
      <c r="FQ49" s="52"/>
      <c r="FR49" s="296"/>
      <c r="FS49" s="98"/>
      <c r="FT49" s="467"/>
      <c r="FU49" s="52"/>
      <c r="FV49" s="296"/>
      <c r="FW49" s="98"/>
      <c r="FX49" s="467"/>
      <c r="FY49" s="52"/>
      <c r="FZ49" s="296"/>
      <c r="GA49" s="98"/>
      <c r="GB49" s="467"/>
      <c r="GC49" s="52"/>
      <c r="GD49" s="296"/>
      <c r="GE49" s="98"/>
      <c r="GF49" s="467"/>
      <c r="GG49" s="52"/>
      <c r="GH49" s="296"/>
      <c r="GI49" s="98"/>
      <c r="GJ49" s="467"/>
      <c r="GK49" s="52"/>
      <c r="GL49" s="296"/>
      <c r="GM49" s="464"/>
      <c r="GN49" s="467"/>
      <c r="GO49" s="52"/>
      <c r="GP49" s="296"/>
      <c r="GQ49" s="464"/>
      <c r="GR49" s="467"/>
      <c r="GS49" s="52"/>
      <c r="GT49" s="296"/>
      <c r="GU49" s="464"/>
      <c r="GV49" s="467"/>
      <c r="GW49" s="52"/>
      <c r="GX49" s="296"/>
      <c r="GY49" s="464"/>
      <c r="GZ49" s="467"/>
      <c r="HA49" s="52"/>
      <c r="HB49" s="296"/>
      <c r="HC49" s="464"/>
    </row>
    <row r="50" spans="1:211" s="86" customFormat="1">
      <c r="A50" s="283" t="s">
        <v>345</v>
      </c>
      <c r="B50" s="284" t="s">
        <v>427</v>
      </c>
      <c r="C50" s="283">
        <v>106397</v>
      </c>
      <c r="D50" s="341">
        <v>1</v>
      </c>
      <c r="E50" s="460"/>
      <c r="F50" s="277"/>
      <c r="G50" s="158"/>
      <c r="H50" s="535"/>
      <c r="I50" s="158"/>
      <c r="J50" s="338"/>
      <c r="K50" s="160">
        <f t="shared" si="23"/>
        <v>0</v>
      </c>
      <c r="L50" s="161">
        <f t="shared" si="1"/>
        <v>0</v>
      </c>
      <c r="M50" s="54">
        <v>2343</v>
      </c>
      <c r="N50" s="55">
        <v>200</v>
      </c>
      <c r="O50" s="55"/>
      <c r="P50" s="55"/>
      <c r="Q50" s="162">
        <f t="shared" si="24"/>
        <v>200</v>
      </c>
      <c r="R50" s="338">
        <v>2494</v>
      </c>
      <c r="S50" s="277">
        <v>160</v>
      </c>
      <c r="T50" s="277"/>
      <c r="U50" s="277"/>
      <c r="V50" s="97">
        <f t="shared" si="25"/>
        <v>160</v>
      </c>
      <c r="W50" s="279"/>
      <c r="X50" s="52"/>
      <c r="Y50" s="99"/>
      <c r="Z50" s="53"/>
      <c r="AA50" s="228"/>
      <c r="AB50" s="52"/>
      <c r="AC50" s="99"/>
      <c r="AD50" s="53"/>
      <c r="AE50" s="228"/>
      <c r="AF50" s="52"/>
      <c r="AG50" s="99"/>
      <c r="AH50" s="53"/>
      <c r="AI50" s="228"/>
      <c r="AJ50" s="52"/>
      <c r="AK50" s="99"/>
      <c r="AL50" s="53"/>
      <c r="AM50" s="228"/>
      <c r="AN50" s="52"/>
      <c r="AO50" s="99"/>
      <c r="AP50" s="53"/>
      <c r="AQ50" s="50">
        <f t="shared" si="4"/>
        <v>0</v>
      </c>
      <c r="AR50" s="163">
        <f t="shared" si="5"/>
        <v>0.65337423312883436</v>
      </c>
      <c r="AS50" s="97">
        <f t="shared" si="6"/>
        <v>0</v>
      </c>
      <c r="AT50" s="278">
        <f t="shared" si="7"/>
        <v>0.66702326825354374</v>
      </c>
      <c r="AU50" s="55">
        <v>2</v>
      </c>
      <c r="AV50" s="338">
        <v>4</v>
      </c>
      <c r="AW50" s="279">
        <v>52</v>
      </c>
      <c r="AX50" s="52">
        <v>279</v>
      </c>
      <c r="AY50" s="105">
        <v>52</v>
      </c>
      <c r="AZ50" s="98">
        <v>292</v>
      </c>
      <c r="BA50" s="279">
        <v>13</v>
      </c>
      <c r="BB50" s="52">
        <v>229</v>
      </c>
      <c r="BC50" s="105">
        <v>13</v>
      </c>
      <c r="BD50" s="98">
        <v>229</v>
      </c>
      <c r="BE50" s="279">
        <v>14</v>
      </c>
      <c r="BF50" s="52">
        <v>83</v>
      </c>
      <c r="BG50" s="105">
        <v>14</v>
      </c>
      <c r="BH50" s="98">
        <v>64</v>
      </c>
      <c r="BI50" s="279">
        <v>1</v>
      </c>
      <c r="BJ50" s="52">
        <v>54</v>
      </c>
      <c r="BK50" s="105">
        <v>1</v>
      </c>
      <c r="BL50" s="98">
        <v>48</v>
      </c>
      <c r="BM50" s="279">
        <v>51</v>
      </c>
      <c r="BN50" s="52">
        <v>36</v>
      </c>
      <c r="BO50" s="105">
        <v>51</v>
      </c>
      <c r="BP50" s="98">
        <v>36</v>
      </c>
      <c r="BQ50" s="279">
        <v>11</v>
      </c>
      <c r="BR50" s="52">
        <v>33</v>
      </c>
      <c r="BS50" s="105">
        <v>45</v>
      </c>
      <c r="BT50" s="98">
        <v>33</v>
      </c>
      <c r="BU50" s="279">
        <v>31</v>
      </c>
      <c r="BV50" s="52">
        <v>33</v>
      </c>
      <c r="BW50" s="105">
        <v>11</v>
      </c>
      <c r="BX50" s="98">
        <v>31</v>
      </c>
      <c r="BY50" s="279">
        <v>44</v>
      </c>
      <c r="BZ50" s="52">
        <v>31</v>
      </c>
      <c r="CA50" s="105">
        <v>31</v>
      </c>
      <c r="CB50" s="98">
        <v>31</v>
      </c>
      <c r="CC50" s="279">
        <v>9</v>
      </c>
      <c r="CD50" s="52">
        <v>27</v>
      </c>
      <c r="CE50" s="105">
        <v>44</v>
      </c>
      <c r="CF50" s="98">
        <v>30</v>
      </c>
      <c r="CG50" s="279">
        <v>45</v>
      </c>
      <c r="CH50" s="52">
        <v>24</v>
      </c>
      <c r="CI50" s="105">
        <v>23</v>
      </c>
      <c r="CJ50" s="98">
        <v>26</v>
      </c>
      <c r="CK50" s="281"/>
      <c r="CL50" s="277"/>
      <c r="CM50" s="159">
        <v>138</v>
      </c>
      <c r="CN50" s="277">
        <v>139</v>
      </c>
      <c r="CO50" s="50">
        <f t="shared" si="26"/>
        <v>967</v>
      </c>
      <c r="CP50" s="103">
        <f t="shared" si="27"/>
        <v>10</v>
      </c>
      <c r="CQ50" s="280">
        <f t="shared" si="28"/>
        <v>959</v>
      </c>
      <c r="CR50" s="63">
        <f t="shared" si="29"/>
        <v>10</v>
      </c>
      <c r="CS50" s="279">
        <v>13</v>
      </c>
      <c r="CT50" s="52">
        <v>29</v>
      </c>
      <c r="CU50" s="105">
        <v>13</v>
      </c>
      <c r="CV50" s="98">
        <v>27</v>
      </c>
      <c r="CW50" s="279">
        <v>40</v>
      </c>
      <c r="CX50" s="52">
        <v>21</v>
      </c>
      <c r="CY50" s="105">
        <v>14</v>
      </c>
      <c r="CZ50" s="98">
        <v>21</v>
      </c>
      <c r="DA50" s="279">
        <v>1</v>
      </c>
      <c r="DB50" s="52">
        <v>20</v>
      </c>
      <c r="DC50" s="105">
        <v>1</v>
      </c>
      <c r="DD50" s="98">
        <v>16</v>
      </c>
      <c r="DE50" s="279">
        <v>14</v>
      </c>
      <c r="DF50" s="52">
        <v>14</v>
      </c>
      <c r="DG50" s="105">
        <v>40</v>
      </c>
      <c r="DH50" s="98">
        <v>13</v>
      </c>
      <c r="DI50" s="279">
        <v>26</v>
      </c>
      <c r="DJ50" s="52">
        <v>14</v>
      </c>
      <c r="DK50" s="105">
        <v>52</v>
      </c>
      <c r="DL50" s="98">
        <v>13</v>
      </c>
      <c r="DM50" s="279">
        <v>52</v>
      </c>
      <c r="DN50" s="52">
        <v>9</v>
      </c>
      <c r="DO50" s="105">
        <v>44</v>
      </c>
      <c r="DP50" s="98">
        <v>12</v>
      </c>
      <c r="DQ50" s="279">
        <v>54</v>
      </c>
      <c r="DR50" s="52">
        <v>9</v>
      </c>
      <c r="DS50" s="105">
        <v>26</v>
      </c>
      <c r="DT50" s="98">
        <v>11</v>
      </c>
      <c r="DU50" s="279">
        <v>44</v>
      </c>
      <c r="DV50" s="52">
        <v>5</v>
      </c>
      <c r="DW50" s="105">
        <v>42</v>
      </c>
      <c r="DX50" s="98">
        <v>11</v>
      </c>
      <c r="DY50" s="279">
        <v>31</v>
      </c>
      <c r="DZ50" s="52">
        <v>5</v>
      </c>
      <c r="EA50" s="105">
        <v>30</v>
      </c>
      <c r="EB50" s="98">
        <v>7</v>
      </c>
      <c r="EC50" s="279">
        <v>23</v>
      </c>
      <c r="ED50" s="52">
        <v>3</v>
      </c>
      <c r="EE50" s="105">
        <v>54</v>
      </c>
      <c r="EF50" s="98">
        <v>7</v>
      </c>
      <c r="EG50" s="159">
        <v>15</v>
      </c>
      <c r="EH50" s="277">
        <v>22</v>
      </c>
      <c r="EI50" s="50">
        <f t="shared" si="30"/>
        <v>144</v>
      </c>
      <c r="EJ50" s="103">
        <f t="shared" si="31"/>
        <v>10</v>
      </c>
      <c r="EK50" s="164">
        <f t="shared" si="32"/>
        <v>0.2013888888888889</v>
      </c>
      <c r="EL50" s="280">
        <f t="shared" si="33"/>
        <v>160</v>
      </c>
      <c r="EM50" s="63">
        <f t="shared" si="34"/>
        <v>10</v>
      </c>
      <c r="EN50" s="359">
        <f t="shared" si="35"/>
        <v>0.16875000000000001</v>
      </c>
      <c r="EO50" s="51">
        <f t="shared" si="36"/>
        <v>1111</v>
      </c>
      <c r="EP50" s="361">
        <f t="shared" si="37"/>
        <v>1119</v>
      </c>
      <c r="EQ50" s="281">
        <v>130</v>
      </c>
      <c r="ER50" s="277">
        <v>122</v>
      </c>
      <c r="ES50" s="281"/>
      <c r="ET50" s="277"/>
      <c r="EU50" s="281"/>
      <c r="EV50" s="277"/>
      <c r="EW50" s="281"/>
      <c r="EX50" s="277"/>
      <c r="EY50" s="281"/>
      <c r="EZ50" s="277"/>
      <c r="FA50" s="281"/>
      <c r="FB50" s="277"/>
      <c r="FC50" s="281"/>
      <c r="FD50" s="277"/>
      <c r="FE50" s="281"/>
      <c r="FF50" s="277"/>
      <c r="FG50" s="281"/>
      <c r="FH50" s="277"/>
      <c r="FI50" s="281"/>
      <c r="FJ50" s="277"/>
      <c r="FK50" s="50">
        <f t="shared" si="38"/>
        <v>130</v>
      </c>
      <c r="FL50" s="63">
        <f t="shared" si="39"/>
        <v>122</v>
      </c>
      <c r="FM50" s="50">
        <f t="shared" si="21"/>
        <v>3586</v>
      </c>
      <c r="FN50" s="360">
        <f t="shared" si="22"/>
        <v>3739</v>
      </c>
      <c r="FO50" s="3"/>
      <c r="FP50" s="279"/>
      <c r="FQ50" s="52"/>
      <c r="FR50" s="296"/>
      <c r="FS50" s="98"/>
      <c r="FT50" s="467"/>
      <c r="FU50" s="52"/>
      <c r="FV50" s="296"/>
      <c r="FW50" s="98"/>
      <c r="FX50" s="467"/>
      <c r="FY50" s="52"/>
      <c r="FZ50" s="296"/>
      <c r="GA50" s="98"/>
      <c r="GB50" s="467"/>
      <c r="GC50" s="52"/>
      <c r="GD50" s="296"/>
      <c r="GE50" s="98"/>
      <c r="GF50" s="467"/>
      <c r="GG50" s="52"/>
      <c r="GH50" s="296"/>
      <c r="GI50" s="98"/>
      <c r="GJ50" s="467"/>
      <c r="GK50" s="52"/>
      <c r="GL50" s="296"/>
      <c r="GM50" s="464"/>
      <c r="GN50" s="467"/>
      <c r="GO50" s="52"/>
      <c r="GP50" s="296"/>
      <c r="GQ50" s="464"/>
      <c r="GR50" s="467"/>
      <c r="GS50" s="52"/>
      <c r="GT50" s="296"/>
      <c r="GU50" s="464"/>
      <c r="GV50" s="467"/>
      <c r="GW50" s="52"/>
      <c r="GX50" s="296"/>
      <c r="GY50" s="464"/>
      <c r="GZ50" s="467"/>
      <c r="HA50" s="52"/>
      <c r="HB50" s="296"/>
      <c r="HC50" s="3"/>
    </row>
    <row r="51" spans="1:211" s="86" customFormat="1">
      <c r="A51" s="283" t="s">
        <v>345</v>
      </c>
      <c r="B51" s="284" t="s">
        <v>428</v>
      </c>
      <c r="C51" s="283">
        <v>106458</v>
      </c>
      <c r="D51" s="341">
        <v>3</v>
      </c>
      <c r="E51" s="460">
        <v>58</v>
      </c>
      <c r="F51" s="277"/>
      <c r="G51" s="158"/>
      <c r="H51" s="535"/>
      <c r="I51" s="158">
        <v>197</v>
      </c>
      <c r="J51" s="338">
        <v>284</v>
      </c>
      <c r="K51" s="160">
        <f t="shared" si="23"/>
        <v>0.14464023494860501</v>
      </c>
      <c r="L51" s="161">
        <f t="shared" si="1"/>
        <v>0.20084865629420084</v>
      </c>
      <c r="M51" s="54">
        <v>1362</v>
      </c>
      <c r="N51" s="55">
        <v>241</v>
      </c>
      <c r="O51" s="55"/>
      <c r="P51" s="55"/>
      <c r="Q51" s="162">
        <f t="shared" si="24"/>
        <v>241</v>
      </c>
      <c r="R51" s="338">
        <v>1414</v>
      </c>
      <c r="S51" s="277">
        <v>252</v>
      </c>
      <c r="T51" s="277"/>
      <c r="U51" s="277"/>
      <c r="V51" s="97">
        <f t="shared" si="25"/>
        <v>252</v>
      </c>
      <c r="W51" s="279"/>
      <c r="X51" s="52"/>
      <c r="Y51" s="99"/>
      <c r="Z51" s="53"/>
      <c r="AA51" s="228"/>
      <c r="AB51" s="52"/>
      <c r="AC51" s="99"/>
      <c r="AD51" s="53"/>
      <c r="AE51" s="228"/>
      <c r="AF51" s="52"/>
      <c r="AG51" s="99"/>
      <c r="AH51" s="53"/>
      <c r="AI51" s="228"/>
      <c r="AJ51" s="52"/>
      <c r="AK51" s="99"/>
      <c r="AL51" s="53"/>
      <c r="AM51" s="228"/>
      <c r="AN51" s="52"/>
      <c r="AO51" s="99"/>
      <c r="AP51" s="53"/>
      <c r="AQ51" s="50">
        <f t="shared" si="4"/>
        <v>0</v>
      </c>
      <c r="AR51" s="163">
        <f t="shared" si="5"/>
        <v>0.65355086372360849</v>
      </c>
      <c r="AS51" s="97">
        <f t="shared" si="6"/>
        <v>0</v>
      </c>
      <c r="AT51" s="278">
        <f t="shared" si="7"/>
        <v>0.65041398344066237</v>
      </c>
      <c r="AU51" s="55">
        <v>6</v>
      </c>
      <c r="AV51" s="338">
        <v>4</v>
      </c>
      <c r="AW51" s="279">
        <v>13</v>
      </c>
      <c r="AX51" s="52">
        <v>164</v>
      </c>
      <c r="AY51" s="105">
        <v>13</v>
      </c>
      <c r="AZ51" s="98">
        <v>159</v>
      </c>
      <c r="BA51" s="279">
        <v>51</v>
      </c>
      <c r="BB51" s="52">
        <v>113</v>
      </c>
      <c r="BC51" s="105">
        <v>51</v>
      </c>
      <c r="BD51" s="98">
        <v>107</v>
      </c>
      <c r="BE51" s="279">
        <v>52</v>
      </c>
      <c r="BF51" s="52">
        <v>62</v>
      </c>
      <c r="BG51" s="105">
        <v>52</v>
      </c>
      <c r="BH51" s="98">
        <v>70</v>
      </c>
      <c r="BI51" s="279">
        <v>23</v>
      </c>
      <c r="BJ51" s="52">
        <v>15</v>
      </c>
      <c r="BK51" s="105">
        <v>23</v>
      </c>
      <c r="BL51" s="98">
        <v>13</v>
      </c>
      <c r="BM51" s="279">
        <v>1</v>
      </c>
      <c r="BN51" s="52">
        <v>12</v>
      </c>
      <c r="BO51" s="105">
        <v>54</v>
      </c>
      <c r="BP51" s="98">
        <v>13</v>
      </c>
      <c r="BQ51" s="279">
        <v>54</v>
      </c>
      <c r="BR51" s="52">
        <v>11</v>
      </c>
      <c r="BS51" s="105">
        <v>45</v>
      </c>
      <c r="BT51" s="98">
        <v>11</v>
      </c>
      <c r="BU51" s="279">
        <v>45</v>
      </c>
      <c r="BV51" s="52">
        <v>10</v>
      </c>
      <c r="BW51" s="105">
        <v>9</v>
      </c>
      <c r="BX51" s="98">
        <v>10</v>
      </c>
      <c r="BY51" s="279">
        <v>44</v>
      </c>
      <c r="BZ51" s="52">
        <v>9</v>
      </c>
      <c r="CA51" s="105">
        <v>42</v>
      </c>
      <c r="CB51" s="98">
        <v>10</v>
      </c>
      <c r="CC51" s="279">
        <v>50</v>
      </c>
      <c r="CD51" s="52">
        <v>8</v>
      </c>
      <c r="CE51" s="105">
        <v>1</v>
      </c>
      <c r="CF51" s="98">
        <v>9</v>
      </c>
      <c r="CG51" s="279">
        <v>3</v>
      </c>
      <c r="CH51" s="52">
        <v>8</v>
      </c>
      <c r="CI51" s="105">
        <v>19</v>
      </c>
      <c r="CJ51" s="98">
        <v>8</v>
      </c>
      <c r="CK51" s="281"/>
      <c r="CL51" s="277"/>
      <c r="CM51" s="159">
        <v>40</v>
      </c>
      <c r="CN51" s="277">
        <v>50</v>
      </c>
      <c r="CO51" s="50">
        <f t="shared" si="26"/>
        <v>452</v>
      </c>
      <c r="CP51" s="103">
        <f t="shared" si="27"/>
        <v>10</v>
      </c>
      <c r="CQ51" s="280">
        <f t="shared" si="28"/>
        <v>460</v>
      </c>
      <c r="CR51" s="63">
        <f t="shared" si="29"/>
        <v>10</v>
      </c>
      <c r="CS51" s="279">
        <v>13</v>
      </c>
      <c r="CT51" s="52">
        <v>5</v>
      </c>
      <c r="CU51" s="105">
        <v>13</v>
      </c>
      <c r="CV51" s="98">
        <v>6</v>
      </c>
      <c r="CW51" s="279">
        <v>3</v>
      </c>
      <c r="CX51" s="52">
        <v>4</v>
      </c>
      <c r="CY51" s="105">
        <v>3</v>
      </c>
      <c r="CZ51" s="98">
        <v>4</v>
      </c>
      <c r="DA51" s="279"/>
      <c r="DB51" s="52"/>
      <c r="DC51" s="105">
        <v>5</v>
      </c>
      <c r="DD51" s="98">
        <v>2</v>
      </c>
      <c r="DE51" s="279"/>
      <c r="DF51" s="52"/>
      <c r="DG51" s="105"/>
      <c r="DH51" s="98"/>
      <c r="DI51" s="279"/>
      <c r="DJ51" s="52"/>
      <c r="DK51" s="105"/>
      <c r="DL51" s="98"/>
      <c r="DM51" s="279"/>
      <c r="DN51" s="52"/>
      <c r="DO51" s="105"/>
      <c r="DP51" s="98"/>
      <c r="DQ51" s="279"/>
      <c r="DR51" s="52"/>
      <c r="DS51" s="105"/>
      <c r="DT51" s="98"/>
      <c r="DU51" s="279"/>
      <c r="DV51" s="52"/>
      <c r="DW51" s="105"/>
      <c r="DX51" s="98"/>
      <c r="DY51" s="279"/>
      <c r="DZ51" s="52"/>
      <c r="EA51" s="105"/>
      <c r="EB51" s="98"/>
      <c r="EC51" s="279"/>
      <c r="ED51" s="52"/>
      <c r="EE51" s="105"/>
      <c r="EF51" s="98"/>
      <c r="EG51" s="159"/>
      <c r="EH51" s="277"/>
      <c r="EI51" s="50">
        <f t="shared" si="30"/>
        <v>9</v>
      </c>
      <c r="EJ51" s="103">
        <f t="shared" si="31"/>
        <v>2</v>
      </c>
      <c r="EK51" s="164">
        <f t="shared" si="32"/>
        <v>0.55555555555555558</v>
      </c>
      <c r="EL51" s="280">
        <f t="shared" si="33"/>
        <v>12</v>
      </c>
      <c r="EM51" s="63">
        <f t="shared" si="34"/>
        <v>3</v>
      </c>
      <c r="EN51" s="359">
        <f t="shared" si="35"/>
        <v>0.5</v>
      </c>
      <c r="EO51" s="51">
        <f t="shared" si="36"/>
        <v>461</v>
      </c>
      <c r="EP51" s="361">
        <f t="shared" si="37"/>
        <v>472</v>
      </c>
      <c r="EQ51" s="281"/>
      <c r="ER51" s="277"/>
      <c r="ES51" s="281"/>
      <c r="ET51" s="277"/>
      <c r="EU51" s="281"/>
      <c r="EV51" s="277"/>
      <c r="EW51" s="281"/>
      <c r="EX51" s="277"/>
      <c r="EY51" s="281"/>
      <c r="EZ51" s="277"/>
      <c r="FA51" s="281"/>
      <c r="FB51" s="277"/>
      <c r="FC51" s="281"/>
      <c r="FD51" s="277"/>
      <c r="FE51" s="281"/>
      <c r="FF51" s="277"/>
      <c r="FG51" s="281"/>
      <c r="FH51" s="277"/>
      <c r="FI51" s="281"/>
      <c r="FJ51" s="277"/>
      <c r="FK51" s="50">
        <f t="shared" si="38"/>
        <v>0</v>
      </c>
      <c r="FL51" s="63">
        <f t="shared" si="39"/>
        <v>0</v>
      </c>
      <c r="FM51" s="50">
        <f t="shared" si="21"/>
        <v>2084</v>
      </c>
      <c r="FN51" s="360">
        <f t="shared" si="22"/>
        <v>2174</v>
      </c>
      <c r="FO51" s="3"/>
      <c r="FP51" s="279"/>
      <c r="FQ51" s="52"/>
      <c r="FR51" s="296"/>
      <c r="FS51" s="98"/>
      <c r="FT51" s="467"/>
      <c r="FU51" s="52"/>
      <c r="FV51" s="296"/>
      <c r="FW51" s="98"/>
      <c r="FX51" s="467"/>
      <c r="FY51" s="52"/>
      <c r="FZ51" s="296"/>
      <c r="GA51" s="98"/>
      <c r="GB51" s="467"/>
      <c r="GC51" s="52"/>
      <c r="GD51" s="296"/>
      <c r="GE51" s="98"/>
      <c r="GF51" s="467"/>
      <c r="GG51" s="52"/>
      <c r="GH51" s="296"/>
      <c r="GI51" s="98"/>
      <c r="GJ51" s="467"/>
      <c r="GK51" s="52"/>
      <c r="GL51" s="296"/>
      <c r="GM51" s="464"/>
      <c r="GN51" s="467"/>
      <c r="GO51" s="52"/>
      <c r="GP51" s="296"/>
      <c r="GQ51" s="464"/>
      <c r="GR51" s="467"/>
      <c r="GS51" s="52"/>
      <c r="GT51" s="296"/>
      <c r="GU51" s="464"/>
      <c r="GV51" s="467"/>
      <c r="GW51" s="52"/>
      <c r="GX51" s="296"/>
      <c r="GY51" s="464"/>
      <c r="GZ51" s="467"/>
      <c r="HA51" s="52"/>
      <c r="HB51" s="296"/>
      <c r="HC51" s="3"/>
    </row>
    <row r="52" spans="1:211" s="86" customFormat="1">
      <c r="A52" s="283" t="s">
        <v>345</v>
      </c>
      <c r="B52" s="284" t="s">
        <v>429</v>
      </c>
      <c r="C52" s="283">
        <v>106245</v>
      </c>
      <c r="D52" s="341">
        <v>3</v>
      </c>
      <c r="E52" s="460"/>
      <c r="F52" s="277"/>
      <c r="G52" s="158"/>
      <c r="H52" s="535"/>
      <c r="I52" s="158">
        <v>179</v>
      </c>
      <c r="J52" s="338">
        <v>244</v>
      </c>
      <c r="K52" s="160">
        <f t="shared" si="23"/>
        <v>0.1724470134874759</v>
      </c>
      <c r="L52" s="161">
        <f t="shared" si="1"/>
        <v>0.22509225092250923</v>
      </c>
      <c r="M52" s="54">
        <v>1038</v>
      </c>
      <c r="N52" s="55">
        <v>44</v>
      </c>
      <c r="O52" s="55"/>
      <c r="P52" s="55"/>
      <c r="Q52" s="162">
        <f t="shared" si="24"/>
        <v>44</v>
      </c>
      <c r="R52" s="338">
        <v>1084</v>
      </c>
      <c r="S52" s="277">
        <v>38</v>
      </c>
      <c r="T52" s="277"/>
      <c r="U52" s="277"/>
      <c r="V52" s="97">
        <f t="shared" si="25"/>
        <v>38</v>
      </c>
      <c r="W52" s="279"/>
      <c r="X52" s="52"/>
      <c r="Y52" s="99"/>
      <c r="Z52" s="53"/>
      <c r="AA52" s="228"/>
      <c r="AB52" s="52"/>
      <c r="AC52" s="99"/>
      <c r="AD52" s="53"/>
      <c r="AE52" s="228"/>
      <c r="AF52" s="52"/>
      <c r="AG52" s="99"/>
      <c r="AH52" s="53"/>
      <c r="AI52" s="228"/>
      <c r="AJ52" s="52"/>
      <c r="AK52" s="99"/>
      <c r="AL52" s="53"/>
      <c r="AM52" s="228"/>
      <c r="AN52" s="52"/>
      <c r="AO52" s="99"/>
      <c r="AP52" s="53"/>
      <c r="AQ52" s="50">
        <f t="shared" si="4"/>
        <v>0</v>
      </c>
      <c r="AR52" s="163">
        <f t="shared" si="5"/>
        <v>0.53978159126365055</v>
      </c>
      <c r="AS52" s="97">
        <f t="shared" si="6"/>
        <v>0</v>
      </c>
      <c r="AT52" s="278">
        <f t="shared" si="7"/>
        <v>0.52015355086372361</v>
      </c>
      <c r="AU52" s="55">
        <v>61</v>
      </c>
      <c r="AV52" s="338">
        <v>97</v>
      </c>
      <c r="AW52" s="279">
        <v>13</v>
      </c>
      <c r="AX52" s="52">
        <v>145</v>
      </c>
      <c r="AY52" s="105">
        <v>13</v>
      </c>
      <c r="AZ52" s="98">
        <v>159</v>
      </c>
      <c r="BA52" s="279">
        <v>44</v>
      </c>
      <c r="BB52" s="52">
        <v>117</v>
      </c>
      <c r="BC52" s="105">
        <v>44</v>
      </c>
      <c r="BD52" s="98">
        <v>109</v>
      </c>
      <c r="BE52" s="279">
        <v>52</v>
      </c>
      <c r="BF52" s="52">
        <v>87</v>
      </c>
      <c r="BG52" s="105">
        <v>52</v>
      </c>
      <c r="BH52" s="98">
        <v>104</v>
      </c>
      <c r="BI52" s="279">
        <v>51</v>
      </c>
      <c r="BJ52" s="52">
        <v>52</v>
      </c>
      <c r="BK52" s="105">
        <v>51</v>
      </c>
      <c r="BL52" s="98">
        <v>60</v>
      </c>
      <c r="BM52" s="279">
        <v>11</v>
      </c>
      <c r="BN52" s="52">
        <v>18</v>
      </c>
      <c r="BO52" s="105">
        <v>11</v>
      </c>
      <c r="BP52" s="98">
        <v>21</v>
      </c>
      <c r="BQ52" s="279">
        <v>23</v>
      </c>
      <c r="BR52" s="52">
        <v>14</v>
      </c>
      <c r="BS52" s="105">
        <v>9</v>
      </c>
      <c r="BT52" s="98">
        <v>11</v>
      </c>
      <c r="BU52" s="279">
        <v>27</v>
      </c>
      <c r="BV52" s="52">
        <v>10</v>
      </c>
      <c r="BW52" s="105">
        <v>23</v>
      </c>
      <c r="BX52" s="98">
        <v>9</v>
      </c>
      <c r="BY52" s="279">
        <v>9</v>
      </c>
      <c r="BZ52" s="52">
        <v>9</v>
      </c>
      <c r="CA52" s="105">
        <v>40</v>
      </c>
      <c r="CB52" s="98">
        <v>8</v>
      </c>
      <c r="CC52" s="279">
        <v>24</v>
      </c>
      <c r="CD52" s="52">
        <v>8</v>
      </c>
      <c r="CE52" s="105">
        <v>27</v>
      </c>
      <c r="CF52" s="98">
        <v>7</v>
      </c>
      <c r="CG52" s="279">
        <v>40</v>
      </c>
      <c r="CH52" s="52">
        <v>8</v>
      </c>
      <c r="CI52" s="105">
        <v>26</v>
      </c>
      <c r="CJ52" s="98">
        <v>6</v>
      </c>
      <c r="CK52" s="281"/>
      <c r="CL52" s="277"/>
      <c r="CM52" s="159">
        <v>31</v>
      </c>
      <c r="CN52" s="277">
        <v>22</v>
      </c>
      <c r="CO52" s="50">
        <f t="shared" si="26"/>
        <v>499</v>
      </c>
      <c r="CP52" s="103">
        <f t="shared" si="27"/>
        <v>10</v>
      </c>
      <c r="CQ52" s="280">
        <f t="shared" si="28"/>
        <v>516</v>
      </c>
      <c r="CR52" s="63">
        <f t="shared" si="29"/>
        <v>10</v>
      </c>
      <c r="CS52" s="279">
        <v>40</v>
      </c>
      <c r="CT52" s="52">
        <v>13</v>
      </c>
      <c r="CU52" s="105">
        <v>13</v>
      </c>
      <c r="CV52" s="98">
        <v>12</v>
      </c>
      <c r="CW52" s="279">
        <v>13</v>
      </c>
      <c r="CX52" s="52">
        <v>10</v>
      </c>
      <c r="CY52" s="105">
        <v>40</v>
      </c>
      <c r="CZ52" s="98">
        <v>8</v>
      </c>
      <c r="DA52" s="279"/>
      <c r="DB52" s="52"/>
      <c r="DC52" s="105">
        <v>26</v>
      </c>
      <c r="DD52" s="98">
        <v>2</v>
      </c>
      <c r="DE52" s="279"/>
      <c r="DF52" s="52"/>
      <c r="DG52" s="105"/>
      <c r="DH52" s="98"/>
      <c r="DI52" s="279"/>
      <c r="DJ52" s="52"/>
      <c r="DK52" s="105"/>
      <c r="DL52" s="98"/>
      <c r="DM52" s="279"/>
      <c r="DN52" s="52"/>
      <c r="DO52" s="105"/>
      <c r="DP52" s="98"/>
      <c r="DQ52" s="279"/>
      <c r="DR52" s="52"/>
      <c r="DS52" s="105"/>
      <c r="DT52" s="98"/>
      <c r="DU52" s="279"/>
      <c r="DV52" s="52"/>
      <c r="DW52" s="105"/>
      <c r="DX52" s="98"/>
      <c r="DY52" s="279"/>
      <c r="DZ52" s="52"/>
      <c r="EA52" s="105"/>
      <c r="EB52" s="98"/>
      <c r="EC52" s="279"/>
      <c r="ED52" s="52"/>
      <c r="EE52" s="105"/>
      <c r="EF52" s="98"/>
      <c r="EG52" s="159"/>
      <c r="EH52" s="277"/>
      <c r="EI52" s="50">
        <f t="shared" si="30"/>
        <v>23</v>
      </c>
      <c r="EJ52" s="103">
        <f t="shared" si="31"/>
        <v>2</v>
      </c>
      <c r="EK52" s="164">
        <f t="shared" si="32"/>
        <v>0.56521739130434778</v>
      </c>
      <c r="EL52" s="280">
        <f t="shared" si="33"/>
        <v>22</v>
      </c>
      <c r="EM52" s="63">
        <f t="shared" si="34"/>
        <v>3</v>
      </c>
      <c r="EN52" s="359">
        <f t="shared" si="35"/>
        <v>0.54545454545454541</v>
      </c>
      <c r="EO52" s="51">
        <f t="shared" si="36"/>
        <v>522</v>
      </c>
      <c r="EP52" s="361">
        <f t="shared" si="37"/>
        <v>538</v>
      </c>
      <c r="EQ52" s="281">
        <v>123</v>
      </c>
      <c r="ER52" s="277">
        <v>121</v>
      </c>
      <c r="ES52" s="281"/>
      <c r="ET52" s="277"/>
      <c r="EU52" s="281"/>
      <c r="EV52" s="277"/>
      <c r="EW52" s="281"/>
      <c r="EX52" s="277"/>
      <c r="EY52" s="281"/>
      <c r="EZ52" s="277"/>
      <c r="FA52" s="281"/>
      <c r="FB52" s="277"/>
      <c r="FC52" s="281"/>
      <c r="FD52" s="277"/>
      <c r="FE52" s="281"/>
      <c r="FF52" s="277"/>
      <c r="FG52" s="281"/>
      <c r="FH52" s="277"/>
      <c r="FI52" s="281"/>
      <c r="FJ52" s="277"/>
      <c r="FK52" s="50">
        <f t="shared" si="38"/>
        <v>123</v>
      </c>
      <c r="FL52" s="63">
        <f t="shared" si="39"/>
        <v>121</v>
      </c>
      <c r="FM52" s="50">
        <f t="shared" si="21"/>
        <v>1923</v>
      </c>
      <c r="FN52" s="360">
        <f t="shared" si="22"/>
        <v>2084</v>
      </c>
      <c r="FO52" s="3"/>
      <c r="FP52" s="279"/>
      <c r="FQ52" s="52"/>
      <c r="FR52" s="296"/>
      <c r="FS52" s="98"/>
      <c r="FT52" s="467"/>
      <c r="FU52" s="52"/>
      <c r="FV52" s="296"/>
      <c r="FW52" s="98"/>
      <c r="FX52" s="467"/>
      <c r="FY52" s="52"/>
      <c r="FZ52" s="296"/>
      <c r="GA52" s="98"/>
      <c r="GB52" s="467"/>
      <c r="GC52" s="52"/>
      <c r="GD52" s="296"/>
      <c r="GE52" s="98"/>
      <c r="GF52" s="467"/>
      <c r="GG52" s="52"/>
      <c r="GH52" s="296"/>
      <c r="GI52" s="98"/>
      <c r="GJ52" s="467"/>
      <c r="GK52" s="52"/>
      <c r="GL52" s="296"/>
      <c r="GM52" s="464"/>
      <c r="GN52" s="467"/>
      <c r="GO52" s="52"/>
      <c r="GP52" s="296"/>
      <c r="GQ52" s="464"/>
      <c r="GR52" s="467"/>
      <c r="GS52" s="52"/>
      <c r="GT52" s="296"/>
      <c r="GU52" s="464"/>
      <c r="GV52" s="467"/>
      <c r="GW52" s="52"/>
      <c r="GX52" s="296"/>
      <c r="GY52" s="464"/>
      <c r="GZ52" s="467"/>
      <c r="HA52" s="52"/>
      <c r="HB52" s="296"/>
      <c r="HC52" s="3"/>
    </row>
    <row r="53" spans="1:211" s="86" customFormat="1">
      <c r="A53" s="283" t="s">
        <v>345</v>
      </c>
      <c r="B53" s="284" t="s">
        <v>430</v>
      </c>
      <c r="C53" s="283">
        <v>106704</v>
      </c>
      <c r="D53" s="341">
        <v>3</v>
      </c>
      <c r="E53" s="460"/>
      <c r="F53" s="277"/>
      <c r="G53" s="158"/>
      <c r="H53" s="535"/>
      <c r="I53" s="158">
        <v>24</v>
      </c>
      <c r="J53" s="338">
        <v>35</v>
      </c>
      <c r="K53" s="160">
        <f t="shared" si="23"/>
        <v>1.6216216216216217E-2</v>
      </c>
      <c r="L53" s="161">
        <f t="shared" si="1"/>
        <v>2.2845953002610966E-2</v>
      </c>
      <c r="M53" s="54">
        <v>1480</v>
      </c>
      <c r="N53" s="55">
        <v>180</v>
      </c>
      <c r="O53" s="55"/>
      <c r="P53" s="55"/>
      <c r="Q53" s="162">
        <f t="shared" si="24"/>
        <v>180</v>
      </c>
      <c r="R53" s="338">
        <v>1532</v>
      </c>
      <c r="S53" s="277">
        <v>177</v>
      </c>
      <c r="T53" s="277"/>
      <c r="U53" s="277"/>
      <c r="V53" s="97">
        <f t="shared" si="25"/>
        <v>177</v>
      </c>
      <c r="W53" s="279"/>
      <c r="X53" s="52"/>
      <c r="Y53" s="99"/>
      <c r="Z53" s="53"/>
      <c r="AA53" s="228"/>
      <c r="AB53" s="52"/>
      <c r="AC53" s="99"/>
      <c r="AD53" s="53"/>
      <c r="AE53" s="228"/>
      <c r="AF53" s="52"/>
      <c r="AG53" s="99"/>
      <c r="AH53" s="53"/>
      <c r="AI53" s="228"/>
      <c r="AJ53" s="52"/>
      <c r="AK53" s="99"/>
      <c r="AL53" s="53"/>
      <c r="AM53" s="228"/>
      <c r="AN53" s="52"/>
      <c r="AO53" s="99"/>
      <c r="AP53" s="53"/>
      <c r="AQ53" s="50">
        <f t="shared" si="4"/>
        <v>0</v>
      </c>
      <c r="AR53" s="163">
        <f t="shared" si="5"/>
        <v>0.74747474747474751</v>
      </c>
      <c r="AS53" s="97">
        <f t="shared" si="6"/>
        <v>0</v>
      </c>
      <c r="AT53" s="278">
        <f t="shared" si="7"/>
        <v>0.69986295111923258</v>
      </c>
      <c r="AU53" s="55"/>
      <c r="AV53" s="338"/>
      <c r="AW53" s="279">
        <v>13</v>
      </c>
      <c r="AX53" s="52">
        <v>133</v>
      </c>
      <c r="AY53" s="105">
        <v>13</v>
      </c>
      <c r="AZ53" s="98">
        <v>203</v>
      </c>
      <c r="BA53" s="279">
        <v>51</v>
      </c>
      <c r="BB53" s="52">
        <v>108</v>
      </c>
      <c r="BC53" s="105">
        <v>51</v>
      </c>
      <c r="BD53" s="98">
        <v>132</v>
      </c>
      <c r="BE53" s="279">
        <v>52</v>
      </c>
      <c r="BF53" s="52">
        <v>50</v>
      </c>
      <c r="BG53" s="105">
        <v>52</v>
      </c>
      <c r="BH53" s="98">
        <v>49</v>
      </c>
      <c r="BI53" s="279">
        <v>25</v>
      </c>
      <c r="BJ53" s="52">
        <v>32</v>
      </c>
      <c r="BK53" s="105">
        <v>25</v>
      </c>
      <c r="BL53" s="98">
        <v>41</v>
      </c>
      <c r="BM53" s="279">
        <v>19</v>
      </c>
      <c r="BN53" s="52">
        <v>30</v>
      </c>
      <c r="BO53" s="105">
        <v>19</v>
      </c>
      <c r="BP53" s="98">
        <v>38</v>
      </c>
      <c r="BQ53" s="279">
        <v>42</v>
      </c>
      <c r="BR53" s="52">
        <v>23</v>
      </c>
      <c r="BS53" s="105">
        <v>42</v>
      </c>
      <c r="BT53" s="98">
        <v>35</v>
      </c>
      <c r="BU53" s="279">
        <v>50</v>
      </c>
      <c r="BV53" s="52">
        <v>14</v>
      </c>
      <c r="BW53" s="105">
        <v>27</v>
      </c>
      <c r="BX53" s="98">
        <v>15</v>
      </c>
      <c r="BY53" s="279">
        <v>44</v>
      </c>
      <c r="BZ53" s="52">
        <v>11</v>
      </c>
      <c r="CA53" s="105">
        <v>44</v>
      </c>
      <c r="CB53" s="98">
        <v>12</v>
      </c>
      <c r="CC53" s="279">
        <v>27</v>
      </c>
      <c r="CD53" s="52">
        <v>11</v>
      </c>
      <c r="CE53" s="105">
        <v>50</v>
      </c>
      <c r="CF53" s="98">
        <v>8</v>
      </c>
      <c r="CG53" s="279">
        <v>54</v>
      </c>
      <c r="CH53" s="52">
        <v>9</v>
      </c>
      <c r="CI53" s="105">
        <v>54</v>
      </c>
      <c r="CJ53" s="98">
        <v>8</v>
      </c>
      <c r="CK53" s="281"/>
      <c r="CL53" s="277"/>
      <c r="CM53" s="159">
        <v>20</v>
      </c>
      <c r="CN53" s="277">
        <v>25</v>
      </c>
      <c r="CO53" s="50">
        <f t="shared" si="26"/>
        <v>441</v>
      </c>
      <c r="CP53" s="103">
        <f t="shared" si="27"/>
        <v>10</v>
      </c>
      <c r="CQ53" s="280">
        <f t="shared" si="28"/>
        <v>566</v>
      </c>
      <c r="CR53" s="63">
        <f t="shared" si="29"/>
        <v>10</v>
      </c>
      <c r="CS53" s="279">
        <v>51</v>
      </c>
      <c r="CT53" s="52">
        <v>34</v>
      </c>
      <c r="CU53" s="105">
        <v>51</v>
      </c>
      <c r="CV53" s="98">
        <v>56</v>
      </c>
      <c r="CW53" s="279">
        <v>42</v>
      </c>
      <c r="CX53" s="52">
        <v>1</v>
      </c>
      <c r="CY53" s="105"/>
      <c r="CZ53" s="98"/>
      <c r="DA53" s="279"/>
      <c r="DB53" s="52"/>
      <c r="DC53" s="105"/>
      <c r="DD53" s="98"/>
      <c r="DE53" s="279"/>
      <c r="DF53" s="52"/>
      <c r="DG53" s="105"/>
      <c r="DH53" s="98"/>
      <c r="DI53" s="279"/>
      <c r="DJ53" s="52"/>
      <c r="DK53" s="105"/>
      <c r="DL53" s="98"/>
      <c r="DM53" s="279"/>
      <c r="DN53" s="52"/>
      <c r="DO53" s="105"/>
      <c r="DP53" s="98"/>
      <c r="DQ53" s="279"/>
      <c r="DR53" s="52"/>
      <c r="DS53" s="105"/>
      <c r="DT53" s="98"/>
      <c r="DU53" s="279"/>
      <c r="DV53" s="52"/>
      <c r="DW53" s="105"/>
      <c r="DX53" s="98"/>
      <c r="DY53" s="279"/>
      <c r="DZ53" s="52"/>
      <c r="EA53" s="105"/>
      <c r="EB53" s="98"/>
      <c r="EC53" s="279"/>
      <c r="ED53" s="52"/>
      <c r="EE53" s="105"/>
      <c r="EF53" s="98"/>
      <c r="EG53" s="159"/>
      <c r="EH53" s="277"/>
      <c r="EI53" s="50">
        <f t="shared" si="30"/>
        <v>35</v>
      </c>
      <c r="EJ53" s="103">
        <f t="shared" si="31"/>
        <v>2</v>
      </c>
      <c r="EK53" s="164">
        <f t="shared" si="32"/>
        <v>0.97142857142857142</v>
      </c>
      <c r="EL53" s="280">
        <f t="shared" si="33"/>
        <v>56</v>
      </c>
      <c r="EM53" s="63">
        <f t="shared" si="34"/>
        <v>1</v>
      </c>
      <c r="EN53" s="359">
        <f t="shared" si="35"/>
        <v>1</v>
      </c>
      <c r="EO53" s="51">
        <f t="shared" si="36"/>
        <v>476</v>
      </c>
      <c r="EP53" s="361">
        <f t="shared" si="37"/>
        <v>622</v>
      </c>
      <c r="EQ53" s="281"/>
      <c r="ER53" s="277"/>
      <c r="ES53" s="281"/>
      <c r="ET53" s="277"/>
      <c r="EU53" s="281"/>
      <c r="EV53" s="277"/>
      <c r="EW53" s="281"/>
      <c r="EX53" s="277"/>
      <c r="EY53" s="281"/>
      <c r="EZ53" s="277"/>
      <c r="FA53" s="281"/>
      <c r="FB53" s="277"/>
      <c r="FC53" s="281"/>
      <c r="FD53" s="277"/>
      <c r="FE53" s="281"/>
      <c r="FF53" s="277"/>
      <c r="FG53" s="281"/>
      <c r="FH53" s="277"/>
      <c r="FI53" s="281"/>
      <c r="FJ53" s="277"/>
      <c r="FK53" s="50">
        <f t="shared" si="38"/>
        <v>0</v>
      </c>
      <c r="FL53" s="63">
        <f t="shared" si="39"/>
        <v>0</v>
      </c>
      <c r="FM53" s="50">
        <f t="shared" si="21"/>
        <v>1980</v>
      </c>
      <c r="FN53" s="360">
        <f t="shared" si="22"/>
        <v>2189</v>
      </c>
      <c r="FO53" s="3"/>
      <c r="FP53" s="279"/>
      <c r="FQ53" s="52"/>
      <c r="FR53" s="296"/>
      <c r="FS53" s="98"/>
      <c r="FT53" s="467"/>
      <c r="FU53" s="52"/>
      <c r="FV53" s="296"/>
      <c r="FW53" s="98"/>
      <c r="FX53" s="467"/>
      <c r="FY53" s="52"/>
      <c r="FZ53" s="296"/>
      <c r="GA53" s="98"/>
      <c r="GB53" s="467"/>
      <c r="GC53" s="52"/>
      <c r="GD53" s="296"/>
      <c r="GE53" s="98"/>
      <c r="GF53" s="467"/>
      <c r="GG53" s="52"/>
      <c r="GH53" s="296"/>
      <c r="GI53" s="98"/>
      <c r="GJ53" s="467"/>
      <c r="GK53" s="52"/>
      <c r="GL53" s="296"/>
      <c r="GM53" s="464"/>
      <c r="GN53" s="467"/>
      <c r="GO53" s="52"/>
      <c r="GP53" s="296"/>
      <c r="GQ53" s="464"/>
      <c r="GR53" s="467"/>
      <c r="GS53" s="52"/>
      <c r="GT53" s="296"/>
      <c r="GU53" s="464"/>
      <c r="GV53" s="467"/>
      <c r="GW53" s="52"/>
      <c r="GX53" s="296"/>
      <c r="GY53" s="464"/>
      <c r="GZ53" s="467"/>
      <c r="HA53" s="52"/>
      <c r="HB53" s="296"/>
      <c r="HC53" s="3"/>
    </row>
    <row r="54" spans="1:211" s="86" customFormat="1">
      <c r="A54" s="283" t="s">
        <v>345</v>
      </c>
      <c r="B54" s="284" t="s">
        <v>431</v>
      </c>
      <c r="C54" s="283">
        <v>106467</v>
      </c>
      <c r="D54" s="341">
        <v>4</v>
      </c>
      <c r="E54" s="460">
        <v>186</v>
      </c>
      <c r="F54" s="277">
        <v>247</v>
      </c>
      <c r="G54" s="158"/>
      <c r="H54" s="535"/>
      <c r="I54" s="158">
        <v>100</v>
      </c>
      <c r="J54" s="338">
        <v>165</v>
      </c>
      <c r="K54" s="160">
        <f t="shared" si="23"/>
        <v>0.11990407673860912</v>
      </c>
      <c r="L54" s="161">
        <f t="shared" si="1"/>
        <v>0.16957862281603289</v>
      </c>
      <c r="M54" s="54">
        <v>834</v>
      </c>
      <c r="N54" s="55">
        <v>179</v>
      </c>
      <c r="O54" s="55"/>
      <c r="P54" s="55"/>
      <c r="Q54" s="162">
        <f t="shared" si="24"/>
        <v>179</v>
      </c>
      <c r="R54" s="338">
        <v>973</v>
      </c>
      <c r="S54" s="277">
        <v>190</v>
      </c>
      <c r="T54" s="277"/>
      <c r="U54" s="277"/>
      <c r="V54" s="97">
        <f t="shared" si="25"/>
        <v>190</v>
      </c>
      <c r="W54" s="279"/>
      <c r="X54" s="52"/>
      <c r="Y54" s="99"/>
      <c r="Z54" s="53"/>
      <c r="AA54" s="228"/>
      <c r="AB54" s="52"/>
      <c r="AC54" s="99"/>
      <c r="AD54" s="53"/>
      <c r="AE54" s="228"/>
      <c r="AF54" s="52"/>
      <c r="AG54" s="99"/>
      <c r="AH54" s="53"/>
      <c r="AI54" s="228"/>
      <c r="AJ54" s="52"/>
      <c r="AK54" s="99"/>
      <c r="AL54" s="53"/>
      <c r="AM54" s="228"/>
      <c r="AN54" s="52"/>
      <c r="AO54" s="99"/>
      <c r="AP54" s="53"/>
      <c r="AQ54" s="50">
        <f t="shared" si="4"/>
        <v>0</v>
      </c>
      <c r="AR54" s="163">
        <f t="shared" si="5"/>
        <v>0.61459100957995583</v>
      </c>
      <c r="AS54" s="97">
        <f t="shared" si="6"/>
        <v>0</v>
      </c>
      <c r="AT54" s="278">
        <f t="shared" si="7"/>
        <v>0.60926737633061989</v>
      </c>
      <c r="AU54" s="55"/>
      <c r="AV54" s="338"/>
      <c r="AW54" s="279">
        <v>13</v>
      </c>
      <c r="AX54" s="52">
        <v>157</v>
      </c>
      <c r="AY54" s="105">
        <v>13</v>
      </c>
      <c r="AZ54" s="98">
        <v>122</v>
      </c>
      <c r="BA54" s="279">
        <v>11</v>
      </c>
      <c r="BB54" s="52">
        <v>32</v>
      </c>
      <c r="BC54" s="105">
        <v>23</v>
      </c>
      <c r="BD54" s="98">
        <v>34</v>
      </c>
      <c r="BE54" s="279">
        <v>23</v>
      </c>
      <c r="BF54" s="52">
        <v>29</v>
      </c>
      <c r="BG54" s="105">
        <v>11</v>
      </c>
      <c r="BH54" s="98">
        <v>29</v>
      </c>
      <c r="BI54" s="279">
        <v>43</v>
      </c>
      <c r="BJ54" s="52">
        <v>4</v>
      </c>
      <c r="BK54" s="105">
        <v>43</v>
      </c>
      <c r="BL54" s="98">
        <v>9</v>
      </c>
      <c r="BM54" s="279">
        <v>54</v>
      </c>
      <c r="BN54" s="52">
        <v>4</v>
      </c>
      <c r="BO54" s="105">
        <v>54</v>
      </c>
      <c r="BP54" s="98">
        <v>8</v>
      </c>
      <c r="BQ54" s="279">
        <v>24</v>
      </c>
      <c r="BR54" s="52">
        <v>3</v>
      </c>
      <c r="BS54" s="105">
        <v>42</v>
      </c>
      <c r="BT54" s="98">
        <v>5</v>
      </c>
      <c r="BU54" s="279">
        <v>3</v>
      </c>
      <c r="BV54" s="52">
        <v>3</v>
      </c>
      <c r="BW54" s="105">
        <v>9</v>
      </c>
      <c r="BX54" s="98">
        <v>2</v>
      </c>
      <c r="BY54" s="279">
        <v>9</v>
      </c>
      <c r="BZ54" s="52">
        <v>3</v>
      </c>
      <c r="CA54" s="105">
        <v>24</v>
      </c>
      <c r="CB54" s="98">
        <v>2</v>
      </c>
      <c r="CC54" s="279">
        <v>16</v>
      </c>
      <c r="CD54" s="52">
        <v>2</v>
      </c>
      <c r="CE54" s="105">
        <v>3</v>
      </c>
      <c r="CF54" s="98">
        <v>1</v>
      </c>
      <c r="CG54" s="279"/>
      <c r="CH54" s="52"/>
      <c r="CI54" s="105"/>
      <c r="CJ54" s="98"/>
      <c r="CK54" s="281"/>
      <c r="CL54" s="277"/>
      <c r="CM54" s="159"/>
      <c r="CN54" s="277"/>
      <c r="CO54" s="50">
        <f t="shared" si="26"/>
        <v>237</v>
      </c>
      <c r="CP54" s="103">
        <f t="shared" si="27"/>
        <v>9</v>
      </c>
      <c r="CQ54" s="280">
        <f t="shared" si="28"/>
        <v>212</v>
      </c>
      <c r="CR54" s="63">
        <f t="shared" si="29"/>
        <v>9</v>
      </c>
      <c r="CS54" s="279"/>
      <c r="CT54" s="52"/>
      <c r="CU54" s="105"/>
      <c r="CV54" s="98"/>
      <c r="CW54" s="279"/>
      <c r="CX54" s="52"/>
      <c r="CY54" s="105"/>
      <c r="CZ54" s="98"/>
      <c r="DA54" s="279"/>
      <c r="DB54" s="52"/>
      <c r="DC54" s="105"/>
      <c r="DD54" s="98"/>
      <c r="DE54" s="279"/>
      <c r="DF54" s="52"/>
      <c r="DG54" s="105"/>
      <c r="DH54" s="98"/>
      <c r="DI54" s="279"/>
      <c r="DJ54" s="52"/>
      <c r="DK54" s="105"/>
      <c r="DL54" s="98"/>
      <c r="DM54" s="279"/>
      <c r="DN54" s="52"/>
      <c r="DO54" s="105"/>
      <c r="DP54" s="98"/>
      <c r="DQ54" s="279"/>
      <c r="DR54" s="52"/>
      <c r="DS54" s="105"/>
      <c r="DT54" s="98"/>
      <c r="DU54" s="279"/>
      <c r="DV54" s="52"/>
      <c r="DW54" s="105"/>
      <c r="DX54" s="98"/>
      <c r="DY54" s="279"/>
      <c r="DZ54" s="52"/>
      <c r="EA54" s="105"/>
      <c r="EB54" s="98"/>
      <c r="EC54" s="279"/>
      <c r="ED54" s="52"/>
      <c r="EE54" s="105"/>
      <c r="EF54" s="98"/>
      <c r="EG54" s="159"/>
      <c r="EH54" s="277"/>
      <c r="EI54" s="50">
        <f t="shared" si="30"/>
        <v>0</v>
      </c>
      <c r="EJ54" s="103">
        <f t="shared" si="31"/>
        <v>0</v>
      </c>
      <c r="EK54" s="164">
        <f t="shared" si="32"/>
        <v>0</v>
      </c>
      <c r="EL54" s="280">
        <f t="shared" si="33"/>
        <v>0</v>
      </c>
      <c r="EM54" s="63">
        <f t="shared" si="34"/>
        <v>0</v>
      </c>
      <c r="EN54" s="359">
        <f t="shared" si="35"/>
        <v>0</v>
      </c>
      <c r="EO54" s="51">
        <f t="shared" si="36"/>
        <v>237</v>
      </c>
      <c r="EP54" s="361">
        <f t="shared" si="37"/>
        <v>212</v>
      </c>
      <c r="EQ54" s="281"/>
      <c r="ER54" s="277"/>
      <c r="ES54" s="281"/>
      <c r="ET54" s="277"/>
      <c r="EU54" s="281"/>
      <c r="EV54" s="277"/>
      <c r="EW54" s="281"/>
      <c r="EX54" s="277"/>
      <c r="EY54" s="281"/>
      <c r="EZ54" s="277"/>
      <c r="FA54" s="281"/>
      <c r="FB54" s="277"/>
      <c r="FC54" s="281"/>
      <c r="FD54" s="277"/>
      <c r="FE54" s="281"/>
      <c r="FF54" s="277"/>
      <c r="FG54" s="281"/>
      <c r="FH54" s="277"/>
      <c r="FI54" s="281"/>
      <c r="FJ54" s="277"/>
      <c r="FK54" s="50">
        <f t="shared" si="38"/>
        <v>0</v>
      </c>
      <c r="FL54" s="63">
        <f t="shared" si="39"/>
        <v>0</v>
      </c>
      <c r="FM54" s="50">
        <f t="shared" si="21"/>
        <v>1357</v>
      </c>
      <c r="FN54" s="360">
        <f t="shared" si="22"/>
        <v>1597</v>
      </c>
      <c r="FO54" s="3"/>
      <c r="FP54" s="279"/>
      <c r="FQ54" s="52"/>
      <c r="FR54" s="296"/>
      <c r="FS54" s="98"/>
      <c r="FT54" s="467"/>
      <c r="FU54" s="52"/>
      <c r="FV54" s="296"/>
      <c r="FW54" s="98"/>
      <c r="FX54" s="467"/>
      <c r="FY54" s="52"/>
      <c r="FZ54" s="296"/>
      <c r="GA54" s="98"/>
      <c r="GB54" s="467"/>
      <c r="GC54" s="52"/>
      <c r="GD54" s="296"/>
      <c r="GE54" s="98"/>
      <c r="GF54" s="467"/>
      <c r="GG54" s="52"/>
      <c r="GH54" s="296"/>
      <c r="GI54" s="98"/>
      <c r="GJ54" s="467"/>
      <c r="GK54" s="52"/>
      <c r="GL54" s="296"/>
      <c r="GM54" s="464"/>
      <c r="GN54" s="467"/>
      <c r="GO54" s="52"/>
      <c r="GP54" s="296"/>
      <c r="GQ54" s="464"/>
      <c r="GR54" s="467"/>
      <c r="GS54" s="52"/>
      <c r="GT54" s="296"/>
      <c r="GU54" s="464"/>
      <c r="GV54" s="467"/>
      <c r="GW54" s="52"/>
      <c r="GX54" s="296"/>
      <c r="GY54" s="464"/>
      <c r="GZ54" s="467"/>
      <c r="HA54" s="52"/>
      <c r="HB54" s="296"/>
      <c r="HC54" s="3"/>
    </row>
    <row r="55" spans="1:211" s="86" customFormat="1">
      <c r="A55" s="283" t="s">
        <v>345</v>
      </c>
      <c r="B55" s="284" t="s">
        <v>432</v>
      </c>
      <c r="C55" s="283">
        <v>107071</v>
      </c>
      <c r="D55" s="341">
        <v>4</v>
      </c>
      <c r="E55" s="460"/>
      <c r="F55" s="277"/>
      <c r="G55" s="158"/>
      <c r="H55" s="535"/>
      <c r="I55" s="158"/>
      <c r="J55" s="338"/>
      <c r="K55" s="160">
        <f t="shared" si="23"/>
        <v>0</v>
      </c>
      <c r="L55" s="161">
        <f t="shared" si="1"/>
        <v>0</v>
      </c>
      <c r="M55" s="54">
        <v>447</v>
      </c>
      <c r="N55" s="55">
        <v>99</v>
      </c>
      <c r="O55" s="55"/>
      <c r="P55" s="55"/>
      <c r="Q55" s="162">
        <f t="shared" si="24"/>
        <v>99</v>
      </c>
      <c r="R55" s="338">
        <v>463</v>
      </c>
      <c r="S55" s="277">
        <v>108</v>
      </c>
      <c r="T55" s="277"/>
      <c r="U55" s="277"/>
      <c r="V55" s="97">
        <f t="shared" si="25"/>
        <v>108</v>
      </c>
      <c r="W55" s="279"/>
      <c r="X55" s="52"/>
      <c r="Y55" s="99"/>
      <c r="Z55" s="53"/>
      <c r="AA55" s="228"/>
      <c r="AB55" s="52"/>
      <c r="AC55" s="99"/>
      <c r="AD55" s="53"/>
      <c r="AE55" s="228"/>
      <c r="AF55" s="52"/>
      <c r="AG55" s="99"/>
      <c r="AH55" s="53"/>
      <c r="AI55" s="228"/>
      <c r="AJ55" s="52"/>
      <c r="AK55" s="99"/>
      <c r="AL55" s="53"/>
      <c r="AM55" s="228"/>
      <c r="AN55" s="52"/>
      <c r="AO55" s="99"/>
      <c r="AP55" s="53"/>
      <c r="AQ55" s="50">
        <f t="shared" si="4"/>
        <v>0</v>
      </c>
      <c r="AR55" s="163">
        <f t="shared" si="5"/>
        <v>0.77604166666666663</v>
      </c>
      <c r="AS55" s="97">
        <f t="shared" si="6"/>
        <v>0</v>
      </c>
      <c r="AT55" s="278">
        <f t="shared" si="7"/>
        <v>0.72913385826771648</v>
      </c>
      <c r="AU55" s="55"/>
      <c r="AV55" s="338"/>
      <c r="AW55" s="279">
        <v>13</v>
      </c>
      <c r="AX55" s="52">
        <v>69</v>
      </c>
      <c r="AY55" s="105">
        <v>13</v>
      </c>
      <c r="AZ55" s="98">
        <v>71</v>
      </c>
      <c r="BA55" s="279">
        <v>52</v>
      </c>
      <c r="BB55" s="52">
        <v>31</v>
      </c>
      <c r="BC55" s="105">
        <v>52</v>
      </c>
      <c r="BD55" s="98">
        <v>45</v>
      </c>
      <c r="BE55" s="279">
        <v>31</v>
      </c>
      <c r="BF55" s="52">
        <v>14</v>
      </c>
      <c r="BG55" s="105">
        <v>31</v>
      </c>
      <c r="BH55" s="98">
        <v>26</v>
      </c>
      <c r="BI55" s="279">
        <v>44</v>
      </c>
      <c r="BJ55" s="52">
        <v>11</v>
      </c>
      <c r="BK55" s="105">
        <v>44</v>
      </c>
      <c r="BL55" s="98">
        <v>22</v>
      </c>
      <c r="BM55" s="279">
        <v>24</v>
      </c>
      <c r="BN55" s="52">
        <v>4</v>
      </c>
      <c r="BO55" s="105">
        <v>24</v>
      </c>
      <c r="BP55" s="98">
        <v>8</v>
      </c>
      <c r="BQ55" s="279"/>
      <c r="BR55" s="52"/>
      <c r="BS55" s="105"/>
      <c r="BT55" s="98"/>
      <c r="BU55" s="279"/>
      <c r="BV55" s="52"/>
      <c r="BW55" s="105"/>
      <c r="BX55" s="98"/>
      <c r="BY55" s="279"/>
      <c r="BZ55" s="52"/>
      <c r="CA55" s="105"/>
      <c r="CB55" s="98"/>
      <c r="CC55" s="279"/>
      <c r="CD55" s="52"/>
      <c r="CE55" s="105"/>
      <c r="CF55" s="98"/>
      <c r="CG55" s="279"/>
      <c r="CH55" s="52"/>
      <c r="CI55" s="105"/>
      <c r="CJ55" s="98"/>
      <c r="CK55" s="281"/>
      <c r="CL55" s="277"/>
      <c r="CM55" s="159"/>
      <c r="CN55" s="277"/>
      <c r="CO55" s="50">
        <f t="shared" si="26"/>
        <v>129</v>
      </c>
      <c r="CP55" s="103">
        <f t="shared" si="27"/>
        <v>5</v>
      </c>
      <c r="CQ55" s="280">
        <f t="shared" si="28"/>
        <v>172</v>
      </c>
      <c r="CR55" s="63">
        <f t="shared" si="29"/>
        <v>5</v>
      </c>
      <c r="CS55" s="279"/>
      <c r="CT55" s="52"/>
      <c r="CU55" s="105"/>
      <c r="CV55" s="98"/>
      <c r="CW55" s="279"/>
      <c r="CX55" s="52"/>
      <c r="CY55" s="105"/>
      <c r="CZ55" s="98"/>
      <c r="DA55" s="279"/>
      <c r="DB55" s="52"/>
      <c r="DC55" s="105"/>
      <c r="DD55" s="98"/>
      <c r="DE55" s="279"/>
      <c r="DF55" s="52"/>
      <c r="DG55" s="105"/>
      <c r="DH55" s="98"/>
      <c r="DI55" s="279"/>
      <c r="DJ55" s="52"/>
      <c r="DK55" s="105"/>
      <c r="DL55" s="98"/>
      <c r="DM55" s="279"/>
      <c r="DN55" s="52"/>
      <c r="DO55" s="105"/>
      <c r="DP55" s="98"/>
      <c r="DQ55" s="279"/>
      <c r="DR55" s="52"/>
      <c r="DS55" s="105"/>
      <c r="DT55" s="98"/>
      <c r="DU55" s="279"/>
      <c r="DV55" s="52"/>
      <c r="DW55" s="105"/>
      <c r="DX55" s="98"/>
      <c r="DY55" s="279"/>
      <c r="DZ55" s="52"/>
      <c r="EA55" s="105"/>
      <c r="EB55" s="98"/>
      <c r="EC55" s="279"/>
      <c r="ED55" s="52"/>
      <c r="EE55" s="105"/>
      <c r="EF55" s="98"/>
      <c r="EG55" s="159"/>
      <c r="EH55" s="277"/>
      <c r="EI55" s="50">
        <f t="shared" si="30"/>
        <v>0</v>
      </c>
      <c r="EJ55" s="103">
        <f t="shared" si="31"/>
        <v>0</v>
      </c>
      <c r="EK55" s="164">
        <f t="shared" si="32"/>
        <v>0</v>
      </c>
      <c r="EL55" s="280">
        <f t="shared" si="33"/>
        <v>0</v>
      </c>
      <c r="EM55" s="63">
        <f t="shared" si="34"/>
        <v>0</v>
      </c>
      <c r="EN55" s="359">
        <f t="shared" si="35"/>
        <v>0</v>
      </c>
      <c r="EO55" s="51">
        <f t="shared" si="36"/>
        <v>129</v>
      </c>
      <c r="EP55" s="361">
        <f t="shared" si="37"/>
        <v>172</v>
      </c>
      <c r="EQ55" s="281"/>
      <c r="ER55" s="277"/>
      <c r="ES55" s="281"/>
      <c r="ET55" s="277"/>
      <c r="EU55" s="281"/>
      <c r="EV55" s="277"/>
      <c r="EW55" s="281"/>
      <c r="EX55" s="277"/>
      <c r="EY55" s="281"/>
      <c r="EZ55" s="277"/>
      <c r="FA55" s="281"/>
      <c r="FB55" s="277"/>
      <c r="FC55" s="281"/>
      <c r="FD55" s="277"/>
      <c r="FE55" s="281"/>
      <c r="FF55" s="277"/>
      <c r="FG55" s="281"/>
      <c r="FH55" s="277"/>
      <c r="FI55" s="281"/>
      <c r="FJ55" s="277"/>
      <c r="FK55" s="50">
        <f t="shared" si="38"/>
        <v>0</v>
      </c>
      <c r="FL55" s="63">
        <f t="shared" si="39"/>
        <v>0</v>
      </c>
      <c r="FM55" s="50">
        <f t="shared" si="21"/>
        <v>576</v>
      </c>
      <c r="FN55" s="360">
        <f t="shared" si="22"/>
        <v>635</v>
      </c>
      <c r="FO55" s="3"/>
      <c r="FP55" s="279"/>
      <c r="FQ55" s="52"/>
      <c r="FR55" s="296"/>
      <c r="FS55" s="98"/>
      <c r="FT55" s="467"/>
      <c r="FU55" s="52"/>
      <c r="FV55" s="296"/>
      <c r="FW55" s="98"/>
      <c r="FX55" s="467"/>
      <c r="FY55" s="52"/>
      <c r="FZ55" s="296"/>
      <c r="GA55" s="98"/>
      <c r="GB55" s="467"/>
      <c r="GC55" s="52"/>
      <c r="GD55" s="296"/>
      <c r="GE55" s="98"/>
      <c r="GF55" s="467"/>
      <c r="GG55" s="52"/>
      <c r="GH55" s="296"/>
      <c r="GI55" s="98"/>
      <c r="GJ55" s="467"/>
      <c r="GK55" s="52"/>
      <c r="GL55" s="296"/>
      <c r="GM55" s="464"/>
      <c r="GN55" s="467"/>
      <c r="GO55" s="52"/>
      <c r="GP55" s="296"/>
      <c r="GQ55" s="464"/>
      <c r="GR55" s="467"/>
      <c r="GS55" s="52"/>
      <c r="GT55" s="296"/>
      <c r="GU55" s="464"/>
      <c r="GV55" s="467"/>
      <c r="GW55" s="52"/>
      <c r="GX55" s="296"/>
      <c r="GY55" s="464"/>
      <c r="GZ55" s="467"/>
      <c r="HA55" s="52"/>
      <c r="HB55" s="296"/>
      <c r="HC55" s="3"/>
    </row>
    <row r="56" spans="1:211" s="86" customFormat="1">
      <c r="A56" s="283" t="s">
        <v>345</v>
      </c>
      <c r="B56" s="284" t="s">
        <v>433</v>
      </c>
      <c r="C56" s="283">
        <v>107983</v>
      </c>
      <c r="D56" s="341">
        <v>5</v>
      </c>
      <c r="E56" s="460"/>
      <c r="F56" s="277"/>
      <c r="G56" s="158"/>
      <c r="H56" s="535"/>
      <c r="I56" s="158">
        <v>97</v>
      </c>
      <c r="J56" s="338">
        <v>45</v>
      </c>
      <c r="K56" s="160">
        <f t="shared" si="23"/>
        <v>0.22716627634660422</v>
      </c>
      <c r="L56" s="161">
        <f t="shared" si="1"/>
        <v>0.12162162162162163</v>
      </c>
      <c r="M56" s="54">
        <v>427</v>
      </c>
      <c r="N56" s="55">
        <v>100</v>
      </c>
      <c r="O56" s="55"/>
      <c r="P56" s="55"/>
      <c r="Q56" s="162">
        <f t="shared" si="24"/>
        <v>100</v>
      </c>
      <c r="R56" s="338">
        <v>370</v>
      </c>
      <c r="S56" s="277">
        <v>80</v>
      </c>
      <c r="T56" s="277"/>
      <c r="U56" s="277"/>
      <c r="V56" s="97">
        <f t="shared" si="25"/>
        <v>80</v>
      </c>
      <c r="W56" s="279"/>
      <c r="X56" s="52"/>
      <c r="Y56" s="99"/>
      <c r="Z56" s="53"/>
      <c r="AA56" s="228"/>
      <c r="AB56" s="52"/>
      <c r="AC56" s="99"/>
      <c r="AD56" s="53"/>
      <c r="AE56" s="228"/>
      <c r="AF56" s="52"/>
      <c r="AG56" s="99"/>
      <c r="AH56" s="53"/>
      <c r="AI56" s="228"/>
      <c r="AJ56" s="52"/>
      <c r="AK56" s="99"/>
      <c r="AL56" s="53"/>
      <c r="AM56" s="228"/>
      <c r="AN56" s="52"/>
      <c r="AO56" s="99"/>
      <c r="AP56" s="53"/>
      <c r="AQ56" s="50">
        <f t="shared" si="4"/>
        <v>0</v>
      </c>
      <c r="AR56" s="163">
        <f t="shared" si="5"/>
        <v>0.71048252911813647</v>
      </c>
      <c r="AS56" s="97">
        <f t="shared" si="6"/>
        <v>0</v>
      </c>
      <c r="AT56" s="278">
        <f t="shared" si="7"/>
        <v>0.7007575757575758</v>
      </c>
      <c r="AU56" s="55"/>
      <c r="AV56" s="338"/>
      <c r="AW56" s="279">
        <v>13</v>
      </c>
      <c r="AX56" s="52">
        <v>57</v>
      </c>
      <c r="AY56" s="105">
        <v>13</v>
      </c>
      <c r="AZ56" s="98">
        <v>93</v>
      </c>
      <c r="BA56" s="279">
        <v>31</v>
      </c>
      <c r="BB56" s="52">
        <v>12</v>
      </c>
      <c r="BC56" s="105">
        <v>44</v>
      </c>
      <c r="BD56" s="98">
        <v>9</v>
      </c>
      <c r="BE56" s="279">
        <v>44</v>
      </c>
      <c r="BF56" s="52">
        <v>6</v>
      </c>
      <c r="BG56" s="105">
        <v>1</v>
      </c>
      <c r="BH56" s="98">
        <v>4</v>
      </c>
      <c r="BI56" s="279">
        <v>11</v>
      </c>
      <c r="BJ56" s="52">
        <v>2</v>
      </c>
      <c r="BK56" s="105">
        <v>31</v>
      </c>
      <c r="BL56" s="98">
        <v>4</v>
      </c>
      <c r="BM56" s="279"/>
      <c r="BN56" s="52"/>
      <c r="BO56" s="105">
        <v>11</v>
      </c>
      <c r="BP56" s="98">
        <v>3</v>
      </c>
      <c r="BQ56" s="279"/>
      <c r="BR56" s="52"/>
      <c r="BS56" s="105"/>
      <c r="BT56" s="98"/>
      <c r="BU56" s="279"/>
      <c r="BV56" s="52"/>
      <c r="BW56" s="105"/>
      <c r="BX56" s="98"/>
      <c r="BY56" s="279"/>
      <c r="BZ56" s="52"/>
      <c r="CA56" s="105"/>
      <c r="CB56" s="98"/>
      <c r="CC56" s="279"/>
      <c r="CD56" s="52"/>
      <c r="CE56" s="105"/>
      <c r="CF56" s="98"/>
      <c r="CG56" s="279"/>
      <c r="CH56" s="52"/>
      <c r="CI56" s="105"/>
      <c r="CJ56" s="98"/>
      <c r="CK56" s="281"/>
      <c r="CL56" s="277"/>
      <c r="CM56" s="159"/>
      <c r="CN56" s="277"/>
      <c r="CO56" s="50">
        <f t="shared" si="26"/>
        <v>77</v>
      </c>
      <c r="CP56" s="103">
        <f t="shared" si="27"/>
        <v>4</v>
      </c>
      <c r="CQ56" s="280">
        <f t="shared" si="28"/>
        <v>113</v>
      </c>
      <c r="CR56" s="63">
        <f t="shared" si="29"/>
        <v>5</v>
      </c>
      <c r="CS56" s="279"/>
      <c r="CT56" s="52"/>
      <c r="CU56" s="105"/>
      <c r="CV56" s="98"/>
      <c r="CW56" s="279"/>
      <c r="CX56" s="52"/>
      <c r="CY56" s="105"/>
      <c r="CZ56" s="98"/>
      <c r="DA56" s="279"/>
      <c r="DB56" s="52"/>
      <c r="DC56" s="105"/>
      <c r="DD56" s="98"/>
      <c r="DE56" s="279"/>
      <c r="DF56" s="52"/>
      <c r="DG56" s="105"/>
      <c r="DH56" s="98"/>
      <c r="DI56" s="279"/>
      <c r="DJ56" s="52"/>
      <c r="DK56" s="105"/>
      <c r="DL56" s="98"/>
      <c r="DM56" s="279"/>
      <c r="DN56" s="52"/>
      <c r="DO56" s="105"/>
      <c r="DP56" s="98"/>
      <c r="DQ56" s="279"/>
      <c r="DR56" s="52"/>
      <c r="DS56" s="105"/>
      <c r="DT56" s="98"/>
      <c r="DU56" s="279"/>
      <c r="DV56" s="52"/>
      <c r="DW56" s="105"/>
      <c r="DX56" s="98"/>
      <c r="DY56" s="279"/>
      <c r="DZ56" s="52"/>
      <c r="EA56" s="105"/>
      <c r="EB56" s="98"/>
      <c r="EC56" s="279"/>
      <c r="ED56" s="52"/>
      <c r="EE56" s="105"/>
      <c r="EF56" s="98"/>
      <c r="EG56" s="159"/>
      <c r="EH56" s="277"/>
      <c r="EI56" s="50">
        <f t="shared" si="30"/>
        <v>0</v>
      </c>
      <c r="EJ56" s="103">
        <f t="shared" si="31"/>
        <v>0</v>
      </c>
      <c r="EK56" s="164">
        <f t="shared" si="32"/>
        <v>0</v>
      </c>
      <c r="EL56" s="280">
        <f t="shared" si="33"/>
        <v>0</v>
      </c>
      <c r="EM56" s="63">
        <f t="shared" si="34"/>
        <v>0</v>
      </c>
      <c r="EN56" s="359">
        <f t="shared" si="35"/>
        <v>0</v>
      </c>
      <c r="EO56" s="51">
        <f t="shared" si="36"/>
        <v>77</v>
      </c>
      <c r="EP56" s="361">
        <f t="shared" si="37"/>
        <v>113</v>
      </c>
      <c r="EQ56" s="281"/>
      <c r="ER56" s="277"/>
      <c r="ES56" s="281"/>
      <c r="ET56" s="277"/>
      <c r="EU56" s="281"/>
      <c r="EV56" s="277"/>
      <c r="EW56" s="281"/>
      <c r="EX56" s="277"/>
      <c r="EY56" s="281"/>
      <c r="EZ56" s="277"/>
      <c r="FA56" s="281"/>
      <c r="FB56" s="277"/>
      <c r="FC56" s="281"/>
      <c r="FD56" s="277"/>
      <c r="FE56" s="281"/>
      <c r="FF56" s="277"/>
      <c r="FG56" s="281"/>
      <c r="FH56" s="277"/>
      <c r="FI56" s="281"/>
      <c r="FJ56" s="277"/>
      <c r="FK56" s="50">
        <f t="shared" si="38"/>
        <v>0</v>
      </c>
      <c r="FL56" s="63">
        <f t="shared" si="39"/>
        <v>0</v>
      </c>
      <c r="FM56" s="50">
        <f t="shared" si="21"/>
        <v>601</v>
      </c>
      <c r="FN56" s="360">
        <f t="shared" si="22"/>
        <v>528</v>
      </c>
      <c r="FO56" s="3"/>
      <c r="FP56" s="279"/>
      <c r="FQ56" s="52"/>
      <c r="FR56" s="296"/>
      <c r="FS56" s="98"/>
      <c r="FT56" s="467"/>
      <c r="FU56" s="52"/>
      <c r="FV56" s="296"/>
      <c r="FW56" s="98"/>
      <c r="FX56" s="467"/>
      <c r="FY56" s="52"/>
      <c r="FZ56" s="296"/>
      <c r="GA56" s="98"/>
      <c r="GB56" s="467"/>
      <c r="GC56" s="52"/>
      <c r="GD56" s="296"/>
      <c r="GE56" s="98"/>
      <c r="GF56" s="467"/>
      <c r="GG56" s="52"/>
      <c r="GH56" s="296"/>
      <c r="GI56" s="98"/>
      <c r="GJ56" s="467"/>
      <c r="GK56" s="52"/>
      <c r="GL56" s="296"/>
      <c r="GM56" s="464"/>
      <c r="GN56" s="467"/>
      <c r="GO56" s="52"/>
      <c r="GP56" s="296"/>
      <c r="GQ56" s="464"/>
      <c r="GR56" s="467"/>
      <c r="GS56" s="52"/>
      <c r="GT56" s="296"/>
      <c r="GU56" s="464"/>
      <c r="GV56" s="467"/>
      <c r="GW56" s="52"/>
      <c r="GX56" s="296"/>
      <c r="GY56" s="464"/>
      <c r="GZ56" s="467"/>
      <c r="HA56" s="52"/>
      <c r="HB56" s="296"/>
      <c r="HC56" s="3"/>
    </row>
    <row r="57" spans="1:211" s="86" customFormat="1">
      <c r="A57" s="283" t="s">
        <v>345</v>
      </c>
      <c r="B57" s="284" t="s">
        <v>434</v>
      </c>
      <c r="C57" s="283">
        <v>106485</v>
      </c>
      <c r="D57" s="341">
        <v>5</v>
      </c>
      <c r="E57" s="460">
        <v>199</v>
      </c>
      <c r="F57" s="277">
        <v>233</v>
      </c>
      <c r="G57" s="158"/>
      <c r="H57" s="535"/>
      <c r="I57" s="158">
        <v>259</v>
      </c>
      <c r="J57" s="338">
        <v>258</v>
      </c>
      <c r="K57" s="160">
        <f t="shared" si="23"/>
        <v>0.88095238095238093</v>
      </c>
      <c r="L57" s="161">
        <f t="shared" si="1"/>
        <v>0.97358490566037736</v>
      </c>
      <c r="M57" s="54">
        <v>294</v>
      </c>
      <c r="N57" s="55">
        <v>35</v>
      </c>
      <c r="O57" s="55"/>
      <c r="P57" s="55"/>
      <c r="Q57" s="162">
        <f t="shared" si="24"/>
        <v>35</v>
      </c>
      <c r="R57" s="277">
        <v>265</v>
      </c>
      <c r="S57" s="277">
        <v>21</v>
      </c>
      <c r="T57" s="277"/>
      <c r="U57" s="277"/>
      <c r="V57" s="97">
        <f t="shared" si="25"/>
        <v>21</v>
      </c>
      <c r="W57" s="279"/>
      <c r="X57" s="52"/>
      <c r="Y57" s="99"/>
      <c r="Z57" s="53"/>
      <c r="AA57" s="228"/>
      <c r="AB57" s="52"/>
      <c r="AC57" s="99"/>
      <c r="AD57" s="53"/>
      <c r="AE57" s="228"/>
      <c r="AF57" s="52"/>
      <c r="AG57" s="99"/>
      <c r="AH57" s="53"/>
      <c r="AI57" s="228"/>
      <c r="AJ57" s="52"/>
      <c r="AK57" s="99"/>
      <c r="AL57" s="53"/>
      <c r="AM57" s="228"/>
      <c r="AN57" s="52"/>
      <c r="AO57" s="99"/>
      <c r="AP57" s="53"/>
      <c r="AQ57" s="50">
        <f t="shared" si="4"/>
        <v>0</v>
      </c>
      <c r="AR57" s="163">
        <f t="shared" si="5"/>
        <v>0.36386138613861385</v>
      </c>
      <c r="AS57" s="97">
        <f t="shared" si="6"/>
        <v>0</v>
      </c>
      <c r="AT57" s="278">
        <f t="shared" si="7"/>
        <v>0.32160194174757284</v>
      </c>
      <c r="AU57" s="55"/>
      <c r="AV57" s="277"/>
      <c r="AW57" s="279">
        <v>13</v>
      </c>
      <c r="AX57" s="52">
        <v>50</v>
      </c>
      <c r="AY57" s="105">
        <v>13</v>
      </c>
      <c r="AZ57" s="98">
        <v>63</v>
      </c>
      <c r="BA57" s="279">
        <v>3</v>
      </c>
      <c r="BB57" s="52">
        <v>6</v>
      </c>
      <c r="BC57" s="105">
        <v>3</v>
      </c>
      <c r="BD57" s="98">
        <v>5</v>
      </c>
      <c r="BE57" s="279"/>
      <c r="BF57" s="52"/>
      <c r="BG57" s="105"/>
      <c r="BH57" s="98"/>
      <c r="BI57" s="279"/>
      <c r="BJ57" s="52"/>
      <c r="BK57" s="105"/>
      <c r="BL57" s="98"/>
      <c r="BM57" s="279"/>
      <c r="BN57" s="52"/>
      <c r="BO57" s="105"/>
      <c r="BP57" s="98"/>
      <c r="BQ57" s="279"/>
      <c r="BR57" s="52"/>
      <c r="BS57" s="105"/>
      <c r="BT57" s="98"/>
      <c r="BU57" s="279"/>
      <c r="BV57" s="52"/>
      <c r="BW57" s="105"/>
      <c r="BX57" s="98"/>
      <c r="BY57" s="279"/>
      <c r="BZ57" s="52"/>
      <c r="CA57" s="105"/>
      <c r="CB57" s="98"/>
      <c r="CC57" s="279"/>
      <c r="CD57" s="52"/>
      <c r="CE57" s="105"/>
      <c r="CF57" s="98"/>
      <c r="CG57" s="279"/>
      <c r="CH57" s="52"/>
      <c r="CI57" s="105"/>
      <c r="CJ57" s="98"/>
      <c r="CK57" s="281"/>
      <c r="CL57" s="277"/>
      <c r="CM57" s="159"/>
      <c r="CN57" s="277"/>
      <c r="CO57" s="50">
        <f t="shared" si="26"/>
        <v>56</v>
      </c>
      <c r="CP57" s="103">
        <f t="shared" si="27"/>
        <v>2</v>
      </c>
      <c r="CQ57" s="280">
        <f t="shared" si="28"/>
        <v>68</v>
      </c>
      <c r="CR57" s="63">
        <f t="shared" si="29"/>
        <v>2</v>
      </c>
      <c r="CS57" s="279"/>
      <c r="CT57" s="52"/>
      <c r="CU57" s="105"/>
      <c r="CV57" s="98"/>
      <c r="CW57" s="279"/>
      <c r="CX57" s="52"/>
      <c r="CY57" s="105"/>
      <c r="CZ57" s="98"/>
      <c r="DA57" s="279"/>
      <c r="DB57" s="52"/>
      <c r="DC57" s="105"/>
      <c r="DD57" s="98"/>
      <c r="DE57" s="279"/>
      <c r="DF57" s="52"/>
      <c r="DG57" s="105"/>
      <c r="DH57" s="98"/>
      <c r="DI57" s="279"/>
      <c r="DJ57" s="52"/>
      <c r="DK57" s="105"/>
      <c r="DL57" s="98"/>
      <c r="DM57" s="279"/>
      <c r="DN57" s="52"/>
      <c r="DO57" s="105"/>
      <c r="DP57" s="98"/>
      <c r="DQ57" s="279"/>
      <c r="DR57" s="52"/>
      <c r="DS57" s="105"/>
      <c r="DT57" s="98"/>
      <c r="DU57" s="279"/>
      <c r="DV57" s="52"/>
      <c r="DW57" s="105"/>
      <c r="DX57" s="98"/>
      <c r="DY57" s="279"/>
      <c r="DZ57" s="52"/>
      <c r="EA57" s="105"/>
      <c r="EB57" s="98"/>
      <c r="EC57" s="279"/>
      <c r="ED57" s="52"/>
      <c r="EE57" s="105"/>
      <c r="EF57" s="98"/>
      <c r="EG57" s="159"/>
      <c r="EH57" s="277"/>
      <c r="EI57" s="50">
        <f t="shared" si="30"/>
        <v>0</v>
      </c>
      <c r="EJ57" s="103">
        <f t="shared" si="31"/>
        <v>0</v>
      </c>
      <c r="EK57" s="164">
        <f t="shared" si="32"/>
        <v>0</v>
      </c>
      <c r="EL57" s="280">
        <f t="shared" si="33"/>
        <v>0</v>
      </c>
      <c r="EM57" s="63">
        <f t="shared" si="34"/>
        <v>0</v>
      </c>
      <c r="EN57" s="359">
        <f t="shared" si="35"/>
        <v>0</v>
      </c>
      <c r="EO57" s="51">
        <f t="shared" si="36"/>
        <v>56</v>
      </c>
      <c r="EP57" s="361">
        <f t="shared" si="37"/>
        <v>68</v>
      </c>
      <c r="EQ57" s="281"/>
      <c r="ER57" s="277"/>
      <c r="ES57" s="281"/>
      <c r="ET57" s="277"/>
      <c r="EU57" s="281"/>
      <c r="EV57" s="277"/>
      <c r="EW57" s="281"/>
      <c r="EX57" s="277"/>
      <c r="EY57" s="281"/>
      <c r="EZ57" s="277"/>
      <c r="FA57" s="281"/>
      <c r="FB57" s="277"/>
      <c r="FC57" s="281"/>
      <c r="FD57" s="277"/>
      <c r="FE57" s="281"/>
      <c r="FF57" s="277"/>
      <c r="FG57" s="281"/>
      <c r="FH57" s="277"/>
      <c r="FI57" s="281"/>
      <c r="FJ57" s="277"/>
      <c r="FK57" s="50">
        <f t="shared" si="38"/>
        <v>0</v>
      </c>
      <c r="FL57" s="63">
        <f t="shared" si="39"/>
        <v>0</v>
      </c>
      <c r="FM57" s="50">
        <f t="shared" si="21"/>
        <v>808</v>
      </c>
      <c r="FN57" s="360">
        <f t="shared" si="22"/>
        <v>824</v>
      </c>
      <c r="FO57" s="3"/>
      <c r="FP57" s="279"/>
      <c r="FQ57" s="52"/>
      <c r="FR57" s="296"/>
      <c r="FS57" s="98"/>
      <c r="FT57" s="467"/>
      <c r="FU57" s="52"/>
      <c r="FV57" s="296"/>
      <c r="FW57" s="98"/>
      <c r="FX57" s="467"/>
      <c r="FY57" s="52"/>
      <c r="FZ57" s="296"/>
      <c r="GA57" s="98"/>
      <c r="GB57" s="467"/>
      <c r="GC57" s="52"/>
      <c r="GD57" s="296"/>
      <c r="GE57" s="98"/>
      <c r="GF57" s="467"/>
      <c r="GG57" s="52"/>
      <c r="GH57" s="296"/>
      <c r="GI57" s="98"/>
      <c r="GJ57" s="467"/>
      <c r="GK57" s="52"/>
      <c r="GL57" s="296"/>
      <c r="GM57" s="464"/>
      <c r="GN57" s="467"/>
      <c r="GO57" s="52"/>
      <c r="GP57" s="296"/>
      <c r="GQ57" s="464"/>
      <c r="GR57" s="467"/>
      <c r="GS57" s="52"/>
      <c r="GT57" s="296"/>
      <c r="GU57" s="464"/>
      <c r="GV57" s="467"/>
      <c r="GW57" s="52"/>
      <c r="GX57" s="296"/>
      <c r="GY57" s="464"/>
      <c r="GZ57" s="467"/>
      <c r="HA57" s="52"/>
      <c r="HB57" s="296"/>
      <c r="HC57" s="3"/>
    </row>
    <row r="58" spans="1:211" s="86" customFormat="1">
      <c r="A58" s="283" t="s">
        <v>345</v>
      </c>
      <c r="B58" s="284" t="s">
        <v>424</v>
      </c>
      <c r="C58" s="283">
        <v>108092</v>
      </c>
      <c r="D58" s="341">
        <v>6</v>
      </c>
      <c r="E58" s="460">
        <v>301</v>
      </c>
      <c r="F58" s="277">
        <v>324</v>
      </c>
      <c r="G58" s="158"/>
      <c r="H58" s="535"/>
      <c r="I58" s="158">
        <v>310</v>
      </c>
      <c r="J58" s="338">
        <v>471</v>
      </c>
      <c r="K58" s="160">
        <f t="shared" si="23"/>
        <v>0.76923076923076927</v>
      </c>
      <c r="L58" s="161">
        <f t="shared" si="1"/>
        <v>1.1893939393939394</v>
      </c>
      <c r="M58" s="54">
        <v>403</v>
      </c>
      <c r="N58" s="55">
        <v>104</v>
      </c>
      <c r="O58" s="55"/>
      <c r="P58" s="55"/>
      <c r="Q58" s="162">
        <f t="shared" si="24"/>
        <v>104</v>
      </c>
      <c r="R58" s="277">
        <v>396</v>
      </c>
      <c r="S58" s="277">
        <v>107</v>
      </c>
      <c r="T58" s="277"/>
      <c r="U58" s="277"/>
      <c r="V58" s="97">
        <f t="shared" si="25"/>
        <v>107</v>
      </c>
      <c r="W58" s="279" t="s">
        <v>731</v>
      </c>
      <c r="X58" s="52">
        <v>123</v>
      </c>
      <c r="Y58" s="99" t="s">
        <v>731</v>
      </c>
      <c r="Z58" s="53">
        <v>115</v>
      </c>
      <c r="AA58" s="228" t="s">
        <v>343</v>
      </c>
      <c r="AB58" s="52">
        <v>104</v>
      </c>
      <c r="AC58" s="99" t="s">
        <v>343</v>
      </c>
      <c r="AD58" s="53">
        <v>107</v>
      </c>
      <c r="AE58" s="228" t="s">
        <v>737</v>
      </c>
      <c r="AF58" s="52">
        <v>41</v>
      </c>
      <c r="AG58" s="99" t="s">
        <v>737</v>
      </c>
      <c r="AH58" s="53">
        <v>39</v>
      </c>
      <c r="AI58" s="228" t="s">
        <v>736</v>
      </c>
      <c r="AJ58" s="52">
        <v>30</v>
      </c>
      <c r="AK58" s="99" t="s">
        <v>739</v>
      </c>
      <c r="AL58" s="53">
        <v>25</v>
      </c>
      <c r="AM58" s="228" t="s">
        <v>739</v>
      </c>
      <c r="AN58" s="52">
        <v>25</v>
      </c>
      <c r="AO58" s="99" t="s">
        <v>738</v>
      </c>
      <c r="AP58" s="53">
        <v>24</v>
      </c>
      <c r="AQ58" s="50">
        <f t="shared" si="4"/>
        <v>5</v>
      </c>
      <c r="AR58" s="163">
        <f t="shared" si="5"/>
        <v>0.39743589743589741</v>
      </c>
      <c r="AS58" s="97">
        <f t="shared" si="6"/>
        <v>5</v>
      </c>
      <c r="AT58" s="278">
        <f t="shared" si="7"/>
        <v>0.33249370277078083</v>
      </c>
      <c r="AU58" s="55"/>
      <c r="AV58" s="277"/>
      <c r="AW58" s="279"/>
      <c r="AX58" s="52"/>
      <c r="AY58" s="105"/>
      <c r="AZ58" s="98"/>
      <c r="BA58" s="279"/>
      <c r="BB58" s="52"/>
      <c r="BC58" s="105"/>
      <c r="BD58" s="98"/>
      <c r="BE58" s="279"/>
      <c r="BF58" s="52"/>
      <c r="BG58" s="105"/>
      <c r="BH58" s="98"/>
      <c r="BI58" s="279"/>
      <c r="BJ58" s="52"/>
      <c r="BK58" s="105"/>
      <c r="BL58" s="98"/>
      <c r="BM58" s="279"/>
      <c r="BN58" s="52"/>
      <c r="BO58" s="105"/>
      <c r="BP58" s="98"/>
      <c r="BQ58" s="279"/>
      <c r="BR58" s="52"/>
      <c r="BS58" s="105"/>
      <c r="BT58" s="98"/>
      <c r="BU58" s="279"/>
      <c r="BV58" s="52"/>
      <c r="BW58" s="105"/>
      <c r="BX58" s="98"/>
      <c r="BY58" s="279"/>
      <c r="BZ58" s="52"/>
      <c r="CA58" s="105"/>
      <c r="CB58" s="98"/>
      <c r="CC58" s="279"/>
      <c r="CD58" s="52"/>
      <c r="CE58" s="105"/>
      <c r="CF58" s="98"/>
      <c r="CG58" s="279"/>
      <c r="CH58" s="52"/>
      <c r="CI58" s="105"/>
      <c r="CJ58" s="98"/>
      <c r="CK58" s="281"/>
      <c r="CL58" s="277"/>
      <c r="CM58" s="159"/>
      <c r="CN58" s="277"/>
      <c r="CO58" s="50">
        <f t="shared" si="26"/>
        <v>0</v>
      </c>
      <c r="CP58" s="103">
        <f t="shared" si="27"/>
        <v>0</v>
      </c>
      <c r="CQ58" s="280">
        <f t="shared" si="28"/>
        <v>0</v>
      </c>
      <c r="CR58" s="63">
        <f t="shared" si="29"/>
        <v>0</v>
      </c>
      <c r="CS58" s="279"/>
      <c r="CT58" s="52"/>
      <c r="CU58" s="105"/>
      <c r="CV58" s="98"/>
      <c r="CW58" s="279"/>
      <c r="CX58" s="52"/>
      <c r="CY58" s="105"/>
      <c r="CZ58" s="98"/>
      <c r="DA58" s="279"/>
      <c r="DB58" s="52"/>
      <c r="DC58" s="105"/>
      <c r="DD58" s="98"/>
      <c r="DE58" s="279"/>
      <c r="DF58" s="52"/>
      <c r="DG58" s="105"/>
      <c r="DH58" s="98"/>
      <c r="DI58" s="279"/>
      <c r="DJ58" s="52"/>
      <c r="DK58" s="105"/>
      <c r="DL58" s="98"/>
      <c r="DM58" s="279"/>
      <c r="DN58" s="52"/>
      <c r="DO58" s="105"/>
      <c r="DP58" s="98"/>
      <c r="DQ58" s="279"/>
      <c r="DR58" s="52"/>
      <c r="DS58" s="105"/>
      <c r="DT58" s="98"/>
      <c r="DU58" s="279"/>
      <c r="DV58" s="52"/>
      <c r="DW58" s="105"/>
      <c r="DX58" s="98"/>
      <c r="DY58" s="279"/>
      <c r="DZ58" s="52"/>
      <c r="EA58" s="105"/>
      <c r="EB58" s="98"/>
      <c r="EC58" s="279"/>
      <c r="ED58" s="52"/>
      <c r="EE58" s="105"/>
      <c r="EF58" s="98"/>
      <c r="EG58" s="159"/>
      <c r="EH58" s="277"/>
      <c r="EI58" s="50">
        <f t="shared" si="30"/>
        <v>0</v>
      </c>
      <c r="EJ58" s="103">
        <f t="shared" si="31"/>
        <v>0</v>
      </c>
      <c r="EK58" s="164">
        <f t="shared" si="32"/>
        <v>0</v>
      </c>
      <c r="EL58" s="280">
        <f t="shared" si="33"/>
        <v>0</v>
      </c>
      <c r="EM58" s="63">
        <f t="shared" si="34"/>
        <v>0</v>
      </c>
      <c r="EN58" s="359">
        <f t="shared" si="35"/>
        <v>0</v>
      </c>
      <c r="EO58" s="51">
        <f t="shared" si="36"/>
        <v>0</v>
      </c>
      <c r="EP58" s="361">
        <f t="shared" si="37"/>
        <v>0</v>
      </c>
      <c r="EQ58" s="281"/>
      <c r="ER58" s="277"/>
      <c r="ES58" s="281"/>
      <c r="ET58" s="277"/>
      <c r="EU58" s="281"/>
      <c r="EV58" s="277"/>
      <c r="EW58" s="281"/>
      <c r="EX58" s="277"/>
      <c r="EY58" s="281"/>
      <c r="EZ58" s="277"/>
      <c r="FA58" s="281"/>
      <c r="FB58" s="277"/>
      <c r="FC58" s="281"/>
      <c r="FD58" s="277"/>
      <c r="FE58" s="281"/>
      <c r="FF58" s="277"/>
      <c r="FG58" s="281"/>
      <c r="FH58" s="277"/>
      <c r="FI58" s="281"/>
      <c r="FJ58" s="277"/>
      <c r="FK58" s="50">
        <f t="shared" si="38"/>
        <v>0</v>
      </c>
      <c r="FL58" s="63">
        <f t="shared" si="39"/>
        <v>0</v>
      </c>
      <c r="FM58" s="50">
        <f t="shared" si="21"/>
        <v>1014</v>
      </c>
      <c r="FN58" s="360">
        <f t="shared" si="22"/>
        <v>1191</v>
      </c>
      <c r="FO58" s="3"/>
      <c r="FP58" s="279"/>
      <c r="FQ58" s="52"/>
      <c r="FR58" s="296"/>
      <c r="FS58" s="98"/>
      <c r="FT58" s="467"/>
      <c r="FU58" s="52"/>
      <c r="FV58" s="296"/>
      <c r="FW58" s="98"/>
      <c r="FX58" s="467"/>
      <c r="FY58" s="52"/>
      <c r="FZ58" s="296"/>
      <c r="GA58" s="98"/>
      <c r="GB58" s="467"/>
      <c r="GC58" s="52"/>
      <c r="GD58" s="296"/>
      <c r="GE58" s="98"/>
      <c r="GF58" s="467"/>
      <c r="GG58" s="52"/>
      <c r="GH58" s="296"/>
      <c r="GI58" s="98"/>
      <c r="GJ58" s="467"/>
      <c r="GK58" s="52"/>
      <c r="GL58" s="296"/>
      <c r="GM58" s="464"/>
      <c r="GN58" s="467"/>
      <c r="GO58" s="52"/>
      <c r="GP58" s="296"/>
      <c r="GQ58" s="464"/>
      <c r="GR58" s="467"/>
      <c r="GS58" s="52"/>
      <c r="GT58" s="296"/>
      <c r="GU58" s="464"/>
      <c r="GV58" s="467"/>
      <c r="GW58" s="52"/>
      <c r="GX58" s="296"/>
      <c r="GY58" s="464"/>
      <c r="GZ58" s="467"/>
      <c r="HA58" s="52"/>
      <c r="HB58" s="296"/>
      <c r="HC58" s="3"/>
    </row>
    <row r="59" spans="1:211" s="86" customFormat="1">
      <c r="A59" s="283" t="s">
        <v>345</v>
      </c>
      <c r="B59" s="284" t="s">
        <v>435</v>
      </c>
      <c r="C59" s="283">
        <v>106412</v>
      </c>
      <c r="D59" s="341">
        <v>6</v>
      </c>
      <c r="E59" s="460"/>
      <c r="F59" s="277"/>
      <c r="G59" s="158"/>
      <c r="H59" s="535"/>
      <c r="I59" s="158"/>
      <c r="J59" s="338"/>
      <c r="K59" s="160">
        <f t="shared" si="23"/>
        <v>0</v>
      </c>
      <c r="L59" s="161">
        <f t="shared" si="1"/>
        <v>0</v>
      </c>
      <c r="M59" s="54">
        <v>365</v>
      </c>
      <c r="N59" s="55">
        <v>16</v>
      </c>
      <c r="O59" s="55"/>
      <c r="P59" s="55"/>
      <c r="Q59" s="162">
        <f t="shared" si="24"/>
        <v>16</v>
      </c>
      <c r="R59" s="277">
        <v>401</v>
      </c>
      <c r="S59" s="277">
        <v>28</v>
      </c>
      <c r="T59" s="277"/>
      <c r="U59" s="277"/>
      <c r="V59" s="97">
        <f t="shared" si="25"/>
        <v>28</v>
      </c>
      <c r="W59" s="279"/>
      <c r="X59" s="52"/>
      <c r="Y59" s="99"/>
      <c r="Z59" s="53"/>
      <c r="AA59" s="228"/>
      <c r="AB59" s="52"/>
      <c r="AC59" s="99"/>
      <c r="AD59" s="53"/>
      <c r="AE59" s="228"/>
      <c r="AF59" s="52"/>
      <c r="AG59" s="99"/>
      <c r="AH59" s="53"/>
      <c r="AI59" s="228"/>
      <c r="AJ59" s="52"/>
      <c r="AK59" s="99"/>
      <c r="AL59" s="53"/>
      <c r="AM59" s="228"/>
      <c r="AN59" s="52"/>
      <c r="AO59" s="99"/>
      <c r="AP59" s="53"/>
      <c r="AQ59" s="50">
        <f t="shared" si="4"/>
        <v>0</v>
      </c>
      <c r="AR59" s="163">
        <f t="shared" si="5"/>
        <v>0.94559585492227982</v>
      </c>
      <c r="AS59" s="97">
        <f t="shared" si="6"/>
        <v>0</v>
      </c>
      <c r="AT59" s="278">
        <f t="shared" si="7"/>
        <v>0.94352941176470584</v>
      </c>
      <c r="AU59" s="55"/>
      <c r="AV59" s="277"/>
      <c r="AW59" s="279">
        <v>1</v>
      </c>
      <c r="AX59" s="52">
        <v>7</v>
      </c>
      <c r="AY59" s="105">
        <v>13</v>
      </c>
      <c r="AZ59" s="98">
        <v>11</v>
      </c>
      <c r="BA59" s="279">
        <v>13</v>
      </c>
      <c r="BB59" s="52">
        <v>7</v>
      </c>
      <c r="BC59" s="105">
        <v>51</v>
      </c>
      <c r="BD59" s="98">
        <v>10</v>
      </c>
      <c r="BE59" s="279">
        <v>51</v>
      </c>
      <c r="BF59" s="52">
        <v>7</v>
      </c>
      <c r="BG59" s="105">
        <v>1</v>
      </c>
      <c r="BH59" s="98">
        <v>3</v>
      </c>
      <c r="BI59" s="279"/>
      <c r="BJ59" s="52"/>
      <c r="BK59" s="105"/>
      <c r="BL59" s="98"/>
      <c r="BM59" s="279"/>
      <c r="BN59" s="52"/>
      <c r="BO59" s="105"/>
      <c r="BP59" s="98"/>
      <c r="BQ59" s="279"/>
      <c r="BR59" s="52"/>
      <c r="BS59" s="105"/>
      <c r="BT59" s="98"/>
      <c r="BU59" s="279"/>
      <c r="BV59" s="52"/>
      <c r="BW59" s="105"/>
      <c r="BX59" s="98"/>
      <c r="BY59" s="279"/>
      <c r="BZ59" s="52"/>
      <c r="CA59" s="105"/>
      <c r="CB59" s="98"/>
      <c r="CC59" s="279"/>
      <c r="CD59" s="52"/>
      <c r="CE59" s="105"/>
      <c r="CF59" s="98"/>
      <c r="CG59" s="279"/>
      <c r="CH59" s="52"/>
      <c r="CI59" s="105"/>
      <c r="CJ59" s="98"/>
      <c r="CK59" s="281"/>
      <c r="CL59" s="277"/>
      <c r="CM59" s="159"/>
      <c r="CN59" s="277"/>
      <c r="CO59" s="50">
        <f t="shared" si="26"/>
        <v>21</v>
      </c>
      <c r="CP59" s="103">
        <f t="shared" si="27"/>
        <v>3</v>
      </c>
      <c r="CQ59" s="280">
        <f t="shared" si="28"/>
        <v>24</v>
      </c>
      <c r="CR59" s="63">
        <f t="shared" si="29"/>
        <v>3</v>
      </c>
      <c r="CS59" s="279"/>
      <c r="CT59" s="52"/>
      <c r="CU59" s="105"/>
      <c r="CV59" s="98"/>
      <c r="CW59" s="279"/>
      <c r="CX59" s="52"/>
      <c r="CY59" s="105"/>
      <c r="CZ59" s="98"/>
      <c r="DA59" s="279"/>
      <c r="DB59" s="52"/>
      <c r="DC59" s="105"/>
      <c r="DD59" s="98"/>
      <c r="DE59" s="279"/>
      <c r="DF59" s="52"/>
      <c r="DG59" s="105"/>
      <c r="DH59" s="98"/>
      <c r="DI59" s="279"/>
      <c r="DJ59" s="52"/>
      <c r="DK59" s="105"/>
      <c r="DL59" s="98"/>
      <c r="DM59" s="279"/>
      <c r="DN59" s="52"/>
      <c r="DO59" s="105"/>
      <c r="DP59" s="98"/>
      <c r="DQ59" s="279"/>
      <c r="DR59" s="52"/>
      <c r="DS59" s="105"/>
      <c r="DT59" s="98"/>
      <c r="DU59" s="279"/>
      <c r="DV59" s="52"/>
      <c r="DW59" s="105"/>
      <c r="DX59" s="98"/>
      <c r="DY59" s="279"/>
      <c r="DZ59" s="52"/>
      <c r="EA59" s="105"/>
      <c r="EB59" s="98"/>
      <c r="EC59" s="279"/>
      <c r="ED59" s="52"/>
      <c r="EE59" s="105"/>
      <c r="EF59" s="98"/>
      <c r="EG59" s="159"/>
      <c r="EH59" s="277"/>
      <c r="EI59" s="50">
        <f t="shared" si="30"/>
        <v>0</v>
      </c>
      <c r="EJ59" s="103">
        <f t="shared" si="31"/>
        <v>0</v>
      </c>
      <c r="EK59" s="164">
        <f t="shared" si="32"/>
        <v>0</v>
      </c>
      <c r="EL59" s="280">
        <f t="shared" si="33"/>
        <v>0</v>
      </c>
      <c r="EM59" s="63">
        <f t="shared" si="34"/>
        <v>0</v>
      </c>
      <c r="EN59" s="359">
        <f t="shared" si="35"/>
        <v>0</v>
      </c>
      <c r="EO59" s="51">
        <f t="shared" si="36"/>
        <v>21</v>
      </c>
      <c r="EP59" s="361">
        <f t="shared" si="37"/>
        <v>24</v>
      </c>
      <c r="EQ59" s="281"/>
      <c r="ER59" s="277"/>
      <c r="ES59" s="281"/>
      <c r="ET59" s="277"/>
      <c r="EU59" s="281"/>
      <c r="EV59" s="277"/>
      <c r="EW59" s="281"/>
      <c r="EX59" s="277"/>
      <c r="EY59" s="281"/>
      <c r="EZ59" s="277"/>
      <c r="FA59" s="281"/>
      <c r="FB59" s="277"/>
      <c r="FC59" s="281"/>
      <c r="FD59" s="277"/>
      <c r="FE59" s="281"/>
      <c r="FF59" s="277"/>
      <c r="FG59" s="281"/>
      <c r="FH59" s="277"/>
      <c r="FI59" s="281"/>
      <c r="FJ59" s="277"/>
      <c r="FK59" s="50">
        <f t="shared" si="38"/>
        <v>0</v>
      </c>
      <c r="FL59" s="63">
        <f t="shared" si="39"/>
        <v>0</v>
      </c>
      <c r="FM59" s="50">
        <f t="shared" si="21"/>
        <v>386</v>
      </c>
      <c r="FN59" s="360">
        <f t="shared" si="22"/>
        <v>425</v>
      </c>
      <c r="FO59" s="3"/>
      <c r="FP59" s="279"/>
      <c r="FQ59" s="52"/>
      <c r="FR59" s="296"/>
      <c r="FS59" s="98"/>
      <c r="FT59" s="467"/>
      <c r="FU59" s="52"/>
      <c r="FV59" s="296"/>
      <c r="FW59" s="98"/>
      <c r="FX59" s="467"/>
      <c r="FY59" s="52"/>
      <c r="FZ59" s="296"/>
      <c r="GA59" s="98"/>
      <c r="GB59" s="467"/>
      <c r="GC59" s="52"/>
      <c r="GD59" s="296"/>
      <c r="GE59" s="98"/>
      <c r="GF59" s="467"/>
      <c r="GG59" s="52"/>
      <c r="GH59" s="296"/>
      <c r="GI59" s="98"/>
      <c r="GJ59" s="467"/>
      <c r="GK59" s="52"/>
      <c r="GL59" s="296"/>
      <c r="GM59" s="464"/>
      <c r="GN59" s="467"/>
      <c r="GO59" s="52"/>
      <c r="GP59" s="296"/>
      <c r="GQ59" s="464"/>
      <c r="GR59" s="467"/>
      <c r="GS59" s="52"/>
      <c r="GT59" s="296"/>
      <c r="GU59" s="464"/>
      <c r="GV59" s="467"/>
      <c r="GW59" s="52"/>
      <c r="GX59" s="296"/>
      <c r="GY59" s="464"/>
      <c r="GZ59" s="467"/>
      <c r="HA59" s="52"/>
      <c r="HB59" s="296"/>
      <c r="HC59" s="3"/>
    </row>
    <row r="60" spans="1:211" s="86" customFormat="1">
      <c r="A60" s="285" t="s">
        <v>345</v>
      </c>
      <c r="B60" s="286" t="s">
        <v>436</v>
      </c>
      <c r="C60" s="287">
        <v>107664</v>
      </c>
      <c r="D60" s="342">
        <v>8</v>
      </c>
      <c r="E60" s="460">
        <v>665</v>
      </c>
      <c r="F60" s="277">
        <v>725</v>
      </c>
      <c r="G60" s="158"/>
      <c r="H60" s="535">
        <v>1</v>
      </c>
      <c r="I60" s="158">
        <v>597</v>
      </c>
      <c r="J60" s="338">
        <v>711</v>
      </c>
      <c r="K60" s="160">
        <f t="shared" si="23"/>
        <v>0</v>
      </c>
      <c r="L60" s="161">
        <f t="shared" si="1"/>
        <v>0</v>
      </c>
      <c r="M60" s="54"/>
      <c r="N60" s="55"/>
      <c r="O60" s="55"/>
      <c r="P60" s="55"/>
      <c r="Q60" s="162">
        <f t="shared" si="24"/>
        <v>0</v>
      </c>
      <c r="R60" s="277"/>
      <c r="S60" s="277"/>
      <c r="T60" s="277"/>
      <c r="U60" s="277"/>
      <c r="V60" s="97">
        <f t="shared" si="25"/>
        <v>0</v>
      </c>
      <c r="W60" s="279"/>
      <c r="X60" s="52"/>
      <c r="Y60" s="99"/>
      <c r="Z60" s="53"/>
      <c r="AA60" s="228"/>
      <c r="AB60" s="52"/>
      <c r="AC60" s="99"/>
      <c r="AD60" s="53"/>
      <c r="AE60" s="228"/>
      <c r="AF60" s="52"/>
      <c r="AG60" s="99"/>
      <c r="AH60" s="53"/>
      <c r="AI60" s="228"/>
      <c r="AJ60" s="52"/>
      <c r="AK60" s="99"/>
      <c r="AL60" s="53"/>
      <c r="AM60" s="228"/>
      <c r="AN60" s="52"/>
      <c r="AO60" s="99"/>
      <c r="AP60" s="53"/>
      <c r="AQ60" s="50">
        <f t="shared" si="4"/>
        <v>0</v>
      </c>
      <c r="AR60" s="163">
        <f t="shared" si="5"/>
        <v>0</v>
      </c>
      <c r="AS60" s="97">
        <f t="shared" si="6"/>
        <v>0</v>
      </c>
      <c r="AT60" s="278">
        <f t="shared" si="7"/>
        <v>0</v>
      </c>
      <c r="AU60" s="55"/>
      <c r="AV60" s="277"/>
      <c r="AW60" s="279"/>
      <c r="AX60" s="52"/>
      <c r="AY60" s="105"/>
      <c r="AZ60" s="98"/>
      <c r="BA60" s="279"/>
      <c r="BB60" s="52"/>
      <c r="BC60" s="105"/>
      <c r="BD60" s="98"/>
      <c r="BE60" s="279"/>
      <c r="BF60" s="52"/>
      <c r="BG60" s="105"/>
      <c r="BH60" s="98"/>
      <c r="BI60" s="279"/>
      <c r="BJ60" s="52"/>
      <c r="BK60" s="105"/>
      <c r="BL60" s="98"/>
      <c r="BM60" s="279"/>
      <c r="BN60" s="52"/>
      <c r="BO60" s="105"/>
      <c r="BP60" s="98"/>
      <c r="BQ60" s="279"/>
      <c r="BR60" s="52"/>
      <c r="BS60" s="105"/>
      <c r="BT60" s="98"/>
      <c r="BU60" s="279"/>
      <c r="BV60" s="52"/>
      <c r="BW60" s="105"/>
      <c r="BX60" s="98"/>
      <c r="BY60" s="279"/>
      <c r="BZ60" s="52"/>
      <c r="CA60" s="105"/>
      <c r="CB60" s="98"/>
      <c r="CC60" s="279"/>
      <c r="CD60" s="52"/>
      <c r="CE60" s="105"/>
      <c r="CF60" s="98"/>
      <c r="CG60" s="279"/>
      <c r="CH60" s="52"/>
      <c r="CI60" s="105"/>
      <c r="CJ60" s="98"/>
      <c r="CK60" s="281"/>
      <c r="CL60" s="277"/>
      <c r="CM60" s="159"/>
      <c r="CN60" s="277"/>
      <c r="CO60" s="50">
        <f t="shared" si="26"/>
        <v>0</v>
      </c>
      <c r="CP60" s="103">
        <f t="shared" si="27"/>
        <v>0</v>
      </c>
      <c r="CQ60" s="280">
        <f t="shared" si="28"/>
        <v>0</v>
      </c>
      <c r="CR60" s="63">
        <f t="shared" si="29"/>
        <v>0</v>
      </c>
      <c r="CS60" s="279"/>
      <c r="CT60" s="52"/>
      <c r="CU60" s="105"/>
      <c r="CV60" s="98"/>
      <c r="CW60" s="279"/>
      <c r="CX60" s="52"/>
      <c r="CY60" s="105"/>
      <c r="CZ60" s="98"/>
      <c r="DA60" s="279"/>
      <c r="DB60" s="52"/>
      <c r="DC60" s="105"/>
      <c r="DD60" s="98"/>
      <c r="DE60" s="279"/>
      <c r="DF60" s="52"/>
      <c r="DG60" s="105"/>
      <c r="DH60" s="98"/>
      <c r="DI60" s="279"/>
      <c r="DJ60" s="52"/>
      <c r="DK60" s="105"/>
      <c r="DL60" s="98"/>
      <c r="DM60" s="279"/>
      <c r="DN60" s="52"/>
      <c r="DO60" s="105"/>
      <c r="DP60" s="98"/>
      <c r="DQ60" s="279"/>
      <c r="DR60" s="52"/>
      <c r="DS60" s="105"/>
      <c r="DT60" s="98"/>
      <c r="DU60" s="279"/>
      <c r="DV60" s="52"/>
      <c r="DW60" s="105"/>
      <c r="DX60" s="98"/>
      <c r="DY60" s="279"/>
      <c r="DZ60" s="52"/>
      <c r="EA60" s="105"/>
      <c r="EB60" s="98"/>
      <c r="EC60" s="279"/>
      <c r="ED60" s="52"/>
      <c r="EE60" s="105"/>
      <c r="EF60" s="98"/>
      <c r="EG60" s="159"/>
      <c r="EH60" s="277"/>
      <c r="EI60" s="50">
        <f t="shared" si="30"/>
        <v>0</v>
      </c>
      <c r="EJ60" s="103">
        <f t="shared" si="31"/>
        <v>0</v>
      </c>
      <c r="EK60" s="164">
        <f t="shared" si="32"/>
        <v>0</v>
      </c>
      <c r="EL60" s="280">
        <f t="shared" si="33"/>
        <v>0</v>
      </c>
      <c r="EM60" s="63">
        <f t="shared" si="34"/>
        <v>0</v>
      </c>
      <c r="EN60" s="359">
        <f t="shared" si="35"/>
        <v>0</v>
      </c>
      <c r="EO60" s="51">
        <f t="shared" si="36"/>
        <v>0</v>
      </c>
      <c r="EP60" s="361">
        <f t="shared" si="37"/>
        <v>0</v>
      </c>
      <c r="EQ60" s="281"/>
      <c r="ER60" s="277"/>
      <c r="ES60" s="281"/>
      <c r="ET60" s="277"/>
      <c r="EU60" s="281"/>
      <c r="EV60" s="277"/>
      <c r="EW60" s="281"/>
      <c r="EX60" s="277"/>
      <c r="EY60" s="281"/>
      <c r="EZ60" s="277"/>
      <c r="FA60" s="281"/>
      <c r="FB60" s="277"/>
      <c r="FC60" s="281"/>
      <c r="FD60" s="277"/>
      <c r="FE60" s="281"/>
      <c r="FF60" s="277"/>
      <c r="FG60" s="281"/>
      <c r="FH60" s="277"/>
      <c r="FI60" s="281"/>
      <c r="FJ60" s="277"/>
      <c r="FK60" s="50">
        <f t="shared" si="38"/>
        <v>0</v>
      </c>
      <c r="FL60" s="63">
        <f t="shared" si="39"/>
        <v>0</v>
      </c>
      <c r="FM60" s="50">
        <f t="shared" si="21"/>
        <v>1262</v>
      </c>
      <c r="FN60" s="360">
        <f t="shared" si="22"/>
        <v>1437</v>
      </c>
      <c r="FO60" s="3"/>
      <c r="FP60" s="279"/>
      <c r="FQ60" s="52"/>
      <c r="FR60" s="296"/>
      <c r="FS60" s="98"/>
      <c r="FT60" s="467"/>
      <c r="FU60" s="52"/>
      <c r="FV60" s="296"/>
      <c r="FW60" s="98"/>
      <c r="FX60" s="467"/>
      <c r="FY60" s="52"/>
      <c r="FZ60" s="296"/>
      <c r="GA60" s="98"/>
      <c r="GB60" s="467"/>
      <c r="GC60" s="52"/>
      <c r="GD60" s="296"/>
      <c r="GE60" s="98"/>
      <c r="GF60" s="467"/>
      <c r="GG60" s="52"/>
      <c r="GH60" s="296"/>
      <c r="GI60" s="98"/>
      <c r="GJ60" s="467"/>
      <c r="GK60" s="52"/>
      <c r="GL60" s="296"/>
      <c r="GM60" s="464"/>
      <c r="GN60" s="467"/>
      <c r="GO60" s="52"/>
      <c r="GP60" s="296"/>
      <c r="GQ60" s="464"/>
      <c r="GR60" s="467"/>
      <c r="GS60" s="52"/>
      <c r="GT60" s="296"/>
      <c r="GU60" s="464"/>
      <c r="GV60" s="467"/>
      <c r="GW60" s="52"/>
      <c r="GX60" s="296"/>
      <c r="GY60" s="464"/>
      <c r="GZ60" s="467"/>
      <c r="HA60" s="52"/>
      <c r="HB60" s="296"/>
      <c r="HC60" s="3"/>
    </row>
    <row r="61" spans="1:211" s="86" customFormat="1">
      <c r="A61" s="283" t="s">
        <v>345</v>
      </c>
      <c r="B61" s="284" t="s">
        <v>437</v>
      </c>
      <c r="C61" s="283">
        <v>106449</v>
      </c>
      <c r="D61" s="341">
        <v>9</v>
      </c>
      <c r="E61" s="460">
        <v>526</v>
      </c>
      <c r="F61" s="277">
        <v>627</v>
      </c>
      <c r="G61" s="158"/>
      <c r="H61" s="535"/>
      <c r="I61" s="158">
        <v>481</v>
      </c>
      <c r="J61" s="338">
        <v>576</v>
      </c>
      <c r="K61" s="160">
        <f t="shared" si="23"/>
        <v>0</v>
      </c>
      <c r="L61" s="161">
        <f t="shared" si="1"/>
        <v>0</v>
      </c>
      <c r="M61" s="54"/>
      <c r="N61" s="55"/>
      <c r="O61" s="55"/>
      <c r="P61" s="55"/>
      <c r="Q61" s="162">
        <f t="shared" si="24"/>
        <v>0</v>
      </c>
      <c r="R61" s="277"/>
      <c r="S61" s="277"/>
      <c r="T61" s="277"/>
      <c r="U61" s="277"/>
      <c r="V61" s="97">
        <f t="shared" si="25"/>
        <v>0</v>
      </c>
      <c r="W61" s="279"/>
      <c r="X61" s="52"/>
      <c r="Y61" s="99"/>
      <c r="Z61" s="53"/>
      <c r="AA61" s="228"/>
      <c r="AB61" s="52"/>
      <c r="AC61" s="99"/>
      <c r="AD61" s="53"/>
      <c r="AE61" s="228"/>
      <c r="AF61" s="52"/>
      <c r="AG61" s="99"/>
      <c r="AH61" s="53"/>
      <c r="AI61" s="228"/>
      <c r="AJ61" s="52"/>
      <c r="AK61" s="99"/>
      <c r="AL61" s="53"/>
      <c r="AM61" s="228"/>
      <c r="AN61" s="52"/>
      <c r="AO61" s="99"/>
      <c r="AP61" s="53"/>
      <c r="AQ61" s="50">
        <f t="shared" si="4"/>
        <v>0</v>
      </c>
      <c r="AR61" s="163">
        <f t="shared" si="5"/>
        <v>0</v>
      </c>
      <c r="AS61" s="97">
        <f t="shared" si="6"/>
        <v>0</v>
      </c>
      <c r="AT61" s="278">
        <f t="shared" si="7"/>
        <v>0</v>
      </c>
      <c r="AU61" s="55"/>
      <c r="AV61" s="277"/>
      <c r="AW61" s="279"/>
      <c r="AX61" s="52"/>
      <c r="AY61" s="105"/>
      <c r="AZ61" s="98"/>
      <c r="BA61" s="279"/>
      <c r="BB61" s="52"/>
      <c r="BC61" s="105"/>
      <c r="BD61" s="98"/>
      <c r="BE61" s="279"/>
      <c r="BF61" s="52"/>
      <c r="BG61" s="105"/>
      <c r="BH61" s="98"/>
      <c r="BI61" s="279"/>
      <c r="BJ61" s="52"/>
      <c r="BK61" s="105"/>
      <c r="BL61" s="98"/>
      <c r="BM61" s="279"/>
      <c r="BN61" s="52"/>
      <c r="BO61" s="105"/>
      <c r="BP61" s="98"/>
      <c r="BQ61" s="279"/>
      <c r="BR61" s="52"/>
      <c r="BS61" s="105"/>
      <c r="BT61" s="98"/>
      <c r="BU61" s="279"/>
      <c r="BV61" s="52"/>
      <c r="BW61" s="105"/>
      <c r="BX61" s="98"/>
      <c r="BY61" s="279"/>
      <c r="BZ61" s="52"/>
      <c r="CA61" s="105"/>
      <c r="CB61" s="98"/>
      <c r="CC61" s="279"/>
      <c r="CD61" s="52"/>
      <c r="CE61" s="105"/>
      <c r="CF61" s="98"/>
      <c r="CG61" s="279"/>
      <c r="CH61" s="52"/>
      <c r="CI61" s="105"/>
      <c r="CJ61" s="98"/>
      <c r="CK61" s="281"/>
      <c r="CL61" s="277"/>
      <c r="CM61" s="159"/>
      <c r="CN61" s="277"/>
      <c r="CO61" s="50">
        <f t="shared" si="26"/>
        <v>0</v>
      </c>
      <c r="CP61" s="103">
        <f t="shared" si="27"/>
        <v>0</v>
      </c>
      <c r="CQ61" s="280">
        <f t="shared" si="28"/>
        <v>0</v>
      </c>
      <c r="CR61" s="63">
        <f t="shared" si="29"/>
        <v>0</v>
      </c>
      <c r="CS61" s="279"/>
      <c r="CT61" s="52"/>
      <c r="CU61" s="105"/>
      <c r="CV61" s="98"/>
      <c r="CW61" s="279"/>
      <c r="CX61" s="52"/>
      <c r="CY61" s="105"/>
      <c r="CZ61" s="98"/>
      <c r="DA61" s="279"/>
      <c r="DB61" s="52"/>
      <c r="DC61" s="105"/>
      <c r="DD61" s="98"/>
      <c r="DE61" s="279"/>
      <c r="DF61" s="52"/>
      <c r="DG61" s="105"/>
      <c r="DH61" s="98"/>
      <c r="DI61" s="279"/>
      <c r="DJ61" s="52"/>
      <c r="DK61" s="105"/>
      <c r="DL61" s="98"/>
      <c r="DM61" s="279"/>
      <c r="DN61" s="52"/>
      <c r="DO61" s="105"/>
      <c r="DP61" s="98"/>
      <c r="DQ61" s="279"/>
      <c r="DR61" s="52"/>
      <c r="DS61" s="105"/>
      <c r="DT61" s="98"/>
      <c r="DU61" s="279"/>
      <c r="DV61" s="52"/>
      <c r="DW61" s="105"/>
      <c r="DX61" s="98"/>
      <c r="DY61" s="279"/>
      <c r="DZ61" s="52"/>
      <c r="EA61" s="105"/>
      <c r="EB61" s="98"/>
      <c r="EC61" s="279"/>
      <c r="ED61" s="52"/>
      <c r="EE61" s="105"/>
      <c r="EF61" s="98"/>
      <c r="EG61" s="159"/>
      <c r="EH61" s="277"/>
      <c r="EI61" s="50">
        <f t="shared" si="30"/>
        <v>0</v>
      </c>
      <c r="EJ61" s="103">
        <f t="shared" si="31"/>
        <v>0</v>
      </c>
      <c r="EK61" s="164">
        <f t="shared" si="32"/>
        <v>0</v>
      </c>
      <c r="EL61" s="280">
        <f t="shared" si="33"/>
        <v>0</v>
      </c>
      <c r="EM61" s="63">
        <f t="shared" si="34"/>
        <v>0</v>
      </c>
      <c r="EN61" s="359">
        <f t="shared" si="35"/>
        <v>0</v>
      </c>
      <c r="EO61" s="51">
        <f t="shared" si="36"/>
        <v>0</v>
      </c>
      <c r="EP61" s="361">
        <f t="shared" si="37"/>
        <v>0</v>
      </c>
      <c r="EQ61" s="281"/>
      <c r="ER61" s="277"/>
      <c r="ES61" s="281"/>
      <c r="ET61" s="277"/>
      <c r="EU61" s="281"/>
      <c r="EV61" s="277"/>
      <c r="EW61" s="281"/>
      <c r="EX61" s="277"/>
      <c r="EY61" s="281"/>
      <c r="EZ61" s="277"/>
      <c r="FA61" s="281"/>
      <c r="FB61" s="277"/>
      <c r="FC61" s="281"/>
      <c r="FD61" s="277"/>
      <c r="FE61" s="281"/>
      <c r="FF61" s="277"/>
      <c r="FG61" s="281"/>
      <c r="FH61" s="277"/>
      <c r="FI61" s="281"/>
      <c r="FJ61" s="277"/>
      <c r="FK61" s="50">
        <f t="shared" si="38"/>
        <v>0</v>
      </c>
      <c r="FL61" s="63">
        <f t="shared" si="39"/>
        <v>0</v>
      </c>
      <c r="FM61" s="50">
        <f t="shared" si="21"/>
        <v>1007</v>
      </c>
      <c r="FN61" s="360">
        <f t="shared" si="22"/>
        <v>1203</v>
      </c>
      <c r="FO61" s="3"/>
      <c r="FP61" s="279"/>
      <c r="FQ61" s="52"/>
      <c r="FR61" s="296"/>
      <c r="FS61" s="98"/>
      <c r="FT61" s="467"/>
      <c r="FU61" s="52"/>
      <c r="FV61" s="296"/>
      <c r="FW61" s="98"/>
      <c r="FX61" s="467"/>
      <c r="FY61" s="52"/>
      <c r="FZ61" s="296"/>
      <c r="GA61" s="98"/>
      <c r="GB61" s="467"/>
      <c r="GC61" s="52"/>
      <c r="GD61" s="296"/>
      <c r="GE61" s="98"/>
      <c r="GF61" s="467"/>
      <c r="GG61" s="52"/>
      <c r="GH61" s="296"/>
      <c r="GI61" s="98"/>
      <c r="GJ61" s="467"/>
      <c r="GK61" s="52"/>
      <c r="GL61" s="296"/>
      <c r="GM61" s="464"/>
      <c r="GN61" s="467"/>
      <c r="GO61" s="52"/>
      <c r="GP61" s="296"/>
      <c r="GQ61" s="464"/>
      <c r="GR61" s="467"/>
      <c r="GS61" s="52"/>
      <c r="GT61" s="296"/>
      <c r="GU61" s="464"/>
      <c r="GV61" s="467"/>
      <c r="GW61" s="52"/>
      <c r="GX61" s="296"/>
      <c r="GY61" s="464"/>
      <c r="GZ61" s="467"/>
      <c r="HA61" s="52"/>
      <c r="HB61" s="296"/>
      <c r="HC61" s="3"/>
    </row>
    <row r="62" spans="1:211" s="86" customFormat="1">
      <c r="A62" s="283" t="s">
        <v>345</v>
      </c>
      <c r="B62" s="284" t="s">
        <v>438</v>
      </c>
      <c r="C62" s="283">
        <v>367459</v>
      </c>
      <c r="D62" s="341">
        <v>9</v>
      </c>
      <c r="E62" s="460">
        <v>143</v>
      </c>
      <c r="F62" s="277">
        <v>143</v>
      </c>
      <c r="G62" s="158"/>
      <c r="H62" s="535"/>
      <c r="I62" s="158">
        <v>467</v>
      </c>
      <c r="J62" s="338">
        <v>503</v>
      </c>
      <c r="K62" s="160">
        <f t="shared" si="23"/>
        <v>0</v>
      </c>
      <c r="L62" s="161">
        <f t="shared" si="1"/>
        <v>0</v>
      </c>
      <c r="M62" s="54"/>
      <c r="N62" s="55"/>
      <c r="O62" s="55"/>
      <c r="P62" s="55"/>
      <c r="Q62" s="162">
        <f t="shared" si="24"/>
        <v>0</v>
      </c>
      <c r="R62" s="277"/>
      <c r="S62" s="277"/>
      <c r="T62" s="277"/>
      <c r="U62" s="277"/>
      <c r="V62" s="97">
        <f t="shared" si="25"/>
        <v>0</v>
      </c>
      <c r="W62" s="279"/>
      <c r="X62" s="52"/>
      <c r="Y62" s="99"/>
      <c r="Z62" s="53"/>
      <c r="AA62" s="228"/>
      <c r="AB62" s="52"/>
      <c r="AC62" s="99"/>
      <c r="AD62" s="53"/>
      <c r="AE62" s="228"/>
      <c r="AF62" s="52"/>
      <c r="AG62" s="99"/>
      <c r="AH62" s="53"/>
      <c r="AI62" s="228"/>
      <c r="AJ62" s="52"/>
      <c r="AK62" s="99"/>
      <c r="AL62" s="53"/>
      <c r="AM62" s="228"/>
      <c r="AN62" s="52"/>
      <c r="AO62" s="99"/>
      <c r="AP62" s="53"/>
      <c r="AQ62" s="50">
        <f t="shared" si="4"/>
        <v>0</v>
      </c>
      <c r="AR62" s="163">
        <f t="shared" si="5"/>
        <v>0</v>
      </c>
      <c r="AS62" s="97">
        <f t="shared" si="6"/>
        <v>0</v>
      </c>
      <c r="AT62" s="278">
        <f t="shared" si="7"/>
        <v>0</v>
      </c>
      <c r="AU62" s="55"/>
      <c r="AV62" s="277"/>
      <c r="AW62" s="279"/>
      <c r="AX62" s="52"/>
      <c r="AY62" s="105"/>
      <c r="AZ62" s="98"/>
      <c r="BA62" s="279"/>
      <c r="BB62" s="52"/>
      <c r="BC62" s="105"/>
      <c r="BD62" s="98"/>
      <c r="BE62" s="279"/>
      <c r="BF62" s="52"/>
      <c r="BG62" s="105"/>
      <c r="BH62" s="98"/>
      <c r="BI62" s="279"/>
      <c r="BJ62" s="52"/>
      <c r="BK62" s="105"/>
      <c r="BL62" s="98"/>
      <c r="BM62" s="279"/>
      <c r="BN62" s="52"/>
      <c r="BO62" s="105"/>
      <c r="BP62" s="98"/>
      <c r="BQ62" s="279"/>
      <c r="BR62" s="52"/>
      <c r="BS62" s="105"/>
      <c r="BT62" s="98"/>
      <c r="BU62" s="279"/>
      <c r="BV62" s="52"/>
      <c r="BW62" s="105"/>
      <c r="BX62" s="98"/>
      <c r="BY62" s="279"/>
      <c r="BZ62" s="52"/>
      <c r="CA62" s="105"/>
      <c r="CB62" s="98"/>
      <c r="CC62" s="279"/>
      <c r="CD62" s="52"/>
      <c r="CE62" s="105"/>
      <c r="CF62" s="98"/>
      <c r="CG62" s="279"/>
      <c r="CH62" s="52"/>
      <c r="CI62" s="105"/>
      <c r="CJ62" s="98"/>
      <c r="CK62" s="281"/>
      <c r="CL62" s="277"/>
      <c r="CM62" s="159"/>
      <c r="CN62" s="277"/>
      <c r="CO62" s="50">
        <f t="shared" si="26"/>
        <v>0</v>
      </c>
      <c r="CP62" s="103">
        <f t="shared" si="27"/>
        <v>0</v>
      </c>
      <c r="CQ62" s="280">
        <f t="shared" si="28"/>
        <v>0</v>
      </c>
      <c r="CR62" s="63">
        <f t="shared" si="29"/>
        <v>0</v>
      </c>
      <c r="CS62" s="279"/>
      <c r="CT62" s="52"/>
      <c r="CU62" s="105"/>
      <c r="CV62" s="98"/>
      <c r="CW62" s="279"/>
      <c r="CX62" s="52"/>
      <c r="CY62" s="105"/>
      <c r="CZ62" s="98"/>
      <c r="DA62" s="279"/>
      <c r="DB62" s="52"/>
      <c r="DC62" s="105"/>
      <c r="DD62" s="98"/>
      <c r="DE62" s="279"/>
      <c r="DF62" s="52"/>
      <c r="DG62" s="105"/>
      <c r="DH62" s="98"/>
      <c r="DI62" s="279"/>
      <c r="DJ62" s="52"/>
      <c r="DK62" s="105"/>
      <c r="DL62" s="98"/>
      <c r="DM62" s="279"/>
      <c r="DN62" s="52"/>
      <c r="DO62" s="105"/>
      <c r="DP62" s="98"/>
      <c r="DQ62" s="279"/>
      <c r="DR62" s="52"/>
      <c r="DS62" s="105"/>
      <c r="DT62" s="98"/>
      <c r="DU62" s="279"/>
      <c r="DV62" s="52"/>
      <c r="DW62" s="105"/>
      <c r="DX62" s="98"/>
      <c r="DY62" s="279"/>
      <c r="DZ62" s="52"/>
      <c r="EA62" s="105"/>
      <c r="EB62" s="98"/>
      <c r="EC62" s="279"/>
      <c r="ED62" s="52"/>
      <c r="EE62" s="105"/>
      <c r="EF62" s="98"/>
      <c r="EG62" s="159"/>
      <c r="EH62" s="277"/>
      <c r="EI62" s="50">
        <f t="shared" si="30"/>
        <v>0</v>
      </c>
      <c r="EJ62" s="103">
        <f t="shared" si="31"/>
        <v>0</v>
      </c>
      <c r="EK62" s="164">
        <f t="shared" si="32"/>
        <v>0</v>
      </c>
      <c r="EL62" s="280">
        <f t="shared" si="33"/>
        <v>0</v>
      </c>
      <c r="EM62" s="63">
        <f t="shared" si="34"/>
        <v>0</v>
      </c>
      <c r="EN62" s="359">
        <f t="shared" si="35"/>
        <v>0</v>
      </c>
      <c r="EO62" s="51">
        <f t="shared" si="36"/>
        <v>0</v>
      </c>
      <c r="EP62" s="361">
        <f t="shared" si="37"/>
        <v>0</v>
      </c>
      <c r="EQ62" s="281"/>
      <c r="ER62" s="277"/>
      <c r="ES62" s="281"/>
      <c r="ET62" s="277"/>
      <c r="EU62" s="281"/>
      <c r="EV62" s="277"/>
      <c r="EW62" s="281"/>
      <c r="EX62" s="277"/>
      <c r="EY62" s="281"/>
      <c r="EZ62" s="277"/>
      <c r="FA62" s="281"/>
      <c r="FB62" s="277"/>
      <c r="FC62" s="281"/>
      <c r="FD62" s="277"/>
      <c r="FE62" s="281"/>
      <c r="FF62" s="277"/>
      <c r="FG62" s="281"/>
      <c r="FH62" s="277"/>
      <c r="FI62" s="281"/>
      <c r="FJ62" s="277"/>
      <c r="FK62" s="50">
        <f t="shared" si="38"/>
        <v>0</v>
      </c>
      <c r="FL62" s="63">
        <f t="shared" si="39"/>
        <v>0</v>
      </c>
      <c r="FM62" s="50">
        <f t="shared" si="21"/>
        <v>610</v>
      </c>
      <c r="FN62" s="360">
        <f t="shared" si="22"/>
        <v>646</v>
      </c>
      <c r="FO62" s="3"/>
      <c r="FP62" s="279"/>
      <c r="FQ62" s="52"/>
      <c r="FR62" s="296"/>
      <c r="FS62" s="98"/>
      <c r="FT62" s="467"/>
      <c r="FU62" s="52"/>
      <c r="FV62" s="296"/>
      <c r="FW62" s="98"/>
      <c r="FX62" s="467"/>
      <c r="FY62" s="52"/>
      <c r="FZ62" s="296"/>
      <c r="GA62" s="98"/>
      <c r="GB62" s="467"/>
      <c r="GC62" s="52"/>
      <c r="GD62" s="296"/>
      <c r="GE62" s="98"/>
      <c r="GF62" s="467"/>
      <c r="GG62" s="52"/>
      <c r="GH62" s="296"/>
      <c r="GI62" s="98"/>
      <c r="GJ62" s="467"/>
      <c r="GK62" s="52"/>
      <c r="GL62" s="296"/>
      <c r="GM62" s="464"/>
      <c r="GN62" s="467"/>
      <c r="GO62" s="52"/>
      <c r="GP62" s="296"/>
      <c r="GQ62" s="464"/>
      <c r="GR62" s="467"/>
      <c r="GS62" s="52"/>
      <c r="GT62" s="296"/>
      <c r="GU62" s="464"/>
      <c r="GV62" s="467"/>
      <c r="GW62" s="52"/>
      <c r="GX62" s="296"/>
      <c r="GY62" s="464"/>
      <c r="GZ62" s="467"/>
      <c r="HA62" s="52"/>
      <c r="HB62" s="296"/>
      <c r="HC62" s="3"/>
    </row>
    <row r="63" spans="1:211" s="86" customFormat="1">
      <c r="A63" s="283" t="s">
        <v>345</v>
      </c>
      <c r="B63" s="284" t="s">
        <v>439</v>
      </c>
      <c r="C63" s="283">
        <v>107327</v>
      </c>
      <c r="D63" s="341">
        <v>10</v>
      </c>
      <c r="E63" s="460">
        <v>201</v>
      </c>
      <c r="F63" s="277">
        <v>234</v>
      </c>
      <c r="G63" s="158"/>
      <c r="H63" s="535"/>
      <c r="I63" s="158">
        <v>202</v>
      </c>
      <c r="J63" s="338">
        <v>194</v>
      </c>
      <c r="K63" s="160">
        <f t="shared" si="23"/>
        <v>0</v>
      </c>
      <c r="L63" s="161">
        <f t="shared" si="1"/>
        <v>0</v>
      </c>
      <c r="M63" s="54"/>
      <c r="N63" s="55"/>
      <c r="O63" s="55"/>
      <c r="P63" s="55"/>
      <c r="Q63" s="162">
        <f t="shared" si="24"/>
        <v>0</v>
      </c>
      <c r="R63" s="277"/>
      <c r="S63" s="277"/>
      <c r="T63" s="277"/>
      <c r="U63" s="277"/>
      <c r="V63" s="97">
        <f t="shared" si="25"/>
        <v>0</v>
      </c>
      <c r="W63" s="279"/>
      <c r="X63" s="52"/>
      <c r="Y63" s="99"/>
      <c r="Z63" s="53"/>
      <c r="AA63" s="228"/>
      <c r="AB63" s="52"/>
      <c r="AC63" s="99"/>
      <c r="AD63" s="53"/>
      <c r="AE63" s="228"/>
      <c r="AF63" s="52"/>
      <c r="AG63" s="99"/>
      <c r="AH63" s="53"/>
      <c r="AI63" s="228"/>
      <c r="AJ63" s="52"/>
      <c r="AK63" s="99"/>
      <c r="AL63" s="53"/>
      <c r="AM63" s="228"/>
      <c r="AN63" s="52"/>
      <c r="AO63" s="99"/>
      <c r="AP63" s="53"/>
      <c r="AQ63" s="50">
        <f t="shared" si="4"/>
        <v>0</v>
      </c>
      <c r="AR63" s="163">
        <f t="shared" si="5"/>
        <v>0</v>
      </c>
      <c r="AS63" s="97">
        <f t="shared" si="6"/>
        <v>0</v>
      </c>
      <c r="AT63" s="278">
        <f t="shared" si="7"/>
        <v>0</v>
      </c>
      <c r="AU63" s="55"/>
      <c r="AV63" s="277"/>
      <c r="AW63" s="279"/>
      <c r="AX63" s="52"/>
      <c r="AY63" s="105"/>
      <c r="AZ63" s="98"/>
      <c r="BA63" s="279"/>
      <c r="BB63" s="52"/>
      <c r="BC63" s="105"/>
      <c r="BD63" s="98"/>
      <c r="BE63" s="279"/>
      <c r="BF63" s="52"/>
      <c r="BG63" s="105"/>
      <c r="BH63" s="98"/>
      <c r="BI63" s="279"/>
      <c r="BJ63" s="52"/>
      <c r="BK63" s="105"/>
      <c r="BL63" s="98"/>
      <c r="BM63" s="279"/>
      <c r="BN63" s="52"/>
      <c r="BO63" s="105"/>
      <c r="BP63" s="98"/>
      <c r="BQ63" s="279"/>
      <c r="BR63" s="52"/>
      <c r="BS63" s="105"/>
      <c r="BT63" s="98"/>
      <c r="BU63" s="279"/>
      <c r="BV63" s="52"/>
      <c r="BW63" s="105"/>
      <c r="BX63" s="98"/>
      <c r="BY63" s="279"/>
      <c r="BZ63" s="52"/>
      <c r="CA63" s="105"/>
      <c r="CB63" s="98"/>
      <c r="CC63" s="279"/>
      <c r="CD63" s="52"/>
      <c r="CE63" s="105"/>
      <c r="CF63" s="98"/>
      <c r="CG63" s="279"/>
      <c r="CH63" s="52"/>
      <c r="CI63" s="105"/>
      <c r="CJ63" s="98"/>
      <c r="CK63" s="281"/>
      <c r="CL63" s="277"/>
      <c r="CM63" s="159"/>
      <c r="CN63" s="277"/>
      <c r="CO63" s="50">
        <f t="shared" si="26"/>
        <v>0</v>
      </c>
      <c r="CP63" s="103">
        <f t="shared" si="27"/>
        <v>0</v>
      </c>
      <c r="CQ63" s="280">
        <f t="shared" si="28"/>
        <v>0</v>
      </c>
      <c r="CR63" s="63">
        <f t="shared" si="29"/>
        <v>0</v>
      </c>
      <c r="CS63" s="279"/>
      <c r="CT63" s="52"/>
      <c r="CU63" s="105"/>
      <c r="CV63" s="98"/>
      <c r="CW63" s="279"/>
      <c r="CX63" s="52"/>
      <c r="CY63" s="105"/>
      <c r="CZ63" s="98"/>
      <c r="DA63" s="279"/>
      <c r="DB63" s="52"/>
      <c r="DC63" s="105"/>
      <c r="DD63" s="98"/>
      <c r="DE63" s="279"/>
      <c r="DF63" s="52"/>
      <c r="DG63" s="105"/>
      <c r="DH63" s="98"/>
      <c r="DI63" s="279"/>
      <c r="DJ63" s="52"/>
      <c r="DK63" s="105"/>
      <c r="DL63" s="98"/>
      <c r="DM63" s="279"/>
      <c r="DN63" s="52"/>
      <c r="DO63" s="105"/>
      <c r="DP63" s="98"/>
      <c r="DQ63" s="279"/>
      <c r="DR63" s="52"/>
      <c r="DS63" s="105"/>
      <c r="DT63" s="98"/>
      <c r="DU63" s="279"/>
      <c r="DV63" s="52"/>
      <c r="DW63" s="105"/>
      <c r="DX63" s="98"/>
      <c r="DY63" s="279"/>
      <c r="DZ63" s="52"/>
      <c r="EA63" s="105"/>
      <c r="EB63" s="98"/>
      <c r="EC63" s="279"/>
      <c r="ED63" s="52"/>
      <c r="EE63" s="105"/>
      <c r="EF63" s="98"/>
      <c r="EG63" s="159"/>
      <c r="EH63" s="277"/>
      <c r="EI63" s="50">
        <f t="shared" si="30"/>
        <v>0</v>
      </c>
      <c r="EJ63" s="103">
        <f t="shared" si="31"/>
        <v>0</v>
      </c>
      <c r="EK63" s="164">
        <f t="shared" si="32"/>
        <v>0</v>
      </c>
      <c r="EL63" s="280">
        <f t="shared" si="33"/>
        <v>0</v>
      </c>
      <c r="EM63" s="63">
        <f t="shared" si="34"/>
        <v>0</v>
      </c>
      <c r="EN63" s="359">
        <f t="shared" si="35"/>
        <v>0</v>
      </c>
      <c r="EO63" s="51">
        <f t="shared" si="36"/>
        <v>0</v>
      </c>
      <c r="EP63" s="361">
        <f t="shared" si="37"/>
        <v>0</v>
      </c>
      <c r="EQ63" s="281"/>
      <c r="ER63" s="277"/>
      <c r="ES63" s="281"/>
      <c r="ET63" s="277"/>
      <c r="EU63" s="281"/>
      <c r="EV63" s="277"/>
      <c r="EW63" s="281"/>
      <c r="EX63" s="277"/>
      <c r="EY63" s="281"/>
      <c r="EZ63" s="277"/>
      <c r="FA63" s="281"/>
      <c r="FB63" s="277"/>
      <c r="FC63" s="281"/>
      <c r="FD63" s="277"/>
      <c r="FE63" s="281"/>
      <c r="FF63" s="277"/>
      <c r="FG63" s="281"/>
      <c r="FH63" s="277"/>
      <c r="FI63" s="281"/>
      <c r="FJ63" s="277"/>
      <c r="FK63" s="50">
        <f t="shared" si="38"/>
        <v>0</v>
      </c>
      <c r="FL63" s="63">
        <f t="shared" si="39"/>
        <v>0</v>
      </c>
      <c r="FM63" s="50">
        <f t="shared" si="21"/>
        <v>403</v>
      </c>
      <c r="FN63" s="360">
        <f t="shared" si="22"/>
        <v>428</v>
      </c>
      <c r="FO63" s="3"/>
      <c r="FP63" s="279"/>
      <c r="FQ63" s="52"/>
      <c r="FR63" s="296"/>
      <c r="FS63" s="98"/>
      <c r="FT63" s="467"/>
      <c r="FU63" s="52"/>
      <c r="FV63" s="296"/>
      <c r="FW63" s="98"/>
      <c r="FX63" s="467"/>
      <c r="FY63" s="52"/>
      <c r="FZ63" s="296"/>
      <c r="GA63" s="98"/>
      <c r="GB63" s="467"/>
      <c r="GC63" s="52"/>
      <c r="GD63" s="296"/>
      <c r="GE63" s="98"/>
      <c r="GF63" s="467"/>
      <c r="GG63" s="52"/>
      <c r="GH63" s="296"/>
      <c r="GI63" s="98"/>
      <c r="GJ63" s="467"/>
      <c r="GK63" s="52"/>
      <c r="GL63" s="296"/>
      <c r="GM63" s="464"/>
      <c r="GN63" s="467"/>
      <c r="GO63" s="52"/>
      <c r="GP63" s="296"/>
      <c r="GQ63" s="464"/>
      <c r="GR63" s="467"/>
      <c r="GS63" s="52"/>
      <c r="GT63" s="296"/>
      <c r="GU63" s="464"/>
      <c r="GV63" s="467"/>
      <c r="GW63" s="52"/>
      <c r="GX63" s="296"/>
      <c r="GY63" s="464"/>
      <c r="GZ63" s="467"/>
      <c r="HA63" s="52"/>
      <c r="HB63" s="296"/>
      <c r="HC63" s="3"/>
    </row>
    <row r="64" spans="1:211" s="86" customFormat="1">
      <c r="A64" s="283" t="s">
        <v>345</v>
      </c>
      <c r="B64" s="284" t="s">
        <v>440</v>
      </c>
      <c r="C64" s="283">
        <v>420538</v>
      </c>
      <c r="D64" s="341">
        <v>10</v>
      </c>
      <c r="E64" s="460">
        <v>264</v>
      </c>
      <c r="F64" s="277">
        <v>286</v>
      </c>
      <c r="G64" s="158"/>
      <c r="H64" s="535"/>
      <c r="I64" s="158">
        <v>165</v>
      </c>
      <c r="J64" s="338">
        <v>159</v>
      </c>
      <c r="K64" s="160">
        <f t="shared" si="23"/>
        <v>0</v>
      </c>
      <c r="L64" s="161">
        <f t="shared" si="1"/>
        <v>0</v>
      </c>
      <c r="M64" s="54"/>
      <c r="N64" s="55"/>
      <c r="O64" s="55"/>
      <c r="P64" s="55"/>
      <c r="Q64" s="162">
        <f t="shared" si="24"/>
        <v>0</v>
      </c>
      <c r="R64" s="277"/>
      <c r="S64" s="277"/>
      <c r="T64" s="277"/>
      <c r="U64" s="277"/>
      <c r="V64" s="97">
        <f t="shared" si="25"/>
        <v>0</v>
      </c>
      <c r="W64" s="279"/>
      <c r="X64" s="52"/>
      <c r="Y64" s="99"/>
      <c r="Z64" s="53"/>
      <c r="AA64" s="228"/>
      <c r="AB64" s="52"/>
      <c r="AC64" s="99"/>
      <c r="AD64" s="53"/>
      <c r="AE64" s="228"/>
      <c r="AF64" s="52"/>
      <c r="AG64" s="99"/>
      <c r="AH64" s="53"/>
      <c r="AI64" s="228"/>
      <c r="AJ64" s="52"/>
      <c r="AK64" s="99"/>
      <c r="AL64" s="53"/>
      <c r="AM64" s="228"/>
      <c r="AN64" s="52"/>
      <c r="AO64" s="99"/>
      <c r="AP64" s="53"/>
      <c r="AQ64" s="50">
        <f t="shared" si="4"/>
        <v>0</v>
      </c>
      <c r="AR64" s="163">
        <f t="shared" si="5"/>
        <v>0</v>
      </c>
      <c r="AS64" s="97">
        <f t="shared" si="6"/>
        <v>0</v>
      </c>
      <c r="AT64" s="278">
        <f t="shared" si="7"/>
        <v>0</v>
      </c>
      <c r="AU64" s="55"/>
      <c r="AV64" s="277"/>
      <c r="AW64" s="279"/>
      <c r="AX64" s="52"/>
      <c r="AY64" s="105"/>
      <c r="AZ64" s="98"/>
      <c r="BA64" s="279"/>
      <c r="BB64" s="52"/>
      <c r="BC64" s="105"/>
      <c r="BD64" s="98"/>
      <c r="BE64" s="279"/>
      <c r="BF64" s="52"/>
      <c r="BG64" s="105"/>
      <c r="BH64" s="98"/>
      <c r="BI64" s="279"/>
      <c r="BJ64" s="52"/>
      <c r="BK64" s="105"/>
      <c r="BL64" s="98"/>
      <c r="BM64" s="279"/>
      <c r="BN64" s="52"/>
      <c r="BO64" s="105"/>
      <c r="BP64" s="98"/>
      <c r="BQ64" s="279"/>
      <c r="BR64" s="52"/>
      <c r="BS64" s="105"/>
      <c r="BT64" s="98"/>
      <c r="BU64" s="279"/>
      <c r="BV64" s="52"/>
      <c r="BW64" s="105"/>
      <c r="BX64" s="98"/>
      <c r="BY64" s="279"/>
      <c r="BZ64" s="52"/>
      <c r="CA64" s="105"/>
      <c r="CB64" s="98"/>
      <c r="CC64" s="279"/>
      <c r="CD64" s="52"/>
      <c r="CE64" s="105"/>
      <c r="CF64" s="98"/>
      <c r="CG64" s="279"/>
      <c r="CH64" s="52"/>
      <c r="CI64" s="105"/>
      <c r="CJ64" s="98"/>
      <c r="CK64" s="281"/>
      <c r="CL64" s="277"/>
      <c r="CM64" s="159"/>
      <c r="CN64" s="277"/>
      <c r="CO64" s="50">
        <f t="shared" si="26"/>
        <v>0</v>
      </c>
      <c r="CP64" s="103">
        <f t="shared" si="27"/>
        <v>0</v>
      </c>
      <c r="CQ64" s="280">
        <f t="shared" si="28"/>
        <v>0</v>
      </c>
      <c r="CR64" s="63">
        <f t="shared" si="29"/>
        <v>0</v>
      </c>
      <c r="CS64" s="279"/>
      <c r="CT64" s="52"/>
      <c r="CU64" s="105"/>
      <c r="CV64" s="98"/>
      <c r="CW64" s="279"/>
      <c r="CX64" s="52"/>
      <c r="CY64" s="105"/>
      <c r="CZ64" s="98"/>
      <c r="DA64" s="279"/>
      <c r="DB64" s="52"/>
      <c r="DC64" s="105"/>
      <c r="DD64" s="98"/>
      <c r="DE64" s="279"/>
      <c r="DF64" s="52"/>
      <c r="DG64" s="105"/>
      <c r="DH64" s="98"/>
      <c r="DI64" s="279"/>
      <c r="DJ64" s="52"/>
      <c r="DK64" s="105"/>
      <c r="DL64" s="98"/>
      <c r="DM64" s="279"/>
      <c r="DN64" s="52"/>
      <c r="DO64" s="105"/>
      <c r="DP64" s="98"/>
      <c r="DQ64" s="279"/>
      <c r="DR64" s="52"/>
      <c r="DS64" s="105"/>
      <c r="DT64" s="98"/>
      <c r="DU64" s="279"/>
      <c r="DV64" s="52"/>
      <c r="DW64" s="105"/>
      <c r="DX64" s="98"/>
      <c r="DY64" s="279"/>
      <c r="DZ64" s="52"/>
      <c r="EA64" s="105"/>
      <c r="EB64" s="98"/>
      <c r="EC64" s="279"/>
      <c r="ED64" s="52"/>
      <c r="EE64" s="105"/>
      <c r="EF64" s="98"/>
      <c r="EG64" s="159"/>
      <c r="EH64" s="277"/>
      <c r="EI64" s="50">
        <f t="shared" si="30"/>
        <v>0</v>
      </c>
      <c r="EJ64" s="103">
        <f t="shared" si="31"/>
        <v>0</v>
      </c>
      <c r="EK64" s="164">
        <f t="shared" si="32"/>
        <v>0</v>
      </c>
      <c r="EL64" s="280">
        <f t="shared" si="33"/>
        <v>0</v>
      </c>
      <c r="EM64" s="63">
        <f t="shared" si="34"/>
        <v>0</v>
      </c>
      <c r="EN64" s="359">
        <f t="shared" si="35"/>
        <v>0</v>
      </c>
      <c r="EO64" s="51">
        <f t="shared" si="36"/>
        <v>0</v>
      </c>
      <c r="EP64" s="361">
        <f t="shared" si="37"/>
        <v>0</v>
      </c>
      <c r="EQ64" s="281"/>
      <c r="ER64" s="277"/>
      <c r="ES64" s="281"/>
      <c r="ET64" s="277"/>
      <c r="EU64" s="281"/>
      <c r="EV64" s="277"/>
      <c r="EW64" s="281"/>
      <c r="EX64" s="277"/>
      <c r="EY64" s="281"/>
      <c r="EZ64" s="277"/>
      <c r="FA64" s="281"/>
      <c r="FB64" s="277"/>
      <c r="FC64" s="281"/>
      <c r="FD64" s="277"/>
      <c r="FE64" s="281"/>
      <c r="FF64" s="277"/>
      <c r="FG64" s="281"/>
      <c r="FH64" s="277"/>
      <c r="FI64" s="281"/>
      <c r="FJ64" s="277"/>
      <c r="FK64" s="50">
        <f t="shared" si="38"/>
        <v>0</v>
      </c>
      <c r="FL64" s="63">
        <f t="shared" si="39"/>
        <v>0</v>
      </c>
      <c r="FM64" s="50">
        <f t="shared" si="21"/>
        <v>429</v>
      </c>
      <c r="FN64" s="360">
        <f t="shared" si="22"/>
        <v>445</v>
      </c>
      <c r="FO64" s="3"/>
      <c r="FP64" s="279"/>
      <c r="FQ64" s="52"/>
      <c r="FR64" s="296"/>
      <c r="FS64" s="98"/>
      <c r="FT64" s="467"/>
      <c r="FU64" s="52"/>
      <c r="FV64" s="296"/>
      <c r="FW64" s="98"/>
      <c r="FX64" s="467"/>
      <c r="FY64" s="52"/>
      <c r="FZ64" s="296"/>
      <c r="GA64" s="98"/>
      <c r="GB64" s="467"/>
      <c r="GC64" s="52"/>
      <c r="GD64" s="296"/>
      <c r="GE64" s="98"/>
      <c r="GF64" s="467"/>
      <c r="GG64" s="52"/>
      <c r="GH64" s="296"/>
      <c r="GI64" s="98"/>
      <c r="GJ64" s="467"/>
      <c r="GK64" s="52"/>
      <c r="GL64" s="296"/>
      <c r="GM64" s="464"/>
      <c r="GN64" s="467"/>
      <c r="GO64" s="52"/>
      <c r="GP64" s="296"/>
      <c r="GQ64" s="464"/>
      <c r="GR64" s="467"/>
      <c r="GS64" s="52"/>
      <c r="GT64" s="296"/>
      <c r="GU64" s="464"/>
      <c r="GV64" s="467"/>
      <c r="GW64" s="52"/>
      <c r="GX64" s="296"/>
      <c r="GY64" s="464"/>
      <c r="GZ64" s="467"/>
      <c r="HA64" s="52"/>
      <c r="HB64" s="296"/>
      <c r="HC64" s="3"/>
    </row>
    <row r="65" spans="1:211" s="86" customFormat="1">
      <c r="A65" s="283" t="s">
        <v>345</v>
      </c>
      <c r="B65" s="284" t="s">
        <v>441</v>
      </c>
      <c r="C65" s="283">
        <v>440402</v>
      </c>
      <c r="D65" s="341">
        <v>10</v>
      </c>
      <c r="E65" s="460">
        <v>898</v>
      </c>
      <c r="F65" s="277">
        <v>739</v>
      </c>
      <c r="G65" s="158"/>
      <c r="H65" s="535"/>
      <c r="I65" s="158">
        <v>81</v>
      </c>
      <c r="J65" s="338">
        <v>101</v>
      </c>
      <c r="K65" s="160">
        <f t="shared" si="23"/>
        <v>0</v>
      </c>
      <c r="L65" s="161">
        <f t="shared" si="1"/>
        <v>0</v>
      </c>
      <c r="M65" s="54"/>
      <c r="N65" s="55"/>
      <c r="O65" s="55"/>
      <c r="P65" s="55"/>
      <c r="Q65" s="162">
        <f t="shared" si="24"/>
        <v>0</v>
      </c>
      <c r="R65" s="277"/>
      <c r="S65" s="277"/>
      <c r="T65" s="277"/>
      <c r="U65" s="277"/>
      <c r="V65" s="97">
        <f t="shared" si="25"/>
        <v>0</v>
      </c>
      <c r="W65" s="279"/>
      <c r="X65" s="52"/>
      <c r="Y65" s="99"/>
      <c r="Z65" s="53"/>
      <c r="AA65" s="228"/>
      <c r="AB65" s="52"/>
      <c r="AC65" s="99"/>
      <c r="AD65" s="53"/>
      <c r="AE65" s="228"/>
      <c r="AF65" s="52"/>
      <c r="AG65" s="99"/>
      <c r="AH65" s="53"/>
      <c r="AI65" s="228"/>
      <c r="AJ65" s="52"/>
      <c r="AK65" s="99"/>
      <c r="AL65" s="53"/>
      <c r="AM65" s="228"/>
      <c r="AN65" s="52"/>
      <c r="AO65" s="99"/>
      <c r="AP65" s="53"/>
      <c r="AQ65" s="50">
        <f t="shared" si="4"/>
        <v>0</v>
      </c>
      <c r="AR65" s="163">
        <f t="shared" si="5"/>
        <v>0</v>
      </c>
      <c r="AS65" s="97">
        <f t="shared" si="6"/>
        <v>0</v>
      </c>
      <c r="AT65" s="278">
        <f t="shared" si="7"/>
        <v>0</v>
      </c>
      <c r="AU65" s="55"/>
      <c r="AV65" s="277"/>
      <c r="AW65" s="279"/>
      <c r="AX65" s="52"/>
      <c r="AY65" s="105"/>
      <c r="AZ65" s="98"/>
      <c r="BA65" s="279"/>
      <c r="BB65" s="52"/>
      <c r="BC65" s="105"/>
      <c r="BD65" s="98"/>
      <c r="BE65" s="279"/>
      <c r="BF65" s="52"/>
      <c r="BG65" s="105"/>
      <c r="BH65" s="98"/>
      <c r="BI65" s="279"/>
      <c r="BJ65" s="52"/>
      <c r="BK65" s="105"/>
      <c r="BL65" s="98"/>
      <c r="BM65" s="279"/>
      <c r="BN65" s="52"/>
      <c r="BO65" s="105"/>
      <c r="BP65" s="98"/>
      <c r="BQ65" s="279"/>
      <c r="BR65" s="52"/>
      <c r="BS65" s="105"/>
      <c r="BT65" s="98"/>
      <c r="BU65" s="279"/>
      <c r="BV65" s="52"/>
      <c r="BW65" s="105"/>
      <c r="BX65" s="98"/>
      <c r="BY65" s="279"/>
      <c r="BZ65" s="52"/>
      <c r="CA65" s="105"/>
      <c r="CB65" s="98"/>
      <c r="CC65" s="279"/>
      <c r="CD65" s="52"/>
      <c r="CE65" s="105"/>
      <c r="CF65" s="98"/>
      <c r="CG65" s="279"/>
      <c r="CH65" s="52"/>
      <c r="CI65" s="105"/>
      <c r="CJ65" s="98"/>
      <c r="CK65" s="281"/>
      <c r="CL65" s="277"/>
      <c r="CM65" s="159"/>
      <c r="CN65" s="277"/>
      <c r="CO65" s="50">
        <f t="shared" si="26"/>
        <v>0</v>
      </c>
      <c r="CP65" s="103">
        <f t="shared" si="27"/>
        <v>0</v>
      </c>
      <c r="CQ65" s="280">
        <f t="shared" si="28"/>
        <v>0</v>
      </c>
      <c r="CR65" s="63">
        <f t="shared" si="29"/>
        <v>0</v>
      </c>
      <c r="CS65" s="279"/>
      <c r="CT65" s="52"/>
      <c r="CU65" s="105"/>
      <c r="CV65" s="98"/>
      <c r="CW65" s="279"/>
      <c r="CX65" s="52"/>
      <c r="CY65" s="105"/>
      <c r="CZ65" s="98"/>
      <c r="DA65" s="279"/>
      <c r="DB65" s="52"/>
      <c r="DC65" s="105"/>
      <c r="DD65" s="98"/>
      <c r="DE65" s="279"/>
      <c r="DF65" s="52"/>
      <c r="DG65" s="105"/>
      <c r="DH65" s="98"/>
      <c r="DI65" s="279"/>
      <c r="DJ65" s="52"/>
      <c r="DK65" s="105"/>
      <c r="DL65" s="98"/>
      <c r="DM65" s="279"/>
      <c r="DN65" s="52"/>
      <c r="DO65" s="105"/>
      <c r="DP65" s="98"/>
      <c r="DQ65" s="279"/>
      <c r="DR65" s="52"/>
      <c r="DS65" s="105"/>
      <c r="DT65" s="98"/>
      <c r="DU65" s="279"/>
      <c r="DV65" s="52"/>
      <c r="DW65" s="105"/>
      <c r="DX65" s="98"/>
      <c r="DY65" s="279"/>
      <c r="DZ65" s="52"/>
      <c r="EA65" s="105"/>
      <c r="EB65" s="98"/>
      <c r="EC65" s="279"/>
      <c r="ED65" s="52"/>
      <c r="EE65" s="105"/>
      <c r="EF65" s="98"/>
      <c r="EG65" s="159"/>
      <c r="EH65" s="277"/>
      <c r="EI65" s="50">
        <f t="shared" si="30"/>
        <v>0</v>
      </c>
      <c r="EJ65" s="103">
        <f t="shared" si="31"/>
        <v>0</v>
      </c>
      <c r="EK65" s="164">
        <f t="shared" si="32"/>
        <v>0</v>
      </c>
      <c r="EL65" s="280">
        <f t="shared" si="33"/>
        <v>0</v>
      </c>
      <c r="EM65" s="63">
        <f t="shared" si="34"/>
        <v>0</v>
      </c>
      <c r="EN65" s="359">
        <f t="shared" si="35"/>
        <v>0</v>
      </c>
      <c r="EO65" s="51">
        <f t="shared" si="36"/>
        <v>0</v>
      </c>
      <c r="EP65" s="361">
        <f t="shared" si="37"/>
        <v>0</v>
      </c>
      <c r="EQ65" s="281"/>
      <c r="ER65" s="277"/>
      <c r="ES65" s="281"/>
      <c r="ET65" s="277"/>
      <c r="EU65" s="281"/>
      <c r="EV65" s="277"/>
      <c r="EW65" s="281"/>
      <c r="EX65" s="277"/>
      <c r="EY65" s="281"/>
      <c r="EZ65" s="277"/>
      <c r="FA65" s="281"/>
      <c r="FB65" s="277"/>
      <c r="FC65" s="281"/>
      <c r="FD65" s="277"/>
      <c r="FE65" s="281"/>
      <c r="FF65" s="277"/>
      <c r="FG65" s="281"/>
      <c r="FH65" s="277"/>
      <c r="FI65" s="281"/>
      <c r="FJ65" s="277"/>
      <c r="FK65" s="50">
        <f t="shared" si="38"/>
        <v>0</v>
      </c>
      <c r="FL65" s="63">
        <f t="shared" si="39"/>
        <v>0</v>
      </c>
      <c r="FM65" s="50">
        <f t="shared" si="21"/>
        <v>979</v>
      </c>
      <c r="FN65" s="360">
        <f t="shared" si="22"/>
        <v>840</v>
      </c>
      <c r="FO65" s="3"/>
      <c r="FP65" s="279"/>
      <c r="FQ65" s="52"/>
      <c r="FR65" s="296"/>
      <c r="FS65" s="98"/>
      <c r="FT65" s="467"/>
      <c r="FU65" s="52"/>
      <c r="FV65" s="296"/>
      <c r="FW65" s="98"/>
      <c r="FX65" s="467"/>
      <c r="FY65" s="52"/>
      <c r="FZ65" s="296"/>
      <c r="GA65" s="98"/>
      <c r="GB65" s="467"/>
      <c r="GC65" s="52"/>
      <c r="GD65" s="296"/>
      <c r="GE65" s="98"/>
      <c r="GF65" s="467"/>
      <c r="GG65" s="52"/>
      <c r="GH65" s="296"/>
      <c r="GI65" s="98"/>
      <c r="GJ65" s="467"/>
      <c r="GK65" s="52"/>
      <c r="GL65" s="296"/>
      <c r="GM65" s="464"/>
      <c r="GN65" s="467"/>
      <c r="GO65" s="52"/>
      <c r="GP65" s="296"/>
      <c r="GQ65" s="464"/>
      <c r="GR65" s="467"/>
      <c r="GS65" s="52"/>
      <c r="GT65" s="296"/>
      <c r="GU65" s="464"/>
      <c r="GV65" s="467"/>
      <c r="GW65" s="52"/>
      <c r="GX65" s="296"/>
      <c r="GY65" s="464"/>
      <c r="GZ65" s="467"/>
      <c r="HA65" s="52"/>
      <c r="HB65" s="296"/>
      <c r="HC65" s="3"/>
    </row>
    <row r="66" spans="1:211" s="86" customFormat="1">
      <c r="A66" s="283" t="s">
        <v>345</v>
      </c>
      <c r="B66" s="284" t="s">
        <v>442</v>
      </c>
      <c r="C66" s="283">
        <v>106625</v>
      </c>
      <c r="D66" s="341">
        <v>10</v>
      </c>
      <c r="E66" s="460">
        <v>231</v>
      </c>
      <c r="F66" s="277">
        <v>290</v>
      </c>
      <c r="G66" s="158"/>
      <c r="H66" s="535"/>
      <c r="I66" s="158">
        <v>158</v>
      </c>
      <c r="J66" s="338">
        <v>239</v>
      </c>
      <c r="K66" s="160">
        <f t="shared" si="23"/>
        <v>0</v>
      </c>
      <c r="L66" s="161">
        <f t="shared" si="1"/>
        <v>0</v>
      </c>
      <c r="M66" s="54"/>
      <c r="N66" s="55"/>
      <c r="O66" s="55"/>
      <c r="P66" s="55"/>
      <c r="Q66" s="162">
        <f t="shared" si="24"/>
        <v>0</v>
      </c>
      <c r="R66" s="277"/>
      <c r="S66" s="277"/>
      <c r="T66" s="277"/>
      <c r="U66" s="277"/>
      <c r="V66" s="97">
        <f t="shared" si="25"/>
        <v>0</v>
      </c>
      <c r="W66" s="279"/>
      <c r="X66" s="52"/>
      <c r="Y66" s="99"/>
      <c r="Z66" s="53"/>
      <c r="AA66" s="228"/>
      <c r="AB66" s="52"/>
      <c r="AC66" s="99"/>
      <c r="AD66" s="53"/>
      <c r="AE66" s="228"/>
      <c r="AF66" s="52"/>
      <c r="AG66" s="99"/>
      <c r="AH66" s="53"/>
      <c r="AI66" s="228"/>
      <c r="AJ66" s="52"/>
      <c r="AK66" s="99"/>
      <c r="AL66" s="53"/>
      <c r="AM66" s="228"/>
      <c r="AN66" s="52"/>
      <c r="AO66" s="99"/>
      <c r="AP66" s="53"/>
      <c r="AQ66" s="50">
        <f t="shared" si="4"/>
        <v>0</v>
      </c>
      <c r="AR66" s="163">
        <f t="shared" si="5"/>
        <v>0</v>
      </c>
      <c r="AS66" s="97">
        <f t="shared" si="6"/>
        <v>0</v>
      </c>
      <c r="AT66" s="278">
        <f t="shared" si="7"/>
        <v>0</v>
      </c>
      <c r="AU66" s="55"/>
      <c r="AV66" s="277"/>
      <c r="AW66" s="279"/>
      <c r="AX66" s="52"/>
      <c r="AY66" s="105"/>
      <c r="AZ66" s="98"/>
      <c r="BA66" s="279"/>
      <c r="BB66" s="52"/>
      <c r="BC66" s="105"/>
      <c r="BD66" s="98"/>
      <c r="BE66" s="279"/>
      <c r="BF66" s="52"/>
      <c r="BG66" s="105"/>
      <c r="BH66" s="98"/>
      <c r="BI66" s="279"/>
      <c r="BJ66" s="52"/>
      <c r="BK66" s="105"/>
      <c r="BL66" s="98"/>
      <c r="BM66" s="279"/>
      <c r="BN66" s="52"/>
      <c r="BO66" s="105"/>
      <c r="BP66" s="98"/>
      <c r="BQ66" s="279"/>
      <c r="BR66" s="52"/>
      <c r="BS66" s="105"/>
      <c r="BT66" s="98"/>
      <c r="BU66" s="279"/>
      <c r="BV66" s="52"/>
      <c r="BW66" s="105"/>
      <c r="BX66" s="98"/>
      <c r="BY66" s="279"/>
      <c r="BZ66" s="52"/>
      <c r="CA66" s="105"/>
      <c r="CB66" s="98"/>
      <c r="CC66" s="279"/>
      <c r="CD66" s="52"/>
      <c r="CE66" s="105"/>
      <c r="CF66" s="98"/>
      <c r="CG66" s="279"/>
      <c r="CH66" s="52"/>
      <c r="CI66" s="105"/>
      <c r="CJ66" s="98"/>
      <c r="CK66" s="281"/>
      <c r="CL66" s="277"/>
      <c r="CM66" s="159"/>
      <c r="CN66" s="277"/>
      <c r="CO66" s="50">
        <f t="shared" si="26"/>
        <v>0</v>
      </c>
      <c r="CP66" s="103">
        <f t="shared" si="27"/>
        <v>0</v>
      </c>
      <c r="CQ66" s="280">
        <f t="shared" si="28"/>
        <v>0</v>
      </c>
      <c r="CR66" s="63">
        <f t="shared" si="29"/>
        <v>0</v>
      </c>
      <c r="CS66" s="279"/>
      <c r="CT66" s="52"/>
      <c r="CU66" s="105"/>
      <c r="CV66" s="98"/>
      <c r="CW66" s="279"/>
      <c r="CX66" s="52"/>
      <c r="CY66" s="105"/>
      <c r="CZ66" s="98"/>
      <c r="DA66" s="279"/>
      <c r="DB66" s="52"/>
      <c r="DC66" s="105"/>
      <c r="DD66" s="98"/>
      <c r="DE66" s="279"/>
      <c r="DF66" s="52"/>
      <c r="DG66" s="105"/>
      <c r="DH66" s="98"/>
      <c r="DI66" s="279"/>
      <c r="DJ66" s="52"/>
      <c r="DK66" s="105"/>
      <c r="DL66" s="98"/>
      <c r="DM66" s="279"/>
      <c r="DN66" s="52"/>
      <c r="DO66" s="105"/>
      <c r="DP66" s="98"/>
      <c r="DQ66" s="279"/>
      <c r="DR66" s="52"/>
      <c r="DS66" s="105"/>
      <c r="DT66" s="98"/>
      <c r="DU66" s="279"/>
      <c r="DV66" s="52"/>
      <c r="DW66" s="105"/>
      <c r="DX66" s="98"/>
      <c r="DY66" s="279"/>
      <c r="DZ66" s="52"/>
      <c r="EA66" s="105"/>
      <c r="EB66" s="98"/>
      <c r="EC66" s="279"/>
      <c r="ED66" s="52"/>
      <c r="EE66" s="105"/>
      <c r="EF66" s="98"/>
      <c r="EG66" s="159"/>
      <c r="EH66" s="277"/>
      <c r="EI66" s="50">
        <f t="shared" si="30"/>
        <v>0</v>
      </c>
      <c r="EJ66" s="103">
        <f t="shared" si="31"/>
        <v>0</v>
      </c>
      <c r="EK66" s="164">
        <f t="shared" si="32"/>
        <v>0</v>
      </c>
      <c r="EL66" s="280">
        <f t="shared" si="33"/>
        <v>0</v>
      </c>
      <c r="EM66" s="63">
        <f t="shared" si="34"/>
        <v>0</v>
      </c>
      <c r="EN66" s="359">
        <f t="shared" si="35"/>
        <v>0</v>
      </c>
      <c r="EO66" s="51">
        <f t="shared" si="36"/>
        <v>0</v>
      </c>
      <c r="EP66" s="361">
        <f t="shared" si="37"/>
        <v>0</v>
      </c>
      <c r="EQ66" s="281"/>
      <c r="ER66" s="277"/>
      <c r="ES66" s="281"/>
      <c r="ET66" s="277"/>
      <c r="EU66" s="281"/>
      <c r="EV66" s="277"/>
      <c r="EW66" s="281"/>
      <c r="EX66" s="277"/>
      <c r="EY66" s="281"/>
      <c r="EZ66" s="277"/>
      <c r="FA66" s="281"/>
      <c r="FB66" s="277"/>
      <c r="FC66" s="281"/>
      <c r="FD66" s="277"/>
      <c r="FE66" s="281"/>
      <c r="FF66" s="277"/>
      <c r="FG66" s="281"/>
      <c r="FH66" s="277"/>
      <c r="FI66" s="281"/>
      <c r="FJ66" s="277"/>
      <c r="FK66" s="50">
        <f t="shared" si="38"/>
        <v>0</v>
      </c>
      <c r="FL66" s="63">
        <f t="shared" si="39"/>
        <v>0</v>
      </c>
      <c r="FM66" s="50">
        <f t="shared" si="21"/>
        <v>389</v>
      </c>
      <c r="FN66" s="360">
        <f t="shared" si="22"/>
        <v>529</v>
      </c>
      <c r="FO66" s="3"/>
      <c r="FP66" s="279"/>
      <c r="FQ66" s="52"/>
      <c r="FR66" s="296"/>
      <c r="FS66" s="98"/>
      <c r="FT66" s="467"/>
      <c r="FU66" s="52"/>
      <c r="FV66" s="296"/>
      <c r="FW66" s="98"/>
      <c r="FX66" s="467"/>
      <c r="FY66" s="52"/>
      <c r="FZ66" s="296"/>
      <c r="GA66" s="98"/>
      <c r="GB66" s="467"/>
      <c r="GC66" s="52"/>
      <c r="GD66" s="296"/>
      <c r="GE66" s="98"/>
      <c r="GF66" s="467"/>
      <c r="GG66" s="52"/>
      <c r="GH66" s="296"/>
      <c r="GI66" s="98"/>
      <c r="GJ66" s="467"/>
      <c r="GK66" s="52"/>
      <c r="GL66" s="296"/>
      <c r="GM66" s="464"/>
      <c r="GN66" s="467"/>
      <c r="GO66" s="52"/>
      <c r="GP66" s="296"/>
      <c r="GQ66" s="464"/>
      <c r="GR66" s="467"/>
      <c r="GS66" s="52"/>
      <c r="GT66" s="296"/>
      <c r="GU66" s="464"/>
      <c r="GV66" s="467"/>
      <c r="GW66" s="52"/>
      <c r="GX66" s="296"/>
      <c r="GY66" s="464"/>
      <c r="GZ66" s="467"/>
      <c r="HA66" s="52"/>
      <c r="HB66" s="296"/>
      <c r="HC66" s="3"/>
    </row>
    <row r="67" spans="1:211" s="86" customFormat="1">
      <c r="A67" s="283" t="s">
        <v>345</v>
      </c>
      <c r="B67" s="284" t="s">
        <v>443</v>
      </c>
      <c r="C67" s="283">
        <v>106795</v>
      </c>
      <c r="D67" s="341">
        <v>10</v>
      </c>
      <c r="E67" s="460">
        <v>93</v>
      </c>
      <c r="F67" s="277">
        <v>114</v>
      </c>
      <c r="G67" s="158"/>
      <c r="H67" s="535"/>
      <c r="I67" s="158">
        <v>96</v>
      </c>
      <c r="J67" s="338">
        <v>86</v>
      </c>
      <c r="K67" s="160">
        <f t="shared" si="23"/>
        <v>0</v>
      </c>
      <c r="L67" s="161">
        <f t="shared" si="1"/>
        <v>0</v>
      </c>
      <c r="M67" s="54"/>
      <c r="N67" s="55"/>
      <c r="O67" s="55"/>
      <c r="P67" s="55"/>
      <c r="Q67" s="162">
        <f t="shared" si="24"/>
        <v>0</v>
      </c>
      <c r="R67" s="277"/>
      <c r="S67" s="277"/>
      <c r="T67" s="277"/>
      <c r="U67" s="277"/>
      <c r="V67" s="97">
        <f t="shared" si="25"/>
        <v>0</v>
      </c>
      <c r="W67" s="279"/>
      <c r="X67" s="52"/>
      <c r="Y67" s="99"/>
      <c r="Z67" s="53"/>
      <c r="AA67" s="228"/>
      <c r="AB67" s="52"/>
      <c r="AC67" s="99"/>
      <c r="AD67" s="53"/>
      <c r="AE67" s="228"/>
      <c r="AF67" s="52"/>
      <c r="AG67" s="99"/>
      <c r="AH67" s="53"/>
      <c r="AI67" s="228"/>
      <c r="AJ67" s="52"/>
      <c r="AK67" s="99"/>
      <c r="AL67" s="53"/>
      <c r="AM67" s="228"/>
      <c r="AN67" s="52"/>
      <c r="AO67" s="99"/>
      <c r="AP67" s="53"/>
      <c r="AQ67" s="50">
        <f t="shared" si="4"/>
        <v>0</v>
      </c>
      <c r="AR67" s="163">
        <f t="shared" si="5"/>
        <v>0</v>
      </c>
      <c r="AS67" s="97">
        <f t="shared" si="6"/>
        <v>0</v>
      </c>
      <c r="AT67" s="278">
        <f t="shared" si="7"/>
        <v>0</v>
      </c>
      <c r="AU67" s="55"/>
      <c r="AV67" s="277"/>
      <c r="AW67" s="279"/>
      <c r="AX67" s="52"/>
      <c r="AY67" s="105"/>
      <c r="AZ67" s="98"/>
      <c r="BA67" s="279"/>
      <c r="BB67" s="52"/>
      <c r="BC67" s="105"/>
      <c r="BD67" s="98"/>
      <c r="BE67" s="279"/>
      <c r="BF67" s="52"/>
      <c r="BG67" s="105"/>
      <c r="BH67" s="98"/>
      <c r="BI67" s="279"/>
      <c r="BJ67" s="52"/>
      <c r="BK67" s="105"/>
      <c r="BL67" s="98"/>
      <c r="BM67" s="279"/>
      <c r="BN67" s="52"/>
      <c r="BO67" s="105"/>
      <c r="BP67" s="98"/>
      <c r="BQ67" s="279"/>
      <c r="BR67" s="52"/>
      <c r="BS67" s="105"/>
      <c r="BT67" s="98"/>
      <c r="BU67" s="279"/>
      <c r="BV67" s="52"/>
      <c r="BW67" s="105"/>
      <c r="BX67" s="98"/>
      <c r="BY67" s="279"/>
      <c r="BZ67" s="52"/>
      <c r="CA67" s="105"/>
      <c r="CB67" s="98"/>
      <c r="CC67" s="279"/>
      <c r="CD67" s="52"/>
      <c r="CE67" s="105"/>
      <c r="CF67" s="98"/>
      <c r="CG67" s="279"/>
      <c r="CH67" s="52"/>
      <c r="CI67" s="105"/>
      <c r="CJ67" s="98"/>
      <c r="CK67" s="281"/>
      <c r="CL67" s="277"/>
      <c r="CM67" s="159"/>
      <c r="CN67" s="277"/>
      <c r="CO67" s="50">
        <f t="shared" si="26"/>
        <v>0</v>
      </c>
      <c r="CP67" s="103">
        <f t="shared" si="27"/>
        <v>0</v>
      </c>
      <c r="CQ67" s="280">
        <f t="shared" si="28"/>
        <v>0</v>
      </c>
      <c r="CR67" s="63">
        <f t="shared" si="29"/>
        <v>0</v>
      </c>
      <c r="CS67" s="279"/>
      <c r="CT67" s="52"/>
      <c r="CU67" s="105"/>
      <c r="CV67" s="98"/>
      <c r="CW67" s="279"/>
      <c r="CX67" s="52"/>
      <c r="CY67" s="105"/>
      <c r="CZ67" s="98"/>
      <c r="DA67" s="279"/>
      <c r="DB67" s="52"/>
      <c r="DC67" s="105"/>
      <c r="DD67" s="98"/>
      <c r="DE67" s="279"/>
      <c r="DF67" s="52"/>
      <c r="DG67" s="105"/>
      <c r="DH67" s="98"/>
      <c r="DI67" s="279"/>
      <c r="DJ67" s="52"/>
      <c r="DK67" s="105"/>
      <c r="DL67" s="98"/>
      <c r="DM67" s="279"/>
      <c r="DN67" s="52"/>
      <c r="DO67" s="105"/>
      <c r="DP67" s="98"/>
      <c r="DQ67" s="279"/>
      <c r="DR67" s="52"/>
      <c r="DS67" s="105"/>
      <c r="DT67" s="98"/>
      <c r="DU67" s="279"/>
      <c r="DV67" s="52"/>
      <c r="DW67" s="105"/>
      <c r="DX67" s="98"/>
      <c r="DY67" s="279"/>
      <c r="DZ67" s="52"/>
      <c r="EA67" s="105"/>
      <c r="EB67" s="98"/>
      <c r="EC67" s="279"/>
      <c r="ED67" s="52"/>
      <c r="EE67" s="105"/>
      <c r="EF67" s="98"/>
      <c r="EG67" s="159"/>
      <c r="EH67" s="277"/>
      <c r="EI67" s="50">
        <f t="shared" si="30"/>
        <v>0</v>
      </c>
      <c r="EJ67" s="103">
        <f t="shared" si="31"/>
        <v>0</v>
      </c>
      <c r="EK67" s="164">
        <f t="shared" si="32"/>
        <v>0</v>
      </c>
      <c r="EL67" s="280">
        <f t="shared" si="33"/>
        <v>0</v>
      </c>
      <c r="EM67" s="63">
        <f t="shared" si="34"/>
        <v>0</v>
      </c>
      <c r="EN67" s="359">
        <f t="shared" si="35"/>
        <v>0</v>
      </c>
      <c r="EO67" s="51">
        <f t="shared" si="36"/>
        <v>0</v>
      </c>
      <c r="EP67" s="361">
        <f t="shared" si="37"/>
        <v>0</v>
      </c>
      <c r="EQ67" s="281"/>
      <c r="ER67" s="277"/>
      <c r="ES67" s="281"/>
      <c r="ET67" s="277"/>
      <c r="EU67" s="281"/>
      <c r="EV67" s="277"/>
      <c r="EW67" s="281"/>
      <c r="EX67" s="277"/>
      <c r="EY67" s="281"/>
      <c r="EZ67" s="277"/>
      <c r="FA67" s="281"/>
      <c r="FB67" s="277"/>
      <c r="FC67" s="281"/>
      <c r="FD67" s="277"/>
      <c r="FE67" s="281"/>
      <c r="FF67" s="277"/>
      <c r="FG67" s="281"/>
      <c r="FH67" s="277"/>
      <c r="FI67" s="281"/>
      <c r="FJ67" s="277"/>
      <c r="FK67" s="50">
        <f t="shared" si="38"/>
        <v>0</v>
      </c>
      <c r="FL67" s="63">
        <f t="shared" si="39"/>
        <v>0</v>
      </c>
      <c r="FM67" s="50">
        <f t="shared" si="21"/>
        <v>189</v>
      </c>
      <c r="FN67" s="360">
        <f t="shared" si="22"/>
        <v>200</v>
      </c>
      <c r="FO67" s="3"/>
      <c r="FP67" s="279"/>
      <c r="FQ67" s="52"/>
      <c r="FR67" s="296"/>
      <c r="FS67" s="98"/>
      <c r="FT67" s="467"/>
      <c r="FU67" s="52"/>
      <c r="FV67" s="296"/>
      <c r="FW67" s="98"/>
      <c r="FX67" s="467"/>
      <c r="FY67" s="52"/>
      <c r="FZ67" s="296"/>
      <c r="GA67" s="98"/>
      <c r="GB67" s="467"/>
      <c r="GC67" s="52"/>
      <c r="GD67" s="296"/>
      <c r="GE67" s="98"/>
      <c r="GF67" s="467"/>
      <c r="GG67" s="52"/>
      <c r="GH67" s="296"/>
      <c r="GI67" s="98"/>
      <c r="GJ67" s="467"/>
      <c r="GK67" s="52"/>
      <c r="GL67" s="296"/>
      <c r="GM67" s="464"/>
      <c r="GN67" s="467"/>
      <c r="GO67" s="52"/>
      <c r="GP67" s="296"/>
      <c r="GQ67" s="464"/>
      <c r="GR67" s="467"/>
      <c r="GS67" s="52"/>
      <c r="GT67" s="296"/>
      <c r="GU67" s="464"/>
      <c r="GV67" s="467"/>
      <c r="GW67" s="52"/>
      <c r="GX67" s="296"/>
      <c r="GY67" s="464"/>
      <c r="GZ67" s="467"/>
      <c r="HA67" s="52"/>
      <c r="HB67" s="296"/>
      <c r="HC67" s="3"/>
    </row>
    <row r="68" spans="1:211" s="86" customFormat="1">
      <c r="A68" s="283" t="s">
        <v>345</v>
      </c>
      <c r="B68" s="284" t="s">
        <v>444</v>
      </c>
      <c r="C68" s="283">
        <v>106883</v>
      </c>
      <c r="D68" s="341">
        <v>10</v>
      </c>
      <c r="E68" s="460">
        <v>124</v>
      </c>
      <c r="F68" s="277">
        <v>204</v>
      </c>
      <c r="G68" s="158"/>
      <c r="H68" s="535"/>
      <c r="I68" s="158">
        <v>125</v>
      </c>
      <c r="J68" s="338">
        <v>117</v>
      </c>
      <c r="K68" s="160">
        <f t="shared" si="23"/>
        <v>0</v>
      </c>
      <c r="L68" s="161">
        <f t="shared" si="1"/>
        <v>0</v>
      </c>
      <c r="M68" s="54"/>
      <c r="N68" s="55"/>
      <c r="O68" s="55"/>
      <c r="P68" s="55"/>
      <c r="Q68" s="162">
        <f t="shared" si="24"/>
        <v>0</v>
      </c>
      <c r="R68" s="277"/>
      <c r="S68" s="277"/>
      <c r="T68" s="277"/>
      <c r="U68" s="277"/>
      <c r="V68" s="97">
        <f t="shared" si="25"/>
        <v>0</v>
      </c>
      <c r="W68" s="279"/>
      <c r="X68" s="52"/>
      <c r="Y68" s="99"/>
      <c r="Z68" s="53"/>
      <c r="AA68" s="228"/>
      <c r="AB68" s="52"/>
      <c r="AC68" s="99"/>
      <c r="AD68" s="53"/>
      <c r="AE68" s="228"/>
      <c r="AF68" s="52"/>
      <c r="AG68" s="99"/>
      <c r="AH68" s="53"/>
      <c r="AI68" s="228"/>
      <c r="AJ68" s="52"/>
      <c r="AK68" s="99"/>
      <c r="AL68" s="53"/>
      <c r="AM68" s="228"/>
      <c r="AN68" s="52"/>
      <c r="AO68" s="99"/>
      <c r="AP68" s="53"/>
      <c r="AQ68" s="50">
        <f t="shared" si="4"/>
        <v>0</v>
      </c>
      <c r="AR68" s="163">
        <f t="shared" si="5"/>
        <v>0</v>
      </c>
      <c r="AS68" s="97">
        <f t="shared" si="6"/>
        <v>0</v>
      </c>
      <c r="AT68" s="278">
        <f t="shared" si="7"/>
        <v>0</v>
      </c>
      <c r="AU68" s="55"/>
      <c r="AV68" s="277"/>
      <c r="AW68" s="279"/>
      <c r="AX68" s="52"/>
      <c r="AY68" s="105"/>
      <c r="AZ68" s="98"/>
      <c r="BA68" s="279"/>
      <c r="BB68" s="52"/>
      <c r="BC68" s="105"/>
      <c r="BD68" s="98"/>
      <c r="BE68" s="279"/>
      <c r="BF68" s="52"/>
      <c r="BG68" s="105"/>
      <c r="BH68" s="98"/>
      <c r="BI68" s="279"/>
      <c r="BJ68" s="52"/>
      <c r="BK68" s="105"/>
      <c r="BL68" s="98"/>
      <c r="BM68" s="279"/>
      <c r="BN68" s="52"/>
      <c r="BO68" s="105"/>
      <c r="BP68" s="98"/>
      <c r="BQ68" s="279"/>
      <c r="BR68" s="52"/>
      <c r="BS68" s="105"/>
      <c r="BT68" s="98"/>
      <c r="BU68" s="279"/>
      <c r="BV68" s="52"/>
      <c r="BW68" s="105"/>
      <c r="BX68" s="98"/>
      <c r="BY68" s="279"/>
      <c r="BZ68" s="52"/>
      <c r="CA68" s="105"/>
      <c r="CB68" s="98"/>
      <c r="CC68" s="279"/>
      <c r="CD68" s="52"/>
      <c r="CE68" s="105"/>
      <c r="CF68" s="98"/>
      <c r="CG68" s="279"/>
      <c r="CH68" s="52"/>
      <c r="CI68" s="105"/>
      <c r="CJ68" s="98"/>
      <c r="CK68" s="281"/>
      <c r="CL68" s="277"/>
      <c r="CM68" s="159"/>
      <c r="CN68" s="277"/>
      <c r="CO68" s="50">
        <f t="shared" si="26"/>
        <v>0</v>
      </c>
      <c r="CP68" s="103">
        <f t="shared" si="27"/>
        <v>0</v>
      </c>
      <c r="CQ68" s="280">
        <f t="shared" si="28"/>
        <v>0</v>
      </c>
      <c r="CR68" s="63">
        <f t="shared" si="29"/>
        <v>0</v>
      </c>
      <c r="CS68" s="279"/>
      <c r="CT68" s="52"/>
      <c r="CU68" s="105"/>
      <c r="CV68" s="98"/>
      <c r="CW68" s="279"/>
      <c r="CX68" s="52"/>
      <c r="CY68" s="105"/>
      <c r="CZ68" s="98"/>
      <c r="DA68" s="279"/>
      <c r="DB68" s="52"/>
      <c r="DC68" s="105"/>
      <c r="DD68" s="98"/>
      <c r="DE68" s="279"/>
      <c r="DF68" s="52"/>
      <c r="DG68" s="105"/>
      <c r="DH68" s="98"/>
      <c r="DI68" s="279"/>
      <c r="DJ68" s="52"/>
      <c r="DK68" s="105"/>
      <c r="DL68" s="98"/>
      <c r="DM68" s="279"/>
      <c r="DN68" s="52"/>
      <c r="DO68" s="105"/>
      <c r="DP68" s="98"/>
      <c r="DQ68" s="279"/>
      <c r="DR68" s="52"/>
      <c r="DS68" s="105"/>
      <c r="DT68" s="98"/>
      <c r="DU68" s="279"/>
      <c r="DV68" s="52"/>
      <c r="DW68" s="105"/>
      <c r="DX68" s="98"/>
      <c r="DY68" s="279"/>
      <c r="DZ68" s="52"/>
      <c r="EA68" s="105"/>
      <c r="EB68" s="98"/>
      <c r="EC68" s="279"/>
      <c r="ED68" s="52"/>
      <c r="EE68" s="105"/>
      <c r="EF68" s="98"/>
      <c r="EG68" s="159"/>
      <c r="EH68" s="277"/>
      <c r="EI68" s="50">
        <f t="shared" si="30"/>
        <v>0</v>
      </c>
      <c r="EJ68" s="103">
        <f t="shared" si="31"/>
        <v>0</v>
      </c>
      <c r="EK68" s="164">
        <f t="shared" si="32"/>
        <v>0</v>
      </c>
      <c r="EL68" s="280">
        <f t="shared" si="33"/>
        <v>0</v>
      </c>
      <c r="EM68" s="63">
        <f t="shared" si="34"/>
        <v>0</v>
      </c>
      <c r="EN68" s="359">
        <f t="shared" si="35"/>
        <v>0</v>
      </c>
      <c r="EO68" s="51">
        <f t="shared" si="36"/>
        <v>0</v>
      </c>
      <c r="EP68" s="361">
        <f t="shared" si="37"/>
        <v>0</v>
      </c>
      <c r="EQ68" s="281"/>
      <c r="ER68" s="277"/>
      <c r="ES68" s="281"/>
      <c r="ET68" s="277"/>
      <c r="EU68" s="281"/>
      <c r="EV68" s="277"/>
      <c r="EW68" s="281"/>
      <c r="EX68" s="277"/>
      <c r="EY68" s="281"/>
      <c r="EZ68" s="277"/>
      <c r="FA68" s="281"/>
      <c r="FB68" s="277"/>
      <c r="FC68" s="281"/>
      <c r="FD68" s="277"/>
      <c r="FE68" s="281"/>
      <c r="FF68" s="277"/>
      <c r="FG68" s="281"/>
      <c r="FH68" s="277"/>
      <c r="FI68" s="281"/>
      <c r="FJ68" s="277"/>
      <c r="FK68" s="50">
        <f t="shared" si="38"/>
        <v>0</v>
      </c>
      <c r="FL68" s="63">
        <f t="shared" si="39"/>
        <v>0</v>
      </c>
      <c r="FM68" s="50">
        <f t="shared" si="21"/>
        <v>249</v>
      </c>
      <c r="FN68" s="360">
        <f t="shared" si="22"/>
        <v>321</v>
      </c>
      <c r="FO68" s="3"/>
      <c r="FP68" s="279"/>
      <c r="FQ68" s="52"/>
      <c r="FR68" s="296"/>
      <c r="FS68" s="98"/>
      <c r="FT68" s="467"/>
      <c r="FU68" s="52"/>
      <c r="FV68" s="296"/>
      <c r="FW68" s="98"/>
      <c r="FX68" s="467"/>
      <c r="FY68" s="52"/>
      <c r="FZ68" s="296"/>
      <c r="GA68" s="98"/>
      <c r="GB68" s="467"/>
      <c r="GC68" s="52"/>
      <c r="GD68" s="296"/>
      <c r="GE68" s="98"/>
      <c r="GF68" s="467"/>
      <c r="GG68" s="52"/>
      <c r="GH68" s="296"/>
      <c r="GI68" s="98"/>
      <c r="GJ68" s="467"/>
      <c r="GK68" s="52"/>
      <c r="GL68" s="296"/>
      <c r="GM68" s="464"/>
      <c r="GN68" s="467"/>
      <c r="GO68" s="52"/>
      <c r="GP68" s="296"/>
      <c r="GQ68" s="464"/>
      <c r="GR68" s="467"/>
      <c r="GS68" s="52"/>
      <c r="GT68" s="296"/>
      <c r="GU68" s="464"/>
      <c r="GV68" s="467"/>
      <c r="GW68" s="52"/>
      <c r="GX68" s="296"/>
      <c r="GY68" s="464"/>
      <c r="GZ68" s="467"/>
      <c r="HA68" s="52"/>
      <c r="HB68" s="296"/>
      <c r="HC68" s="3"/>
    </row>
    <row r="69" spans="1:211" s="86" customFormat="1">
      <c r="A69" s="283" t="s">
        <v>345</v>
      </c>
      <c r="B69" s="284" t="s">
        <v>445</v>
      </c>
      <c r="C69" s="283">
        <v>107318</v>
      </c>
      <c r="D69" s="341">
        <v>10</v>
      </c>
      <c r="E69" s="460">
        <v>35</v>
      </c>
      <c r="F69" s="277">
        <v>51</v>
      </c>
      <c r="G69" s="158"/>
      <c r="H69" s="535"/>
      <c r="I69" s="158">
        <v>64</v>
      </c>
      <c r="J69" s="338">
        <v>76</v>
      </c>
      <c r="K69" s="160">
        <f t="shared" si="23"/>
        <v>0</v>
      </c>
      <c r="L69" s="161">
        <f t="shared" si="1"/>
        <v>0</v>
      </c>
      <c r="M69" s="54"/>
      <c r="N69" s="55"/>
      <c r="O69" s="55"/>
      <c r="P69" s="55"/>
      <c r="Q69" s="162">
        <f t="shared" si="24"/>
        <v>0</v>
      </c>
      <c r="R69" s="277"/>
      <c r="S69" s="277"/>
      <c r="T69" s="277"/>
      <c r="U69" s="277"/>
      <c r="V69" s="97">
        <f t="shared" si="25"/>
        <v>0</v>
      </c>
      <c r="W69" s="279"/>
      <c r="X69" s="52"/>
      <c r="Y69" s="99"/>
      <c r="Z69" s="53"/>
      <c r="AA69" s="228"/>
      <c r="AB69" s="52"/>
      <c r="AC69" s="99"/>
      <c r="AD69" s="53"/>
      <c r="AE69" s="228"/>
      <c r="AF69" s="52"/>
      <c r="AG69" s="99"/>
      <c r="AH69" s="53"/>
      <c r="AI69" s="228"/>
      <c r="AJ69" s="52"/>
      <c r="AK69" s="99"/>
      <c r="AL69" s="53"/>
      <c r="AM69" s="228"/>
      <c r="AN69" s="52"/>
      <c r="AO69" s="99"/>
      <c r="AP69" s="53"/>
      <c r="AQ69" s="50">
        <f t="shared" si="4"/>
        <v>0</v>
      </c>
      <c r="AR69" s="163">
        <f t="shared" si="5"/>
        <v>0</v>
      </c>
      <c r="AS69" s="97">
        <f t="shared" si="6"/>
        <v>0</v>
      </c>
      <c r="AT69" s="278">
        <f t="shared" si="7"/>
        <v>0</v>
      </c>
      <c r="AU69" s="55"/>
      <c r="AV69" s="277"/>
      <c r="AW69" s="279"/>
      <c r="AX69" s="52"/>
      <c r="AY69" s="105"/>
      <c r="AZ69" s="98"/>
      <c r="BA69" s="279"/>
      <c r="BB69" s="52"/>
      <c r="BC69" s="105"/>
      <c r="BD69" s="98"/>
      <c r="BE69" s="279"/>
      <c r="BF69" s="52"/>
      <c r="BG69" s="105"/>
      <c r="BH69" s="98"/>
      <c r="BI69" s="279"/>
      <c r="BJ69" s="52"/>
      <c r="BK69" s="105"/>
      <c r="BL69" s="98"/>
      <c r="BM69" s="279"/>
      <c r="BN69" s="52"/>
      <c r="BO69" s="105"/>
      <c r="BP69" s="98"/>
      <c r="BQ69" s="279"/>
      <c r="BR69" s="52"/>
      <c r="BS69" s="105"/>
      <c r="BT69" s="98"/>
      <c r="BU69" s="279"/>
      <c r="BV69" s="52"/>
      <c r="BW69" s="105"/>
      <c r="BX69" s="98"/>
      <c r="BY69" s="279"/>
      <c r="BZ69" s="52"/>
      <c r="CA69" s="105"/>
      <c r="CB69" s="98"/>
      <c r="CC69" s="279"/>
      <c r="CD69" s="52"/>
      <c r="CE69" s="105"/>
      <c r="CF69" s="98"/>
      <c r="CG69" s="279"/>
      <c r="CH69" s="52"/>
      <c r="CI69" s="105"/>
      <c r="CJ69" s="98"/>
      <c r="CK69" s="281"/>
      <c r="CL69" s="277"/>
      <c r="CM69" s="159"/>
      <c r="CN69" s="277"/>
      <c r="CO69" s="50">
        <f t="shared" si="26"/>
        <v>0</v>
      </c>
      <c r="CP69" s="103">
        <f t="shared" si="27"/>
        <v>0</v>
      </c>
      <c r="CQ69" s="280">
        <f t="shared" si="28"/>
        <v>0</v>
      </c>
      <c r="CR69" s="63">
        <f t="shared" si="29"/>
        <v>0</v>
      </c>
      <c r="CS69" s="279"/>
      <c r="CT69" s="52"/>
      <c r="CU69" s="105"/>
      <c r="CV69" s="98"/>
      <c r="CW69" s="279"/>
      <c r="CX69" s="52"/>
      <c r="CY69" s="105"/>
      <c r="CZ69" s="98"/>
      <c r="DA69" s="279"/>
      <c r="DB69" s="52"/>
      <c r="DC69" s="105"/>
      <c r="DD69" s="98"/>
      <c r="DE69" s="279"/>
      <c r="DF69" s="52"/>
      <c r="DG69" s="105"/>
      <c r="DH69" s="98"/>
      <c r="DI69" s="279"/>
      <c r="DJ69" s="52"/>
      <c r="DK69" s="105"/>
      <c r="DL69" s="98"/>
      <c r="DM69" s="279"/>
      <c r="DN69" s="52"/>
      <c r="DO69" s="105"/>
      <c r="DP69" s="98"/>
      <c r="DQ69" s="279"/>
      <c r="DR69" s="52"/>
      <c r="DS69" s="105"/>
      <c r="DT69" s="98"/>
      <c r="DU69" s="279"/>
      <c r="DV69" s="52"/>
      <c r="DW69" s="105"/>
      <c r="DX69" s="98"/>
      <c r="DY69" s="279"/>
      <c r="DZ69" s="52"/>
      <c r="EA69" s="105"/>
      <c r="EB69" s="98"/>
      <c r="EC69" s="279"/>
      <c r="ED69" s="52"/>
      <c r="EE69" s="105"/>
      <c r="EF69" s="98"/>
      <c r="EG69" s="159"/>
      <c r="EH69" s="277"/>
      <c r="EI69" s="50">
        <f t="shared" si="30"/>
        <v>0</v>
      </c>
      <c r="EJ69" s="103">
        <f t="shared" si="31"/>
        <v>0</v>
      </c>
      <c r="EK69" s="164">
        <f t="shared" si="32"/>
        <v>0</v>
      </c>
      <c r="EL69" s="280">
        <f t="shared" si="33"/>
        <v>0</v>
      </c>
      <c r="EM69" s="63">
        <f t="shared" si="34"/>
        <v>0</v>
      </c>
      <c r="EN69" s="359">
        <f t="shared" si="35"/>
        <v>0</v>
      </c>
      <c r="EO69" s="51">
        <f t="shared" si="36"/>
        <v>0</v>
      </c>
      <c r="EP69" s="361">
        <f t="shared" si="37"/>
        <v>0</v>
      </c>
      <c r="EQ69" s="281"/>
      <c r="ER69" s="277"/>
      <c r="ES69" s="281"/>
      <c r="ET69" s="277"/>
      <c r="EU69" s="281"/>
      <c r="EV69" s="277"/>
      <c r="EW69" s="281"/>
      <c r="EX69" s="277"/>
      <c r="EY69" s="281"/>
      <c r="EZ69" s="277"/>
      <c r="FA69" s="281"/>
      <c r="FB69" s="277"/>
      <c r="FC69" s="281"/>
      <c r="FD69" s="277"/>
      <c r="FE69" s="281"/>
      <c r="FF69" s="277"/>
      <c r="FG69" s="281"/>
      <c r="FH69" s="277"/>
      <c r="FI69" s="281"/>
      <c r="FJ69" s="277"/>
      <c r="FK69" s="50">
        <f t="shared" si="38"/>
        <v>0</v>
      </c>
      <c r="FL69" s="63">
        <f t="shared" si="39"/>
        <v>0</v>
      </c>
      <c r="FM69" s="50">
        <f t="shared" si="21"/>
        <v>99</v>
      </c>
      <c r="FN69" s="360">
        <f t="shared" si="22"/>
        <v>127</v>
      </c>
      <c r="FO69" s="3"/>
      <c r="FP69" s="279"/>
      <c r="FQ69" s="52"/>
      <c r="FR69" s="296"/>
      <c r="FS69" s="98"/>
      <c r="FT69" s="467"/>
      <c r="FU69" s="52"/>
      <c r="FV69" s="296"/>
      <c r="FW69" s="98"/>
      <c r="FX69" s="467"/>
      <c r="FY69" s="52"/>
      <c r="FZ69" s="296"/>
      <c r="GA69" s="98"/>
      <c r="GB69" s="467"/>
      <c r="GC69" s="52"/>
      <c r="GD69" s="296"/>
      <c r="GE69" s="98"/>
      <c r="GF69" s="467"/>
      <c r="GG69" s="52"/>
      <c r="GH69" s="296"/>
      <c r="GI69" s="98"/>
      <c r="GJ69" s="467"/>
      <c r="GK69" s="52"/>
      <c r="GL69" s="296"/>
      <c r="GM69" s="464"/>
      <c r="GN69" s="467"/>
      <c r="GO69" s="52"/>
      <c r="GP69" s="296"/>
      <c r="GQ69" s="464"/>
      <c r="GR69" s="467"/>
      <c r="GS69" s="52"/>
      <c r="GT69" s="296"/>
      <c r="GU69" s="464"/>
      <c r="GV69" s="467"/>
      <c r="GW69" s="52"/>
      <c r="GX69" s="296"/>
      <c r="GY69" s="464"/>
      <c r="GZ69" s="467"/>
      <c r="HA69" s="52"/>
      <c r="HB69" s="296"/>
      <c r="HC69" s="3"/>
    </row>
    <row r="70" spans="1:211" s="86" customFormat="1">
      <c r="A70" s="283" t="s">
        <v>345</v>
      </c>
      <c r="B70" s="363" t="s">
        <v>446</v>
      </c>
      <c r="C70" s="283">
        <v>106980</v>
      </c>
      <c r="D70" s="341">
        <v>10</v>
      </c>
      <c r="E70" s="460">
        <v>209</v>
      </c>
      <c r="F70" s="277">
        <v>191</v>
      </c>
      <c r="G70" s="158"/>
      <c r="H70" s="535"/>
      <c r="I70" s="158">
        <v>292</v>
      </c>
      <c r="J70" s="338">
        <v>379</v>
      </c>
      <c r="K70" s="160">
        <f t="shared" si="23"/>
        <v>0</v>
      </c>
      <c r="L70" s="161">
        <f t="shared" si="1"/>
        <v>0</v>
      </c>
      <c r="M70" s="54"/>
      <c r="N70" s="55"/>
      <c r="O70" s="55"/>
      <c r="P70" s="55"/>
      <c r="Q70" s="162">
        <f t="shared" si="24"/>
        <v>0</v>
      </c>
      <c r="R70" s="277"/>
      <c r="S70" s="277"/>
      <c r="T70" s="277"/>
      <c r="U70" s="277"/>
      <c r="V70" s="97">
        <f t="shared" si="25"/>
        <v>0</v>
      </c>
      <c r="W70" s="279"/>
      <c r="X70" s="52"/>
      <c r="Y70" s="99"/>
      <c r="Z70" s="53"/>
      <c r="AA70" s="228"/>
      <c r="AB70" s="52"/>
      <c r="AC70" s="99"/>
      <c r="AD70" s="53"/>
      <c r="AE70" s="228"/>
      <c r="AF70" s="52"/>
      <c r="AG70" s="99"/>
      <c r="AH70" s="53"/>
      <c r="AI70" s="228"/>
      <c r="AJ70" s="52"/>
      <c r="AK70" s="99"/>
      <c r="AL70" s="53"/>
      <c r="AM70" s="228"/>
      <c r="AN70" s="52"/>
      <c r="AO70" s="99"/>
      <c r="AP70" s="53"/>
      <c r="AQ70" s="50">
        <f t="shared" si="4"/>
        <v>0</v>
      </c>
      <c r="AR70" s="163">
        <f t="shared" si="5"/>
        <v>0</v>
      </c>
      <c r="AS70" s="97">
        <f t="shared" si="6"/>
        <v>0</v>
      </c>
      <c r="AT70" s="278">
        <f t="shared" si="7"/>
        <v>0</v>
      </c>
      <c r="AU70" s="55"/>
      <c r="AV70" s="277"/>
      <c r="AW70" s="279"/>
      <c r="AX70" s="52"/>
      <c r="AY70" s="105"/>
      <c r="AZ70" s="98"/>
      <c r="BA70" s="279"/>
      <c r="BB70" s="52"/>
      <c r="BC70" s="105"/>
      <c r="BD70" s="98"/>
      <c r="BE70" s="279"/>
      <c r="BF70" s="52"/>
      <c r="BG70" s="105"/>
      <c r="BH70" s="98"/>
      <c r="BI70" s="279"/>
      <c r="BJ70" s="52"/>
      <c r="BK70" s="105"/>
      <c r="BL70" s="98"/>
      <c r="BM70" s="279"/>
      <c r="BN70" s="52"/>
      <c r="BO70" s="105"/>
      <c r="BP70" s="98"/>
      <c r="BQ70" s="279"/>
      <c r="BR70" s="52"/>
      <c r="BS70" s="105"/>
      <c r="BT70" s="98"/>
      <c r="BU70" s="279"/>
      <c r="BV70" s="52"/>
      <c r="BW70" s="105"/>
      <c r="BX70" s="98"/>
      <c r="BY70" s="279"/>
      <c r="BZ70" s="52"/>
      <c r="CA70" s="105"/>
      <c r="CB70" s="98"/>
      <c r="CC70" s="279"/>
      <c r="CD70" s="52"/>
      <c r="CE70" s="105"/>
      <c r="CF70" s="98"/>
      <c r="CG70" s="279"/>
      <c r="CH70" s="52"/>
      <c r="CI70" s="105"/>
      <c r="CJ70" s="98"/>
      <c r="CK70" s="281"/>
      <c r="CL70" s="277"/>
      <c r="CM70" s="159"/>
      <c r="CN70" s="277"/>
      <c r="CO70" s="50">
        <f t="shared" si="26"/>
        <v>0</v>
      </c>
      <c r="CP70" s="103">
        <f t="shared" si="27"/>
        <v>0</v>
      </c>
      <c r="CQ70" s="280">
        <f t="shared" si="28"/>
        <v>0</v>
      </c>
      <c r="CR70" s="63">
        <f t="shared" si="29"/>
        <v>0</v>
      </c>
      <c r="CS70" s="279"/>
      <c r="CT70" s="52"/>
      <c r="CU70" s="105"/>
      <c r="CV70" s="98"/>
      <c r="CW70" s="279"/>
      <c r="CX70" s="52"/>
      <c r="CY70" s="105"/>
      <c r="CZ70" s="98"/>
      <c r="DA70" s="279"/>
      <c r="DB70" s="52"/>
      <c r="DC70" s="105"/>
      <c r="DD70" s="98"/>
      <c r="DE70" s="279"/>
      <c r="DF70" s="52"/>
      <c r="DG70" s="105"/>
      <c r="DH70" s="98"/>
      <c r="DI70" s="279"/>
      <c r="DJ70" s="52"/>
      <c r="DK70" s="105"/>
      <c r="DL70" s="98"/>
      <c r="DM70" s="279"/>
      <c r="DN70" s="52"/>
      <c r="DO70" s="105"/>
      <c r="DP70" s="98"/>
      <c r="DQ70" s="279"/>
      <c r="DR70" s="52"/>
      <c r="DS70" s="105"/>
      <c r="DT70" s="98"/>
      <c r="DU70" s="279"/>
      <c r="DV70" s="52"/>
      <c r="DW70" s="105"/>
      <c r="DX70" s="98"/>
      <c r="DY70" s="279"/>
      <c r="DZ70" s="52"/>
      <c r="EA70" s="105"/>
      <c r="EB70" s="98"/>
      <c r="EC70" s="279"/>
      <c r="ED70" s="52"/>
      <c r="EE70" s="105"/>
      <c r="EF70" s="98"/>
      <c r="EG70" s="159"/>
      <c r="EH70" s="277"/>
      <c r="EI70" s="50">
        <f t="shared" si="30"/>
        <v>0</v>
      </c>
      <c r="EJ70" s="103">
        <f t="shared" si="31"/>
        <v>0</v>
      </c>
      <c r="EK70" s="164">
        <f t="shared" si="32"/>
        <v>0</v>
      </c>
      <c r="EL70" s="280">
        <f t="shared" si="33"/>
        <v>0</v>
      </c>
      <c r="EM70" s="63">
        <f t="shared" si="34"/>
        <v>0</v>
      </c>
      <c r="EN70" s="359">
        <f t="shared" si="35"/>
        <v>0</v>
      </c>
      <c r="EO70" s="51">
        <f t="shared" si="36"/>
        <v>0</v>
      </c>
      <c r="EP70" s="361">
        <f t="shared" si="37"/>
        <v>0</v>
      </c>
      <c r="EQ70" s="281"/>
      <c r="ER70" s="277"/>
      <c r="ES70" s="281"/>
      <c r="ET70" s="277"/>
      <c r="EU70" s="281"/>
      <c r="EV70" s="277"/>
      <c r="EW70" s="281"/>
      <c r="EX70" s="277"/>
      <c r="EY70" s="281"/>
      <c r="EZ70" s="277"/>
      <c r="FA70" s="281"/>
      <c r="FB70" s="277"/>
      <c r="FC70" s="281"/>
      <c r="FD70" s="277"/>
      <c r="FE70" s="281"/>
      <c r="FF70" s="277"/>
      <c r="FG70" s="281"/>
      <c r="FH70" s="277"/>
      <c r="FI70" s="281"/>
      <c r="FJ70" s="277"/>
      <c r="FK70" s="50">
        <f t="shared" si="38"/>
        <v>0</v>
      </c>
      <c r="FL70" s="63">
        <f t="shared" si="39"/>
        <v>0</v>
      </c>
      <c r="FM70" s="50">
        <f t="shared" si="21"/>
        <v>501</v>
      </c>
      <c r="FN70" s="360">
        <f t="shared" si="22"/>
        <v>570</v>
      </c>
      <c r="FO70" s="3"/>
      <c r="FP70" s="279"/>
      <c r="FQ70" s="52"/>
      <c r="FR70" s="296"/>
      <c r="FS70" s="98"/>
      <c r="FT70" s="467"/>
      <c r="FU70" s="52"/>
      <c r="FV70" s="296"/>
      <c r="FW70" s="98"/>
      <c r="FX70" s="467"/>
      <c r="FY70" s="52"/>
      <c r="FZ70" s="296"/>
      <c r="GA70" s="98"/>
      <c r="GB70" s="467"/>
      <c r="GC70" s="52"/>
      <c r="GD70" s="296"/>
      <c r="GE70" s="98"/>
      <c r="GF70" s="467"/>
      <c r="GG70" s="52"/>
      <c r="GH70" s="296"/>
      <c r="GI70" s="98"/>
      <c r="GJ70" s="467"/>
      <c r="GK70" s="52"/>
      <c r="GL70" s="296"/>
      <c r="GM70" s="464"/>
      <c r="GN70" s="467"/>
      <c r="GO70" s="52"/>
      <c r="GP70" s="296"/>
      <c r="GQ70" s="464"/>
      <c r="GR70" s="467"/>
      <c r="GS70" s="52"/>
      <c r="GT70" s="296"/>
      <c r="GU70" s="464"/>
      <c r="GV70" s="467"/>
      <c r="GW70" s="52"/>
      <c r="GX70" s="296"/>
      <c r="GY70" s="464"/>
      <c r="GZ70" s="467"/>
      <c r="HA70" s="52"/>
      <c r="HB70" s="296"/>
      <c r="HC70" s="3"/>
    </row>
    <row r="71" spans="1:211" s="86" customFormat="1">
      <c r="A71" s="283" t="s">
        <v>345</v>
      </c>
      <c r="B71" s="284" t="s">
        <v>447</v>
      </c>
      <c r="C71" s="283">
        <v>107460</v>
      </c>
      <c r="D71" s="341">
        <v>10</v>
      </c>
      <c r="E71" s="460">
        <v>172</v>
      </c>
      <c r="F71" s="277">
        <v>132</v>
      </c>
      <c r="G71" s="158"/>
      <c r="H71" s="535"/>
      <c r="I71" s="158">
        <v>214</v>
      </c>
      <c r="J71" s="338">
        <v>221</v>
      </c>
      <c r="K71" s="160">
        <f t="shared" si="23"/>
        <v>0</v>
      </c>
      <c r="L71" s="161">
        <f t="shared" si="1"/>
        <v>0</v>
      </c>
      <c r="M71" s="54"/>
      <c r="N71" s="55"/>
      <c r="O71" s="55"/>
      <c r="P71" s="55"/>
      <c r="Q71" s="162">
        <f t="shared" si="24"/>
        <v>0</v>
      </c>
      <c r="R71" s="277"/>
      <c r="S71" s="277"/>
      <c r="T71" s="277"/>
      <c r="U71" s="277"/>
      <c r="V71" s="97">
        <f t="shared" si="25"/>
        <v>0</v>
      </c>
      <c r="W71" s="279"/>
      <c r="X71" s="52"/>
      <c r="Y71" s="99"/>
      <c r="Z71" s="53"/>
      <c r="AA71" s="228"/>
      <c r="AB71" s="52"/>
      <c r="AC71" s="99"/>
      <c r="AD71" s="53"/>
      <c r="AE71" s="228"/>
      <c r="AF71" s="52"/>
      <c r="AG71" s="99"/>
      <c r="AH71" s="53"/>
      <c r="AI71" s="228"/>
      <c r="AJ71" s="52"/>
      <c r="AK71" s="99"/>
      <c r="AL71" s="53"/>
      <c r="AM71" s="228"/>
      <c r="AN71" s="52"/>
      <c r="AO71" s="99"/>
      <c r="AP71" s="53"/>
      <c r="AQ71" s="50">
        <f t="shared" si="4"/>
        <v>0</v>
      </c>
      <c r="AR71" s="163">
        <f t="shared" si="5"/>
        <v>0</v>
      </c>
      <c r="AS71" s="97">
        <f t="shared" si="6"/>
        <v>0</v>
      </c>
      <c r="AT71" s="278">
        <f t="shared" si="7"/>
        <v>0</v>
      </c>
      <c r="AU71" s="55"/>
      <c r="AV71" s="277"/>
      <c r="AW71" s="279"/>
      <c r="AX71" s="52"/>
      <c r="AY71" s="105"/>
      <c r="AZ71" s="98"/>
      <c r="BA71" s="279"/>
      <c r="BB71" s="52"/>
      <c r="BC71" s="105"/>
      <c r="BD71" s="98"/>
      <c r="BE71" s="279"/>
      <c r="BF71" s="52"/>
      <c r="BG71" s="105"/>
      <c r="BH71" s="98"/>
      <c r="BI71" s="279"/>
      <c r="BJ71" s="52"/>
      <c r="BK71" s="105"/>
      <c r="BL71" s="98"/>
      <c r="BM71" s="279"/>
      <c r="BN71" s="52"/>
      <c r="BO71" s="105"/>
      <c r="BP71" s="98"/>
      <c r="BQ71" s="279"/>
      <c r="BR71" s="52"/>
      <c r="BS71" s="105"/>
      <c r="BT71" s="98"/>
      <c r="BU71" s="279"/>
      <c r="BV71" s="52"/>
      <c r="BW71" s="105"/>
      <c r="BX71" s="98"/>
      <c r="BY71" s="279"/>
      <c r="BZ71" s="52"/>
      <c r="CA71" s="105"/>
      <c r="CB71" s="98"/>
      <c r="CC71" s="279"/>
      <c r="CD71" s="52"/>
      <c r="CE71" s="105"/>
      <c r="CF71" s="98"/>
      <c r="CG71" s="279"/>
      <c r="CH71" s="52"/>
      <c r="CI71" s="105"/>
      <c r="CJ71" s="98"/>
      <c r="CK71" s="281"/>
      <c r="CL71" s="277"/>
      <c r="CM71" s="159"/>
      <c r="CN71" s="277"/>
      <c r="CO71" s="50">
        <f t="shared" si="26"/>
        <v>0</v>
      </c>
      <c r="CP71" s="103">
        <f t="shared" si="27"/>
        <v>0</v>
      </c>
      <c r="CQ71" s="280">
        <f t="shared" si="28"/>
        <v>0</v>
      </c>
      <c r="CR71" s="63">
        <f t="shared" si="29"/>
        <v>0</v>
      </c>
      <c r="CS71" s="279"/>
      <c r="CT71" s="52"/>
      <c r="CU71" s="105"/>
      <c r="CV71" s="98"/>
      <c r="CW71" s="279"/>
      <c r="CX71" s="52"/>
      <c r="CY71" s="105"/>
      <c r="CZ71" s="98"/>
      <c r="DA71" s="279"/>
      <c r="DB71" s="52"/>
      <c r="DC71" s="105"/>
      <c r="DD71" s="98"/>
      <c r="DE71" s="279"/>
      <c r="DF71" s="52"/>
      <c r="DG71" s="105"/>
      <c r="DH71" s="98"/>
      <c r="DI71" s="279"/>
      <c r="DJ71" s="52"/>
      <c r="DK71" s="105"/>
      <c r="DL71" s="98"/>
      <c r="DM71" s="279"/>
      <c r="DN71" s="52"/>
      <c r="DO71" s="105"/>
      <c r="DP71" s="98"/>
      <c r="DQ71" s="279"/>
      <c r="DR71" s="52"/>
      <c r="DS71" s="105"/>
      <c r="DT71" s="98"/>
      <c r="DU71" s="279"/>
      <c r="DV71" s="52"/>
      <c r="DW71" s="105"/>
      <c r="DX71" s="98"/>
      <c r="DY71" s="279"/>
      <c r="DZ71" s="52"/>
      <c r="EA71" s="105"/>
      <c r="EB71" s="98"/>
      <c r="EC71" s="279"/>
      <c r="ED71" s="52"/>
      <c r="EE71" s="105"/>
      <c r="EF71" s="98"/>
      <c r="EG71" s="159"/>
      <c r="EH71" s="277"/>
      <c r="EI71" s="50">
        <f t="shared" si="30"/>
        <v>0</v>
      </c>
      <c r="EJ71" s="103">
        <f t="shared" si="31"/>
        <v>0</v>
      </c>
      <c r="EK71" s="164">
        <f t="shared" si="32"/>
        <v>0</v>
      </c>
      <c r="EL71" s="280">
        <f t="shared" si="33"/>
        <v>0</v>
      </c>
      <c r="EM71" s="63">
        <f t="shared" si="34"/>
        <v>0</v>
      </c>
      <c r="EN71" s="359">
        <f t="shared" si="35"/>
        <v>0</v>
      </c>
      <c r="EO71" s="51">
        <f t="shared" si="36"/>
        <v>0</v>
      </c>
      <c r="EP71" s="361">
        <f t="shared" si="37"/>
        <v>0</v>
      </c>
      <c r="EQ71" s="281"/>
      <c r="ER71" s="277"/>
      <c r="ES71" s="281"/>
      <c r="ET71" s="277"/>
      <c r="EU71" s="281"/>
      <c r="EV71" s="277"/>
      <c r="EW71" s="281"/>
      <c r="EX71" s="277"/>
      <c r="EY71" s="281"/>
      <c r="EZ71" s="277"/>
      <c r="FA71" s="281"/>
      <c r="FB71" s="277"/>
      <c r="FC71" s="281"/>
      <c r="FD71" s="277"/>
      <c r="FE71" s="281"/>
      <c r="FF71" s="277"/>
      <c r="FG71" s="281"/>
      <c r="FH71" s="277"/>
      <c r="FI71" s="281"/>
      <c r="FJ71" s="277"/>
      <c r="FK71" s="50">
        <f t="shared" si="38"/>
        <v>0</v>
      </c>
      <c r="FL71" s="63">
        <f t="shared" si="39"/>
        <v>0</v>
      </c>
      <c r="FM71" s="50">
        <f t="shared" si="21"/>
        <v>386</v>
      </c>
      <c r="FN71" s="360">
        <f t="shared" si="22"/>
        <v>353</v>
      </c>
      <c r="FO71" s="3"/>
      <c r="FP71" s="279"/>
      <c r="FQ71" s="52"/>
      <c r="FR71" s="296"/>
      <c r="FS71" s="98"/>
      <c r="FT71" s="467"/>
      <c r="FU71" s="52"/>
      <c r="FV71" s="296"/>
      <c r="FW71" s="98"/>
      <c r="FX71" s="467"/>
      <c r="FY71" s="52"/>
      <c r="FZ71" s="296"/>
      <c r="GA71" s="98"/>
      <c r="GB71" s="467"/>
      <c r="GC71" s="52"/>
      <c r="GD71" s="296"/>
      <c r="GE71" s="98"/>
      <c r="GF71" s="467"/>
      <c r="GG71" s="52"/>
      <c r="GH71" s="296"/>
      <c r="GI71" s="98"/>
      <c r="GJ71" s="467"/>
      <c r="GK71" s="52"/>
      <c r="GL71" s="296"/>
      <c r="GM71" s="464"/>
      <c r="GN71" s="467"/>
      <c r="GO71" s="52"/>
      <c r="GP71" s="296"/>
      <c r="GQ71" s="464"/>
      <c r="GR71" s="467"/>
      <c r="GS71" s="52"/>
      <c r="GT71" s="296"/>
      <c r="GU71" s="464"/>
      <c r="GV71" s="467"/>
      <c r="GW71" s="52"/>
      <c r="GX71" s="296"/>
      <c r="GY71" s="464"/>
      <c r="GZ71" s="467"/>
      <c r="HA71" s="52"/>
      <c r="HB71" s="296"/>
      <c r="HC71" s="3"/>
    </row>
    <row r="72" spans="1:211" s="173" customFormat="1">
      <c r="A72" s="283" t="s">
        <v>345</v>
      </c>
      <c r="B72" s="284" t="s">
        <v>448</v>
      </c>
      <c r="C72" s="283">
        <v>107521</v>
      </c>
      <c r="D72" s="341">
        <v>10</v>
      </c>
      <c r="E72" s="460">
        <v>308</v>
      </c>
      <c r="F72" s="277">
        <v>403</v>
      </c>
      <c r="G72" s="158"/>
      <c r="H72" s="535"/>
      <c r="I72" s="158">
        <v>78</v>
      </c>
      <c r="J72" s="338">
        <v>102</v>
      </c>
      <c r="K72" s="160">
        <f t="shared" si="23"/>
        <v>0</v>
      </c>
      <c r="L72" s="161">
        <f t="shared" si="1"/>
        <v>0</v>
      </c>
      <c r="M72" s="54"/>
      <c r="N72" s="55"/>
      <c r="O72" s="55"/>
      <c r="P72" s="55"/>
      <c r="Q72" s="162">
        <f t="shared" si="24"/>
        <v>0</v>
      </c>
      <c r="R72" s="277"/>
      <c r="S72" s="277"/>
      <c r="T72" s="277"/>
      <c r="U72" s="277"/>
      <c r="V72" s="97">
        <f t="shared" si="25"/>
        <v>0</v>
      </c>
      <c r="W72" s="279"/>
      <c r="X72" s="52"/>
      <c r="Y72" s="99"/>
      <c r="Z72" s="53"/>
      <c r="AA72" s="228"/>
      <c r="AB72" s="52"/>
      <c r="AC72" s="99"/>
      <c r="AD72" s="53"/>
      <c r="AE72" s="228"/>
      <c r="AF72" s="52"/>
      <c r="AG72" s="99"/>
      <c r="AH72" s="53"/>
      <c r="AI72" s="228"/>
      <c r="AJ72" s="52"/>
      <c r="AK72" s="99"/>
      <c r="AL72" s="53"/>
      <c r="AM72" s="228"/>
      <c r="AN72" s="52"/>
      <c r="AO72" s="99"/>
      <c r="AP72" s="53"/>
      <c r="AQ72" s="50">
        <f t="shared" si="4"/>
        <v>0</v>
      </c>
      <c r="AR72" s="163">
        <f t="shared" si="5"/>
        <v>0</v>
      </c>
      <c r="AS72" s="97">
        <f t="shared" si="6"/>
        <v>0</v>
      </c>
      <c r="AT72" s="278">
        <f t="shared" si="7"/>
        <v>0</v>
      </c>
      <c r="AU72" s="55"/>
      <c r="AV72" s="277"/>
      <c r="AW72" s="279"/>
      <c r="AX72" s="52"/>
      <c r="AY72" s="105"/>
      <c r="AZ72" s="98"/>
      <c r="BA72" s="279"/>
      <c r="BB72" s="52"/>
      <c r="BC72" s="105"/>
      <c r="BD72" s="98"/>
      <c r="BE72" s="279"/>
      <c r="BF72" s="52"/>
      <c r="BG72" s="105"/>
      <c r="BH72" s="98"/>
      <c r="BI72" s="279"/>
      <c r="BJ72" s="52"/>
      <c r="BK72" s="105"/>
      <c r="BL72" s="98"/>
      <c r="BM72" s="279"/>
      <c r="BN72" s="52"/>
      <c r="BO72" s="105"/>
      <c r="BP72" s="98"/>
      <c r="BQ72" s="279"/>
      <c r="BR72" s="52"/>
      <c r="BS72" s="105"/>
      <c r="BT72" s="98"/>
      <c r="BU72" s="279"/>
      <c r="BV72" s="52"/>
      <c r="BW72" s="105"/>
      <c r="BX72" s="98"/>
      <c r="BY72" s="279"/>
      <c r="BZ72" s="52"/>
      <c r="CA72" s="105"/>
      <c r="CB72" s="98"/>
      <c r="CC72" s="279"/>
      <c r="CD72" s="52"/>
      <c r="CE72" s="105"/>
      <c r="CF72" s="98"/>
      <c r="CG72" s="279"/>
      <c r="CH72" s="52"/>
      <c r="CI72" s="105"/>
      <c r="CJ72" s="98"/>
      <c r="CK72" s="281"/>
      <c r="CL72" s="277"/>
      <c r="CM72" s="159"/>
      <c r="CN72" s="277"/>
      <c r="CO72" s="50">
        <f t="shared" si="26"/>
        <v>0</v>
      </c>
      <c r="CP72" s="103">
        <f t="shared" si="27"/>
        <v>0</v>
      </c>
      <c r="CQ72" s="280">
        <f t="shared" si="28"/>
        <v>0</v>
      </c>
      <c r="CR72" s="63">
        <f t="shared" si="29"/>
        <v>0</v>
      </c>
      <c r="CS72" s="279"/>
      <c r="CT72" s="52"/>
      <c r="CU72" s="105"/>
      <c r="CV72" s="98"/>
      <c r="CW72" s="279"/>
      <c r="CX72" s="52"/>
      <c r="CY72" s="105"/>
      <c r="CZ72" s="98"/>
      <c r="DA72" s="279"/>
      <c r="DB72" s="52"/>
      <c r="DC72" s="105"/>
      <c r="DD72" s="98"/>
      <c r="DE72" s="279"/>
      <c r="DF72" s="52"/>
      <c r="DG72" s="105"/>
      <c r="DH72" s="98"/>
      <c r="DI72" s="279"/>
      <c r="DJ72" s="52"/>
      <c r="DK72" s="105"/>
      <c r="DL72" s="98"/>
      <c r="DM72" s="279"/>
      <c r="DN72" s="52"/>
      <c r="DO72" s="105"/>
      <c r="DP72" s="98"/>
      <c r="DQ72" s="279"/>
      <c r="DR72" s="52"/>
      <c r="DS72" s="105"/>
      <c r="DT72" s="98"/>
      <c r="DU72" s="279"/>
      <c r="DV72" s="52"/>
      <c r="DW72" s="105"/>
      <c r="DX72" s="98"/>
      <c r="DY72" s="279"/>
      <c r="DZ72" s="52"/>
      <c r="EA72" s="105"/>
      <c r="EB72" s="98"/>
      <c r="EC72" s="279"/>
      <c r="ED72" s="52"/>
      <c r="EE72" s="105"/>
      <c r="EF72" s="98"/>
      <c r="EG72" s="159"/>
      <c r="EH72" s="277"/>
      <c r="EI72" s="50">
        <f t="shared" si="30"/>
        <v>0</v>
      </c>
      <c r="EJ72" s="103">
        <f t="shared" si="31"/>
        <v>0</v>
      </c>
      <c r="EK72" s="164">
        <f t="shared" si="32"/>
        <v>0</v>
      </c>
      <c r="EL72" s="280">
        <f t="shared" si="33"/>
        <v>0</v>
      </c>
      <c r="EM72" s="63">
        <f t="shared" si="34"/>
        <v>0</v>
      </c>
      <c r="EN72" s="359">
        <f t="shared" si="35"/>
        <v>0</v>
      </c>
      <c r="EO72" s="51">
        <f t="shared" si="36"/>
        <v>0</v>
      </c>
      <c r="EP72" s="361">
        <f t="shared" si="37"/>
        <v>0</v>
      </c>
      <c r="EQ72" s="281"/>
      <c r="ER72" s="277"/>
      <c r="ES72" s="281"/>
      <c r="ET72" s="277"/>
      <c r="EU72" s="281"/>
      <c r="EV72" s="277"/>
      <c r="EW72" s="281"/>
      <c r="EX72" s="277"/>
      <c r="EY72" s="281"/>
      <c r="EZ72" s="277"/>
      <c r="FA72" s="281"/>
      <c r="FB72" s="277"/>
      <c r="FC72" s="281"/>
      <c r="FD72" s="277"/>
      <c r="FE72" s="281"/>
      <c r="FF72" s="277"/>
      <c r="FG72" s="281"/>
      <c r="FH72" s="277"/>
      <c r="FI72" s="281"/>
      <c r="FJ72" s="277"/>
      <c r="FK72" s="50">
        <f t="shared" si="38"/>
        <v>0</v>
      </c>
      <c r="FL72" s="63">
        <f t="shared" si="39"/>
        <v>0</v>
      </c>
      <c r="FM72" s="50">
        <f t="shared" si="21"/>
        <v>386</v>
      </c>
      <c r="FN72" s="360">
        <f t="shared" si="22"/>
        <v>505</v>
      </c>
      <c r="FO72" s="3"/>
      <c r="FP72" s="279"/>
      <c r="FQ72" s="52"/>
      <c r="FR72" s="296"/>
      <c r="FS72" s="98"/>
      <c r="FT72" s="467"/>
      <c r="FU72" s="52"/>
      <c r="FV72" s="296"/>
      <c r="FW72" s="98"/>
      <c r="FX72" s="467"/>
      <c r="FY72" s="52"/>
      <c r="FZ72" s="296"/>
      <c r="GA72" s="98"/>
      <c r="GB72" s="467"/>
      <c r="GC72" s="52"/>
      <c r="GD72" s="296"/>
      <c r="GE72" s="98"/>
      <c r="GF72" s="467"/>
      <c r="GG72" s="52"/>
      <c r="GH72" s="296"/>
      <c r="GI72" s="98"/>
      <c r="GJ72" s="467"/>
      <c r="GK72" s="52"/>
      <c r="GL72" s="296"/>
      <c r="GM72" s="464"/>
      <c r="GN72" s="467"/>
      <c r="GO72" s="52"/>
      <c r="GP72" s="296"/>
      <c r="GQ72" s="464"/>
      <c r="GR72" s="467"/>
      <c r="GS72" s="52"/>
      <c r="GT72" s="296"/>
      <c r="GU72" s="464"/>
      <c r="GV72" s="467"/>
      <c r="GW72" s="52"/>
      <c r="GX72" s="296"/>
      <c r="GY72" s="464"/>
      <c r="GZ72" s="467"/>
      <c r="HA72" s="52"/>
      <c r="HB72" s="296"/>
      <c r="HC72" s="3"/>
    </row>
    <row r="73" spans="1:211" s="173" customFormat="1">
      <c r="A73" s="283" t="s">
        <v>345</v>
      </c>
      <c r="B73" s="284" t="s">
        <v>449</v>
      </c>
      <c r="C73" s="283">
        <v>107549</v>
      </c>
      <c r="D73" s="341">
        <v>10</v>
      </c>
      <c r="E73" s="460">
        <v>75</v>
      </c>
      <c r="F73" s="277">
        <v>99</v>
      </c>
      <c r="G73" s="158"/>
      <c r="H73" s="535"/>
      <c r="I73" s="158">
        <v>97</v>
      </c>
      <c r="J73" s="338">
        <v>118</v>
      </c>
      <c r="K73" s="160">
        <f t="shared" si="23"/>
        <v>0</v>
      </c>
      <c r="L73" s="161">
        <f t="shared" si="1"/>
        <v>0</v>
      </c>
      <c r="M73" s="54"/>
      <c r="N73" s="55"/>
      <c r="O73" s="55"/>
      <c r="P73" s="55"/>
      <c r="Q73" s="162">
        <f t="shared" si="24"/>
        <v>0</v>
      </c>
      <c r="R73" s="277"/>
      <c r="S73" s="277"/>
      <c r="T73" s="277"/>
      <c r="U73" s="277"/>
      <c r="V73" s="97">
        <f t="shared" si="25"/>
        <v>0</v>
      </c>
      <c r="W73" s="279"/>
      <c r="X73" s="52"/>
      <c r="Y73" s="99"/>
      <c r="Z73" s="53"/>
      <c r="AA73" s="228"/>
      <c r="AB73" s="52"/>
      <c r="AC73" s="99"/>
      <c r="AD73" s="53"/>
      <c r="AE73" s="228"/>
      <c r="AF73" s="52"/>
      <c r="AG73" s="99"/>
      <c r="AH73" s="53"/>
      <c r="AI73" s="228"/>
      <c r="AJ73" s="52"/>
      <c r="AK73" s="99"/>
      <c r="AL73" s="53"/>
      <c r="AM73" s="228"/>
      <c r="AN73" s="52"/>
      <c r="AO73" s="99"/>
      <c r="AP73" s="53"/>
      <c r="AQ73" s="50">
        <f t="shared" si="4"/>
        <v>0</v>
      </c>
      <c r="AR73" s="163">
        <f t="shared" si="5"/>
        <v>0</v>
      </c>
      <c r="AS73" s="97">
        <f t="shared" si="6"/>
        <v>0</v>
      </c>
      <c r="AT73" s="278">
        <f t="shared" si="7"/>
        <v>0</v>
      </c>
      <c r="AU73" s="55"/>
      <c r="AV73" s="277"/>
      <c r="AW73" s="279"/>
      <c r="AX73" s="52"/>
      <c r="AY73" s="105"/>
      <c r="AZ73" s="98"/>
      <c r="BA73" s="279"/>
      <c r="BB73" s="52"/>
      <c r="BC73" s="105"/>
      <c r="BD73" s="98"/>
      <c r="BE73" s="279"/>
      <c r="BF73" s="52"/>
      <c r="BG73" s="105"/>
      <c r="BH73" s="98"/>
      <c r="BI73" s="279"/>
      <c r="BJ73" s="52"/>
      <c r="BK73" s="105"/>
      <c r="BL73" s="98"/>
      <c r="BM73" s="279"/>
      <c r="BN73" s="52"/>
      <c r="BO73" s="105"/>
      <c r="BP73" s="98"/>
      <c r="BQ73" s="279"/>
      <c r="BR73" s="52"/>
      <c r="BS73" s="105"/>
      <c r="BT73" s="98"/>
      <c r="BU73" s="279"/>
      <c r="BV73" s="52"/>
      <c r="BW73" s="105"/>
      <c r="BX73" s="98"/>
      <c r="BY73" s="279"/>
      <c r="BZ73" s="52"/>
      <c r="CA73" s="105"/>
      <c r="CB73" s="98"/>
      <c r="CC73" s="279"/>
      <c r="CD73" s="52"/>
      <c r="CE73" s="105"/>
      <c r="CF73" s="98"/>
      <c r="CG73" s="279"/>
      <c r="CH73" s="52"/>
      <c r="CI73" s="105"/>
      <c r="CJ73" s="98"/>
      <c r="CK73" s="281"/>
      <c r="CL73" s="277"/>
      <c r="CM73" s="159"/>
      <c r="CN73" s="277"/>
      <c r="CO73" s="50">
        <f t="shared" si="26"/>
        <v>0</v>
      </c>
      <c r="CP73" s="103">
        <f t="shared" si="27"/>
        <v>0</v>
      </c>
      <c r="CQ73" s="280">
        <f t="shared" si="28"/>
        <v>0</v>
      </c>
      <c r="CR73" s="63">
        <f t="shared" si="29"/>
        <v>0</v>
      </c>
      <c r="CS73" s="279"/>
      <c r="CT73" s="52"/>
      <c r="CU73" s="105"/>
      <c r="CV73" s="98"/>
      <c r="CW73" s="279"/>
      <c r="CX73" s="52"/>
      <c r="CY73" s="105"/>
      <c r="CZ73" s="98"/>
      <c r="DA73" s="279"/>
      <c r="DB73" s="52"/>
      <c r="DC73" s="105"/>
      <c r="DD73" s="98"/>
      <c r="DE73" s="279"/>
      <c r="DF73" s="52"/>
      <c r="DG73" s="105"/>
      <c r="DH73" s="98"/>
      <c r="DI73" s="279"/>
      <c r="DJ73" s="52"/>
      <c r="DK73" s="105"/>
      <c r="DL73" s="98"/>
      <c r="DM73" s="279"/>
      <c r="DN73" s="52"/>
      <c r="DO73" s="105"/>
      <c r="DP73" s="98"/>
      <c r="DQ73" s="279"/>
      <c r="DR73" s="52"/>
      <c r="DS73" s="105"/>
      <c r="DT73" s="98"/>
      <c r="DU73" s="279"/>
      <c r="DV73" s="52"/>
      <c r="DW73" s="105"/>
      <c r="DX73" s="98"/>
      <c r="DY73" s="279"/>
      <c r="DZ73" s="52"/>
      <c r="EA73" s="105"/>
      <c r="EB73" s="98"/>
      <c r="EC73" s="279"/>
      <c r="ED73" s="52"/>
      <c r="EE73" s="105"/>
      <c r="EF73" s="98"/>
      <c r="EG73" s="159"/>
      <c r="EH73" s="277"/>
      <c r="EI73" s="50">
        <f t="shared" si="30"/>
        <v>0</v>
      </c>
      <c r="EJ73" s="103">
        <f t="shared" si="31"/>
        <v>0</v>
      </c>
      <c r="EK73" s="164">
        <f t="shared" si="32"/>
        <v>0</v>
      </c>
      <c r="EL73" s="280">
        <f t="shared" si="33"/>
        <v>0</v>
      </c>
      <c r="EM73" s="63">
        <f t="shared" si="34"/>
        <v>0</v>
      </c>
      <c r="EN73" s="359">
        <f t="shared" si="35"/>
        <v>0</v>
      </c>
      <c r="EO73" s="51">
        <f t="shared" si="36"/>
        <v>0</v>
      </c>
      <c r="EP73" s="361">
        <f t="shared" si="37"/>
        <v>0</v>
      </c>
      <c r="EQ73" s="281"/>
      <c r="ER73" s="277"/>
      <c r="ES73" s="281"/>
      <c r="ET73" s="277"/>
      <c r="EU73" s="281"/>
      <c r="EV73" s="277"/>
      <c r="EW73" s="281"/>
      <c r="EX73" s="277"/>
      <c r="EY73" s="281"/>
      <c r="EZ73" s="277"/>
      <c r="FA73" s="281"/>
      <c r="FB73" s="277"/>
      <c r="FC73" s="281"/>
      <c r="FD73" s="277"/>
      <c r="FE73" s="281"/>
      <c r="FF73" s="277"/>
      <c r="FG73" s="281"/>
      <c r="FH73" s="277"/>
      <c r="FI73" s="281"/>
      <c r="FJ73" s="277"/>
      <c r="FK73" s="50">
        <f t="shared" si="38"/>
        <v>0</v>
      </c>
      <c r="FL73" s="63">
        <f t="shared" si="39"/>
        <v>0</v>
      </c>
      <c r="FM73" s="50">
        <f t="shared" si="21"/>
        <v>172</v>
      </c>
      <c r="FN73" s="360">
        <f t="shared" si="22"/>
        <v>217</v>
      </c>
      <c r="FO73" s="3"/>
      <c r="FP73" s="279"/>
      <c r="FQ73" s="52"/>
      <c r="FR73" s="296"/>
      <c r="FS73" s="98"/>
      <c r="FT73" s="467"/>
      <c r="FU73" s="52"/>
      <c r="FV73" s="296"/>
      <c r="FW73" s="98"/>
      <c r="FX73" s="467"/>
      <c r="FY73" s="52"/>
      <c r="FZ73" s="296"/>
      <c r="GA73" s="98"/>
      <c r="GB73" s="467"/>
      <c r="GC73" s="52"/>
      <c r="GD73" s="296"/>
      <c r="GE73" s="98"/>
      <c r="GF73" s="467"/>
      <c r="GG73" s="52"/>
      <c r="GH73" s="296"/>
      <c r="GI73" s="98"/>
      <c r="GJ73" s="467"/>
      <c r="GK73" s="52"/>
      <c r="GL73" s="296"/>
      <c r="GM73" s="464"/>
      <c r="GN73" s="467"/>
      <c r="GO73" s="52"/>
      <c r="GP73" s="296"/>
      <c r="GQ73" s="464"/>
      <c r="GR73" s="467"/>
      <c r="GS73" s="52"/>
      <c r="GT73" s="296"/>
      <c r="GU73" s="464"/>
      <c r="GV73" s="467"/>
      <c r="GW73" s="52"/>
      <c r="GX73" s="296"/>
      <c r="GY73" s="464"/>
      <c r="GZ73" s="467"/>
      <c r="HA73" s="52"/>
      <c r="HB73" s="296"/>
      <c r="HC73" s="3"/>
    </row>
    <row r="74" spans="1:211" s="173" customFormat="1">
      <c r="A74" s="283" t="s">
        <v>345</v>
      </c>
      <c r="B74" s="284" t="s">
        <v>450</v>
      </c>
      <c r="C74" s="283">
        <v>107619</v>
      </c>
      <c r="D74" s="341">
        <v>10</v>
      </c>
      <c r="E74" s="460">
        <v>148</v>
      </c>
      <c r="F74" s="277">
        <v>250</v>
      </c>
      <c r="G74" s="158"/>
      <c r="H74" s="535"/>
      <c r="I74" s="158">
        <v>158</v>
      </c>
      <c r="J74" s="338">
        <v>148</v>
      </c>
      <c r="K74" s="160">
        <f t="shared" si="23"/>
        <v>0</v>
      </c>
      <c r="L74" s="161">
        <f t="shared" ref="L74:L137" si="40">IF(R74&gt;0,J74/R74, )</f>
        <v>0</v>
      </c>
      <c r="M74" s="54"/>
      <c r="N74" s="55"/>
      <c r="O74" s="55"/>
      <c r="P74" s="55"/>
      <c r="Q74" s="162">
        <f t="shared" si="24"/>
        <v>0</v>
      </c>
      <c r="R74" s="277"/>
      <c r="S74" s="277"/>
      <c r="T74" s="277"/>
      <c r="U74" s="277"/>
      <c r="V74" s="97">
        <f t="shared" si="25"/>
        <v>0</v>
      </c>
      <c r="W74" s="279"/>
      <c r="X74" s="52"/>
      <c r="Y74" s="99"/>
      <c r="Z74" s="53"/>
      <c r="AA74" s="228"/>
      <c r="AB74" s="52"/>
      <c r="AC74" s="99"/>
      <c r="AD74" s="53"/>
      <c r="AE74" s="228"/>
      <c r="AF74" s="52"/>
      <c r="AG74" s="99"/>
      <c r="AH74" s="53"/>
      <c r="AI74" s="228"/>
      <c r="AJ74" s="52"/>
      <c r="AK74" s="99"/>
      <c r="AL74" s="53"/>
      <c r="AM74" s="228"/>
      <c r="AN74" s="52"/>
      <c r="AO74" s="99"/>
      <c r="AP74" s="53"/>
      <c r="AQ74" s="50">
        <f t="shared" ref="AQ74:AQ137" si="41">COUNTA(W74,AA74,AE74,AI74,AM74)</f>
        <v>0</v>
      </c>
      <c r="AR74" s="163">
        <f t="shared" ref="AR74:AR137" si="42">IF(FM74&gt;0,M74/FM74,)</f>
        <v>0</v>
      </c>
      <c r="AS74" s="97">
        <f t="shared" ref="AS74:AS137" si="43">COUNTA(Y74,AC74,AG74,AK74,AO74)</f>
        <v>0</v>
      </c>
      <c r="AT74" s="278">
        <f t="shared" ref="AT74:AT137" si="44">IF(FN74&gt;0,R74/FN74,)</f>
        <v>0</v>
      </c>
      <c r="AU74" s="55"/>
      <c r="AV74" s="277"/>
      <c r="AW74" s="279"/>
      <c r="AX74" s="52"/>
      <c r="AY74" s="105"/>
      <c r="AZ74" s="98"/>
      <c r="BA74" s="279"/>
      <c r="BB74" s="52"/>
      <c r="BC74" s="105"/>
      <c r="BD74" s="98"/>
      <c r="BE74" s="279"/>
      <c r="BF74" s="52"/>
      <c r="BG74" s="105"/>
      <c r="BH74" s="98"/>
      <c r="BI74" s="279"/>
      <c r="BJ74" s="52"/>
      <c r="BK74" s="105"/>
      <c r="BL74" s="98"/>
      <c r="BM74" s="279"/>
      <c r="BN74" s="52"/>
      <c r="BO74" s="105"/>
      <c r="BP74" s="98"/>
      <c r="BQ74" s="279"/>
      <c r="BR74" s="52"/>
      <c r="BS74" s="105"/>
      <c r="BT74" s="98"/>
      <c r="BU74" s="279"/>
      <c r="BV74" s="52"/>
      <c r="BW74" s="105"/>
      <c r="BX74" s="98"/>
      <c r="BY74" s="279"/>
      <c r="BZ74" s="52"/>
      <c r="CA74" s="105"/>
      <c r="CB74" s="98"/>
      <c r="CC74" s="279"/>
      <c r="CD74" s="52"/>
      <c r="CE74" s="105"/>
      <c r="CF74" s="98"/>
      <c r="CG74" s="279"/>
      <c r="CH74" s="52"/>
      <c r="CI74" s="105"/>
      <c r="CJ74" s="98"/>
      <c r="CK74" s="281"/>
      <c r="CL74" s="277"/>
      <c r="CM74" s="159"/>
      <c r="CN74" s="277"/>
      <c r="CO74" s="50">
        <f t="shared" si="26"/>
        <v>0</v>
      </c>
      <c r="CP74" s="103">
        <f t="shared" si="27"/>
        <v>0</v>
      </c>
      <c r="CQ74" s="280">
        <f t="shared" si="28"/>
        <v>0</v>
      </c>
      <c r="CR74" s="63">
        <f t="shared" si="29"/>
        <v>0</v>
      </c>
      <c r="CS74" s="279"/>
      <c r="CT74" s="52"/>
      <c r="CU74" s="105"/>
      <c r="CV74" s="98"/>
      <c r="CW74" s="279"/>
      <c r="CX74" s="52"/>
      <c r="CY74" s="105"/>
      <c r="CZ74" s="98"/>
      <c r="DA74" s="279"/>
      <c r="DB74" s="52"/>
      <c r="DC74" s="105"/>
      <c r="DD74" s="98"/>
      <c r="DE74" s="279"/>
      <c r="DF74" s="52"/>
      <c r="DG74" s="105"/>
      <c r="DH74" s="98"/>
      <c r="DI74" s="279"/>
      <c r="DJ74" s="52"/>
      <c r="DK74" s="105"/>
      <c r="DL74" s="98"/>
      <c r="DM74" s="279"/>
      <c r="DN74" s="52"/>
      <c r="DO74" s="105"/>
      <c r="DP74" s="98"/>
      <c r="DQ74" s="279"/>
      <c r="DR74" s="52"/>
      <c r="DS74" s="105"/>
      <c r="DT74" s="98"/>
      <c r="DU74" s="279"/>
      <c r="DV74" s="52"/>
      <c r="DW74" s="105"/>
      <c r="DX74" s="98"/>
      <c r="DY74" s="279"/>
      <c r="DZ74" s="52"/>
      <c r="EA74" s="105"/>
      <c r="EB74" s="98"/>
      <c r="EC74" s="279"/>
      <c r="ED74" s="52"/>
      <c r="EE74" s="105"/>
      <c r="EF74" s="98"/>
      <c r="EG74" s="159"/>
      <c r="EH74" s="277"/>
      <c r="EI74" s="50">
        <f t="shared" si="30"/>
        <v>0</v>
      </c>
      <c r="EJ74" s="103">
        <f t="shared" si="31"/>
        <v>0</v>
      </c>
      <c r="EK74" s="164">
        <f t="shared" si="32"/>
        <v>0</v>
      </c>
      <c r="EL74" s="280">
        <f t="shared" si="33"/>
        <v>0</v>
      </c>
      <c r="EM74" s="63">
        <f t="shared" si="34"/>
        <v>0</v>
      </c>
      <c r="EN74" s="359">
        <f t="shared" si="35"/>
        <v>0</v>
      </c>
      <c r="EO74" s="51">
        <f t="shared" si="36"/>
        <v>0</v>
      </c>
      <c r="EP74" s="361">
        <f t="shared" si="37"/>
        <v>0</v>
      </c>
      <c r="EQ74" s="281"/>
      <c r="ER74" s="277"/>
      <c r="ES74" s="281"/>
      <c r="ET74" s="277"/>
      <c r="EU74" s="281"/>
      <c r="EV74" s="277"/>
      <c r="EW74" s="281"/>
      <c r="EX74" s="277"/>
      <c r="EY74" s="281"/>
      <c r="EZ74" s="277"/>
      <c r="FA74" s="281"/>
      <c r="FB74" s="277"/>
      <c r="FC74" s="281"/>
      <c r="FD74" s="277"/>
      <c r="FE74" s="281"/>
      <c r="FF74" s="277"/>
      <c r="FG74" s="281"/>
      <c r="FH74" s="277"/>
      <c r="FI74" s="281"/>
      <c r="FJ74" s="277"/>
      <c r="FK74" s="50">
        <f t="shared" si="38"/>
        <v>0</v>
      </c>
      <c r="FL74" s="63">
        <f t="shared" si="39"/>
        <v>0</v>
      </c>
      <c r="FM74" s="50">
        <f t="shared" ref="FM74:FM137" si="45">E74+G74+I74+M74+AU74+EO74+FK74</f>
        <v>306</v>
      </c>
      <c r="FN74" s="360">
        <f t="shared" ref="FN74:FN137" si="46">F74+H74+J74+R74+AV74+EP74+FL74</f>
        <v>398</v>
      </c>
      <c r="FO74" s="3"/>
      <c r="FP74" s="279"/>
      <c r="FQ74" s="52"/>
      <c r="FR74" s="296"/>
      <c r="FS74" s="98"/>
      <c r="FT74" s="467"/>
      <c r="FU74" s="52"/>
      <c r="FV74" s="296"/>
      <c r="FW74" s="98"/>
      <c r="FX74" s="467"/>
      <c r="FY74" s="52"/>
      <c r="FZ74" s="296"/>
      <c r="GA74" s="98"/>
      <c r="GB74" s="467"/>
      <c r="GC74" s="52"/>
      <c r="GD74" s="296"/>
      <c r="GE74" s="98"/>
      <c r="GF74" s="467"/>
      <c r="GG74" s="52"/>
      <c r="GH74" s="296"/>
      <c r="GI74" s="98"/>
      <c r="GJ74" s="467"/>
      <c r="GK74" s="52"/>
      <c r="GL74" s="296"/>
      <c r="GM74" s="464"/>
      <c r="GN74" s="467"/>
      <c r="GO74" s="52"/>
      <c r="GP74" s="296"/>
      <c r="GQ74" s="464"/>
      <c r="GR74" s="467"/>
      <c r="GS74" s="52"/>
      <c r="GT74" s="296"/>
      <c r="GU74" s="464"/>
      <c r="GV74" s="467"/>
      <c r="GW74" s="52"/>
      <c r="GX74" s="296"/>
      <c r="GY74" s="464"/>
      <c r="GZ74" s="467"/>
      <c r="HA74" s="52"/>
      <c r="HB74" s="296"/>
      <c r="HC74" s="3"/>
    </row>
    <row r="75" spans="1:211" s="173" customFormat="1">
      <c r="A75" s="283" t="s">
        <v>345</v>
      </c>
      <c r="B75" s="284" t="s">
        <v>451</v>
      </c>
      <c r="C75" s="283">
        <v>107743</v>
      </c>
      <c r="D75" s="341">
        <v>10</v>
      </c>
      <c r="E75" s="460">
        <v>29</v>
      </c>
      <c r="F75" s="277">
        <v>83</v>
      </c>
      <c r="G75" s="158"/>
      <c r="H75" s="535"/>
      <c r="I75" s="158">
        <v>62</v>
      </c>
      <c r="J75" s="338">
        <v>66</v>
      </c>
      <c r="K75" s="160">
        <f t="shared" ref="K75:K138" si="47">IF(M75&gt;0,I75/M75, )</f>
        <v>0</v>
      </c>
      <c r="L75" s="161">
        <f t="shared" si="40"/>
        <v>0</v>
      </c>
      <c r="M75" s="54"/>
      <c r="N75" s="55"/>
      <c r="O75" s="55"/>
      <c r="P75" s="55"/>
      <c r="Q75" s="162">
        <f t="shared" ref="Q75:Q138" si="48">SUM(N75:P75)</f>
        <v>0</v>
      </c>
      <c r="R75" s="277"/>
      <c r="S75" s="277"/>
      <c r="T75" s="277"/>
      <c r="U75" s="277"/>
      <c r="V75" s="97">
        <f t="shared" ref="V75:V138" si="49">SUM(S75:U75)</f>
        <v>0</v>
      </c>
      <c r="W75" s="279"/>
      <c r="X75" s="52"/>
      <c r="Y75" s="99"/>
      <c r="Z75" s="53"/>
      <c r="AA75" s="228"/>
      <c r="AB75" s="52"/>
      <c r="AC75" s="99"/>
      <c r="AD75" s="53"/>
      <c r="AE75" s="228"/>
      <c r="AF75" s="52"/>
      <c r="AG75" s="99"/>
      <c r="AH75" s="53"/>
      <c r="AI75" s="228"/>
      <c r="AJ75" s="52"/>
      <c r="AK75" s="99"/>
      <c r="AL75" s="53"/>
      <c r="AM75" s="228"/>
      <c r="AN75" s="52"/>
      <c r="AO75" s="99"/>
      <c r="AP75" s="53"/>
      <c r="AQ75" s="50">
        <f t="shared" si="41"/>
        <v>0</v>
      </c>
      <c r="AR75" s="163">
        <f t="shared" si="42"/>
        <v>0</v>
      </c>
      <c r="AS75" s="97">
        <f t="shared" si="43"/>
        <v>0</v>
      </c>
      <c r="AT75" s="278">
        <f t="shared" si="44"/>
        <v>0</v>
      </c>
      <c r="AU75" s="55"/>
      <c r="AV75" s="277"/>
      <c r="AW75" s="279"/>
      <c r="AX75" s="52"/>
      <c r="AY75" s="105"/>
      <c r="AZ75" s="98"/>
      <c r="BA75" s="279"/>
      <c r="BB75" s="52"/>
      <c r="BC75" s="105"/>
      <c r="BD75" s="98"/>
      <c r="BE75" s="279"/>
      <c r="BF75" s="52"/>
      <c r="BG75" s="105"/>
      <c r="BH75" s="98"/>
      <c r="BI75" s="279"/>
      <c r="BJ75" s="52"/>
      <c r="BK75" s="105"/>
      <c r="BL75" s="98"/>
      <c r="BM75" s="279"/>
      <c r="BN75" s="52"/>
      <c r="BO75" s="105"/>
      <c r="BP75" s="98"/>
      <c r="BQ75" s="279"/>
      <c r="BR75" s="52"/>
      <c r="BS75" s="105"/>
      <c r="BT75" s="98"/>
      <c r="BU75" s="279"/>
      <c r="BV75" s="52"/>
      <c r="BW75" s="105"/>
      <c r="BX75" s="98"/>
      <c r="BY75" s="279"/>
      <c r="BZ75" s="52"/>
      <c r="CA75" s="105"/>
      <c r="CB75" s="98"/>
      <c r="CC75" s="279"/>
      <c r="CD75" s="52"/>
      <c r="CE75" s="105"/>
      <c r="CF75" s="98"/>
      <c r="CG75" s="279"/>
      <c r="CH75" s="52"/>
      <c r="CI75" s="105"/>
      <c r="CJ75" s="98"/>
      <c r="CK75" s="281"/>
      <c r="CL75" s="277"/>
      <c r="CM75" s="159"/>
      <c r="CN75" s="277"/>
      <c r="CO75" s="50">
        <f t="shared" ref="CO75:CO138" si="50">AX75+BB75+BF75+BJ75+BN75+BR75+BV75+BZ75+CD75+CH75+CK75+CM75</f>
        <v>0</v>
      </c>
      <c r="CP75" s="103">
        <f t="shared" ref="CP75:CP138" si="51">COUNTA(AW75,BA75,BE75,BI75,BM75,BQ75,BU75,BY75,CC75,CG75)</f>
        <v>0</v>
      </c>
      <c r="CQ75" s="280">
        <f t="shared" ref="CQ75:CQ138" si="52">AZ75+BD75+BH75+BL75+BP75+BT75+BX75+CF75+CB75+CJ75+CL75+CN75</f>
        <v>0</v>
      </c>
      <c r="CR75" s="63">
        <f t="shared" ref="CR75:CR138" si="53">COUNTA(AY75,BC75,BG75,BK75,BO75,BS75,BW75,CE75,CA75,CI75)</f>
        <v>0</v>
      </c>
      <c r="CS75" s="279"/>
      <c r="CT75" s="52"/>
      <c r="CU75" s="105"/>
      <c r="CV75" s="98"/>
      <c r="CW75" s="279"/>
      <c r="CX75" s="52"/>
      <c r="CY75" s="105"/>
      <c r="CZ75" s="98"/>
      <c r="DA75" s="279"/>
      <c r="DB75" s="52"/>
      <c r="DC75" s="105"/>
      <c r="DD75" s="98"/>
      <c r="DE75" s="279"/>
      <c r="DF75" s="52"/>
      <c r="DG75" s="105"/>
      <c r="DH75" s="98"/>
      <c r="DI75" s="279"/>
      <c r="DJ75" s="52"/>
      <c r="DK75" s="105"/>
      <c r="DL75" s="98"/>
      <c r="DM75" s="279"/>
      <c r="DN75" s="52"/>
      <c r="DO75" s="105"/>
      <c r="DP75" s="98"/>
      <c r="DQ75" s="279"/>
      <c r="DR75" s="52"/>
      <c r="DS75" s="105"/>
      <c r="DT75" s="98"/>
      <c r="DU75" s="279"/>
      <c r="DV75" s="52"/>
      <c r="DW75" s="105"/>
      <c r="DX75" s="98"/>
      <c r="DY75" s="279"/>
      <c r="DZ75" s="52"/>
      <c r="EA75" s="105"/>
      <c r="EB75" s="98"/>
      <c r="EC75" s="279"/>
      <c r="ED75" s="52"/>
      <c r="EE75" s="105"/>
      <c r="EF75" s="98"/>
      <c r="EG75" s="159"/>
      <c r="EH75" s="277"/>
      <c r="EI75" s="50">
        <f t="shared" ref="EI75:EI138" si="54">CT75+CX75+DB75+DF75+DJ75+DN75+DR75+DV75+DZ75+ED75+EG75</f>
        <v>0</v>
      </c>
      <c r="EJ75" s="103">
        <f t="shared" ref="EJ75:EJ138" si="55">COUNTA(CS75,CW75,DA75,DE75,DI75,DM75,DQ75,DU75,DY75,EC75)</f>
        <v>0</v>
      </c>
      <c r="EK75" s="164">
        <f t="shared" ref="EK75:EK138" si="56">IF(EI75&gt;0,CT75/EI75,)</f>
        <v>0</v>
      </c>
      <c r="EL75" s="280">
        <f t="shared" ref="EL75:EL138" si="57">CV75+CZ75+DD75+DH75+DL75+DP75+DT75+DX75+EB75+EF75+EH75</f>
        <v>0</v>
      </c>
      <c r="EM75" s="63">
        <f t="shared" ref="EM75:EM138" si="58">COUNTA(CU75,CY75,DC75,DG75,DK75,DO75,DS75,DW75,EA75,EE75)</f>
        <v>0</v>
      </c>
      <c r="EN75" s="359">
        <f t="shared" ref="EN75:EN138" si="59">IF(EL75&gt;0,CV75/EL75,)</f>
        <v>0</v>
      </c>
      <c r="EO75" s="51">
        <f t="shared" ref="EO75:EO138" si="60">CO75+EI75</f>
        <v>0</v>
      </c>
      <c r="EP75" s="361">
        <f t="shared" ref="EP75:EP138" si="61">CQ75+EL75</f>
        <v>0</v>
      </c>
      <c r="EQ75" s="281"/>
      <c r="ER75" s="277"/>
      <c r="ES75" s="281"/>
      <c r="ET75" s="277"/>
      <c r="EU75" s="281"/>
      <c r="EV75" s="277"/>
      <c r="EW75" s="281"/>
      <c r="EX75" s="277"/>
      <c r="EY75" s="281"/>
      <c r="EZ75" s="277"/>
      <c r="FA75" s="281"/>
      <c r="FB75" s="277"/>
      <c r="FC75" s="281"/>
      <c r="FD75" s="277"/>
      <c r="FE75" s="281"/>
      <c r="FF75" s="277"/>
      <c r="FG75" s="281"/>
      <c r="FH75" s="277"/>
      <c r="FI75" s="281"/>
      <c r="FJ75" s="277"/>
      <c r="FK75" s="50">
        <f t="shared" ref="FK75:FK138" si="62">EQ75+ES75+EU75+EW75+EY75+FA75+FC75+FE75+FG75+FI75</f>
        <v>0</v>
      </c>
      <c r="FL75" s="63">
        <f t="shared" ref="FL75:FL138" si="63">ER75+ET75+EV75+EX75+EZ75+FB75+FD75+FF75+FH75+FJ75</f>
        <v>0</v>
      </c>
      <c r="FM75" s="50">
        <f t="shared" si="45"/>
        <v>91</v>
      </c>
      <c r="FN75" s="360">
        <f t="shared" si="46"/>
        <v>149</v>
      </c>
      <c r="FO75" s="3"/>
      <c r="FP75" s="279"/>
      <c r="FQ75" s="52"/>
      <c r="FR75" s="296"/>
      <c r="FS75" s="98"/>
      <c r="FT75" s="467"/>
      <c r="FU75" s="52"/>
      <c r="FV75" s="296"/>
      <c r="FW75" s="98"/>
      <c r="FX75" s="467"/>
      <c r="FY75" s="52"/>
      <c r="FZ75" s="296"/>
      <c r="GA75" s="98"/>
      <c r="GB75" s="467"/>
      <c r="GC75" s="52"/>
      <c r="GD75" s="296"/>
      <c r="GE75" s="98"/>
      <c r="GF75" s="467"/>
      <c r="GG75" s="52"/>
      <c r="GH75" s="296"/>
      <c r="GI75" s="98"/>
      <c r="GJ75" s="467"/>
      <c r="GK75" s="52"/>
      <c r="GL75" s="296"/>
      <c r="GM75" s="464"/>
      <c r="GN75" s="467"/>
      <c r="GO75" s="52"/>
      <c r="GP75" s="296"/>
      <c r="GQ75" s="464"/>
      <c r="GR75" s="467"/>
      <c r="GS75" s="52"/>
      <c r="GT75" s="296"/>
      <c r="GU75" s="464"/>
      <c r="GV75" s="467"/>
      <c r="GW75" s="52"/>
      <c r="GX75" s="296"/>
      <c r="GY75" s="464"/>
      <c r="GZ75" s="467"/>
      <c r="HA75" s="52"/>
      <c r="HB75" s="296"/>
      <c r="HC75" s="3"/>
    </row>
    <row r="76" spans="1:211" s="173" customFormat="1">
      <c r="A76" s="283" t="s">
        <v>345</v>
      </c>
      <c r="B76" s="284" t="s">
        <v>452</v>
      </c>
      <c r="C76" s="283">
        <v>107974</v>
      </c>
      <c r="D76" s="341">
        <v>10</v>
      </c>
      <c r="E76" s="460">
        <v>205</v>
      </c>
      <c r="F76" s="277">
        <v>230</v>
      </c>
      <c r="G76" s="158"/>
      <c r="H76" s="535">
        <v>2</v>
      </c>
      <c r="I76" s="158">
        <v>107</v>
      </c>
      <c r="J76" s="338">
        <v>95</v>
      </c>
      <c r="K76" s="160">
        <f t="shared" si="47"/>
        <v>0</v>
      </c>
      <c r="L76" s="161">
        <f t="shared" si="40"/>
        <v>0</v>
      </c>
      <c r="M76" s="54"/>
      <c r="N76" s="55"/>
      <c r="O76" s="55"/>
      <c r="P76" s="55"/>
      <c r="Q76" s="162">
        <f t="shared" si="48"/>
        <v>0</v>
      </c>
      <c r="R76" s="277"/>
      <c r="S76" s="277"/>
      <c r="T76" s="277"/>
      <c r="U76" s="277"/>
      <c r="V76" s="97">
        <f t="shared" si="49"/>
        <v>0</v>
      </c>
      <c r="W76" s="279"/>
      <c r="X76" s="52"/>
      <c r="Y76" s="99"/>
      <c r="Z76" s="53"/>
      <c r="AA76" s="228"/>
      <c r="AB76" s="52"/>
      <c r="AC76" s="99"/>
      <c r="AD76" s="53"/>
      <c r="AE76" s="228"/>
      <c r="AF76" s="52"/>
      <c r="AG76" s="99"/>
      <c r="AH76" s="53"/>
      <c r="AI76" s="228"/>
      <c r="AJ76" s="52"/>
      <c r="AK76" s="99"/>
      <c r="AL76" s="53"/>
      <c r="AM76" s="228"/>
      <c r="AN76" s="52"/>
      <c r="AO76" s="99"/>
      <c r="AP76" s="53"/>
      <c r="AQ76" s="50">
        <f t="shared" si="41"/>
        <v>0</v>
      </c>
      <c r="AR76" s="163">
        <f t="shared" si="42"/>
        <v>0</v>
      </c>
      <c r="AS76" s="97">
        <f t="shared" si="43"/>
        <v>0</v>
      </c>
      <c r="AT76" s="278">
        <f t="shared" si="44"/>
        <v>0</v>
      </c>
      <c r="AU76" s="55"/>
      <c r="AV76" s="277"/>
      <c r="AW76" s="279"/>
      <c r="AX76" s="52"/>
      <c r="AY76" s="105"/>
      <c r="AZ76" s="98"/>
      <c r="BA76" s="279"/>
      <c r="BB76" s="52"/>
      <c r="BC76" s="105"/>
      <c r="BD76" s="98"/>
      <c r="BE76" s="279"/>
      <c r="BF76" s="52"/>
      <c r="BG76" s="105"/>
      <c r="BH76" s="98"/>
      <c r="BI76" s="279"/>
      <c r="BJ76" s="52"/>
      <c r="BK76" s="105"/>
      <c r="BL76" s="98"/>
      <c r="BM76" s="279"/>
      <c r="BN76" s="52"/>
      <c r="BO76" s="105"/>
      <c r="BP76" s="98"/>
      <c r="BQ76" s="279"/>
      <c r="BR76" s="52"/>
      <c r="BS76" s="105"/>
      <c r="BT76" s="98"/>
      <c r="BU76" s="279"/>
      <c r="BV76" s="52"/>
      <c r="BW76" s="105"/>
      <c r="BX76" s="98"/>
      <c r="BY76" s="279"/>
      <c r="BZ76" s="52"/>
      <c r="CA76" s="105"/>
      <c r="CB76" s="98"/>
      <c r="CC76" s="279"/>
      <c r="CD76" s="52"/>
      <c r="CE76" s="105"/>
      <c r="CF76" s="98"/>
      <c r="CG76" s="279"/>
      <c r="CH76" s="52"/>
      <c r="CI76" s="105"/>
      <c r="CJ76" s="98"/>
      <c r="CK76" s="281"/>
      <c r="CL76" s="277"/>
      <c r="CM76" s="159"/>
      <c r="CN76" s="277"/>
      <c r="CO76" s="50">
        <f t="shared" si="50"/>
        <v>0</v>
      </c>
      <c r="CP76" s="103">
        <f t="shared" si="51"/>
        <v>0</v>
      </c>
      <c r="CQ76" s="280">
        <f t="shared" si="52"/>
        <v>0</v>
      </c>
      <c r="CR76" s="63">
        <f t="shared" si="53"/>
        <v>0</v>
      </c>
      <c r="CS76" s="279"/>
      <c r="CT76" s="52"/>
      <c r="CU76" s="105"/>
      <c r="CV76" s="98"/>
      <c r="CW76" s="279"/>
      <c r="CX76" s="52"/>
      <c r="CY76" s="105"/>
      <c r="CZ76" s="98"/>
      <c r="DA76" s="279"/>
      <c r="DB76" s="52"/>
      <c r="DC76" s="105"/>
      <c r="DD76" s="98"/>
      <c r="DE76" s="279"/>
      <c r="DF76" s="52"/>
      <c r="DG76" s="105"/>
      <c r="DH76" s="98"/>
      <c r="DI76" s="279"/>
      <c r="DJ76" s="52"/>
      <c r="DK76" s="105"/>
      <c r="DL76" s="98"/>
      <c r="DM76" s="279"/>
      <c r="DN76" s="52"/>
      <c r="DO76" s="105"/>
      <c r="DP76" s="98"/>
      <c r="DQ76" s="279"/>
      <c r="DR76" s="52"/>
      <c r="DS76" s="105"/>
      <c r="DT76" s="98"/>
      <c r="DU76" s="279"/>
      <c r="DV76" s="52"/>
      <c r="DW76" s="105"/>
      <c r="DX76" s="98"/>
      <c r="DY76" s="279"/>
      <c r="DZ76" s="52"/>
      <c r="EA76" s="105"/>
      <c r="EB76" s="98"/>
      <c r="EC76" s="279"/>
      <c r="ED76" s="52"/>
      <c r="EE76" s="105"/>
      <c r="EF76" s="98"/>
      <c r="EG76" s="159"/>
      <c r="EH76" s="277"/>
      <c r="EI76" s="50">
        <f t="shared" si="54"/>
        <v>0</v>
      </c>
      <c r="EJ76" s="103">
        <f t="shared" si="55"/>
        <v>0</v>
      </c>
      <c r="EK76" s="164">
        <f t="shared" si="56"/>
        <v>0</v>
      </c>
      <c r="EL76" s="280">
        <f t="shared" si="57"/>
        <v>0</v>
      </c>
      <c r="EM76" s="63">
        <f t="shared" si="58"/>
        <v>0</v>
      </c>
      <c r="EN76" s="359">
        <f t="shared" si="59"/>
        <v>0</v>
      </c>
      <c r="EO76" s="51">
        <f t="shared" si="60"/>
        <v>0</v>
      </c>
      <c r="EP76" s="361">
        <f t="shared" si="61"/>
        <v>0</v>
      </c>
      <c r="EQ76" s="281"/>
      <c r="ER76" s="277"/>
      <c r="ES76" s="281"/>
      <c r="ET76" s="277"/>
      <c r="EU76" s="281"/>
      <c r="EV76" s="277"/>
      <c r="EW76" s="281"/>
      <c r="EX76" s="277"/>
      <c r="EY76" s="281"/>
      <c r="EZ76" s="277"/>
      <c r="FA76" s="281"/>
      <c r="FB76" s="277"/>
      <c r="FC76" s="281"/>
      <c r="FD76" s="277"/>
      <c r="FE76" s="281"/>
      <c r="FF76" s="277"/>
      <c r="FG76" s="281"/>
      <c r="FH76" s="277"/>
      <c r="FI76" s="281"/>
      <c r="FJ76" s="277"/>
      <c r="FK76" s="50">
        <f t="shared" si="62"/>
        <v>0</v>
      </c>
      <c r="FL76" s="63">
        <f t="shared" si="63"/>
        <v>0</v>
      </c>
      <c r="FM76" s="50">
        <f t="shared" si="45"/>
        <v>312</v>
      </c>
      <c r="FN76" s="360">
        <f t="shared" si="46"/>
        <v>327</v>
      </c>
      <c r="FO76" s="3"/>
      <c r="FP76" s="279"/>
      <c r="FQ76" s="52"/>
      <c r="FR76" s="296"/>
      <c r="FS76" s="98"/>
      <c r="FT76" s="467"/>
      <c r="FU76" s="52"/>
      <c r="FV76" s="296"/>
      <c r="FW76" s="98"/>
      <c r="FX76" s="467"/>
      <c r="FY76" s="52"/>
      <c r="FZ76" s="296"/>
      <c r="GA76" s="98"/>
      <c r="GB76" s="467"/>
      <c r="GC76" s="52"/>
      <c r="GD76" s="296"/>
      <c r="GE76" s="98"/>
      <c r="GF76" s="467"/>
      <c r="GG76" s="52"/>
      <c r="GH76" s="296"/>
      <c r="GI76" s="98"/>
      <c r="GJ76" s="467"/>
      <c r="GK76" s="52"/>
      <c r="GL76" s="296"/>
      <c r="GM76" s="464"/>
      <c r="GN76" s="467"/>
      <c r="GO76" s="52"/>
      <c r="GP76" s="296"/>
      <c r="GQ76" s="464"/>
      <c r="GR76" s="467"/>
      <c r="GS76" s="52"/>
      <c r="GT76" s="296"/>
      <c r="GU76" s="464"/>
      <c r="GV76" s="467"/>
      <c r="GW76" s="52"/>
      <c r="GX76" s="296"/>
      <c r="GY76" s="464"/>
      <c r="GZ76" s="467"/>
      <c r="HA76" s="52"/>
      <c r="HB76" s="296"/>
      <c r="HC76" s="3"/>
    </row>
    <row r="77" spans="1:211" s="86" customFormat="1">
      <c r="A77" s="283" t="s">
        <v>345</v>
      </c>
      <c r="B77" s="284" t="s">
        <v>453</v>
      </c>
      <c r="C77" s="283">
        <v>107637</v>
      </c>
      <c r="D77" s="341">
        <v>10</v>
      </c>
      <c r="E77" s="460">
        <v>284</v>
      </c>
      <c r="F77" s="277">
        <v>593</v>
      </c>
      <c r="G77" s="158"/>
      <c r="H77" s="535"/>
      <c r="I77" s="158">
        <v>142</v>
      </c>
      <c r="J77" s="338">
        <v>166</v>
      </c>
      <c r="K77" s="160">
        <f t="shared" si="47"/>
        <v>0</v>
      </c>
      <c r="L77" s="161">
        <f t="shared" si="40"/>
        <v>0</v>
      </c>
      <c r="M77" s="54"/>
      <c r="N77" s="55"/>
      <c r="O77" s="55"/>
      <c r="P77" s="55"/>
      <c r="Q77" s="162">
        <f t="shared" si="48"/>
        <v>0</v>
      </c>
      <c r="R77" s="277"/>
      <c r="S77" s="277"/>
      <c r="T77" s="277"/>
      <c r="U77" s="277"/>
      <c r="V77" s="97">
        <f t="shared" si="49"/>
        <v>0</v>
      </c>
      <c r="W77" s="279"/>
      <c r="X77" s="52"/>
      <c r="Y77" s="99"/>
      <c r="Z77" s="53"/>
      <c r="AA77" s="228"/>
      <c r="AB77" s="52"/>
      <c r="AC77" s="99"/>
      <c r="AD77" s="53"/>
      <c r="AE77" s="228"/>
      <c r="AF77" s="52"/>
      <c r="AG77" s="99"/>
      <c r="AH77" s="53"/>
      <c r="AI77" s="228"/>
      <c r="AJ77" s="52"/>
      <c r="AK77" s="99"/>
      <c r="AL77" s="53"/>
      <c r="AM77" s="228"/>
      <c r="AN77" s="52"/>
      <c r="AO77" s="99"/>
      <c r="AP77" s="53"/>
      <c r="AQ77" s="50">
        <f t="shared" si="41"/>
        <v>0</v>
      </c>
      <c r="AR77" s="163">
        <f t="shared" si="42"/>
        <v>0</v>
      </c>
      <c r="AS77" s="97">
        <f t="shared" si="43"/>
        <v>0</v>
      </c>
      <c r="AT77" s="278">
        <f t="shared" si="44"/>
        <v>0</v>
      </c>
      <c r="AU77" s="55"/>
      <c r="AV77" s="277"/>
      <c r="AW77" s="279"/>
      <c r="AX77" s="52"/>
      <c r="AY77" s="105"/>
      <c r="AZ77" s="98"/>
      <c r="BA77" s="279"/>
      <c r="BB77" s="52"/>
      <c r="BC77" s="105"/>
      <c r="BD77" s="98"/>
      <c r="BE77" s="279"/>
      <c r="BF77" s="52"/>
      <c r="BG77" s="105"/>
      <c r="BH77" s="98"/>
      <c r="BI77" s="279"/>
      <c r="BJ77" s="52"/>
      <c r="BK77" s="105"/>
      <c r="BL77" s="98"/>
      <c r="BM77" s="279"/>
      <c r="BN77" s="52"/>
      <c r="BO77" s="105"/>
      <c r="BP77" s="98"/>
      <c r="BQ77" s="279"/>
      <c r="BR77" s="52"/>
      <c r="BS77" s="105"/>
      <c r="BT77" s="98"/>
      <c r="BU77" s="279"/>
      <c r="BV77" s="52"/>
      <c r="BW77" s="105"/>
      <c r="BX77" s="98"/>
      <c r="BY77" s="279"/>
      <c r="BZ77" s="52"/>
      <c r="CA77" s="105"/>
      <c r="CB77" s="98"/>
      <c r="CC77" s="279"/>
      <c r="CD77" s="52"/>
      <c r="CE77" s="105"/>
      <c r="CF77" s="98"/>
      <c r="CG77" s="279"/>
      <c r="CH77" s="52"/>
      <c r="CI77" s="105"/>
      <c r="CJ77" s="98"/>
      <c r="CK77" s="281"/>
      <c r="CL77" s="277"/>
      <c r="CM77" s="159"/>
      <c r="CN77" s="277"/>
      <c r="CO77" s="50">
        <f t="shared" si="50"/>
        <v>0</v>
      </c>
      <c r="CP77" s="103">
        <f t="shared" si="51"/>
        <v>0</v>
      </c>
      <c r="CQ77" s="280">
        <f t="shared" si="52"/>
        <v>0</v>
      </c>
      <c r="CR77" s="63">
        <f t="shared" si="53"/>
        <v>0</v>
      </c>
      <c r="CS77" s="279"/>
      <c r="CT77" s="52"/>
      <c r="CU77" s="105"/>
      <c r="CV77" s="98"/>
      <c r="CW77" s="279"/>
      <c r="CX77" s="52"/>
      <c r="CY77" s="105"/>
      <c r="CZ77" s="98"/>
      <c r="DA77" s="279"/>
      <c r="DB77" s="52"/>
      <c r="DC77" s="105"/>
      <c r="DD77" s="98"/>
      <c r="DE77" s="279"/>
      <c r="DF77" s="52"/>
      <c r="DG77" s="105"/>
      <c r="DH77" s="98"/>
      <c r="DI77" s="279"/>
      <c r="DJ77" s="52"/>
      <c r="DK77" s="105"/>
      <c r="DL77" s="98"/>
      <c r="DM77" s="279"/>
      <c r="DN77" s="52"/>
      <c r="DO77" s="105"/>
      <c r="DP77" s="98"/>
      <c r="DQ77" s="279"/>
      <c r="DR77" s="52"/>
      <c r="DS77" s="105"/>
      <c r="DT77" s="98"/>
      <c r="DU77" s="279"/>
      <c r="DV77" s="52"/>
      <c r="DW77" s="105"/>
      <c r="DX77" s="98"/>
      <c r="DY77" s="279"/>
      <c r="DZ77" s="52"/>
      <c r="EA77" s="105"/>
      <c r="EB77" s="98"/>
      <c r="EC77" s="279"/>
      <c r="ED77" s="52"/>
      <c r="EE77" s="105"/>
      <c r="EF77" s="98"/>
      <c r="EG77" s="159"/>
      <c r="EH77" s="277"/>
      <c r="EI77" s="50">
        <f t="shared" si="54"/>
        <v>0</v>
      </c>
      <c r="EJ77" s="103">
        <f t="shared" si="55"/>
        <v>0</v>
      </c>
      <c r="EK77" s="164">
        <f t="shared" si="56"/>
        <v>0</v>
      </c>
      <c r="EL77" s="280">
        <f t="shared" si="57"/>
        <v>0</v>
      </c>
      <c r="EM77" s="63">
        <f t="shared" si="58"/>
        <v>0</v>
      </c>
      <c r="EN77" s="359">
        <f t="shared" si="59"/>
        <v>0</v>
      </c>
      <c r="EO77" s="51">
        <f t="shared" si="60"/>
        <v>0</v>
      </c>
      <c r="EP77" s="361">
        <f t="shared" si="61"/>
        <v>0</v>
      </c>
      <c r="EQ77" s="281"/>
      <c r="ER77" s="277"/>
      <c r="ES77" s="281"/>
      <c r="ET77" s="277"/>
      <c r="EU77" s="281"/>
      <c r="EV77" s="277"/>
      <c r="EW77" s="281"/>
      <c r="EX77" s="277"/>
      <c r="EY77" s="281"/>
      <c r="EZ77" s="277"/>
      <c r="FA77" s="281"/>
      <c r="FB77" s="277"/>
      <c r="FC77" s="281"/>
      <c r="FD77" s="277"/>
      <c r="FE77" s="281"/>
      <c r="FF77" s="277"/>
      <c r="FG77" s="281"/>
      <c r="FH77" s="277"/>
      <c r="FI77" s="281"/>
      <c r="FJ77" s="277"/>
      <c r="FK77" s="50">
        <f t="shared" si="62"/>
        <v>0</v>
      </c>
      <c r="FL77" s="63">
        <f t="shared" si="63"/>
        <v>0</v>
      </c>
      <c r="FM77" s="50">
        <f t="shared" si="45"/>
        <v>426</v>
      </c>
      <c r="FN77" s="360">
        <f t="shared" si="46"/>
        <v>759</v>
      </c>
      <c r="FO77" s="3"/>
      <c r="FP77" s="279"/>
      <c r="FQ77" s="52"/>
      <c r="FR77" s="296"/>
      <c r="FS77" s="98"/>
      <c r="FT77" s="467"/>
      <c r="FU77" s="52"/>
      <c r="FV77" s="296"/>
      <c r="FW77" s="98"/>
      <c r="FX77" s="467"/>
      <c r="FY77" s="52"/>
      <c r="FZ77" s="296"/>
      <c r="GA77" s="98"/>
      <c r="GB77" s="467"/>
      <c r="GC77" s="52"/>
      <c r="GD77" s="296"/>
      <c r="GE77" s="98"/>
      <c r="GF77" s="467"/>
      <c r="GG77" s="52"/>
      <c r="GH77" s="296"/>
      <c r="GI77" s="98"/>
      <c r="GJ77" s="467"/>
      <c r="GK77" s="52"/>
      <c r="GL77" s="296"/>
      <c r="GM77" s="464"/>
      <c r="GN77" s="467"/>
      <c r="GO77" s="52"/>
      <c r="GP77" s="296"/>
      <c r="GQ77" s="464"/>
      <c r="GR77" s="467"/>
      <c r="GS77" s="52"/>
      <c r="GT77" s="296"/>
      <c r="GU77" s="464"/>
      <c r="GV77" s="467"/>
      <c r="GW77" s="52"/>
      <c r="GX77" s="296"/>
      <c r="GY77" s="464"/>
      <c r="GZ77" s="467"/>
      <c r="HA77" s="52"/>
      <c r="HB77" s="296"/>
      <c r="HC77" s="3"/>
    </row>
    <row r="78" spans="1:211" s="86" customFormat="1">
      <c r="A78" s="283" t="s">
        <v>345</v>
      </c>
      <c r="B78" s="284" t="s">
        <v>454</v>
      </c>
      <c r="C78" s="283">
        <v>107992</v>
      </c>
      <c r="D78" s="341">
        <v>10</v>
      </c>
      <c r="E78" s="460">
        <v>545</v>
      </c>
      <c r="F78" s="277">
        <v>660</v>
      </c>
      <c r="G78" s="158"/>
      <c r="H78" s="535"/>
      <c r="I78" s="158">
        <v>112</v>
      </c>
      <c r="J78" s="338">
        <v>123</v>
      </c>
      <c r="K78" s="160">
        <f t="shared" si="47"/>
        <v>0</v>
      </c>
      <c r="L78" s="161">
        <f t="shared" si="40"/>
        <v>0</v>
      </c>
      <c r="M78" s="54"/>
      <c r="N78" s="55"/>
      <c r="O78" s="55"/>
      <c r="P78" s="55"/>
      <c r="Q78" s="162">
        <f t="shared" si="48"/>
        <v>0</v>
      </c>
      <c r="R78" s="277"/>
      <c r="S78" s="277"/>
      <c r="T78" s="277"/>
      <c r="U78" s="277"/>
      <c r="V78" s="97">
        <f t="shared" si="49"/>
        <v>0</v>
      </c>
      <c r="W78" s="279"/>
      <c r="X78" s="52"/>
      <c r="Y78" s="99"/>
      <c r="Z78" s="53"/>
      <c r="AA78" s="228"/>
      <c r="AB78" s="52"/>
      <c r="AC78" s="99"/>
      <c r="AD78" s="53"/>
      <c r="AE78" s="228"/>
      <c r="AF78" s="52"/>
      <c r="AG78" s="99"/>
      <c r="AH78" s="53"/>
      <c r="AI78" s="228"/>
      <c r="AJ78" s="52"/>
      <c r="AK78" s="99"/>
      <c r="AL78" s="53"/>
      <c r="AM78" s="228"/>
      <c r="AN78" s="52"/>
      <c r="AO78" s="99"/>
      <c r="AP78" s="53"/>
      <c r="AQ78" s="50">
        <f t="shared" si="41"/>
        <v>0</v>
      </c>
      <c r="AR78" s="163">
        <f t="shared" si="42"/>
        <v>0</v>
      </c>
      <c r="AS78" s="97">
        <f t="shared" si="43"/>
        <v>0</v>
      </c>
      <c r="AT78" s="278">
        <f t="shared" si="44"/>
        <v>0</v>
      </c>
      <c r="AU78" s="55"/>
      <c r="AV78" s="277"/>
      <c r="AW78" s="279"/>
      <c r="AX78" s="52"/>
      <c r="AY78" s="105"/>
      <c r="AZ78" s="98"/>
      <c r="BA78" s="279"/>
      <c r="BB78" s="52"/>
      <c r="BC78" s="105"/>
      <c r="BD78" s="98"/>
      <c r="BE78" s="279"/>
      <c r="BF78" s="52"/>
      <c r="BG78" s="105"/>
      <c r="BH78" s="98"/>
      <c r="BI78" s="279"/>
      <c r="BJ78" s="52"/>
      <c r="BK78" s="105"/>
      <c r="BL78" s="98"/>
      <c r="BM78" s="279"/>
      <c r="BN78" s="52"/>
      <c r="BO78" s="105"/>
      <c r="BP78" s="98"/>
      <c r="BQ78" s="279"/>
      <c r="BR78" s="52"/>
      <c r="BS78" s="105"/>
      <c r="BT78" s="98"/>
      <c r="BU78" s="279"/>
      <c r="BV78" s="52"/>
      <c r="BW78" s="105"/>
      <c r="BX78" s="98"/>
      <c r="BY78" s="279"/>
      <c r="BZ78" s="52"/>
      <c r="CA78" s="105"/>
      <c r="CB78" s="98"/>
      <c r="CC78" s="279"/>
      <c r="CD78" s="52"/>
      <c r="CE78" s="105"/>
      <c r="CF78" s="98"/>
      <c r="CG78" s="279"/>
      <c r="CH78" s="52"/>
      <c r="CI78" s="105"/>
      <c r="CJ78" s="98"/>
      <c r="CK78" s="281"/>
      <c r="CL78" s="277"/>
      <c r="CM78" s="159"/>
      <c r="CN78" s="277"/>
      <c r="CO78" s="50">
        <f t="shared" si="50"/>
        <v>0</v>
      </c>
      <c r="CP78" s="103">
        <f t="shared" si="51"/>
        <v>0</v>
      </c>
      <c r="CQ78" s="280">
        <f t="shared" si="52"/>
        <v>0</v>
      </c>
      <c r="CR78" s="63">
        <f t="shared" si="53"/>
        <v>0</v>
      </c>
      <c r="CS78" s="279"/>
      <c r="CT78" s="52"/>
      <c r="CU78" s="105"/>
      <c r="CV78" s="98"/>
      <c r="CW78" s="279"/>
      <c r="CX78" s="52"/>
      <c r="CY78" s="105"/>
      <c r="CZ78" s="98"/>
      <c r="DA78" s="279"/>
      <c r="DB78" s="52"/>
      <c r="DC78" s="105"/>
      <c r="DD78" s="98"/>
      <c r="DE78" s="279"/>
      <c r="DF78" s="52"/>
      <c r="DG78" s="105"/>
      <c r="DH78" s="98"/>
      <c r="DI78" s="279"/>
      <c r="DJ78" s="52"/>
      <c r="DK78" s="105"/>
      <c r="DL78" s="98"/>
      <c r="DM78" s="279"/>
      <c r="DN78" s="52"/>
      <c r="DO78" s="105"/>
      <c r="DP78" s="98"/>
      <c r="DQ78" s="279"/>
      <c r="DR78" s="52"/>
      <c r="DS78" s="105"/>
      <c r="DT78" s="98"/>
      <c r="DU78" s="279"/>
      <c r="DV78" s="52"/>
      <c r="DW78" s="105"/>
      <c r="DX78" s="98"/>
      <c r="DY78" s="279"/>
      <c r="DZ78" s="52"/>
      <c r="EA78" s="105"/>
      <c r="EB78" s="98"/>
      <c r="EC78" s="279"/>
      <c r="ED78" s="52"/>
      <c r="EE78" s="105"/>
      <c r="EF78" s="98"/>
      <c r="EG78" s="159"/>
      <c r="EH78" s="277"/>
      <c r="EI78" s="50">
        <f t="shared" si="54"/>
        <v>0</v>
      </c>
      <c r="EJ78" s="103">
        <f t="shared" si="55"/>
        <v>0</v>
      </c>
      <c r="EK78" s="164">
        <f t="shared" si="56"/>
        <v>0</v>
      </c>
      <c r="EL78" s="280">
        <f t="shared" si="57"/>
        <v>0</v>
      </c>
      <c r="EM78" s="63">
        <f t="shared" si="58"/>
        <v>0</v>
      </c>
      <c r="EN78" s="359">
        <f t="shared" si="59"/>
        <v>0</v>
      </c>
      <c r="EO78" s="51">
        <f t="shared" si="60"/>
        <v>0</v>
      </c>
      <c r="EP78" s="361">
        <f t="shared" si="61"/>
        <v>0</v>
      </c>
      <c r="EQ78" s="281"/>
      <c r="ER78" s="277"/>
      <c r="ES78" s="281"/>
      <c r="ET78" s="277"/>
      <c r="EU78" s="281"/>
      <c r="EV78" s="277"/>
      <c r="EW78" s="281"/>
      <c r="EX78" s="277"/>
      <c r="EY78" s="281"/>
      <c r="EZ78" s="277"/>
      <c r="FA78" s="281"/>
      <c r="FB78" s="277"/>
      <c r="FC78" s="281"/>
      <c r="FD78" s="277"/>
      <c r="FE78" s="281"/>
      <c r="FF78" s="277"/>
      <c r="FG78" s="281"/>
      <c r="FH78" s="277"/>
      <c r="FI78" s="281"/>
      <c r="FJ78" s="277"/>
      <c r="FK78" s="50">
        <f t="shared" si="62"/>
        <v>0</v>
      </c>
      <c r="FL78" s="63">
        <f t="shared" si="63"/>
        <v>0</v>
      </c>
      <c r="FM78" s="50">
        <f t="shared" si="45"/>
        <v>657</v>
      </c>
      <c r="FN78" s="360">
        <f t="shared" si="46"/>
        <v>783</v>
      </c>
      <c r="FO78" s="3"/>
      <c r="FP78" s="279"/>
      <c r="FQ78" s="52"/>
      <c r="FR78" s="296"/>
      <c r="FS78" s="98"/>
      <c r="FT78" s="467"/>
      <c r="FU78" s="52"/>
      <c r="FV78" s="296"/>
      <c r="FW78" s="98"/>
      <c r="FX78" s="467"/>
      <c r="FY78" s="52"/>
      <c r="FZ78" s="296"/>
      <c r="GA78" s="98"/>
      <c r="GB78" s="467"/>
      <c r="GC78" s="52"/>
      <c r="GD78" s="296"/>
      <c r="GE78" s="98"/>
      <c r="GF78" s="467"/>
      <c r="GG78" s="52"/>
      <c r="GH78" s="296"/>
      <c r="GI78" s="98"/>
      <c r="GJ78" s="467"/>
      <c r="GK78" s="52"/>
      <c r="GL78" s="296"/>
      <c r="GM78" s="464"/>
      <c r="GN78" s="467"/>
      <c r="GO78" s="52"/>
      <c r="GP78" s="296"/>
      <c r="GQ78" s="464"/>
      <c r="GR78" s="467"/>
      <c r="GS78" s="52"/>
      <c r="GT78" s="296"/>
      <c r="GU78" s="464"/>
      <c r="GV78" s="467"/>
      <c r="GW78" s="52"/>
      <c r="GX78" s="296"/>
      <c r="GY78" s="464"/>
      <c r="GZ78" s="467"/>
      <c r="HA78" s="52"/>
      <c r="HB78" s="296"/>
      <c r="HC78" s="3"/>
    </row>
    <row r="79" spans="1:211" s="86" customFormat="1">
      <c r="A79" s="283" t="s">
        <v>345</v>
      </c>
      <c r="B79" s="284" t="s">
        <v>455</v>
      </c>
      <c r="C79" s="283">
        <v>106999</v>
      </c>
      <c r="D79" s="341">
        <v>10</v>
      </c>
      <c r="E79" s="460">
        <v>244</v>
      </c>
      <c r="F79" s="277">
        <v>255</v>
      </c>
      <c r="G79" s="158"/>
      <c r="H79" s="535"/>
      <c r="I79" s="158">
        <v>153</v>
      </c>
      <c r="J79" s="338">
        <v>167</v>
      </c>
      <c r="K79" s="160">
        <f t="shared" si="47"/>
        <v>0</v>
      </c>
      <c r="L79" s="161">
        <f t="shared" si="40"/>
        <v>0</v>
      </c>
      <c r="M79" s="54"/>
      <c r="N79" s="55"/>
      <c r="O79" s="55"/>
      <c r="P79" s="55"/>
      <c r="Q79" s="162">
        <f t="shared" si="48"/>
        <v>0</v>
      </c>
      <c r="R79" s="277"/>
      <c r="S79" s="277"/>
      <c r="T79" s="277"/>
      <c r="U79" s="277"/>
      <c r="V79" s="97">
        <f t="shared" si="49"/>
        <v>0</v>
      </c>
      <c r="W79" s="279"/>
      <c r="X79" s="52"/>
      <c r="Y79" s="99"/>
      <c r="Z79" s="53"/>
      <c r="AA79" s="228"/>
      <c r="AB79" s="52"/>
      <c r="AC79" s="99"/>
      <c r="AD79" s="53"/>
      <c r="AE79" s="228"/>
      <c r="AF79" s="52"/>
      <c r="AG79" s="99"/>
      <c r="AH79" s="53"/>
      <c r="AI79" s="228"/>
      <c r="AJ79" s="52"/>
      <c r="AK79" s="99"/>
      <c r="AL79" s="53"/>
      <c r="AM79" s="228"/>
      <c r="AN79" s="52"/>
      <c r="AO79" s="99"/>
      <c r="AP79" s="53"/>
      <c r="AQ79" s="50">
        <f t="shared" si="41"/>
        <v>0</v>
      </c>
      <c r="AR79" s="163">
        <f t="shared" si="42"/>
        <v>0</v>
      </c>
      <c r="AS79" s="97">
        <f t="shared" si="43"/>
        <v>0</v>
      </c>
      <c r="AT79" s="278">
        <f t="shared" si="44"/>
        <v>0</v>
      </c>
      <c r="AU79" s="55"/>
      <c r="AV79" s="277"/>
      <c r="AW79" s="279"/>
      <c r="AX79" s="52"/>
      <c r="AY79" s="105"/>
      <c r="AZ79" s="98"/>
      <c r="BA79" s="279"/>
      <c r="BB79" s="52"/>
      <c r="BC79" s="105"/>
      <c r="BD79" s="98"/>
      <c r="BE79" s="279"/>
      <c r="BF79" s="52"/>
      <c r="BG79" s="105"/>
      <c r="BH79" s="98"/>
      <c r="BI79" s="279"/>
      <c r="BJ79" s="52"/>
      <c r="BK79" s="105"/>
      <c r="BL79" s="98"/>
      <c r="BM79" s="279"/>
      <c r="BN79" s="52"/>
      <c r="BO79" s="105"/>
      <c r="BP79" s="98"/>
      <c r="BQ79" s="279"/>
      <c r="BR79" s="52"/>
      <c r="BS79" s="105"/>
      <c r="BT79" s="98"/>
      <c r="BU79" s="279"/>
      <c r="BV79" s="52"/>
      <c r="BW79" s="105"/>
      <c r="BX79" s="98"/>
      <c r="BY79" s="279"/>
      <c r="BZ79" s="52"/>
      <c r="CA79" s="105"/>
      <c r="CB79" s="98"/>
      <c r="CC79" s="279"/>
      <c r="CD79" s="52"/>
      <c r="CE79" s="105"/>
      <c r="CF79" s="98"/>
      <c r="CG79" s="279"/>
      <c r="CH79" s="52"/>
      <c r="CI79" s="105"/>
      <c r="CJ79" s="98"/>
      <c r="CK79" s="281"/>
      <c r="CL79" s="277"/>
      <c r="CM79" s="159"/>
      <c r="CN79" s="277"/>
      <c r="CO79" s="50">
        <f t="shared" si="50"/>
        <v>0</v>
      </c>
      <c r="CP79" s="103">
        <f t="shared" si="51"/>
        <v>0</v>
      </c>
      <c r="CQ79" s="280">
        <f t="shared" si="52"/>
        <v>0</v>
      </c>
      <c r="CR79" s="63">
        <f t="shared" si="53"/>
        <v>0</v>
      </c>
      <c r="CS79" s="279"/>
      <c r="CT79" s="52"/>
      <c r="CU79" s="105"/>
      <c r="CV79" s="98"/>
      <c r="CW79" s="279"/>
      <c r="CX79" s="52"/>
      <c r="CY79" s="105"/>
      <c r="CZ79" s="98"/>
      <c r="DA79" s="279"/>
      <c r="DB79" s="52"/>
      <c r="DC79" s="105"/>
      <c r="DD79" s="98"/>
      <c r="DE79" s="279"/>
      <c r="DF79" s="52"/>
      <c r="DG79" s="105"/>
      <c r="DH79" s="98"/>
      <c r="DI79" s="279"/>
      <c r="DJ79" s="52"/>
      <c r="DK79" s="105"/>
      <c r="DL79" s="98"/>
      <c r="DM79" s="279"/>
      <c r="DN79" s="52"/>
      <c r="DO79" s="105"/>
      <c r="DP79" s="98"/>
      <c r="DQ79" s="279"/>
      <c r="DR79" s="52"/>
      <c r="DS79" s="105"/>
      <c r="DT79" s="98"/>
      <c r="DU79" s="279"/>
      <c r="DV79" s="52"/>
      <c r="DW79" s="105"/>
      <c r="DX79" s="98"/>
      <c r="DY79" s="279"/>
      <c r="DZ79" s="52"/>
      <c r="EA79" s="105"/>
      <c r="EB79" s="98"/>
      <c r="EC79" s="279"/>
      <c r="ED79" s="52"/>
      <c r="EE79" s="105"/>
      <c r="EF79" s="98"/>
      <c r="EG79" s="159"/>
      <c r="EH79" s="277"/>
      <c r="EI79" s="50">
        <f t="shared" si="54"/>
        <v>0</v>
      </c>
      <c r="EJ79" s="103">
        <f t="shared" si="55"/>
        <v>0</v>
      </c>
      <c r="EK79" s="164">
        <f t="shared" si="56"/>
        <v>0</v>
      </c>
      <c r="EL79" s="280">
        <f t="shared" si="57"/>
        <v>0</v>
      </c>
      <c r="EM79" s="63">
        <f t="shared" si="58"/>
        <v>0</v>
      </c>
      <c r="EN79" s="359">
        <f t="shared" si="59"/>
        <v>0</v>
      </c>
      <c r="EO79" s="51">
        <f t="shared" si="60"/>
        <v>0</v>
      </c>
      <c r="EP79" s="361">
        <f t="shared" si="61"/>
        <v>0</v>
      </c>
      <c r="EQ79" s="281"/>
      <c r="ER79" s="277"/>
      <c r="ES79" s="281"/>
      <c r="ET79" s="277"/>
      <c r="EU79" s="281"/>
      <c r="EV79" s="277"/>
      <c r="EW79" s="281"/>
      <c r="EX79" s="277"/>
      <c r="EY79" s="281"/>
      <c r="EZ79" s="277"/>
      <c r="FA79" s="281"/>
      <c r="FB79" s="277"/>
      <c r="FC79" s="281"/>
      <c r="FD79" s="277"/>
      <c r="FE79" s="281"/>
      <c r="FF79" s="277"/>
      <c r="FG79" s="281"/>
      <c r="FH79" s="277"/>
      <c r="FI79" s="281"/>
      <c r="FJ79" s="277"/>
      <c r="FK79" s="50">
        <f t="shared" si="62"/>
        <v>0</v>
      </c>
      <c r="FL79" s="63">
        <f t="shared" si="63"/>
        <v>0</v>
      </c>
      <c r="FM79" s="50">
        <f t="shared" si="45"/>
        <v>397</v>
      </c>
      <c r="FN79" s="360">
        <f t="shared" si="46"/>
        <v>422</v>
      </c>
      <c r="FO79" s="3"/>
      <c r="FP79" s="279"/>
      <c r="FQ79" s="52"/>
      <c r="FR79" s="296"/>
      <c r="FS79" s="98"/>
      <c r="FT79" s="467"/>
      <c r="FU79" s="52"/>
      <c r="FV79" s="296"/>
      <c r="FW79" s="98"/>
      <c r="FX79" s="467"/>
      <c r="FY79" s="52"/>
      <c r="FZ79" s="296"/>
      <c r="GA79" s="98"/>
      <c r="GB79" s="467"/>
      <c r="GC79" s="52"/>
      <c r="GD79" s="296"/>
      <c r="GE79" s="98"/>
      <c r="GF79" s="467"/>
      <c r="GG79" s="52"/>
      <c r="GH79" s="296"/>
      <c r="GI79" s="98"/>
      <c r="GJ79" s="467"/>
      <c r="GK79" s="52"/>
      <c r="GL79" s="296"/>
      <c r="GM79" s="464"/>
      <c r="GN79" s="467"/>
      <c r="GO79" s="52"/>
      <c r="GP79" s="296"/>
      <c r="GQ79" s="464"/>
      <c r="GR79" s="467"/>
      <c r="GS79" s="52"/>
      <c r="GT79" s="296"/>
      <c r="GU79" s="464"/>
      <c r="GV79" s="467"/>
      <c r="GW79" s="52"/>
      <c r="GX79" s="296"/>
      <c r="GY79" s="464"/>
      <c r="GZ79" s="467"/>
      <c r="HA79" s="52"/>
      <c r="HB79" s="296"/>
      <c r="HC79" s="3"/>
    </row>
    <row r="80" spans="1:211" s="86" customFormat="1">
      <c r="A80" s="283" t="s">
        <v>345</v>
      </c>
      <c r="B80" s="284" t="s">
        <v>456</v>
      </c>
      <c r="C80" s="283">
        <v>107725</v>
      </c>
      <c r="D80" s="341">
        <v>10</v>
      </c>
      <c r="E80" s="460">
        <v>133</v>
      </c>
      <c r="F80" s="277">
        <v>351</v>
      </c>
      <c r="G80" s="158"/>
      <c r="H80" s="535"/>
      <c r="I80" s="158">
        <v>92</v>
      </c>
      <c r="J80" s="338">
        <v>131</v>
      </c>
      <c r="K80" s="160">
        <f t="shared" si="47"/>
        <v>0</v>
      </c>
      <c r="L80" s="161">
        <f t="shared" si="40"/>
        <v>0</v>
      </c>
      <c r="M80" s="54"/>
      <c r="N80" s="55"/>
      <c r="O80" s="55"/>
      <c r="P80" s="55"/>
      <c r="Q80" s="162">
        <f t="shared" si="48"/>
        <v>0</v>
      </c>
      <c r="R80" s="277"/>
      <c r="S80" s="277"/>
      <c r="T80" s="277"/>
      <c r="U80" s="277"/>
      <c r="V80" s="97">
        <f t="shared" si="49"/>
        <v>0</v>
      </c>
      <c r="W80" s="279"/>
      <c r="X80" s="52"/>
      <c r="Y80" s="99"/>
      <c r="Z80" s="53"/>
      <c r="AA80" s="228"/>
      <c r="AB80" s="52"/>
      <c r="AC80" s="99"/>
      <c r="AD80" s="53"/>
      <c r="AE80" s="228"/>
      <c r="AF80" s="52"/>
      <c r="AG80" s="99"/>
      <c r="AH80" s="53"/>
      <c r="AI80" s="228"/>
      <c r="AJ80" s="52"/>
      <c r="AK80" s="99"/>
      <c r="AL80" s="53"/>
      <c r="AM80" s="228"/>
      <c r="AN80" s="52"/>
      <c r="AO80" s="99"/>
      <c r="AP80" s="53"/>
      <c r="AQ80" s="50">
        <f t="shared" si="41"/>
        <v>0</v>
      </c>
      <c r="AR80" s="163">
        <f t="shared" si="42"/>
        <v>0</v>
      </c>
      <c r="AS80" s="97">
        <f t="shared" si="43"/>
        <v>0</v>
      </c>
      <c r="AT80" s="278">
        <f t="shared" si="44"/>
        <v>0</v>
      </c>
      <c r="AU80" s="55"/>
      <c r="AV80" s="277"/>
      <c r="AW80" s="279"/>
      <c r="AX80" s="52"/>
      <c r="AY80" s="105"/>
      <c r="AZ80" s="98"/>
      <c r="BA80" s="279"/>
      <c r="BB80" s="52"/>
      <c r="BC80" s="105"/>
      <c r="BD80" s="98"/>
      <c r="BE80" s="279"/>
      <c r="BF80" s="52"/>
      <c r="BG80" s="105"/>
      <c r="BH80" s="98"/>
      <c r="BI80" s="279"/>
      <c r="BJ80" s="52"/>
      <c r="BK80" s="105"/>
      <c r="BL80" s="98"/>
      <c r="BM80" s="279"/>
      <c r="BN80" s="52"/>
      <c r="BO80" s="105"/>
      <c r="BP80" s="98"/>
      <c r="BQ80" s="279"/>
      <c r="BR80" s="52"/>
      <c r="BS80" s="105"/>
      <c r="BT80" s="98"/>
      <c r="BU80" s="279"/>
      <c r="BV80" s="52"/>
      <c r="BW80" s="105"/>
      <c r="BX80" s="98"/>
      <c r="BY80" s="279"/>
      <c r="BZ80" s="52"/>
      <c r="CA80" s="105"/>
      <c r="CB80" s="98"/>
      <c r="CC80" s="279"/>
      <c r="CD80" s="52"/>
      <c r="CE80" s="105"/>
      <c r="CF80" s="98"/>
      <c r="CG80" s="279"/>
      <c r="CH80" s="52"/>
      <c r="CI80" s="105"/>
      <c r="CJ80" s="98"/>
      <c r="CK80" s="281"/>
      <c r="CL80" s="277"/>
      <c r="CM80" s="159"/>
      <c r="CN80" s="277"/>
      <c r="CO80" s="50">
        <f t="shared" si="50"/>
        <v>0</v>
      </c>
      <c r="CP80" s="103">
        <f t="shared" si="51"/>
        <v>0</v>
      </c>
      <c r="CQ80" s="280">
        <f t="shared" si="52"/>
        <v>0</v>
      </c>
      <c r="CR80" s="63">
        <f t="shared" si="53"/>
        <v>0</v>
      </c>
      <c r="CS80" s="279"/>
      <c r="CT80" s="52"/>
      <c r="CU80" s="105"/>
      <c r="CV80" s="98"/>
      <c r="CW80" s="279"/>
      <c r="CX80" s="52"/>
      <c r="CY80" s="105"/>
      <c r="CZ80" s="98"/>
      <c r="DA80" s="279"/>
      <c r="DB80" s="52"/>
      <c r="DC80" s="105"/>
      <c r="DD80" s="98"/>
      <c r="DE80" s="279"/>
      <c r="DF80" s="52"/>
      <c r="DG80" s="105"/>
      <c r="DH80" s="98"/>
      <c r="DI80" s="279"/>
      <c r="DJ80" s="52"/>
      <c r="DK80" s="105"/>
      <c r="DL80" s="98"/>
      <c r="DM80" s="279"/>
      <c r="DN80" s="52"/>
      <c r="DO80" s="105"/>
      <c r="DP80" s="98"/>
      <c r="DQ80" s="279"/>
      <c r="DR80" s="52"/>
      <c r="DS80" s="105"/>
      <c r="DT80" s="98"/>
      <c r="DU80" s="279"/>
      <c r="DV80" s="52"/>
      <c r="DW80" s="105"/>
      <c r="DX80" s="98"/>
      <c r="DY80" s="279"/>
      <c r="DZ80" s="52"/>
      <c r="EA80" s="105"/>
      <c r="EB80" s="98"/>
      <c r="EC80" s="279"/>
      <c r="ED80" s="52"/>
      <c r="EE80" s="105"/>
      <c r="EF80" s="98"/>
      <c r="EG80" s="159"/>
      <c r="EH80" s="277"/>
      <c r="EI80" s="50">
        <f t="shared" si="54"/>
        <v>0</v>
      </c>
      <c r="EJ80" s="103">
        <f t="shared" si="55"/>
        <v>0</v>
      </c>
      <c r="EK80" s="164">
        <f t="shared" si="56"/>
        <v>0</v>
      </c>
      <c r="EL80" s="280">
        <f t="shared" si="57"/>
        <v>0</v>
      </c>
      <c r="EM80" s="63">
        <f t="shared" si="58"/>
        <v>0</v>
      </c>
      <c r="EN80" s="359">
        <f t="shared" si="59"/>
        <v>0</v>
      </c>
      <c r="EO80" s="51">
        <f t="shared" si="60"/>
        <v>0</v>
      </c>
      <c r="EP80" s="361">
        <f t="shared" si="61"/>
        <v>0</v>
      </c>
      <c r="EQ80" s="281"/>
      <c r="ER80" s="277"/>
      <c r="ES80" s="281"/>
      <c r="ET80" s="277"/>
      <c r="EU80" s="281"/>
      <c r="EV80" s="277"/>
      <c r="EW80" s="281"/>
      <c r="EX80" s="277"/>
      <c r="EY80" s="281"/>
      <c r="EZ80" s="277"/>
      <c r="FA80" s="281"/>
      <c r="FB80" s="277"/>
      <c r="FC80" s="281"/>
      <c r="FD80" s="277"/>
      <c r="FE80" s="281"/>
      <c r="FF80" s="277"/>
      <c r="FG80" s="281"/>
      <c r="FH80" s="277"/>
      <c r="FI80" s="281"/>
      <c r="FJ80" s="277"/>
      <c r="FK80" s="50">
        <f t="shared" si="62"/>
        <v>0</v>
      </c>
      <c r="FL80" s="63">
        <f t="shared" si="63"/>
        <v>0</v>
      </c>
      <c r="FM80" s="50">
        <f t="shared" si="45"/>
        <v>225</v>
      </c>
      <c r="FN80" s="360">
        <f t="shared" si="46"/>
        <v>482</v>
      </c>
      <c r="FO80" s="3"/>
      <c r="FP80" s="279"/>
      <c r="FQ80" s="52"/>
      <c r="FR80" s="296"/>
      <c r="FS80" s="98"/>
      <c r="FT80" s="467"/>
      <c r="FU80" s="52"/>
      <c r="FV80" s="296"/>
      <c r="FW80" s="98"/>
      <c r="FX80" s="467"/>
      <c r="FY80" s="52"/>
      <c r="FZ80" s="296"/>
      <c r="GA80" s="98"/>
      <c r="GB80" s="467"/>
      <c r="GC80" s="52"/>
      <c r="GD80" s="296"/>
      <c r="GE80" s="98"/>
      <c r="GF80" s="467"/>
      <c r="GG80" s="52"/>
      <c r="GH80" s="296"/>
      <c r="GI80" s="98"/>
      <c r="GJ80" s="467"/>
      <c r="GK80" s="52"/>
      <c r="GL80" s="296"/>
      <c r="GM80" s="464"/>
      <c r="GN80" s="467"/>
      <c r="GO80" s="52"/>
      <c r="GP80" s="296"/>
      <c r="GQ80" s="464"/>
      <c r="GR80" s="467"/>
      <c r="GS80" s="52"/>
      <c r="GT80" s="296"/>
      <c r="GU80" s="464"/>
      <c r="GV80" s="467"/>
      <c r="GW80" s="52"/>
      <c r="GX80" s="296"/>
      <c r="GY80" s="464"/>
      <c r="GZ80" s="467"/>
      <c r="HA80" s="52"/>
      <c r="HB80" s="296"/>
      <c r="HC80" s="3"/>
    </row>
    <row r="81" spans="1:211" s="86" customFormat="1">
      <c r="A81" s="283" t="s">
        <v>345</v>
      </c>
      <c r="B81" s="284" t="s">
        <v>457</v>
      </c>
      <c r="C81" s="283">
        <v>107585</v>
      </c>
      <c r="D81" s="341">
        <v>10</v>
      </c>
      <c r="E81" s="460">
        <v>187</v>
      </c>
      <c r="F81" s="277">
        <v>269</v>
      </c>
      <c r="G81" s="158"/>
      <c r="H81" s="535"/>
      <c r="I81" s="158">
        <v>169</v>
      </c>
      <c r="J81" s="338">
        <v>231</v>
      </c>
      <c r="K81" s="160">
        <f t="shared" si="47"/>
        <v>0</v>
      </c>
      <c r="L81" s="161">
        <f t="shared" si="40"/>
        <v>0</v>
      </c>
      <c r="M81" s="54"/>
      <c r="N81" s="55"/>
      <c r="O81" s="55"/>
      <c r="P81" s="55"/>
      <c r="Q81" s="162">
        <f t="shared" si="48"/>
        <v>0</v>
      </c>
      <c r="R81" s="277"/>
      <c r="S81" s="277"/>
      <c r="T81" s="277"/>
      <c r="U81" s="277"/>
      <c r="V81" s="97">
        <f t="shared" si="49"/>
        <v>0</v>
      </c>
      <c r="W81" s="279"/>
      <c r="X81" s="52"/>
      <c r="Y81" s="99"/>
      <c r="Z81" s="53"/>
      <c r="AA81" s="228"/>
      <c r="AB81" s="52"/>
      <c r="AC81" s="99"/>
      <c r="AD81" s="53"/>
      <c r="AE81" s="228"/>
      <c r="AF81" s="52"/>
      <c r="AG81" s="99"/>
      <c r="AH81" s="53"/>
      <c r="AI81" s="228"/>
      <c r="AJ81" s="52"/>
      <c r="AK81" s="99"/>
      <c r="AL81" s="53"/>
      <c r="AM81" s="228"/>
      <c r="AN81" s="52"/>
      <c r="AO81" s="99"/>
      <c r="AP81" s="53"/>
      <c r="AQ81" s="50">
        <f t="shared" si="41"/>
        <v>0</v>
      </c>
      <c r="AR81" s="163">
        <f t="shared" si="42"/>
        <v>0</v>
      </c>
      <c r="AS81" s="97">
        <f t="shared" si="43"/>
        <v>0</v>
      </c>
      <c r="AT81" s="278">
        <f t="shared" si="44"/>
        <v>0</v>
      </c>
      <c r="AU81" s="55"/>
      <c r="AV81" s="277"/>
      <c r="AW81" s="279"/>
      <c r="AX81" s="52"/>
      <c r="AY81" s="105"/>
      <c r="AZ81" s="98"/>
      <c r="BA81" s="279"/>
      <c r="BB81" s="52"/>
      <c r="BC81" s="105"/>
      <c r="BD81" s="98"/>
      <c r="BE81" s="279"/>
      <c r="BF81" s="52"/>
      <c r="BG81" s="105"/>
      <c r="BH81" s="98"/>
      <c r="BI81" s="279"/>
      <c r="BJ81" s="52"/>
      <c r="BK81" s="105"/>
      <c r="BL81" s="98"/>
      <c r="BM81" s="279"/>
      <c r="BN81" s="52"/>
      <c r="BO81" s="105"/>
      <c r="BP81" s="98"/>
      <c r="BQ81" s="279"/>
      <c r="BR81" s="52"/>
      <c r="BS81" s="105"/>
      <c r="BT81" s="98"/>
      <c r="BU81" s="279"/>
      <c r="BV81" s="52"/>
      <c r="BW81" s="105"/>
      <c r="BX81" s="98"/>
      <c r="BY81" s="279"/>
      <c r="BZ81" s="52"/>
      <c r="CA81" s="105"/>
      <c r="CB81" s="98"/>
      <c r="CC81" s="279"/>
      <c r="CD81" s="52"/>
      <c r="CE81" s="105"/>
      <c r="CF81" s="98"/>
      <c r="CG81" s="279"/>
      <c r="CH81" s="52"/>
      <c r="CI81" s="105"/>
      <c r="CJ81" s="98"/>
      <c r="CK81" s="281"/>
      <c r="CL81" s="277"/>
      <c r="CM81" s="159"/>
      <c r="CN81" s="277"/>
      <c r="CO81" s="50">
        <f t="shared" si="50"/>
        <v>0</v>
      </c>
      <c r="CP81" s="103">
        <f t="shared" si="51"/>
        <v>0</v>
      </c>
      <c r="CQ81" s="280">
        <f t="shared" si="52"/>
        <v>0</v>
      </c>
      <c r="CR81" s="63">
        <f t="shared" si="53"/>
        <v>0</v>
      </c>
      <c r="CS81" s="279"/>
      <c r="CT81" s="52"/>
      <c r="CU81" s="105"/>
      <c r="CV81" s="98"/>
      <c r="CW81" s="279"/>
      <c r="CX81" s="52"/>
      <c r="CY81" s="105"/>
      <c r="CZ81" s="98"/>
      <c r="DA81" s="279"/>
      <c r="DB81" s="52"/>
      <c r="DC81" s="105"/>
      <c r="DD81" s="98"/>
      <c r="DE81" s="279"/>
      <c r="DF81" s="52"/>
      <c r="DG81" s="105"/>
      <c r="DH81" s="98"/>
      <c r="DI81" s="279"/>
      <c r="DJ81" s="52"/>
      <c r="DK81" s="105"/>
      <c r="DL81" s="98"/>
      <c r="DM81" s="279"/>
      <c r="DN81" s="52"/>
      <c r="DO81" s="105"/>
      <c r="DP81" s="98"/>
      <c r="DQ81" s="279"/>
      <c r="DR81" s="52"/>
      <c r="DS81" s="105"/>
      <c r="DT81" s="98"/>
      <c r="DU81" s="279"/>
      <c r="DV81" s="52"/>
      <c r="DW81" s="105"/>
      <c r="DX81" s="98"/>
      <c r="DY81" s="279"/>
      <c r="DZ81" s="52"/>
      <c r="EA81" s="105"/>
      <c r="EB81" s="98"/>
      <c r="EC81" s="279"/>
      <c r="ED81" s="52"/>
      <c r="EE81" s="105"/>
      <c r="EF81" s="98"/>
      <c r="EG81" s="159"/>
      <c r="EH81" s="277"/>
      <c r="EI81" s="50">
        <f t="shared" si="54"/>
        <v>0</v>
      </c>
      <c r="EJ81" s="103">
        <f t="shared" si="55"/>
        <v>0</v>
      </c>
      <c r="EK81" s="164">
        <f t="shared" si="56"/>
        <v>0</v>
      </c>
      <c r="EL81" s="280">
        <f t="shared" si="57"/>
        <v>0</v>
      </c>
      <c r="EM81" s="63">
        <f t="shared" si="58"/>
        <v>0</v>
      </c>
      <c r="EN81" s="359">
        <f t="shared" si="59"/>
        <v>0</v>
      </c>
      <c r="EO81" s="51">
        <f t="shared" si="60"/>
        <v>0</v>
      </c>
      <c r="EP81" s="361">
        <f t="shared" si="61"/>
        <v>0</v>
      </c>
      <c r="EQ81" s="281"/>
      <c r="ER81" s="277"/>
      <c r="ES81" s="281"/>
      <c r="ET81" s="277"/>
      <c r="EU81" s="281"/>
      <c r="EV81" s="277"/>
      <c r="EW81" s="281"/>
      <c r="EX81" s="277"/>
      <c r="EY81" s="281"/>
      <c r="EZ81" s="277"/>
      <c r="FA81" s="281"/>
      <c r="FB81" s="277"/>
      <c r="FC81" s="281"/>
      <c r="FD81" s="277"/>
      <c r="FE81" s="281"/>
      <c r="FF81" s="277"/>
      <c r="FG81" s="281"/>
      <c r="FH81" s="277"/>
      <c r="FI81" s="281"/>
      <c r="FJ81" s="277"/>
      <c r="FK81" s="50">
        <f t="shared" si="62"/>
        <v>0</v>
      </c>
      <c r="FL81" s="63">
        <f t="shared" si="63"/>
        <v>0</v>
      </c>
      <c r="FM81" s="50">
        <f t="shared" si="45"/>
        <v>356</v>
      </c>
      <c r="FN81" s="360">
        <f t="shared" si="46"/>
        <v>500</v>
      </c>
      <c r="FO81" s="3"/>
      <c r="FP81" s="279"/>
      <c r="FQ81" s="52"/>
      <c r="FR81" s="296"/>
      <c r="FS81" s="98"/>
      <c r="FT81" s="467"/>
      <c r="FU81" s="52"/>
      <c r="FV81" s="296"/>
      <c r="FW81" s="98"/>
      <c r="FX81" s="467"/>
      <c r="FY81" s="52"/>
      <c r="FZ81" s="296"/>
      <c r="GA81" s="98"/>
      <c r="GB81" s="467"/>
      <c r="GC81" s="52"/>
      <c r="GD81" s="296"/>
      <c r="GE81" s="98"/>
      <c r="GF81" s="467"/>
      <c r="GG81" s="52"/>
      <c r="GH81" s="296"/>
      <c r="GI81" s="98"/>
      <c r="GJ81" s="467"/>
      <c r="GK81" s="52"/>
      <c r="GL81" s="296"/>
      <c r="GM81" s="464"/>
      <c r="GN81" s="467"/>
      <c r="GO81" s="52"/>
      <c r="GP81" s="296"/>
      <c r="GQ81" s="464"/>
      <c r="GR81" s="467"/>
      <c r="GS81" s="52"/>
      <c r="GT81" s="296"/>
      <c r="GU81" s="464"/>
      <c r="GV81" s="467"/>
      <c r="GW81" s="52"/>
      <c r="GX81" s="296"/>
      <c r="GY81" s="464"/>
      <c r="GZ81" s="467"/>
      <c r="HA81" s="52"/>
      <c r="HB81" s="296"/>
      <c r="HC81" s="3"/>
    </row>
    <row r="82" spans="1:211" s="86" customFormat="1">
      <c r="A82" s="283" t="s">
        <v>345</v>
      </c>
      <c r="B82" s="284" t="s">
        <v>458</v>
      </c>
      <c r="C82" s="283">
        <v>106263</v>
      </c>
      <c r="D82" s="341">
        <v>15</v>
      </c>
      <c r="E82" s="460">
        <v>19</v>
      </c>
      <c r="F82" s="277">
        <v>9</v>
      </c>
      <c r="G82" s="158"/>
      <c r="H82" s="535">
        <v>1</v>
      </c>
      <c r="I82" s="158">
        <v>67</v>
      </c>
      <c r="J82" s="338">
        <v>53</v>
      </c>
      <c r="K82" s="160">
        <f t="shared" si="47"/>
        <v>0.21405750798722045</v>
      </c>
      <c r="L82" s="161">
        <f t="shared" si="40"/>
        <v>0.18275862068965518</v>
      </c>
      <c r="M82" s="54">
        <v>313</v>
      </c>
      <c r="N82" s="55"/>
      <c r="O82" s="55"/>
      <c r="P82" s="55"/>
      <c r="Q82" s="162">
        <f t="shared" si="48"/>
        <v>0</v>
      </c>
      <c r="R82" s="277">
        <v>290</v>
      </c>
      <c r="S82" s="277"/>
      <c r="T82" s="277"/>
      <c r="U82" s="277"/>
      <c r="V82" s="97">
        <f t="shared" si="49"/>
        <v>0</v>
      </c>
      <c r="W82" s="279"/>
      <c r="X82" s="52"/>
      <c r="Y82" s="99"/>
      <c r="Z82" s="53"/>
      <c r="AA82" s="228"/>
      <c r="AB82" s="52"/>
      <c r="AC82" s="99"/>
      <c r="AD82" s="53"/>
      <c r="AE82" s="228"/>
      <c r="AF82" s="52"/>
      <c r="AG82" s="99"/>
      <c r="AH82" s="53"/>
      <c r="AI82" s="228"/>
      <c r="AJ82" s="52"/>
      <c r="AK82" s="99"/>
      <c r="AL82" s="53"/>
      <c r="AM82" s="228"/>
      <c r="AN82" s="52"/>
      <c r="AO82" s="99"/>
      <c r="AP82" s="53"/>
      <c r="AQ82" s="50">
        <f t="shared" si="41"/>
        <v>0</v>
      </c>
      <c r="AR82" s="163">
        <f t="shared" si="42"/>
        <v>0.37575030012004801</v>
      </c>
      <c r="AS82" s="97">
        <f t="shared" si="43"/>
        <v>0</v>
      </c>
      <c r="AT82" s="278">
        <f t="shared" si="44"/>
        <v>0.35980148883374691</v>
      </c>
      <c r="AU82" s="55">
        <v>20</v>
      </c>
      <c r="AV82" s="277">
        <v>19</v>
      </c>
      <c r="AW82" s="279">
        <v>51</v>
      </c>
      <c r="AX82" s="52">
        <v>120</v>
      </c>
      <c r="AY82" s="105">
        <v>51</v>
      </c>
      <c r="AZ82" s="98">
        <v>116</v>
      </c>
      <c r="BA82" s="279">
        <v>26</v>
      </c>
      <c r="BB82" s="52">
        <v>12</v>
      </c>
      <c r="BC82" s="105">
        <v>26</v>
      </c>
      <c r="BD82" s="98">
        <v>14</v>
      </c>
      <c r="BE82" s="279">
        <v>30</v>
      </c>
      <c r="BF82" s="52">
        <v>5</v>
      </c>
      <c r="BG82" s="105">
        <v>30</v>
      </c>
      <c r="BH82" s="98">
        <v>3</v>
      </c>
      <c r="BI82" s="279"/>
      <c r="BJ82" s="52"/>
      <c r="BK82" s="105"/>
      <c r="BL82" s="98"/>
      <c r="BM82" s="279"/>
      <c r="BN82" s="52"/>
      <c r="BO82" s="105"/>
      <c r="BP82" s="98"/>
      <c r="BQ82" s="279"/>
      <c r="BR82" s="52"/>
      <c r="BS82" s="105"/>
      <c r="BT82" s="98"/>
      <c r="BU82" s="279"/>
      <c r="BV82" s="52"/>
      <c r="BW82" s="105"/>
      <c r="BX82" s="98"/>
      <c r="BY82" s="279"/>
      <c r="BZ82" s="52"/>
      <c r="CA82" s="105"/>
      <c r="CB82" s="98"/>
      <c r="CC82" s="279"/>
      <c r="CD82" s="52"/>
      <c r="CE82" s="105"/>
      <c r="CF82" s="98"/>
      <c r="CG82" s="279"/>
      <c r="CH82" s="52"/>
      <c r="CI82" s="105"/>
      <c r="CJ82" s="98"/>
      <c r="CK82" s="281"/>
      <c r="CL82" s="277"/>
      <c r="CM82" s="159"/>
      <c r="CN82" s="277"/>
      <c r="CO82" s="50">
        <f t="shared" si="50"/>
        <v>137</v>
      </c>
      <c r="CP82" s="103">
        <f t="shared" si="51"/>
        <v>3</v>
      </c>
      <c r="CQ82" s="280">
        <f t="shared" si="52"/>
        <v>133</v>
      </c>
      <c r="CR82" s="63">
        <f t="shared" si="53"/>
        <v>3</v>
      </c>
      <c r="CS82" s="279">
        <v>26</v>
      </c>
      <c r="CT82" s="52">
        <v>21</v>
      </c>
      <c r="CU82" s="105">
        <v>26</v>
      </c>
      <c r="CV82" s="98">
        <v>22</v>
      </c>
      <c r="CW82" s="279">
        <v>51</v>
      </c>
      <c r="CX82" s="52">
        <v>2</v>
      </c>
      <c r="CY82" s="105">
        <v>51</v>
      </c>
      <c r="CZ82" s="98">
        <v>16</v>
      </c>
      <c r="DA82" s="279"/>
      <c r="DB82" s="52"/>
      <c r="DC82" s="105"/>
      <c r="DD82" s="98"/>
      <c r="DE82" s="279"/>
      <c r="DF82" s="52"/>
      <c r="DG82" s="105"/>
      <c r="DH82" s="98"/>
      <c r="DI82" s="279"/>
      <c r="DJ82" s="52"/>
      <c r="DK82" s="105"/>
      <c r="DL82" s="98"/>
      <c r="DM82" s="279"/>
      <c r="DN82" s="52"/>
      <c r="DO82" s="105"/>
      <c r="DP82" s="98"/>
      <c r="DQ82" s="279"/>
      <c r="DR82" s="52"/>
      <c r="DS82" s="105"/>
      <c r="DT82" s="98"/>
      <c r="DU82" s="279"/>
      <c r="DV82" s="52"/>
      <c r="DW82" s="105"/>
      <c r="DX82" s="98"/>
      <c r="DY82" s="279"/>
      <c r="DZ82" s="52"/>
      <c r="EA82" s="105"/>
      <c r="EB82" s="98"/>
      <c r="EC82" s="279"/>
      <c r="ED82" s="52"/>
      <c r="EE82" s="105"/>
      <c r="EF82" s="98"/>
      <c r="EG82" s="159"/>
      <c r="EH82" s="277"/>
      <c r="EI82" s="50">
        <f t="shared" si="54"/>
        <v>23</v>
      </c>
      <c r="EJ82" s="103">
        <f t="shared" si="55"/>
        <v>2</v>
      </c>
      <c r="EK82" s="164">
        <f t="shared" si="56"/>
        <v>0.91304347826086951</v>
      </c>
      <c r="EL82" s="280">
        <f t="shared" si="57"/>
        <v>38</v>
      </c>
      <c r="EM82" s="63">
        <f t="shared" si="58"/>
        <v>2</v>
      </c>
      <c r="EN82" s="359">
        <f t="shared" si="59"/>
        <v>0.57894736842105265</v>
      </c>
      <c r="EO82" s="51">
        <f t="shared" si="60"/>
        <v>160</v>
      </c>
      <c r="EP82" s="361">
        <f t="shared" si="61"/>
        <v>171</v>
      </c>
      <c r="EQ82" s="281"/>
      <c r="ER82" s="277"/>
      <c r="ES82" s="281">
        <v>140</v>
      </c>
      <c r="ET82" s="277">
        <v>142</v>
      </c>
      <c r="EU82" s="281"/>
      <c r="EV82" s="277"/>
      <c r="EW82" s="281">
        <v>114</v>
      </c>
      <c r="EX82" s="277">
        <v>121</v>
      </c>
      <c r="EY82" s="281"/>
      <c r="EZ82" s="277"/>
      <c r="FA82" s="281"/>
      <c r="FB82" s="277"/>
      <c r="FC82" s="281"/>
      <c r="FD82" s="277"/>
      <c r="FE82" s="281"/>
      <c r="FF82" s="277"/>
      <c r="FG82" s="281"/>
      <c r="FH82" s="277"/>
      <c r="FI82" s="281"/>
      <c r="FJ82" s="277"/>
      <c r="FK82" s="50">
        <f t="shared" si="62"/>
        <v>254</v>
      </c>
      <c r="FL82" s="63">
        <f t="shared" si="63"/>
        <v>263</v>
      </c>
      <c r="FM82" s="50">
        <f t="shared" si="45"/>
        <v>833</v>
      </c>
      <c r="FN82" s="360">
        <f t="shared" si="46"/>
        <v>806</v>
      </c>
      <c r="FO82" s="3"/>
      <c r="FP82" s="279"/>
      <c r="FQ82" s="52"/>
      <c r="FR82" s="296"/>
      <c r="FS82" s="98"/>
      <c r="FT82" s="467"/>
      <c r="FU82" s="52"/>
      <c r="FV82" s="296"/>
      <c r="FW82" s="98"/>
      <c r="FX82" s="467"/>
      <c r="FY82" s="52"/>
      <c r="FZ82" s="296"/>
      <c r="GA82" s="98"/>
      <c r="GB82" s="467"/>
      <c r="GC82" s="52"/>
      <c r="GD82" s="296"/>
      <c r="GE82" s="98"/>
      <c r="GF82" s="467"/>
      <c r="GG82" s="52"/>
      <c r="GH82" s="296"/>
      <c r="GI82" s="98"/>
      <c r="GJ82" s="467"/>
      <c r="GK82" s="52"/>
      <c r="GL82" s="296"/>
      <c r="GM82" s="464"/>
      <c r="GN82" s="467"/>
      <c r="GO82" s="52"/>
      <c r="GP82" s="296"/>
      <c r="GQ82" s="464"/>
      <c r="GR82" s="467"/>
      <c r="GS82" s="52"/>
      <c r="GT82" s="296"/>
      <c r="GU82" s="464"/>
      <c r="GV82" s="467"/>
      <c r="GW82" s="52"/>
      <c r="GX82" s="296"/>
      <c r="GY82" s="464"/>
      <c r="GZ82" s="467"/>
      <c r="HA82" s="52"/>
      <c r="HB82" s="296"/>
      <c r="HC82" s="3"/>
    </row>
    <row r="83" spans="1:211" s="86" customFormat="1">
      <c r="A83" s="357" t="s">
        <v>950</v>
      </c>
      <c r="B83" s="358" t="s">
        <v>713</v>
      </c>
      <c r="C83" s="357">
        <v>130943</v>
      </c>
      <c r="D83" s="351">
        <v>1</v>
      </c>
      <c r="E83" s="460"/>
      <c r="F83" s="277"/>
      <c r="G83" s="158"/>
      <c r="H83" s="535"/>
      <c r="I83" s="158">
        <v>188</v>
      </c>
      <c r="J83" s="277">
        <v>195</v>
      </c>
      <c r="K83" s="160">
        <f t="shared" si="47"/>
        <v>5.3714285714285714E-2</v>
      </c>
      <c r="L83" s="161">
        <f t="shared" si="40"/>
        <v>5.4637153264219668E-2</v>
      </c>
      <c r="M83" s="54">
        <v>3500</v>
      </c>
      <c r="N83" s="55">
        <v>313</v>
      </c>
      <c r="O83" s="55"/>
      <c r="P83" s="55"/>
      <c r="Q83" s="162">
        <f t="shared" si="48"/>
        <v>313</v>
      </c>
      <c r="R83" s="277">
        <v>3569</v>
      </c>
      <c r="S83" s="277">
        <v>297</v>
      </c>
      <c r="T83" s="277"/>
      <c r="U83" s="277"/>
      <c r="V83" s="97">
        <f t="shared" si="49"/>
        <v>297</v>
      </c>
      <c r="W83" s="279"/>
      <c r="X83" s="52"/>
      <c r="Y83" s="99"/>
      <c r="Z83" s="53"/>
      <c r="AA83" s="228"/>
      <c r="AB83" s="52"/>
      <c r="AC83" s="99"/>
      <c r="AD83" s="53"/>
      <c r="AE83" s="228"/>
      <c r="AF83" s="52"/>
      <c r="AG83" s="99"/>
      <c r="AH83" s="53"/>
      <c r="AI83" s="228"/>
      <c r="AJ83" s="52"/>
      <c r="AK83" s="99"/>
      <c r="AL83" s="53"/>
      <c r="AM83" s="228"/>
      <c r="AN83" s="52"/>
      <c r="AO83" s="99"/>
      <c r="AP83" s="53"/>
      <c r="AQ83" s="50">
        <f t="shared" si="41"/>
        <v>0</v>
      </c>
      <c r="AR83" s="163">
        <f t="shared" si="42"/>
        <v>0.76236114136353739</v>
      </c>
      <c r="AS83" s="97">
        <f t="shared" si="43"/>
        <v>0</v>
      </c>
      <c r="AT83" s="278">
        <f t="shared" si="44"/>
        <v>0.76555126555126551</v>
      </c>
      <c r="AU83" s="55"/>
      <c r="AV83" s="277"/>
      <c r="AW83" s="279">
        <v>52</v>
      </c>
      <c r="AX83" s="52">
        <v>147</v>
      </c>
      <c r="AY83" s="473">
        <v>52</v>
      </c>
      <c r="AZ83" s="474">
        <v>149</v>
      </c>
      <c r="BA83" s="279">
        <v>13</v>
      </c>
      <c r="BB83" s="52">
        <v>101</v>
      </c>
      <c r="BC83" s="105">
        <v>13</v>
      </c>
      <c r="BD83" s="98">
        <v>122</v>
      </c>
      <c r="BE83" s="279">
        <v>14</v>
      </c>
      <c r="BF83" s="52">
        <v>72</v>
      </c>
      <c r="BG83" s="105">
        <v>45</v>
      </c>
      <c r="BH83" s="98">
        <v>83</v>
      </c>
      <c r="BI83" s="279">
        <v>45</v>
      </c>
      <c r="BJ83" s="52">
        <v>69</v>
      </c>
      <c r="BK83" s="105">
        <v>16</v>
      </c>
      <c r="BL83" s="98">
        <v>21</v>
      </c>
      <c r="BM83" s="279">
        <v>44</v>
      </c>
      <c r="BN83" s="52">
        <v>40</v>
      </c>
      <c r="BO83" s="105">
        <v>11</v>
      </c>
      <c r="BP83" s="98">
        <v>29</v>
      </c>
      <c r="BQ83" s="279">
        <v>26</v>
      </c>
      <c r="BR83" s="52">
        <v>24</v>
      </c>
      <c r="BS83" s="105">
        <v>51</v>
      </c>
      <c r="BT83" s="98">
        <v>29</v>
      </c>
      <c r="BU83" s="279">
        <v>27</v>
      </c>
      <c r="BV83" s="52">
        <v>24</v>
      </c>
      <c r="BW83" s="105">
        <v>27</v>
      </c>
      <c r="BX83" s="98">
        <v>26</v>
      </c>
      <c r="BY83" s="279">
        <v>11</v>
      </c>
      <c r="BZ83" s="52">
        <v>23</v>
      </c>
      <c r="CA83" s="105">
        <v>50</v>
      </c>
      <c r="CB83" s="98">
        <v>21</v>
      </c>
      <c r="CC83" s="279">
        <v>50</v>
      </c>
      <c r="CD83" s="52">
        <v>23</v>
      </c>
      <c r="CE83" s="105">
        <v>16</v>
      </c>
      <c r="CF83" s="98">
        <v>21</v>
      </c>
      <c r="CG83" s="279">
        <v>16</v>
      </c>
      <c r="CH83" s="52">
        <v>22</v>
      </c>
      <c r="CI83" s="105">
        <v>26</v>
      </c>
      <c r="CJ83" s="98">
        <v>20</v>
      </c>
      <c r="CK83" s="281"/>
      <c r="CL83" s="277"/>
      <c r="CM83" s="159">
        <v>150</v>
      </c>
      <c r="CN83" s="277">
        <v>153</v>
      </c>
      <c r="CO83" s="50">
        <f t="shared" si="50"/>
        <v>695</v>
      </c>
      <c r="CP83" s="103">
        <f t="shared" si="51"/>
        <v>10</v>
      </c>
      <c r="CQ83" s="280">
        <f t="shared" si="52"/>
        <v>674</v>
      </c>
      <c r="CR83" s="63">
        <f t="shared" si="53"/>
        <v>10</v>
      </c>
      <c r="CS83" s="279">
        <v>14</v>
      </c>
      <c r="CT83" s="52">
        <v>46</v>
      </c>
      <c r="CU83" s="105">
        <v>45</v>
      </c>
      <c r="CV83" s="98">
        <v>14</v>
      </c>
      <c r="CW83" s="279">
        <v>13</v>
      </c>
      <c r="CX83" s="52">
        <v>37</v>
      </c>
      <c r="CY83" s="105">
        <v>36</v>
      </c>
      <c r="CZ83" s="98">
        <v>40</v>
      </c>
      <c r="DA83" s="279">
        <v>51</v>
      </c>
      <c r="DB83" s="52">
        <v>29</v>
      </c>
      <c r="DC83" s="105">
        <v>13</v>
      </c>
      <c r="DD83" s="98">
        <v>33</v>
      </c>
      <c r="DE83" s="279">
        <v>40</v>
      </c>
      <c r="DF83" s="52">
        <v>29</v>
      </c>
      <c r="DG83" s="105">
        <v>51</v>
      </c>
      <c r="DH83" s="98">
        <v>28</v>
      </c>
      <c r="DI83" s="279">
        <v>26</v>
      </c>
      <c r="DJ83" s="52">
        <v>15</v>
      </c>
      <c r="DK83" s="105">
        <v>26</v>
      </c>
      <c r="DL83" s="98">
        <v>19</v>
      </c>
      <c r="DM83" s="279">
        <v>45</v>
      </c>
      <c r="DN83" s="52">
        <v>14</v>
      </c>
      <c r="DO83" s="105">
        <v>45</v>
      </c>
      <c r="DP83" s="98">
        <v>18</v>
      </c>
      <c r="DQ83" s="279">
        <v>1</v>
      </c>
      <c r="DR83" s="52">
        <v>7</v>
      </c>
      <c r="DS83" s="105">
        <v>54</v>
      </c>
      <c r="DT83" s="98">
        <v>10</v>
      </c>
      <c r="DU83" s="279">
        <v>23</v>
      </c>
      <c r="DV83" s="52">
        <v>6</v>
      </c>
      <c r="DW83" s="105">
        <v>50</v>
      </c>
      <c r="DX83" s="98">
        <v>11</v>
      </c>
      <c r="DY83" s="279">
        <v>42</v>
      </c>
      <c r="DZ83" s="52">
        <v>6</v>
      </c>
      <c r="EA83" s="105">
        <v>42</v>
      </c>
      <c r="EB83" s="98">
        <v>6</v>
      </c>
      <c r="EC83" s="279">
        <v>11</v>
      </c>
      <c r="ED83" s="52">
        <v>5</v>
      </c>
      <c r="EE83" s="105">
        <v>23</v>
      </c>
      <c r="EF83" s="98">
        <v>6</v>
      </c>
      <c r="EG83" s="159">
        <v>14</v>
      </c>
      <c r="EH83" s="277">
        <v>39</v>
      </c>
      <c r="EI83" s="50">
        <f t="shared" si="54"/>
        <v>208</v>
      </c>
      <c r="EJ83" s="103">
        <f t="shared" si="55"/>
        <v>10</v>
      </c>
      <c r="EK83" s="164">
        <f t="shared" si="56"/>
        <v>0.22115384615384615</v>
      </c>
      <c r="EL83" s="280">
        <f t="shared" si="57"/>
        <v>224</v>
      </c>
      <c r="EM83" s="63">
        <f t="shared" si="58"/>
        <v>10</v>
      </c>
      <c r="EN83" s="359">
        <f t="shared" si="59"/>
        <v>6.25E-2</v>
      </c>
      <c r="EO83" s="51">
        <f t="shared" si="60"/>
        <v>903</v>
      </c>
      <c r="EP83" s="361">
        <f t="shared" si="61"/>
        <v>898</v>
      </c>
      <c r="EQ83" s="281"/>
      <c r="ER83" s="277"/>
      <c r="ES83" s="281"/>
      <c r="ET83" s="277"/>
      <c r="EU83" s="281"/>
      <c r="EV83" s="277"/>
      <c r="EW83" s="281"/>
      <c r="EX83" s="277"/>
      <c r="EY83" s="281"/>
      <c r="EZ83" s="277"/>
      <c r="FA83" s="281"/>
      <c r="FB83" s="277"/>
      <c r="FC83" s="281"/>
      <c r="FD83" s="277"/>
      <c r="FE83" s="281"/>
      <c r="FF83" s="277"/>
      <c r="FG83" s="281"/>
      <c r="FH83" s="277"/>
      <c r="FI83" s="281"/>
      <c r="FJ83" s="277"/>
      <c r="FK83" s="50">
        <f t="shared" si="62"/>
        <v>0</v>
      </c>
      <c r="FL83" s="63">
        <f t="shared" si="63"/>
        <v>0</v>
      </c>
      <c r="FM83" s="50">
        <f t="shared" si="45"/>
        <v>4591</v>
      </c>
      <c r="FN83" s="360">
        <f t="shared" si="46"/>
        <v>4662</v>
      </c>
      <c r="FP83" s="279"/>
      <c r="FQ83" s="52"/>
      <c r="FR83" s="296"/>
      <c r="FS83" s="98"/>
      <c r="FT83" s="467"/>
      <c r="FU83" s="52"/>
      <c r="FV83" s="296"/>
      <c r="FW83" s="98"/>
      <c r="FX83" s="467"/>
      <c r="FY83" s="52"/>
      <c r="FZ83" s="296"/>
      <c r="GA83" s="98"/>
      <c r="GB83" s="467"/>
      <c r="GC83" s="52"/>
      <c r="GD83" s="296"/>
      <c r="GE83" s="98"/>
      <c r="GF83" s="467"/>
      <c r="GG83" s="52"/>
      <c r="GH83" s="296"/>
      <c r="GI83" s="98"/>
      <c r="GJ83" s="467"/>
      <c r="GK83" s="52"/>
      <c r="GL83" s="296"/>
      <c r="GM83" s="464"/>
      <c r="GN83" s="467"/>
      <c r="GO83" s="52"/>
      <c r="GP83" s="296"/>
      <c r="GQ83" s="464"/>
      <c r="GR83" s="467"/>
      <c r="GS83" s="52"/>
      <c r="GT83" s="296"/>
      <c r="GU83" s="464"/>
      <c r="GV83" s="467"/>
      <c r="GW83" s="52"/>
      <c r="GX83" s="296"/>
      <c r="GY83" s="464"/>
      <c r="GZ83" s="467"/>
      <c r="HA83" s="52"/>
      <c r="HB83" s="296"/>
    </row>
    <row r="84" spans="1:211" s="86" customFormat="1">
      <c r="A84" s="357" t="s">
        <v>950</v>
      </c>
      <c r="B84" s="358" t="s">
        <v>714</v>
      </c>
      <c r="C84" s="357">
        <v>130934</v>
      </c>
      <c r="D84" s="351">
        <v>4</v>
      </c>
      <c r="E84" s="460"/>
      <c r="F84" s="277"/>
      <c r="G84" s="158"/>
      <c r="H84" s="277"/>
      <c r="I84" s="158"/>
      <c r="J84" s="277"/>
      <c r="K84" s="160">
        <f t="shared" si="47"/>
        <v>0</v>
      </c>
      <c r="L84" s="161">
        <f t="shared" si="40"/>
        <v>0</v>
      </c>
      <c r="M84" s="758">
        <v>455</v>
      </c>
      <c r="N84" s="587">
        <v>19</v>
      </c>
      <c r="O84" s="55"/>
      <c r="P84" s="55"/>
      <c r="Q84" s="162">
        <f t="shared" si="48"/>
        <v>19</v>
      </c>
      <c r="R84" s="277">
        <v>506</v>
      </c>
      <c r="S84" s="277">
        <v>28</v>
      </c>
      <c r="T84" s="277"/>
      <c r="U84" s="277"/>
      <c r="V84" s="97">
        <f t="shared" si="49"/>
        <v>28</v>
      </c>
      <c r="W84" s="279"/>
      <c r="X84" s="52"/>
      <c r="Y84" s="99"/>
      <c r="Z84" s="53"/>
      <c r="AA84" s="228"/>
      <c r="AB84" s="52"/>
      <c r="AC84" s="99"/>
      <c r="AD84" s="53"/>
      <c r="AE84" s="228"/>
      <c r="AF84" s="52"/>
      <c r="AG84" s="99"/>
      <c r="AH84" s="53"/>
      <c r="AI84" s="228"/>
      <c r="AJ84" s="52"/>
      <c r="AK84" s="99"/>
      <c r="AL84" s="53"/>
      <c r="AM84" s="228"/>
      <c r="AN84" s="52"/>
      <c r="AO84" s="99"/>
      <c r="AP84" s="53"/>
      <c r="AQ84" s="50">
        <f t="shared" si="41"/>
        <v>0</v>
      </c>
      <c r="AR84" s="163">
        <f t="shared" si="42"/>
        <v>0.76342281879194629</v>
      </c>
      <c r="AS84" s="97">
        <f t="shared" si="43"/>
        <v>0</v>
      </c>
      <c r="AT84" s="278">
        <f t="shared" si="44"/>
        <v>0.7857142857142857</v>
      </c>
      <c r="AU84" s="55"/>
      <c r="AV84" s="277"/>
      <c r="AW84" s="279">
        <v>52</v>
      </c>
      <c r="AX84" s="52">
        <v>47</v>
      </c>
      <c r="AY84" s="473">
        <v>52</v>
      </c>
      <c r="AZ84" s="474">
        <v>37</v>
      </c>
      <c r="BA84" s="279">
        <v>44</v>
      </c>
      <c r="BB84" s="52">
        <v>34</v>
      </c>
      <c r="BC84" s="473">
        <v>44</v>
      </c>
      <c r="BD84" s="474">
        <v>31</v>
      </c>
      <c r="BE84" s="279">
        <v>13</v>
      </c>
      <c r="BF84" s="52">
        <v>26</v>
      </c>
      <c r="BG84" s="473">
        <v>13</v>
      </c>
      <c r="BH84" s="474">
        <v>20</v>
      </c>
      <c r="BI84" s="279">
        <v>31</v>
      </c>
      <c r="BJ84" s="52">
        <v>10</v>
      </c>
      <c r="BK84" s="473">
        <v>31</v>
      </c>
      <c r="BL84" s="474">
        <v>15</v>
      </c>
      <c r="BM84" s="279">
        <v>40</v>
      </c>
      <c r="BN84" s="52">
        <v>8</v>
      </c>
      <c r="BO84" s="473">
        <v>3</v>
      </c>
      <c r="BP84" s="474">
        <v>6</v>
      </c>
      <c r="BQ84" s="279">
        <v>3</v>
      </c>
      <c r="BR84" s="52">
        <v>6</v>
      </c>
      <c r="BS84" s="473">
        <v>1</v>
      </c>
      <c r="BT84" s="474">
        <v>5</v>
      </c>
      <c r="BU84" s="279">
        <v>51</v>
      </c>
      <c r="BV84" s="52">
        <v>4</v>
      </c>
      <c r="BW84" s="473">
        <v>40</v>
      </c>
      <c r="BX84" s="474">
        <v>5</v>
      </c>
      <c r="BY84" s="279">
        <v>27</v>
      </c>
      <c r="BZ84" s="52">
        <v>2</v>
      </c>
      <c r="CA84" s="473">
        <v>26</v>
      </c>
      <c r="CB84" s="474">
        <v>3</v>
      </c>
      <c r="CC84" s="279">
        <v>30</v>
      </c>
      <c r="CD84" s="52">
        <v>2</v>
      </c>
      <c r="CE84" s="473">
        <v>27</v>
      </c>
      <c r="CF84" s="474">
        <v>2</v>
      </c>
      <c r="CG84" s="279"/>
      <c r="CH84" s="52"/>
      <c r="CI84" s="105"/>
      <c r="CJ84" s="98"/>
      <c r="CK84" s="281"/>
      <c r="CL84" s="277"/>
      <c r="CM84" s="159"/>
      <c r="CN84" s="277"/>
      <c r="CO84" s="50">
        <f t="shared" si="50"/>
        <v>139</v>
      </c>
      <c r="CP84" s="103">
        <f t="shared" si="51"/>
        <v>9</v>
      </c>
      <c r="CQ84" s="280">
        <f t="shared" si="52"/>
        <v>124</v>
      </c>
      <c r="CR84" s="63">
        <f t="shared" si="53"/>
        <v>9</v>
      </c>
      <c r="CS84" s="279">
        <v>27</v>
      </c>
      <c r="CT84" s="52">
        <v>2</v>
      </c>
      <c r="CU84" s="105">
        <v>13</v>
      </c>
      <c r="CV84" s="98">
        <v>10</v>
      </c>
      <c r="CW84" s="279"/>
      <c r="CX84" s="52"/>
      <c r="CY84" s="105">
        <v>27</v>
      </c>
      <c r="CZ84" s="98">
        <v>4</v>
      </c>
      <c r="DA84" s="279"/>
      <c r="DB84" s="52"/>
      <c r="DC84" s="105"/>
      <c r="DD84" s="98"/>
      <c r="DE84" s="279"/>
      <c r="DF84" s="52"/>
      <c r="DG84" s="105"/>
      <c r="DH84" s="98"/>
      <c r="DI84" s="279"/>
      <c r="DJ84" s="52"/>
      <c r="DK84" s="105"/>
      <c r="DL84" s="98"/>
      <c r="DM84" s="279"/>
      <c r="DN84" s="52"/>
      <c r="DO84" s="105"/>
      <c r="DP84" s="98"/>
      <c r="DQ84" s="279"/>
      <c r="DR84" s="52"/>
      <c r="DS84" s="105"/>
      <c r="DT84" s="98"/>
      <c r="DU84" s="279"/>
      <c r="DV84" s="52"/>
      <c r="DW84" s="105"/>
      <c r="DX84" s="98"/>
      <c r="DY84" s="279"/>
      <c r="DZ84" s="52"/>
      <c r="EA84" s="105"/>
      <c r="EB84" s="98"/>
      <c r="EC84" s="279"/>
      <c r="ED84" s="52"/>
      <c r="EE84" s="105"/>
      <c r="EF84" s="98"/>
      <c r="EG84" s="159"/>
      <c r="EH84" s="277">
        <v>0</v>
      </c>
      <c r="EI84" s="50">
        <f t="shared" si="54"/>
        <v>2</v>
      </c>
      <c r="EJ84" s="103">
        <f t="shared" si="55"/>
        <v>1</v>
      </c>
      <c r="EK84" s="164">
        <f t="shared" si="56"/>
        <v>1</v>
      </c>
      <c r="EL84" s="280">
        <f t="shared" si="57"/>
        <v>14</v>
      </c>
      <c r="EM84" s="63">
        <f t="shared" si="58"/>
        <v>2</v>
      </c>
      <c r="EN84" s="359">
        <f t="shared" si="59"/>
        <v>0.7142857142857143</v>
      </c>
      <c r="EO84" s="51">
        <f t="shared" si="60"/>
        <v>141</v>
      </c>
      <c r="EP84" s="361">
        <f t="shared" si="61"/>
        <v>138</v>
      </c>
      <c r="EQ84" s="281"/>
      <c r="ER84" s="277"/>
      <c r="ES84" s="281"/>
      <c r="ET84" s="277"/>
      <c r="EU84" s="281"/>
      <c r="EV84" s="277"/>
      <c r="EW84" s="281"/>
      <c r="EX84" s="277"/>
      <c r="EY84" s="281"/>
      <c r="EZ84" s="277"/>
      <c r="FA84" s="281"/>
      <c r="FB84" s="277"/>
      <c r="FC84" s="281"/>
      <c r="FD84" s="277"/>
      <c r="FE84" s="281"/>
      <c r="FF84" s="277"/>
      <c r="FG84" s="281"/>
      <c r="FH84" s="277"/>
      <c r="FI84" s="281"/>
      <c r="FJ84" s="277"/>
      <c r="FK84" s="50">
        <f t="shared" si="62"/>
        <v>0</v>
      </c>
      <c r="FL84" s="63">
        <f t="shared" si="63"/>
        <v>0</v>
      </c>
      <c r="FM84" s="50">
        <f t="shared" si="45"/>
        <v>596</v>
      </c>
      <c r="FN84" s="360">
        <f t="shared" si="46"/>
        <v>644</v>
      </c>
      <c r="FP84" s="279"/>
      <c r="FQ84" s="52"/>
      <c r="FR84" s="296"/>
      <c r="FS84" s="98"/>
      <c r="FT84" s="467"/>
      <c r="FU84" s="52"/>
      <c r="FV84" s="296"/>
      <c r="FW84" s="98"/>
      <c r="FX84" s="467"/>
      <c r="FY84" s="52"/>
      <c r="FZ84" s="296"/>
      <c r="GA84" s="98"/>
      <c r="GB84" s="467"/>
      <c r="GC84" s="52"/>
      <c r="GD84" s="296"/>
      <c r="GE84" s="98"/>
      <c r="GF84" s="467"/>
      <c r="GG84" s="52"/>
      <c r="GH84" s="296"/>
      <c r="GI84" s="98"/>
      <c r="GJ84" s="467"/>
      <c r="GK84" s="52"/>
      <c r="GL84" s="296"/>
      <c r="GM84" s="464"/>
      <c r="GN84" s="467"/>
      <c r="GO84" s="52"/>
      <c r="GP84" s="296"/>
      <c r="GQ84" s="464"/>
      <c r="GR84" s="467"/>
      <c r="GS84" s="52"/>
      <c r="GT84" s="296"/>
      <c r="GU84" s="464"/>
      <c r="GV84" s="467"/>
      <c r="GW84" s="52"/>
      <c r="GX84" s="296"/>
      <c r="GY84" s="464"/>
      <c r="GZ84" s="467"/>
      <c r="HA84" s="52"/>
      <c r="HB84" s="296"/>
    </row>
    <row r="85" spans="1:211" s="86" customFormat="1">
      <c r="A85" s="357" t="s">
        <v>950</v>
      </c>
      <c r="B85" s="358" t="s">
        <v>715</v>
      </c>
      <c r="C85" s="357">
        <v>130891</v>
      </c>
      <c r="D85" s="351">
        <v>9</v>
      </c>
      <c r="E85" s="460">
        <v>562</v>
      </c>
      <c r="F85" s="277">
        <v>525</v>
      </c>
      <c r="G85" s="159"/>
      <c r="H85" s="277"/>
      <c r="I85" s="159">
        <v>363</v>
      </c>
      <c r="J85" s="277">
        <v>413</v>
      </c>
      <c r="K85" s="160">
        <f t="shared" si="47"/>
        <v>0</v>
      </c>
      <c r="L85" s="161">
        <f t="shared" si="40"/>
        <v>0</v>
      </c>
      <c r="M85" s="54"/>
      <c r="N85" s="55"/>
      <c r="O85" s="55"/>
      <c r="P85" s="55"/>
      <c r="Q85" s="162">
        <f t="shared" si="48"/>
        <v>0</v>
      </c>
      <c r="R85" s="277"/>
      <c r="S85" s="277"/>
      <c r="T85" s="277"/>
      <c r="U85" s="277"/>
      <c r="V85" s="97">
        <f t="shared" si="49"/>
        <v>0</v>
      </c>
      <c r="W85" s="279"/>
      <c r="X85" s="52"/>
      <c r="Y85" s="99"/>
      <c r="Z85" s="53"/>
      <c r="AA85" s="228"/>
      <c r="AB85" s="52"/>
      <c r="AC85" s="99"/>
      <c r="AD85" s="53"/>
      <c r="AE85" s="228"/>
      <c r="AF85" s="52"/>
      <c r="AG85" s="99"/>
      <c r="AH85" s="53"/>
      <c r="AI85" s="228"/>
      <c r="AJ85" s="52"/>
      <c r="AK85" s="99"/>
      <c r="AL85" s="53"/>
      <c r="AM85" s="228"/>
      <c r="AN85" s="52"/>
      <c r="AO85" s="99"/>
      <c r="AP85" s="53"/>
      <c r="AQ85" s="50">
        <f t="shared" si="41"/>
        <v>0</v>
      </c>
      <c r="AR85" s="163">
        <f t="shared" si="42"/>
        <v>0</v>
      </c>
      <c r="AS85" s="97">
        <f t="shared" si="43"/>
        <v>0</v>
      </c>
      <c r="AT85" s="278">
        <f t="shared" si="44"/>
        <v>0</v>
      </c>
      <c r="AU85" s="55"/>
      <c r="AV85" s="277"/>
      <c r="AW85" s="279"/>
      <c r="AX85" s="52"/>
      <c r="AY85" s="105"/>
      <c r="AZ85" s="98"/>
      <c r="BA85" s="279"/>
      <c r="BB85" s="52"/>
      <c r="BC85" s="105"/>
      <c r="BD85" s="98"/>
      <c r="BE85" s="279"/>
      <c r="BF85" s="52"/>
      <c r="BG85" s="105"/>
      <c r="BH85" s="98"/>
      <c r="BI85" s="279"/>
      <c r="BJ85" s="52"/>
      <c r="BK85" s="105"/>
      <c r="BL85" s="98"/>
      <c r="BM85" s="279"/>
      <c r="BN85" s="52"/>
      <c r="BO85" s="105"/>
      <c r="BP85" s="98"/>
      <c r="BQ85" s="279"/>
      <c r="BR85" s="52"/>
      <c r="BS85" s="105"/>
      <c r="BT85" s="98"/>
      <c r="BU85" s="279"/>
      <c r="BV85" s="52"/>
      <c r="BW85" s="105"/>
      <c r="BX85" s="98"/>
      <c r="BY85" s="279"/>
      <c r="BZ85" s="52"/>
      <c r="CA85" s="105"/>
      <c r="CB85" s="98"/>
      <c r="CC85" s="279"/>
      <c r="CD85" s="52"/>
      <c r="CE85" s="105"/>
      <c r="CF85" s="98"/>
      <c r="CG85" s="279"/>
      <c r="CH85" s="52"/>
      <c r="CI85" s="105"/>
      <c r="CJ85" s="98"/>
      <c r="CK85" s="281"/>
      <c r="CL85" s="277"/>
      <c r="CM85" s="159"/>
      <c r="CN85" s="277"/>
      <c r="CO85" s="50">
        <f t="shared" si="50"/>
        <v>0</v>
      </c>
      <c r="CP85" s="103">
        <f t="shared" si="51"/>
        <v>0</v>
      </c>
      <c r="CQ85" s="280">
        <f t="shared" si="52"/>
        <v>0</v>
      </c>
      <c r="CR85" s="63">
        <f t="shared" si="53"/>
        <v>0</v>
      </c>
      <c r="CS85" s="279"/>
      <c r="CT85" s="52"/>
      <c r="CU85" s="105"/>
      <c r="CV85" s="98"/>
      <c r="CW85" s="279"/>
      <c r="CX85" s="52"/>
      <c r="CY85" s="105"/>
      <c r="CZ85" s="98"/>
      <c r="DA85" s="279"/>
      <c r="DB85" s="52"/>
      <c r="DC85" s="105"/>
      <c r="DD85" s="98"/>
      <c r="DE85" s="279"/>
      <c r="DF85" s="52"/>
      <c r="DG85" s="105"/>
      <c r="DH85" s="98"/>
      <c r="DI85" s="279"/>
      <c r="DJ85" s="52"/>
      <c r="DK85" s="105"/>
      <c r="DL85" s="98"/>
      <c r="DM85" s="279"/>
      <c r="DN85" s="52"/>
      <c r="DO85" s="105"/>
      <c r="DP85" s="98"/>
      <c r="DQ85" s="279"/>
      <c r="DR85" s="52"/>
      <c r="DS85" s="105"/>
      <c r="DT85" s="98"/>
      <c r="DU85" s="279"/>
      <c r="DV85" s="52"/>
      <c r="DW85" s="105"/>
      <c r="DX85" s="98"/>
      <c r="DY85" s="279"/>
      <c r="DZ85" s="52"/>
      <c r="EA85" s="105"/>
      <c r="EB85" s="98"/>
      <c r="EC85" s="279"/>
      <c r="ED85" s="52"/>
      <c r="EE85" s="105"/>
      <c r="EF85" s="98"/>
      <c r="EG85" s="159"/>
      <c r="EH85" s="277"/>
      <c r="EI85" s="50">
        <f t="shared" si="54"/>
        <v>0</v>
      </c>
      <c r="EJ85" s="103">
        <f t="shared" si="55"/>
        <v>0</v>
      </c>
      <c r="EK85" s="164">
        <f t="shared" si="56"/>
        <v>0</v>
      </c>
      <c r="EL85" s="280">
        <f t="shared" si="57"/>
        <v>0</v>
      </c>
      <c r="EM85" s="63">
        <f t="shared" si="58"/>
        <v>0</v>
      </c>
      <c r="EN85" s="359">
        <f t="shared" si="59"/>
        <v>0</v>
      </c>
      <c r="EO85" s="51">
        <f t="shared" si="60"/>
        <v>0</v>
      </c>
      <c r="EP85" s="361">
        <f t="shared" si="61"/>
        <v>0</v>
      </c>
      <c r="EQ85" s="281"/>
      <c r="ER85" s="277"/>
      <c r="ES85" s="281"/>
      <c r="ET85" s="277"/>
      <c r="EU85" s="281"/>
      <c r="EV85" s="277"/>
      <c r="EW85" s="281"/>
      <c r="EX85" s="277"/>
      <c r="EY85" s="281"/>
      <c r="EZ85" s="277"/>
      <c r="FA85" s="281"/>
      <c r="FB85" s="277"/>
      <c r="FC85" s="281"/>
      <c r="FD85" s="277"/>
      <c r="FE85" s="281"/>
      <c r="FF85" s="277"/>
      <c r="FG85" s="281"/>
      <c r="FH85" s="277"/>
      <c r="FI85" s="281"/>
      <c r="FJ85" s="277"/>
      <c r="FK85" s="50">
        <f t="shared" si="62"/>
        <v>0</v>
      </c>
      <c r="FL85" s="63">
        <f t="shared" si="63"/>
        <v>0</v>
      </c>
      <c r="FM85" s="50">
        <f t="shared" si="45"/>
        <v>925</v>
      </c>
      <c r="FN85" s="360">
        <f t="shared" si="46"/>
        <v>938</v>
      </c>
      <c r="FP85" s="279"/>
      <c r="FQ85" s="52"/>
      <c r="FR85" s="296"/>
      <c r="FS85" s="98"/>
      <c r="FT85" s="467"/>
      <c r="FU85" s="52"/>
      <c r="FV85" s="296"/>
      <c r="FW85" s="98"/>
      <c r="FX85" s="467"/>
      <c r="FY85" s="52"/>
      <c r="FZ85" s="296"/>
      <c r="GA85" s="98"/>
      <c r="GB85" s="467"/>
      <c r="GC85" s="52"/>
      <c r="GD85" s="296"/>
      <c r="GE85" s="98"/>
      <c r="GF85" s="467"/>
      <c r="GG85" s="52"/>
      <c r="GH85" s="296"/>
      <c r="GI85" s="98"/>
      <c r="GJ85" s="467"/>
      <c r="GK85" s="52"/>
      <c r="GL85" s="296"/>
      <c r="GM85" s="464"/>
      <c r="GN85" s="467"/>
      <c r="GO85" s="52"/>
      <c r="GP85" s="296"/>
      <c r="GQ85" s="464"/>
      <c r="GR85" s="467"/>
      <c r="GS85" s="52"/>
      <c r="GT85" s="296"/>
      <c r="GU85" s="464"/>
      <c r="GV85" s="467"/>
      <c r="GW85" s="52"/>
      <c r="GX85" s="296"/>
      <c r="GY85" s="464"/>
      <c r="GZ85" s="467"/>
      <c r="HA85" s="52"/>
      <c r="HB85" s="296"/>
    </row>
    <row r="86" spans="1:211" s="86" customFormat="1">
      <c r="A86" s="357" t="s">
        <v>950</v>
      </c>
      <c r="B86" s="358" t="s">
        <v>716</v>
      </c>
      <c r="C86" s="357">
        <v>130916</v>
      </c>
      <c r="D86" s="351">
        <v>9</v>
      </c>
      <c r="E86" s="460">
        <v>133</v>
      </c>
      <c r="F86" s="277">
        <v>92</v>
      </c>
      <c r="G86" s="159"/>
      <c r="H86" s="277"/>
      <c r="I86" s="159">
        <v>542</v>
      </c>
      <c r="J86" s="277">
        <v>558</v>
      </c>
      <c r="K86" s="160">
        <f t="shared" si="47"/>
        <v>0</v>
      </c>
      <c r="L86" s="161">
        <f t="shared" si="40"/>
        <v>0</v>
      </c>
      <c r="M86" s="54"/>
      <c r="N86" s="55"/>
      <c r="O86" s="55"/>
      <c r="P86" s="55"/>
      <c r="Q86" s="162">
        <f t="shared" si="48"/>
        <v>0</v>
      </c>
      <c r="R86" s="277"/>
      <c r="S86" s="277"/>
      <c r="T86" s="277"/>
      <c r="U86" s="277"/>
      <c r="V86" s="97">
        <f t="shared" si="49"/>
        <v>0</v>
      </c>
      <c r="W86" s="279"/>
      <c r="X86" s="52"/>
      <c r="Y86" s="99"/>
      <c r="Z86" s="53"/>
      <c r="AA86" s="228"/>
      <c r="AB86" s="52"/>
      <c r="AC86" s="99"/>
      <c r="AD86" s="53"/>
      <c r="AE86" s="228"/>
      <c r="AF86" s="52"/>
      <c r="AG86" s="99"/>
      <c r="AH86" s="53"/>
      <c r="AI86" s="228"/>
      <c r="AJ86" s="52"/>
      <c r="AK86" s="99"/>
      <c r="AL86" s="53"/>
      <c r="AM86" s="228"/>
      <c r="AN86" s="52"/>
      <c r="AO86" s="99"/>
      <c r="AP86" s="53"/>
      <c r="AQ86" s="50">
        <f t="shared" si="41"/>
        <v>0</v>
      </c>
      <c r="AR86" s="163">
        <f t="shared" si="42"/>
        <v>0</v>
      </c>
      <c r="AS86" s="97">
        <f t="shared" si="43"/>
        <v>0</v>
      </c>
      <c r="AT86" s="278">
        <f t="shared" si="44"/>
        <v>0</v>
      </c>
      <c r="AU86" s="55"/>
      <c r="AV86" s="277"/>
      <c r="AW86" s="279"/>
      <c r="AX86" s="52"/>
      <c r="AY86" s="105"/>
      <c r="AZ86" s="98"/>
      <c r="BA86" s="279"/>
      <c r="BB86" s="52"/>
      <c r="BC86" s="105"/>
      <c r="BD86" s="98"/>
      <c r="BE86" s="279"/>
      <c r="BF86" s="52"/>
      <c r="BG86" s="105"/>
      <c r="BH86" s="98"/>
      <c r="BI86" s="279"/>
      <c r="BJ86" s="52"/>
      <c r="BK86" s="105"/>
      <c r="BL86" s="98"/>
      <c r="BM86" s="279"/>
      <c r="BN86" s="52"/>
      <c r="BO86" s="105"/>
      <c r="BP86" s="98"/>
      <c r="BQ86" s="279"/>
      <c r="BR86" s="52"/>
      <c r="BS86" s="105"/>
      <c r="BT86" s="98"/>
      <c r="BU86" s="279"/>
      <c r="BV86" s="52"/>
      <c r="BW86" s="105"/>
      <c r="BX86" s="98"/>
      <c r="BY86" s="279"/>
      <c r="BZ86" s="52"/>
      <c r="CA86" s="105"/>
      <c r="CB86" s="98"/>
      <c r="CC86" s="279"/>
      <c r="CD86" s="52"/>
      <c r="CE86" s="105"/>
      <c r="CF86" s="98"/>
      <c r="CG86" s="279"/>
      <c r="CH86" s="52"/>
      <c r="CI86" s="105"/>
      <c r="CJ86" s="98"/>
      <c r="CK86" s="281"/>
      <c r="CL86" s="277"/>
      <c r="CM86" s="159"/>
      <c r="CN86" s="277"/>
      <c r="CO86" s="50">
        <f t="shared" si="50"/>
        <v>0</v>
      </c>
      <c r="CP86" s="103">
        <f t="shared" si="51"/>
        <v>0</v>
      </c>
      <c r="CQ86" s="280">
        <f t="shared" si="52"/>
        <v>0</v>
      </c>
      <c r="CR86" s="63">
        <f t="shared" si="53"/>
        <v>0</v>
      </c>
      <c r="CS86" s="279"/>
      <c r="CT86" s="52"/>
      <c r="CU86" s="105"/>
      <c r="CV86" s="98"/>
      <c r="CW86" s="279"/>
      <c r="CX86" s="52"/>
      <c r="CY86" s="105"/>
      <c r="CZ86" s="98"/>
      <c r="DA86" s="279"/>
      <c r="DB86" s="52"/>
      <c r="DC86" s="105"/>
      <c r="DD86" s="98"/>
      <c r="DE86" s="279"/>
      <c r="DF86" s="52"/>
      <c r="DG86" s="105"/>
      <c r="DH86" s="98"/>
      <c r="DI86" s="279"/>
      <c r="DJ86" s="52"/>
      <c r="DK86" s="105"/>
      <c r="DL86" s="98"/>
      <c r="DM86" s="279"/>
      <c r="DN86" s="52"/>
      <c r="DO86" s="105"/>
      <c r="DP86" s="98"/>
      <c r="DQ86" s="279"/>
      <c r="DR86" s="52"/>
      <c r="DS86" s="105"/>
      <c r="DT86" s="98"/>
      <c r="DU86" s="279"/>
      <c r="DV86" s="52"/>
      <c r="DW86" s="105"/>
      <c r="DX86" s="98"/>
      <c r="DY86" s="279"/>
      <c r="DZ86" s="52"/>
      <c r="EA86" s="105"/>
      <c r="EB86" s="98"/>
      <c r="EC86" s="279"/>
      <c r="ED86" s="52"/>
      <c r="EE86" s="105"/>
      <c r="EF86" s="98"/>
      <c r="EG86" s="159"/>
      <c r="EH86" s="277"/>
      <c r="EI86" s="50">
        <f t="shared" si="54"/>
        <v>0</v>
      </c>
      <c r="EJ86" s="103">
        <f t="shared" si="55"/>
        <v>0</v>
      </c>
      <c r="EK86" s="164">
        <f t="shared" si="56"/>
        <v>0</v>
      </c>
      <c r="EL86" s="280">
        <f t="shared" si="57"/>
        <v>0</v>
      </c>
      <c r="EM86" s="63">
        <f t="shared" si="58"/>
        <v>0</v>
      </c>
      <c r="EN86" s="359">
        <f t="shared" si="59"/>
        <v>0</v>
      </c>
      <c r="EO86" s="51">
        <f t="shared" si="60"/>
        <v>0</v>
      </c>
      <c r="EP86" s="361">
        <f t="shared" si="61"/>
        <v>0</v>
      </c>
      <c r="EQ86" s="281"/>
      <c r="ER86" s="277"/>
      <c r="ES86" s="281"/>
      <c r="ET86" s="277"/>
      <c r="EU86" s="281"/>
      <c r="EV86" s="277"/>
      <c r="EW86" s="281"/>
      <c r="EX86" s="277"/>
      <c r="EY86" s="281"/>
      <c r="EZ86" s="277"/>
      <c r="FA86" s="281"/>
      <c r="FB86" s="277"/>
      <c r="FC86" s="281"/>
      <c r="FD86" s="277"/>
      <c r="FE86" s="281"/>
      <c r="FF86" s="277"/>
      <c r="FG86" s="281"/>
      <c r="FH86" s="277"/>
      <c r="FI86" s="281"/>
      <c r="FJ86" s="277"/>
      <c r="FK86" s="50">
        <f t="shared" si="62"/>
        <v>0</v>
      </c>
      <c r="FL86" s="63">
        <f t="shared" si="63"/>
        <v>0</v>
      </c>
      <c r="FM86" s="50">
        <f t="shared" si="45"/>
        <v>675</v>
      </c>
      <c r="FN86" s="360">
        <f t="shared" si="46"/>
        <v>650</v>
      </c>
      <c r="FP86" s="279"/>
      <c r="FQ86" s="52"/>
      <c r="FR86" s="296"/>
      <c r="FS86" s="98"/>
      <c r="FT86" s="467"/>
      <c r="FU86" s="52"/>
      <c r="FV86" s="296"/>
      <c r="FW86" s="98"/>
      <c r="FX86" s="467"/>
      <c r="FY86" s="52"/>
      <c r="FZ86" s="296"/>
      <c r="GA86" s="98"/>
      <c r="GB86" s="467"/>
      <c r="GC86" s="52"/>
      <c r="GD86" s="296"/>
      <c r="GE86" s="98"/>
      <c r="GF86" s="467"/>
      <c r="GG86" s="52"/>
      <c r="GH86" s="296"/>
      <c r="GI86" s="98"/>
      <c r="GJ86" s="467"/>
      <c r="GK86" s="52"/>
      <c r="GL86" s="296"/>
      <c r="GM86" s="464"/>
      <c r="GN86" s="467"/>
      <c r="GO86" s="52"/>
      <c r="GP86" s="296"/>
      <c r="GQ86" s="464"/>
      <c r="GR86" s="467"/>
      <c r="GS86" s="52"/>
      <c r="GT86" s="296"/>
      <c r="GU86" s="464"/>
      <c r="GV86" s="467"/>
      <c r="GW86" s="52"/>
      <c r="GX86" s="296"/>
      <c r="GY86" s="464"/>
      <c r="GZ86" s="467"/>
      <c r="HA86" s="52"/>
      <c r="HB86" s="296"/>
    </row>
    <row r="87" spans="1:211" s="86" customFormat="1">
      <c r="A87" s="357" t="s">
        <v>950</v>
      </c>
      <c r="B87" s="475" t="s">
        <v>717</v>
      </c>
      <c r="C87" s="476">
        <v>130907</v>
      </c>
      <c r="D87" s="477">
        <v>9</v>
      </c>
      <c r="E87" s="460">
        <v>188</v>
      </c>
      <c r="F87" s="277">
        <v>131</v>
      </c>
      <c r="G87" s="159"/>
      <c r="H87" s="277"/>
      <c r="I87" s="159">
        <v>221</v>
      </c>
      <c r="J87" s="277">
        <v>272</v>
      </c>
      <c r="K87" s="160">
        <f t="shared" si="47"/>
        <v>0</v>
      </c>
      <c r="L87" s="161">
        <f t="shared" si="40"/>
        <v>0</v>
      </c>
      <c r="M87" s="54"/>
      <c r="N87" s="55"/>
      <c r="O87" s="55"/>
      <c r="P87" s="55"/>
      <c r="Q87" s="162">
        <f t="shared" si="48"/>
        <v>0</v>
      </c>
      <c r="R87" s="277"/>
      <c r="S87" s="277"/>
      <c r="T87" s="277"/>
      <c r="U87" s="277"/>
      <c r="V87" s="97">
        <f t="shared" si="49"/>
        <v>0</v>
      </c>
      <c r="W87" s="279"/>
      <c r="X87" s="52"/>
      <c r="Y87" s="99"/>
      <c r="Z87" s="53"/>
      <c r="AA87" s="228"/>
      <c r="AB87" s="52"/>
      <c r="AC87" s="99"/>
      <c r="AD87" s="53"/>
      <c r="AE87" s="228"/>
      <c r="AF87" s="52"/>
      <c r="AG87" s="99"/>
      <c r="AH87" s="53"/>
      <c r="AI87" s="228"/>
      <c r="AJ87" s="52"/>
      <c r="AK87" s="99"/>
      <c r="AL87" s="53"/>
      <c r="AM87" s="228"/>
      <c r="AN87" s="52"/>
      <c r="AO87" s="99"/>
      <c r="AP87" s="53"/>
      <c r="AQ87" s="50">
        <f t="shared" si="41"/>
        <v>0</v>
      </c>
      <c r="AR87" s="163">
        <f t="shared" si="42"/>
        <v>0</v>
      </c>
      <c r="AS87" s="97">
        <f t="shared" si="43"/>
        <v>0</v>
      </c>
      <c r="AT87" s="278">
        <f t="shared" si="44"/>
        <v>0</v>
      </c>
      <c r="AU87" s="55"/>
      <c r="AV87" s="277"/>
      <c r="AW87" s="279"/>
      <c r="AX87" s="52"/>
      <c r="AY87" s="105"/>
      <c r="AZ87" s="98"/>
      <c r="BA87" s="279"/>
      <c r="BB87" s="52"/>
      <c r="BC87" s="105"/>
      <c r="BD87" s="98"/>
      <c r="BE87" s="279"/>
      <c r="BF87" s="52"/>
      <c r="BG87" s="105"/>
      <c r="BH87" s="98"/>
      <c r="BI87" s="279"/>
      <c r="BJ87" s="52"/>
      <c r="BK87" s="105"/>
      <c r="BL87" s="98"/>
      <c r="BM87" s="279"/>
      <c r="BN87" s="52"/>
      <c r="BO87" s="105"/>
      <c r="BP87" s="98"/>
      <c r="BQ87" s="279"/>
      <c r="BR87" s="52"/>
      <c r="BS87" s="105"/>
      <c r="BT87" s="98"/>
      <c r="BU87" s="279"/>
      <c r="BV87" s="52"/>
      <c r="BW87" s="105"/>
      <c r="BX87" s="98"/>
      <c r="BY87" s="279"/>
      <c r="BZ87" s="52"/>
      <c r="CA87" s="105"/>
      <c r="CB87" s="98"/>
      <c r="CC87" s="279"/>
      <c r="CD87" s="52"/>
      <c r="CE87" s="105"/>
      <c r="CF87" s="98"/>
      <c r="CG87" s="279"/>
      <c r="CH87" s="52"/>
      <c r="CI87" s="105"/>
      <c r="CJ87" s="98"/>
      <c r="CK87" s="281"/>
      <c r="CL87" s="277"/>
      <c r="CM87" s="159"/>
      <c r="CN87" s="277"/>
      <c r="CO87" s="50">
        <f t="shared" si="50"/>
        <v>0</v>
      </c>
      <c r="CP87" s="103">
        <f t="shared" si="51"/>
        <v>0</v>
      </c>
      <c r="CQ87" s="280">
        <f t="shared" si="52"/>
        <v>0</v>
      </c>
      <c r="CR87" s="63">
        <f t="shared" si="53"/>
        <v>0</v>
      </c>
      <c r="CS87" s="279"/>
      <c r="CT87" s="52"/>
      <c r="CU87" s="105"/>
      <c r="CV87" s="98"/>
      <c r="CW87" s="279"/>
      <c r="CX87" s="52"/>
      <c r="CY87" s="105"/>
      <c r="CZ87" s="98"/>
      <c r="DA87" s="279"/>
      <c r="DB87" s="52"/>
      <c r="DC87" s="105"/>
      <c r="DD87" s="98"/>
      <c r="DE87" s="279"/>
      <c r="DF87" s="52"/>
      <c r="DG87" s="105"/>
      <c r="DH87" s="98"/>
      <c r="DI87" s="279"/>
      <c r="DJ87" s="52"/>
      <c r="DK87" s="105"/>
      <c r="DL87" s="98"/>
      <c r="DM87" s="279"/>
      <c r="DN87" s="52"/>
      <c r="DO87" s="105"/>
      <c r="DP87" s="98"/>
      <c r="DQ87" s="279"/>
      <c r="DR87" s="52"/>
      <c r="DS87" s="105"/>
      <c r="DT87" s="98"/>
      <c r="DU87" s="279"/>
      <c r="DV87" s="52"/>
      <c r="DW87" s="105"/>
      <c r="DX87" s="98"/>
      <c r="DY87" s="279"/>
      <c r="DZ87" s="52"/>
      <c r="EA87" s="105"/>
      <c r="EB87" s="98"/>
      <c r="EC87" s="279"/>
      <c r="ED87" s="52"/>
      <c r="EE87" s="105"/>
      <c r="EF87" s="98"/>
      <c r="EG87" s="159"/>
      <c r="EH87" s="277"/>
      <c r="EI87" s="50">
        <f t="shared" si="54"/>
        <v>0</v>
      </c>
      <c r="EJ87" s="103">
        <f t="shared" si="55"/>
        <v>0</v>
      </c>
      <c r="EK87" s="164">
        <f t="shared" si="56"/>
        <v>0</v>
      </c>
      <c r="EL87" s="280">
        <f t="shared" si="57"/>
        <v>0</v>
      </c>
      <c r="EM87" s="63">
        <f t="shared" si="58"/>
        <v>0</v>
      </c>
      <c r="EN87" s="359">
        <f t="shared" si="59"/>
        <v>0</v>
      </c>
      <c r="EO87" s="51">
        <f t="shared" si="60"/>
        <v>0</v>
      </c>
      <c r="EP87" s="361">
        <f t="shared" si="61"/>
        <v>0</v>
      </c>
      <c r="EQ87" s="281"/>
      <c r="ER87" s="277"/>
      <c r="ES87" s="281"/>
      <c r="ET87" s="277"/>
      <c r="EU87" s="281"/>
      <c r="EV87" s="277"/>
      <c r="EW87" s="281"/>
      <c r="EX87" s="277"/>
      <c r="EY87" s="281"/>
      <c r="EZ87" s="277"/>
      <c r="FA87" s="281"/>
      <c r="FB87" s="277"/>
      <c r="FC87" s="281"/>
      <c r="FD87" s="277"/>
      <c r="FE87" s="281"/>
      <c r="FF87" s="277"/>
      <c r="FG87" s="281"/>
      <c r="FH87" s="277"/>
      <c r="FI87" s="281"/>
      <c r="FJ87" s="277"/>
      <c r="FK87" s="50">
        <f t="shared" si="62"/>
        <v>0</v>
      </c>
      <c r="FL87" s="63">
        <f t="shared" si="63"/>
        <v>0</v>
      </c>
      <c r="FM87" s="50">
        <f t="shared" si="45"/>
        <v>409</v>
      </c>
      <c r="FN87" s="360">
        <f t="shared" si="46"/>
        <v>403</v>
      </c>
      <c r="FP87" s="279"/>
      <c r="FQ87" s="52"/>
      <c r="FR87" s="296"/>
      <c r="FS87" s="98"/>
      <c r="FT87" s="467"/>
      <c r="FU87" s="52"/>
      <c r="FV87" s="296"/>
      <c r="FW87" s="98"/>
      <c r="FX87" s="467"/>
      <c r="FY87" s="52"/>
      <c r="FZ87" s="296"/>
      <c r="GA87" s="98"/>
      <c r="GB87" s="467"/>
      <c r="GC87" s="52"/>
      <c r="GD87" s="296"/>
      <c r="GE87" s="98"/>
      <c r="GF87" s="467"/>
      <c r="GG87" s="52"/>
      <c r="GH87" s="296"/>
      <c r="GI87" s="98"/>
      <c r="GJ87" s="467"/>
      <c r="GK87" s="52"/>
      <c r="GL87" s="296"/>
      <c r="GM87" s="464"/>
      <c r="GN87" s="467"/>
      <c r="GO87" s="52"/>
      <c r="GP87" s="296"/>
      <c r="GQ87" s="464"/>
      <c r="GR87" s="467"/>
      <c r="GS87" s="52"/>
      <c r="GT87" s="296"/>
      <c r="GU87" s="464"/>
      <c r="GV87" s="467"/>
      <c r="GW87" s="52"/>
      <c r="GX87" s="296"/>
      <c r="GY87" s="464"/>
      <c r="GZ87" s="467"/>
      <c r="HA87" s="52"/>
      <c r="HB87" s="296"/>
    </row>
    <row r="88" spans="1:211" s="86" customFormat="1">
      <c r="A88" s="316" t="s">
        <v>346</v>
      </c>
      <c r="B88" s="478" t="s">
        <v>749</v>
      </c>
      <c r="C88" s="479">
        <v>133951</v>
      </c>
      <c r="D88" s="480">
        <v>1</v>
      </c>
      <c r="E88" s="460"/>
      <c r="F88" s="277"/>
      <c r="G88" s="158"/>
      <c r="H88" s="277"/>
      <c r="I88" s="158">
        <v>50</v>
      </c>
      <c r="J88" s="277">
        <v>51</v>
      </c>
      <c r="K88" s="160">
        <f t="shared" si="47"/>
        <v>9.0958704748044395E-3</v>
      </c>
      <c r="L88" s="161">
        <f t="shared" si="40"/>
        <v>9.0058273000176593E-3</v>
      </c>
      <c r="M88" s="54">
        <v>5497</v>
      </c>
      <c r="N88" s="55"/>
      <c r="O88" s="55"/>
      <c r="P88" s="55">
        <v>323</v>
      </c>
      <c r="Q88" s="162">
        <f t="shared" si="48"/>
        <v>323</v>
      </c>
      <c r="R88" s="277">
        <v>5663</v>
      </c>
      <c r="S88" s="277"/>
      <c r="T88" s="277"/>
      <c r="U88" s="277">
        <v>321</v>
      </c>
      <c r="V88" s="97">
        <f t="shared" si="49"/>
        <v>321</v>
      </c>
      <c r="W88" s="279"/>
      <c r="X88" s="52"/>
      <c r="Y88" s="99"/>
      <c r="Z88" s="53"/>
      <c r="AA88" s="228"/>
      <c r="AB88" s="52"/>
      <c r="AC88" s="99"/>
      <c r="AD88" s="53"/>
      <c r="AE88" s="228"/>
      <c r="AF88" s="52"/>
      <c r="AG88" s="99"/>
      <c r="AH88" s="53"/>
      <c r="AI88" s="228"/>
      <c r="AJ88" s="52"/>
      <c r="AK88" s="99"/>
      <c r="AL88" s="53"/>
      <c r="AM88" s="228"/>
      <c r="AN88" s="52"/>
      <c r="AO88" s="99"/>
      <c r="AP88" s="53"/>
      <c r="AQ88" s="50">
        <f t="shared" si="41"/>
        <v>0</v>
      </c>
      <c r="AR88" s="163">
        <f t="shared" si="42"/>
        <v>0.68945190016305025</v>
      </c>
      <c r="AS88" s="97">
        <f t="shared" si="43"/>
        <v>0</v>
      </c>
      <c r="AT88" s="278">
        <f t="shared" si="44"/>
        <v>0.68901326195400903</v>
      </c>
      <c r="AU88" s="55"/>
      <c r="AV88" s="277"/>
      <c r="AW88" s="279">
        <v>52</v>
      </c>
      <c r="AX88" s="52">
        <v>738</v>
      </c>
      <c r="AY88" s="105">
        <v>52</v>
      </c>
      <c r="AZ88" s="98">
        <v>769</v>
      </c>
      <c r="BA88" s="279">
        <v>51</v>
      </c>
      <c r="BB88" s="52">
        <v>306</v>
      </c>
      <c r="BC88" s="105">
        <v>51</v>
      </c>
      <c r="BD88" s="98">
        <v>306</v>
      </c>
      <c r="BE88" s="279">
        <v>13</v>
      </c>
      <c r="BF88" s="52">
        <v>261</v>
      </c>
      <c r="BG88" s="105">
        <v>13</v>
      </c>
      <c r="BH88" s="98">
        <v>302</v>
      </c>
      <c r="BI88" s="279">
        <v>14</v>
      </c>
      <c r="BJ88" s="52">
        <v>239</v>
      </c>
      <c r="BK88" s="105">
        <v>14</v>
      </c>
      <c r="BL88" s="98">
        <v>223</v>
      </c>
      <c r="BM88" s="279">
        <v>44</v>
      </c>
      <c r="BN88" s="52">
        <v>175</v>
      </c>
      <c r="BO88" s="105">
        <v>44</v>
      </c>
      <c r="BP88" s="98">
        <v>162</v>
      </c>
      <c r="BQ88" s="279">
        <v>42</v>
      </c>
      <c r="BR88" s="52">
        <v>65</v>
      </c>
      <c r="BS88" s="105">
        <v>15</v>
      </c>
      <c r="BT88" s="98">
        <v>95</v>
      </c>
      <c r="BU88" s="279" t="s">
        <v>734</v>
      </c>
      <c r="BV88" s="52">
        <v>53</v>
      </c>
      <c r="BW88" s="329">
        <v>45</v>
      </c>
      <c r="BX88" s="98">
        <v>57</v>
      </c>
      <c r="BY88" s="279">
        <v>15</v>
      </c>
      <c r="BZ88" s="52">
        <v>53</v>
      </c>
      <c r="CA88" s="329" t="s">
        <v>744</v>
      </c>
      <c r="CB88" s="98">
        <v>50</v>
      </c>
      <c r="CC88" s="279">
        <v>43</v>
      </c>
      <c r="CD88" s="52">
        <v>41</v>
      </c>
      <c r="CE88" s="329" t="s">
        <v>734</v>
      </c>
      <c r="CF88" s="98">
        <v>38</v>
      </c>
      <c r="CG88" s="279" t="s">
        <v>744</v>
      </c>
      <c r="CH88" s="52">
        <v>30</v>
      </c>
      <c r="CI88" s="329">
        <v>42</v>
      </c>
      <c r="CJ88" s="98">
        <v>31</v>
      </c>
      <c r="CK88" s="281"/>
      <c r="CL88" s="277"/>
      <c r="CM88" s="159">
        <v>253</v>
      </c>
      <c r="CN88" s="277">
        <v>222</v>
      </c>
      <c r="CO88" s="50">
        <f t="shared" si="50"/>
        <v>2214</v>
      </c>
      <c r="CP88" s="103">
        <f t="shared" si="51"/>
        <v>10</v>
      </c>
      <c r="CQ88" s="280">
        <f t="shared" si="52"/>
        <v>2255</v>
      </c>
      <c r="CR88" s="63">
        <f t="shared" si="53"/>
        <v>10</v>
      </c>
      <c r="CS88" s="279">
        <v>14</v>
      </c>
      <c r="CT88" s="52">
        <v>35</v>
      </c>
      <c r="CU88" s="105">
        <v>13</v>
      </c>
      <c r="CV88" s="98">
        <v>27</v>
      </c>
      <c r="CW88" s="279">
        <v>13</v>
      </c>
      <c r="CX88" s="52">
        <v>17</v>
      </c>
      <c r="CY88" s="105">
        <v>14</v>
      </c>
      <c r="CZ88" s="98">
        <v>27</v>
      </c>
      <c r="DA88" s="279">
        <v>45</v>
      </c>
      <c r="DB88" s="52">
        <v>10</v>
      </c>
      <c r="DC88" s="105">
        <v>40</v>
      </c>
      <c r="DD88" s="98">
        <v>17</v>
      </c>
      <c r="DE88" s="279">
        <v>44</v>
      </c>
      <c r="DF88" s="52">
        <v>9</v>
      </c>
      <c r="DG88" s="105">
        <v>52</v>
      </c>
      <c r="DH88" s="98">
        <v>12</v>
      </c>
      <c r="DI88" s="279">
        <v>11</v>
      </c>
      <c r="DJ88" s="52">
        <v>8</v>
      </c>
      <c r="DK88" s="105">
        <v>45</v>
      </c>
      <c r="DL88" s="98">
        <v>10</v>
      </c>
      <c r="DM88" s="279">
        <v>26</v>
      </c>
      <c r="DN88" s="52">
        <v>8</v>
      </c>
      <c r="DO88" s="105">
        <v>26</v>
      </c>
      <c r="DP88" s="98">
        <v>10</v>
      </c>
      <c r="DQ88" s="279">
        <v>42</v>
      </c>
      <c r="DR88" s="52">
        <v>8</v>
      </c>
      <c r="DS88" s="105">
        <v>42</v>
      </c>
      <c r="DT88" s="98">
        <v>8</v>
      </c>
      <c r="DU88" s="279">
        <v>52</v>
      </c>
      <c r="DV88" s="52">
        <v>8</v>
      </c>
      <c r="DW88" s="105">
        <v>11</v>
      </c>
      <c r="DX88" s="98">
        <v>5</v>
      </c>
      <c r="DY88" s="279">
        <v>40</v>
      </c>
      <c r="DZ88" s="52">
        <v>7</v>
      </c>
      <c r="EA88" s="105">
        <v>51</v>
      </c>
      <c r="EB88" s="98">
        <v>4</v>
      </c>
      <c r="EC88" s="279">
        <v>51</v>
      </c>
      <c r="ED88" s="52">
        <v>5</v>
      </c>
      <c r="EE88" s="105">
        <v>44</v>
      </c>
      <c r="EF88" s="98">
        <v>4</v>
      </c>
      <c r="EG88" s="159">
        <v>7</v>
      </c>
      <c r="EH88" s="277">
        <v>3</v>
      </c>
      <c r="EI88" s="50">
        <f t="shared" si="54"/>
        <v>122</v>
      </c>
      <c r="EJ88" s="103">
        <f t="shared" si="55"/>
        <v>10</v>
      </c>
      <c r="EK88" s="164">
        <f t="shared" si="56"/>
        <v>0.28688524590163933</v>
      </c>
      <c r="EL88" s="280">
        <f t="shared" si="57"/>
        <v>127</v>
      </c>
      <c r="EM88" s="63">
        <f t="shared" si="58"/>
        <v>10</v>
      </c>
      <c r="EN88" s="359">
        <f t="shared" si="59"/>
        <v>0.2125984251968504</v>
      </c>
      <c r="EO88" s="51">
        <f t="shared" si="60"/>
        <v>2336</v>
      </c>
      <c r="EP88" s="361">
        <f t="shared" si="61"/>
        <v>2382</v>
      </c>
      <c r="EQ88" s="281">
        <v>90</v>
      </c>
      <c r="ER88" s="277">
        <v>123</v>
      </c>
      <c r="ES88" s="281"/>
      <c r="ET88" s="277"/>
      <c r="EU88" s="281"/>
      <c r="EV88" s="277"/>
      <c r="EW88" s="281"/>
      <c r="EX88" s="277"/>
      <c r="EY88" s="281"/>
      <c r="EZ88" s="277"/>
      <c r="FA88" s="281"/>
      <c r="FB88" s="277"/>
      <c r="FC88" s="281"/>
      <c r="FD88" s="277"/>
      <c r="FE88" s="281"/>
      <c r="FF88" s="277"/>
      <c r="FG88" s="281"/>
      <c r="FH88" s="277"/>
      <c r="FI88" s="281"/>
      <c r="FJ88" s="277"/>
      <c r="FK88" s="50">
        <f t="shared" si="62"/>
        <v>90</v>
      </c>
      <c r="FL88" s="63">
        <f t="shared" si="63"/>
        <v>123</v>
      </c>
      <c r="FM88" s="50">
        <f t="shared" si="45"/>
        <v>7973</v>
      </c>
      <c r="FN88" s="360">
        <f t="shared" si="46"/>
        <v>8219</v>
      </c>
      <c r="FO88" s="3"/>
      <c r="FP88" s="279"/>
      <c r="FQ88" s="52"/>
      <c r="FR88" s="296"/>
      <c r="FS88" s="98"/>
      <c r="FT88" s="467"/>
      <c r="FU88" s="52"/>
      <c r="FV88" s="296"/>
      <c r="FW88" s="98"/>
      <c r="FX88" s="467"/>
      <c r="FY88" s="52"/>
      <c r="FZ88" s="296"/>
      <c r="GA88" s="98"/>
      <c r="GB88" s="467"/>
      <c r="GC88" s="52"/>
      <c r="GD88" s="296"/>
      <c r="GE88" s="98"/>
      <c r="GF88" s="467"/>
      <c r="GG88" s="52"/>
      <c r="GH88" s="296"/>
      <c r="GI88" s="98"/>
      <c r="GJ88" s="467"/>
      <c r="GK88" s="52"/>
      <c r="GL88" s="296"/>
      <c r="GM88" s="464"/>
      <c r="GN88" s="467"/>
      <c r="GO88" s="52"/>
      <c r="GP88" s="296"/>
      <c r="GQ88" s="464"/>
      <c r="GR88" s="467"/>
      <c r="GS88" s="52"/>
      <c r="GT88" s="296"/>
      <c r="GU88" s="464"/>
      <c r="GV88" s="467"/>
      <c r="GW88" s="52"/>
      <c r="GX88" s="296"/>
      <c r="GY88" s="464"/>
      <c r="GZ88" s="467"/>
      <c r="HA88" s="52"/>
      <c r="HB88" s="296"/>
      <c r="HC88" s="3"/>
    </row>
    <row r="89" spans="1:211" s="86" customFormat="1">
      <c r="A89" s="316" t="s">
        <v>346</v>
      </c>
      <c r="B89" s="328" t="s">
        <v>727</v>
      </c>
      <c r="C89" s="316">
        <v>134097</v>
      </c>
      <c r="D89" s="343">
        <v>1</v>
      </c>
      <c r="E89" s="460"/>
      <c r="F89" s="277"/>
      <c r="G89" s="158"/>
      <c r="H89" s="277"/>
      <c r="I89" s="158">
        <v>131</v>
      </c>
      <c r="J89" s="277">
        <v>157</v>
      </c>
      <c r="K89" s="160">
        <f t="shared" si="47"/>
        <v>1.7202889034799738E-2</v>
      </c>
      <c r="L89" s="161">
        <f t="shared" si="40"/>
        <v>2.0576671035386632E-2</v>
      </c>
      <c r="M89" s="54">
        <v>7615</v>
      </c>
      <c r="N89" s="55"/>
      <c r="O89" s="55"/>
      <c r="P89" s="55">
        <v>366</v>
      </c>
      <c r="Q89" s="162">
        <f t="shared" si="48"/>
        <v>366</v>
      </c>
      <c r="R89" s="277">
        <v>7630</v>
      </c>
      <c r="S89" s="277"/>
      <c r="T89" s="277"/>
      <c r="U89" s="277">
        <v>409</v>
      </c>
      <c r="V89" s="97">
        <f t="shared" si="49"/>
        <v>409</v>
      </c>
      <c r="W89" s="279"/>
      <c r="X89" s="52"/>
      <c r="Y89" s="99"/>
      <c r="Z89" s="53"/>
      <c r="AA89" s="228"/>
      <c r="AB89" s="52"/>
      <c r="AC89" s="99"/>
      <c r="AD89" s="53"/>
      <c r="AE89" s="228"/>
      <c r="AF89" s="52"/>
      <c r="AG89" s="99"/>
      <c r="AH89" s="53"/>
      <c r="AI89" s="228"/>
      <c r="AJ89" s="52"/>
      <c r="AK89" s="99"/>
      <c r="AL89" s="53"/>
      <c r="AM89" s="228"/>
      <c r="AN89" s="52"/>
      <c r="AO89" s="99"/>
      <c r="AP89" s="53"/>
      <c r="AQ89" s="50">
        <f t="shared" si="41"/>
        <v>0</v>
      </c>
      <c r="AR89" s="163">
        <f t="shared" si="42"/>
        <v>0.71751625365118255</v>
      </c>
      <c r="AS89" s="97">
        <f t="shared" si="43"/>
        <v>0</v>
      </c>
      <c r="AT89" s="278">
        <f t="shared" si="44"/>
        <v>0.71690312881706286</v>
      </c>
      <c r="AU89" s="55"/>
      <c r="AV89" s="277"/>
      <c r="AW89" s="279">
        <v>13</v>
      </c>
      <c r="AX89" s="52">
        <v>408</v>
      </c>
      <c r="AY89" s="105">
        <v>13</v>
      </c>
      <c r="AZ89" s="98">
        <v>447</v>
      </c>
      <c r="BA89" s="279">
        <v>25</v>
      </c>
      <c r="BB89" s="52">
        <v>278</v>
      </c>
      <c r="BC89" s="105">
        <v>52</v>
      </c>
      <c r="BD89" s="98">
        <v>266</v>
      </c>
      <c r="BE89" s="279">
        <v>44</v>
      </c>
      <c r="BF89" s="52">
        <v>260</v>
      </c>
      <c r="BG89" s="105">
        <v>25</v>
      </c>
      <c r="BH89" s="98">
        <v>241</v>
      </c>
      <c r="BI89" s="279">
        <v>52</v>
      </c>
      <c r="BJ89" s="52">
        <v>235</v>
      </c>
      <c r="BK89" s="105">
        <v>44</v>
      </c>
      <c r="BL89" s="98">
        <v>227</v>
      </c>
      <c r="BM89" s="279">
        <v>50</v>
      </c>
      <c r="BN89" s="52">
        <v>162</v>
      </c>
      <c r="BO89" s="105">
        <v>50</v>
      </c>
      <c r="BP89" s="98">
        <v>206</v>
      </c>
      <c r="BQ89" s="279">
        <v>45</v>
      </c>
      <c r="BR89" s="52">
        <v>140</v>
      </c>
      <c r="BS89" s="105">
        <v>45</v>
      </c>
      <c r="BT89" s="98">
        <v>135</v>
      </c>
      <c r="BU89" s="279">
        <v>51</v>
      </c>
      <c r="BV89" s="52">
        <v>115</v>
      </c>
      <c r="BW89" s="105">
        <v>51</v>
      </c>
      <c r="BX89" s="98">
        <v>133</v>
      </c>
      <c r="BY89" s="279" t="s">
        <v>734</v>
      </c>
      <c r="BZ89" s="52">
        <v>95</v>
      </c>
      <c r="CA89" s="329" t="s">
        <v>734</v>
      </c>
      <c r="CB89" s="98">
        <v>86</v>
      </c>
      <c r="CC89" s="279">
        <v>14</v>
      </c>
      <c r="CD89" s="52">
        <v>54</v>
      </c>
      <c r="CE89" s="105">
        <v>40</v>
      </c>
      <c r="CF89" s="98">
        <v>67</v>
      </c>
      <c r="CG89" s="279">
        <v>40</v>
      </c>
      <c r="CH89" s="52">
        <v>49</v>
      </c>
      <c r="CI89" s="105">
        <v>14</v>
      </c>
      <c r="CJ89" s="98">
        <v>52</v>
      </c>
      <c r="CK89" s="281"/>
      <c r="CL89" s="277"/>
      <c r="CM89" s="159">
        <v>341</v>
      </c>
      <c r="CN89" s="277">
        <v>316</v>
      </c>
      <c r="CO89" s="50">
        <f t="shared" si="50"/>
        <v>2137</v>
      </c>
      <c r="CP89" s="103">
        <f t="shared" si="51"/>
        <v>10</v>
      </c>
      <c r="CQ89" s="280">
        <f t="shared" si="52"/>
        <v>2176</v>
      </c>
      <c r="CR89" s="63">
        <f t="shared" si="53"/>
        <v>10</v>
      </c>
      <c r="CS89" s="279">
        <v>13</v>
      </c>
      <c r="CT89" s="52">
        <v>73</v>
      </c>
      <c r="CU89" s="105">
        <v>13</v>
      </c>
      <c r="CV89" s="98">
        <v>66</v>
      </c>
      <c r="CW89" s="279">
        <v>40</v>
      </c>
      <c r="CX89" s="52">
        <v>54</v>
      </c>
      <c r="CY89" s="105">
        <v>40</v>
      </c>
      <c r="CZ89" s="98">
        <v>50</v>
      </c>
      <c r="DA89" s="279">
        <v>50</v>
      </c>
      <c r="DB89" s="52">
        <v>27</v>
      </c>
      <c r="DC89" s="105">
        <v>50</v>
      </c>
      <c r="DD89" s="98">
        <v>32</v>
      </c>
      <c r="DE89" s="279">
        <v>42</v>
      </c>
      <c r="DF89" s="52">
        <v>25</v>
      </c>
      <c r="DG89" s="105">
        <v>42</v>
      </c>
      <c r="DH89" s="98">
        <v>24</v>
      </c>
      <c r="DI89" s="279">
        <v>14</v>
      </c>
      <c r="DJ89" s="52">
        <v>22</v>
      </c>
      <c r="DK89" s="105">
        <v>14</v>
      </c>
      <c r="DL89" s="98">
        <v>18</v>
      </c>
      <c r="DM89" s="279">
        <v>52</v>
      </c>
      <c r="DN89" s="52">
        <v>21</v>
      </c>
      <c r="DO89" s="105">
        <v>45</v>
      </c>
      <c r="DP89" s="98">
        <v>17</v>
      </c>
      <c r="DQ89" s="279">
        <v>45</v>
      </c>
      <c r="DR89" s="52">
        <v>17</v>
      </c>
      <c r="DS89" s="105">
        <v>23</v>
      </c>
      <c r="DT89" s="98">
        <v>16</v>
      </c>
      <c r="DU89" s="279">
        <v>27</v>
      </c>
      <c r="DV89" s="52">
        <v>16</v>
      </c>
      <c r="DW89" s="105">
        <v>44</v>
      </c>
      <c r="DX89" s="98">
        <v>15</v>
      </c>
      <c r="DY89" s="279">
        <v>51</v>
      </c>
      <c r="DZ89" s="52">
        <v>14</v>
      </c>
      <c r="EA89" s="105">
        <v>52</v>
      </c>
      <c r="EB89" s="98">
        <v>13</v>
      </c>
      <c r="EC89" s="279" t="s">
        <v>734</v>
      </c>
      <c r="ED89" s="52">
        <v>11</v>
      </c>
      <c r="EE89" s="329">
        <v>26</v>
      </c>
      <c r="EF89" s="98">
        <v>13</v>
      </c>
      <c r="EG89" s="159">
        <v>88</v>
      </c>
      <c r="EH89" s="277">
        <v>79</v>
      </c>
      <c r="EI89" s="50">
        <f t="shared" si="54"/>
        <v>368</v>
      </c>
      <c r="EJ89" s="103">
        <f t="shared" si="55"/>
        <v>10</v>
      </c>
      <c r="EK89" s="164">
        <f t="shared" si="56"/>
        <v>0.1983695652173913</v>
      </c>
      <c r="EL89" s="280">
        <f t="shared" si="57"/>
        <v>343</v>
      </c>
      <c r="EM89" s="63">
        <f t="shared" si="58"/>
        <v>10</v>
      </c>
      <c r="EN89" s="359">
        <f t="shared" si="59"/>
        <v>0.1924198250728863</v>
      </c>
      <c r="EO89" s="51">
        <f t="shared" si="60"/>
        <v>2505</v>
      </c>
      <c r="EP89" s="361">
        <f t="shared" si="61"/>
        <v>2519</v>
      </c>
      <c r="EQ89" s="281">
        <v>305</v>
      </c>
      <c r="ER89" s="277">
        <v>263</v>
      </c>
      <c r="ES89" s="281">
        <v>57</v>
      </c>
      <c r="ET89" s="277">
        <v>74</v>
      </c>
      <c r="EU89" s="281"/>
      <c r="EV89" s="277"/>
      <c r="EW89" s="281"/>
      <c r="EX89" s="277"/>
      <c r="EY89" s="281"/>
      <c r="EZ89" s="277"/>
      <c r="FA89" s="281"/>
      <c r="FB89" s="277"/>
      <c r="FC89" s="281"/>
      <c r="FD89" s="277"/>
      <c r="FE89" s="281"/>
      <c r="FF89" s="277"/>
      <c r="FG89" s="281"/>
      <c r="FH89" s="277"/>
      <c r="FI89" s="281"/>
      <c r="FJ89" s="277"/>
      <c r="FK89" s="50">
        <f t="shared" si="62"/>
        <v>362</v>
      </c>
      <c r="FL89" s="63">
        <f t="shared" si="63"/>
        <v>337</v>
      </c>
      <c r="FM89" s="50">
        <f t="shared" si="45"/>
        <v>10613</v>
      </c>
      <c r="FN89" s="360">
        <f t="shared" si="46"/>
        <v>10643</v>
      </c>
      <c r="FO89" s="3"/>
      <c r="FP89" s="279"/>
      <c r="FQ89" s="52"/>
      <c r="FR89" s="296"/>
      <c r="FS89" s="98"/>
      <c r="FT89" s="467"/>
      <c r="FU89" s="52"/>
      <c r="FV89" s="296"/>
      <c r="FW89" s="98"/>
      <c r="FX89" s="467"/>
      <c r="FY89" s="52"/>
      <c r="FZ89" s="296"/>
      <c r="GA89" s="98"/>
      <c r="GB89" s="467"/>
      <c r="GC89" s="52"/>
      <c r="GD89" s="296"/>
      <c r="GE89" s="98"/>
      <c r="GF89" s="467"/>
      <c r="GG89" s="52"/>
      <c r="GH89" s="296"/>
      <c r="GI89" s="98"/>
      <c r="GJ89" s="467"/>
      <c r="GK89" s="52"/>
      <c r="GL89" s="296"/>
      <c r="GM89" s="464"/>
      <c r="GN89" s="467"/>
      <c r="GO89" s="52"/>
      <c r="GP89" s="296"/>
      <c r="GQ89" s="464"/>
      <c r="GR89" s="467"/>
      <c r="GS89" s="52"/>
      <c r="GT89" s="296"/>
      <c r="GU89" s="464"/>
      <c r="GV89" s="467"/>
      <c r="GW89" s="52"/>
      <c r="GX89" s="296"/>
      <c r="GY89" s="464"/>
      <c r="GZ89" s="467"/>
      <c r="HA89" s="52"/>
      <c r="HB89" s="296"/>
      <c r="HC89" s="3"/>
    </row>
    <row r="90" spans="1:211" s="86" customFormat="1">
      <c r="A90" s="316" t="s">
        <v>346</v>
      </c>
      <c r="B90" s="328" t="s">
        <v>752</v>
      </c>
      <c r="C90" s="316">
        <v>132903</v>
      </c>
      <c r="D90" s="343">
        <v>1</v>
      </c>
      <c r="E90" s="460"/>
      <c r="F90" s="277"/>
      <c r="G90" s="158"/>
      <c r="H90" s="277"/>
      <c r="I90" s="158">
        <v>247</v>
      </c>
      <c r="J90" s="277">
        <v>202</v>
      </c>
      <c r="K90" s="160">
        <f t="shared" si="47"/>
        <v>2.7423115354724102E-2</v>
      </c>
      <c r="L90" s="161">
        <f t="shared" si="40"/>
        <v>2.1551264269710872E-2</v>
      </c>
      <c r="M90" s="54">
        <v>9007</v>
      </c>
      <c r="N90" s="55"/>
      <c r="O90" s="55"/>
      <c r="P90" s="55">
        <v>781</v>
      </c>
      <c r="Q90" s="162">
        <f t="shared" si="48"/>
        <v>781</v>
      </c>
      <c r="R90" s="277">
        <v>9373</v>
      </c>
      <c r="S90" s="277"/>
      <c r="T90" s="277"/>
      <c r="U90" s="277">
        <v>577</v>
      </c>
      <c r="V90" s="97">
        <f t="shared" si="49"/>
        <v>577</v>
      </c>
      <c r="W90" s="279"/>
      <c r="X90" s="52"/>
      <c r="Y90" s="99"/>
      <c r="Z90" s="53"/>
      <c r="AA90" s="228"/>
      <c r="AB90" s="52"/>
      <c r="AC90" s="99"/>
      <c r="AD90" s="53"/>
      <c r="AE90" s="228"/>
      <c r="AF90" s="52"/>
      <c r="AG90" s="99"/>
      <c r="AH90" s="53"/>
      <c r="AI90" s="228"/>
      <c r="AJ90" s="52"/>
      <c r="AK90" s="99"/>
      <c r="AL90" s="53"/>
      <c r="AM90" s="228"/>
      <c r="AN90" s="52"/>
      <c r="AO90" s="99"/>
      <c r="AP90" s="53"/>
      <c r="AQ90" s="50">
        <f t="shared" si="41"/>
        <v>0</v>
      </c>
      <c r="AR90" s="163">
        <f t="shared" si="42"/>
        <v>0.79126767987349556</v>
      </c>
      <c r="AS90" s="97">
        <f t="shared" si="43"/>
        <v>0</v>
      </c>
      <c r="AT90" s="278">
        <f t="shared" si="44"/>
        <v>0.8055173599174974</v>
      </c>
      <c r="AU90" s="55"/>
      <c r="AV90" s="277"/>
      <c r="AW90" s="279">
        <v>13</v>
      </c>
      <c r="AX90" s="52">
        <v>438</v>
      </c>
      <c r="AY90" s="105">
        <v>52</v>
      </c>
      <c r="AZ90" s="98">
        <v>449</v>
      </c>
      <c r="BA90" s="279">
        <v>52</v>
      </c>
      <c r="BB90" s="52">
        <v>436</v>
      </c>
      <c r="BC90" s="105">
        <v>13</v>
      </c>
      <c r="BD90" s="98">
        <v>400</v>
      </c>
      <c r="BE90" s="279">
        <v>14</v>
      </c>
      <c r="BF90" s="52">
        <v>239</v>
      </c>
      <c r="BG90" s="105">
        <v>14</v>
      </c>
      <c r="BH90" s="98">
        <v>222</v>
      </c>
      <c r="BI90" s="279">
        <v>51</v>
      </c>
      <c r="BJ90" s="52">
        <v>231</v>
      </c>
      <c r="BK90" s="105">
        <v>51</v>
      </c>
      <c r="BL90" s="98">
        <v>217</v>
      </c>
      <c r="BM90" s="279">
        <v>44</v>
      </c>
      <c r="BN90" s="52">
        <v>120</v>
      </c>
      <c r="BO90" s="105">
        <v>44</v>
      </c>
      <c r="BP90" s="98">
        <v>121</v>
      </c>
      <c r="BQ90" s="279">
        <v>43</v>
      </c>
      <c r="BR90" s="52">
        <v>93</v>
      </c>
      <c r="BS90" s="105">
        <v>43</v>
      </c>
      <c r="BT90" s="98">
        <v>83</v>
      </c>
      <c r="BU90" s="279">
        <v>50</v>
      </c>
      <c r="BV90" s="52">
        <v>67</v>
      </c>
      <c r="BW90" s="105">
        <v>50</v>
      </c>
      <c r="BX90" s="98">
        <v>73</v>
      </c>
      <c r="BY90" s="279">
        <v>42</v>
      </c>
      <c r="BZ90" s="52">
        <v>50</v>
      </c>
      <c r="CA90" s="105">
        <v>42</v>
      </c>
      <c r="CB90" s="98">
        <v>41</v>
      </c>
      <c r="CC90" s="279">
        <v>23</v>
      </c>
      <c r="CD90" s="52">
        <v>38</v>
      </c>
      <c r="CE90" s="105">
        <v>45</v>
      </c>
      <c r="CF90" s="98">
        <v>39</v>
      </c>
      <c r="CG90" s="279">
        <v>11</v>
      </c>
      <c r="CH90" s="52">
        <v>36</v>
      </c>
      <c r="CI90" s="329">
        <v>11</v>
      </c>
      <c r="CJ90" s="98">
        <v>39</v>
      </c>
      <c r="CK90" s="281"/>
      <c r="CL90" s="277"/>
      <c r="CM90" s="159">
        <v>175</v>
      </c>
      <c r="CN90" s="277">
        <v>185</v>
      </c>
      <c r="CO90" s="50">
        <f t="shared" si="50"/>
        <v>1923</v>
      </c>
      <c r="CP90" s="103">
        <f t="shared" si="51"/>
        <v>10</v>
      </c>
      <c r="CQ90" s="280">
        <f t="shared" si="52"/>
        <v>1869</v>
      </c>
      <c r="CR90" s="63">
        <f t="shared" si="53"/>
        <v>10</v>
      </c>
      <c r="CS90" s="279">
        <v>14</v>
      </c>
      <c r="CT90" s="52">
        <v>65</v>
      </c>
      <c r="CU90" s="105">
        <v>14</v>
      </c>
      <c r="CV90" s="98">
        <v>69</v>
      </c>
      <c r="CW90" s="279">
        <v>13</v>
      </c>
      <c r="CX90" s="52">
        <v>53</v>
      </c>
      <c r="CY90" s="105">
        <v>13</v>
      </c>
      <c r="CZ90" s="98">
        <v>42</v>
      </c>
      <c r="DA90" s="279">
        <v>42</v>
      </c>
      <c r="DB90" s="52">
        <v>18</v>
      </c>
      <c r="DC90" s="105">
        <v>42</v>
      </c>
      <c r="DD90" s="98">
        <v>18</v>
      </c>
      <c r="DE90" s="279">
        <v>44</v>
      </c>
      <c r="DF90" s="52">
        <v>17</v>
      </c>
      <c r="DG90" s="105">
        <v>52</v>
      </c>
      <c r="DH90" s="98">
        <v>12</v>
      </c>
      <c r="DI90" s="279">
        <v>11</v>
      </c>
      <c r="DJ90" s="52">
        <v>14</v>
      </c>
      <c r="DK90" s="105">
        <v>27</v>
      </c>
      <c r="DL90" s="98">
        <v>8</v>
      </c>
      <c r="DM90" s="279">
        <v>40</v>
      </c>
      <c r="DN90" s="52">
        <v>9</v>
      </c>
      <c r="DO90" s="105">
        <v>11</v>
      </c>
      <c r="DP90" s="98">
        <v>8</v>
      </c>
      <c r="DQ90" s="279">
        <v>52</v>
      </c>
      <c r="DR90" s="52">
        <v>6</v>
      </c>
      <c r="DS90" s="105">
        <v>26</v>
      </c>
      <c r="DT90" s="98">
        <v>7</v>
      </c>
      <c r="DU90" s="279">
        <v>26</v>
      </c>
      <c r="DV90" s="52">
        <v>5</v>
      </c>
      <c r="DW90" s="105">
        <v>23</v>
      </c>
      <c r="DX90" s="98">
        <v>6</v>
      </c>
      <c r="DY90" s="279">
        <v>30</v>
      </c>
      <c r="DZ90" s="52">
        <v>5</v>
      </c>
      <c r="EA90" s="105">
        <v>44</v>
      </c>
      <c r="EB90" s="98">
        <v>6</v>
      </c>
      <c r="EC90" s="279">
        <v>51</v>
      </c>
      <c r="ED90" s="52">
        <v>5</v>
      </c>
      <c r="EE90" s="105">
        <v>30</v>
      </c>
      <c r="EF90" s="98">
        <v>5</v>
      </c>
      <c r="EG90" s="159">
        <v>9</v>
      </c>
      <c r="EH90" s="277">
        <v>11</v>
      </c>
      <c r="EI90" s="50">
        <f t="shared" si="54"/>
        <v>206</v>
      </c>
      <c r="EJ90" s="103">
        <f t="shared" si="55"/>
        <v>10</v>
      </c>
      <c r="EK90" s="164">
        <f t="shared" si="56"/>
        <v>0.3155339805825243</v>
      </c>
      <c r="EL90" s="280">
        <f t="shared" si="57"/>
        <v>192</v>
      </c>
      <c r="EM90" s="63">
        <f t="shared" si="58"/>
        <v>10</v>
      </c>
      <c r="EN90" s="359">
        <f t="shared" si="59"/>
        <v>0.359375</v>
      </c>
      <c r="EO90" s="51">
        <f t="shared" si="60"/>
        <v>2129</v>
      </c>
      <c r="EP90" s="361">
        <f t="shared" si="61"/>
        <v>2061</v>
      </c>
      <c r="EQ90" s="281"/>
      <c r="ER90" s="277"/>
      <c r="ES90" s="281"/>
      <c r="ET90" s="277"/>
      <c r="EU90" s="281"/>
      <c r="EV90" s="277"/>
      <c r="EW90" s="281"/>
      <c r="EX90" s="277"/>
      <c r="EY90" s="281"/>
      <c r="EZ90" s="277"/>
      <c r="FA90" s="281"/>
      <c r="FB90" s="277"/>
      <c r="FC90" s="281"/>
      <c r="FD90" s="277"/>
      <c r="FE90" s="281"/>
      <c r="FF90" s="277"/>
      <c r="FG90" s="281"/>
      <c r="FH90" s="277"/>
      <c r="FI90" s="281"/>
      <c r="FJ90" s="277"/>
      <c r="FK90" s="50">
        <f t="shared" si="62"/>
        <v>0</v>
      </c>
      <c r="FL90" s="63">
        <f t="shared" si="63"/>
        <v>0</v>
      </c>
      <c r="FM90" s="50">
        <f t="shared" si="45"/>
        <v>11383</v>
      </c>
      <c r="FN90" s="360">
        <f t="shared" si="46"/>
        <v>11636</v>
      </c>
      <c r="FO90" s="3"/>
      <c r="FP90" s="279"/>
      <c r="FQ90" s="52"/>
      <c r="FR90" s="296"/>
      <c r="FS90" s="98"/>
      <c r="FT90" s="467"/>
      <c r="FU90" s="52"/>
      <c r="FV90" s="296"/>
      <c r="FW90" s="98"/>
      <c r="FX90" s="467"/>
      <c r="FY90" s="52"/>
      <c r="FZ90" s="296"/>
      <c r="GA90" s="98"/>
      <c r="GB90" s="467"/>
      <c r="GC90" s="52"/>
      <c r="GD90" s="296"/>
      <c r="GE90" s="98"/>
      <c r="GF90" s="467"/>
      <c r="GG90" s="52"/>
      <c r="GH90" s="296"/>
      <c r="GI90" s="98"/>
      <c r="GJ90" s="467"/>
      <c r="GK90" s="52"/>
      <c r="GL90" s="296"/>
      <c r="GM90" s="464"/>
      <c r="GN90" s="467"/>
      <c r="GO90" s="52"/>
      <c r="GP90" s="296"/>
      <c r="GQ90" s="464"/>
      <c r="GR90" s="467"/>
      <c r="GS90" s="52"/>
      <c r="GT90" s="296"/>
      <c r="GU90" s="464"/>
      <c r="GV90" s="467"/>
      <c r="GW90" s="52"/>
      <c r="GX90" s="296"/>
      <c r="GY90" s="464"/>
      <c r="GZ90" s="467"/>
      <c r="HA90" s="52"/>
      <c r="HB90" s="296"/>
      <c r="HC90" s="3"/>
    </row>
    <row r="91" spans="1:211" s="86" customFormat="1">
      <c r="A91" s="316" t="s">
        <v>346</v>
      </c>
      <c r="B91" s="328" t="s">
        <v>741</v>
      </c>
      <c r="C91" s="316">
        <v>134130</v>
      </c>
      <c r="D91" s="343">
        <v>1</v>
      </c>
      <c r="E91" s="460"/>
      <c r="F91" s="277"/>
      <c r="G91" s="158"/>
      <c r="H91" s="277"/>
      <c r="I91" s="158">
        <v>393</v>
      </c>
      <c r="J91" s="277">
        <v>277</v>
      </c>
      <c r="K91" s="160">
        <f t="shared" si="47"/>
        <v>4.498111479913014E-2</v>
      </c>
      <c r="L91" s="161">
        <f t="shared" si="40"/>
        <v>3.0085804279352667E-2</v>
      </c>
      <c r="M91" s="54">
        <v>8737</v>
      </c>
      <c r="N91" s="55"/>
      <c r="O91" s="55"/>
      <c r="P91" s="55">
        <v>19</v>
      </c>
      <c r="Q91" s="162">
        <f t="shared" si="48"/>
        <v>19</v>
      </c>
      <c r="R91" s="277">
        <v>9207</v>
      </c>
      <c r="S91" s="277"/>
      <c r="T91" s="277"/>
      <c r="U91" s="277">
        <v>30</v>
      </c>
      <c r="V91" s="97">
        <f t="shared" si="49"/>
        <v>30</v>
      </c>
      <c r="W91" s="279"/>
      <c r="X91" s="52"/>
      <c r="Y91" s="99"/>
      <c r="Z91" s="53"/>
      <c r="AA91" s="228"/>
      <c r="AB91" s="52"/>
      <c r="AC91" s="99"/>
      <c r="AD91" s="53"/>
      <c r="AE91" s="228"/>
      <c r="AF91" s="52"/>
      <c r="AG91" s="99"/>
      <c r="AH91" s="53"/>
      <c r="AI91" s="228"/>
      <c r="AJ91" s="52"/>
      <c r="AK91" s="99"/>
      <c r="AL91" s="53"/>
      <c r="AM91" s="228"/>
      <c r="AN91" s="52"/>
      <c r="AO91" s="99"/>
      <c r="AP91" s="53"/>
      <c r="AQ91" s="50">
        <f t="shared" si="41"/>
        <v>0</v>
      </c>
      <c r="AR91" s="163">
        <f t="shared" si="42"/>
        <v>0.59691193550590971</v>
      </c>
      <c r="AS91" s="97">
        <f t="shared" si="43"/>
        <v>0</v>
      </c>
      <c r="AT91" s="278">
        <f t="shared" si="44"/>
        <v>0.60844567803330685</v>
      </c>
      <c r="AU91" s="55"/>
      <c r="AV91" s="277"/>
      <c r="AW91" s="279">
        <v>52</v>
      </c>
      <c r="AX91" s="52">
        <v>923</v>
      </c>
      <c r="AY91" s="105">
        <v>52</v>
      </c>
      <c r="AZ91" s="98">
        <v>992</v>
      </c>
      <c r="BA91" s="279">
        <v>14</v>
      </c>
      <c r="BB91" s="52">
        <v>624</v>
      </c>
      <c r="BC91" s="329">
        <v>14</v>
      </c>
      <c r="BD91" s="98">
        <v>784</v>
      </c>
      <c r="BE91" s="279">
        <v>51</v>
      </c>
      <c r="BF91" s="52">
        <v>552</v>
      </c>
      <c r="BG91" s="105">
        <v>51</v>
      </c>
      <c r="BH91" s="98">
        <v>539</v>
      </c>
      <c r="BI91" s="279">
        <v>13</v>
      </c>
      <c r="BJ91" s="52">
        <v>383</v>
      </c>
      <c r="BK91" s="329">
        <v>13</v>
      </c>
      <c r="BL91" s="98">
        <v>449</v>
      </c>
      <c r="BM91" s="279" t="s">
        <v>742</v>
      </c>
      <c r="BN91" s="52">
        <v>96</v>
      </c>
      <c r="BO91" s="329" t="s">
        <v>742</v>
      </c>
      <c r="BP91" s="98">
        <v>110</v>
      </c>
      <c r="BQ91" s="279">
        <v>22</v>
      </c>
      <c r="BR91" s="52">
        <v>89</v>
      </c>
      <c r="BS91" s="105">
        <v>22</v>
      </c>
      <c r="BT91" s="98">
        <v>109</v>
      </c>
      <c r="BU91" s="279">
        <v>45</v>
      </c>
      <c r="BV91" s="52">
        <v>82</v>
      </c>
      <c r="BW91" s="105">
        <v>26</v>
      </c>
      <c r="BX91" s="98">
        <v>88</v>
      </c>
      <c r="BY91" s="279">
        <v>31</v>
      </c>
      <c r="BZ91" s="52">
        <v>77</v>
      </c>
      <c r="CA91" s="105">
        <v>45</v>
      </c>
      <c r="CB91" s="98">
        <v>64</v>
      </c>
      <c r="CC91" s="279" t="s">
        <v>744</v>
      </c>
      <c r="CD91" s="52">
        <v>71</v>
      </c>
      <c r="CE91" s="329" t="s">
        <v>744</v>
      </c>
      <c r="CF91" s="98">
        <v>61</v>
      </c>
      <c r="CG91" s="279">
        <v>26</v>
      </c>
      <c r="CH91" s="52">
        <v>71</v>
      </c>
      <c r="CI91" s="329" t="s">
        <v>734</v>
      </c>
      <c r="CJ91" s="98">
        <v>60</v>
      </c>
      <c r="CK91" s="281"/>
      <c r="CL91" s="277"/>
      <c r="CM91" s="159">
        <v>432</v>
      </c>
      <c r="CN91" s="277">
        <v>364</v>
      </c>
      <c r="CO91" s="50">
        <f t="shared" si="50"/>
        <v>3400</v>
      </c>
      <c r="CP91" s="103">
        <f t="shared" si="51"/>
        <v>10</v>
      </c>
      <c r="CQ91" s="280">
        <f t="shared" si="52"/>
        <v>3620</v>
      </c>
      <c r="CR91" s="63">
        <f t="shared" si="53"/>
        <v>10</v>
      </c>
      <c r="CS91" s="279">
        <v>51</v>
      </c>
      <c r="CT91" s="52">
        <v>226</v>
      </c>
      <c r="CU91" s="105">
        <v>51</v>
      </c>
      <c r="CV91" s="98">
        <v>222</v>
      </c>
      <c r="CW91" s="279">
        <v>14</v>
      </c>
      <c r="CX91" s="52">
        <v>191</v>
      </c>
      <c r="CY91" s="105">
        <v>14</v>
      </c>
      <c r="CZ91" s="98">
        <v>179</v>
      </c>
      <c r="DA91" s="279">
        <v>26</v>
      </c>
      <c r="DB91" s="52">
        <v>83</v>
      </c>
      <c r="DC91" s="105">
        <v>26</v>
      </c>
      <c r="DD91" s="98">
        <v>78</v>
      </c>
      <c r="DE91" s="279">
        <v>40</v>
      </c>
      <c r="DF91" s="52">
        <v>72</v>
      </c>
      <c r="DG91" s="105">
        <v>40</v>
      </c>
      <c r="DH91" s="98">
        <v>71</v>
      </c>
      <c r="DI91" s="279">
        <v>13</v>
      </c>
      <c r="DJ91" s="52">
        <v>51</v>
      </c>
      <c r="DK91" s="105">
        <v>13</v>
      </c>
      <c r="DL91" s="98">
        <v>50</v>
      </c>
      <c r="DM91" s="279">
        <v>42</v>
      </c>
      <c r="DN91" s="52">
        <v>44</v>
      </c>
      <c r="DO91" s="105">
        <v>42</v>
      </c>
      <c r="DP91" s="98">
        <v>48</v>
      </c>
      <c r="DQ91" s="279">
        <v>45</v>
      </c>
      <c r="DR91" s="52">
        <v>40</v>
      </c>
      <c r="DS91" s="329" t="s">
        <v>742</v>
      </c>
      <c r="DT91" s="98">
        <v>44</v>
      </c>
      <c r="DU91" s="279" t="s">
        <v>742</v>
      </c>
      <c r="DV91" s="52">
        <v>37</v>
      </c>
      <c r="DW91" s="329">
        <v>45</v>
      </c>
      <c r="DX91" s="98">
        <v>41</v>
      </c>
      <c r="DY91" s="279">
        <v>31</v>
      </c>
      <c r="DZ91" s="52">
        <v>22</v>
      </c>
      <c r="EA91" s="105">
        <v>52</v>
      </c>
      <c r="EB91" s="98">
        <v>15</v>
      </c>
      <c r="EC91" s="279">
        <v>27</v>
      </c>
      <c r="ED91" s="52">
        <v>20</v>
      </c>
      <c r="EE91" s="329" t="s">
        <v>751</v>
      </c>
      <c r="EF91" s="98">
        <v>14</v>
      </c>
      <c r="EG91" s="159">
        <v>71</v>
      </c>
      <c r="EH91" s="277">
        <v>79</v>
      </c>
      <c r="EI91" s="50">
        <f t="shared" si="54"/>
        <v>857</v>
      </c>
      <c r="EJ91" s="103">
        <f t="shared" si="55"/>
        <v>10</v>
      </c>
      <c r="EK91" s="164">
        <f t="shared" si="56"/>
        <v>0.26371061843640609</v>
      </c>
      <c r="EL91" s="280">
        <f t="shared" si="57"/>
        <v>841</v>
      </c>
      <c r="EM91" s="63">
        <f t="shared" si="58"/>
        <v>10</v>
      </c>
      <c r="EN91" s="359">
        <f t="shared" si="59"/>
        <v>0.26397146254458975</v>
      </c>
      <c r="EO91" s="51">
        <f t="shared" si="60"/>
        <v>4257</v>
      </c>
      <c r="EP91" s="361">
        <f t="shared" si="61"/>
        <v>4461</v>
      </c>
      <c r="EQ91" s="281">
        <v>488</v>
      </c>
      <c r="ER91" s="277">
        <v>424</v>
      </c>
      <c r="ES91" s="281">
        <v>115</v>
      </c>
      <c r="ET91" s="277">
        <v>124</v>
      </c>
      <c r="EU91" s="281">
        <v>72</v>
      </c>
      <c r="EV91" s="277">
        <v>81</v>
      </c>
      <c r="EW91" s="281">
        <v>492</v>
      </c>
      <c r="EX91" s="277">
        <v>474</v>
      </c>
      <c r="EY91" s="281"/>
      <c r="EZ91" s="277"/>
      <c r="FA91" s="281"/>
      <c r="FB91" s="277"/>
      <c r="FC91" s="281"/>
      <c r="FD91" s="277"/>
      <c r="FE91" s="281">
        <v>83</v>
      </c>
      <c r="FF91" s="277">
        <v>84</v>
      </c>
      <c r="FG91" s="281"/>
      <c r="FH91" s="277"/>
      <c r="FI91" s="281"/>
      <c r="FJ91" s="277"/>
      <c r="FK91" s="50">
        <f t="shared" si="62"/>
        <v>1250</v>
      </c>
      <c r="FL91" s="63">
        <f t="shared" si="63"/>
        <v>1187</v>
      </c>
      <c r="FM91" s="50">
        <f t="shared" si="45"/>
        <v>14637</v>
      </c>
      <c r="FN91" s="360">
        <f t="shared" si="46"/>
        <v>15132</v>
      </c>
      <c r="FO91" s="3"/>
      <c r="FP91" s="279"/>
      <c r="FQ91" s="52"/>
      <c r="FR91" s="296"/>
      <c r="FS91" s="98"/>
      <c r="FT91" s="467"/>
      <c r="FU91" s="52"/>
      <c r="FV91" s="296"/>
      <c r="FW91" s="98"/>
      <c r="FX91" s="467"/>
      <c r="FY91" s="52"/>
      <c r="FZ91" s="296"/>
      <c r="GA91" s="98"/>
      <c r="GB91" s="467"/>
      <c r="GC91" s="52"/>
      <c r="GD91" s="296"/>
      <c r="GE91" s="98"/>
      <c r="GF91" s="467"/>
      <c r="GG91" s="52"/>
      <c r="GH91" s="296"/>
      <c r="GI91" s="98"/>
      <c r="GJ91" s="467"/>
      <c r="GK91" s="52"/>
      <c r="GL91" s="296"/>
      <c r="GM91" s="464"/>
      <c r="GN91" s="467"/>
      <c r="GO91" s="52"/>
      <c r="GP91" s="296"/>
      <c r="GQ91" s="464"/>
      <c r="GR91" s="467"/>
      <c r="GS91" s="52"/>
      <c r="GT91" s="296"/>
      <c r="GU91" s="464"/>
      <c r="GV91" s="467"/>
      <c r="GW91" s="52"/>
      <c r="GX91" s="296"/>
      <c r="GY91" s="464"/>
      <c r="GZ91" s="467"/>
      <c r="HA91" s="52"/>
      <c r="HB91" s="296"/>
      <c r="HC91" s="3"/>
    </row>
    <row r="92" spans="1:211" s="86" customFormat="1">
      <c r="A92" s="316" t="s">
        <v>346</v>
      </c>
      <c r="B92" s="328" t="s">
        <v>745</v>
      </c>
      <c r="C92" s="316">
        <v>137351</v>
      </c>
      <c r="D92" s="343">
        <v>1</v>
      </c>
      <c r="E92" s="460"/>
      <c r="F92" s="277"/>
      <c r="G92" s="158"/>
      <c r="H92" s="277"/>
      <c r="I92" s="158">
        <v>257</v>
      </c>
      <c r="J92" s="277">
        <v>186</v>
      </c>
      <c r="K92" s="160">
        <f t="shared" si="47"/>
        <v>3.6268698842788598E-2</v>
      </c>
      <c r="L92" s="161">
        <f t="shared" si="40"/>
        <v>2.4869634977938228E-2</v>
      </c>
      <c r="M92" s="54">
        <v>7086</v>
      </c>
      <c r="N92" s="55"/>
      <c r="O92" s="55"/>
      <c r="P92" s="55">
        <v>393</v>
      </c>
      <c r="Q92" s="162">
        <f t="shared" si="48"/>
        <v>393</v>
      </c>
      <c r="R92" s="277">
        <v>7479</v>
      </c>
      <c r="S92" s="277"/>
      <c r="T92" s="277"/>
      <c r="U92" s="277">
        <v>678</v>
      </c>
      <c r="V92" s="97">
        <f t="shared" si="49"/>
        <v>678</v>
      </c>
      <c r="W92" s="279"/>
      <c r="X92" s="52"/>
      <c r="Y92" s="99"/>
      <c r="Z92" s="53"/>
      <c r="AA92" s="228"/>
      <c r="AB92" s="52"/>
      <c r="AC92" s="99"/>
      <c r="AD92" s="53"/>
      <c r="AE92" s="228"/>
      <c r="AF92" s="52"/>
      <c r="AG92" s="99"/>
      <c r="AH92" s="53"/>
      <c r="AI92" s="228"/>
      <c r="AJ92" s="52"/>
      <c r="AK92" s="99"/>
      <c r="AL92" s="53"/>
      <c r="AM92" s="228"/>
      <c r="AN92" s="52"/>
      <c r="AO92" s="99"/>
      <c r="AP92" s="53"/>
      <c r="AQ92" s="50">
        <f t="shared" si="41"/>
        <v>0</v>
      </c>
      <c r="AR92" s="163">
        <f t="shared" si="42"/>
        <v>0.70655100209392763</v>
      </c>
      <c r="AS92" s="97">
        <f t="shared" si="43"/>
        <v>0</v>
      </c>
      <c r="AT92" s="278">
        <f t="shared" si="44"/>
        <v>0.70897715423262864</v>
      </c>
      <c r="AU92" s="55"/>
      <c r="AV92" s="277"/>
      <c r="AW92" s="279">
        <v>13</v>
      </c>
      <c r="AX92" s="52">
        <v>692</v>
      </c>
      <c r="AY92" s="105">
        <v>13</v>
      </c>
      <c r="AZ92" s="98">
        <v>767</v>
      </c>
      <c r="BA92" s="279">
        <v>52</v>
      </c>
      <c r="BB92" s="52">
        <v>393</v>
      </c>
      <c r="BC92" s="105">
        <v>52</v>
      </c>
      <c r="BD92" s="98">
        <v>406</v>
      </c>
      <c r="BE92" s="279">
        <v>51</v>
      </c>
      <c r="BF92" s="52">
        <v>293</v>
      </c>
      <c r="BG92" s="105">
        <v>51</v>
      </c>
      <c r="BH92" s="98">
        <v>342</v>
      </c>
      <c r="BI92" s="279">
        <v>14</v>
      </c>
      <c r="BJ92" s="52">
        <v>238</v>
      </c>
      <c r="BK92" s="105">
        <v>14</v>
      </c>
      <c r="BL92" s="98">
        <v>211</v>
      </c>
      <c r="BM92" s="279">
        <v>25</v>
      </c>
      <c r="BN92" s="52">
        <v>180</v>
      </c>
      <c r="BO92" s="105">
        <v>25</v>
      </c>
      <c r="BP92" s="98">
        <v>174</v>
      </c>
      <c r="BQ92" s="279">
        <v>44</v>
      </c>
      <c r="BR92" s="52">
        <v>92</v>
      </c>
      <c r="BS92" s="105">
        <v>44</v>
      </c>
      <c r="BT92" s="98">
        <v>104</v>
      </c>
      <c r="BU92" s="279">
        <v>26</v>
      </c>
      <c r="BV92" s="52">
        <v>65</v>
      </c>
      <c r="BW92" s="105">
        <v>26</v>
      </c>
      <c r="BX92" s="98">
        <v>97</v>
      </c>
      <c r="BY92" s="279">
        <v>50</v>
      </c>
      <c r="BZ92" s="52">
        <v>41</v>
      </c>
      <c r="CA92" s="105">
        <v>43</v>
      </c>
      <c r="CB92" s="98">
        <v>44</v>
      </c>
      <c r="CC92" s="279" t="s">
        <v>744</v>
      </c>
      <c r="CD92" s="52">
        <v>36</v>
      </c>
      <c r="CE92" s="329">
        <v>45</v>
      </c>
      <c r="CF92" s="98">
        <v>42</v>
      </c>
      <c r="CG92" s="279">
        <v>42</v>
      </c>
      <c r="CH92" s="52">
        <v>35</v>
      </c>
      <c r="CI92" s="105">
        <v>50</v>
      </c>
      <c r="CJ92" s="98">
        <v>41</v>
      </c>
      <c r="CK92" s="281"/>
      <c r="CL92" s="277"/>
      <c r="CM92" s="159">
        <v>249</v>
      </c>
      <c r="CN92" s="277">
        <v>254</v>
      </c>
      <c r="CO92" s="50">
        <f t="shared" si="50"/>
        <v>2314</v>
      </c>
      <c r="CP92" s="103">
        <f t="shared" si="51"/>
        <v>10</v>
      </c>
      <c r="CQ92" s="280">
        <f t="shared" si="52"/>
        <v>2482</v>
      </c>
      <c r="CR92" s="63">
        <f t="shared" si="53"/>
        <v>10</v>
      </c>
      <c r="CS92" s="279">
        <v>14</v>
      </c>
      <c r="CT92" s="52">
        <v>52</v>
      </c>
      <c r="CU92" s="105">
        <v>51</v>
      </c>
      <c r="CV92" s="98">
        <v>72</v>
      </c>
      <c r="CW92" s="279">
        <v>51</v>
      </c>
      <c r="CX92" s="52">
        <v>51</v>
      </c>
      <c r="CY92" s="105">
        <v>13</v>
      </c>
      <c r="CZ92" s="98">
        <v>49</v>
      </c>
      <c r="DA92" s="279">
        <v>13</v>
      </c>
      <c r="DB92" s="52">
        <v>40</v>
      </c>
      <c r="DC92" s="105">
        <v>14</v>
      </c>
      <c r="DD92" s="98">
        <v>37</v>
      </c>
      <c r="DE92" s="279">
        <v>26</v>
      </c>
      <c r="DF92" s="52">
        <v>24</v>
      </c>
      <c r="DG92" s="105">
        <v>42</v>
      </c>
      <c r="DH92" s="98">
        <v>33</v>
      </c>
      <c r="DI92" s="279">
        <v>40</v>
      </c>
      <c r="DJ92" s="52">
        <v>24</v>
      </c>
      <c r="DK92" s="105">
        <v>40</v>
      </c>
      <c r="DL92" s="98">
        <v>28</v>
      </c>
      <c r="DM92" s="279">
        <v>42</v>
      </c>
      <c r="DN92" s="52">
        <v>16</v>
      </c>
      <c r="DO92" s="105">
        <v>26</v>
      </c>
      <c r="DP92" s="98">
        <v>24</v>
      </c>
      <c r="DQ92" s="279">
        <v>23</v>
      </c>
      <c r="DR92" s="52">
        <v>13</v>
      </c>
      <c r="DS92" s="105">
        <v>23</v>
      </c>
      <c r="DT92" s="98">
        <v>12</v>
      </c>
      <c r="DU92" s="279">
        <v>27</v>
      </c>
      <c r="DV92" s="52">
        <v>12</v>
      </c>
      <c r="DW92" s="105">
        <v>52</v>
      </c>
      <c r="DX92" s="98">
        <v>11</v>
      </c>
      <c r="DY92" s="279">
        <v>45</v>
      </c>
      <c r="DZ92" s="52">
        <v>10</v>
      </c>
      <c r="EA92" s="105">
        <v>45</v>
      </c>
      <c r="EB92" s="98">
        <v>9</v>
      </c>
      <c r="EC92" s="279">
        <v>52</v>
      </c>
      <c r="ED92" s="52">
        <v>9</v>
      </c>
      <c r="EE92" s="105">
        <v>38</v>
      </c>
      <c r="EF92" s="98">
        <v>7</v>
      </c>
      <c r="EG92" s="159">
        <v>6</v>
      </c>
      <c r="EH92" s="277">
        <v>6</v>
      </c>
      <c r="EI92" s="50">
        <f t="shared" si="54"/>
        <v>257</v>
      </c>
      <c r="EJ92" s="103">
        <f t="shared" si="55"/>
        <v>10</v>
      </c>
      <c r="EK92" s="164">
        <f t="shared" si="56"/>
        <v>0.20233463035019456</v>
      </c>
      <c r="EL92" s="280">
        <f t="shared" si="57"/>
        <v>288</v>
      </c>
      <c r="EM92" s="63">
        <f t="shared" si="58"/>
        <v>10</v>
      </c>
      <c r="EN92" s="359">
        <f t="shared" si="59"/>
        <v>0.25</v>
      </c>
      <c r="EO92" s="51">
        <f t="shared" si="60"/>
        <v>2571</v>
      </c>
      <c r="EP92" s="361">
        <f t="shared" si="61"/>
        <v>2770</v>
      </c>
      <c r="EQ92" s="281"/>
      <c r="ER92" s="277"/>
      <c r="ES92" s="281">
        <v>115</v>
      </c>
      <c r="ET92" s="277">
        <v>114</v>
      </c>
      <c r="EU92" s="281"/>
      <c r="EV92" s="277"/>
      <c r="EW92" s="281"/>
      <c r="EX92" s="277"/>
      <c r="EY92" s="281"/>
      <c r="EZ92" s="277"/>
      <c r="FA92" s="281"/>
      <c r="FB92" s="277"/>
      <c r="FC92" s="281"/>
      <c r="FD92" s="277"/>
      <c r="FE92" s="281"/>
      <c r="FF92" s="277"/>
      <c r="FG92" s="281"/>
      <c r="FH92" s="277"/>
      <c r="FI92" s="281"/>
      <c r="FJ92" s="277"/>
      <c r="FK92" s="50">
        <f t="shared" si="62"/>
        <v>115</v>
      </c>
      <c r="FL92" s="63">
        <f t="shared" si="63"/>
        <v>114</v>
      </c>
      <c r="FM92" s="50">
        <f t="shared" si="45"/>
        <v>10029</v>
      </c>
      <c r="FN92" s="360">
        <f t="shared" si="46"/>
        <v>10549</v>
      </c>
      <c r="FO92" s="3"/>
      <c r="FP92" s="279"/>
      <c r="FQ92" s="52"/>
      <c r="FR92" s="296"/>
      <c r="FS92" s="98"/>
      <c r="FT92" s="467"/>
      <c r="FU92" s="52"/>
      <c r="FV92" s="296"/>
      <c r="FW92" s="98"/>
      <c r="FX92" s="467"/>
      <c r="FY92" s="52"/>
      <c r="FZ92" s="296"/>
      <c r="GA92" s="98"/>
      <c r="GB92" s="467"/>
      <c r="GC92" s="52"/>
      <c r="GD92" s="296"/>
      <c r="GE92" s="98"/>
      <c r="GF92" s="467"/>
      <c r="GG92" s="52"/>
      <c r="GH92" s="296"/>
      <c r="GI92" s="98"/>
      <c r="GJ92" s="467"/>
      <c r="GK92" s="52"/>
      <c r="GL92" s="296"/>
      <c r="GM92" s="464"/>
      <c r="GN92" s="467"/>
      <c r="GO92" s="52"/>
      <c r="GP92" s="296"/>
      <c r="GQ92" s="464"/>
      <c r="GR92" s="467"/>
      <c r="GS92" s="52"/>
      <c r="GT92" s="296"/>
      <c r="GU92" s="464"/>
      <c r="GV92" s="467"/>
      <c r="GW92" s="52"/>
      <c r="GX92" s="296"/>
      <c r="GY92" s="464"/>
      <c r="GZ92" s="467"/>
      <c r="HA92" s="52"/>
      <c r="HB92" s="296"/>
      <c r="HC92" s="3"/>
    </row>
    <row r="93" spans="1:211" s="86" customFormat="1">
      <c r="A93" s="316" t="s">
        <v>346</v>
      </c>
      <c r="B93" s="328" t="s">
        <v>746</v>
      </c>
      <c r="C93" s="316">
        <v>133669</v>
      </c>
      <c r="D93" s="343">
        <v>2</v>
      </c>
      <c r="E93" s="460"/>
      <c r="F93" s="277"/>
      <c r="G93" s="158"/>
      <c r="H93" s="277"/>
      <c r="I93" s="158">
        <v>159</v>
      </c>
      <c r="J93" s="277">
        <v>157</v>
      </c>
      <c r="K93" s="160">
        <f t="shared" si="47"/>
        <v>3.5483151082347689E-2</v>
      </c>
      <c r="L93" s="161">
        <f t="shared" si="40"/>
        <v>3.5146630848444146E-2</v>
      </c>
      <c r="M93" s="54">
        <v>4481</v>
      </c>
      <c r="N93" s="55"/>
      <c r="O93" s="55"/>
      <c r="P93" s="55">
        <v>477</v>
      </c>
      <c r="Q93" s="162">
        <f t="shared" si="48"/>
        <v>477</v>
      </c>
      <c r="R93" s="277">
        <v>4467</v>
      </c>
      <c r="S93" s="277"/>
      <c r="T93" s="277"/>
      <c r="U93" s="277">
        <v>455</v>
      </c>
      <c r="V93" s="97">
        <f t="shared" si="49"/>
        <v>455</v>
      </c>
      <c r="W93" s="279"/>
      <c r="X93" s="52"/>
      <c r="Y93" s="99"/>
      <c r="Z93" s="53"/>
      <c r="AA93" s="228"/>
      <c r="AB93" s="52"/>
      <c r="AC93" s="99"/>
      <c r="AD93" s="53"/>
      <c r="AE93" s="228"/>
      <c r="AF93" s="52"/>
      <c r="AG93" s="99"/>
      <c r="AH93" s="53"/>
      <c r="AI93" s="228"/>
      <c r="AJ93" s="52"/>
      <c r="AK93" s="99"/>
      <c r="AL93" s="53"/>
      <c r="AM93" s="228"/>
      <c r="AN93" s="52"/>
      <c r="AO93" s="99"/>
      <c r="AP93" s="53"/>
      <c r="AQ93" s="50">
        <f t="shared" si="41"/>
        <v>0</v>
      </c>
      <c r="AR93" s="163">
        <f t="shared" si="42"/>
        <v>0.76454529943695615</v>
      </c>
      <c r="AS93" s="97">
        <f t="shared" si="43"/>
        <v>0</v>
      </c>
      <c r="AT93" s="278">
        <f t="shared" si="44"/>
        <v>0.76228668941979527</v>
      </c>
      <c r="AU93" s="55"/>
      <c r="AV93" s="277"/>
      <c r="AW93" s="279">
        <v>13</v>
      </c>
      <c r="AX93" s="52">
        <v>300</v>
      </c>
      <c r="AY93" s="105">
        <v>52</v>
      </c>
      <c r="AZ93" s="98">
        <v>307</v>
      </c>
      <c r="BA93" s="279">
        <v>52</v>
      </c>
      <c r="BB93" s="52">
        <v>269</v>
      </c>
      <c r="BC93" s="105">
        <v>13</v>
      </c>
      <c r="BD93" s="98">
        <v>284</v>
      </c>
      <c r="BE93" s="279">
        <v>51</v>
      </c>
      <c r="BF93" s="52">
        <v>139</v>
      </c>
      <c r="BG93" s="105">
        <v>51</v>
      </c>
      <c r="BH93" s="98">
        <v>144</v>
      </c>
      <c r="BI93" s="279">
        <v>44</v>
      </c>
      <c r="BJ93" s="52">
        <v>83</v>
      </c>
      <c r="BK93" s="105">
        <v>44</v>
      </c>
      <c r="BL93" s="98">
        <v>77</v>
      </c>
      <c r="BM93" s="279">
        <v>14</v>
      </c>
      <c r="BN93" s="52">
        <v>63</v>
      </c>
      <c r="BO93" s="105">
        <v>26</v>
      </c>
      <c r="BP93" s="98">
        <v>51</v>
      </c>
      <c r="BQ93" s="279">
        <v>26</v>
      </c>
      <c r="BR93" s="52">
        <v>60</v>
      </c>
      <c r="BS93" s="105">
        <v>14</v>
      </c>
      <c r="BT93" s="98">
        <v>47</v>
      </c>
      <c r="BU93" s="279">
        <v>11</v>
      </c>
      <c r="BV93" s="52">
        <v>44</v>
      </c>
      <c r="BW93" s="105">
        <v>45</v>
      </c>
      <c r="BX93" s="98">
        <v>46</v>
      </c>
      <c r="BY93" s="279">
        <v>45</v>
      </c>
      <c r="BZ93" s="52">
        <v>28</v>
      </c>
      <c r="CA93" s="105">
        <v>11</v>
      </c>
      <c r="CB93" s="98">
        <v>35</v>
      </c>
      <c r="CC93" s="279">
        <v>23</v>
      </c>
      <c r="CD93" s="52">
        <v>27</v>
      </c>
      <c r="CE93" s="105">
        <v>23</v>
      </c>
      <c r="CF93" s="98">
        <v>21</v>
      </c>
      <c r="CG93" s="279">
        <v>50</v>
      </c>
      <c r="CH93" s="52">
        <v>24</v>
      </c>
      <c r="CI93" s="105">
        <v>50</v>
      </c>
      <c r="CJ93" s="98">
        <v>17</v>
      </c>
      <c r="CK93" s="281"/>
      <c r="CL93" s="277"/>
      <c r="CM93" s="159">
        <v>101</v>
      </c>
      <c r="CN93" s="277">
        <v>117</v>
      </c>
      <c r="CO93" s="50">
        <f t="shared" si="50"/>
        <v>1138</v>
      </c>
      <c r="CP93" s="103">
        <f t="shared" si="51"/>
        <v>10</v>
      </c>
      <c r="CQ93" s="280">
        <f t="shared" si="52"/>
        <v>1146</v>
      </c>
      <c r="CR93" s="63">
        <f t="shared" si="53"/>
        <v>10</v>
      </c>
      <c r="CS93" s="279">
        <v>13</v>
      </c>
      <c r="CT93" s="52">
        <v>25</v>
      </c>
      <c r="CU93" s="105">
        <v>13</v>
      </c>
      <c r="CV93" s="98">
        <v>31</v>
      </c>
      <c r="CW93" s="279">
        <v>52</v>
      </c>
      <c r="CX93" s="52">
        <v>12</v>
      </c>
      <c r="CY93" s="105">
        <v>26</v>
      </c>
      <c r="CZ93" s="98">
        <v>11</v>
      </c>
      <c r="DA93" s="279">
        <v>42</v>
      </c>
      <c r="DB93" s="52">
        <v>11</v>
      </c>
      <c r="DC93" s="105">
        <v>30</v>
      </c>
      <c r="DD93" s="98">
        <v>10</v>
      </c>
      <c r="DE93" s="279">
        <v>30</v>
      </c>
      <c r="DF93" s="52">
        <v>8</v>
      </c>
      <c r="DG93" s="105">
        <v>14</v>
      </c>
      <c r="DH93" s="98">
        <v>7</v>
      </c>
      <c r="DI93" s="279">
        <v>14</v>
      </c>
      <c r="DJ93" s="52">
        <v>6</v>
      </c>
      <c r="DK93" s="105">
        <v>40</v>
      </c>
      <c r="DL93" s="98">
        <v>7</v>
      </c>
      <c r="DM93" s="279">
        <v>40</v>
      </c>
      <c r="DN93" s="52">
        <v>6</v>
      </c>
      <c r="DO93" s="105">
        <v>52</v>
      </c>
      <c r="DP93" s="98">
        <v>7</v>
      </c>
      <c r="DQ93" s="279">
        <v>44</v>
      </c>
      <c r="DR93" s="52">
        <v>5</v>
      </c>
      <c r="DS93" s="105">
        <v>51</v>
      </c>
      <c r="DT93" s="98">
        <v>6</v>
      </c>
      <c r="DU93" s="279">
        <v>26</v>
      </c>
      <c r="DV93" s="52">
        <v>4</v>
      </c>
      <c r="DW93" s="105">
        <v>27</v>
      </c>
      <c r="DX93" s="98">
        <v>4</v>
      </c>
      <c r="DY93" s="279">
        <v>11</v>
      </c>
      <c r="DZ93" s="52">
        <v>3</v>
      </c>
      <c r="EA93" s="105">
        <v>42</v>
      </c>
      <c r="EB93" s="98">
        <v>3</v>
      </c>
      <c r="EC93" s="279">
        <v>51</v>
      </c>
      <c r="ED93" s="52">
        <v>2</v>
      </c>
      <c r="EE93" s="105">
        <v>11</v>
      </c>
      <c r="EF93" s="98">
        <v>3</v>
      </c>
      <c r="EG93" s="159">
        <v>1</v>
      </c>
      <c r="EH93" s="277">
        <v>1</v>
      </c>
      <c r="EI93" s="50">
        <f t="shared" si="54"/>
        <v>83</v>
      </c>
      <c r="EJ93" s="103">
        <f t="shared" si="55"/>
        <v>10</v>
      </c>
      <c r="EK93" s="164">
        <f t="shared" si="56"/>
        <v>0.30120481927710846</v>
      </c>
      <c r="EL93" s="280">
        <f t="shared" si="57"/>
        <v>90</v>
      </c>
      <c r="EM93" s="63">
        <f t="shared" si="58"/>
        <v>10</v>
      </c>
      <c r="EN93" s="359">
        <f t="shared" si="59"/>
        <v>0.34444444444444444</v>
      </c>
      <c r="EO93" s="51">
        <f t="shared" si="60"/>
        <v>1221</v>
      </c>
      <c r="EP93" s="361">
        <f t="shared" si="61"/>
        <v>1236</v>
      </c>
      <c r="EQ93" s="281"/>
      <c r="ER93" s="277"/>
      <c r="ES93" s="281"/>
      <c r="ET93" s="277"/>
      <c r="EU93" s="281"/>
      <c r="EV93" s="277"/>
      <c r="EW93" s="281"/>
      <c r="EX93" s="277"/>
      <c r="EY93" s="281"/>
      <c r="EZ93" s="277"/>
      <c r="FA93" s="281"/>
      <c r="FB93" s="277"/>
      <c r="FC93" s="281"/>
      <c r="FD93" s="277"/>
      <c r="FE93" s="281"/>
      <c r="FF93" s="277"/>
      <c r="FG93" s="281"/>
      <c r="FH93" s="277"/>
      <c r="FI93" s="281"/>
      <c r="FJ93" s="277"/>
      <c r="FK93" s="50">
        <f t="shared" si="62"/>
        <v>0</v>
      </c>
      <c r="FL93" s="63">
        <f t="shared" si="63"/>
        <v>0</v>
      </c>
      <c r="FM93" s="50">
        <f t="shared" si="45"/>
        <v>5861</v>
      </c>
      <c r="FN93" s="360">
        <f t="shared" si="46"/>
        <v>5860</v>
      </c>
      <c r="FO93" s="3"/>
      <c r="FP93" s="279"/>
      <c r="FQ93" s="52"/>
      <c r="FR93" s="296"/>
      <c r="FS93" s="98"/>
      <c r="FT93" s="467"/>
      <c r="FU93" s="52"/>
      <c r="FV93" s="296"/>
      <c r="FW93" s="98"/>
      <c r="FX93" s="467"/>
      <c r="FY93" s="52"/>
      <c r="FZ93" s="296"/>
      <c r="GA93" s="98"/>
      <c r="GB93" s="467"/>
      <c r="GC93" s="52"/>
      <c r="GD93" s="296"/>
      <c r="GE93" s="98"/>
      <c r="GF93" s="467"/>
      <c r="GG93" s="52"/>
      <c r="GH93" s="296"/>
      <c r="GI93" s="98"/>
      <c r="GJ93" s="467"/>
      <c r="GK93" s="52"/>
      <c r="GL93" s="296"/>
      <c r="GM93" s="464"/>
      <c r="GN93" s="467"/>
      <c r="GO93" s="52"/>
      <c r="GP93" s="296"/>
      <c r="GQ93" s="464"/>
      <c r="GR93" s="467"/>
      <c r="GS93" s="52"/>
      <c r="GT93" s="296"/>
      <c r="GU93" s="464"/>
      <c r="GV93" s="467"/>
      <c r="GW93" s="52"/>
      <c r="GX93" s="296"/>
      <c r="GY93" s="464"/>
      <c r="GZ93" s="467"/>
      <c r="HA93" s="52"/>
      <c r="HB93" s="296"/>
      <c r="HC93" s="3"/>
    </row>
    <row r="94" spans="1:211" s="86" customFormat="1">
      <c r="A94" s="316" t="s">
        <v>346</v>
      </c>
      <c r="B94" s="328" t="s">
        <v>753</v>
      </c>
      <c r="C94" s="316">
        <v>133650</v>
      </c>
      <c r="D94" s="343">
        <v>3</v>
      </c>
      <c r="E94" s="460"/>
      <c r="F94" s="277"/>
      <c r="G94" s="158"/>
      <c r="H94" s="277"/>
      <c r="I94" s="158">
        <v>98</v>
      </c>
      <c r="J94" s="277">
        <v>47</v>
      </c>
      <c r="K94" s="160">
        <f t="shared" si="47"/>
        <v>6.6037735849056603E-2</v>
      </c>
      <c r="L94" s="161">
        <f t="shared" si="40"/>
        <v>3.2752613240418116E-2</v>
      </c>
      <c r="M94" s="54">
        <v>1484</v>
      </c>
      <c r="N94" s="55"/>
      <c r="O94" s="55"/>
      <c r="P94" s="55">
        <v>98</v>
      </c>
      <c r="Q94" s="162">
        <f t="shared" si="48"/>
        <v>98</v>
      </c>
      <c r="R94" s="277">
        <v>1435</v>
      </c>
      <c r="S94" s="277"/>
      <c r="T94" s="277"/>
      <c r="U94" s="277">
        <v>36</v>
      </c>
      <c r="V94" s="97">
        <f t="shared" si="49"/>
        <v>36</v>
      </c>
      <c r="W94" s="279"/>
      <c r="X94" s="52"/>
      <c r="Y94" s="99"/>
      <c r="Z94" s="53"/>
      <c r="AA94" s="228"/>
      <c r="AB94" s="52"/>
      <c r="AC94" s="99"/>
      <c r="AD94" s="53"/>
      <c r="AE94" s="228"/>
      <c r="AF94" s="52"/>
      <c r="AG94" s="99"/>
      <c r="AH94" s="53"/>
      <c r="AI94" s="228"/>
      <c r="AJ94" s="52"/>
      <c r="AK94" s="99"/>
      <c r="AL94" s="53"/>
      <c r="AM94" s="228"/>
      <c r="AN94" s="52"/>
      <c r="AO94" s="99"/>
      <c r="AP94" s="53"/>
      <c r="AQ94" s="50">
        <f t="shared" si="41"/>
        <v>0</v>
      </c>
      <c r="AR94" s="163">
        <f t="shared" si="42"/>
        <v>0.70066100094428707</v>
      </c>
      <c r="AS94" s="97">
        <f t="shared" si="43"/>
        <v>0</v>
      </c>
      <c r="AT94" s="278">
        <f t="shared" si="44"/>
        <v>0.69592628516003885</v>
      </c>
      <c r="AU94" s="55"/>
      <c r="AV94" s="277"/>
      <c r="AW94" s="279">
        <v>52</v>
      </c>
      <c r="AX94" s="52">
        <v>68</v>
      </c>
      <c r="AY94" s="105">
        <v>52</v>
      </c>
      <c r="AZ94" s="98">
        <v>90</v>
      </c>
      <c r="BA94" s="279">
        <v>51</v>
      </c>
      <c r="BB94" s="52">
        <v>47</v>
      </c>
      <c r="BC94" s="105">
        <v>51</v>
      </c>
      <c r="BD94" s="98">
        <v>44</v>
      </c>
      <c r="BE94" s="279">
        <v>45</v>
      </c>
      <c r="BF94" s="52">
        <v>40</v>
      </c>
      <c r="BG94" s="105">
        <v>45</v>
      </c>
      <c r="BH94" s="98">
        <v>42</v>
      </c>
      <c r="BI94" s="279">
        <v>13</v>
      </c>
      <c r="BJ94" s="52">
        <v>36</v>
      </c>
      <c r="BK94" s="105">
        <v>13</v>
      </c>
      <c r="BL94" s="98">
        <v>37</v>
      </c>
      <c r="BM94" s="279">
        <v>42</v>
      </c>
      <c r="BN94" s="52">
        <v>25</v>
      </c>
      <c r="BO94" s="105">
        <v>42</v>
      </c>
      <c r="BP94" s="98">
        <v>14</v>
      </c>
      <c r="BQ94" s="279" t="s">
        <v>744</v>
      </c>
      <c r="BR94" s="52">
        <v>9</v>
      </c>
      <c r="BS94" s="329">
        <v>44</v>
      </c>
      <c r="BT94" s="98">
        <v>14</v>
      </c>
      <c r="BU94" s="279">
        <v>44</v>
      </c>
      <c r="BV94" s="52">
        <v>7</v>
      </c>
      <c r="BW94" s="329" t="s">
        <v>744</v>
      </c>
      <c r="BX94" s="98">
        <v>11</v>
      </c>
      <c r="BY94" s="279">
        <v>40</v>
      </c>
      <c r="BZ94" s="52">
        <v>6</v>
      </c>
      <c r="CA94" s="105">
        <v>40</v>
      </c>
      <c r="CB94" s="98">
        <v>9</v>
      </c>
      <c r="CC94" s="279" t="s">
        <v>742</v>
      </c>
      <c r="CD94" s="52">
        <v>4</v>
      </c>
      <c r="CE94" s="329">
        <v>14</v>
      </c>
      <c r="CF94" s="98">
        <v>4</v>
      </c>
      <c r="CG94" s="279">
        <v>11</v>
      </c>
      <c r="CH94" s="52">
        <v>4</v>
      </c>
      <c r="CI94" s="105">
        <v>11</v>
      </c>
      <c r="CJ94" s="98">
        <v>4</v>
      </c>
      <c r="CK94" s="281"/>
      <c r="CL94" s="277"/>
      <c r="CM94" s="159">
        <v>7</v>
      </c>
      <c r="CN94" s="277">
        <v>7</v>
      </c>
      <c r="CO94" s="50">
        <f t="shared" si="50"/>
        <v>253</v>
      </c>
      <c r="CP94" s="103">
        <f t="shared" si="51"/>
        <v>10</v>
      </c>
      <c r="CQ94" s="280">
        <f t="shared" si="52"/>
        <v>276</v>
      </c>
      <c r="CR94" s="63">
        <f t="shared" si="53"/>
        <v>10</v>
      </c>
      <c r="CS94" s="279">
        <v>14</v>
      </c>
      <c r="CT94" s="52">
        <v>4</v>
      </c>
      <c r="CU94" s="105">
        <v>51</v>
      </c>
      <c r="CV94" s="98">
        <v>18</v>
      </c>
      <c r="CW94" s="378">
        <v>3</v>
      </c>
      <c r="CX94" s="52">
        <v>3</v>
      </c>
      <c r="CY94" s="329">
        <v>13</v>
      </c>
      <c r="CZ94" s="98">
        <v>5</v>
      </c>
      <c r="DA94" s="279">
        <v>40</v>
      </c>
      <c r="DB94" s="52">
        <v>2</v>
      </c>
      <c r="DC94" s="105">
        <v>14</v>
      </c>
      <c r="DD94" s="98">
        <v>4</v>
      </c>
      <c r="DE94" s="279">
        <v>13</v>
      </c>
      <c r="DF94" s="52">
        <v>1</v>
      </c>
      <c r="DG94" s="481">
        <v>3</v>
      </c>
      <c r="DH94" s="98">
        <v>1</v>
      </c>
      <c r="DI94" s="279">
        <v>51</v>
      </c>
      <c r="DJ94" s="52">
        <v>1</v>
      </c>
      <c r="DK94" s="105"/>
      <c r="DL94" s="98"/>
      <c r="DM94" s="279"/>
      <c r="DN94" s="52"/>
      <c r="DO94" s="105"/>
      <c r="DP94" s="98"/>
      <c r="DQ94" s="279"/>
      <c r="DR94" s="52"/>
      <c r="DS94" s="105"/>
      <c r="DT94" s="98"/>
      <c r="DU94" s="279"/>
      <c r="DV94" s="52"/>
      <c r="DW94" s="105"/>
      <c r="DX94" s="98"/>
      <c r="DY94" s="279"/>
      <c r="DZ94" s="52"/>
      <c r="EA94" s="105"/>
      <c r="EB94" s="98"/>
      <c r="EC94" s="279"/>
      <c r="ED94" s="52"/>
      <c r="EE94" s="105"/>
      <c r="EF94" s="98"/>
      <c r="EG94" s="159"/>
      <c r="EH94" s="277"/>
      <c r="EI94" s="50">
        <f t="shared" si="54"/>
        <v>11</v>
      </c>
      <c r="EJ94" s="103">
        <f t="shared" si="55"/>
        <v>5</v>
      </c>
      <c r="EK94" s="164">
        <f t="shared" si="56"/>
        <v>0.36363636363636365</v>
      </c>
      <c r="EL94" s="280">
        <f t="shared" si="57"/>
        <v>28</v>
      </c>
      <c r="EM94" s="63">
        <f t="shared" si="58"/>
        <v>4</v>
      </c>
      <c r="EN94" s="359">
        <f t="shared" si="59"/>
        <v>0.6428571428571429</v>
      </c>
      <c r="EO94" s="51">
        <f t="shared" si="60"/>
        <v>264</v>
      </c>
      <c r="EP94" s="361">
        <f t="shared" si="61"/>
        <v>304</v>
      </c>
      <c r="EQ94" s="281">
        <v>122</v>
      </c>
      <c r="ER94" s="277">
        <v>160</v>
      </c>
      <c r="ES94" s="281"/>
      <c r="ET94" s="277"/>
      <c r="EU94" s="281"/>
      <c r="EV94" s="277"/>
      <c r="EW94" s="281">
        <v>150</v>
      </c>
      <c r="EX94" s="277">
        <v>116</v>
      </c>
      <c r="EY94" s="281"/>
      <c r="EZ94" s="277"/>
      <c r="FA94" s="281"/>
      <c r="FB94" s="277"/>
      <c r="FC94" s="281"/>
      <c r="FD94" s="277"/>
      <c r="FE94" s="281"/>
      <c r="FF94" s="277"/>
      <c r="FG94" s="281"/>
      <c r="FH94" s="277"/>
      <c r="FI94" s="281"/>
      <c r="FJ94" s="277"/>
      <c r="FK94" s="50">
        <f t="shared" si="62"/>
        <v>272</v>
      </c>
      <c r="FL94" s="63">
        <f t="shared" si="63"/>
        <v>276</v>
      </c>
      <c r="FM94" s="50">
        <f t="shared" si="45"/>
        <v>2118</v>
      </c>
      <c r="FN94" s="360">
        <f t="shared" si="46"/>
        <v>2062</v>
      </c>
      <c r="FO94" s="3"/>
      <c r="FP94" s="279"/>
      <c r="FQ94" s="52"/>
      <c r="FR94" s="296"/>
      <c r="FS94" s="98"/>
      <c r="FT94" s="467"/>
      <c r="FU94" s="52"/>
      <c r="FV94" s="296"/>
      <c r="FW94" s="98"/>
      <c r="FX94" s="467"/>
      <c r="FY94" s="52"/>
      <c r="FZ94" s="296"/>
      <c r="GA94" s="98"/>
      <c r="GB94" s="467"/>
      <c r="GC94" s="52"/>
      <c r="GD94" s="296"/>
      <c r="GE94" s="98"/>
      <c r="GF94" s="467"/>
      <c r="GG94" s="52"/>
      <c r="GH94" s="296"/>
      <c r="GI94" s="98"/>
      <c r="GJ94" s="467"/>
      <c r="GK94" s="52"/>
      <c r="GL94" s="296"/>
      <c r="GM94" s="464"/>
      <c r="GN94" s="467"/>
      <c r="GO94" s="52"/>
      <c r="GP94" s="296"/>
      <c r="GQ94" s="464"/>
      <c r="GR94" s="467"/>
      <c r="GS94" s="52"/>
      <c r="GT94" s="296"/>
      <c r="GU94" s="464"/>
      <c r="GV94" s="467"/>
      <c r="GW94" s="52"/>
      <c r="GX94" s="296"/>
      <c r="GY94" s="464"/>
      <c r="GZ94" s="467"/>
      <c r="HA94" s="52"/>
      <c r="HB94" s="296"/>
      <c r="HC94" s="3"/>
    </row>
    <row r="95" spans="1:211" s="86" customFormat="1">
      <c r="A95" s="316" t="s">
        <v>346</v>
      </c>
      <c r="B95" s="328" t="s">
        <v>754</v>
      </c>
      <c r="C95" s="316">
        <v>136172</v>
      </c>
      <c r="D95" s="343">
        <v>3</v>
      </c>
      <c r="E95" s="460"/>
      <c r="F95" s="277"/>
      <c r="G95" s="158"/>
      <c r="H95" s="277"/>
      <c r="I95" s="158">
        <v>410</v>
      </c>
      <c r="J95" s="277">
        <v>476</v>
      </c>
      <c r="K95" s="160">
        <f t="shared" si="47"/>
        <v>0.14887436456063907</v>
      </c>
      <c r="L95" s="161">
        <f t="shared" si="40"/>
        <v>0.16459197786998617</v>
      </c>
      <c r="M95" s="54">
        <v>2754</v>
      </c>
      <c r="N95" s="55"/>
      <c r="O95" s="55"/>
      <c r="P95" s="55">
        <v>317</v>
      </c>
      <c r="Q95" s="162">
        <f t="shared" si="48"/>
        <v>317</v>
      </c>
      <c r="R95" s="277">
        <v>2892</v>
      </c>
      <c r="S95" s="277"/>
      <c r="T95" s="277"/>
      <c r="U95" s="277">
        <v>169</v>
      </c>
      <c r="V95" s="97">
        <f t="shared" si="49"/>
        <v>169</v>
      </c>
      <c r="W95" s="279"/>
      <c r="X95" s="52"/>
      <c r="Y95" s="99"/>
      <c r="Z95" s="53"/>
      <c r="AA95" s="228"/>
      <c r="AB95" s="52"/>
      <c r="AC95" s="99"/>
      <c r="AD95" s="53"/>
      <c r="AE95" s="228"/>
      <c r="AF95" s="52"/>
      <c r="AG95" s="99"/>
      <c r="AH95" s="53"/>
      <c r="AI95" s="228"/>
      <c r="AJ95" s="52"/>
      <c r="AK95" s="99"/>
      <c r="AL95" s="53"/>
      <c r="AM95" s="228"/>
      <c r="AN95" s="52"/>
      <c r="AO95" s="99"/>
      <c r="AP95" s="53"/>
      <c r="AQ95" s="50">
        <f t="shared" si="41"/>
        <v>0</v>
      </c>
      <c r="AR95" s="163">
        <f t="shared" si="42"/>
        <v>0.73479188900747061</v>
      </c>
      <c r="AS95" s="97">
        <f t="shared" si="43"/>
        <v>0</v>
      </c>
      <c r="AT95" s="278">
        <f t="shared" si="44"/>
        <v>0.72535741158765987</v>
      </c>
      <c r="AU95" s="55"/>
      <c r="AV95" s="277"/>
      <c r="AW95" s="279">
        <v>13</v>
      </c>
      <c r="AX95" s="52">
        <v>195</v>
      </c>
      <c r="AY95" s="105">
        <v>52</v>
      </c>
      <c r="AZ95" s="98">
        <v>217</v>
      </c>
      <c r="BA95" s="279">
        <v>52</v>
      </c>
      <c r="BB95" s="52">
        <v>195</v>
      </c>
      <c r="BC95" s="105">
        <v>13</v>
      </c>
      <c r="BD95" s="98">
        <v>190</v>
      </c>
      <c r="BE95" s="279">
        <v>51</v>
      </c>
      <c r="BF95" s="52">
        <v>51</v>
      </c>
      <c r="BG95" s="105">
        <v>51</v>
      </c>
      <c r="BH95" s="98">
        <v>83</v>
      </c>
      <c r="BI95" s="279">
        <v>44</v>
      </c>
      <c r="BJ95" s="52">
        <v>33</v>
      </c>
      <c r="BK95" s="105">
        <v>23</v>
      </c>
      <c r="BL95" s="98">
        <v>20</v>
      </c>
      <c r="BM95" s="279">
        <v>23</v>
      </c>
      <c r="BN95" s="52">
        <v>31</v>
      </c>
      <c r="BO95" s="105">
        <v>44</v>
      </c>
      <c r="BP95" s="98">
        <v>17</v>
      </c>
      <c r="BQ95" s="279">
        <v>11</v>
      </c>
      <c r="BR95" s="52">
        <v>23</v>
      </c>
      <c r="BS95" s="105">
        <v>42</v>
      </c>
      <c r="BT95" s="98">
        <v>13</v>
      </c>
      <c r="BU95" s="279">
        <v>42</v>
      </c>
      <c r="BV95" s="52">
        <v>19</v>
      </c>
      <c r="BW95" s="105">
        <v>27</v>
      </c>
      <c r="BX95" s="98">
        <v>10</v>
      </c>
      <c r="BY95" s="279">
        <v>26</v>
      </c>
      <c r="BZ95" s="52">
        <v>7</v>
      </c>
      <c r="CA95" s="105">
        <v>43</v>
      </c>
      <c r="CB95" s="98">
        <v>8</v>
      </c>
      <c r="CC95" s="279">
        <v>54</v>
      </c>
      <c r="CD95" s="52">
        <v>7</v>
      </c>
      <c r="CE95" s="105">
        <v>54</v>
      </c>
      <c r="CF95" s="98">
        <v>8</v>
      </c>
      <c r="CG95" s="279">
        <v>43</v>
      </c>
      <c r="CH95" s="52">
        <v>6</v>
      </c>
      <c r="CI95" s="105">
        <v>11</v>
      </c>
      <c r="CJ95" s="98">
        <v>7</v>
      </c>
      <c r="CK95" s="281"/>
      <c r="CL95" s="277"/>
      <c r="CM95" s="159">
        <v>7</v>
      </c>
      <c r="CN95" s="277">
        <v>13</v>
      </c>
      <c r="CO95" s="50">
        <f t="shared" si="50"/>
        <v>574</v>
      </c>
      <c r="CP95" s="103">
        <f t="shared" si="51"/>
        <v>10</v>
      </c>
      <c r="CQ95" s="280">
        <f t="shared" si="52"/>
        <v>586</v>
      </c>
      <c r="CR95" s="63">
        <f t="shared" si="53"/>
        <v>10</v>
      </c>
      <c r="CS95" s="279">
        <v>13</v>
      </c>
      <c r="CT95" s="52">
        <v>10</v>
      </c>
      <c r="CU95" s="105">
        <v>51</v>
      </c>
      <c r="CV95" s="98">
        <v>20</v>
      </c>
      <c r="CW95" s="279"/>
      <c r="CX95" s="52"/>
      <c r="CY95" s="105">
        <v>13</v>
      </c>
      <c r="CZ95" s="98">
        <v>13</v>
      </c>
      <c r="DA95" s="279"/>
      <c r="DB95" s="52"/>
      <c r="DC95" s="105"/>
      <c r="DD95" s="98"/>
      <c r="DE95" s="279"/>
      <c r="DF95" s="52"/>
      <c r="DG95" s="105"/>
      <c r="DH95" s="98"/>
      <c r="DI95" s="279"/>
      <c r="DJ95" s="52"/>
      <c r="DK95" s="105"/>
      <c r="DL95" s="98"/>
      <c r="DM95" s="279"/>
      <c r="DN95" s="52"/>
      <c r="DO95" s="105"/>
      <c r="DP95" s="98"/>
      <c r="DQ95" s="279"/>
      <c r="DR95" s="52"/>
      <c r="DS95" s="105"/>
      <c r="DT95" s="98"/>
      <c r="DU95" s="279"/>
      <c r="DV95" s="52"/>
      <c r="DW95" s="105"/>
      <c r="DX95" s="98"/>
      <c r="DY95" s="279"/>
      <c r="DZ95" s="52"/>
      <c r="EA95" s="105"/>
      <c r="EB95" s="98"/>
      <c r="EC95" s="279"/>
      <c r="ED95" s="52"/>
      <c r="EE95" s="105"/>
      <c r="EF95" s="98"/>
      <c r="EG95" s="159"/>
      <c r="EH95" s="277"/>
      <c r="EI95" s="50">
        <f t="shared" si="54"/>
        <v>10</v>
      </c>
      <c r="EJ95" s="103">
        <f t="shared" si="55"/>
        <v>1</v>
      </c>
      <c r="EK95" s="164">
        <f t="shared" si="56"/>
        <v>1</v>
      </c>
      <c r="EL95" s="280">
        <f t="shared" si="57"/>
        <v>33</v>
      </c>
      <c r="EM95" s="63">
        <f t="shared" si="58"/>
        <v>2</v>
      </c>
      <c r="EN95" s="359">
        <f t="shared" si="59"/>
        <v>0.60606060606060608</v>
      </c>
      <c r="EO95" s="51">
        <f t="shared" si="60"/>
        <v>584</v>
      </c>
      <c r="EP95" s="361">
        <f t="shared" si="61"/>
        <v>619</v>
      </c>
      <c r="EQ95" s="281"/>
      <c r="ER95" s="277"/>
      <c r="ES95" s="281"/>
      <c r="ET95" s="277"/>
      <c r="EU95" s="281"/>
      <c r="EV95" s="277"/>
      <c r="EW95" s="281"/>
      <c r="EX95" s="277"/>
      <c r="EY95" s="281"/>
      <c r="EZ95" s="277"/>
      <c r="FA95" s="281"/>
      <c r="FB95" s="277"/>
      <c r="FC95" s="281"/>
      <c r="FD95" s="277"/>
      <c r="FE95" s="281"/>
      <c r="FF95" s="277"/>
      <c r="FG95" s="281"/>
      <c r="FH95" s="277"/>
      <c r="FI95" s="281"/>
      <c r="FJ95" s="277"/>
      <c r="FK95" s="50">
        <f t="shared" si="62"/>
        <v>0</v>
      </c>
      <c r="FL95" s="63">
        <f t="shared" si="63"/>
        <v>0</v>
      </c>
      <c r="FM95" s="50">
        <f t="shared" si="45"/>
        <v>3748</v>
      </c>
      <c r="FN95" s="360">
        <f t="shared" si="46"/>
        <v>3987</v>
      </c>
      <c r="FO95" s="3"/>
      <c r="FP95" s="279"/>
      <c r="FQ95" s="52"/>
      <c r="FR95" s="296"/>
      <c r="FS95" s="98"/>
      <c r="FT95" s="467"/>
      <c r="FU95" s="52"/>
      <c r="FV95" s="296"/>
      <c r="FW95" s="98"/>
      <c r="FX95" s="467"/>
      <c r="FY95" s="52"/>
      <c r="FZ95" s="296"/>
      <c r="GA95" s="98"/>
      <c r="GB95" s="467"/>
      <c r="GC95" s="52"/>
      <c r="GD95" s="296"/>
      <c r="GE95" s="98"/>
      <c r="GF95" s="467"/>
      <c r="GG95" s="52"/>
      <c r="GH95" s="296"/>
      <c r="GI95" s="98"/>
      <c r="GJ95" s="467"/>
      <c r="GK95" s="52"/>
      <c r="GL95" s="296"/>
      <c r="GM95" s="464"/>
      <c r="GN95" s="467"/>
      <c r="GO95" s="52"/>
      <c r="GP95" s="296"/>
      <c r="GQ95" s="464"/>
      <c r="GR95" s="467"/>
      <c r="GS95" s="52"/>
      <c r="GT95" s="296"/>
      <c r="GU95" s="464"/>
      <c r="GV95" s="467"/>
      <c r="GW95" s="52"/>
      <c r="GX95" s="296"/>
      <c r="GY95" s="464"/>
      <c r="GZ95" s="467"/>
      <c r="HA95" s="52"/>
      <c r="HB95" s="296"/>
      <c r="HC95" s="3"/>
    </row>
    <row r="96" spans="1:211" s="86" customFormat="1">
      <c r="A96" s="316" t="s">
        <v>346</v>
      </c>
      <c r="B96" s="328" t="s">
        <v>755</v>
      </c>
      <c r="C96" s="316">
        <v>138354</v>
      </c>
      <c r="D96" s="343">
        <v>3</v>
      </c>
      <c r="E96" s="460"/>
      <c r="F96" s="277"/>
      <c r="G96" s="158"/>
      <c r="H96" s="277"/>
      <c r="I96" s="158">
        <v>139</v>
      </c>
      <c r="J96" s="277">
        <v>122</v>
      </c>
      <c r="K96" s="160">
        <f t="shared" si="47"/>
        <v>8.0207732256203118E-2</v>
      </c>
      <c r="L96" s="161">
        <f t="shared" si="40"/>
        <v>6.7815453029460807E-2</v>
      </c>
      <c r="M96" s="54">
        <v>1733</v>
      </c>
      <c r="N96" s="55"/>
      <c r="O96" s="55"/>
      <c r="P96" s="55">
        <v>200</v>
      </c>
      <c r="Q96" s="162">
        <f t="shared" si="48"/>
        <v>200</v>
      </c>
      <c r="R96" s="277">
        <v>1799</v>
      </c>
      <c r="S96" s="277"/>
      <c r="T96" s="277"/>
      <c r="U96" s="277">
        <v>278</v>
      </c>
      <c r="V96" s="97">
        <f t="shared" si="49"/>
        <v>278</v>
      </c>
      <c r="W96" s="279"/>
      <c r="X96" s="52"/>
      <c r="Y96" s="99"/>
      <c r="Z96" s="53"/>
      <c r="AA96" s="228"/>
      <c r="AB96" s="52"/>
      <c r="AC96" s="99"/>
      <c r="AD96" s="53"/>
      <c r="AE96" s="228"/>
      <c r="AF96" s="52"/>
      <c r="AG96" s="99"/>
      <c r="AH96" s="53"/>
      <c r="AI96" s="228"/>
      <c r="AJ96" s="52"/>
      <c r="AK96" s="99"/>
      <c r="AL96" s="53"/>
      <c r="AM96" s="228"/>
      <c r="AN96" s="52"/>
      <c r="AO96" s="99"/>
      <c r="AP96" s="53"/>
      <c r="AQ96" s="50">
        <f t="shared" si="41"/>
        <v>0</v>
      </c>
      <c r="AR96" s="163">
        <f t="shared" si="42"/>
        <v>0.74154899443731281</v>
      </c>
      <c r="AS96" s="97">
        <f t="shared" si="43"/>
        <v>0</v>
      </c>
      <c r="AT96" s="278">
        <f t="shared" si="44"/>
        <v>0.75052148518982065</v>
      </c>
      <c r="AU96" s="55"/>
      <c r="AV96" s="277"/>
      <c r="AW96" s="279">
        <v>13</v>
      </c>
      <c r="AX96" s="52">
        <v>211</v>
      </c>
      <c r="AY96" s="105">
        <v>13</v>
      </c>
      <c r="AZ96" s="98">
        <v>189</v>
      </c>
      <c r="BA96" s="279">
        <v>52</v>
      </c>
      <c r="BB96" s="52">
        <v>112</v>
      </c>
      <c r="BC96" s="105">
        <v>52</v>
      </c>
      <c r="BD96" s="98">
        <v>113</v>
      </c>
      <c r="BE96" s="279">
        <v>31</v>
      </c>
      <c r="BF96" s="52">
        <v>18</v>
      </c>
      <c r="BG96" s="105">
        <v>31</v>
      </c>
      <c r="BH96" s="98">
        <v>26</v>
      </c>
      <c r="BI96" s="279">
        <v>42</v>
      </c>
      <c r="BJ96" s="52">
        <v>14</v>
      </c>
      <c r="BK96" s="105">
        <v>45</v>
      </c>
      <c r="BL96" s="98">
        <v>19</v>
      </c>
      <c r="BM96" s="279">
        <v>26</v>
      </c>
      <c r="BN96" s="52">
        <v>11</v>
      </c>
      <c r="BO96" s="105">
        <v>51</v>
      </c>
      <c r="BP96" s="98">
        <v>17</v>
      </c>
      <c r="BQ96" s="279">
        <v>51</v>
      </c>
      <c r="BR96" s="52">
        <v>11</v>
      </c>
      <c r="BS96" s="105">
        <v>42</v>
      </c>
      <c r="BT96" s="98">
        <v>16</v>
      </c>
      <c r="BU96" s="279" t="s">
        <v>751</v>
      </c>
      <c r="BV96" s="52">
        <v>10</v>
      </c>
      <c r="BW96" s="329">
        <v>27</v>
      </c>
      <c r="BX96" s="98">
        <v>14</v>
      </c>
      <c r="BY96" s="279">
        <v>54</v>
      </c>
      <c r="BZ96" s="52">
        <v>10</v>
      </c>
      <c r="CA96" s="105">
        <v>11</v>
      </c>
      <c r="CB96" s="98">
        <v>14</v>
      </c>
      <c r="CC96" s="279">
        <v>45</v>
      </c>
      <c r="CD96" s="52">
        <v>9</v>
      </c>
      <c r="CE96" s="329" t="s">
        <v>734</v>
      </c>
      <c r="CF96" s="98">
        <v>11</v>
      </c>
      <c r="CG96" s="279">
        <v>24</v>
      </c>
      <c r="CH96" s="52">
        <v>7</v>
      </c>
      <c r="CI96" s="105">
        <v>54</v>
      </c>
      <c r="CJ96" s="98">
        <v>10</v>
      </c>
      <c r="CK96" s="281"/>
      <c r="CL96" s="277"/>
      <c r="CM96" s="159">
        <v>21</v>
      </c>
      <c r="CN96" s="277">
        <v>21</v>
      </c>
      <c r="CO96" s="50">
        <f t="shared" si="50"/>
        <v>434</v>
      </c>
      <c r="CP96" s="103">
        <f t="shared" si="51"/>
        <v>10</v>
      </c>
      <c r="CQ96" s="280">
        <f t="shared" si="52"/>
        <v>450</v>
      </c>
      <c r="CR96" s="63">
        <f t="shared" si="53"/>
        <v>10</v>
      </c>
      <c r="CS96" s="279">
        <v>13</v>
      </c>
      <c r="CT96" s="52">
        <v>31</v>
      </c>
      <c r="CU96" s="105">
        <v>13</v>
      </c>
      <c r="CV96" s="98">
        <v>26</v>
      </c>
      <c r="CW96" s="279"/>
      <c r="CX96" s="52"/>
      <c r="CY96" s="105"/>
      <c r="CZ96" s="98"/>
      <c r="DA96" s="279"/>
      <c r="DB96" s="52"/>
      <c r="DC96" s="105"/>
      <c r="DD96" s="98"/>
      <c r="DE96" s="279"/>
      <c r="DF96" s="52"/>
      <c r="DG96" s="105"/>
      <c r="DH96" s="98"/>
      <c r="DI96" s="279"/>
      <c r="DJ96" s="52"/>
      <c r="DK96" s="105"/>
      <c r="DL96" s="98"/>
      <c r="DM96" s="279"/>
      <c r="DN96" s="52"/>
      <c r="DO96" s="105"/>
      <c r="DP96" s="98"/>
      <c r="DQ96" s="279"/>
      <c r="DR96" s="52"/>
      <c r="DS96" s="105"/>
      <c r="DT96" s="98"/>
      <c r="DU96" s="279"/>
      <c r="DV96" s="52"/>
      <c r="DW96" s="105"/>
      <c r="DX96" s="98"/>
      <c r="DY96" s="279"/>
      <c r="DZ96" s="52"/>
      <c r="EA96" s="105"/>
      <c r="EB96" s="98"/>
      <c r="EC96" s="279"/>
      <c r="ED96" s="52"/>
      <c r="EE96" s="105"/>
      <c r="EF96" s="98"/>
      <c r="EG96" s="159"/>
      <c r="EH96" s="277"/>
      <c r="EI96" s="50">
        <f t="shared" si="54"/>
        <v>31</v>
      </c>
      <c r="EJ96" s="103">
        <f t="shared" si="55"/>
        <v>1</v>
      </c>
      <c r="EK96" s="164">
        <f t="shared" si="56"/>
        <v>1</v>
      </c>
      <c r="EL96" s="280">
        <f t="shared" si="57"/>
        <v>26</v>
      </c>
      <c r="EM96" s="63">
        <f t="shared" si="58"/>
        <v>1</v>
      </c>
      <c r="EN96" s="359">
        <f t="shared" si="59"/>
        <v>1</v>
      </c>
      <c r="EO96" s="51">
        <f t="shared" si="60"/>
        <v>465</v>
      </c>
      <c r="EP96" s="361">
        <f t="shared" si="61"/>
        <v>476</v>
      </c>
      <c r="EQ96" s="281"/>
      <c r="ER96" s="277"/>
      <c r="ES96" s="281"/>
      <c r="ET96" s="277"/>
      <c r="EU96" s="281"/>
      <c r="EV96" s="277"/>
      <c r="EW96" s="281"/>
      <c r="EX96" s="277"/>
      <c r="EY96" s="281"/>
      <c r="EZ96" s="277"/>
      <c r="FA96" s="281"/>
      <c r="FB96" s="277"/>
      <c r="FC96" s="281"/>
      <c r="FD96" s="277"/>
      <c r="FE96" s="281"/>
      <c r="FF96" s="277"/>
      <c r="FG96" s="281"/>
      <c r="FH96" s="277"/>
      <c r="FI96" s="281"/>
      <c r="FJ96" s="277"/>
      <c r="FK96" s="50">
        <f t="shared" si="62"/>
        <v>0</v>
      </c>
      <c r="FL96" s="63">
        <f t="shared" si="63"/>
        <v>0</v>
      </c>
      <c r="FM96" s="50">
        <f t="shared" si="45"/>
        <v>2337</v>
      </c>
      <c r="FN96" s="360">
        <f t="shared" si="46"/>
        <v>2397</v>
      </c>
      <c r="FO96" s="3"/>
      <c r="FP96" s="279"/>
      <c r="FQ96" s="52"/>
      <c r="FR96" s="296"/>
      <c r="FS96" s="98"/>
      <c r="FT96" s="467"/>
      <c r="FU96" s="52"/>
      <c r="FV96" s="296"/>
      <c r="FW96" s="98"/>
      <c r="FX96" s="467"/>
      <c r="FY96" s="52"/>
      <c r="FZ96" s="296"/>
      <c r="GA96" s="98"/>
      <c r="GB96" s="467"/>
      <c r="GC96" s="52"/>
      <c r="GD96" s="296"/>
      <c r="GE96" s="98"/>
      <c r="GF96" s="467"/>
      <c r="GG96" s="52"/>
      <c r="GH96" s="296"/>
      <c r="GI96" s="98"/>
      <c r="GJ96" s="467"/>
      <c r="GK96" s="52"/>
      <c r="GL96" s="296"/>
      <c r="GM96" s="464"/>
      <c r="GN96" s="467"/>
      <c r="GO96" s="52"/>
      <c r="GP96" s="296"/>
      <c r="GQ96" s="464"/>
      <c r="GR96" s="467"/>
      <c r="GS96" s="52"/>
      <c r="GT96" s="296"/>
      <c r="GU96" s="464"/>
      <c r="GV96" s="467"/>
      <c r="GW96" s="52"/>
      <c r="GX96" s="296"/>
      <c r="GY96" s="464"/>
      <c r="GZ96" s="467"/>
      <c r="HA96" s="52"/>
      <c r="HB96" s="296"/>
      <c r="HC96" s="3"/>
    </row>
    <row r="97" spans="1:211" s="86" customFormat="1">
      <c r="A97" s="316" t="s">
        <v>346</v>
      </c>
      <c r="B97" s="328" t="s">
        <v>756</v>
      </c>
      <c r="C97" s="316">
        <v>433660</v>
      </c>
      <c r="D97" s="343">
        <v>4</v>
      </c>
      <c r="E97" s="460"/>
      <c r="F97" s="277"/>
      <c r="G97" s="158"/>
      <c r="H97" s="277"/>
      <c r="I97" s="158">
        <v>184</v>
      </c>
      <c r="J97" s="277">
        <v>227</v>
      </c>
      <c r="K97" s="160">
        <f t="shared" si="47"/>
        <v>0.1515650741350906</v>
      </c>
      <c r="L97" s="161">
        <f t="shared" si="40"/>
        <v>0.1686478454680535</v>
      </c>
      <c r="M97" s="54">
        <v>1214</v>
      </c>
      <c r="N97" s="55"/>
      <c r="O97" s="55"/>
      <c r="P97" s="55">
        <v>158</v>
      </c>
      <c r="Q97" s="162">
        <f t="shared" si="48"/>
        <v>158</v>
      </c>
      <c r="R97" s="277">
        <v>1346</v>
      </c>
      <c r="S97" s="277"/>
      <c r="T97" s="277"/>
      <c r="U97" s="277">
        <v>176</v>
      </c>
      <c r="V97" s="97">
        <f t="shared" si="49"/>
        <v>176</v>
      </c>
      <c r="W97" s="279"/>
      <c r="X97" s="52"/>
      <c r="Y97" s="99"/>
      <c r="Z97" s="53"/>
      <c r="AA97" s="228"/>
      <c r="AB97" s="52"/>
      <c r="AC97" s="99"/>
      <c r="AD97" s="53"/>
      <c r="AE97" s="228"/>
      <c r="AF97" s="52"/>
      <c r="AG97" s="99"/>
      <c r="AH97" s="53"/>
      <c r="AI97" s="228"/>
      <c r="AJ97" s="52"/>
      <c r="AK97" s="99"/>
      <c r="AL97" s="53"/>
      <c r="AM97" s="228"/>
      <c r="AN97" s="52"/>
      <c r="AO97" s="99"/>
      <c r="AP97" s="53"/>
      <c r="AQ97" s="50">
        <f t="shared" si="41"/>
        <v>0</v>
      </c>
      <c r="AR97" s="163">
        <f t="shared" si="42"/>
        <v>0.72912912912912908</v>
      </c>
      <c r="AS97" s="97">
        <f t="shared" si="43"/>
        <v>0</v>
      </c>
      <c r="AT97" s="278">
        <f t="shared" si="44"/>
        <v>0.71786666666666665</v>
      </c>
      <c r="AU97" s="55"/>
      <c r="AV97" s="277"/>
      <c r="AW97" s="279">
        <v>13</v>
      </c>
      <c r="AX97" s="52">
        <v>90</v>
      </c>
      <c r="AY97" s="105">
        <v>13</v>
      </c>
      <c r="AZ97" s="98">
        <v>95</v>
      </c>
      <c r="BA97" s="279">
        <v>52</v>
      </c>
      <c r="BB97" s="52">
        <v>79</v>
      </c>
      <c r="BC97" s="105">
        <v>52</v>
      </c>
      <c r="BD97" s="98">
        <v>78</v>
      </c>
      <c r="BE97" s="279">
        <v>44</v>
      </c>
      <c r="BF97" s="52">
        <v>41</v>
      </c>
      <c r="BG97" s="105">
        <v>51</v>
      </c>
      <c r="BH97" s="98">
        <v>57</v>
      </c>
      <c r="BI97" s="279">
        <v>51</v>
      </c>
      <c r="BJ97" s="52">
        <v>36</v>
      </c>
      <c r="BK97" s="105">
        <v>44</v>
      </c>
      <c r="BL97" s="98">
        <v>38</v>
      </c>
      <c r="BM97" s="279">
        <v>23</v>
      </c>
      <c r="BN97" s="52">
        <v>11</v>
      </c>
      <c r="BO97" s="105">
        <v>23</v>
      </c>
      <c r="BP97" s="98">
        <v>15</v>
      </c>
      <c r="BQ97" s="279" t="s">
        <v>751</v>
      </c>
      <c r="BR97" s="52">
        <v>9</v>
      </c>
      <c r="BS97" s="329">
        <v>43</v>
      </c>
      <c r="BT97" s="98">
        <v>15</v>
      </c>
      <c r="BU97" s="279">
        <v>43</v>
      </c>
      <c r="BV97" s="52">
        <v>1</v>
      </c>
      <c r="BW97" s="329" t="s">
        <v>751</v>
      </c>
      <c r="BX97" s="98">
        <v>4</v>
      </c>
      <c r="BY97" s="279"/>
      <c r="BZ97" s="52"/>
      <c r="CA97" s="105"/>
      <c r="CB97" s="98"/>
      <c r="CC97" s="279"/>
      <c r="CD97" s="52"/>
      <c r="CE97" s="105"/>
      <c r="CF97" s="98"/>
      <c r="CG97" s="279"/>
      <c r="CH97" s="52"/>
      <c r="CI97" s="105"/>
      <c r="CJ97" s="98"/>
      <c r="CK97" s="281"/>
      <c r="CL97" s="277"/>
      <c r="CM97" s="159"/>
      <c r="CN97" s="277"/>
      <c r="CO97" s="50">
        <f t="shared" si="50"/>
        <v>267</v>
      </c>
      <c r="CP97" s="103">
        <f t="shared" si="51"/>
        <v>7</v>
      </c>
      <c r="CQ97" s="280">
        <f t="shared" si="52"/>
        <v>302</v>
      </c>
      <c r="CR97" s="63">
        <f t="shared" si="53"/>
        <v>7</v>
      </c>
      <c r="CS97" s="279"/>
      <c r="CT97" s="52"/>
      <c r="CU97" s="105"/>
      <c r="CV97" s="98"/>
      <c r="CW97" s="279"/>
      <c r="CX97" s="52"/>
      <c r="CY97" s="105"/>
      <c r="CZ97" s="98"/>
      <c r="DA97" s="279"/>
      <c r="DB97" s="52"/>
      <c r="DC97" s="105"/>
      <c r="DD97" s="98"/>
      <c r="DE97" s="279"/>
      <c r="DF97" s="52"/>
      <c r="DG97" s="105"/>
      <c r="DH97" s="98"/>
      <c r="DI97" s="279"/>
      <c r="DJ97" s="52"/>
      <c r="DK97" s="105"/>
      <c r="DL97" s="98"/>
      <c r="DM97" s="279"/>
      <c r="DN97" s="52"/>
      <c r="DO97" s="105"/>
      <c r="DP97" s="98"/>
      <c r="DQ97" s="279"/>
      <c r="DR97" s="52"/>
      <c r="DS97" s="105"/>
      <c r="DT97" s="98"/>
      <c r="DU97" s="279"/>
      <c r="DV97" s="52"/>
      <c r="DW97" s="105"/>
      <c r="DX97" s="98"/>
      <c r="DY97" s="279"/>
      <c r="DZ97" s="52"/>
      <c r="EA97" s="105"/>
      <c r="EB97" s="98"/>
      <c r="EC97" s="279"/>
      <c r="ED97" s="52"/>
      <c r="EE97" s="105"/>
      <c r="EF97" s="98"/>
      <c r="EG97" s="159"/>
      <c r="EH97" s="277"/>
      <c r="EI97" s="50">
        <f t="shared" si="54"/>
        <v>0</v>
      </c>
      <c r="EJ97" s="103">
        <f t="shared" si="55"/>
        <v>0</v>
      </c>
      <c r="EK97" s="164">
        <f t="shared" si="56"/>
        <v>0</v>
      </c>
      <c r="EL97" s="280">
        <f t="shared" si="57"/>
        <v>0</v>
      </c>
      <c r="EM97" s="63">
        <f t="shared" si="58"/>
        <v>0</v>
      </c>
      <c r="EN97" s="359">
        <f t="shared" si="59"/>
        <v>0</v>
      </c>
      <c r="EO97" s="51">
        <f t="shared" si="60"/>
        <v>267</v>
      </c>
      <c r="EP97" s="361">
        <f t="shared" si="61"/>
        <v>302</v>
      </c>
      <c r="EQ97" s="281"/>
      <c r="ER97" s="277"/>
      <c r="ES97" s="281"/>
      <c r="ET97" s="277"/>
      <c r="EU97" s="281"/>
      <c r="EV97" s="277"/>
      <c r="EW97" s="281"/>
      <c r="EX97" s="277"/>
      <c r="EY97" s="281"/>
      <c r="EZ97" s="277"/>
      <c r="FA97" s="281"/>
      <c r="FB97" s="277"/>
      <c r="FC97" s="281"/>
      <c r="FD97" s="277"/>
      <c r="FE97" s="281"/>
      <c r="FF97" s="277"/>
      <c r="FG97" s="281"/>
      <c r="FH97" s="277"/>
      <c r="FI97" s="281"/>
      <c r="FJ97" s="277"/>
      <c r="FK97" s="50">
        <f t="shared" si="62"/>
        <v>0</v>
      </c>
      <c r="FL97" s="63">
        <f t="shared" si="63"/>
        <v>0</v>
      </c>
      <c r="FM97" s="50">
        <f t="shared" si="45"/>
        <v>1665</v>
      </c>
      <c r="FN97" s="360">
        <f t="shared" si="46"/>
        <v>1875</v>
      </c>
      <c r="FO97" s="3"/>
      <c r="FP97" s="279"/>
      <c r="FQ97" s="52"/>
      <c r="FR97" s="296"/>
      <c r="FS97" s="98"/>
      <c r="FT97" s="467"/>
      <c r="FU97" s="52"/>
      <c r="FV97" s="296"/>
      <c r="FW97" s="98"/>
      <c r="FX97" s="467"/>
      <c r="FY97" s="52"/>
      <c r="FZ97" s="296"/>
      <c r="GA97" s="98"/>
      <c r="GB97" s="467"/>
      <c r="GC97" s="52"/>
      <c r="GD97" s="296"/>
      <c r="GE97" s="98"/>
      <c r="GF97" s="467"/>
      <c r="GG97" s="52"/>
      <c r="GH97" s="296"/>
      <c r="GI97" s="98"/>
      <c r="GJ97" s="467"/>
      <c r="GK97" s="52"/>
      <c r="GL97" s="296"/>
      <c r="GM97" s="464"/>
      <c r="GN97" s="467"/>
      <c r="GO97" s="52"/>
      <c r="GP97" s="296"/>
      <c r="GQ97" s="464"/>
      <c r="GR97" s="467"/>
      <c r="GS97" s="52"/>
      <c r="GT97" s="296"/>
      <c r="GU97" s="464"/>
      <c r="GV97" s="467"/>
      <c r="GW97" s="52"/>
      <c r="GX97" s="296"/>
      <c r="GY97" s="464"/>
      <c r="GZ97" s="467"/>
      <c r="HA97" s="52"/>
      <c r="HB97" s="296"/>
      <c r="HC97" s="3"/>
    </row>
    <row r="98" spans="1:211" s="86" customFormat="1">
      <c r="A98" s="316" t="s">
        <v>346</v>
      </c>
      <c r="B98" s="328" t="s">
        <v>757</v>
      </c>
      <c r="C98" s="316">
        <v>262129</v>
      </c>
      <c r="D98" s="343">
        <v>6</v>
      </c>
      <c r="E98" s="460"/>
      <c r="F98" s="277"/>
      <c r="G98" s="158"/>
      <c r="H98" s="277"/>
      <c r="I98" s="158"/>
      <c r="J98" s="277">
        <v>0</v>
      </c>
      <c r="K98" s="160">
        <f t="shared" si="47"/>
        <v>0</v>
      </c>
      <c r="L98" s="161">
        <f t="shared" si="40"/>
        <v>0</v>
      </c>
      <c r="M98" s="54">
        <v>168</v>
      </c>
      <c r="N98" s="55"/>
      <c r="O98" s="55"/>
      <c r="P98" s="55"/>
      <c r="Q98" s="162">
        <f t="shared" si="48"/>
        <v>0</v>
      </c>
      <c r="R98" s="277">
        <v>158</v>
      </c>
      <c r="S98" s="277"/>
      <c r="T98" s="277"/>
      <c r="U98" s="277"/>
      <c r="V98" s="97">
        <f t="shared" si="49"/>
        <v>0</v>
      </c>
      <c r="W98" s="279"/>
      <c r="X98" s="52"/>
      <c r="Y98" s="99"/>
      <c r="Z98" s="53"/>
      <c r="AA98" s="228"/>
      <c r="AB98" s="52"/>
      <c r="AC98" s="99"/>
      <c r="AD98" s="53"/>
      <c r="AE98" s="228"/>
      <c r="AF98" s="52"/>
      <c r="AG98" s="99"/>
      <c r="AH98" s="53"/>
      <c r="AI98" s="228"/>
      <c r="AJ98" s="52"/>
      <c r="AK98" s="99"/>
      <c r="AL98" s="53"/>
      <c r="AM98" s="228"/>
      <c r="AN98" s="52"/>
      <c r="AO98" s="99"/>
      <c r="AP98" s="53"/>
      <c r="AQ98" s="50">
        <f t="shared" si="41"/>
        <v>0</v>
      </c>
      <c r="AR98" s="163">
        <f t="shared" si="42"/>
        <v>1</v>
      </c>
      <c r="AS98" s="97">
        <f t="shared" si="43"/>
        <v>0</v>
      </c>
      <c r="AT98" s="278">
        <f t="shared" si="44"/>
        <v>1</v>
      </c>
      <c r="AU98" s="55"/>
      <c r="AV98" s="277"/>
      <c r="AW98" s="279"/>
      <c r="AX98" s="52"/>
      <c r="AY98" s="105"/>
      <c r="AZ98" s="98"/>
      <c r="BA98" s="279"/>
      <c r="BB98" s="52"/>
      <c r="BC98" s="105"/>
      <c r="BD98" s="98"/>
      <c r="BE98" s="279"/>
      <c r="BF98" s="52"/>
      <c r="BG98" s="105"/>
      <c r="BH98" s="98"/>
      <c r="BI98" s="279"/>
      <c r="BJ98" s="52"/>
      <c r="BK98" s="105"/>
      <c r="BL98" s="98"/>
      <c r="BM98" s="279"/>
      <c r="BN98" s="52"/>
      <c r="BO98" s="105"/>
      <c r="BP98" s="98"/>
      <c r="BQ98" s="279"/>
      <c r="BR98" s="52"/>
      <c r="BS98" s="105"/>
      <c r="BT98" s="98"/>
      <c r="BU98" s="279"/>
      <c r="BV98" s="52"/>
      <c r="BW98" s="105"/>
      <c r="BX98" s="98"/>
      <c r="BY98" s="279"/>
      <c r="BZ98" s="52"/>
      <c r="CA98" s="105"/>
      <c r="CB98" s="98"/>
      <c r="CC98" s="279"/>
      <c r="CD98" s="52"/>
      <c r="CE98" s="105"/>
      <c r="CF98" s="98"/>
      <c r="CG98" s="279"/>
      <c r="CH98" s="52"/>
      <c r="CI98" s="105"/>
      <c r="CJ98" s="98"/>
      <c r="CK98" s="281"/>
      <c r="CL98" s="277"/>
      <c r="CM98" s="159"/>
      <c r="CN98" s="277"/>
      <c r="CO98" s="50">
        <f t="shared" si="50"/>
        <v>0</v>
      </c>
      <c r="CP98" s="103">
        <f t="shared" si="51"/>
        <v>0</v>
      </c>
      <c r="CQ98" s="280">
        <f t="shared" si="52"/>
        <v>0</v>
      </c>
      <c r="CR98" s="63">
        <f t="shared" si="53"/>
        <v>0</v>
      </c>
      <c r="CS98" s="279"/>
      <c r="CT98" s="52"/>
      <c r="CU98" s="105"/>
      <c r="CV98" s="98"/>
      <c r="CW98" s="279"/>
      <c r="CX98" s="52"/>
      <c r="CY98" s="105"/>
      <c r="CZ98" s="98"/>
      <c r="DA98" s="279"/>
      <c r="DB98" s="52"/>
      <c r="DC98" s="105"/>
      <c r="DD98" s="98"/>
      <c r="DE98" s="279"/>
      <c r="DF98" s="52"/>
      <c r="DG98" s="105"/>
      <c r="DH98" s="98"/>
      <c r="DI98" s="279"/>
      <c r="DJ98" s="52"/>
      <c r="DK98" s="105"/>
      <c r="DL98" s="98"/>
      <c r="DM98" s="279"/>
      <c r="DN98" s="52"/>
      <c r="DO98" s="105"/>
      <c r="DP98" s="98"/>
      <c r="DQ98" s="279"/>
      <c r="DR98" s="52"/>
      <c r="DS98" s="105"/>
      <c r="DT98" s="98"/>
      <c r="DU98" s="279"/>
      <c r="DV98" s="52"/>
      <c r="DW98" s="105"/>
      <c r="DX98" s="98"/>
      <c r="DY98" s="279"/>
      <c r="DZ98" s="52"/>
      <c r="EA98" s="105"/>
      <c r="EB98" s="98"/>
      <c r="EC98" s="279"/>
      <c r="ED98" s="52"/>
      <c r="EE98" s="105"/>
      <c r="EF98" s="98"/>
      <c r="EG98" s="159"/>
      <c r="EH98" s="277"/>
      <c r="EI98" s="50">
        <f t="shared" si="54"/>
        <v>0</v>
      </c>
      <c r="EJ98" s="103">
        <f t="shared" si="55"/>
        <v>0</v>
      </c>
      <c r="EK98" s="164">
        <f t="shared" si="56"/>
        <v>0</v>
      </c>
      <c r="EL98" s="280">
        <f t="shared" si="57"/>
        <v>0</v>
      </c>
      <c r="EM98" s="63">
        <f t="shared" si="58"/>
        <v>0</v>
      </c>
      <c r="EN98" s="359">
        <f t="shared" si="59"/>
        <v>0</v>
      </c>
      <c r="EO98" s="51">
        <f t="shared" si="60"/>
        <v>0</v>
      </c>
      <c r="EP98" s="361">
        <f t="shared" si="61"/>
        <v>0</v>
      </c>
      <c r="EQ98" s="281"/>
      <c r="ER98" s="277"/>
      <c r="ES98" s="281"/>
      <c r="ET98" s="277"/>
      <c r="EU98" s="281"/>
      <c r="EV98" s="277"/>
      <c r="EW98" s="281"/>
      <c r="EX98" s="277"/>
      <c r="EY98" s="281"/>
      <c r="EZ98" s="277"/>
      <c r="FA98" s="281"/>
      <c r="FB98" s="277"/>
      <c r="FC98" s="281"/>
      <c r="FD98" s="277"/>
      <c r="FE98" s="281"/>
      <c r="FF98" s="277"/>
      <c r="FG98" s="281"/>
      <c r="FH98" s="277"/>
      <c r="FI98" s="281"/>
      <c r="FJ98" s="277"/>
      <c r="FK98" s="50">
        <f t="shared" si="62"/>
        <v>0</v>
      </c>
      <c r="FL98" s="63">
        <f t="shared" si="63"/>
        <v>0</v>
      </c>
      <c r="FM98" s="50">
        <f t="shared" si="45"/>
        <v>168</v>
      </c>
      <c r="FN98" s="360">
        <f t="shared" si="46"/>
        <v>158</v>
      </c>
      <c r="FO98" s="3"/>
      <c r="FP98" s="279"/>
      <c r="FQ98" s="52"/>
      <c r="FR98" s="296"/>
      <c r="FS98" s="98"/>
      <c r="FT98" s="467"/>
      <c r="FU98" s="52"/>
      <c r="FV98" s="296"/>
      <c r="FW98" s="98"/>
      <c r="FX98" s="467"/>
      <c r="FY98" s="52"/>
      <c r="FZ98" s="296"/>
      <c r="GA98" s="98"/>
      <c r="GB98" s="467"/>
      <c r="GC98" s="52"/>
      <c r="GD98" s="296"/>
      <c r="GE98" s="98"/>
      <c r="GF98" s="467"/>
      <c r="GG98" s="52"/>
      <c r="GH98" s="296"/>
      <c r="GI98" s="98"/>
      <c r="GJ98" s="467"/>
      <c r="GK98" s="52"/>
      <c r="GL98" s="296"/>
      <c r="GM98" s="464"/>
      <c r="GN98" s="467"/>
      <c r="GO98" s="52"/>
      <c r="GP98" s="296"/>
      <c r="GQ98" s="464"/>
      <c r="GR98" s="467"/>
      <c r="GS98" s="52"/>
      <c r="GT98" s="296"/>
      <c r="GU98" s="464"/>
      <c r="GV98" s="467"/>
      <c r="GW98" s="52"/>
      <c r="GX98" s="296"/>
      <c r="GY98" s="464"/>
      <c r="GZ98" s="467"/>
      <c r="HA98" s="52"/>
      <c r="HB98" s="296"/>
      <c r="HC98" s="3"/>
    </row>
    <row r="99" spans="1:211" s="86" customFormat="1">
      <c r="A99" s="288" t="s">
        <v>346</v>
      </c>
      <c r="B99" s="289" t="s">
        <v>503</v>
      </c>
      <c r="C99" s="288">
        <v>133021</v>
      </c>
      <c r="D99" s="344">
        <v>7</v>
      </c>
      <c r="E99" s="460">
        <v>287</v>
      </c>
      <c r="F99" s="277">
        <v>193</v>
      </c>
      <c r="G99" s="158">
        <v>8</v>
      </c>
      <c r="H99" s="277">
        <v>7</v>
      </c>
      <c r="I99" s="158">
        <v>303</v>
      </c>
      <c r="J99" s="277">
        <v>299</v>
      </c>
      <c r="K99" s="160">
        <f t="shared" si="47"/>
        <v>18.9375</v>
      </c>
      <c r="L99" s="161">
        <f t="shared" si="40"/>
        <v>49.833333333333336</v>
      </c>
      <c r="M99" s="54">
        <v>16</v>
      </c>
      <c r="N99" s="55">
        <v>16</v>
      </c>
      <c r="O99" s="55"/>
      <c r="P99" s="55"/>
      <c r="Q99" s="162">
        <f t="shared" si="48"/>
        <v>16</v>
      </c>
      <c r="R99" s="277">
        <v>6</v>
      </c>
      <c r="S99" s="277">
        <v>4</v>
      </c>
      <c r="T99" s="277"/>
      <c r="U99" s="277"/>
      <c r="V99" s="97">
        <f t="shared" si="49"/>
        <v>4</v>
      </c>
      <c r="W99" s="279" t="s">
        <v>343</v>
      </c>
      <c r="X99" s="52">
        <v>16</v>
      </c>
      <c r="Y99" s="99" t="s">
        <v>343</v>
      </c>
      <c r="Z99" s="53">
        <v>4</v>
      </c>
      <c r="AA99" s="228"/>
      <c r="AB99" s="52"/>
      <c r="AC99" s="99" t="s">
        <v>731</v>
      </c>
      <c r="AD99" s="53">
        <v>2</v>
      </c>
      <c r="AE99" s="228"/>
      <c r="AF99" s="52"/>
      <c r="AG99" s="99"/>
      <c r="AH99" s="53"/>
      <c r="AI99" s="228"/>
      <c r="AJ99" s="52"/>
      <c r="AK99" s="99"/>
      <c r="AL99" s="53"/>
      <c r="AM99" s="228"/>
      <c r="AN99" s="52"/>
      <c r="AO99" s="99"/>
      <c r="AP99" s="53"/>
      <c r="AQ99" s="50">
        <f t="shared" si="41"/>
        <v>1</v>
      </c>
      <c r="AR99" s="163">
        <f t="shared" si="42"/>
        <v>2.6058631921824105E-2</v>
      </c>
      <c r="AS99" s="97">
        <f t="shared" si="43"/>
        <v>2</v>
      </c>
      <c r="AT99" s="278">
        <f t="shared" si="44"/>
        <v>1.1881188118811881E-2</v>
      </c>
      <c r="AU99" s="55"/>
      <c r="AV99" s="277"/>
      <c r="AW99" s="279"/>
      <c r="AX99" s="52"/>
      <c r="AY99" s="105"/>
      <c r="AZ99" s="98"/>
      <c r="BA99" s="279"/>
      <c r="BB99" s="52"/>
      <c r="BC99" s="105"/>
      <c r="BD99" s="98"/>
      <c r="BE99" s="279"/>
      <c r="BF99" s="52"/>
      <c r="BG99" s="105"/>
      <c r="BH99" s="98"/>
      <c r="BI99" s="279"/>
      <c r="BJ99" s="52"/>
      <c r="BK99" s="105"/>
      <c r="BL99" s="98"/>
      <c r="BM99" s="279"/>
      <c r="BN99" s="52"/>
      <c r="BO99" s="105"/>
      <c r="BP99" s="98"/>
      <c r="BQ99" s="279"/>
      <c r="BR99" s="52"/>
      <c r="BS99" s="105"/>
      <c r="BT99" s="98"/>
      <c r="BU99" s="279"/>
      <c r="BV99" s="52"/>
      <c r="BW99" s="105"/>
      <c r="BX99" s="98"/>
      <c r="BY99" s="279"/>
      <c r="BZ99" s="52"/>
      <c r="CA99" s="105"/>
      <c r="CB99" s="98"/>
      <c r="CC99" s="279"/>
      <c r="CD99" s="52"/>
      <c r="CE99" s="105"/>
      <c r="CF99" s="98"/>
      <c r="CG99" s="279"/>
      <c r="CH99" s="52"/>
      <c r="CI99" s="105"/>
      <c r="CJ99" s="98"/>
      <c r="CK99" s="281"/>
      <c r="CL99" s="277"/>
      <c r="CM99" s="159"/>
      <c r="CN99" s="277"/>
      <c r="CO99" s="50">
        <f t="shared" si="50"/>
        <v>0</v>
      </c>
      <c r="CP99" s="103">
        <f t="shared" si="51"/>
        <v>0</v>
      </c>
      <c r="CQ99" s="280">
        <f t="shared" si="52"/>
        <v>0</v>
      </c>
      <c r="CR99" s="63">
        <f t="shared" si="53"/>
        <v>0</v>
      </c>
      <c r="CS99" s="279"/>
      <c r="CT99" s="52"/>
      <c r="CU99" s="105"/>
      <c r="CV99" s="98"/>
      <c r="CW99" s="279"/>
      <c r="CX99" s="52"/>
      <c r="CY99" s="105"/>
      <c r="CZ99" s="98"/>
      <c r="DA99" s="279"/>
      <c r="DB99" s="52"/>
      <c r="DC99" s="105"/>
      <c r="DD99" s="98"/>
      <c r="DE99" s="279"/>
      <c r="DF99" s="52"/>
      <c r="DG99" s="105"/>
      <c r="DH99" s="98"/>
      <c r="DI99" s="279"/>
      <c r="DJ99" s="52"/>
      <c r="DK99" s="105"/>
      <c r="DL99" s="98"/>
      <c r="DM99" s="279"/>
      <c r="DN99" s="52"/>
      <c r="DO99" s="105"/>
      <c r="DP99" s="98"/>
      <c r="DQ99" s="279"/>
      <c r="DR99" s="52"/>
      <c r="DS99" s="105"/>
      <c r="DT99" s="98"/>
      <c r="DU99" s="279"/>
      <c r="DV99" s="52"/>
      <c r="DW99" s="105"/>
      <c r="DX99" s="98"/>
      <c r="DY99" s="279"/>
      <c r="DZ99" s="52"/>
      <c r="EA99" s="105"/>
      <c r="EB99" s="98"/>
      <c r="EC99" s="279"/>
      <c r="ED99" s="52"/>
      <c r="EE99" s="105"/>
      <c r="EF99" s="98"/>
      <c r="EG99" s="159"/>
      <c r="EH99" s="277"/>
      <c r="EI99" s="50">
        <f t="shared" si="54"/>
        <v>0</v>
      </c>
      <c r="EJ99" s="103">
        <f t="shared" si="55"/>
        <v>0</v>
      </c>
      <c r="EK99" s="164">
        <f t="shared" si="56"/>
        <v>0</v>
      </c>
      <c r="EL99" s="280">
        <f t="shared" si="57"/>
        <v>0</v>
      </c>
      <c r="EM99" s="63">
        <f t="shared" si="58"/>
        <v>0</v>
      </c>
      <c r="EN99" s="359">
        <f t="shared" si="59"/>
        <v>0</v>
      </c>
      <c r="EO99" s="51">
        <f t="shared" si="60"/>
        <v>0</v>
      </c>
      <c r="EP99" s="361">
        <f t="shared" si="61"/>
        <v>0</v>
      </c>
      <c r="EQ99" s="281"/>
      <c r="ER99" s="277"/>
      <c r="ES99" s="281"/>
      <c r="ET99" s="277"/>
      <c r="EU99" s="281"/>
      <c r="EV99" s="277"/>
      <c r="EW99" s="281"/>
      <c r="EX99" s="277"/>
      <c r="EY99" s="281"/>
      <c r="EZ99" s="277"/>
      <c r="FA99" s="281"/>
      <c r="FB99" s="277"/>
      <c r="FC99" s="281"/>
      <c r="FD99" s="277"/>
      <c r="FE99" s="281"/>
      <c r="FF99" s="277"/>
      <c r="FG99" s="281"/>
      <c r="FH99" s="277"/>
      <c r="FI99" s="281"/>
      <c r="FJ99" s="277"/>
      <c r="FK99" s="50">
        <f t="shared" si="62"/>
        <v>0</v>
      </c>
      <c r="FL99" s="63">
        <f t="shared" si="63"/>
        <v>0</v>
      </c>
      <c r="FM99" s="50">
        <f t="shared" si="45"/>
        <v>614</v>
      </c>
      <c r="FN99" s="360">
        <f t="shared" si="46"/>
        <v>505</v>
      </c>
      <c r="FO99" s="3"/>
      <c r="FP99" s="279"/>
      <c r="FQ99" s="52"/>
      <c r="FR99" s="296"/>
      <c r="FS99" s="98"/>
      <c r="FT99" s="467"/>
      <c r="FU99" s="52"/>
      <c r="FV99" s="296"/>
      <c r="FW99" s="98"/>
      <c r="FX99" s="467"/>
      <c r="FY99" s="52"/>
      <c r="FZ99" s="296"/>
      <c r="GA99" s="98"/>
      <c r="GB99" s="467"/>
      <c r="GC99" s="52"/>
      <c r="GD99" s="296"/>
      <c r="GE99" s="98"/>
      <c r="GF99" s="467"/>
      <c r="GG99" s="52"/>
      <c r="GH99" s="296"/>
      <c r="GI99" s="98"/>
      <c r="GJ99" s="467"/>
      <c r="GK99" s="52"/>
      <c r="GL99" s="296"/>
      <c r="GM99" s="464"/>
      <c r="GN99" s="467"/>
      <c r="GO99" s="52"/>
      <c r="GP99" s="296"/>
      <c r="GQ99" s="464"/>
      <c r="GR99" s="467"/>
      <c r="GS99" s="52"/>
      <c r="GT99" s="296"/>
      <c r="GU99" s="464"/>
      <c r="GV99" s="467"/>
      <c r="GW99" s="52"/>
      <c r="GX99" s="296"/>
      <c r="GY99" s="464"/>
      <c r="GZ99" s="467"/>
      <c r="HA99" s="52"/>
      <c r="HB99" s="296"/>
      <c r="HC99" s="3"/>
    </row>
    <row r="100" spans="1:211" s="86" customFormat="1">
      <c r="A100" s="288" t="s">
        <v>346</v>
      </c>
      <c r="B100" s="482" t="s">
        <v>504</v>
      </c>
      <c r="C100" s="483">
        <v>133386</v>
      </c>
      <c r="D100" s="484">
        <v>7</v>
      </c>
      <c r="E100" s="460">
        <v>1014</v>
      </c>
      <c r="F100" s="277">
        <v>1319</v>
      </c>
      <c r="G100" s="158">
        <v>45</v>
      </c>
      <c r="H100" s="277">
        <v>65</v>
      </c>
      <c r="I100" s="158">
        <v>1556</v>
      </c>
      <c r="J100" s="277">
        <v>1906</v>
      </c>
      <c r="K100" s="160">
        <f t="shared" si="47"/>
        <v>45.764705882352942</v>
      </c>
      <c r="L100" s="161">
        <f t="shared" si="40"/>
        <v>19.649484536082475</v>
      </c>
      <c r="M100" s="54">
        <v>34</v>
      </c>
      <c r="N100" s="587">
        <v>0</v>
      </c>
      <c r="O100" s="55"/>
      <c r="P100" s="55"/>
      <c r="Q100" s="162">
        <f t="shared" si="48"/>
        <v>0</v>
      </c>
      <c r="R100" s="277">
        <v>97</v>
      </c>
      <c r="S100" s="277"/>
      <c r="T100" s="277"/>
      <c r="U100" s="277"/>
      <c r="V100" s="97">
        <f t="shared" si="49"/>
        <v>0</v>
      </c>
      <c r="W100" s="279" t="s">
        <v>731</v>
      </c>
      <c r="X100" s="52">
        <v>34</v>
      </c>
      <c r="Y100" s="99" t="s">
        <v>731</v>
      </c>
      <c r="Z100" s="53">
        <v>97</v>
      </c>
      <c r="AA100" s="228"/>
      <c r="AB100" s="52"/>
      <c r="AC100" s="99"/>
      <c r="AD100" s="53"/>
      <c r="AE100" s="228"/>
      <c r="AF100" s="52"/>
      <c r="AG100" s="99"/>
      <c r="AH100" s="53"/>
      <c r="AI100" s="228"/>
      <c r="AJ100" s="52"/>
      <c r="AK100" s="99"/>
      <c r="AL100" s="53"/>
      <c r="AM100" s="228"/>
      <c r="AN100" s="52"/>
      <c r="AO100" s="99"/>
      <c r="AP100" s="53"/>
      <c r="AQ100" s="50">
        <f t="shared" si="41"/>
        <v>1</v>
      </c>
      <c r="AR100" s="163">
        <f t="shared" si="42"/>
        <v>1.2835032087580219E-2</v>
      </c>
      <c r="AS100" s="97">
        <f t="shared" si="43"/>
        <v>1</v>
      </c>
      <c r="AT100" s="278">
        <f t="shared" si="44"/>
        <v>2.8638913492766462E-2</v>
      </c>
      <c r="AU100" s="55"/>
      <c r="AV100" s="277"/>
      <c r="AW100" s="279"/>
      <c r="AX100" s="52"/>
      <c r="AY100" s="105"/>
      <c r="AZ100" s="98"/>
      <c r="BA100" s="279"/>
      <c r="BB100" s="52"/>
      <c r="BC100" s="105"/>
      <c r="BD100" s="98"/>
      <c r="BE100" s="279"/>
      <c r="BF100" s="52"/>
      <c r="BG100" s="105"/>
      <c r="BH100" s="98"/>
      <c r="BI100" s="279"/>
      <c r="BJ100" s="52"/>
      <c r="BK100" s="105"/>
      <c r="BL100" s="98"/>
      <c r="BM100" s="279"/>
      <c r="BN100" s="52"/>
      <c r="BO100" s="105"/>
      <c r="BP100" s="98"/>
      <c r="BQ100" s="279"/>
      <c r="BR100" s="52"/>
      <c r="BS100" s="105"/>
      <c r="BT100" s="98"/>
      <c r="BU100" s="279"/>
      <c r="BV100" s="52"/>
      <c r="BW100" s="105"/>
      <c r="BX100" s="98"/>
      <c r="BY100" s="279"/>
      <c r="BZ100" s="52"/>
      <c r="CA100" s="105"/>
      <c r="CB100" s="98"/>
      <c r="CC100" s="279"/>
      <c r="CD100" s="52"/>
      <c r="CE100" s="105"/>
      <c r="CF100" s="98"/>
      <c r="CG100" s="279"/>
      <c r="CH100" s="52"/>
      <c r="CI100" s="105"/>
      <c r="CJ100" s="98"/>
      <c r="CK100" s="281"/>
      <c r="CL100" s="277"/>
      <c r="CM100" s="159"/>
      <c r="CN100" s="277"/>
      <c r="CO100" s="50">
        <f t="shared" si="50"/>
        <v>0</v>
      </c>
      <c r="CP100" s="103">
        <f t="shared" si="51"/>
        <v>0</v>
      </c>
      <c r="CQ100" s="280">
        <f t="shared" si="52"/>
        <v>0</v>
      </c>
      <c r="CR100" s="63">
        <f t="shared" si="53"/>
        <v>0</v>
      </c>
      <c r="CS100" s="279"/>
      <c r="CT100" s="52"/>
      <c r="CU100" s="105"/>
      <c r="CV100" s="98"/>
      <c r="CW100" s="279"/>
      <c r="CX100" s="52"/>
      <c r="CY100" s="105"/>
      <c r="CZ100" s="98"/>
      <c r="DA100" s="279"/>
      <c r="DB100" s="52"/>
      <c r="DC100" s="105"/>
      <c r="DD100" s="98"/>
      <c r="DE100" s="279"/>
      <c r="DF100" s="52"/>
      <c r="DG100" s="105"/>
      <c r="DH100" s="98"/>
      <c r="DI100" s="279"/>
      <c r="DJ100" s="52"/>
      <c r="DK100" s="105"/>
      <c r="DL100" s="98"/>
      <c r="DM100" s="279"/>
      <c r="DN100" s="52"/>
      <c r="DO100" s="105"/>
      <c r="DP100" s="98"/>
      <c r="DQ100" s="279"/>
      <c r="DR100" s="52"/>
      <c r="DS100" s="105"/>
      <c r="DT100" s="98"/>
      <c r="DU100" s="279"/>
      <c r="DV100" s="52"/>
      <c r="DW100" s="105"/>
      <c r="DX100" s="98"/>
      <c r="DY100" s="279"/>
      <c r="DZ100" s="52"/>
      <c r="EA100" s="105"/>
      <c r="EB100" s="98"/>
      <c r="EC100" s="279"/>
      <c r="ED100" s="52"/>
      <c r="EE100" s="105"/>
      <c r="EF100" s="98"/>
      <c r="EG100" s="159"/>
      <c r="EH100" s="277"/>
      <c r="EI100" s="50">
        <f t="shared" si="54"/>
        <v>0</v>
      </c>
      <c r="EJ100" s="103">
        <f t="shared" si="55"/>
        <v>0</v>
      </c>
      <c r="EK100" s="164">
        <f t="shared" si="56"/>
        <v>0</v>
      </c>
      <c r="EL100" s="280">
        <f t="shared" si="57"/>
        <v>0</v>
      </c>
      <c r="EM100" s="63">
        <f t="shared" si="58"/>
        <v>0</v>
      </c>
      <c r="EN100" s="359">
        <f t="shared" si="59"/>
        <v>0</v>
      </c>
      <c r="EO100" s="51">
        <f t="shared" si="60"/>
        <v>0</v>
      </c>
      <c r="EP100" s="361">
        <f t="shared" si="61"/>
        <v>0</v>
      </c>
      <c r="EQ100" s="281"/>
      <c r="ER100" s="277"/>
      <c r="ES100" s="281"/>
      <c r="ET100" s="277"/>
      <c r="EU100" s="281"/>
      <c r="EV100" s="277"/>
      <c r="EW100" s="281"/>
      <c r="EX100" s="277"/>
      <c r="EY100" s="281"/>
      <c r="EZ100" s="277"/>
      <c r="FA100" s="281"/>
      <c r="FB100" s="277"/>
      <c r="FC100" s="281"/>
      <c r="FD100" s="277"/>
      <c r="FE100" s="281"/>
      <c r="FF100" s="277"/>
      <c r="FG100" s="281"/>
      <c r="FH100" s="277"/>
      <c r="FI100" s="281"/>
      <c r="FJ100" s="277"/>
      <c r="FK100" s="50">
        <f t="shared" si="62"/>
        <v>0</v>
      </c>
      <c r="FL100" s="63">
        <f t="shared" si="63"/>
        <v>0</v>
      </c>
      <c r="FM100" s="50">
        <f t="shared" si="45"/>
        <v>2649</v>
      </c>
      <c r="FN100" s="360">
        <f t="shared" si="46"/>
        <v>3387</v>
      </c>
      <c r="FO100" s="3"/>
      <c r="FP100" s="279"/>
      <c r="FQ100" s="52"/>
      <c r="FR100" s="296"/>
      <c r="FS100" s="98"/>
      <c r="FT100" s="467"/>
      <c r="FU100" s="52"/>
      <c r="FV100" s="296"/>
      <c r="FW100" s="98"/>
      <c r="FX100" s="467"/>
      <c r="FY100" s="52"/>
      <c r="FZ100" s="296"/>
      <c r="GA100" s="98"/>
      <c r="GB100" s="467"/>
      <c r="GC100" s="52"/>
      <c r="GD100" s="296"/>
      <c r="GE100" s="98"/>
      <c r="GF100" s="467"/>
      <c r="GG100" s="52"/>
      <c r="GH100" s="296"/>
      <c r="GI100" s="98"/>
      <c r="GJ100" s="467"/>
      <c r="GK100" s="52"/>
      <c r="GL100" s="296"/>
      <c r="GM100" s="464"/>
      <c r="GN100" s="467"/>
      <c r="GO100" s="52"/>
      <c r="GP100" s="296"/>
      <c r="GQ100" s="464"/>
      <c r="GR100" s="467"/>
      <c r="GS100" s="52"/>
      <c r="GT100" s="296"/>
      <c r="GU100" s="464"/>
      <c r="GV100" s="467"/>
      <c r="GW100" s="52"/>
      <c r="GX100" s="296"/>
      <c r="GY100" s="464"/>
      <c r="GZ100" s="467"/>
      <c r="HA100" s="52"/>
      <c r="HB100" s="296"/>
      <c r="HC100" s="3"/>
    </row>
    <row r="101" spans="1:211" s="86" customFormat="1">
      <c r="A101" s="288" t="s">
        <v>346</v>
      </c>
      <c r="B101" s="289" t="s">
        <v>512</v>
      </c>
      <c r="C101" s="288">
        <v>135717</v>
      </c>
      <c r="D101" s="344">
        <v>7</v>
      </c>
      <c r="E101" s="460">
        <v>2117</v>
      </c>
      <c r="F101" s="277">
        <v>1484</v>
      </c>
      <c r="G101" s="158"/>
      <c r="H101" s="277">
        <v>0</v>
      </c>
      <c r="I101" s="158">
        <v>7047</v>
      </c>
      <c r="J101" s="277">
        <v>7489</v>
      </c>
      <c r="K101" s="160">
        <f t="shared" si="47"/>
        <v>89.202531645569621</v>
      </c>
      <c r="L101" s="161">
        <f t="shared" si="40"/>
        <v>49.926666666666669</v>
      </c>
      <c r="M101" s="54">
        <v>79</v>
      </c>
      <c r="N101" s="55">
        <v>64</v>
      </c>
      <c r="O101" s="55"/>
      <c r="P101" s="55"/>
      <c r="Q101" s="162">
        <f t="shared" si="48"/>
        <v>64</v>
      </c>
      <c r="R101" s="277">
        <v>150</v>
      </c>
      <c r="S101" s="277">
        <v>70</v>
      </c>
      <c r="T101" s="277"/>
      <c r="U101" s="277"/>
      <c r="V101" s="97">
        <f t="shared" si="49"/>
        <v>70</v>
      </c>
      <c r="W101" s="279" t="s">
        <v>343</v>
      </c>
      <c r="X101" s="52">
        <v>64</v>
      </c>
      <c r="Y101" s="99" t="s">
        <v>750</v>
      </c>
      <c r="Z101" s="53">
        <v>80</v>
      </c>
      <c r="AA101" s="228" t="s">
        <v>750</v>
      </c>
      <c r="AB101" s="52">
        <v>15</v>
      </c>
      <c r="AC101" s="99" t="s">
        <v>343</v>
      </c>
      <c r="AD101" s="53">
        <v>70</v>
      </c>
      <c r="AE101" s="228"/>
      <c r="AF101" s="52"/>
      <c r="AG101" s="99"/>
      <c r="AH101" s="53"/>
      <c r="AI101" s="228"/>
      <c r="AJ101" s="52"/>
      <c r="AK101" s="99"/>
      <c r="AL101" s="53"/>
      <c r="AM101" s="228"/>
      <c r="AN101" s="52"/>
      <c r="AO101" s="99"/>
      <c r="AP101" s="53"/>
      <c r="AQ101" s="50">
        <f t="shared" si="41"/>
        <v>2</v>
      </c>
      <c r="AR101" s="163">
        <f t="shared" si="42"/>
        <v>8.5470085470085479E-3</v>
      </c>
      <c r="AS101" s="97">
        <f t="shared" si="43"/>
        <v>2</v>
      </c>
      <c r="AT101" s="278">
        <f t="shared" si="44"/>
        <v>1.6441959881617889E-2</v>
      </c>
      <c r="AU101" s="55"/>
      <c r="AV101" s="277"/>
      <c r="AW101" s="279"/>
      <c r="AX101" s="52"/>
      <c r="AY101" s="105"/>
      <c r="AZ101" s="98"/>
      <c r="BA101" s="279"/>
      <c r="BB101" s="52"/>
      <c r="BC101" s="105"/>
      <c r="BD101" s="98"/>
      <c r="BE101" s="279"/>
      <c r="BF101" s="52"/>
      <c r="BG101" s="105"/>
      <c r="BH101" s="98"/>
      <c r="BI101" s="279"/>
      <c r="BJ101" s="52"/>
      <c r="BK101" s="105"/>
      <c r="BL101" s="98"/>
      <c r="BM101" s="279"/>
      <c r="BN101" s="52"/>
      <c r="BO101" s="105"/>
      <c r="BP101" s="98"/>
      <c r="BQ101" s="279"/>
      <c r="BR101" s="52"/>
      <c r="BS101" s="105"/>
      <c r="BT101" s="98"/>
      <c r="BU101" s="279"/>
      <c r="BV101" s="52"/>
      <c r="BW101" s="105"/>
      <c r="BX101" s="98"/>
      <c r="BY101" s="279"/>
      <c r="BZ101" s="52"/>
      <c r="CA101" s="105"/>
      <c r="CB101" s="98"/>
      <c r="CC101" s="279"/>
      <c r="CD101" s="52"/>
      <c r="CE101" s="105"/>
      <c r="CF101" s="98"/>
      <c r="CG101" s="279"/>
      <c r="CH101" s="52"/>
      <c r="CI101" s="105"/>
      <c r="CJ101" s="98"/>
      <c r="CK101" s="281"/>
      <c r="CL101" s="277"/>
      <c r="CM101" s="159"/>
      <c r="CN101" s="277"/>
      <c r="CO101" s="50">
        <f t="shared" si="50"/>
        <v>0</v>
      </c>
      <c r="CP101" s="103">
        <f t="shared" si="51"/>
        <v>0</v>
      </c>
      <c r="CQ101" s="280">
        <f t="shared" si="52"/>
        <v>0</v>
      </c>
      <c r="CR101" s="63">
        <f t="shared" si="53"/>
        <v>0</v>
      </c>
      <c r="CS101" s="279"/>
      <c r="CT101" s="52"/>
      <c r="CU101" s="105"/>
      <c r="CV101" s="98"/>
      <c r="CW101" s="279"/>
      <c r="CX101" s="52"/>
      <c r="CY101" s="105"/>
      <c r="CZ101" s="98"/>
      <c r="DA101" s="279"/>
      <c r="DB101" s="52"/>
      <c r="DC101" s="105"/>
      <c r="DD101" s="98"/>
      <c r="DE101" s="279"/>
      <c r="DF101" s="52"/>
      <c r="DG101" s="105"/>
      <c r="DH101" s="98"/>
      <c r="DI101" s="279"/>
      <c r="DJ101" s="52"/>
      <c r="DK101" s="105"/>
      <c r="DL101" s="98"/>
      <c r="DM101" s="279"/>
      <c r="DN101" s="52"/>
      <c r="DO101" s="105"/>
      <c r="DP101" s="98"/>
      <c r="DQ101" s="279"/>
      <c r="DR101" s="52"/>
      <c r="DS101" s="105"/>
      <c r="DT101" s="98"/>
      <c r="DU101" s="279"/>
      <c r="DV101" s="52"/>
      <c r="DW101" s="105"/>
      <c r="DX101" s="98"/>
      <c r="DY101" s="279"/>
      <c r="DZ101" s="52"/>
      <c r="EA101" s="105"/>
      <c r="EB101" s="98"/>
      <c r="EC101" s="279"/>
      <c r="ED101" s="52"/>
      <c r="EE101" s="105"/>
      <c r="EF101" s="98"/>
      <c r="EG101" s="159"/>
      <c r="EH101" s="277"/>
      <c r="EI101" s="50">
        <f t="shared" si="54"/>
        <v>0</v>
      </c>
      <c r="EJ101" s="103">
        <f t="shared" si="55"/>
        <v>0</v>
      </c>
      <c r="EK101" s="164">
        <f t="shared" si="56"/>
        <v>0</v>
      </c>
      <c r="EL101" s="280">
        <f t="shared" si="57"/>
        <v>0</v>
      </c>
      <c r="EM101" s="63">
        <f t="shared" si="58"/>
        <v>0</v>
      </c>
      <c r="EN101" s="359">
        <f t="shared" si="59"/>
        <v>0</v>
      </c>
      <c r="EO101" s="51">
        <f t="shared" si="60"/>
        <v>0</v>
      </c>
      <c r="EP101" s="361">
        <f t="shared" si="61"/>
        <v>0</v>
      </c>
      <c r="EQ101" s="281"/>
      <c r="ER101" s="277"/>
      <c r="ES101" s="281"/>
      <c r="ET101" s="277"/>
      <c r="EU101" s="281"/>
      <c r="EV101" s="277"/>
      <c r="EW101" s="281"/>
      <c r="EX101" s="277"/>
      <c r="EY101" s="281"/>
      <c r="EZ101" s="277"/>
      <c r="FA101" s="281"/>
      <c r="FB101" s="277"/>
      <c r="FC101" s="281"/>
      <c r="FD101" s="277"/>
      <c r="FE101" s="281"/>
      <c r="FF101" s="277"/>
      <c r="FG101" s="281"/>
      <c r="FH101" s="277"/>
      <c r="FI101" s="281"/>
      <c r="FJ101" s="277"/>
      <c r="FK101" s="50">
        <f t="shared" si="62"/>
        <v>0</v>
      </c>
      <c r="FL101" s="63">
        <f t="shared" si="63"/>
        <v>0</v>
      </c>
      <c r="FM101" s="50">
        <f t="shared" si="45"/>
        <v>9243</v>
      </c>
      <c r="FN101" s="360">
        <f t="shared" si="46"/>
        <v>9123</v>
      </c>
      <c r="FO101" s="3"/>
      <c r="FP101" s="279"/>
      <c r="FQ101" s="52"/>
      <c r="FR101" s="296"/>
      <c r="FS101" s="98"/>
      <c r="FT101" s="467"/>
      <c r="FU101" s="52"/>
      <c r="FV101" s="296"/>
      <c r="FW101" s="98"/>
      <c r="FX101" s="467"/>
      <c r="FY101" s="52"/>
      <c r="FZ101" s="296"/>
      <c r="GA101" s="98"/>
      <c r="GB101" s="467"/>
      <c r="GC101" s="52"/>
      <c r="GD101" s="296"/>
      <c r="GE101" s="98"/>
      <c r="GF101" s="467"/>
      <c r="GG101" s="52"/>
      <c r="GH101" s="296"/>
      <c r="GI101" s="98"/>
      <c r="GJ101" s="467"/>
      <c r="GK101" s="52"/>
      <c r="GL101" s="296"/>
      <c r="GM101" s="464"/>
      <c r="GN101" s="467"/>
      <c r="GO101" s="52"/>
      <c r="GP101" s="296"/>
      <c r="GQ101" s="464"/>
      <c r="GR101" s="467"/>
      <c r="GS101" s="52"/>
      <c r="GT101" s="296"/>
      <c r="GU101" s="464"/>
      <c r="GV101" s="467"/>
      <c r="GW101" s="52"/>
      <c r="GX101" s="296"/>
      <c r="GY101" s="464"/>
      <c r="GZ101" s="467"/>
      <c r="HA101" s="52"/>
      <c r="HB101" s="296"/>
      <c r="HC101" s="3"/>
    </row>
    <row r="102" spans="1:211" s="86" customFormat="1">
      <c r="A102" s="290" t="s">
        <v>346</v>
      </c>
      <c r="B102" s="289" t="s">
        <v>718</v>
      </c>
      <c r="C102" s="291">
        <v>136233</v>
      </c>
      <c r="D102" s="344">
        <v>7</v>
      </c>
      <c r="E102" s="460">
        <v>479</v>
      </c>
      <c r="F102" s="277">
        <v>380</v>
      </c>
      <c r="G102" s="158"/>
      <c r="H102" s="277">
        <v>0</v>
      </c>
      <c r="I102" s="158">
        <v>1190</v>
      </c>
      <c r="J102" s="277">
        <v>1345</v>
      </c>
      <c r="K102" s="160">
        <f t="shared" si="47"/>
        <v>23.333333333333332</v>
      </c>
      <c r="L102" s="161">
        <f t="shared" si="40"/>
        <v>20.074626865671643</v>
      </c>
      <c r="M102" s="54">
        <v>51</v>
      </c>
      <c r="N102" s="587">
        <v>0</v>
      </c>
      <c r="O102" s="55"/>
      <c r="P102" s="55"/>
      <c r="Q102" s="162">
        <f t="shared" si="48"/>
        <v>0</v>
      </c>
      <c r="R102" s="277">
        <v>67</v>
      </c>
      <c r="S102" s="277"/>
      <c r="T102" s="277"/>
      <c r="U102" s="277"/>
      <c r="V102" s="97">
        <f t="shared" si="49"/>
        <v>0</v>
      </c>
      <c r="W102" s="279" t="s">
        <v>731</v>
      </c>
      <c r="X102" s="52">
        <v>51</v>
      </c>
      <c r="Y102" s="99" t="s">
        <v>731</v>
      </c>
      <c r="Z102" s="53">
        <v>67</v>
      </c>
      <c r="AA102" s="228"/>
      <c r="AB102" s="52"/>
      <c r="AC102" s="99"/>
      <c r="AD102" s="53"/>
      <c r="AE102" s="228"/>
      <c r="AF102" s="52"/>
      <c r="AG102" s="99"/>
      <c r="AH102" s="53"/>
      <c r="AI102" s="228"/>
      <c r="AJ102" s="52"/>
      <c r="AK102" s="99"/>
      <c r="AL102" s="53"/>
      <c r="AM102" s="228"/>
      <c r="AN102" s="52"/>
      <c r="AO102" s="99"/>
      <c r="AP102" s="53"/>
      <c r="AQ102" s="50">
        <f t="shared" si="41"/>
        <v>1</v>
      </c>
      <c r="AR102" s="163">
        <f t="shared" si="42"/>
        <v>2.9651162790697676E-2</v>
      </c>
      <c r="AS102" s="97">
        <f t="shared" si="43"/>
        <v>1</v>
      </c>
      <c r="AT102" s="278">
        <f t="shared" si="44"/>
        <v>3.7388392857142856E-2</v>
      </c>
      <c r="AU102" s="55"/>
      <c r="AV102" s="277"/>
      <c r="AW102" s="279"/>
      <c r="AX102" s="52"/>
      <c r="AY102" s="105"/>
      <c r="AZ102" s="98"/>
      <c r="BA102" s="279"/>
      <c r="BB102" s="52"/>
      <c r="BC102" s="105"/>
      <c r="BD102" s="98"/>
      <c r="BE102" s="279"/>
      <c r="BF102" s="52"/>
      <c r="BG102" s="105"/>
      <c r="BH102" s="98"/>
      <c r="BI102" s="279"/>
      <c r="BJ102" s="52"/>
      <c r="BK102" s="105"/>
      <c r="BL102" s="98"/>
      <c r="BM102" s="279"/>
      <c r="BN102" s="52"/>
      <c r="BO102" s="105"/>
      <c r="BP102" s="98"/>
      <c r="BQ102" s="279"/>
      <c r="BR102" s="52"/>
      <c r="BS102" s="105"/>
      <c r="BT102" s="98"/>
      <c r="BU102" s="279"/>
      <c r="BV102" s="52"/>
      <c r="BW102" s="105"/>
      <c r="BX102" s="98"/>
      <c r="BY102" s="279"/>
      <c r="BZ102" s="52"/>
      <c r="CA102" s="105"/>
      <c r="CB102" s="98"/>
      <c r="CC102" s="279"/>
      <c r="CD102" s="52"/>
      <c r="CE102" s="105"/>
      <c r="CF102" s="98"/>
      <c r="CG102" s="279"/>
      <c r="CH102" s="52"/>
      <c r="CI102" s="105"/>
      <c r="CJ102" s="98"/>
      <c r="CK102" s="281"/>
      <c r="CL102" s="277"/>
      <c r="CM102" s="159"/>
      <c r="CN102" s="277"/>
      <c r="CO102" s="50">
        <f t="shared" si="50"/>
        <v>0</v>
      </c>
      <c r="CP102" s="103">
        <f t="shared" si="51"/>
        <v>0</v>
      </c>
      <c r="CQ102" s="280">
        <f t="shared" si="52"/>
        <v>0</v>
      </c>
      <c r="CR102" s="63">
        <f t="shared" si="53"/>
        <v>0</v>
      </c>
      <c r="CS102" s="279"/>
      <c r="CT102" s="52"/>
      <c r="CU102" s="105"/>
      <c r="CV102" s="98"/>
      <c r="CW102" s="279"/>
      <c r="CX102" s="52"/>
      <c r="CY102" s="105"/>
      <c r="CZ102" s="98"/>
      <c r="DA102" s="279"/>
      <c r="DB102" s="52"/>
      <c r="DC102" s="105"/>
      <c r="DD102" s="98"/>
      <c r="DE102" s="279"/>
      <c r="DF102" s="52"/>
      <c r="DG102" s="105"/>
      <c r="DH102" s="98"/>
      <c r="DI102" s="279"/>
      <c r="DJ102" s="52"/>
      <c r="DK102" s="105"/>
      <c r="DL102" s="98"/>
      <c r="DM102" s="279"/>
      <c r="DN102" s="52"/>
      <c r="DO102" s="105"/>
      <c r="DP102" s="98"/>
      <c r="DQ102" s="279"/>
      <c r="DR102" s="52"/>
      <c r="DS102" s="105"/>
      <c r="DT102" s="98"/>
      <c r="DU102" s="279"/>
      <c r="DV102" s="52"/>
      <c r="DW102" s="105"/>
      <c r="DX102" s="98"/>
      <c r="DY102" s="279"/>
      <c r="DZ102" s="52"/>
      <c r="EA102" s="105"/>
      <c r="EB102" s="98"/>
      <c r="EC102" s="279"/>
      <c r="ED102" s="52"/>
      <c r="EE102" s="105"/>
      <c r="EF102" s="98"/>
      <c r="EG102" s="159"/>
      <c r="EH102" s="277"/>
      <c r="EI102" s="50">
        <f t="shared" si="54"/>
        <v>0</v>
      </c>
      <c r="EJ102" s="103">
        <f t="shared" si="55"/>
        <v>0</v>
      </c>
      <c r="EK102" s="164">
        <f t="shared" si="56"/>
        <v>0</v>
      </c>
      <c r="EL102" s="280">
        <f t="shared" si="57"/>
        <v>0</v>
      </c>
      <c r="EM102" s="63">
        <f t="shared" si="58"/>
        <v>0</v>
      </c>
      <c r="EN102" s="359">
        <f t="shared" si="59"/>
        <v>0</v>
      </c>
      <c r="EO102" s="51">
        <f t="shared" si="60"/>
        <v>0</v>
      </c>
      <c r="EP102" s="361">
        <f t="shared" si="61"/>
        <v>0</v>
      </c>
      <c r="EQ102" s="281"/>
      <c r="ER102" s="277"/>
      <c r="ES102" s="281"/>
      <c r="ET102" s="277"/>
      <c r="EU102" s="281"/>
      <c r="EV102" s="277"/>
      <c r="EW102" s="281"/>
      <c r="EX102" s="277"/>
      <c r="EY102" s="281"/>
      <c r="EZ102" s="277"/>
      <c r="FA102" s="281"/>
      <c r="FB102" s="277"/>
      <c r="FC102" s="281"/>
      <c r="FD102" s="277"/>
      <c r="FE102" s="281"/>
      <c r="FF102" s="277"/>
      <c r="FG102" s="281"/>
      <c r="FH102" s="277"/>
      <c r="FI102" s="281"/>
      <c r="FJ102" s="277"/>
      <c r="FK102" s="50">
        <f t="shared" si="62"/>
        <v>0</v>
      </c>
      <c r="FL102" s="63">
        <f t="shared" si="63"/>
        <v>0</v>
      </c>
      <c r="FM102" s="50">
        <f t="shared" si="45"/>
        <v>1720</v>
      </c>
      <c r="FN102" s="360">
        <f t="shared" si="46"/>
        <v>1792</v>
      </c>
      <c r="FO102" s="3"/>
      <c r="FP102" s="279"/>
      <c r="FQ102" s="52"/>
      <c r="FR102" s="296"/>
      <c r="FS102" s="98"/>
      <c r="FT102" s="467"/>
      <c r="FU102" s="52"/>
      <c r="FV102" s="296"/>
      <c r="FW102" s="98"/>
      <c r="FX102" s="467"/>
      <c r="FY102" s="52"/>
      <c r="FZ102" s="296"/>
      <c r="GA102" s="98"/>
      <c r="GB102" s="467"/>
      <c r="GC102" s="52"/>
      <c r="GD102" s="296"/>
      <c r="GE102" s="98"/>
      <c r="GF102" s="467"/>
      <c r="GG102" s="52"/>
      <c r="GH102" s="296"/>
      <c r="GI102" s="98"/>
      <c r="GJ102" s="467"/>
      <c r="GK102" s="52"/>
      <c r="GL102" s="296"/>
      <c r="GM102" s="464"/>
      <c r="GN102" s="467"/>
      <c r="GO102" s="52"/>
      <c r="GP102" s="296"/>
      <c r="GQ102" s="464"/>
      <c r="GR102" s="467"/>
      <c r="GS102" s="52"/>
      <c r="GT102" s="296"/>
      <c r="GU102" s="464"/>
      <c r="GV102" s="467"/>
      <c r="GW102" s="52"/>
      <c r="GX102" s="296"/>
      <c r="GY102" s="464"/>
      <c r="GZ102" s="467"/>
      <c r="HA102" s="52"/>
      <c r="HB102" s="296"/>
      <c r="HC102" s="3"/>
    </row>
    <row r="103" spans="1:211" s="86" customFormat="1">
      <c r="A103" s="288" t="s">
        <v>346</v>
      </c>
      <c r="B103" s="289" t="s">
        <v>518</v>
      </c>
      <c r="C103" s="288">
        <v>137078</v>
      </c>
      <c r="D103" s="344">
        <v>7</v>
      </c>
      <c r="E103" s="460">
        <v>609</v>
      </c>
      <c r="F103" s="277">
        <v>582</v>
      </c>
      <c r="G103" s="158"/>
      <c r="H103" s="277">
        <v>0</v>
      </c>
      <c r="I103" s="158">
        <v>2812</v>
      </c>
      <c r="J103" s="277">
        <v>2924</v>
      </c>
      <c r="K103" s="160">
        <f t="shared" si="47"/>
        <v>5.5793650793650791</v>
      </c>
      <c r="L103" s="161">
        <f t="shared" si="40"/>
        <v>4.3772455089820363</v>
      </c>
      <c r="M103" s="54">
        <v>504</v>
      </c>
      <c r="N103" s="587">
        <v>179</v>
      </c>
      <c r="O103" s="55"/>
      <c r="P103" s="55"/>
      <c r="Q103" s="162">
        <f t="shared" si="48"/>
        <v>179</v>
      </c>
      <c r="R103" s="277">
        <v>668</v>
      </c>
      <c r="S103" s="277">
        <v>185</v>
      </c>
      <c r="T103" s="277"/>
      <c r="U103" s="277"/>
      <c r="V103" s="97">
        <f t="shared" si="49"/>
        <v>185</v>
      </c>
      <c r="W103" s="279" t="s">
        <v>733</v>
      </c>
      <c r="X103" s="52">
        <v>199</v>
      </c>
      <c r="Y103" s="99" t="s">
        <v>733</v>
      </c>
      <c r="Z103" s="53">
        <v>246</v>
      </c>
      <c r="AA103" s="228" t="s">
        <v>343</v>
      </c>
      <c r="AB103" s="52">
        <v>179</v>
      </c>
      <c r="AC103" s="99" t="s">
        <v>343</v>
      </c>
      <c r="AD103" s="53">
        <v>185</v>
      </c>
      <c r="AE103" s="228" t="s">
        <v>747</v>
      </c>
      <c r="AF103" s="52">
        <v>67</v>
      </c>
      <c r="AG103" s="99" t="s">
        <v>747</v>
      </c>
      <c r="AH103" s="53">
        <v>101</v>
      </c>
      <c r="AI103" s="228" t="s">
        <v>750</v>
      </c>
      <c r="AJ103" s="52">
        <v>28</v>
      </c>
      <c r="AK103" s="99" t="s">
        <v>731</v>
      </c>
      <c r="AL103" s="53">
        <v>73</v>
      </c>
      <c r="AM103" s="228" t="s">
        <v>731</v>
      </c>
      <c r="AN103" s="52">
        <v>22</v>
      </c>
      <c r="AO103" s="99" t="s">
        <v>750</v>
      </c>
      <c r="AP103" s="53">
        <v>38</v>
      </c>
      <c r="AQ103" s="50">
        <f t="shared" si="41"/>
        <v>5</v>
      </c>
      <c r="AR103" s="163">
        <f t="shared" si="42"/>
        <v>0.12840764331210192</v>
      </c>
      <c r="AS103" s="97">
        <f t="shared" si="43"/>
        <v>5</v>
      </c>
      <c r="AT103" s="278">
        <f t="shared" si="44"/>
        <v>0.16003833253473887</v>
      </c>
      <c r="AU103" s="55"/>
      <c r="AV103" s="277"/>
      <c r="AW103" s="279"/>
      <c r="AX103" s="52"/>
      <c r="AY103" s="105"/>
      <c r="AZ103" s="98"/>
      <c r="BA103" s="279"/>
      <c r="BB103" s="52"/>
      <c r="BC103" s="105"/>
      <c r="BD103" s="98"/>
      <c r="BE103" s="279"/>
      <c r="BF103" s="52"/>
      <c r="BG103" s="105"/>
      <c r="BH103" s="98"/>
      <c r="BI103" s="279"/>
      <c r="BJ103" s="52"/>
      <c r="BK103" s="105"/>
      <c r="BL103" s="98"/>
      <c r="BM103" s="279"/>
      <c r="BN103" s="52"/>
      <c r="BO103" s="105"/>
      <c r="BP103" s="98"/>
      <c r="BQ103" s="279"/>
      <c r="BR103" s="52"/>
      <c r="BS103" s="105"/>
      <c r="BT103" s="98"/>
      <c r="BU103" s="279"/>
      <c r="BV103" s="52"/>
      <c r="BW103" s="105"/>
      <c r="BX103" s="98"/>
      <c r="BY103" s="279"/>
      <c r="BZ103" s="52"/>
      <c r="CA103" s="105"/>
      <c r="CB103" s="98"/>
      <c r="CC103" s="279"/>
      <c r="CD103" s="52"/>
      <c r="CE103" s="105"/>
      <c r="CF103" s="98"/>
      <c r="CG103" s="279"/>
      <c r="CH103" s="52"/>
      <c r="CI103" s="105"/>
      <c r="CJ103" s="98"/>
      <c r="CK103" s="281"/>
      <c r="CL103" s="277"/>
      <c r="CM103" s="159"/>
      <c r="CN103" s="277"/>
      <c r="CO103" s="50">
        <f t="shared" si="50"/>
        <v>0</v>
      </c>
      <c r="CP103" s="103">
        <f t="shared" si="51"/>
        <v>0</v>
      </c>
      <c r="CQ103" s="280">
        <f t="shared" si="52"/>
        <v>0</v>
      </c>
      <c r="CR103" s="63">
        <f t="shared" si="53"/>
        <v>0</v>
      </c>
      <c r="CS103" s="279"/>
      <c r="CT103" s="52"/>
      <c r="CU103" s="105"/>
      <c r="CV103" s="98"/>
      <c r="CW103" s="279"/>
      <c r="CX103" s="52"/>
      <c r="CY103" s="105"/>
      <c r="CZ103" s="98"/>
      <c r="DA103" s="279"/>
      <c r="DB103" s="52"/>
      <c r="DC103" s="105"/>
      <c r="DD103" s="98"/>
      <c r="DE103" s="279"/>
      <c r="DF103" s="52"/>
      <c r="DG103" s="105"/>
      <c r="DH103" s="98"/>
      <c r="DI103" s="279"/>
      <c r="DJ103" s="52"/>
      <c r="DK103" s="105"/>
      <c r="DL103" s="98"/>
      <c r="DM103" s="279"/>
      <c r="DN103" s="52"/>
      <c r="DO103" s="105"/>
      <c r="DP103" s="98"/>
      <c r="DQ103" s="279"/>
      <c r="DR103" s="52"/>
      <c r="DS103" s="105"/>
      <c r="DT103" s="98"/>
      <c r="DU103" s="279"/>
      <c r="DV103" s="52"/>
      <c r="DW103" s="105"/>
      <c r="DX103" s="98"/>
      <c r="DY103" s="279"/>
      <c r="DZ103" s="52"/>
      <c r="EA103" s="105"/>
      <c r="EB103" s="98"/>
      <c r="EC103" s="279"/>
      <c r="ED103" s="52"/>
      <c r="EE103" s="105"/>
      <c r="EF103" s="98"/>
      <c r="EG103" s="159"/>
      <c r="EH103" s="277"/>
      <c r="EI103" s="50">
        <f t="shared" si="54"/>
        <v>0</v>
      </c>
      <c r="EJ103" s="103">
        <f t="shared" si="55"/>
        <v>0</v>
      </c>
      <c r="EK103" s="164">
        <f t="shared" si="56"/>
        <v>0</v>
      </c>
      <c r="EL103" s="280">
        <f t="shared" si="57"/>
        <v>0</v>
      </c>
      <c r="EM103" s="63">
        <f t="shared" si="58"/>
        <v>0</v>
      </c>
      <c r="EN103" s="359">
        <f t="shared" si="59"/>
        <v>0</v>
      </c>
      <c r="EO103" s="51">
        <f t="shared" si="60"/>
        <v>0</v>
      </c>
      <c r="EP103" s="361">
        <f t="shared" si="61"/>
        <v>0</v>
      </c>
      <c r="EQ103" s="281"/>
      <c r="ER103" s="277"/>
      <c r="ES103" s="281"/>
      <c r="ET103" s="277"/>
      <c r="EU103" s="281"/>
      <c r="EV103" s="277"/>
      <c r="EW103" s="281"/>
      <c r="EX103" s="277"/>
      <c r="EY103" s="281"/>
      <c r="EZ103" s="277"/>
      <c r="FA103" s="281"/>
      <c r="FB103" s="277"/>
      <c r="FC103" s="281"/>
      <c r="FD103" s="277"/>
      <c r="FE103" s="281"/>
      <c r="FF103" s="277"/>
      <c r="FG103" s="281"/>
      <c r="FH103" s="277"/>
      <c r="FI103" s="281"/>
      <c r="FJ103" s="277"/>
      <c r="FK103" s="50">
        <f t="shared" si="62"/>
        <v>0</v>
      </c>
      <c r="FL103" s="63">
        <f t="shared" si="63"/>
        <v>0</v>
      </c>
      <c r="FM103" s="50">
        <f t="shared" si="45"/>
        <v>3925</v>
      </c>
      <c r="FN103" s="360">
        <f t="shared" si="46"/>
        <v>4174</v>
      </c>
      <c r="FO103" s="3"/>
      <c r="FP103" s="279"/>
      <c r="FQ103" s="52"/>
      <c r="FR103" s="296"/>
      <c r="FS103" s="98"/>
      <c r="FT103" s="467"/>
      <c r="FU103" s="52"/>
      <c r="FV103" s="296"/>
      <c r="FW103" s="98"/>
      <c r="FX103" s="467"/>
      <c r="FY103" s="52"/>
      <c r="FZ103" s="296"/>
      <c r="GA103" s="98"/>
      <c r="GB103" s="467"/>
      <c r="GC103" s="52"/>
      <c r="GD103" s="296"/>
      <c r="GE103" s="98"/>
      <c r="GF103" s="467"/>
      <c r="GG103" s="52"/>
      <c r="GH103" s="296"/>
      <c r="GI103" s="98"/>
      <c r="GJ103" s="467"/>
      <c r="GK103" s="52"/>
      <c r="GL103" s="296"/>
      <c r="GM103" s="464"/>
      <c r="GN103" s="467"/>
      <c r="GO103" s="52"/>
      <c r="GP103" s="296"/>
      <c r="GQ103" s="464"/>
      <c r="GR103" s="467"/>
      <c r="GS103" s="52"/>
      <c r="GT103" s="296"/>
      <c r="GU103" s="464"/>
      <c r="GV103" s="467"/>
      <c r="GW103" s="52"/>
      <c r="GX103" s="296"/>
      <c r="GY103" s="464"/>
      <c r="GZ103" s="467"/>
      <c r="HA103" s="52"/>
      <c r="HB103" s="296"/>
      <c r="HC103" s="3"/>
    </row>
    <row r="104" spans="1:211" s="86" customFormat="1">
      <c r="A104" s="288" t="s">
        <v>346</v>
      </c>
      <c r="B104" s="289" t="s">
        <v>500</v>
      </c>
      <c r="C104" s="288">
        <v>132693</v>
      </c>
      <c r="D104" s="344">
        <v>8</v>
      </c>
      <c r="E104" s="460">
        <v>833</v>
      </c>
      <c r="F104" s="277">
        <v>979</v>
      </c>
      <c r="G104" s="158">
        <v>32</v>
      </c>
      <c r="H104" s="277">
        <v>36</v>
      </c>
      <c r="I104" s="158">
        <v>2104</v>
      </c>
      <c r="J104" s="277">
        <v>2244</v>
      </c>
      <c r="K104" s="160">
        <f t="shared" si="47"/>
        <v>0</v>
      </c>
      <c r="L104" s="161">
        <f t="shared" si="40"/>
        <v>0</v>
      </c>
      <c r="M104" s="54"/>
      <c r="N104" s="55"/>
      <c r="O104" s="55"/>
      <c r="P104" s="55"/>
      <c r="Q104" s="162">
        <f t="shared" si="48"/>
        <v>0</v>
      </c>
      <c r="R104" s="277">
        <v>0</v>
      </c>
      <c r="S104" s="277"/>
      <c r="T104" s="277"/>
      <c r="U104" s="277"/>
      <c r="V104" s="97">
        <f t="shared" si="49"/>
        <v>0</v>
      </c>
      <c r="W104" s="279"/>
      <c r="X104" s="52"/>
      <c r="Y104" s="99"/>
      <c r="Z104" s="53"/>
      <c r="AA104" s="228"/>
      <c r="AB104" s="52"/>
      <c r="AC104" s="99"/>
      <c r="AD104" s="53"/>
      <c r="AE104" s="228"/>
      <c r="AF104" s="52"/>
      <c r="AG104" s="99"/>
      <c r="AH104" s="53"/>
      <c r="AI104" s="228"/>
      <c r="AJ104" s="52"/>
      <c r="AK104" s="99"/>
      <c r="AL104" s="53"/>
      <c r="AM104" s="228"/>
      <c r="AN104" s="52"/>
      <c r="AO104" s="99"/>
      <c r="AP104" s="53"/>
      <c r="AQ104" s="50">
        <f t="shared" si="41"/>
        <v>0</v>
      </c>
      <c r="AR104" s="163">
        <f t="shared" si="42"/>
        <v>0</v>
      </c>
      <c r="AS104" s="97">
        <f t="shared" si="43"/>
        <v>0</v>
      </c>
      <c r="AT104" s="278">
        <f t="shared" si="44"/>
        <v>0</v>
      </c>
      <c r="AU104" s="55"/>
      <c r="AV104" s="277"/>
      <c r="AW104" s="279"/>
      <c r="AX104" s="52"/>
      <c r="AY104" s="105"/>
      <c r="AZ104" s="98"/>
      <c r="BA104" s="279"/>
      <c r="BB104" s="52"/>
      <c r="BC104" s="105"/>
      <c r="BD104" s="98"/>
      <c r="BE104" s="279"/>
      <c r="BF104" s="52"/>
      <c r="BG104" s="105"/>
      <c r="BH104" s="98"/>
      <c r="BI104" s="279"/>
      <c r="BJ104" s="52"/>
      <c r="BK104" s="105"/>
      <c r="BL104" s="98"/>
      <c r="BM104" s="279"/>
      <c r="BN104" s="52"/>
      <c r="BO104" s="105"/>
      <c r="BP104" s="98"/>
      <c r="BQ104" s="279"/>
      <c r="BR104" s="52"/>
      <c r="BS104" s="105"/>
      <c r="BT104" s="98"/>
      <c r="BU104" s="279"/>
      <c r="BV104" s="52"/>
      <c r="BW104" s="105"/>
      <c r="BX104" s="98"/>
      <c r="BY104" s="279"/>
      <c r="BZ104" s="52"/>
      <c r="CA104" s="105"/>
      <c r="CB104" s="98"/>
      <c r="CC104" s="279"/>
      <c r="CD104" s="52"/>
      <c r="CE104" s="105"/>
      <c r="CF104" s="98"/>
      <c r="CG104" s="279"/>
      <c r="CH104" s="52"/>
      <c r="CI104" s="105"/>
      <c r="CJ104" s="98"/>
      <c r="CK104" s="281"/>
      <c r="CL104" s="277"/>
      <c r="CM104" s="159"/>
      <c r="CN104" s="277"/>
      <c r="CO104" s="50">
        <f t="shared" si="50"/>
        <v>0</v>
      </c>
      <c r="CP104" s="103">
        <f t="shared" si="51"/>
        <v>0</v>
      </c>
      <c r="CQ104" s="280">
        <f t="shared" si="52"/>
        <v>0</v>
      </c>
      <c r="CR104" s="63">
        <f t="shared" si="53"/>
        <v>0</v>
      </c>
      <c r="CS104" s="279"/>
      <c r="CT104" s="52"/>
      <c r="CU104" s="105"/>
      <c r="CV104" s="98"/>
      <c r="CW104" s="279"/>
      <c r="CX104" s="52"/>
      <c r="CY104" s="105"/>
      <c r="CZ104" s="98"/>
      <c r="DA104" s="279"/>
      <c r="DB104" s="52"/>
      <c r="DC104" s="105"/>
      <c r="DD104" s="98"/>
      <c r="DE104" s="279"/>
      <c r="DF104" s="52"/>
      <c r="DG104" s="105"/>
      <c r="DH104" s="98"/>
      <c r="DI104" s="279"/>
      <c r="DJ104" s="52"/>
      <c r="DK104" s="105"/>
      <c r="DL104" s="98"/>
      <c r="DM104" s="279"/>
      <c r="DN104" s="52"/>
      <c r="DO104" s="105"/>
      <c r="DP104" s="98"/>
      <c r="DQ104" s="279"/>
      <c r="DR104" s="52"/>
      <c r="DS104" s="105"/>
      <c r="DT104" s="98"/>
      <c r="DU104" s="279"/>
      <c r="DV104" s="52"/>
      <c r="DW104" s="105"/>
      <c r="DX104" s="98"/>
      <c r="DY104" s="279"/>
      <c r="DZ104" s="52"/>
      <c r="EA104" s="105"/>
      <c r="EB104" s="98"/>
      <c r="EC104" s="279"/>
      <c r="ED104" s="52"/>
      <c r="EE104" s="105"/>
      <c r="EF104" s="98"/>
      <c r="EG104" s="159"/>
      <c r="EH104" s="277"/>
      <c r="EI104" s="50">
        <f t="shared" si="54"/>
        <v>0</v>
      </c>
      <c r="EJ104" s="103">
        <f t="shared" si="55"/>
        <v>0</v>
      </c>
      <c r="EK104" s="164">
        <f t="shared" si="56"/>
        <v>0</v>
      </c>
      <c r="EL104" s="280">
        <f t="shared" si="57"/>
        <v>0</v>
      </c>
      <c r="EM104" s="63">
        <f t="shared" si="58"/>
        <v>0</v>
      </c>
      <c r="EN104" s="359">
        <f t="shared" si="59"/>
        <v>0</v>
      </c>
      <c r="EO104" s="51">
        <f t="shared" si="60"/>
        <v>0</v>
      </c>
      <c r="EP104" s="361">
        <f t="shared" si="61"/>
        <v>0</v>
      </c>
      <c r="EQ104" s="281"/>
      <c r="ER104" s="277"/>
      <c r="ES104" s="281"/>
      <c r="ET104" s="277"/>
      <c r="EU104" s="281"/>
      <c r="EV104" s="277"/>
      <c r="EW104" s="281"/>
      <c r="EX104" s="277"/>
      <c r="EY104" s="281"/>
      <c r="EZ104" s="277"/>
      <c r="FA104" s="281"/>
      <c r="FB104" s="277"/>
      <c r="FC104" s="281"/>
      <c r="FD104" s="277"/>
      <c r="FE104" s="281"/>
      <c r="FF104" s="277"/>
      <c r="FG104" s="281"/>
      <c r="FH104" s="277"/>
      <c r="FI104" s="281"/>
      <c r="FJ104" s="277"/>
      <c r="FK104" s="50">
        <f t="shared" si="62"/>
        <v>0</v>
      </c>
      <c r="FL104" s="63">
        <f t="shared" si="63"/>
        <v>0</v>
      </c>
      <c r="FM104" s="50">
        <f t="shared" si="45"/>
        <v>2969</v>
      </c>
      <c r="FN104" s="360">
        <f t="shared" si="46"/>
        <v>3259</v>
      </c>
      <c r="FO104" s="3"/>
      <c r="FP104" s="279"/>
      <c r="FQ104" s="52"/>
      <c r="FR104" s="296"/>
      <c r="FS104" s="98"/>
      <c r="FT104" s="467"/>
      <c r="FU104" s="52"/>
      <c r="FV104" s="296"/>
      <c r="FW104" s="98"/>
      <c r="FX104" s="467"/>
      <c r="FY104" s="52"/>
      <c r="FZ104" s="296"/>
      <c r="GA104" s="98"/>
      <c r="GB104" s="467"/>
      <c r="GC104" s="52"/>
      <c r="GD104" s="296"/>
      <c r="GE104" s="98"/>
      <c r="GF104" s="467"/>
      <c r="GG104" s="52"/>
      <c r="GH104" s="296"/>
      <c r="GI104" s="98"/>
      <c r="GJ104" s="467"/>
      <c r="GK104" s="52"/>
      <c r="GL104" s="296"/>
      <c r="GM104" s="464"/>
      <c r="GN104" s="467"/>
      <c r="GO104" s="52"/>
      <c r="GP104" s="296"/>
      <c r="GQ104" s="464"/>
      <c r="GR104" s="467"/>
      <c r="GS104" s="52"/>
      <c r="GT104" s="296"/>
      <c r="GU104" s="464"/>
      <c r="GV104" s="467"/>
      <c r="GW104" s="52"/>
      <c r="GX104" s="296"/>
      <c r="GY104" s="464"/>
      <c r="GZ104" s="467"/>
      <c r="HA104" s="52"/>
      <c r="HB104" s="296"/>
      <c r="HC104" s="3"/>
    </row>
    <row r="105" spans="1:211" s="86" customFormat="1">
      <c r="A105" s="288" t="s">
        <v>346</v>
      </c>
      <c r="B105" s="289" t="s">
        <v>501</v>
      </c>
      <c r="C105" s="288">
        <v>132709</v>
      </c>
      <c r="D105" s="344">
        <v>8</v>
      </c>
      <c r="E105" s="460">
        <v>1160</v>
      </c>
      <c r="F105" s="277">
        <v>901</v>
      </c>
      <c r="G105" s="158">
        <v>12</v>
      </c>
      <c r="H105" s="277">
        <v>1</v>
      </c>
      <c r="I105" s="158">
        <v>4715</v>
      </c>
      <c r="J105" s="277">
        <v>3898</v>
      </c>
      <c r="K105" s="160">
        <f t="shared" si="47"/>
        <v>0</v>
      </c>
      <c r="L105" s="161">
        <f t="shared" si="40"/>
        <v>0</v>
      </c>
      <c r="M105" s="54"/>
      <c r="N105" s="55"/>
      <c r="O105" s="55"/>
      <c r="P105" s="55"/>
      <c r="Q105" s="162">
        <f t="shared" si="48"/>
        <v>0</v>
      </c>
      <c r="R105" s="277">
        <v>0</v>
      </c>
      <c r="S105" s="277"/>
      <c r="T105" s="277"/>
      <c r="U105" s="277"/>
      <c r="V105" s="97">
        <f t="shared" si="49"/>
        <v>0</v>
      </c>
      <c r="W105" s="279"/>
      <c r="X105" s="52"/>
      <c r="Y105" s="99"/>
      <c r="Z105" s="53"/>
      <c r="AA105" s="228"/>
      <c r="AB105" s="52"/>
      <c r="AC105" s="99"/>
      <c r="AD105" s="53"/>
      <c r="AE105" s="228"/>
      <c r="AF105" s="52"/>
      <c r="AG105" s="99"/>
      <c r="AH105" s="53"/>
      <c r="AI105" s="228"/>
      <c r="AJ105" s="52"/>
      <c r="AK105" s="99"/>
      <c r="AL105" s="53"/>
      <c r="AM105" s="228"/>
      <c r="AN105" s="52"/>
      <c r="AO105" s="99"/>
      <c r="AP105" s="53"/>
      <c r="AQ105" s="50">
        <f t="shared" si="41"/>
        <v>0</v>
      </c>
      <c r="AR105" s="163">
        <f t="shared" si="42"/>
        <v>0</v>
      </c>
      <c r="AS105" s="97">
        <f t="shared" si="43"/>
        <v>0</v>
      </c>
      <c r="AT105" s="278">
        <f t="shared" si="44"/>
        <v>0</v>
      </c>
      <c r="AU105" s="55"/>
      <c r="AV105" s="277"/>
      <c r="AW105" s="279"/>
      <c r="AX105" s="52"/>
      <c r="AY105" s="105"/>
      <c r="AZ105" s="98"/>
      <c r="BA105" s="279"/>
      <c r="BB105" s="52"/>
      <c r="BC105" s="105"/>
      <c r="BD105" s="98"/>
      <c r="BE105" s="279"/>
      <c r="BF105" s="52"/>
      <c r="BG105" s="105"/>
      <c r="BH105" s="98"/>
      <c r="BI105" s="279"/>
      <c r="BJ105" s="52"/>
      <c r="BK105" s="105"/>
      <c r="BL105" s="98"/>
      <c r="BM105" s="279"/>
      <c r="BN105" s="52"/>
      <c r="BO105" s="105"/>
      <c r="BP105" s="98"/>
      <c r="BQ105" s="279"/>
      <c r="BR105" s="52"/>
      <c r="BS105" s="105"/>
      <c r="BT105" s="98"/>
      <c r="BU105" s="279"/>
      <c r="BV105" s="52"/>
      <c r="BW105" s="105"/>
      <c r="BX105" s="98"/>
      <c r="BY105" s="279"/>
      <c r="BZ105" s="52"/>
      <c r="CA105" s="105"/>
      <c r="CB105" s="98"/>
      <c r="CC105" s="279"/>
      <c r="CD105" s="52"/>
      <c r="CE105" s="105"/>
      <c r="CF105" s="98"/>
      <c r="CG105" s="279"/>
      <c r="CH105" s="52"/>
      <c r="CI105" s="105"/>
      <c r="CJ105" s="98"/>
      <c r="CK105" s="281"/>
      <c r="CL105" s="277"/>
      <c r="CM105" s="159"/>
      <c r="CN105" s="277"/>
      <c r="CO105" s="50">
        <f t="shared" si="50"/>
        <v>0</v>
      </c>
      <c r="CP105" s="103">
        <f t="shared" si="51"/>
        <v>0</v>
      </c>
      <c r="CQ105" s="280">
        <f t="shared" si="52"/>
        <v>0</v>
      </c>
      <c r="CR105" s="63">
        <f t="shared" si="53"/>
        <v>0</v>
      </c>
      <c r="CS105" s="279"/>
      <c r="CT105" s="52"/>
      <c r="CU105" s="105"/>
      <c r="CV105" s="98"/>
      <c r="CW105" s="279"/>
      <c r="CX105" s="52"/>
      <c r="CY105" s="105"/>
      <c r="CZ105" s="98"/>
      <c r="DA105" s="279"/>
      <c r="DB105" s="52"/>
      <c r="DC105" s="105"/>
      <c r="DD105" s="98"/>
      <c r="DE105" s="279"/>
      <c r="DF105" s="52"/>
      <c r="DG105" s="105"/>
      <c r="DH105" s="98"/>
      <c r="DI105" s="279"/>
      <c r="DJ105" s="52"/>
      <c r="DK105" s="105"/>
      <c r="DL105" s="98"/>
      <c r="DM105" s="279"/>
      <c r="DN105" s="52"/>
      <c r="DO105" s="105"/>
      <c r="DP105" s="98"/>
      <c r="DQ105" s="279"/>
      <c r="DR105" s="52"/>
      <c r="DS105" s="105"/>
      <c r="DT105" s="98"/>
      <c r="DU105" s="279"/>
      <c r="DV105" s="52"/>
      <c r="DW105" s="105"/>
      <c r="DX105" s="98"/>
      <c r="DY105" s="279"/>
      <c r="DZ105" s="52"/>
      <c r="EA105" s="105"/>
      <c r="EB105" s="98"/>
      <c r="EC105" s="279"/>
      <c r="ED105" s="52"/>
      <c r="EE105" s="105"/>
      <c r="EF105" s="98"/>
      <c r="EG105" s="159"/>
      <c r="EH105" s="277"/>
      <c r="EI105" s="50">
        <f t="shared" si="54"/>
        <v>0</v>
      </c>
      <c r="EJ105" s="103">
        <f t="shared" si="55"/>
        <v>0</v>
      </c>
      <c r="EK105" s="164">
        <f t="shared" si="56"/>
        <v>0</v>
      </c>
      <c r="EL105" s="280">
        <f t="shared" si="57"/>
        <v>0</v>
      </c>
      <c r="EM105" s="63">
        <f t="shared" si="58"/>
        <v>0</v>
      </c>
      <c r="EN105" s="359">
        <f t="shared" si="59"/>
        <v>0</v>
      </c>
      <c r="EO105" s="51">
        <f t="shared" si="60"/>
        <v>0</v>
      </c>
      <c r="EP105" s="361">
        <f t="shared" si="61"/>
        <v>0</v>
      </c>
      <c r="EQ105" s="281"/>
      <c r="ER105" s="277"/>
      <c r="ES105" s="281"/>
      <c r="ET105" s="277"/>
      <c r="EU105" s="281"/>
      <c r="EV105" s="277"/>
      <c r="EW105" s="281"/>
      <c r="EX105" s="277"/>
      <c r="EY105" s="281"/>
      <c r="EZ105" s="277"/>
      <c r="FA105" s="281"/>
      <c r="FB105" s="277"/>
      <c r="FC105" s="281"/>
      <c r="FD105" s="277"/>
      <c r="FE105" s="281"/>
      <c r="FF105" s="277"/>
      <c r="FG105" s="281"/>
      <c r="FH105" s="277"/>
      <c r="FI105" s="281"/>
      <c r="FJ105" s="277"/>
      <c r="FK105" s="50">
        <f t="shared" si="62"/>
        <v>0</v>
      </c>
      <c r="FL105" s="63">
        <f t="shared" si="63"/>
        <v>0</v>
      </c>
      <c r="FM105" s="50">
        <f t="shared" si="45"/>
        <v>5887</v>
      </c>
      <c r="FN105" s="360">
        <f t="shared" si="46"/>
        <v>4800</v>
      </c>
      <c r="FO105" s="3"/>
      <c r="FP105" s="279"/>
      <c r="FQ105" s="52"/>
      <c r="FR105" s="296"/>
      <c r="FS105" s="98"/>
      <c r="FT105" s="467"/>
      <c r="FU105" s="52"/>
      <c r="FV105" s="296"/>
      <c r="FW105" s="98"/>
      <c r="FX105" s="467"/>
      <c r="FY105" s="52"/>
      <c r="FZ105" s="296"/>
      <c r="GA105" s="98"/>
      <c r="GB105" s="467"/>
      <c r="GC105" s="52"/>
      <c r="GD105" s="296"/>
      <c r="GE105" s="98"/>
      <c r="GF105" s="467"/>
      <c r="GG105" s="52"/>
      <c r="GH105" s="296"/>
      <c r="GI105" s="98"/>
      <c r="GJ105" s="467"/>
      <c r="GK105" s="52"/>
      <c r="GL105" s="296"/>
      <c r="GM105" s="464"/>
      <c r="GN105" s="467"/>
      <c r="GO105" s="52"/>
      <c r="GP105" s="296"/>
      <c r="GQ105" s="464"/>
      <c r="GR105" s="467"/>
      <c r="GS105" s="52"/>
      <c r="GT105" s="296"/>
      <c r="GU105" s="464"/>
      <c r="GV105" s="467"/>
      <c r="GW105" s="52"/>
      <c r="GX105" s="296"/>
      <c r="GY105" s="464"/>
      <c r="GZ105" s="467"/>
      <c r="HA105" s="52"/>
      <c r="HB105" s="296"/>
      <c r="HC105" s="3"/>
    </row>
    <row r="106" spans="1:211" s="86" customFormat="1">
      <c r="A106" s="288" t="s">
        <v>346</v>
      </c>
      <c r="B106" s="364" t="s">
        <v>287</v>
      </c>
      <c r="C106" s="288">
        <v>133508</v>
      </c>
      <c r="D106" s="344">
        <v>8</v>
      </c>
      <c r="E106" s="460">
        <v>262</v>
      </c>
      <c r="F106" s="277">
        <v>344</v>
      </c>
      <c r="G106" s="158"/>
      <c r="H106" s="277">
        <v>0</v>
      </c>
      <c r="I106" s="158">
        <v>1269</v>
      </c>
      <c r="J106" s="277">
        <v>1532</v>
      </c>
      <c r="K106" s="160">
        <f t="shared" si="47"/>
        <v>253.8</v>
      </c>
      <c r="L106" s="161">
        <f t="shared" si="40"/>
        <v>117.84615384615384</v>
      </c>
      <c r="M106" s="54">
        <v>5</v>
      </c>
      <c r="N106" s="587">
        <v>0</v>
      </c>
      <c r="O106" s="55"/>
      <c r="P106" s="55"/>
      <c r="Q106" s="162">
        <f t="shared" si="48"/>
        <v>0</v>
      </c>
      <c r="R106" s="277">
        <v>13</v>
      </c>
      <c r="S106" s="277"/>
      <c r="T106" s="277"/>
      <c r="U106" s="277"/>
      <c r="V106" s="97">
        <f t="shared" si="49"/>
        <v>0</v>
      </c>
      <c r="W106" s="279" t="s">
        <v>750</v>
      </c>
      <c r="X106" s="52">
        <v>5</v>
      </c>
      <c r="Y106" s="99" t="s">
        <v>750</v>
      </c>
      <c r="Z106" s="53">
        <v>13</v>
      </c>
      <c r="AA106" s="228"/>
      <c r="AB106" s="52"/>
      <c r="AC106" s="99"/>
      <c r="AD106" s="53"/>
      <c r="AE106" s="228"/>
      <c r="AF106" s="52"/>
      <c r="AG106" s="99"/>
      <c r="AH106" s="53"/>
      <c r="AI106" s="228"/>
      <c r="AJ106" s="52"/>
      <c r="AK106" s="99"/>
      <c r="AL106" s="53"/>
      <c r="AM106" s="228"/>
      <c r="AN106" s="52"/>
      <c r="AO106" s="99"/>
      <c r="AP106" s="53"/>
      <c r="AQ106" s="50">
        <f t="shared" si="41"/>
        <v>1</v>
      </c>
      <c r="AR106" s="163">
        <f t="shared" si="42"/>
        <v>3.2552083333333335E-3</v>
      </c>
      <c r="AS106" s="97">
        <f t="shared" si="43"/>
        <v>1</v>
      </c>
      <c r="AT106" s="278">
        <f t="shared" si="44"/>
        <v>6.8819481206987823E-3</v>
      </c>
      <c r="AU106" s="55"/>
      <c r="AV106" s="277"/>
      <c r="AW106" s="279"/>
      <c r="AX106" s="52"/>
      <c r="AY106" s="105"/>
      <c r="AZ106" s="98"/>
      <c r="BA106" s="279"/>
      <c r="BB106" s="52"/>
      <c r="BC106" s="105"/>
      <c r="BD106" s="98"/>
      <c r="BE106" s="279"/>
      <c r="BF106" s="52"/>
      <c r="BG106" s="105"/>
      <c r="BH106" s="98"/>
      <c r="BI106" s="279"/>
      <c r="BJ106" s="52"/>
      <c r="BK106" s="105"/>
      <c r="BL106" s="98"/>
      <c r="BM106" s="279"/>
      <c r="BN106" s="52"/>
      <c r="BO106" s="105"/>
      <c r="BP106" s="98"/>
      <c r="BQ106" s="279"/>
      <c r="BR106" s="52"/>
      <c r="BS106" s="105"/>
      <c r="BT106" s="98"/>
      <c r="BU106" s="279"/>
      <c r="BV106" s="52"/>
      <c r="BW106" s="105"/>
      <c r="BX106" s="98"/>
      <c r="BY106" s="279"/>
      <c r="BZ106" s="52"/>
      <c r="CA106" s="105"/>
      <c r="CB106" s="98"/>
      <c r="CC106" s="279"/>
      <c r="CD106" s="52"/>
      <c r="CE106" s="105"/>
      <c r="CF106" s="98"/>
      <c r="CG106" s="279"/>
      <c r="CH106" s="52"/>
      <c r="CI106" s="105"/>
      <c r="CJ106" s="98"/>
      <c r="CK106" s="281"/>
      <c r="CL106" s="277"/>
      <c r="CM106" s="159"/>
      <c r="CN106" s="277"/>
      <c r="CO106" s="50">
        <f t="shared" si="50"/>
        <v>0</v>
      </c>
      <c r="CP106" s="103">
        <f t="shared" si="51"/>
        <v>0</v>
      </c>
      <c r="CQ106" s="280">
        <f t="shared" si="52"/>
        <v>0</v>
      </c>
      <c r="CR106" s="63">
        <f t="shared" si="53"/>
        <v>0</v>
      </c>
      <c r="CS106" s="279"/>
      <c r="CT106" s="52"/>
      <c r="CU106" s="105"/>
      <c r="CV106" s="98"/>
      <c r="CW106" s="279"/>
      <c r="CX106" s="52"/>
      <c r="CY106" s="105"/>
      <c r="CZ106" s="98"/>
      <c r="DA106" s="279"/>
      <c r="DB106" s="52"/>
      <c r="DC106" s="105"/>
      <c r="DD106" s="98"/>
      <c r="DE106" s="279"/>
      <c r="DF106" s="52"/>
      <c r="DG106" s="105"/>
      <c r="DH106" s="98"/>
      <c r="DI106" s="279"/>
      <c r="DJ106" s="52"/>
      <c r="DK106" s="105"/>
      <c r="DL106" s="98"/>
      <c r="DM106" s="279"/>
      <c r="DN106" s="52"/>
      <c r="DO106" s="105"/>
      <c r="DP106" s="98"/>
      <c r="DQ106" s="279"/>
      <c r="DR106" s="52"/>
      <c r="DS106" s="105"/>
      <c r="DT106" s="98"/>
      <c r="DU106" s="279"/>
      <c r="DV106" s="52"/>
      <c r="DW106" s="105"/>
      <c r="DX106" s="98"/>
      <c r="DY106" s="279"/>
      <c r="DZ106" s="52"/>
      <c r="EA106" s="105"/>
      <c r="EB106" s="98"/>
      <c r="EC106" s="279"/>
      <c r="ED106" s="52"/>
      <c r="EE106" s="105"/>
      <c r="EF106" s="98"/>
      <c r="EG106" s="159"/>
      <c r="EH106" s="277"/>
      <c r="EI106" s="50">
        <f t="shared" si="54"/>
        <v>0</v>
      </c>
      <c r="EJ106" s="103">
        <f t="shared" si="55"/>
        <v>0</v>
      </c>
      <c r="EK106" s="164">
        <f t="shared" si="56"/>
        <v>0</v>
      </c>
      <c r="EL106" s="280">
        <f t="shared" si="57"/>
        <v>0</v>
      </c>
      <c r="EM106" s="63">
        <f t="shared" si="58"/>
        <v>0</v>
      </c>
      <c r="EN106" s="359">
        <f t="shared" si="59"/>
        <v>0</v>
      </c>
      <c r="EO106" s="51">
        <f t="shared" si="60"/>
        <v>0</v>
      </c>
      <c r="EP106" s="361">
        <f t="shared" si="61"/>
        <v>0</v>
      </c>
      <c r="EQ106" s="281"/>
      <c r="ER106" s="277"/>
      <c r="ES106" s="281"/>
      <c r="ET106" s="277"/>
      <c r="EU106" s="281"/>
      <c r="EV106" s="277"/>
      <c r="EW106" s="281"/>
      <c r="EX106" s="277"/>
      <c r="EY106" s="281"/>
      <c r="EZ106" s="277"/>
      <c r="FA106" s="281"/>
      <c r="FB106" s="277"/>
      <c r="FC106" s="281"/>
      <c r="FD106" s="277"/>
      <c r="FE106" s="281"/>
      <c r="FF106" s="277"/>
      <c r="FG106" s="281"/>
      <c r="FH106" s="277"/>
      <c r="FI106" s="281"/>
      <c r="FJ106" s="277"/>
      <c r="FK106" s="50">
        <f t="shared" si="62"/>
        <v>0</v>
      </c>
      <c r="FL106" s="63">
        <f t="shared" si="63"/>
        <v>0</v>
      </c>
      <c r="FM106" s="50">
        <f t="shared" si="45"/>
        <v>1536</v>
      </c>
      <c r="FN106" s="360">
        <f t="shared" si="46"/>
        <v>1889</v>
      </c>
      <c r="FO106" s="3"/>
      <c r="FP106" s="279"/>
      <c r="FQ106" s="52"/>
      <c r="FR106" s="296"/>
      <c r="FS106" s="98"/>
      <c r="FT106" s="467"/>
      <c r="FU106" s="52"/>
      <c r="FV106" s="296"/>
      <c r="FW106" s="98"/>
      <c r="FX106" s="467"/>
      <c r="FY106" s="52"/>
      <c r="FZ106" s="296"/>
      <c r="GA106" s="98"/>
      <c r="GB106" s="467"/>
      <c r="GC106" s="52"/>
      <c r="GD106" s="296"/>
      <c r="GE106" s="98"/>
      <c r="GF106" s="467"/>
      <c r="GG106" s="52"/>
      <c r="GH106" s="296"/>
      <c r="GI106" s="98"/>
      <c r="GJ106" s="467"/>
      <c r="GK106" s="52"/>
      <c r="GL106" s="296"/>
      <c r="GM106" s="464"/>
      <c r="GN106" s="467"/>
      <c r="GO106" s="52"/>
      <c r="GP106" s="296"/>
      <c r="GQ106" s="464"/>
      <c r="GR106" s="467"/>
      <c r="GS106" s="52"/>
      <c r="GT106" s="296"/>
      <c r="GU106" s="464"/>
      <c r="GV106" s="467"/>
      <c r="GW106" s="52"/>
      <c r="GX106" s="296"/>
      <c r="GY106" s="464"/>
      <c r="GZ106" s="467"/>
      <c r="HA106" s="52"/>
      <c r="HB106" s="296"/>
      <c r="HC106" s="3"/>
    </row>
    <row r="107" spans="1:211" s="86" customFormat="1">
      <c r="A107" s="288" t="s">
        <v>346</v>
      </c>
      <c r="B107" s="289" t="s">
        <v>505</v>
      </c>
      <c r="C107" s="288">
        <v>133702</v>
      </c>
      <c r="D107" s="344">
        <v>8</v>
      </c>
      <c r="E107" s="460">
        <v>2967</v>
      </c>
      <c r="F107" s="277">
        <v>2293</v>
      </c>
      <c r="G107" s="158">
        <v>9</v>
      </c>
      <c r="H107" s="277">
        <v>4</v>
      </c>
      <c r="I107" s="158">
        <v>3234</v>
      </c>
      <c r="J107" s="277">
        <v>3206</v>
      </c>
      <c r="K107" s="160">
        <f t="shared" si="47"/>
        <v>0</v>
      </c>
      <c r="L107" s="161">
        <f t="shared" si="40"/>
        <v>1068.6666666666667</v>
      </c>
      <c r="M107" s="54"/>
      <c r="N107" s="55"/>
      <c r="O107" s="55"/>
      <c r="P107" s="55"/>
      <c r="Q107" s="162">
        <f t="shared" si="48"/>
        <v>0</v>
      </c>
      <c r="R107" s="277">
        <v>3</v>
      </c>
      <c r="S107" s="277"/>
      <c r="T107" s="277"/>
      <c r="U107" s="277"/>
      <c r="V107" s="97">
        <f t="shared" si="49"/>
        <v>0</v>
      </c>
      <c r="W107" s="279"/>
      <c r="X107" s="52"/>
      <c r="Y107" s="99" t="s">
        <v>750</v>
      </c>
      <c r="Z107" s="53">
        <v>3</v>
      </c>
      <c r="AA107" s="228"/>
      <c r="AB107" s="52"/>
      <c r="AC107" s="99"/>
      <c r="AD107" s="53"/>
      <c r="AE107" s="228"/>
      <c r="AF107" s="52"/>
      <c r="AG107" s="99"/>
      <c r="AH107" s="53"/>
      <c r="AI107" s="228"/>
      <c r="AJ107" s="52"/>
      <c r="AK107" s="99"/>
      <c r="AL107" s="53"/>
      <c r="AM107" s="228"/>
      <c r="AN107" s="52"/>
      <c r="AO107" s="99"/>
      <c r="AP107" s="53"/>
      <c r="AQ107" s="50">
        <f t="shared" si="41"/>
        <v>0</v>
      </c>
      <c r="AR107" s="163">
        <f t="shared" si="42"/>
        <v>0</v>
      </c>
      <c r="AS107" s="97">
        <f t="shared" si="43"/>
        <v>1</v>
      </c>
      <c r="AT107" s="278">
        <f t="shared" si="44"/>
        <v>5.4486015256084274E-4</v>
      </c>
      <c r="AU107" s="55"/>
      <c r="AV107" s="277"/>
      <c r="AW107" s="279"/>
      <c r="AX107" s="52"/>
      <c r="AY107" s="105"/>
      <c r="AZ107" s="98"/>
      <c r="BA107" s="279"/>
      <c r="BB107" s="52"/>
      <c r="BC107" s="105"/>
      <c r="BD107" s="98"/>
      <c r="BE107" s="279"/>
      <c r="BF107" s="52"/>
      <c r="BG107" s="105"/>
      <c r="BH107" s="98"/>
      <c r="BI107" s="279"/>
      <c r="BJ107" s="52"/>
      <c r="BK107" s="105"/>
      <c r="BL107" s="98"/>
      <c r="BM107" s="279"/>
      <c r="BN107" s="52"/>
      <c r="BO107" s="105"/>
      <c r="BP107" s="98"/>
      <c r="BQ107" s="279"/>
      <c r="BR107" s="52"/>
      <c r="BS107" s="105"/>
      <c r="BT107" s="98"/>
      <c r="BU107" s="279"/>
      <c r="BV107" s="52"/>
      <c r="BW107" s="105"/>
      <c r="BX107" s="98"/>
      <c r="BY107" s="279"/>
      <c r="BZ107" s="52"/>
      <c r="CA107" s="105"/>
      <c r="CB107" s="98"/>
      <c r="CC107" s="279"/>
      <c r="CD107" s="52"/>
      <c r="CE107" s="105"/>
      <c r="CF107" s="98"/>
      <c r="CG107" s="279"/>
      <c r="CH107" s="52"/>
      <c r="CI107" s="105"/>
      <c r="CJ107" s="98"/>
      <c r="CK107" s="281"/>
      <c r="CL107" s="277"/>
      <c r="CM107" s="159"/>
      <c r="CN107" s="277"/>
      <c r="CO107" s="50">
        <f t="shared" si="50"/>
        <v>0</v>
      </c>
      <c r="CP107" s="103">
        <f t="shared" si="51"/>
        <v>0</v>
      </c>
      <c r="CQ107" s="280">
        <f t="shared" si="52"/>
        <v>0</v>
      </c>
      <c r="CR107" s="63">
        <f t="shared" si="53"/>
        <v>0</v>
      </c>
      <c r="CS107" s="279"/>
      <c r="CT107" s="52"/>
      <c r="CU107" s="105"/>
      <c r="CV107" s="98"/>
      <c r="CW107" s="279"/>
      <c r="CX107" s="52"/>
      <c r="CY107" s="105"/>
      <c r="CZ107" s="98"/>
      <c r="DA107" s="279"/>
      <c r="DB107" s="52"/>
      <c r="DC107" s="105"/>
      <c r="DD107" s="98"/>
      <c r="DE107" s="279"/>
      <c r="DF107" s="52"/>
      <c r="DG107" s="105"/>
      <c r="DH107" s="98"/>
      <c r="DI107" s="279"/>
      <c r="DJ107" s="52"/>
      <c r="DK107" s="105"/>
      <c r="DL107" s="98"/>
      <c r="DM107" s="279"/>
      <c r="DN107" s="52"/>
      <c r="DO107" s="105"/>
      <c r="DP107" s="98"/>
      <c r="DQ107" s="279"/>
      <c r="DR107" s="52"/>
      <c r="DS107" s="105"/>
      <c r="DT107" s="98"/>
      <c r="DU107" s="279"/>
      <c r="DV107" s="52"/>
      <c r="DW107" s="105"/>
      <c r="DX107" s="98"/>
      <c r="DY107" s="279"/>
      <c r="DZ107" s="52"/>
      <c r="EA107" s="105"/>
      <c r="EB107" s="98"/>
      <c r="EC107" s="279"/>
      <c r="ED107" s="52"/>
      <c r="EE107" s="105"/>
      <c r="EF107" s="98"/>
      <c r="EG107" s="159"/>
      <c r="EH107" s="277"/>
      <c r="EI107" s="50">
        <f t="shared" si="54"/>
        <v>0</v>
      </c>
      <c r="EJ107" s="103">
        <f t="shared" si="55"/>
        <v>0</v>
      </c>
      <c r="EK107" s="164">
        <f t="shared" si="56"/>
        <v>0</v>
      </c>
      <c r="EL107" s="280">
        <f t="shared" si="57"/>
        <v>0</v>
      </c>
      <c r="EM107" s="63">
        <f t="shared" si="58"/>
        <v>0</v>
      </c>
      <c r="EN107" s="359">
        <f t="shared" si="59"/>
        <v>0</v>
      </c>
      <c r="EO107" s="51">
        <f t="shared" si="60"/>
        <v>0</v>
      </c>
      <c r="EP107" s="361">
        <f t="shared" si="61"/>
        <v>0</v>
      </c>
      <c r="EQ107" s="281"/>
      <c r="ER107" s="277"/>
      <c r="ES107" s="281"/>
      <c r="ET107" s="277"/>
      <c r="EU107" s="281"/>
      <c r="EV107" s="277"/>
      <c r="EW107" s="281"/>
      <c r="EX107" s="277"/>
      <c r="EY107" s="281"/>
      <c r="EZ107" s="277"/>
      <c r="FA107" s="281"/>
      <c r="FB107" s="277"/>
      <c r="FC107" s="281"/>
      <c r="FD107" s="277"/>
      <c r="FE107" s="281"/>
      <c r="FF107" s="277"/>
      <c r="FG107" s="281"/>
      <c r="FH107" s="277"/>
      <c r="FI107" s="281"/>
      <c r="FJ107" s="277"/>
      <c r="FK107" s="50">
        <f t="shared" si="62"/>
        <v>0</v>
      </c>
      <c r="FL107" s="63">
        <f t="shared" si="63"/>
        <v>0</v>
      </c>
      <c r="FM107" s="50">
        <f t="shared" si="45"/>
        <v>6210</v>
      </c>
      <c r="FN107" s="360">
        <f t="shared" si="46"/>
        <v>5506</v>
      </c>
      <c r="FO107" s="3"/>
      <c r="FP107" s="279"/>
      <c r="FQ107" s="52"/>
      <c r="FR107" s="296"/>
      <c r="FS107" s="98"/>
      <c r="FT107" s="467"/>
      <c r="FU107" s="52"/>
      <c r="FV107" s="296"/>
      <c r="FW107" s="98"/>
      <c r="FX107" s="467"/>
      <c r="FY107" s="52"/>
      <c r="FZ107" s="296"/>
      <c r="GA107" s="98"/>
      <c r="GB107" s="467"/>
      <c r="GC107" s="52"/>
      <c r="GD107" s="296"/>
      <c r="GE107" s="98"/>
      <c r="GF107" s="467"/>
      <c r="GG107" s="52"/>
      <c r="GH107" s="296"/>
      <c r="GI107" s="98"/>
      <c r="GJ107" s="467"/>
      <c r="GK107" s="52"/>
      <c r="GL107" s="296"/>
      <c r="GM107" s="464"/>
      <c r="GN107" s="467"/>
      <c r="GO107" s="52"/>
      <c r="GP107" s="296"/>
      <c r="GQ107" s="464"/>
      <c r="GR107" s="467"/>
      <c r="GS107" s="52"/>
      <c r="GT107" s="296"/>
      <c r="GU107" s="464"/>
      <c r="GV107" s="467"/>
      <c r="GW107" s="52"/>
      <c r="GX107" s="296"/>
      <c r="GY107" s="464"/>
      <c r="GZ107" s="467"/>
      <c r="HA107" s="52"/>
      <c r="HB107" s="296"/>
      <c r="HC107" s="3"/>
    </row>
    <row r="108" spans="1:211" s="86" customFormat="1">
      <c r="A108" s="288" t="s">
        <v>346</v>
      </c>
      <c r="B108" s="289" t="s">
        <v>508</v>
      </c>
      <c r="C108" s="288">
        <v>134495</v>
      </c>
      <c r="D108" s="344">
        <v>8</v>
      </c>
      <c r="E108" s="460">
        <v>932</v>
      </c>
      <c r="F108" s="277">
        <v>910</v>
      </c>
      <c r="G108" s="158">
        <v>66</v>
      </c>
      <c r="H108" s="277">
        <v>136</v>
      </c>
      <c r="I108" s="158">
        <v>2193</v>
      </c>
      <c r="J108" s="277">
        <v>2452</v>
      </c>
      <c r="K108" s="160">
        <f t="shared" si="47"/>
        <v>0</v>
      </c>
      <c r="L108" s="161">
        <f t="shared" si="40"/>
        <v>0</v>
      </c>
      <c r="M108" s="54"/>
      <c r="N108" s="55"/>
      <c r="O108" s="55"/>
      <c r="P108" s="55"/>
      <c r="Q108" s="162">
        <f t="shared" si="48"/>
        <v>0</v>
      </c>
      <c r="R108" s="277">
        <v>0</v>
      </c>
      <c r="S108" s="277"/>
      <c r="T108" s="277"/>
      <c r="U108" s="277"/>
      <c r="V108" s="97">
        <f t="shared" si="49"/>
        <v>0</v>
      </c>
      <c r="W108" s="279"/>
      <c r="X108" s="52"/>
      <c r="Y108" s="99"/>
      <c r="Z108" s="53"/>
      <c r="AA108" s="228"/>
      <c r="AB108" s="52"/>
      <c r="AC108" s="99"/>
      <c r="AD108" s="53"/>
      <c r="AE108" s="228"/>
      <c r="AF108" s="52"/>
      <c r="AG108" s="99"/>
      <c r="AH108" s="53"/>
      <c r="AI108" s="228"/>
      <c r="AJ108" s="52"/>
      <c r="AK108" s="99"/>
      <c r="AL108" s="53"/>
      <c r="AM108" s="228"/>
      <c r="AN108" s="52"/>
      <c r="AO108" s="99"/>
      <c r="AP108" s="53"/>
      <c r="AQ108" s="50">
        <f t="shared" si="41"/>
        <v>0</v>
      </c>
      <c r="AR108" s="163">
        <f t="shared" si="42"/>
        <v>0</v>
      </c>
      <c r="AS108" s="97">
        <f t="shared" si="43"/>
        <v>0</v>
      </c>
      <c r="AT108" s="278">
        <f t="shared" si="44"/>
        <v>0</v>
      </c>
      <c r="AU108" s="55"/>
      <c r="AV108" s="277"/>
      <c r="AW108" s="279"/>
      <c r="AX108" s="52"/>
      <c r="AY108" s="105"/>
      <c r="AZ108" s="98"/>
      <c r="BA108" s="279"/>
      <c r="BB108" s="52"/>
      <c r="BC108" s="105"/>
      <c r="BD108" s="98"/>
      <c r="BE108" s="279"/>
      <c r="BF108" s="52"/>
      <c r="BG108" s="105"/>
      <c r="BH108" s="98"/>
      <c r="BI108" s="279"/>
      <c r="BJ108" s="52"/>
      <c r="BK108" s="105"/>
      <c r="BL108" s="98"/>
      <c r="BM108" s="279"/>
      <c r="BN108" s="52"/>
      <c r="BO108" s="105"/>
      <c r="BP108" s="98"/>
      <c r="BQ108" s="279"/>
      <c r="BR108" s="52"/>
      <c r="BS108" s="105"/>
      <c r="BT108" s="98"/>
      <c r="BU108" s="279"/>
      <c r="BV108" s="52"/>
      <c r="BW108" s="105"/>
      <c r="BX108" s="98"/>
      <c r="BY108" s="279"/>
      <c r="BZ108" s="52"/>
      <c r="CA108" s="105"/>
      <c r="CB108" s="98"/>
      <c r="CC108" s="279"/>
      <c r="CD108" s="52"/>
      <c r="CE108" s="105"/>
      <c r="CF108" s="98"/>
      <c r="CG108" s="279"/>
      <c r="CH108" s="52"/>
      <c r="CI108" s="105"/>
      <c r="CJ108" s="98"/>
      <c r="CK108" s="281"/>
      <c r="CL108" s="277"/>
      <c r="CM108" s="159"/>
      <c r="CN108" s="277"/>
      <c r="CO108" s="50">
        <f t="shared" si="50"/>
        <v>0</v>
      </c>
      <c r="CP108" s="103">
        <f t="shared" si="51"/>
        <v>0</v>
      </c>
      <c r="CQ108" s="280">
        <f t="shared" si="52"/>
        <v>0</v>
      </c>
      <c r="CR108" s="63">
        <f t="shared" si="53"/>
        <v>0</v>
      </c>
      <c r="CS108" s="279"/>
      <c r="CT108" s="52"/>
      <c r="CU108" s="105"/>
      <c r="CV108" s="98"/>
      <c r="CW108" s="279"/>
      <c r="CX108" s="52"/>
      <c r="CY108" s="105"/>
      <c r="CZ108" s="98"/>
      <c r="DA108" s="279"/>
      <c r="DB108" s="52"/>
      <c r="DC108" s="105"/>
      <c r="DD108" s="98"/>
      <c r="DE108" s="279"/>
      <c r="DF108" s="52"/>
      <c r="DG108" s="105"/>
      <c r="DH108" s="98"/>
      <c r="DI108" s="279"/>
      <c r="DJ108" s="52"/>
      <c r="DK108" s="105"/>
      <c r="DL108" s="98"/>
      <c r="DM108" s="279"/>
      <c r="DN108" s="52"/>
      <c r="DO108" s="105"/>
      <c r="DP108" s="98"/>
      <c r="DQ108" s="279"/>
      <c r="DR108" s="52"/>
      <c r="DS108" s="105"/>
      <c r="DT108" s="98"/>
      <c r="DU108" s="279"/>
      <c r="DV108" s="52"/>
      <c r="DW108" s="105"/>
      <c r="DX108" s="98"/>
      <c r="DY108" s="279"/>
      <c r="DZ108" s="52"/>
      <c r="EA108" s="105"/>
      <c r="EB108" s="98"/>
      <c r="EC108" s="279"/>
      <c r="ED108" s="52"/>
      <c r="EE108" s="105"/>
      <c r="EF108" s="98"/>
      <c r="EG108" s="159"/>
      <c r="EH108" s="277"/>
      <c r="EI108" s="50">
        <f t="shared" si="54"/>
        <v>0</v>
      </c>
      <c r="EJ108" s="103">
        <f t="shared" si="55"/>
        <v>0</v>
      </c>
      <c r="EK108" s="164">
        <f t="shared" si="56"/>
        <v>0</v>
      </c>
      <c r="EL108" s="280">
        <f t="shared" si="57"/>
        <v>0</v>
      </c>
      <c r="EM108" s="63">
        <f t="shared" si="58"/>
        <v>0</v>
      </c>
      <c r="EN108" s="359">
        <f t="shared" si="59"/>
        <v>0</v>
      </c>
      <c r="EO108" s="51">
        <f t="shared" si="60"/>
        <v>0</v>
      </c>
      <c r="EP108" s="361">
        <f t="shared" si="61"/>
        <v>0</v>
      </c>
      <c r="EQ108" s="281"/>
      <c r="ER108" s="277"/>
      <c r="ES108" s="281"/>
      <c r="ET108" s="277"/>
      <c r="EU108" s="281"/>
      <c r="EV108" s="277"/>
      <c r="EW108" s="281"/>
      <c r="EX108" s="277"/>
      <c r="EY108" s="281"/>
      <c r="EZ108" s="277"/>
      <c r="FA108" s="281"/>
      <c r="FB108" s="277"/>
      <c r="FC108" s="281"/>
      <c r="FD108" s="277"/>
      <c r="FE108" s="281"/>
      <c r="FF108" s="277"/>
      <c r="FG108" s="281"/>
      <c r="FH108" s="277"/>
      <c r="FI108" s="281"/>
      <c r="FJ108" s="277"/>
      <c r="FK108" s="50">
        <f t="shared" si="62"/>
        <v>0</v>
      </c>
      <c r="FL108" s="63">
        <f t="shared" si="63"/>
        <v>0</v>
      </c>
      <c r="FM108" s="50">
        <f t="shared" si="45"/>
        <v>3191</v>
      </c>
      <c r="FN108" s="360">
        <f t="shared" si="46"/>
        <v>3498</v>
      </c>
      <c r="FO108" s="3"/>
      <c r="FP108" s="279"/>
      <c r="FQ108" s="52"/>
      <c r="FR108" s="296"/>
      <c r="FS108" s="98"/>
      <c r="FT108" s="467"/>
      <c r="FU108" s="52"/>
      <c r="FV108" s="296"/>
      <c r="FW108" s="98"/>
      <c r="FX108" s="467"/>
      <c r="FY108" s="52"/>
      <c r="FZ108" s="296"/>
      <c r="GA108" s="98"/>
      <c r="GB108" s="467"/>
      <c r="GC108" s="52"/>
      <c r="GD108" s="296"/>
      <c r="GE108" s="98"/>
      <c r="GF108" s="467"/>
      <c r="GG108" s="52"/>
      <c r="GH108" s="296"/>
      <c r="GI108" s="98"/>
      <c r="GJ108" s="467"/>
      <c r="GK108" s="52"/>
      <c r="GL108" s="296"/>
      <c r="GM108" s="464"/>
      <c r="GN108" s="467"/>
      <c r="GO108" s="52"/>
      <c r="GP108" s="296"/>
      <c r="GQ108" s="464"/>
      <c r="GR108" s="467"/>
      <c r="GS108" s="52"/>
      <c r="GT108" s="296"/>
      <c r="GU108" s="464"/>
      <c r="GV108" s="467"/>
      <c r="GW108" s="52"/>
      <c r="GX108" s="296"/>
      <c r="GY108" s="464"/>
      <c r="GZ108" s="467"/>
      <c r="HA108" s="52"/>
      <c r="HB108" s="296"/>
      <c r="HC108" s="3"/>
    </row>
    <row r="109" spans="1:211" s="86" customFormat="1">
      <c r="A109" s="288" t="s">
        <v>346</v>
      </c>
      <c r="B109" s="289" t="s">
        <v>509</v>
      </c>
      <c r="C109" s="288">
        <v>134608</v>
      </c>
      <c r="D109" s="344">
        <v>8</v>
      </c>
      <c r="E109" s="460">
        <v>1335</v>
      </c>
      <c r="F109" s="277">
        <v>1359</v>
      </c>
      <c r="G109" s="158">
        <v>4</v>
      </c>
      <c r="H109" s="277">
        <v>15</v>
      </c>
      <c r="I109" s="158">
        <v>1512</v>
      </c>
      <c r="J109" s="277">
        <v>1731</v>
      </c>
      <c r="K109" s="160">
        <f t="shared" si="47"/>
        <v>0</v>
      </c>
      <c r="L109" s="161">
        <f t="shared" si="40"/>
        <v>50.911764705882355</v>
      </c>
      <c r="M109" s="54"/>
      <c r="N109" s="55"/>
      <c r="O109" s="55"/>
      <c r="P109" s="55"/>
      <c r="Q109" s="162">
        <f t="shared" si="48"/>
        <v>0</v>
      </c>
      <c r="R109" s="277">
        <v>34</v>
      </c>
      <c r="S109" s="277"/>
      <c r="T109" s="277"/>
      <c r="U109" s="277"/>
      <c r="V109" s="97">
        <f t="shared" si="49"/>
        <v>0</v>
      </c>
      <c r="W109" s="279"/>
      <c r="X109" s="52"/>
      <c r="Y109" s="99" t="s">
        <v>731</v>
      </c>
      <c r="Z109" s="53">
        <v>27</v>
      </c>
      <c r="AA109" s="228"/>
      <c r="AB109" s="52"/>
      <c r="AC109" s="99" t="s">
        <v>733</v>
      </c>
      <c r="AD109" s="53">
        <v>7</v>
      </c>
      <c r="AE109" s="228"/>
      <c r="AF109" s="52"/>
      <c r="AG109" s="99"/>
      <c r="AH109" s="53"/>
      <c r="AI109" s="228"/>
      <c r="AJ109" s="52"/>
      <c r="AK109" s="99"/>
      <c r="AL109" s="53"/>
      <c r="AM109" s="228"/>
      <c r="AN109" s="52"/>
      <c r="AO109" s="99"/>
      <c r="AP109" s="53"/>
      <c r="AQ109" s="50">
        <f t="shared" si="41"/>
        <v>0</v>
      </c>
      <c r="AR109" s="163">
        <f t="shared" si="42"/>
        <v>0</v>
      </c>
      <c r="AS109" s="97">
        <f t="shared" si="43"/>
        <v>2</v>
      </c>
      <c r="AT109" s="278">
        <f t="shared" si="44"/>
        <v>1.083147499203568E-2</v>
      </c>
      <c r="AU109" s="55"/>
      <c r="AV109" s="277"/>
      <c r="AW109" s="279"/>
      <c r="AX109" s="52"/>
      <c r="AY109" s="105"/>
      <c r="AZ109" s="98"/>
      <c r="BA109" s="279"/>
      <c r="BB109" s="52"/>
      <c r="BC109" s="105"/>
      <c r="BD109" s="98"/>
      <c r="BE109" s="279"/>
      <c r="BF109" s="52"/>
      <c r="BG109" s="105"/>
      <c r="BH109" s="98"/>
      <c r="BI109" s="279"/>
      <c r="BJ109" s="52"/>
      <c r="BK109" s="105"/>
      <c r="BL109" s="98"/>
      <c r="BM109" s="279"/>
      <c r="BN109" s="52"/>
      <c r="BO109" s="105"/>
      <c r="BP109" s="98"/>
      <c r="BQ109" s="279"/>
      <c r="BR109" s="52"/>
      <c r="BS109" s="105"/>
      <c r="BT109" s="98"/>
      <c r="BU109" s="279"/>
      <c r="BV109" s="52"/>
      <c r="BW109" s="105"/>
      <c r="BX109" s="98"/>
      <c r="BY109" s="279"/>
      <c r="BZ109" s="52"/>
      <c r="CA109" s="105"/>
      <c r="CB109" s="98"/>
      <c r="CC109" s="279"/>
      <c r="CD109" s="52"/>
      <c r="CE109" s="105"/>
      <c r="CF109" s="98"/>
      <c r="CG109" s="279"/>
      <c r="CH109" s="52"/>
      <c r="CI109" s="105"/>
      <c r="CJ109" s="98"/>
      <c r="CK109" s="281"/>
      <c r="CL109" s="277"/>
      <c r="CM109" s="159"/>
      <c r="CN109" s="277"/>
      <c r="CO109" s="50">
        <f t="shared" si="50"/>
        <v>0</v>
      </c>
      <c r="CP109" s="103">
        <f t="shared" si="51"/>
        <v>0</v>
      </c>
      <c r="CQ109" s="280">
        <f t="shared" si="52"/>
        <v>0</v>
      </c>
      <c r="CR109" s="63">
        <f t="shared" si="53"/>
        <v>0</v>
      </c>
      <c r="CS109" s="279"/>
      <c r="CT109" s="52"/>
      <c r="CU109" s="105"/>
      <c r="CV109" s="98"/>
      <c r="CW109" s="279"/>
      <c r="CX109" s="52"/>
      <c r="CY109" s="105"/>
      <c r="CZ109" s="98"/>
      <c r="DA109" s="279"/>
      <c r="DB109" s="52"/>
      <c r="DC109" s="105"/>
      <c r="DD109" s="98"/>
      <c r="DE109" s="279"/>
      <c r="DF109" s="52"/>
      <c r="DG109" s="105"/>
      <c r="DH109" s="98"/>
      <c r="DI109" s="279"/>
      <c r="DJ109" s="52"/>
      <c r="DK109" s="105"/>
      <c r="DL109" s="98"/>
      <c r="DM109" s="279"/>
      <c r="DN109" s="52"/>
      <c r="DO109" s="105"/>
      <c r="DP109" s="98"/>
      <c r="DQ109" s="279"/>
      <c r="DR109" s="52"/>
      <c r="DS109" s="105"/>
      <c r="DT109" s="98"/>
      <c r="DU109" s="279"/>
      <c r="DV109" s="52"/>
      <c r="DW109" s="105"/>
      <c r="DX109" s="98"/>
      <c r="DY109" s="279"/>
      <c r="DZ109" s="52"/>
      <c r="EA109" s="105"/>
      <c r="EB109" s="98"/>
      <c r="EC109" s="279"/>
      <c r="ED109" s="52"/>
      <c r="EE109" s="105"/>
      <c r="EF109" s="98"/>
      <c r="EG109" s="159"/>
      <c r="EH109" s="277"/>
      <c r="EI109" s="50">
        <f t="shared" si="54"/>
        <v>0</v>
      </c>
      <c r="EJ109" s="103">
        <f t="shared" si="55"/>
        <v>0</v>
      </c>
      <c r="EK109" s="164">
        <f t="shared" si="56"/>
        <v>0</v>
      </c>
      <c r="EL109" s="280">
        <f t="shared" si="57"/>
        <v>0</v>
      </c>
      <c r="EM109" s="63">
        <f t="shared" si="58"/>
        <v>0</v>
      </c>
      <c r="EN109" s="359">
        <f t="shared" si="59"/>
        <v>0</v>
      </c>
      <c r="EO109" s="51">
        <f t="shared" si="60"/>
        <v>0</v>
      </c>
      <c r="EP109" s="361">
        <f t="shared" si="61"/>
        <v>0</v>
      </c>
      <c r="EQ109" s="281"/>
      <c r="ER109" s="277"/>
      <c r="ES109" s="281"/>
      <c r="ET109" s="277"/>
      <c r="EU109" s="281"/>
      <c r="EV109" s="277"/>
      <c r="EW109" s="281"/>
      <c r="EX109" s="277"/>
      <c r="EY109" s="281"/>
      <c r="EZ109" s="277"/>
      <c r="FA109" s="281"/>
      <c r="FB109" s="277"/>
      <c r="FC109" s="281"/>
      <c r="FD109" s="277"/>
      <c r="FE109" s="281"/>
      <c r="FF109" s="277"/>
      <c r="FG109" s="281"/>
      <c r="FH109" s="277"/>
      <c r="FI109" s="281"/>
      <c r="FJ109" s="277"/>
      <c r="FK109" s="50">
        <f t="shared" si="62"/>
        <v>0</v>
      </c>
      <c r="FL109" s="63">
        <f t="shared" si="63"/>
        <v>0</v>
      </c>
      <c r="FM109" s="50">
        <f t="shared" si="45"/>
        <v>2851</v>
      </c>
      <c r="FN109" s="360">
        <f t="shared" si="46"/>
        <v>3139</v>
      </c>
      <c r="FO109" s="3"/>
      <c r="FP109" s="279"/>
      <c r="FQ109" s="52"/>
      <c r="FR109" s="296"/>
      <c r="FS109" s="98"/>
      <c r="FT109" s="467"/>
      <c r="FU109" s="52"/>
      <c r="FV109" s="296"/>
      <c r="FW109" s="98"/>
      <c r="FX109" s="467"/>
      <c r="FY109" s="52"/>
      <c r="FZ109" s="296"/>
      <c r="GA109" s="98"/>
      <c r="GB109" s="467"/>
      <c r="GC109" s="52"/>
      <c r="GD109" s="296"/>
      <c r="GE109" s="98"/>
      <c r="GF109" s="467"/>
      <c r="GG109" s="52"/>
      <c r="GH109" s="296"/>
      <c r="GI109" s="98"/>
      <c r="GJ109" s="467"/>
      <c r="GK109" s="52"/>
      <c r="GL109" s="296"/>
      <c r="GM109" s="464"/>
      <c r="GN109" s="467"/>
      <c r="GO109" s="52"/>
      <c r="GP109" s="296"/>
      <c r="GQ109" s="464"/>
      <c r="GR109" s="467"/>
      <c r="GS109" s="52"/>
      <c r="GT109" s="296"/>
      <c r="GU109" s="464"/>
      <c r="GV109" s="467"/>
      <c r="GW109" s="52"/>
      <c r="GX109" s="296"/>
      <c r="GY109" s="464"/>
      <c r="GZ109" s="467"/>
      <c r="HA109" s="52"/>
      <c r="HB109" s="296"/>
      <c r="HC109" s="3"/>
    </row>
    <row r="110" spans="1:211" s="86" customFormat="1">
      <c r="A110" s="288" t="s">
        <v>346</v>
      </c>
      <c r="B110" s="289" t="s">
        <v>514</v>
      </c>
      <c r="C110" s="288">
        <v>136358</v>
      </c>
      <c r="D110" s="344">
        <v>8</v>
      </c>
      <c r="E110" s="460">
        <v>1187</v>
      </c>
      <c r="F110" s="277">
        <v>1607</v>
      </c>
      <c r="G110" s="158">
        <v>52</v>
      </c>
      <c r="H110" s="277">
        <v>193</v>
      </c>
      <c r="I110" s="158">
        <v>2576</v>
      </c>
      <c r="J110" s="277">
        <v>2657</v>
      </c>
      <c r="K110" s="160">
        <f t="shared" si="47"/>
        <v>0</v>
      </c>
      <c r="L110" s="161">
        <f t="shared" si="40"/>
        <v>0</v>
      </c>
      <c r="M110" s="54"/>
      <c r="N110" s="55"/>
      <c r="O110" s="55"/>
      <c r="P110" s="55"/>
      <c r="Q110" s="162">
        <f t="shared" si="48"/>
        <v>0</v>
      </c>
      <c r="R110" s="277">
        <v>0</v>
      </c>
      <c r="S110" s="277"/>
      <c r="T110" s="277"/>
      <c r="U110" s="277"/>
      <c r="V110" s="97">
        <f t="shared" si="49"/>
        <v>0</v>
      </c>
      <c r="W110" s="279"/>
      <c r="X110" s="52"/>
      <c r="Y110" s="99"/>
      <c r="Z110" s="53"/>
      <c r="AA110" s="228"/>
      <c r="AB110" s="52"/>
      <c r="AC110" s="99"/>
      <c r="AD110" s="53"/>
      <c r="AE110" s="228"/>
      <c r="AF110" s="52"/>
      <c r="AG110" s="99"/>
      <c r="AH110" s="53"/>
      <c r="AI110" s="228"/>
      <c r="AJ110" s="52"/>
      <c r="AK110" s="99"/>
      <c r="AL110" s="53"/>
      <c r="AM110" s="228"/>
      <c r="AN110" s="52"/>
      <c r="AO110" s="99"/>
      <c r="AP110" s="53"/>
      <c r="AQ110" s="50">
        <f t="shared" si="41"/>
        <v>0</v>
      </c>
      <c r="AR110" s="163">
        <f t="shared" si="42"/>
        <v>0</v>
      </c>
      <c r="AS110" s="97">
        <f t="shared" si="43"/>
        <v>0</v>
      </c>
      <c r="AT110" s="278">
        <f t="shared" si="44"/>
        <v>0</v>
      </c>
      <c r="AU110" s="55"/>
      <c r="AV110" s="277"/>
      <c r="AW110" s="279"/>
      <c r="AX110" s="52"/>
      <c r="AY110" s="105"/>
      <c r="AZ110" s="98"/>
      <c r="BA110" s="279"/>
      <c r="BB110" s="52"/>
      <c r="BC110" s="105"/>
      <c r="BD110" s="98"/>
      <c r="BE110" s="279"/>
      <c r="BF110" s="52"/>
      <c r="BG110" s="105"/>
      <c r="BH110" s="98"/>
      <c r="BI110" s="279"/>
      <c r="BJ110" s="52"/>
      <c r="BK110" s="105"/>
      <c r="BL110" s="98"/>
      <c r="BM110" s="279"/>
      <c r="BN110" s="52"/>
      <c r="BO110" s="105"/>
      <c r="BP110" s="98"/>
      <c r="BQ110" s="279"/>
      <c r="BR110" s="52"/>
      <c r="BS110" s="105"/>
      <c r="BT110" s="98"/>
      <c r="BU110" s="279"/>
      <c r="BV110" s="52"/>
      <c r="BW110" s="105"/>
      <c r="BX110" s="98"/>
      <c r="BY110" s="279"/>
      <c r="BZ110" s="52"/>
      <c r="CA110" s="105"/>
      <c r="CB110" s="98"/>
      <c r="CC110" s="279"/>
      <c r="CD110" s="52"/>
      <c r="CE110" s="105"/>
      <c r="CF110" s="98"/>
      <c r="CG110" s="279"/>
      <c r="CH110" s="52"/>
      <c r="CI110" s="105"/>
      <c r="CJ110" s="98"/>
      <c r="CK110" s="281"/>
      <c r="CL110" s="277"/>
      <c r="CM110" s="159"/>
      <c r="CN110" s="277"/>
      <c r="CO110" s="50">
        <f t="shared" si="50"/>
        <v>0</v>
      </c>
      <c r="CP110" s="103">
        <f t="shared" si="51"/>
        <v>0</v>
      </c>
      <c r="CQ110" s="280">
        <f t="shared" si="52"/>
        <v>0</v>
      </c>
      <c r="CR110" s="63">
        <f t="shared" si="53"/>
        <v>0</v>
      </c>
      <c r="CS110" s="279"/>
      <c r="CT110" s="52"/>
      <c r="CU110" s="105"/>
      <c r="CV110" s="98"/>
      <c r="CW110" s="279"/>
      <c r="CX110" s="52"/>
      <c r="CY110" s="105"/>
      <c r="CZ110" s="98"/>
      <c r="DA110" s="279"/>
      <c r="DB110" s="52"/>
      <c r="DC110" s="105"/>
      <c r="DD110" s="98"/>
      <c r="DE110" s="279"/>
      <c r="DF110" s="52"/>
      <c r="DG110" s="105"/>
      <c r="DH110" s="98"/>
      <c r="DI110" s="279"/>
      <c r="DJ110" s="52"/>
      <c r="DK110" s="105"/>
      <c r="DL110" s="98"/>
      <c r="DM110" s="279"/>
      <c r="DN110" s="52"/>
      <c r="DO110" s="105"/>
      <c r="DP110" s="98"/>
      <c r="DQ110" s="279"/>
      <c r="DR110" s="52"/>
      <c r="DS110" s="105"/>
      <c r="DT110" s="98"/>
      <c r="DU110" s="279"/>
      <c r="DV110" s="52"/>
      <c r="DW110" s="105"/>
      <c r="DX110" s="98"/>
      <c r="DY110" s="279"/>
      <c r="DZ110" s="52"/>
      <c r="EA110" s="105"/>
      <c r="EB110" s="98"/>
      <c r="EC110" s="279"/>
      <c r="ED110" s="52"/>
      <c r="EE110" s="105"/>
      <c r="EF110" s="98"/>
      <c r="EG110" s="159"/>
      <c r="EH110" s="277"/>
      <c r="EI110" s="50">
        <f t="shared" si="54"/>
        <v>0</v>
      </c>
      <c r="EJ110" s="103">
        <f t="shared" si="55"/>
        <v>0</v>
      </c>
      <c r="EK110" s="164">
        <f t="shared" si="56"/>
        <v>0</v>
      </c>
      <c r="EL110" s="280">
        <f t="shared" si="57"/>
        <v>0</v>
      </c>
      <c r="EM110" s="63">
        <f t="shared" si="58"/>
        <v>0</v>
      </c>
      <c r="EN110" s="359">
        <f t="shared" si="59"/>
        <v>0</v>
      </c>
      <c r="EO110" s="51">
        <f t="shared" si="60"/>
        <v>0</v>
      </c>
      <c r="EP110" s="361">
        <f t="shared" si="61"/>
        <v>0</v>
      </c>
      <c r="EQ110" s="281"/>
      <c r="ER110" s="277"/>
      <c r="ES110" s="281"/>
      <c r="ET110" s="277"/>
      <c r="EU110" s="281"/>
      <c r="EV110" s="277"/>
      <c r="EW110" s="281"/>
      <c r="EX110" s="277"/>
      <c r="EY110" s="281"/>
      <c r="EZ110" s="277"/>
      <c r="FA110" s="281"/>
      <c r="FB110" s="277"/>
      <c r="FC110" s="281"/>
      <c r="FD110" s="277"/>
      <c r="FE110" s="281"/>
      <c r="FF110" s="277"/>
      <c r="FG110" s="281"/>
      <c r="FH110" s="277"/>
      <c r="FI110" s="281"/>
      <c r="FJ110" s="277"/>
      <c r="FK110" s="50">
        <f t="shared" si="62"/>
        <v>0</v>
      </c>
      <c r="FL110" s="63">
        <f t="shared" si="63"/>
        <v>0</v>
      </c>
      <c r="FM110" s="50">
        <f t="shared" si="45"/>
        <v>3815</v>
      </c>
      <c r="FN110" s="360">
        <f t="shared" si="46"/>
        <v>4457</v>
      </c>
      <c r="FO110" s="3"/>
      <c r="FP110" s="279"/>
      <c r="FQ110" s="52"/>
      <c r="FR110" s="296"/>
      <c r="FS110" s="98"/>
      <c r="FT110" s="467"/>
      <c r="FU110" s="52"/>
      <c r="FV110" s="296"/>
      <c r="FW110" s="98"/>
      <c r="FX110" s="467"/>
      <c r="FY110" s="52"/>
      <c r="FZ110" s="296"/>
      <c r="GA110" s="98"/>
      <c r="GB110" s="467"/>
      <c r="GC110" s="52"/>
      <c r="GD110" s="296"/>
      <c r="GE110" s="98"/>
      <c r="GF110" s="467"/>
      <c r="GG110" s="52"/>
      <c r="GH110" s="296"/>
      <c r="GI110" s="98"/>
      <c r="GJ110" s="467"/>
      <c r="GK110" s="52"/>
      <c r="GL110" s="296"/>
      <c r="GM110" s="464"/>
      <c r="GN110" s="467"/>
      <c r="GO110" s="52"/>
      <c r="GP110" s="296"/>
      <c r="GQ110" s="464"/>
      <c r="GR110" s="467"/>
      <c r="GS110" s="52"/>
      <c r="GT110" s="296"/>
      <c r="GU110" s="464"/>
      <c r="GV110" s="467"/>
      <c r="GW110" s="52"/>
      <c r="GX110" s="296"/>
      <c r="GY110" s="464"/>
      <c r="GZ110" s="467"/>
      <c r="HA110" s="52"/>
      <c r="HB110" s="296"/>
      <c r="HC110" s="3"/>
    </row>
    <row r="111" spans="1:211" s="86" customFormat="1">
      <c r="A111" s="290" t="s">
        <v>346</v>
      </c>
      <c r="B111" s="289" t="s">
        <v>515</v>
      </c>
      <c r="C111" s="288">
        <v>136400</v>
      </c>
      <c r="D111" s="344">
        <v>8</v>
      </c>
      <c r="E111" s="460">
        <v>633</v>
      </c>
      <c r="F111" s="277">
        <v>568</v>
      </c>
      <c r="G111" s="158"/>
      <c r="H111" s="277">
        <v>0</v>
      </c>
      <c r="I111" s="158">
        <v>861</v>
      </c>
      <c r="J111" s="277">
        <v>933</v>
      </c>
      <c r="K111" s="160">
        <f t="shared" si="47"/>
        <v>0</v>
      </c>
      <c r="L111" s="161">
        <f t="shared" si="40"/>
        <v>0</v>
      </c>
      <c r="M111" s="54"/>
      <c r="N111" s="55"/>
      <c r="O111" s="55"/>
      <c r="P111" s="55"/>
      <c r="Q111" s="162">
        <f t="shared" si="48"/>
        <v>0</v>
      </c>
      <c r="R111" s="277">
        <v>0</v>
      </c>
      <c r="S111" s="277"/>
      <c r="T111" s="277"/>
      <c r="U111" s="277"/>
      <c r="V111" s="97">
        <f t="shared" si="49"/>
        <v>0</v>
      </c>
      <c r="W111" s="279"/>
      <c r="X111" s="52"/>
      <c r="Y111" s="99"/>
      <c r="Z111" s="53"/>
      <c r="AA111" s="228"/>
      <c r="AB111" s="52"/>
      <c r="AC111" s="99"/>
      <c r="AD111" s="53"/>
      <c r="AE111" s="228"/>
      <c r="AF111" s="52"/>
      <c r="AG111" s="99"/>
      <c r="AH111" s="53"/>
      <c r="AI111" s="228"/>
      <c r="AJ111" s="52"/>
      <c r="AK111" s="99"/>
      <c r="AL111" s="53"/>
      <c r="AM111" s="228"/>
      <c r="AN111" s="52"/>
      <c r="AO111" s="99"/>
      <c r="AP111" s="53"/>
      <c r="AQ111" s="50">
        <f t="shared" si="41"/>
        <v>0</v>
      </c>
      <c r="AR111" s="163">
        <f t="shared" si="42"/>
        <v>0</v>
      </c>
      <c r="AS111" s="97">
        <f t="shared" si="43"/>
        <v>0</v>
      </c>
      <c r="AT111" s="278">
        <f t="shared" si="44"/>
        <v>0</v>
      </c>
      <c r="AU111" s="55"/>
      <c r="AV111" s="277"/>
      <c r="AW111" s="279"/>
      <c r="AX111" s="52"/>
      <c r="AY111" s="105"/>
      <c r="AZ111" s="98"/>
      <c r="BA111" s="279"/>
      <c r="BB111" s="52"/>
      <c r="BC111" s="105"/>
      <c r="BD111" s="98"/>
      <c r="BE111" s="279"/>
      <c r="BF111" s="52"/>
      <c r="BG111" s="105"/>
      <c r="BH111" s="98"/>
      <c r="BI111" s="279"/>
      <c r="BJ111" s="52"/>
      <c r="BK111" s="105"/>
      <c r="BL111" s="98"/>
      <c r="BM111" s="279"/>
      <c r="BN111" s="52"/>
      <c r="BO111" s="105"/>
      <c r="BP111" s="98"/>
      <c r="BQ111" s="279"/>
      <c r="BR111" s="52"/>
      <c r="BS111" s="105"/>
      <c r="BT111" s="98"/>
      <c r="BU111" s="279"/>
      <c r="BV111" s="52"/>
      <c r="BW111" s="105"/>
      <c r="BX111" s="98"/>
      <c r="BY111" s="279"/>
      <c r="BZ111" s="52"/>
      <c r="CA111" s="105"/>
      <c r="CB111" s="98"/>
      <c r="CC111" s="279"/>
      <c r="CD111" s="52"/>
      <c r="CE111" s="105"/>
      <c r="CF111" s="98"/>
      <c r="CG111" s="279"/>
      <c r="CH111" s="52"/>
      <c r="CI111" s="105"/>
      <c r="CJ111" s="98"/>
      <c r="CK111" s="281"/>
      <c r="CL111" s="277"/>
      <c r="CM111" s="159"/>
      <c r="CN111" s="277"/>
      <c r="CO111" s="50">
        <f t="shared" si="50"/>
        <v>0</v>
      </c>
      <c r="CP111" s="103">
        <f t="shared" si="51"/>
        <v>0</v>
      </c>
      <c r="CQ111" s="280">
        <f t="shared" si="52"/>
        <v>0</v>
      </c>
      <c r="CR111" s="63">
        <f t="shared" si="53"/>
        <v>0</v>
      </c>
      <c r="CS111" s="279"/>
      <c r="CT111" s="52"/>
      <c r="CU111" s="105"/>
      <c r="CV111" s="98"/>
      <c r="CW111" s="279"/>
      <c r="CX111" s="52"/>
      <c r="CY111" s="105"/>
      <c r="CZ111" s="98"/>
      <c r="DA111" s="279"/>
      <c r="DB111" s="52"/>
      <c r="DC111" s="105"/>
      <c r="DD111" s="98"/>
      <c r="DE111" s="279"/>
      <c r="DF111" s="52"/>
      <c r="DG111" s="105"/>
      <c r="DH111" s="98"/>
      <c r="DI111" s="279"/>
      <c r="DJ111" s="52"/>
      <c r="DK111" s="105"/>
      <c r="DL111" s="98"/>
      <c r="DM111" s="279"/>
      <c r="DN111" s="52"/>
      <c r="DO111" s="105"/>
      <c r="DP111" s="98"/>
      <c r="DQ111" s="279"/>
      <c r="DR111" s="52"/>
      <c r="DS111" s="105"/>
      <c r="DT111" s="98"/>
      <c r="DU111" s="279"/>
      <c r="DV111" s="52"/>
      <c r="DW111" s="105"/>
      <c r="DX111" s="98"/>
      <c r="DY111" s="279"/>
      <c r="DZ111" s="52"/>
      <c r="EA111" s="105"/>
      <c r="EB111" s="98"/>
      <c r="EC111" s="279"/>
      <c r="ED111" s="52"/>
      <c r="EE111" s="105"/>
      <c r="EF111" s="98"/>
      <c r="EG111" s="159"/>
      <c r="EH111" s="277"/>
      <c r="EI111" s="50">
        <f t="shared" si="54"/>
        <v>0</v>
      </c>
      <c r="EJ111" s="103">
        <f t="shared" si="55"/>
        <v>0</v>
      </c>
      <c r="EK111" s="164">
        <f t="shared" si="56"/>
        <v>0</v>
      </c>
      <c r="EL111" s="280">
        <f t="shared" si="57"/>
        <v>0</v>
      </c>
      <c r="EM111" s="63">
        <f t="shared" si="58"/>
        <v>0</v>
      </c>
      <c r="EN111" s="359">
        <f t="shared" si="59"/>
        <v>0</v>
      </c>
      <c r="EO111" s="51">
        <f t="shared" si="60"/>
        <v>0</v>
      </c>
      <c r="EP111" s="361">
        <f t="shared" si="61"/>
        <v>0</v>
      </c>
      <c r="EQ111" s="281"/>
      <c r="ER111" s="277"/>
      <c r="ES111" s="281"/>
      <c r="ET111" s="277"/>
      <c r="EU111" s="281"/>
      <c r="EV111" s="277"/>
      <c r="EW111" s="281"/>
      <c r="EX111" s="277"/>
      <c r="EY111" s="281"/>
      <c r="EZ111" s="277"/>
      <c r="FA111" s="281"/>
      <c r="FB111" s="277"/>
      <c r="FC111" s="281"/>
      <c r="FD111" s="277"/>
      <c r="FE111" s="281"/>
      <c r="FF111" s="277"/>
      <c r="FG111" s="281"/>
      <c r="FH111" s="277"/>
      <c r="FI111" s="281"/>
      <c r="FJ111" s="277"/>
      <c r="FK111" s="50">
        <f t="shared" si="62"/>
        <v>0</v>
      </c>
      <c r="FL111" s="63">
        <f t="shared" si="63"/>
        <v>0</v>
      </c>
      <c r="FM111" s="50">
        <f t="shared" si="45"/>
        <v>1494</v>
      </c>
      <c r="FN111" s="360">
        <f t="shared" si="46"/>
        <v>1501</v>
      </c>
      <c r="FO111" s="3"/>
      <c r="FP111" s="279"/>
      <c r="FQ111" s="52"/>
      <c r="FR111" s="296"/>
      <c r="FS111" s="98"/>
      <c r="FT111" s="467"/>
      <c r="FU111" s="52"/>
      <c r="FV111" s="296"/>
      <c r="FW111" s="98"/>
      <c r="FX111" s="467"/>
      <c r="FY111" s="52"/>
      <c r="FZ111" s="296"/>
      <c r="GA111" s="98"/>
      <c r="GB111" s="467"/>
      <c r="GC111" s="52"/>
      <c r="GD111" s="296"/>
      <c r="GE111" s="98"/>
      <c r="GF111" s="467"/>
      <c r="GG111" s="52"/>
      <c r="GH111" s="296"/>
      <c r="GI111" s="98"/>
      <c r="GJ111" s="467"/>
      <c r="GK111" s="52"/>
      <c r="GL111" s="296"/>
      <c r="GM111" s="464"/>
      <c r="GN111" s="467"/>
      <c r="GO111" s="52"/>
      <c r="GP111" s="296"/>
      <c r="GQ111" s="464"/>
      <c r="GR111" s="467"/>
      <c r="GS111" s="52"/>
      <c r="GT111" s="296"/>
      <c r="GU111" s="464"/>
      <c r="GV111" s="467"/>
      <c r="GW111" s="52"/>
      <c r="GX111" s="296"/>
      <c r="GY111" s="464"/>
      <c r="GZ111" s="467"/>
      <c r="HA111" s="52"/>
      <c r="HB111" s="296"/>
      <c r="HC111" s="3"/>
    </row>
    <row r="112" spans="1:211" s="86" customFormat="1">
      <c r="A112" s="288" t="s">
        <v>346</v>
      </c>
      <c r="B112" s="289" t="s">
        <v>516</v>
      </c>
      <c r="C112" s="288">
        <v>136473</v>
      </c>
      <c r="D112" s="344">
        <v>8</v>
      </c>
      <c r="E112" s="460">
        <v>440</v>
      </c>
      <c r="F112" s="277">
        <v>450</v>
      </c>
      <c r="G112" s="158"/>
      <c r="H112" s="277">
        <v>0</v>
      </c>
      <c r="I112" s="158">
        <v>1530</v>
      </c>
      <c r="J112" s="277">
        <v>1607</v>
      </c>
      <c r="K112" s="160">
        <f t="shared" si="47"/>
        <v>0</v>
      </c>
      <c r="L112" s="161">
        <f t="shared" si="40"/>
        <v>0</v>
      </c>
      <c r="M112" s="54"/>
      <c r="N112" s="55"/>
      <c r="O112" s="55"/>
      <c r="P112" s="55"/>
      <c r="Q112" s="162">
        <f t="shared" si="48"/>
        <v>0</v>
      </c>
      <c r="R112" s="277">
        <v>0</v>
      </c>
      <c r="S112" s="277"/>
      <c r="T112" s="277"/>
      <c r="U112" s="277"/>
      <c r="V112" s="97">
        <f t="shared" si="49"/>
        <v>0</v>
      </c>
      <c r="W112" s="279"/>
      <c r="X112" s="52"/>
      <c r="Y112" s="99"/>
      <c r="Z112" s="53"/>
      <c r="AA112" s="228"/>
      <c r="AB112" s="52"/>
      <c r="AC112" s="99"/>
      <c r="AD112" s="53"/>
      <c r="AE112" s="228"/>
      <c r="AF112" s="52"/>
      <c r="AG112" s="99"/>
      <c r="AH112" s="53"/>
      <c r="AI112" s="228"/>
      <c r="AJ112" s="52"/>
      <c r="AK112" s="99"/>
      <c r="AL112" s="53"/>
      <c r="AM112" s="228"/>
      <c r="AN112" s="52"/>
      <c r="AO112" s="99"/>
      <c r="AP112" s="53"/>
      <c r="AQ112" s="50">
        <f t="shared" si="41"/>
        <v>0</v>
      </c>
      <c r="AR112" s="163">
        <f t="shared" si="42"/>
        <v>0</v>
      </c>
      <c r="AS112" s="97">
        <f t="shared" si="43"/>
        <v>0</v>
      </c>
      <c r="AT112" s="278">
        <f t="shared" si="44"/>
        <v>0</v>
      </c>
      <c r="AU112" s="55"/>
      <c r="AV112" s="277"/>
      <c r="AW112" s="279"/>
      <c r="AX112" s="52"/>
      <c r="AY112" s="105"/>
      <c r="AZ112" s="98"/>
      <c r="BA112" s="279"/>
      <c r="BB112" s="52"/>
      <c r="BC112" s="105"/>
      <c r="BD112" s="98"/>
      <c r="BE112" s="279"/>
      <c r="BF112" s="52"/>
      <c r="BG112" s="105"/>
      <c r="BH112" s="98"/>
      <c r="BI112" s="279"/>
      <c r="BJ112" s="52"/>
      <c r="BK112" s="105"/>
      <c r="BL112" s="98"/>
      <c r="BM112" s="279"/>
      <c r="BN112" s="52"/>
      <c r="BO112" s="105"/>
      <c r="BP112" s="98"/>
      <c r="BQ112" s="279"/>
      <c r="BR112" s="52"/>
      <c r="BS112" s="105"/>
      <c r="BT112" s="98"/>
      <c r="BU112" s="279"/>
      <c r="BV112" s="52"/>
      <c r="BW112" s="105"/>
      <c r="BX112" s="98"/>
      <c r="BY112" s="279"/>
      <c r="BZ112" s="52"/>
      <c r="CA112" s="105"/>
      <c r="CB112" s="98"/>
      <c r="CC112" s="279"/>
      <c r="CD112" s="52"/>
      <c r="CE112" s="105"/>
      <c r="CF112" s="98"/>
      <c r="CG112" s="279"/>
      <c r="CH112" s="52"/>
      <c r="CI112" s="105"/>
      <c r="CJ112" s="98"/>
      <c r="CK112" s="281"/>
      <c r="CL112" s="277"/>
      <c r="CM112" s="159"/>
      <c r="CN112" s="277"/>
      <c r="CO112" s="50">
        <f t="shared" si="50"/>
        <v>0</v>
      </c>
      <c r="CP112" s="103">
        <f t="shared" si="51"/>
        <v>0</v>
      </c>
      <c r="CQ112" s="280">
        <f t="shared" si="52"/>
        <v>0</v>
      </c>
      <c r="CR112" s="63">
        <f t="shared" si="53"/>
        <v>0</v>
      </c>
      <c r="CS112" s="279"/>
      <c r="CT112" s="52"/>
      <c r="CU112" s="105"/>
      <c r="CV112" s="98"/>
      <c r="CW112" s="279"/>
      <c r="CX112" s="52"/>
      <c r="CY112" s="105"/>
      <c r="CZ112" s="98"/>
      <c r="DA112" s="279"/>
      <c r="DB112" s="52"/>
      <c r="DC112" s="105"/>
      <c r="DD112" s="98"/>
      <c r="DE112" s="279"/>
      <c r="DF112" s="52"/>
      <c r="DG112" s="105"/>
      <c r="DH112" s="98"/>
      <c r="DI112" s="279"/>
      <c r="DJ112" s="52"/>
      <c r="DK112" s="105"/>
      <c r="DL112" s="98"/>
      <c r="DM112" s="279"/>
      <c r="DN112" s="52"/>
      <c r="DO112" s="105"/>
      <c r="DP112" s="98"/>
      <c r="DQ112" s="279"/>
      <c r="DR112" s="52"/>
      <c r="DS112" s="105"/>
      <c r="DT112" s="98"/>
      <c r="DU112" s="279"/>
      <c r="DV112" s="52"/>
      <c r="DW112" s="105"/>
      <c r="DX112" s="98"/>
      <c r="DY112" s="279"/>
      <c r="DZ112" s="52"/>
      <c r="EA112" s="105"/>
      <c r="EB112" s="98"/>
      <c r="EC112" s="279"/>
      <c r="ED112" s="52"/>
      <c r="EE112" s="105"/>
      <c r="EF112" s="98"/>
      <c r="EG112" s="159"/>
      <c r="EH112" s="277"/>
      <c r="EI112" s="50">
        <f t="shared" si="54"/>
        <v>0</v>
      </c>
      <c r="EJ112" s="103">
        <f t="shared" si="55"/>
        <v>0</v>
      </c>
      <c r="EK112" s="164">
        <f t="shared" si="56"/>
        <v>0</v>
      </c>
      <c r="EL112" s="280">
        <f t="shared" si="57"/>
        <v>0</v>
      </c>
      <c r="EM112" s="63">
        <f t="shared" si="58"/>
        <v>0</v>
      </c>
      <c r="EN112" s="359">
        <f t="shared" si="59"/>
        <v>0</v>
      </c>
      <c r="EO112" s="51">
        <f t="shared" si="60"/>
        <v>0</v>
      </c>
      <c r="EP112" s="361">
        <f t="shared" si="61"/>
        <v>0</v>
      </c>
      <c r="EQ112" s="281"/>
      <c r="ER112" s="277"/>
      <c r="ES112" s="281"/>
      <c r="ET112" s="277"/>
      <c r="EU112" s="281"/>
      <c r="EV112" s="277"/>
      <c r="EW112" s="281"/>
      <c r="EX112" s="277"/>
      <c r="EY112" s="281"/>
      <c r="EZ112" s="277"/>
      <c r="FA112" s="281"/>
      <c r="FB112" s="277"/>
      <c r="FC112" s="281"/>
      <c r="FD112" s="277"/>
      <c r="FE112" s="281"/>
      <c r="FF112" s="277"/>
      <c r="FG112" s="281"/>
      <c r="FH112" s="277"/>
      <c r="FI112" s="281"/>
      <c r="FJ112" s="277"/>
      <c r="FK112" s="50">
        <f t="shared" si="62"/>
        <v>0</v>
      </c>
      <c r="FL112" s="63">
        <f t="shared" si="63"/>
        <v>0</v>
      </c>
      <c r="FM112" s="50">
        <f t="shared" si="45"/>
        <v>1970</v>
      </c>
      <c r="FN112" s="360">
        <f t="shared" si="46"/>
        <v>2057</v>
      </c>
      <c r="FO112" s="3"/>
      <c r="FP112" s="279"/>
      <c r="FQ112" s="52"/>
      <c r="FR112" s="296"/>
      <c r="FS112" s="98"/>
      <c r="FT112" s="467"/>
      <c r="FU112" s="52"/>
      <c r="FV112" s="296"/>
      <c r="FW112" s="98"/>
      <c r="FX112" s="467"/>
      <c r="FY112" s="52"/>
      <c r="FZ112" s="296"/>
      <c r="GA112" s="98"/>
      <c r="GB112" s="467"/>
      <c r="GC112" s="52"/>
      <c r="GD112" s="296"/>
      <c r="GE112" s="98"/>
      <c r="GF112" s="467"/>
      <c r="GG112" s="52"/>
      <c r="GH112" s="296"/>
      <c r="GI112" s="98"/>
      <c r="GJ112" s="467"/>
      <c r="GK112" s="52"/>
      <c r="GL112" s="296"/>
      <c r="GM112" s="464"/>
      <c r="GN112" s="467"/>
      <c r="GO112" s="52"/>
      <c r="GP112" s="296"/>
      <c r="GQ112" s="464"/>
      <c r="GR112" s="467"/>
      <c r="GS112" s="52"/>
      <c r="GT112" s="296"/>
      <c r="GU112" s="464"/>
      <c r="GV112" s="467"/>
      <c r="GW112" s="52"/>
      <c r="GX112" s="296"/>
      <c r="GY112" s="464"/>
      <c r="GZ112" s="467"/>
      <c r="HA112" s="52"/>
      <c r="HB112" s="296"/>
      <c r="HC112" s="3"/>
    </row>
    <row r="113" spans="1:211" s="86" customFormat="1">
      <c r="A113" s="288" t="s">
        <v>346</v>
      </c>
      <c r="B113" s="482" t="s">
        <v>517</v>
      </c>
      <c r="C113" s="483">
        <v>136516</v>
      </c>
      <c r="D113" s="484">
        <v>8</v>
      </c>
      <c r="E113" s="460">
        <v>292</v>
      </c>
      <c r="F113" s="277">
        <v>197</v>
      </c>
      <c r="G113" s="158"/>
      <c r="H113" s="277">
        <v>0</v>
      </c>
      <c r="I113" s="158">
        <v>948</v>
      </c>
      <c r="J113" s="277">
        <v>962</v>
      </c>
      <c r="K113" s="160">
        <f t="shared" si="47"/>
        <v>0</v>
      </c>
      <c r="L113" s="161">
        <f t="shared" si="40"/>
        <v>0</v>
      </c>
      <c r="M113" s="54"/>
      <c r="N113" s="55"/>
      <c r="O113" s="55"/>
      <c r="P113" s="55"/>
      <c r="Q113" s="162">
        <f t="shared" si="48"/>
        <v>0</v>
      </c>
      <c r="R113" s="277">
        <v>0</v>
      </c>
      <c r="S113" s="277"/>
      <c r="T113" s="277"/>
      <c r="U113" s="277"/>
      <c r="V113" s="97">
        <f t="shared" si="49"/>
        <v>0</v>
      </c>
      <c r="W113" s="279"/>
      <c r="X113" s="52"/>
      <c r="Y113" s="99"/>
      <c r="Z113" s="53"/>
      <c r="AA113" s="228"/>
      <c r="AB113" s="52"/>
      <c r="AC113" s="99"/>
      <c r="AD113" s="53"/>
      <c r="AE113" s="228"/>
      <c r="AF113" s="52"/>
      <c r="AG113" s="99"/>
      <c r="AH113" s="53"/>
      <c r="AI113" s="228"/>
      <c r="AJ113" s="52"/>
      <c r="AK113" s="99"/>
      <c r="AL113" s="53"/>
      <c r="AM113" s="228"/>
      <c r="AN113" s="52"/>
      <c r="AO113" s="99"/>
      <c r="AP113" s="53"/>
      <c r="AQ113" s="50">
        <f t="shared" si="41"/>
        <v>0</v>
      </c>
      <c r="AR113" s="163">
        <f t="shared" si="42"/>
        <v>0</v>
      </c>
      <c r="AS113" s="97">
        <f t="shared" si="43"/>
        <v>0</v>
      </c>
      <c r="AT113" s="278">
        <f t="shared" si="44"/>
        <v>0</v>
      </c>
      <c r="AU113" s="55"/>
      <c r="AV113" s="277"/>
      <c r="AW113" s="279"/>
      <c r="AX113" s="52"/>
      <c r="AY113" s="105"/>
      <c r="AZ113" s="98"/>
      <c r="BA113" s="279"/>
      <c r="BB113" s="52"/>
      <c r="BC113" s="105"/>
      <c r="BD113" s="98"/>
      <c r="BE113" s="279"/>
      <c r="BF113" s="52"/>
      <c r="BG113" s="105"/>
      <c r="BH113" s="98"/>
      <c r="BI113" s="279"/>
      <c r="BJ113" s="52"/>
      <c r="BK113" s="105"/>
      <c r="BL113" s="98"/>
      <c r="BM113" s="279"/>
      <c r="BN113" s="52"/>
      <c r="BO113" s="105"/>
      <c r="BP113" s="98"/>
      <c r="BQ113" s="279"/>
      <c r="BR113" s="52"/>
      <c r="BS113" s="105"/>
      <c r="BT113" s="98"/>
      <c r="BU113" s="279"/>
      <c r="BV113" s="52"/>
      <c r="BW113" s="105"/>
      <c r="BX113" s="98"/>
      <c r="BY113" s="279"/>
      <c r="BZ113" s="52"/>
      <c r="CA113" s="105"/>
      <c r="CB113" s="98"/>
      <c r="CC113" s="279"/>
      <c r="CD113" s="52"/>
      <c r="CE113" s="105"/>
      <c r="CF113" s="98"/>
      <c r="CG113" s="279"/>
      <c r="CH113" s="52"/>
      <c r="CI113" s="105"/>
      <c r="CJ113" s="98"/>
      <c r="CK113" s="281"/>
      <c r="CL113" s="277"/>
      <c r="CM113" s="159"/>
      <c r="CN113" s="277"/>
      <c r="CO113" s="50">
        <f t="shared" si="50"/>
        <v>0</v>
      </c>
      <c r="CP113" s="103">
        <f t="shared" si="51"/>
        <v>0</v>
      </c>
      <c r="CQ113" s="280">
        <f t="shared" si="52"/>
        <v>0</v>
      </c>
      <c r="CR113" s="63">
        <f t="shared" si="53"/>
        <v>0</v>
      </c>
      <c r="CS113" s="279"/>
      <c r="CT113" s="52"/>
      <c r="CU113" s="105"/>
      <c r="CV113" s="98"/>
      <c r="CW113" s="279"/>
      <c r="CX113" s="52"/>
      <c r="CY113" s="105"/>
      <c r="CZ113" s="98"/>
      <c r="DA113" s="279"/>
      <c r="DB113" s="52"/>
      <c r="DC113" s="105"/>
      <c r="DD113" s="98"/>
      <c r="DE113" s="279"/>
      <c r="DF113" s="52"/>
      <c r="DG113" s="105"/>
      <c r="DH113" s="98"/>
      <c r="DI113" s="279"/>
      <c r="DJ113" s="52"/>
      <c r="DK113" s="105"/>
      <c r="DL113" s="98"/>
      <c r="DM113" s="279"/>
      <c r="DN113" s="52"/>
      <c r="DO113" s="105"/>
      <c r="DP113" s="98"/>
      <c r="DQ113" s="279"/>
      <c r="DR113" s="52"/>
      <c r="DS113" s="105"/>
      <c r="DT113" s="98"/>
      <c r="DU113" s="279"/>
      <c r="DV113" s="52"/>
      <c r="DW113" s="105"/>
      <c r="DX113" s="98"/>
      <c r="DY113" s="279"/>
      <c r="DZ113" s="52"/>
      <c r="EA113" s="105"/>
      <c r="EB113" s="98"/>
      <c r="EC113" s="279"/>
      <c r="ED113" s="52"/>
      <c r="EE113" s="105"/>
      <c r="EF113" s="98"/>
      <c r="EG113" s="159"/>
      <c r="EH113" s="277"/>
      <c r="EI113" s="50">
        <f t="shared" si="54"/>
        <v>0</v>
      </c>
      <c r="EJ113" s="103">
        <f t="shared" si="55"/>
        <v>0</v>
      </c>
      <c r="EK113" s="164">
        <f t="shared" si="56"/>
        <v>0</v>
      </c>
      <c r="EL113" s="280">
        <f t="shared" si="57"/>
        <v>0</v>
      </c>
      <c r="EM113" s="63">
        <f t="shared" si="58"/>
        <v>0</v>
      </c>
      <c r="EN113" s="359">
        <f t="shared" si="59"/>
        <v>0</v>
      </c>
      <c r="EO113" s="51">
        <f t="shared" si="60"/>
        <v>0</v>
      </c>
      <c r="EP113" s="361">
        <f t="shared" si="61"/>
        <v>0</v>
      </c>
      <c r="EQ113" s="281"/>
      <c r="ER113" s="277"/>
      <c r="ES113" s="281"/>
      <c r="ET113" s="277"/>
      <c r="EU113" s="281"/>
      <c r="EV113" s="277"/>
      <c r="EW113" s="281"/>
      <c r="EX113" s="277"/>
      <c r="EY113" s="281"/>
      <c r="EZ113" s="277"/>
      <c r="FA113" s="281"/>
      <c r="FB113" s="277"/>
      <c r="FC113" s="281"/>
      <c r="FD113" s="277"/>
      <c r="FE113" s="281"/>
      <c r="FF113" s="277"/>
      <c r="FG113" s="281"/>
      <c r="FH113" s="277"/>
      <c r="FI113" s="281"/>
      <c r="FJ113" s="277"/>
      <c r="FK113" s="50">
        <f t="shared" si="62"/>
        <v>0</v>
      </c>
      <c r="FL113" s="63">
        <f t="shared" si="63"/>
        <v>0</v>
      </c>
      <c r="FM113" s="50">
        <f t="shared" si="45"/>
        <v>1240</v>
      </c>
      <c r="FN113" s="360">
        <f t="shared" si="46"/>
        <v>1159</v>
      </c>
      <c r="FO113" s="3"/>
      <c r="FP113" s="279"/>
      <c r="FQ113" s="52"/>
      <c r="FR113" s="296"/>
      <c r="FS113" s="98"/>
      <c r="FT113" s="467"/>
      <c r="FU113" s="52"/>
      <c r="FV113" s="296"/>
      <c r="FW113" s="98"/>
      <c r="FX113" s="467"/>
      <c r="FY113" s="52"/>
      <c r="FZ113" s="296"/>
      <c r="GA113" s="98"/>
      <c r="GB113" s="467"/>
      <c r="GC113" s="52"/>
      <c r="GD113" s="296"/>
      <c r="GE113" s="98"/>
      <c r="GF113" s="467"/>
      <c r="GG113" s="52"/>
      <c r="GH113" s="296"/>
      <c r="GI113" s="98"/>
      <c r="GJ113" s="467"/>
      <c r="GK113" s="52"/>
      <c r="GL113" s="296"/>
      <c r="GM113" s="464"/>
      <c r="GN113" s="467"/>
      <c r="GO113" s="52"/>
      <c r="GP113" s="296"/>
      <c r="GQ113" s="464"/>
      <c r="GR113" s="467"/>
      <c r="GS113" s="52"/>
      <c r="GT113" s="296"/>
      <c r="GU113" s="464"/>
      <c r="GV113" s="467"/>
      <c r="GW113" s="52"/>
      <c r="GX113" s="296"/>
      <c r="GY113" s="464"/>
      <c r="GZ113" s="467"/>
      <c r="HA113" s="52"/>
      <c r="HB113" s="296"/>
      <c r="HC113" s="3"/>
    </row>
    <row r="114" spans="1:211" s="86" customFormat="1">
      <c r="A114" s="288" t="s">
        <v>346</v>
      </c>
      <c r="B114" s="289" t="s">
        <v>519</v>
      </c>
      <c r="C114" s="288">
        <v>137096</v>
      </c>
      <c r="D114" s="344">
        <v>8</v>
      </c>
      <c r="E114" s="460">
        <v>503</v>
      </c>
      <c r="F114" s="277">
        <v>481</v>
      </c>
      <c r="G114" s="158">
        <v>25</v>
      </c>
      <c r="H114" s="277">
        <v>25</v>
      </c>
      <c r="I114" s="158">
        <v>2719</v>
      </c>
      <c r="J114" s="277">
        <v>2767</v>
      </c>
      <c r="K114" s="160">
        <f t="shared" si="47"/>
        <v>0</v>
      </c>
      <c r="L114" s="161">
        <f t="shared" si="40"/>
        <v>0</v>
      </c>
      <c r="M114" s="54"/>
      <c r="N114" s="55"/>
      <c r="O114" s="55"/>
      <c r="P114" s="55"/>
      <c r="Q114" s="162">
        <f t="shared" si="48"/>
        <v>0</v>
      </c>
      <c r="R114" s="277">
        <v>0</v>
      </c>
      <c r="S114" s="277"/>
      <c r="T114" s="277"/>
      <c r="U114" s="277"/>
      <c r="V114" s="97">
        <f t="shared" si="49"/>
        <v>0</v>
      </c>
      <c r="W114" s="279"/>
      <c r="X114" s="52"/>
      <c r="Y114" s="99"/>
      <c r="Z114" s="53"/>
      <c r="AA114" s="228"/>
      <c r="AB114" s="52"/>
      <c r="AC114" s="99"/>
      <c r="AD114" s="53"/>
      <c r="AE114" s="228"/>
      <c r="AF114" s="52"/>
      <c r="AG114" s="99"/>
      <c r="AH114" s="53"/>
      <c r="AI114" s="228"/>
      <c r="AJ114" s="52"/>
      <c r="AK114" s="99"/>
      <c r="AL114" s="53"/>
      <c r="AM114" s="228"/>
      <c r="AN114" s="52"/>
      <c r="AO114" s="99"/>
      <c r="AP114" s="53"/>
      <c r="AQ114" s="50">
        <f t="shared" si="41"/>
        <v>0</v>
      </c>
      <c r="AR114" s="163">
        <f t="shared" si="42"/>
        <v>0</v>
      </c>
      <c r="AS114" s="97">
        <f t="shared" si="43"/>
        <v>0</v>
      </c>
      <c r="AT114" s="278">
        <f t="shared" si="44"/>
        <v>0</v>
      </c>
      <c r="AU114" s="55"/>
      <c r="AV114" s="277"/>
      <c r="AW114" s="279"/>
      <c r="AX114" s="52"/>
      <c r="AY114" s="105"/>
      <c r="AZ114" s="98"/>
      <c r="BA114" s="279"/>
      <c r="BB114" s="52"/>
      <c r="BC114" s="105"/>
      <c r="BD114" s="98"/>
      <c r="BE114" s="279"/>
      <c r="BF114" s="52"/>
      <c r="BG114" s="105"/>
      <c r="BH114" s="98"/>
      <c r="BI114" s="279"/>
      <c r="BJ114" s="52"/>
      <c r="BK114" s="105"/>
      <c r="BL114" s="98"/>
      <c r="BM114" s="279"/>
      <c r="BN114" s="52"/>
      <c r="BO114" s="105"/>
      <c r="BP114" s="98"/>
      <c r="BQ114" s="279"/>
      <c r="BR114" s="52"/>
      <c r="BS114" s="105"/>
      <c r="BT114" s="98"/>
      <c r="BU114" s="279"/>
      <c r="BV114" s="52"/>
      <c r="BW114" s="105"/>
      <c r="BX114" s="98"/>
      <c r="BY114" s="279"/>
      <c r="BZ114" s="52"/>
      <c r="CA114" s="105"/>
      <c r="CB114" s="98"/>
      <c r="CC114" s="279"/>
      <c r="CD114" s="52"/>
      <c r="CE114" s="105"/>
      <c r="CF114" s="98"/>
      <c r="CG114" s="279"/>
      <c r="CH114" s="52"/>
      <c r="CI114" s="105"/>
      <c r="CJ114" s="98"/>
      <c r="CK114" s="281"/>
      <c r="CL114" s="277"/>
      <c r="CM114" s="159"/>
      <c r="CN114" s="277"/>
      <c r="CO114" s="50">
        <f t="shared" si="50"/>
        <v>0</v>
      </c>
      <c r="CP114" s="103">
        <f t="shared" si="51"/>
        <v>0</v>
      </c>
      <c r="CQ114" s="280">
        <f t="shared" si="52"/>
        <v>0</v>
      </c>
      <c r="CR114" s="63">
        <f t="shared" si="53"/>
        <v>0</v>
      </c>
      <c r="CS114" s="279"/>
      <c r="CT114" s="52"/>
      <c r="CU114" s="105"/>
      <c r="CV114" s="98"/>
      <c r="CW114" s="279"/>
      <c r="CX114" s="52"/>
      <c r="CY114" s="105"/>
      <c r="CZ114" s="98"/>
      <c r="DA114" s="279"/>
      <c r="DB114" s="52"/>
      <c r="DC114" s="105"/>
      <c r="DD114" s="98"/>
      <c r="DE114" s="279"/>
      <c r="DF114" s="52"/>
      <c r="DG114" s="105"/>
      <c r="DH114" s="98"/>
      <c r="DI114" s="279"/>
      <c r="DJ114" s="52"/>
      <c r="DK114" s="105"/>
      <c r="DL114" s="98"/>
      <c r="DM114" s="279"/>
      <c r="DN114" s="52"/>
      <c r="DO114" s="105"/>
      <c r="DP114" s="98"/>
      <c r="DQ114" s="279"/>
      <c r="DR114" s="52"/>
      <c r="DS114" s="105"/>
      <c r="DT114" s="98"/>
      <c r="DU114" s="279"/>
      <c r="DV114" s="52"/>
      <c r="DW114" s="105"/>
      <c r="DX114" s="98"/>
      <c r="DY114" s="279"/>
      <c r="DZ114" s="52"/>
      <c r="EA114" s="105"/>
      <c r="EB114" s="98"/>
      <c r="EC114" s="279"/>
      <c r="ED114" s="52"/>
      <c r="EE114" s="105"/>
      <c r="EF114" s="98"/>
      <c r="EG114" s="159"/>
      <c r="EH114" s="277"/>
      <c r="EI114" s="50">
        <f t="shared" si="54"/>
        <v>0</v>
      </c>
      <c r="EJ114" s="103">
        <f t="shared" si="55"/>
        <v>0</v>
      </c>
      <c r="EK114" s="164">
        <f t="shared" si="56"/>
        <v>0</v>
      </c>
      <c r="EL114" s="280">
        <f t="shared" si="57"/>
        <v>0</v>
      </c>
      <c r="EM114" s="63">
        <f t="shared" si="58"/>
        <v>0</v>
      </c>
      <c r="EN114" s="359">
        <f t="shared" si="59"/>
        <v>0</v>
      </c>
      <c r="EO114" s="51">
        <f t="shared" si="60"/>
        <v>0</v>
      </c>
      <c r="EP114" s="361">
        <f t="shared" si="61"/>
        <v>0</v>
      </c>
      <c r="EQ114" s="281"/>
      <c r="ER114" s="277"/>
      <c r="ES114" s="281"/>
      <c r="ET114" s="277"/>
      <c r="EU114" s="281"/>
      <c r="EV114" s="277"/>
      <c r="EW114" s="281"/>
      <c r="EX114" s="277"/>
      <c r="EY114" s="281"/>
      <c r="EZ114" s="277"/>
      <c r="FA114" s="281"/>
      <c r="FB114" s="277"/>
      <c r="FC114" s="281"/>
      <c r="FD114" s="277"/>
      <c r="FE114" s="281"/>
      <c r="FF114" s="277"/>
      <c r="FG114" s="281"/>
      <c r="FH114" s="277"/>
      <c r="FI114" s="281"/>
      <c r="FJ114" s="277"/>
      <c r="FK114" s="50">
        <f t="shared" si="62"/>
        <v>0</v>
      </c>
      <c r="FL114" s="63">
        <f t="shared" si="63"/>
        <v>0</v>
      </c>
      <c r="FM114" s="50">
        <f t="shared" si="45"/>
        <v>3247</v>
      </c>
      <c r="FN114" s="360">
        <f t="shared" si="46"/>
        <v>3273</v>
      </c>
      <c r="FO114" s="3"/>
      <c r="FP114" s="279"/>
      <c r="FQ114" s="52"/>
      <c r="FR114" s="296"/>
      <c r="FS114" s="98"/>
      <c r="FT114" s="467"/>
      <c r="FU114" s="52"/>
      <c r="FV114" s="296"/>
      <c r="FW114" s="98"/>
      <c r="FX114" s="467"/>
      <c r="FY114" s="52"/>
      <c r="FZ114" s="296"/>
      <c r="GA114" s="98"/>
      <c r="GB114" s="467"/>
      <c r="GC114" s="52"/>
      <c r="GD114" s="296"/>
      <c r="GE114" s="98"/>
      <c r="GF114" s="467"/>
      <c r="GG114" s="52"/>
      <c r="GH114" s="296"/>
      <c r="GI114" s="98"/>
      <c r="GJ114" s="467"/>
      <c r="GK114" s="52"/>
      <c r="GL114" s="296"/>
      <c r="GM114" s="464"/>
      <c r="GN114" s="467"/>
      <c r="GO114" s="52"/>
      <c r="GP114" s="296"/>
      <c r="GQ114" s="464"/>
      <c r="GR114" s="467"/>
      <c r="GS114" s="52"/>
      <c r="GT114" s="296"/>
      <c r="GU114" s="464"/>
      <c r="GV114" s="467"/>
      <c r="GW114" s="52"/>
      <c r="GX114" s="296"/>
      <c r="GY114" s="464"/>
      <c r="GZ114" s="467"/>
      <c r="HA114" s="52"/>
      <c r="HB114" s="296"/>
      <c r="HC114" s="3"/>
    </row>
    <row r="115" spans="1:211" s="86" customFormat="1">
      <c r="A115" s="288" t="s">
        <v>346</v>
      </c>
      <c r="B115" s="289" t="s">
        <v>520</v>
      </c>
      <c r="C115" s="288">
        <v>137209</v>
      </c>
      <c r="D115" s="344">
        <v>8</v>
      </c>
      <c r="E115" s="460">
        <v>764</v>
      </c>
      <c r="F115" s="277">
        <v>1050</v>
      </c>
      <c r="G115" s="158">
        <v>33</v>
      </c>
      <c r="H115" s="277">
        <v>32</v>
      </c>
      <c r="I115" s="158">
        <v>1351</v>
      </c>
      <c r="J115" s="277">
        <v>1704</v>
      </c>
      <c r="K115" s="160">
        <f t="shared" si="47"/>
        <v>0</v>
      </c>
      <c r="L115" s="161">
        <f t="shared" si="40"/>
        <v>0</v>
      </c>
      <c r="M115" s="54"/>
      <c r="N115" s="55"/>
      <c r="O115" s="55"/>
      <c r="P115" s="55"/>
      <c r="Q115" s="162">
        <f t="shared" si="48"/>
        <v>0</v>
      </c>
      <c r="R115" s="277">
        <v>0</v>
      </c>
      <c r="S115" s="277"/>
      <c r="T115" s="277"/>
      <c r="U115" s="277"/>
      <c r="V115" s="97">
        <f t="shared" si="49"/>
        <v>0</v>
      </c>
      <c r="W115" s="279"/>
      <c r="X115" s="52"/>
      <c r="Y115" s="99"/>
      <c r="Z115" s="53"/>
      <c r="AA115" s="228"/>
      <c r="AB115" s="52"/>
      <c r="AC115" s="99"/>
      <c r="AD115" s="53"/>
      <c r="AE115" s="228"/>
      <c r="AF115" s="52"/>
      <c r="AG115" s="99"/>
      <c r="AH115" s="53"/>
      <c r="AI115" s="228"/>
      <c r="AJ115" s="52"/>
      <c r="AK115" s="99"/>
      <c r="AL115" s="53"/>
      <c r="AM115" s="228"/>
      <c r="AN115" s="52"/>
      <c r="AO115" s="99"/>
      <c r="AP115" s="53"/>
      <c r="AQ115" s="50">
        <f t="shared" si="41"/>
        <v>0</v>
      </c>
      <c r="AR115" s="163">
        <f t="shared" si="42"/>
        <v>0</v>
      </c>
      <c r="AS115" s="97">
        <f t="shared" si="43"/>
        <v>0</v>
      </c>
      <c r="AT115" s="278">
        <f t="shared" si="44"/>
        <v>0</v>
      </c>
      <c r="AU115" s="55"/>
      <c r="AV115" s="277"/>
      <c r="AW115" s="279"/>
      <c r="AX115" s="52"/>
      <c r="AY115" s="105"/>
      <c r="AZ115" s="98"/>
      <c r="BA115" s="279"/>
      <c r="BB115" s="52"/>
      <c r="BC115" s="105"/>
      <c r="BD115" s="98"/>
      <c r="BE115" s="279"/>
      <c r="BF115" s="52"/>
      <c r="BG115" s="105"/>
      <c r="BH115" s="98"/>
      <c r="BI115" s="279"/>
      <c r="BJ115" s="52"/>
      <c r="BK115" s="105"/>
      <c r="BL115" s="98"/>
      <c r="BM115" s="279"/>
      <c r="BN115" s="52"/>
      <c r="BO115" s="105"/>
      <c r="BP115" s="98"/>
      <c r="BQ115" s="279"/>
      <c r="BR115" s="52"/>
      <c r="BS115" s="105"/>
      <c r="BT115" s="98"/>
      <c r="BU115" s="279"/>
      <c r="BV115" s="52"/>
      <c r="BW115" s="105"/>
      <c r="BX115" s="98"/>
      <c r="BY115" s="279"/>
      <c r="BZ115" s="52"/>
      <c r="CA115" s="105"/>
      <c r="CB115" s="98"/>
      <c r="CC115" s="279"/>
      <c r="CD115" s="52"/>
      <c r="CE115" s="105"/>
      <c r="CF115" s="98"/>
      <c r="CG115" s="279"/>
      <c r="CH115" s="52"/>
      <c r="CI115" s="105"/>
      <c r="CJ115" s="98"/>
      <c r="CK115" s="281"/>
      <c r="CL115" s="277"/>
      <c r="CM115" s="159"/>
      <c r="CN115" s="277"/>
      <c r="CO115" s="50">
        <f t="shared" si="50"/>
        <v>0</v>
      </c>
      <c r="CP115" s="103">
        <f t="shared" si="51"/>
        <v>0</v>
      </c>
      <c r="CQ115" s="280">
        <f t="shared" si="52"/>
        <v>0</v>
      </c>
      <c r="CR115" s="63">
        <f t="shared" si="53"/>
        <v>0</v>
      </c>
      <c r="CS115" s="279"/>
      <c r="CT115" s="52"/>
      <c r="CU115" s="105"/>
      <c r="CV115" s="98"/>
      <c r="CW115" s="279"/>
      <c r="CX115" s="52"/>
      <c r="CY115" s="105"/>
      <c r="CZ115" s="98"/>
      <c r="DA115" s="279"/>
      <c r="DB115" s="52"/>
      <c r="DC115" s="105"/>
      <c r="DD115" s="98"/>
      <c r="DE115" s="279"/>
      <c r="DF115" s="52"/>
      <c r="DG115" s="105"/>
      <c r="DH115" s="98"/>
      <c r="DI115" s="279"/>
      <c r="DJ115" s="52"/>
      <c r="DK115" s="105"/>
      <c r="DL115" s="98"/>
      <c r="DM115" s="279"/>
      <c r="DN115" s="52"/>
      <c r="DO115" s="105"/>
      <c r="DP115" s="98"/>
      <c r="DQ115" s="279"/>
      <c r="DR115" s="52"/>
      <c r="DS115" s="105"/>
      <c r="DT115" s="98"/>
      <c r="DU115" s="279"/>
      <c r="DV115" s="52"/>
      <c r="DW115" s="105"/>
      <c r="DX115" s="98"/>
      <c r="DY115" s="279"/>
      <c r="DZ115" s="52"/>
      <c r="EA115" s="105"/>
      <c r="EB115" s="98"/>
      <c r="EC115" s="279"/>
      <c r="ED115" s="52"/>
      <c r="EE115" s="105"/>
      <c r="EF115" s="98"/>
      <c r="EG115" s="159"/>
      <c r="EH115" s="277"/>
      <c r="EI115" s="50">
        <f t="shared" si="54"/>
        <v>0</v>
      </c>
      <c r="EJ115" s="103">
        <f t="shared" si="55"/>
        <v>0</v>
      </c>
      <c r="EK115" s="164">
        <f t="shared" si="56"/>
        <v>0</v>
      </c>
      <c r="EL115" s="280">
        <f t="shared" si="57"/>
        <v>0</v>
      </c>
      <c r="EM115" s="63">
        <f t="shared" si="58"/>
        <v>0</v>
      </c>
      <c r="EN115" s="359">
        <f t="shared" si="59"/>
        <v>0</v>
      </c>
      <c r="EO115" s="51">
        <f t="shared" si="60"/>
        <v>0</v>
      </c>
      <c r="EP115" s="361">
        <f t="shared" si="61"/>
        <v>0</v>
      </c>
      <c r="EQ115" s="281"/>
      <c r="ER115" s="277"/>
      <c r="ES115" s="281"/>
      <c r="ET115" s="277"/>
      <c r="EU115" s="281"/>
      <c r="EV115" s="277"/>
      <c r="EW115" s="281"/>
      <c r="EX115" s="277"/>
      <c r="EY115" s="281"/>
      <c r="EZ115" s="277"/>
      <c r="FA115" s="281"/>
      <c r="FB115" s="277"/>
      <c r="FC115" s="281"/>
      <c r="FD115" s="277"/>
      <c r="FE115" s="281"/>
      <c r="FF115" s="277"/>
      <c r="FG115" s="281"/>
      <c r="FH115" s="277"/>
      <c r="FI115" s="281"/>
      <c r="FJ115" s="277"/>
      <c r="FK115" s="50">
        <f t="shared" si="62"/>
        <v>0</v>
      </c>
      <c r="FL115" s="63">
        <f t="shared" si="63"/>
        <v>0</v>
      </c>
      <c r="FM115" s="50">
        <f t="shared" si="45"/>
        <v>2148</v>
      </c>
      <c r="FN115" s="360">
        <f t="shared" si="46"/>
        <v>2786</v>
      </c>
      <c r="FO115" s="3"/>
      <c r="FP115" s="279"/>
      <c r="FQ115" s="52"/>
      <c r="FR115" s="296"/>
      <c r="FS115" s="98"/>
      <c r="FT115" s="467"/>
      <c r="FU115" s="52"/>
      <c r="FV115" s="296"/>
      <c r="FW115" s="98"/>
      <c r="FX115" s="467"/>
      <c r="FY115" s="52"/>
      <c r="FZ115" s="296"/>
      <c r="GA115" s="98"/>
      <c r="GB115" s="467"/>
      <c r="GC115" s="52"/>
      <c r="GD115" s="296"/>
      <c r="GE115" s="98"/>
      <c r="GF115" s="467"/>
      <c r="GG115" s="52"/>
      <c r="GH115" s="296"/>
      <c r="GI115" s="98"/>
      <c r="GJ115" s="467"/>
      <c r="GK115" s="52"/>
      <c r="GL115" s="296"/>
      <c r="GM115" s="464"/>
      <c r="GN115" s="467"/>
      <c r="GO115" s="52"/>
      <c r="GP115" s="296"/>
      <c r="GQ115" s="464"/>
      <c r="GR115" s="467"/>
      <c r="GS115" s="52"/>
      <c r="GT115" s="296"/>
      <c r="GU115" s="464"/>
      <c r="GV115" s="467"/>
      <c r="GW115" s="52"/>
      <c r="GX115" s="296"/>
      <c r="GY115" s="464"/>
      <c r="GZ115" s="467"/>
      <c r="HA115" s="52"/>
      <c r="HB115" s="296"/>
      <c r="HC115" s="3"/>
    </row>
    <row r="116" spans="1:211" s="86" customFormat="1">
      <c r="A116" s="288" t="s">
        <v>346</v>
      </c>
      <c r="B116" s="289" t="s">
        <v>1224</v>
      </c>
      <c r="C116" s="288">
        <v>135391</v>
      </c>
      <c r="D116" s="344">
        <v>8</v>
      </c>
      <c r="E116" s="460">
        <v>9</v>
      </c>
      <c r="F116" s="277">
        <v>7</v>
      </c>
      <c r="G116" s="158"/>
      <c r="H116" s="277">
        <v>0</v>
      </c>
      <c r="I116" s="158">
        <v>1304</v>
      </c>
      <c r="J116" s="277">
        <v>1344</v>
      </c>
      <c r="K116" s="160">
        <f t="shared" si="47"/>
        <v>0</v>
      </c>
      <c r="L116" s="161">
        <f t="shared" si="40"/>
        <v>0</v>
      </c>
      <c r="M116" s="54"/>
      <c r="N116" s="55"/>
      <c r="O116" s="55"/>
      <c r="P116" s="55"/>
      <c r="Q116" s="162">
        <f t="shared" si="48"/>
        <v>0</v>
      </c>
      <c r="R116" s="277">
        <v>0</v>
      </c>
      <c r="S116" s="277"/>
      <c r="T116" s="277"/>
      <c r="U116" s="277"/>
      <c r="V116" s="97">
        <f t="shared" si="49"/>
        <v>0</v>
      </c>
      <c r="W116" s="279"/>
      <c r="X116" s="52"/>
      <c r="Y116" s="99"/>
      <c r="Z116" s="53"/>
      <c r="AA116" s="228"/>
      <c r="AB116" s="52"/>
      <c r="AC116" s="99"/>
      <c r="AD116" s="53"/>
      <c r="AE116" s="228"/>
      <c r="AF116" s="52"/>
      <c r="AG116" s="99"/>
      <c r="AH116" s="53"/>
      <c r="AI116" s="228"/>
      <c r="AJ116" s="52"/>
      <c r="AK116" s="99"/>
      <c r="AL116" s="53"/>
      <c r="AM116" s="228"/>
      <c r="AN116" s="52"/>
      <c r="AO116" s="99"/>
      <c r="AP116" s="53"/>
      <c r="AQ116" s="50">
        <f t="shared" si="41"/>
        <v>0</v>
      </c>
      <c r="AR116" s="163">
        <f t="shared" si="42"/>
        <v>0</v>
      </c>
      <c r="AS116" s="97">
        <f t="shared" si="43"/>
        <v>0</v>
      </c>
      <c r="AT116" s="278">
        <f t="shared" si="44"/>
        <v>0</v>
      </c>
      <c r="AU116" s="55"/>
      <c r="AV116" s="277"/>
      <c r="AW116" s="279"/>
      <c r="AX116" s="52"/>
      <c r="AY116" s="105"/>
      <c r="AZ116" s="98"/>
      <c r="BA116" s="279"/>
      <c r="BB116" s="52"/>
      <c r="BC116" s="105"/>
      <c r="BD116" s="98"/>
      <c r="BE116" s="279"/>
      <c r="BF116" s="52"/>
      <c r="BG116" s="105"/>
      <c r="BH116" s="98"/>
      <c r="BI116" s="279"/>
      <c r="BJ116" s="52"/>
      <c r="BK116" s="105"/>
      <c r="BL116" s="98"/>
      <c r="BM116" s="279"/>
      <c r="BN116" s="52"/>
      <c r="BO116" s="105"/>
      <c r="BP116" s="98"/>
      <c r="BQ116" s="279"/>
      <c r="BR116" s="52"/>
      <c r="BS116" s="105"/>
      <c r="BT116" s="98"/>
      <c r="BU116" s="279"/>
      <c r="BV116" s="52"/>
      <c r="BW116" s="105"/>
      <c r="BX116" s="98"/>
      <c r="BY116" s="279"/>
      <c r="BZ116" s="52"/>
      <c r="CA116" s="105"/>
      <c r="CB116" s="98"/>
      <c r="CC116" s="279"/>
      <c r="CD116" s="52"/>
      <c r="CE116" s="105"/>
      <c r="CF116" s="98"/>
      <c r="CG116" s="279"/>
      <c r="CH116" s="52"/>
      <c r="CI116" s="105"/>
      <c r="CJ116" s="98"/>
      <c r="CK116" s="281"/>
      <c r="CL116" s="277"/>
      <c r="CM116" s="159"/>
      <c r="CN116" s="277"/>
      <c r="CO116" s="50">
        <f t="shared" si="50"/>
        <v>0</v>
      </c>
      <c r="CP116" s="103">
        <f t="shared" si="51"/>
        <v>0</v>
      </c>
      <c r="CQ116" s="280">
        <f t="shared" si="52"/>
        <v>0</v>
      </c>
      <c r="CR116" s="63">
        <f t="shared" si="53"/>
        <v>0</v>
      </c>
      <c r="CS116" s="279"/>
      <c r="CT116" s="52"/>
      <c r="CU116" s="105"/>
      <c r="CV116" s="98"/>
      <c r="CW116" s="279"/>
      <c r="CX116" s="52"/>
      <c r="CY116" s="105"/>
      <c r="CZ116" s="98"/>
      <c r="DA116" s="279"/>
      <c r="DB116" s="52"/>
      <c r="DC116" s="105"/>
      <c r="DD116" s="98"/>
      <c r="DE116" s="279"/>
      <c r="DF116" s="52"/>
      <c r="DG116" s="105"/>
      <c r="DH116" s="98"/>
      <c r="DI116" s="279"/>
      <c r="DJ116" s="52"/>
      <c r="DK116" s="105"/>
      <c r="DL116" s="98"/>
      <c r="DM116" s="279"/>
      <c r="DN116" s="52"/>
      <c r="DO116" s="105"/>
      <c r="DP116" s="98"/>
      <c r="DQ116" s="279"/>
      <c r="DR116" s="52"/>
      <c r="DS116" s="105"/>
      <c r="DT116" s="98"/>
      <c r="DU116" s="279"/>
      <c r="DV116" s="52"/>
      <c r="DW116" s="105"/>
      <c r="DX116" s="98"/>
      <c r="DY116" s="279"/>
      <c r="DZ116" s="52"/>
      <c r="EA116" s="105"/>
      <c r="EB116" s="98"/>
      <c r="EC116" s="279"/>
      <c r="ED116" s="52"/>
      <c r="EE116" s="105"/>
      <c r="EF116" s="98"/>
      <c r="EG116" s="159"/>
      <c r="EH116" s="277"/>
      <c r="EI116" s="50">
        <f t="shared" si="54"/>
        <v>0</v>
      </c>
      <c r="EJ116" s="103">
        <f t="shared" si="55"/>
        <v>0</v>
      </c>
      <c r="EK116" s="164">
        <f t="shared" si="56"/>
        <v>0</v>
      </c>
      <c r="EL116" s="280">
        <f t="shared" si="57"/>
        <v>0</v>
      </c>
      <c r="EM116" s="63">
        <f t="shared" si="58"/>
        <v>0</v>
      </c>
      <c r="EN116" s="359">
        <f t="shared" si="59"/>
        <v>0</v>
      </c>
      <c r="EO116" s="51">
        <f t="shared" si="60"/>
        <v>0</v>
      </c>
      <c r="EP116" s="361">
        <f t="shared" si="61"/>
        <v>0</v>
      </c>
      <c r="EQ116" s="281"/>
      <c r="ER116" s="277"/>
      <c r="ES116" s="281"/>
      <c r="ET116" s="277"/>
      <c r="EU116" s="281"/>
      <c r="EV116" s="277"/>
      <c r="EW116" s="281"/>
      <c r="EX116" s="277"/>
      <c r="EY116" s="281"/>
      <c r="EZ116" s="277"/>
      <c r="FA116" s="281"/>
      <c r="FB116" s="277"/>
      <c r="FC116" s="281"/>
      <c r="FD116" s="277"/>
      <c r="FE116" s="281"/>
      <c r="FF116" s="277"/>
      <c r="FG116" s="281"/>
      <c r="FH116" s="277"/>
      <c r="FI116" s="281"/>
      <c r="FJ116" s="277"/>
      <c r="FK116" s="50">
        <f t="shared" si="62"/>
        <v>0</v>
      </c>
      <c r="FL116" s="63">
        <f t="shared" si="63"/>
        <v>0</v>
      </c>
      <c r="FM116" s="50">
        <f t="shared" si="45"/>
        <v>1313</v>
      </c>
      <c r="FN116" s="360">
        <f t="shared" si="46"/>
        <v>1351</v>
      </c>
      <c r="FO116" s="3"/>
      <c r="FP116" s="279"/>
      <c r="FQ116" s="52"/>
      <c r="FR116" s="296"/>
      <c r="FS116" s="98"/>
      <c r="FT116" s="467"/>
      <c r="FU116" s="52"/>
      <c r="FV116" s="296"/>
      <c r="FW116" s="98"/>
      <c r="FX116" s="467"/>
      <c r="FY116" s="52"/>
      <c r="FZ116" s="296"/>
      <c r="GA116" s="98"/>
      <c r="GB116" s="467"/>
      <c r="GC116" s="52"/>
      <c r="GD116" s="296"/>
      <c r="GE116" s="98"/>
      <c r="GF116" s="467"/>
      <c r="GG116" s="52"/>
      <c r="GH116" s="296"/>
      <c r="GI116" s="98"/>
      <c r="GJ116" s="467"/>
      <c r="GK116" s="52"/>
      <c r="GL116" s="296"/>
      <c r="GM116" s="464"/>
      <c r="GN116" s="467"/>
      <c r="GO116" s="52"/>
      <c r="GP116" s="296"/>
      <c r="GQ116" s="464"/>
      <c r="GR116" s="467"/>
      <c r="GS116" s="52"/>
      <c r="GT116" s="296"/>
      <c r="GU116" s="464"/>
      <c r="GV116" s="467"/>
      <c r="GW116" s="52"/>
      <c r="GX116" s="296"/>
      <c r="GY116" s="464"/>
      <c r="GZ116" s="467"/>
      <c r="HA116" s="52"/>
      <c r="HB116" s="296"/>
      <c r="HC116" s="3"/>
    </row>
    <row r="117" spans="1:211" s="86" customFormat="1">
      <c r="A117" s="288" t="s">
        <v>346</v>
      </c>
      <c r="B117" s="289" t="s">
        <v>523</v>
      </c>
      <c r="C117" s="288">
        <v>137759</v>
      </c>
      <c r="D117" s="344">
        <v>8</v>
      </c>
      <c r="E117" s="460">
        <v>290</v>
      </c>
      <c r="F117" s="277">
        <v>409</v>
      </c>
      <c r="G117" s="158"/>
      <c r="H117" s="277">
        <v>0</v>
      </c>
      <c r="I117" s="158">
        <v>2248</v>
      </c>
      <c r="J117" s="277">
        <v>2351</v>
      </c>
      <c r="K117" s="160">
        <f t="shared" si="47"/>
        <v>0</v>
      </c>
      <c r="L117" s="161">
        <f t="shared" si="40"/>
        <v>0</v>
      </c>
      <c r="M117" s="54"/>
      <c r="N117" s="55"/>
      <c r="O117" s="55"/>
      <c r="P117" s="55"/>
      <c r="Q117" s="162">
        <f t="shared" si="48"/>
        <v>0</v>
      </c>
      <c r="R117" s="277">
        <v>0</v>
      </c>
      <c r="S117" s="277"/>
      <c r="T117" s="277"/>
      <c r="U117" s="277"/>
      <c r="V117" s="97">
        <f t="shared" si="49"/>
        <v>0</v>
      </c>
      <c r="W117" s="279"/>
      <c r="X117" s="52"/>
      <c r="Y117" s="99"/>
      <c r="Z117" s="53"/>
      <c r="AA117" s="228"/>
      <c r="AB117" s="52"/>
      <c r="AC117" s="99"/>
      <c r="AD117" s="53"/>
      <c r="AE117" s="228"/>
      <c r="AF117" s="52"/>
      <c r="AG117" s="99"/>
      <c r="AH117" s="53"/>
      <c r="AI117" s="228"/>
      <c r="AJ117" s="52"/>
      <c r="AK117" s="99"/>
      <c r="AL117" s="53"/>
      <c r="AM117" s="228"/>
      <c r="AN117" s="52"/>
      <c r="AO117" s="99"/>
      <c r="AP117" s="53"/>
      <c r="AQ117" s="50">
        <f t="shared" si="41"/>
        <v>0</v>
      </c>
      <c r="AR117" s="163">
        <f t="shared" si="42"/>
        <v>0</v>
      </c>
      <c r="AS117" s="97">
        <f t="shared" si="43"/>
        <v>0</v>
      </c>
      <c r="AT117" s="278">
        <f t="shared" si="44"/>
        <v>0</v>
      </c>
      <c r="AU117" s="55"/>
      <c r="AV117" s="277"/>
      <c r="AW117" s="279"/>
      <c r="AX117" s="52"/>
      <c r="AY117" s="105"/>
      <c r="AZ117" s="98"/>
      <c r="BA117" s="279"/>
      <c r="BB117" s="52"/>
      <c r="BC117" s="105"/>
      <c r="BD117" s="98"/>
      <c r="BE117" s="279"/>
      <c r="BF117" s="52"/>
      <c r="BG117" s="105"/>
      <c r="BH117" s="98"/>
      <c r="BI117" s="279"/>
      <c r="BJ117" s="52"/>
      <c r="BK117" s="105"/>
      <c r="BL117" s="98"/>
      <c r="BM117" s="279"/>
      <c r="BN117" s="52"/>
      <c r="BO117" s="105"/>
      <c r="BP117" s="98"/>
      <c r="BQ117" s="279"/>
      <c r="BR117" s="52"/>
      <c r="BS117" s="105"/>
      <c r="BT117" s="98"/>
      <c r="BU117" s="279"/>
      <c r="BV117" s="52"/>
      <c r="BW117" s="105"/>
      <c r="BX117" s="98"/>
      <c r="BY117" s="279"/>
      <c r="BZ117" s="52"/>
      <c r="CA117" s="105"/>
      <c r="CB117" s="98"/>
      <c r="CC117" s="279"/>
      <c r="CD117" s="52"/>
      <c r="CE117" s="105"/>
      <c r="CF117" s="98"/>
      <c r="CG117" s="279"/>
      <c r="CH117" s="52"/>
      <c r="CI117" s="105"/>
      <c r="CJ117" s="98"/>
      <c r="CK117" s="281"/>
      <c r="CL117" s="277"/>
      <c r="CM117" s="159"/>
      <c r="CN117" s="277"/>
      <c r="CO117" s="50">
        <f t="shared" si="50"/>
        <v>0</v>
      </c>
      <c r="CP117" s="103">
        <f t="shared" si="51"/>
        <v>0</v>
      </c>
      <c r="CQ117" s="280">
        <f t="shared" si="52"/>
        <v>0</v>
      </c>
      <c r="CR117" s="63">
        <f t="shared" si="53"/>
        <v>0</v>
      </c>
      <c r="CS117" s="279"/>
      <c r="CT117" s="52"/>
      <c r="CU117" s="105"/>
      <c r="CV117" s="98"/>
      <c r="CW117" s="279"/>
      <c r="CX117" s="52"/>
      <c r="CY117" s="105"/>
      <c r="CZ117" s="98"/>
      <c r="DA117" s="279"/>
      <c r="DB117" s="52"/>
      <c r="DC117" s="105"/>
      <c r="DD117" s="98"/>
      <c r="DE117" s="279"/>
      <c r="DF117" s="52"/>
      <c r="DG117" s="105"/>
      <c r="DH117" s="98"/>
      <c r="DI117" s="279"/>
      <c r="DJ117" s="52"/>
      <c r="DK117" s="105"/>
      <c r="DL117" s="98"/>
      <c r="DM117" s="279"/>
      <c r="DN117" s="52"/>
      <c r="DO117" s="105"/>
      <c r="DP117" s="98"/>
      <c r="DQ117" s="279"/>
      <c r="DR117" s="52"/>
      <c r="DS117" s="105"/>
      <c r="DT117" s="98"/>
      <c r="DU117" s="279"/>
      <c r="DV117" s="52"/>
      <c r="DW117" s="105"/>
      <c r="DX117" s="98"/>
      <c r="DY117" s="279"/>
      <c r="DZ117" s="52"/>
      <c r="EA117" s="105"/>
      <c r="EB117" s="98"/>
      <c r="EC117" s="279"/>
      <c r="ED117" s="52"/>
      <c r="EE117" s="105"/>
      <c r="EF117" s="98"/>
      <c r="EG117" s="159"/>
      <c r="EH117" s="277"/>
      <c r="EI117" s="50">
        <f t="shared" si="54"/>
        <v>0</v>
      </c>
      <c r="EJ117" s="103">
        <f t="shared" si="55"/>
        <v>0</v>
      </c>
      <c r="EK117" s="164">
        <f t="shared" si="56"/>
        <v>0</v>
      </c>
      <c r="EL117" s="280">
        <f t="shared" si="57"/>
        <v>0</v>
      </c>
      <c r="EM117" s="63">
        <f t="shared" si="58"/>
        <v>0</v>
      </c>
      <c r="EN117" s="359">
        <f t="shared" si="59"/>
        <v>0</v>
      </c>
      <c r="EO117" s="51">
        <f t="shared" si="60"/>
        <v>0</v>
      </c>
      <c r="EP117" s="361">
        <f t="shared" si="61"/>
        <v>0</v>
      </c>
      <c r="EQ117" s="281"/>
      <c r="ER117" s="277"/>
      <c r="ES117" s="281"/>
      <c r="ET117" s="277"/>
      <c r="EU117" s="281"/>
      <c r="EV117" s="277"/>
      <c r="EW117" s="281"/>
      <c r="EX117" s="277"/>
      <c r="EY117" s="281"/>
      <c r="EZ117" s="277"/>
      <c r="FA117" s="281"/>
      <c r="FB117" s="277"/>
      <c r="FC117" s="281"/>
      <c r="FD117" s="277"/>
      <c r="FE117" s="281"/>
      <c r="FF117" s="277"/>
      <c r="FG117" s="281"/>
      <c r="FH117" s="277"/>
      <c r="FI117" s="281"/>
      <c r="FJ117" s="277"/>
      <c r="FK117" s="50">
        <f t="shared" si="62"/>
        <v>0</v>
      </c>
      <c r="FL117" s="63">
        <f t="shared" si="63"/>
        <v>0</v>
      </c>
      <c r="FM117" s="50">
        <f t="shared" si="45"/>
        <v>2538</v>
      </c>
      <c r="FN117" s="360">
        <f t="shared" si="46"/>
        <v>2760</v>
      </c>
      <c r="FO117" s="3"/>
      <c r="FP117" s="279"/>
      <c r="FQ117" s="52"/>
      <c r="FR117" s="296"/>
      <c r="FS117" s="98"/>
      <c r="FT117" s="467"/>
      <c r="FU117" s="52"/>
      <c r="FV117" s="296"/>
      <c r="FW117" s="98"/>
      <c r="FX117" s="467"/>
      <c r="FY117" s="52"/>
      <c r="FZ117" s="296"/>
      <c r="GA117" s="98"/>
      <c r="GB117" s="467"/>
      <c r="GC117" s="52"/>
      <c r="GD117" s="296"/>
      <c r="GE117" s="98"/>
      <c r="GF117" s="467"/>
      <c r="GG117" s="52"/>
      <c r="GH117" s="296"/>
      <c r="GI117" s="98"/>
      <c r="GJ117" s="467"/>
      <c r="GK117" s="52"/>
      <c r="GL117" s="296"/>
      <c r="GM117" s="464"/>
      <c r="GN117" s="467"/>
      <c r="GO117" s="52"/>
      <c r="GP117" s="296"/>
      <c r="GQ117" s="464"/>
      <c r="GR117" s="467"/>
      <c r="GS117" s="52"/>
      <c r="GT117" s="296"/>
      <c r="GU117" s="464"/>
      <c r="GV117" s="467"/>
      <c r="GW117" s="52"/>
      <c r="GX117" s="296"/>
      <c r="GY117" s="464"/>
      <c r="GZ117" s="467"/>
      <c r="HA117" s="52"/>
      <c r="HB117" s="296"/>
      <c r="HC117" s="3"/>
    </row>
    <row r="118" spans="1:211" s="86" customFormat="1">
      <c r="A118" s="288" t="s">
        <v>346</v>
      </c>
      <c r="B118" s="289" t="s">
        <v>524</v>
      </c>
      <c r="C118" s="288">
        <v>138187</v>
      </c>
      <c r="D118" s="344">
        <v>8</v>
      </c>
      <c r="E118" s="460">
        <v>2686</v>
      </c>
      <c r="F118" s="277">
        <v>3120</v>
      </c>
      <c r="G118" s="158"/>
      <c r="H118" s="277">
        <v>0</v>
      </c>
      <c r="I118" s="158">
        <v>4240</v>
      </c>
      <c r="J118" s="277">
        <v>5128</v>
      </c>
      <c r="K118" s="160">
        <f t="shared" si="47"/>
        <v>0</v>
      </c>
      <c r="L118" s="161">
        <f t="shared" si="40"/>
        <v>0</v>
      </c>
      <c r="M118" s="54"/>
      <c r="N118" s="55"/>
      <c r="O118" s="55"/>
      <c r="P118" s="55"/>
      <c r="Q118" s="162">
        <f t="shared" si="48"/>
        <v>0</v>
      </c>
      <c r="R118" s="277">
        <v>0</v>
      </c>
      <c r="S118" s="277"/>
      <c r="T118" s="277"/>
      <c r="U118" s="277"/>
      <c r="V118" s="97">
        <f t="shared" si="49"/>
        <v>0</v>
      </c>
      <c r="W118" s="279"/>
      <c r="X118" s="52"/>
      <c r="Y118" s="99"/>
      <c r="Z118" s="53"/>
      <c r="AA118" s="228"/>
      <c r="AB118" s="52"/>
      <c r="AC118" s="99"/>
      <c r="AD118" s="53"/>
      <c r="AE118" s="228"/>
      <c r="AF118" s="52"/>
      <c r="AG118" s="99"/>
      <c r="AH118" s="53"/>
      <c r="AI118" s="228"/>
      <c r="AJ118" s="52"/>
      <c r="AK118" s="99"/>
      <c r="AL118" s="53"/>
      <c r="AM118" s="228"/>
      <c r="AN118" s="52"/>
      <c r="AO118" s="99"/>
      <c r="AP118" s="53"/>
      <c r="AQ118" s="50">
        <f t="shared" si="41"/>
        <v>0</v>
      </c>
      <c r="AR118" s="163">
        <f t="shared" si="42"/>
        <v>0</v>
      </c>
      <c r="AS118" s="97">
        <f t="shared" si="43"/>
        <v>0</v>
      </c>
      <c r="AT118" s="278">
        <f t="shared" si="44"/>
        <v>0</v>
      </c>
      <c r="AU118" s="55"/>
      <c r="AV118" s="277"/>
      <c r="AW118" s="279"/>
      <c r="AX118" s="52"/>
      <c r="AY118" s="105"/>
      <c r="AZ118" s="98"/>
      <c r="BA118" s="279"/>
      <c r="BB118" s="52"/>
      <c r="BC118" s="105"/>
      <c r="BD118" s="98"/>
      <c r="BE118" s="279"/>
      <c r="BF118" s="52"/>
      <c r="BG118" s="105"/>
      <c r="BH118" s="98"/>
      <c r="BI118" s="279"/>
      <c r="BJ118" s="52"/>
      <c r="BK118" s="105"/>
      <c r="BL118" s="98"/>
      <c r="BM118" s="279"/>
      <c r="BN118" s="52"/>
      <c r="BO118" s="105"/>
      <c r="BP118" s="98"/>
      <c r="BQ118" s="279"/>
      <c r="BR118" s="52"/>
      <c r="BS118" s="105"/>
      <c r="BT118" s="98"/>
      <c r="BU118" s="279"/>
      <c r="BV118" s="52"/>
      <c r="BW118" s="105"/>
      <c r="BX118" s="98"/>
      <c r="BY118" s="279"/>
      <c r="BZ118" s="52"/>
      <c r="CA118" s="105"/>
      <c r="CB118" s="98"/>
      <c r="CC118" s="279"/>
      <c r="CD118" s="52"/>
      <c r="CE118" s="105"/>
      <c r="CF118" s="98"/>
      <c r="CG118" s="279"/>
      <c r="CH118" s="52"/>
      <c r="CI118" s="105"/>
      <c r="CJ118" s="98"/>
      <c r="CK118" s="281"/>
      <c r="CL118" s="277"/>
      <c r="CM118" s="159"/>
      <c r="CN118" s="277"/>
      <c r="CO118" s="50">
        <f t="shared" si="50"/>
        <v>0</v>
      </c>
      <c r="CP118" s="103">
        <f t="shared" si="51"/>
        <v>0</v>
      </c>
      <c r="CQ118" s="280">
        <f t="shared" si="52"/>
        <v>0</v>
      </c>
      <c r="CR118" s="63">
        <f t="shared" si="53"/>
        <v>0</v>
      </c>
      <c r="CS118" s="279"/>
      <c r="CT118" s="52"/>
      <c r="CU118" s="105"/>
      <c r="CV118" s="98"/>
      <c r="CW118" s="279"/>
      <c r="CX118" s="52"/>
      <c r="CY118" s="105"/>
      <c r="CZ118" s="98"/>
      <c r="DA118" s="279"/>
      <c r="DB118" s="52"/>
      <c r="DC118" s="105"/>
      <c r="DD118" s="98"/>
      <c r="DE118" s="279"/>
      <c r="DF118" s="52"/>
      <c r="DG118" s="105"/>
      <c r="DH118" s="98"/>
      <c r="DI118" s="279"/>
      <c r="DJ118" s="52"/>
      <c r="DK118" s="105"/>
      <c r="DL118" s="98"/>
      <c r="DM118" s="279"/>
      <c r="DN118" s="52"/>
      <c r="DO118" s="105"/>
      <c r="DP118" s="98"/>
      <c r="DQ118" s="279"/>
      <c r="DR118" s="52"/>
      <c r="DS118" s="105"/>
      <c r="DT118" s="98"/>
      <c r="DU118" s="279"/>
      <c r="DV118" s="52"/>
      <c r="DW118" s="105"/>
      <c r="DX118" s="98"/>
      <c r="DY118" s="279"/>
      <c r="DZ118" s="52"/>
      <c r="EA118" s="105"/>
      <c r="EB118" s="98"/>
      <c r="EC118" s="279"/>
      <c r="ED118" s="52"/>
      <c r="EE118" s="105"/>
      <c r="EF118" s="98"/>
      <c r="EG118" s="159"/>
      <c r="EH118" s="277"/>
      <c r="EI118" s="50">
        <f t="shared" si="54"/>
        <v>0</v>
      </c>
      <c r="EJ118" s="103">
        <f t="shared" si="55"/>
        <v>0</v>
      </c>
      <c r="EK118" s="164">
        <f t="shared" si="56"/>
        <v>0</v>
      </c>
      <c r="EL118" s="280">
        <f t="shared" si="57"/>
        <v>0</v>
      </c>
      <c r="EM118" s="63">
        <f t="shared" si="58"/>
        <v>0</v>
      </c>
      <c r="EN118" s="359">
        <f t="shared" si="59"/>
        <v>0</v>
      </c>
      <c r="EO118" s="51">
        <f t="shared" si="60"/>
        <v>0</v>
      </c>
      <c r="EP118" s="361">
        <f t="shared" si="61"/>
        <v>0</v>
      </c>
      <c r="EQ118" s="281"/>
      <c r="ER118" s="277"/>
      <c r="ES118" s="281"/>
      <c r="ET118" s="277"/>
      <c r="EU118" s="281"/>
      <c r="EV118" s="277"/>
      <c r="EW118" s="281"/>
      <c r="EX118" s="277"/>
      <c r="EY118" s="281"/>
      <c r="EZ118" s="277"/>
      <c r="FA118" s="281"/>
      <c r="FB118" s="277"/>
      <c r="FC118" s="281"/>
      <c r="FD118" s="277"/>
      <c r="FE118" s="281"/>
      <c r="FF118" s="277"/>
      <c r="FG118" s="281"/>
      <c r="FH118" s="277"/>
      <c r="FI118" s="281"/>
      <c r="FJ118" s="277"/>
      <c r="FK118" s="50">
        <f t="shared" si="62"/>
        <v>0</v>
      </c>
      <c r="FL118" s="63">
        <f t="shared" si="63"/>
        <v>0</v>
      </c>
      <c r="FM118" s="50">
        <f t="shared" si="45"/>
        <v>6926</v>
      </c>
      <c r="FN118" s="360">
        <f t="shared" si="46"/>
        <v>8248</v>
      </c>
      <c r="FO118" s="3"/>
      <c r="FP118" s="279"/>
      <c r="FQ118" s="52"/>
      <c r="FR118" s="296"/>
      <c r="FS118" s="98"/>
      <c r="FT118" s="467"/>
      <c r="FU118" s="52"/>
      <c r="FV118" s="296"/>
      <c r="FW118" s="98"/>
      <c r="FX118" s="467"/>
      <c r="FY118" s="52"/>
      <c r="FZ118" s="296"/>
      <c r="GA118" s="98"/>
      <c r="GB118" s="467"/>
      <c r="GC118" s="52"/>
      <c r="GD118" s="296"/>
      <c r="GE118" s="98"/>
      <c r="GF118" s="467"/>
      <c r="GG118" s="52"/>
      <c r="GH118" s="296"/>
      <c r="GI118" s="98"/>
      <c r="GJ118" s="467"/>
      <c r="GK118" s="52"/>
      <c r="GL118" s="296"/>
      <c r="GM118" s="464"/>
      <c r="GN118" s="467"/>
      <c r="GO118" s="52"/>
      <c r="GP118" s="296"/>
      <c r="GQ118" s="464"/>
      <c r="GR118" s="467"/>
      <c r="GS118" s="52"/>
      <c r="GT118" s="296"/>
      <c r="GU118" s="464"/>
      <c r="GV118" s="467"/>
      <c r="GW118" s="52"/>
      <c r="GX118" s="296"/>
      <c r="GY118" s="464"/>
      <c r="GZ118" s="467"/>
      <c r="HA118" s="52"/>
      <c r="HB118" s="296"/>
      <c r="HC118" s="3"/>
    </row>
    <row r="119" spans="1:211" s="86" customFormat="1">
      <c r="A119" s="288" t="s">
        <v>346</v>
      </c>
      <c r="B119" s="364" t="s">
        <v>502</v>
      </c>
      <c r="C119" s="288">
        <v>132851</v>
      </c>
      <c r="D119" s="344">
        <v>9</v>
      </c>
      <c r="E119" s="460">
        <v>528</v>
      </c>
      <c r="F119" s="277">
        <v>584</v>
      </c>
      <c r="G119" s="158">
        <v>4</v>
      </c>
      <c r="H119" s="277">
        <v>4</v>
      </c>
      <c r="I119" s="158">
        <v>770</v>
      </c>
      <c r="J119" s="277">
        <v>877</v>
      </c>
      <c r="K119" s="160">
        <f t="shared" si="47"/>
        <v>0</v>
      </c>
      <c r="L119" s="161">
        <f t="shared" si="40"/>
        <v>0</v>
      </c>
      <c r="M119" s="54"/>
      <c r="N119" s="55"/>
      <c r="O119" s="55"/>
      <c r="P119" s="55"/>
      <c r="Q119" s="162">
        <f t="shared" si="48"/>
        <v>0</v>
      </c>
      <c r="R119" s="277">
        <v>0</v>
      </c>
      <c r="S119" s="277"/>
      <c r="T119" s="277"/>
      <c r="U119" s="277"/>
      <c r="V119" s="97">
        <f t="shared" si="49"/>
        <v>0</v>
      </c>
      <c r="W119" s="279"/>
      <c r="X119" s="52"/>
      <c r="Y119" s="99"/>
      <c r="Z119" s="53"/>
      <c r="AA119" s="228"/>
      <c r="AB119" s="52"/>
      <c r="AC119" s="99"/>
      <c r="AD119" s="53"/>
      <c r="AE119" s="228"/>
      <c r="AF119" s="52"/>
      <c r="AG119" s="99"/>
      <c r="AH119" s="53"/>
      <c r="AI119" s="228"/>
      <c r="AJ119" s="52"/>
      <c r="AK119" s="99"/>
      <c r="AL119" s="53"/>
      <c r="AM119" s="228"/>
      <c r="AN119" s="52"/>
      <c r="AO119" s="99"/>
      <c r="AP119" s="53"/>
      <c r="AQ119" s="50">
        <f t="shared" si="41"/>
        <v>0</v>
      </c>
      <c r="AR119" s="163">
        <f t="shared" si="42"/>
        <v>0</v>
      </c>
      <c r="AS119" s="97">
        <f t="shared" si="43"/>
        <v>0</v>
      </c>
      <c r="AT119" s="278">
        <f t="shared" si="44"/>
        <v>0</v>
      </c>
      <c r="AU119" s="55"/>
      <c r="AV119" s="277"/>
      <c r="AW119" s="279"/>
      <c r="AX119" s="52"/>
      <c r="AY119" s="105"/>
      <c r="AZ119" s="98"/>
      <c r="BA119" s="279"/>
      <c r="BB119" s="52"/>
      <c r="BC119" s="105"/>
      <c r="BD119" s="98"/>
      <c r="BE119" s="279"/>
      <c r="BF119" s="52"/>
      <c r="BG119" s="105"/>
      <c r="BH119" s="98"/>
      <c r="BI119" s="279"/>
      <c r="BJ119" s="52"/>
      <c r="BK119" s="105"/>
      <c r="BL119" s="98"/>
      <c r="BM119" s="279"/>
      <c r="BN119" s="52"/>
      <c r="BO119" s="105"/>
      <c r="BP119" s="98"/>
      <c r="BQ119" s="279"/>
      <c r="BR119" s="52"/>
      <c r="BS119" s="105"/>
      <c r="BT119" s="98"/>
      <c r="BU119" s="279"/>
      <c r="BV119" s="52"/>
      <c r="BW119" s="105"/>
      <c r="BX119" s="98"/>
      <c r="BY119" s="279"/>
      <c r="BZ119" s="52"/>
      <c r="CA119" s="105"/>
      <c r="CB119" s="98"/>
      <c r="CC119" s="279"/>
      <c r="CD119" s="52"/>
      <c r="CE119" s="105"/>
      <c r="CF119" s="98"/>
      <c r="CG119" s="279"/>
      <c r="CH119" s="52"/>
      <c r="CI119" s="105"/>
      <c r="CJ119" s="98"/>
      <c r="CK119" s="281"/>
      <c r="CL119" s="277"/>
      <c r="CM119" s="159"/>
      <c r="CN119" s="277"/>
      <c r="CO119" s="50">
        <f t="shared" si="50"/>
        <v>0</v>
      </c>
      <c r="CP119" s="103">
        <f t="shared" si="51"/>
        <v>0</v>
      </c>
      <c r="CQ119" s="280">
        <f t="shared" si="52"/>
        <v>0</v>
      </c>
      <c r="CR119" s="63">
        <f t="shared" si="53"/>
        <v>0</v>
      </c>
      <c r="CS119" s="279"/>
      <c r="CT119" s="52"/>
      <c r="CU119" s="105"/>
      <c r="CV119" s="98"/>
      <c r="CW119" s="279"/>
      <c r="CX119" s="52"/>
      <c r="CY119" s="105"/>
      <c r="CZ119" s="98"/>
      <c r="DA119" s="279"/>
      <c r="DB119" s="52"/>
      <c r="DC119" s="105"/>
      <c r="DD119" s="98"/>
      <c r="DE119" s="279"/>
      <c r="DF119" s="52"/>
      <c r="DG119" s="105"/>
      <c r="DH119" s="98"/>
      <c r="DI119" s="279"/>
      <c r="DJ119" s="52"/>
      <c r="DK119" s="105"/>
      <c r="DL119" s="98"/>
      <c r="DM119" s="279"/>
      <c r="DN119" s="52"/>
      <c r="DO119" s="105"/>
      <c r="DP119" s="98"/>
      <c r="DQ119" s="279"/>
      <c r="DR119" s="52"/>
      <c r="DS119" s="105"/>
      <c r="DT119" s="98"/>
      <c r="DU119" s="279"/>
      <c r="DV119" s="52"/>
      <c r="DW119" s="105"/>
      <c r="DX119" s="98"/>
      <c r="DY119" s="279"/>
      <c r="DZ119" s="52"/>
      <c r="EA119" s="105"/>
      <c r="EB119" s="98"/>
      <c r="EC119" s="279"/>
      <c r="ED119" s="52"/>
      <c r="EE119" s="105"/>
      <c r="EF119" s="98"/>
      <c r="EG119" s="159"/>
      <c r="EH119" s="277"/>
      <c r="EI119" s="50">
        <f t="shared" si="54"/>
        <v>0</v>
      </c>
      <c r="EJ119" s="103">
        <f t="shared" si="55"/>
        <v>0</v>
      </c>
      <c r="EK119" s="164">
        <f t="shared" si="56"/>
        <v>0</v>
      </c>
      <c r="EL119" s="280">
        <f t="shared" si="57"/>
        <v>0</v>
      </c>
      <c r="EM119" s="63">
        <f t="shared" si="58"/>
        <v>0</v>
      </c>
      <c r="EN119" s="359">
        <f t="shared" si="59"/>
        <v>0</v>
      </c>
      <c r="EO119" s="51">
        <f t="shared" si="60"/>
        <v>0</v>
      </c>
      <c r="EP119" s="361">
        <f t="shared" si="61"/>
        <v>0</v>
      </c>
      <c r="EQ119" s="281"/>
      <c r="ER119" s="277"/>
      <c r="ES119" s="281"/>
      <c r="ET119" s="277"/>
      <c r="EU119" s="281"/>
      <c r="EV119" s="277"/>
      <c r="EW119" s="281"/>
      <c r="EX119" s="277"/>
      <c r="EY119" s="281"/>
      <c r="EZ119" s="277"/>
      <c r="FA119" s="281"/>
      <c r="FB119" s="277"/>
      <c r="FC119" s="281"/>
      <c r="FD119" s="277"/>
      <c r="FE119" s="281"/>
      <c r="FF119" s="277"/>
      <c r="FG119" s="281"/>
      <c r="FH119" s="277"/>
      <c r="FI119" s="281"/>
      <c r="FJ119" s="277"/>
      <c r="FK119" s="50">
        <f t="shared" si="62"/>
        <v>0</v>
      </c>
      <c r="FL119" s="63">
        <f t="shared" si="63"/>
        <v>0</v>
      </c>
      <c r="FM119" s="50">
        <f t="shared" si="45"/>
        <v>1302</v>
      </c>
      <c r="FN119" s="360">
        <f t="shared" si="46"/>
        <v>1465</v>
      </c>
      <c r="FO119" s="3"/>
      <c r="FP119" s="279"/>
      <c r="FQ119" s="52"/>
      <c r="FR119" s="296"/>
      <c r="FS119" s="98"/>
      <c r="FT119" s="467"/>
      <c r="FU119" s="52"/>
      <c r="FV119" s="296"/>
      <c r="FW119" s="98"/>
      <c r="FX119" s="467"/>
      <c r="FY119" s="52"/>
      <c r="FZ119" s="296"/>
      <c r="GA119" s="98"/>
      <c r="GB119" s="467"/>
      <c r="GC119" s="52"/>
      <c r="GD119" s="296"/>
      <c r="GE119" s="98"/>
      <c r="GF119" s="467"/>
      <c r="GG119" s="52"/>
      <c r="GH119" s="296"/>
      <c r="GI119" s="98"/>
      <c r="GJ119" s="467"/>
      <c r="GK119" s="52"/>
      <c r="GL119" s="296"/>
      <c r="GM119" s="464"/>
      <c r="GN119" s="467"/>
      <c r="GO119" s="52"/>
      <c r="GP119" s="296"/>
      <c r="GQ119" s="464"/>
      <c r="GR119" s="467"/>
      <c r="GS119" s="52"/>
      <c r="GT119" s="296"/>
      <c r="GU119" s="464"/>
      <c r="GV119" s="467"/>
      <c r="GW119" s="52"/>
      <c r="GX119" s="296"/>
      <c r="GY119" s="464"/>
      <c r="GZ119" s="467"/>
      <c r="HA119" s="52"/>
      <c r="HB119" s="296"/>
      <c r="HC119" s="3"/>
    </row>
    <row r="120" spans="1:211" s="86" customFormat="1">
      <c r="A120" s="288" t="s">
        <v>346</v>
      </c>
      <c r="B120" s="364" t="s">
        <v>507</v>
      </c>
      <c r="C120" s="288">
        <v>134343</v>
      </c>
      <c r="D120" s="344">
        <v>9</v>
      </c>
      <c r="E120" s="460">
        <v>415</v>
      </c>
      <c r="F120" s="277">
        <v>249</v>
      </c>
      <c r="G120" s="158"/>
      <c r="H120" s="277">
        <v>0</v>
      </c>
      <c r="I120" s="158">
        <v>785</v>
      </c>
      <c r="J120" s="277">
        <v>796</v>
      </c>
      <c r="K120" s="160">
        <f t="shared" si="47"/>
        <v>0</v>
      </c>
      <c r="L120" s="161">
        <f t="shared" si="40"/>
        <v>0</v>
      </c>
      <c r="M120" s="54"/>
      <c r="N120" s="55"/>
      <c r="O120" s="55"/>
      <c r="P120" s="55"/>
      <c r="Q120" s="162">
        <f t="shared" si="48"/>
        <v>0</v>
      </c>
      <c r="R120" s="277">
        <v>0</v>
      </c>
      <c r="S120" s="277"/>
      <c r="T120" s="277"/>
      <c r="U120" s="277"/>
      <c r="V120" s="97">
        <f t="shared" si="49"/>
        <v>0</v>
      </c>
      <c r="W120" s="279"/>
      <c r="X120" s="52"/>
      <c r="Y120" s="99"/>
      <c r="Z120" s="53"/>
      <c r="AA120" s="228"/>
      <c r="AB120" s="52"/>
      <c r="AC120" s="99"/>
      <c r="AD120" s="53"/>
      <c r="AE120" s="228"/>
      <c r="AF120" s="52"/>
      <c r="AG120" s="99"/>
      <c r="AH120" s="53"/>
      <c r="AI120" s="228"/>
      <c r="AJ120" s="52"/>
      <c r="AK120" s="99"/>
      <c r="AL120" s="53"/>
      <c r="AM120" s="228"/>
      <c r="AN120" s="52"/>
      <c r="AO120" s="99"/>
      <c r="AP120" s="53"/>
      <c r="AQ120" s="50">
        <f t="shared" si="41"/>
        <v>0</v>
      </c>
      <c r="AR120" s="163">
        <f t="shared" si="42"/>
        <v>0</v>
      </c>
      <c r="AS120" s="97">
        <f t="shared" si="43"/>
        <v>0</v>
      </c>
      <c r="AT120" s="278">
        <f t="shared" si="44"/>
        <v>0</v>
      </c>
      <c r="AU120" s="55"/>
      <c r="AV120" s="277"/>
      <c r="AW120" s="279"/>
      <c r="AX120" s="52"/>
      <c r="AY120" s="105"/>
      <c r="AZ120" s="98"/>
      <c r="BA120" s="279"/>
      <c r="BB120" s="52"/>
      <c r="BC120" s="105"/>
      <c r="BD120" s="98"/>
      <c r="BE120" s="279"/>
      <c r="BF120" s="52"/>
      <c r="BG120" s="105"/>
      <c r="BH120" s="98"/>
      <c r="BI120" s="279"/>
      <c r="BJ120" s="52"/>
      <c r="BK120" s="105"/>
      <c r="BL120" s="98"/>
      <c r="BM120" s="279"/>
      <c r="BN120" s="52"/>
      <c r="BO120" s="105"/>
      <c r="BP120" s="98"/>
      <c r="BQ120" s="279"/>
      <c r="BR120" s="52"/>
      <c r="BS120" s="105"/>
      <c r="BT120" s="98"/>
      <c r="BU120" s="279"/>
      <c r="BV120" s="52"/>
      <c r="BW120" s="105"/>
      <c r="BX120" s="98"/>
      <c r="BY120" s="279"/>
      <c r="BZ120" s="52"/>
      <c r="CA120" s="105"/>
      <c r="CB120" s="98"/>
      <c r="CC120" s="279"/>
      <c r="CD120" s="52"/>
      <c r="CE120" s="105"/>
      <c r="CF120" s="98"/>
      <c r="CG120" s="279"/>
      <c r="CH120" s="52"/>
      <c r="CI120" s="105"/>
      <c r="CJ120" s="98"/>
      <c r="CK120" s="281"/>
      <c r="CL120" s="277"/>
      <c r="CM120" s="159"/>
      <c r="CN120" s="277"/>
      <c r="CO120" s="50">
        <f t="shared" si="50"/>
        <v>0</v>
      </c>
      <c r="CP120" s="103">
        <f t="shared" si="51"/>
        <v>0</v>
      </c>
      <c r="CQ120" s="280">
        <f t="shared" si="52"/>
        <v>0</v>
      </c>
      <c r="CR120" s="63">
        <f t="shared" si="53"/>
        <v>0</v>
      </c>
      <c r="CS120" s="279"/>
      <c r="CT120" s="52"/>
      <c r="CU120" s="105"/>
      <c r="CV120" s="98"/>
      <c r="CW120" s="279"/>
      <c r="CX120" s="52"/>
      <c r="CY120" s="105"/>
      <c r="CZ120" s="98"/>
      <c r="DA120" s="279"/>
      <c r="DB120" s="52"/>
      <c r="DC120" s="105"/>
      <c r="DD120" s="98"/>
      <c r="DE120" s="279"/>
      <c r="DF120" s="52"/>
      <c r="DG120" s="105"/>
      <c r="DH120" s="98"/>
      <c r="DI120" s="279"/>
      <c r="DJ120" s="52"/>
      <c r="DK120" s="105"/>
      <c r="DL120" s="98"/>
      <c r="DM120" s="279"/>
      <c r="DN120" s="52"/>
      <c r="DO120" s="105"/>
      <c r="DP120" s="98"/>
      <c r="DQ120" s="279"/>
      <c r="DR120" s="52"/>
      <c r="DS120" s="105"/>
      <c r="DT120" s="98"/>
      <c r="DU120" s="279"/>
      <c r="DV120" s="52"/>
      <c r="DW120" s="105"/>
      <c r="DX120" s="98"/>
      <c r="DY120" s="279"/>
      <c r="DZ120" s="52"/>
      <c r="EA120" s="105"/>
      <c r="EB120" s="98"/>
      <c r="EC120" s="279"/>
      <c r="ED120" s="52"/>
      <c r="EE120" s="105"/>
      <c r="EF120" s="98"/>
      <c r="EG120" s="159"/>
      <c r="EH120" s="277"/>
      <c r="EI120" s="50">
        <f t="shared" si="54"/>
        <v>0</v>
      </c>
      <c r="EJ120" s="103">
        <f t="shared" si="55"/>
        <v>0</v>
      </c>
      <c r="EK120" s="164">
        <f t="shared" si="56"/>
        <v>0</v>
      </c>
      <c r="EL120" s="280">
        <f t="shared" si="57"/>
        <v>0</v>
      </c>
      <c r="EM120" s="63">
        <f t="shared" si="58"/>
        <v>0</v>
      </c>
      <c r="EN120" s="359">
        <f t="shared" si="59"/>
        <v>0</v>
      </c>
      <c r="EO120" s="51">
        <f t="shared" si="60"/>
        <v>0</v>
      </c>
      <c r="EP120" s="361">
        <f t="shared" si="61"/>
        <v>0</v>
      </c>
      <c r="EQ120" s="281"/>
      <c r="ER120" s="277"/>
      <c r="ES120" s="281"/>
      <c r="ET120" s="277"/>
      <c r="EU120" s="281"/>
      <c r="EV120" s="277"/>
      <c r="EW120" s="281"/>
      <c r="EX120" s="277"/>
      <c r="EY120" s="281"/>
      <c r="EZ120" s="277"/>
      <c r="FA120" s="281"/>
      <c r="FB120" s="277"/>
      <c r="FC120" s="281"/>
      <c r="FD120" s="277"/>
      <c r="FE120" s="281"/>
      <c r="FF120" s="277"/>
      <c r="FG120" s="281"/>
      <c r="FH120" s="277"/>
      <c r="FI120" s="281"/>
      <c r="FJ120" s="277"/>
      <c r="FK120" s="50">
        <f t="shared" si="62"/>
        <v>0</v>
      </c>
      <c r="FL120" s="63">
        <f t="shared" si="63"/>
        <v>0</v>
      </c>
      <c r="FM120" s="50">
        <f t="shared" si="45"/>
        <v>1200</v>
      </c>
      <c r="FN120" s="360">
        <f t="shared" si="46"/>
        <v>1045</v>
      </c>
      <c r="FO120" s="3"/>
      <c r="FP120" s="279"/>
      <c r="FQ120" s="52"/>
      <c r="FR120" s="296"/>
      <c r="FS120" s="98"/>
      <c r="FT120" s="467"/>
      <c r="FU120" s="52"/>
      <c r="FV120" s="296"/>
      <c r="FW120" s="98"/>
      <c r="FX120" s="467"/>
      <c r="FY120" s="52"/>
      <c r="FZ120" s="296"/>
      <c r="GA120" s="98"/>
      <c r="GB120" s="467"/>
      <c r="GC120" s="52"/>
      <c r="GD120" s="296"/>
      <c r="GE120" s="98"/>
      <c r="GF120" s="467"/>
      <c r="GG120" s="52"/>
      <c r="GH120" s="296"/>
      <c r="GI120" s="98"/>
      <c r="GJ120" s="467"/>
      <c r="GK120" s="52"/>
      <c r="GL120" s="296"/>
      <c r="GM120" s="464"/>
      <c r="GN120" s="467"/>
      <c r="GO120" s="52"/>
      <c r="GP120" s="296"/>
      <c r="GQ120" s="464"/>
      <c r="GR120" s="467"/>
      <c r="GS120" s="52"/>
      <c r="GT120" s="296"/>
      <c r="GU120" s="464"/>
      <c r="GV120" s="467"/>
      <c r="GW120" s="52"/>
      <c r="GX120" s="296"/>
      <c r="GY120" s="464"/>
      <c r="GZ120" s="467"/>
      <c r="HA120" s="52"/>
      <c r="HB120" s="296"/>
      <c r="HC120" s="3"/>
    </row>
    <row r="121" spans="1:211" s="86" customFormat="1">
      <c r="A121" s="288" t="s">
        <v>346</v>
      </c>
      <c r="B121" s="289" t="s">
        <v>510</v>
      </c>
      <c r="C121" s="288">
        <v>135160</v>
      </c>
      <c r="D121" s="344">
        <v>9</v>
      </c>
      <c r="E121" s="460">
        <v>485</v>
      </c>
      <c r="F121" s="277">
        <v>345</v>
      </c>
      <c r="G121" s="158"/>
      <c r="H121" s="277">
        <v>0</v>
      </c>
      <c r="I121" s="158">
        <v>323</v>
      </c>
      <c r="J121" s="277">
        <v>370</v>
      </c>
      <c r="K121" s="160">
        <f t="shared" si="47"/>
        <v>0</v>
      </c>
      <c r="L121" s="161">
        <f t="shared" si="40"/>
        <v>0</v>
      </c>
      <c r="M121" s="54"/>
      <c r="N121" s="55"/>
      <c r="O121" s="55"/>
      <c r="P121" s="55"/>
      <c r="Q121" s="162">
        <f t="shared" si="48"/>
        <v>0</v>
      </c>
      <c r="R121" s="277">
        <v>0</v>
      </c>
      <c r="S121" s="277"/>
      <c r="T121" s="277"/>
      <c r="U121" s="277"/>
      <c r="V121" s="97">
        <f t="shared" si="49"/>
        <v>0</v>
      </c>
      <c r="W121" s="279"/>
      <c r="X121" s="52"/>
      <c r="Y121" s="99"/>
      <c r="Z121" s="53"/>
      <c r="AA121" s="228"/>
      <c r="AB121" s="52"/>
      <c r="AC121" s="99"/>
      <c r="AD121" s="53"/>
      <c r="AE121" s="228"/>
      <c r="AF121" s="52"/>
      <c r="AG121" s="99"/>
      <c r="AH121" s="53"/>
      <c r="AI121" s="228"/>
      <c r="AJ121" s="52"/>
      <c r="AK121" s="99"/>
      <c r="AL121" s="53"/>
      <c r="AM121" s="228"/>
      <c r="AN121" s="52"/>
      <c r="AO121" s="99"/>
      <c r="AP121" s="53"/>
      <c r="AQ121" s="50">
        <f t="shared" si="41"/>
        <v>0</v>
      </c>
      <c r="AR121" s="163">
        <f t="shared" si="42"/>
        <v>0</v>
      </c>
      <c r="AS121" s="97">
        <f t="shared" si="43"/>
        <v>0</v>
      </c>
      <c r="AT121" s="278">
        <f t="shared" si="44"/>
        <v>0</v>
      </c>
      <c r="AU121" s="55"/>
      <c r="AV121" s="277"/>
      <c r="AW121" s="279"/>
      <c r="AX121" s="52"/>
      <c r="AY121" s="105"/>
      <c r="AZ121" s="98"/>
      <c r="BA121" s="279"/>
      <c r="BB121" s="52"/>
      <c r="BC121" s="105"/>
      <c r="BD121" s="98"/>
      <c r="BE121" s="279"/>
      <c r="BF121" s="52"/>
      <c r="BG121" s="105"/>
      <c r="BH121" s="98"/>
      <c r="BI121" s="279"/>
      <c r="BJ121" s="52"/>
      <c r="BK121" s="105"/>
      <c r="BL121" s="98"/>
      <c r="BM121" s="279"/>
      <c r="BN121" s="52"/>
      <c r="BO121" s="105"/>
      <c r="BP121" s="98"/>
      <c r="BQ121" s="279"/>
      <c r="BR121" s="52"/>
      <c r="BS121" s="105"/>
      <c r="BT121" s="98"/>
      <c r="BU121" s="279"/>
      <c r="BV121" s="52"/>
      <c r="BW121" s="105"/>
      <c r="BX121" s="98"/>
      <c r="BY121" s="279"/>
      <c r="BZ121" s="52"/>
      <c r="CA121" s="105"/>
      <c r="CB121" s="98"/>
      <c r="CC121" s="279"/>
      <c r="CD121" s="52"/>
      <c r="CE121" s="105"/>
      <c r="CF121" s="98"/>
      <c r="CG121" s="279"/>
      <c r="CH121" s="52"/>
      <c r="CI121" s="105"/>
      <c r="CJ121" s="98"/>
      <c r="CK121" s="281"/>
      <c r="CL121" s="277"/>
      <c r="CM121" s="159"/>
      <c r="CN121" s="277"/>
      <c r="CO121" s="50">
        <f t="shared" si="50"/>
        <v>0</v>
      </c>
      <c r="CP121" s="103">
        <f t="shared" si="51"/>
        <v>0</v>
      </c>
      <c r="CQ121" s="280">
        <f t="shared" si="52"/>
        <v>0</v>
      </c>
      <c r="CR121" s="63">
        <f t="shared" si="53"/>
        <v>0</v>
      </c>
      <c r="CS121" s="279"/>
      <c r="CT121" s="52"/>
      <c r="CU121" s="105"/>
      <c r="CV121" s="98"/>
      <c r="CW121" s="279"/>
      <c r="CX121" s="52"/>
      <c r="CY121" s="105"/>
      <c r="CZ121" s="98"/>
      <c r="DA121" s="279"/>
      <c r="DB121" s="52"/>
      <c r="DC121" s="105"/>
      <c r="DD121" s="98"/>
      <c r="DE121" s="279"/>
      <c r="DF121" s="52"/>
      <c r="DG121" s="105"/>
      <c r="DH121" s="98"/>
      <c r="DI121" s="279"/>
      <c r="DJ121" s="52"/>
      <c r="DK121" s="105"/>
      <c r="DL121" s="98"/>
      <c r="DM121" s="279"/>
      <c r="DN121" s="52"/>
      <c r="DO121" s="105"/>
      <c r="DP121" s="98"/>
      <c r="DQ121" s="279"/>
      <c r="DR121" s="52"/>
      <c r="DS121" s="105"/>
      <c r="DT121" s="98"/>
      <c r="DU121" s="279"/>
      <c r="DV121" s="52"/>
      <c r="DW121" s="105"/>
      <c r="DX121" s="98"/>
      <c r="DY121" s="279"/>
      <c r="DZ121" s="52"/>
      <c r="EA121" s="105"/>
      <c r="EB121" s="98"/>
      <c r="EC121" s="279"/>
      <c r="ED121" s="52"/>
      <c r="EE121" s="105"/>
      <c r="EF121" s="98"/>
      <c r="EG121" s="159"/>
      <c r="EH121" s="277"/>
      <c r="EI121" s="50">
        <f t="shared" si="54"/>
        <v>0</v>
      </c>
      <c r="EJ121" s="103">
        <f t="shared" si="55"/>
        <v>0</v>
      </c>
      <c r="EK121" s="164">
        <f t="shared" si="56"/>
        <v>0</v>
      </c>
      <c r="EL121" s="280">
        <f t="shared" si="57"/>
        <v>0</v>
      </c>
      <c r="EM121" s="63">
        <f t="shared" si="58"/>
        <v>0</v>
      </c>
      <c r="EN121" s="359">
        <f t="shared" si="59"/>
        <v>0</v>
      </c>
      <c r="EO121" s="51">
        <f t="shared" si="60"/>
        <v>0</v>
      </c>
      <c r="EP121" s="361">
        <f t="shared" si="61"/>
        <v>0</v>
      </c>
      <c r="EQ121" s="281"/>
      <c r="ER121" s="277"/>
      <c r="ES121" s="281"/>
      <c r="ET121" s="277"/>
      <c r="EU121" s="281"/>
      <c r="EV121" s="277"/>
      <c r="EW121" s="281"/>
      <c r="EX121" s="277"/>
      <c r="EY121" s="281"/>
      <c r="EZ121" s="277"/>
      <c r="FA121" s="281"/>
      <c r="FB121" s="277"/>
      <c r="FC121" s="281"/>
      <c r="FD121" s="277"/>
      <c r="FE121" s="281"/>
      <c r="FF121" s="277"/>
      <c r="FG121" s="281"/>
      <c r="FH121" s="277"/>
      <c r="FI121" s="281"/>
      <c r="FJ121" s="277"/>
      <c r="FK121" s="50">
        <f t="shared" si="62"/>
        <v>0</v>
      </c>
      <c r="FL121" s="63">
        <f t="shared" si="63"/>
        <v>0</v>
      </c>
      <c r="FM121" s="50">
        <f t="shared" si="45"/>
        <v>808</v>
      </c>
      <c r="FN121" s="360">
        <f t="shared" si="46"/>
        <v>715</v>
      </c>
      <c r="FO121" s="3"/>
      <c r="FP121" s="279"/>
      <c r="FQ121" s="52"/>
      <c r="FR121" s="296"/>
      <c r="FS121" s="98"/>
      <c r="FT121" s="467"/>
      <c r="FU121" s="52"/>
      <c r="FV121" s="296"/>
      <c r="FW121" s="98"/>
      <c r="FX121" s="467"/>
      <c r="FY121" s="52"/>
      <c r="FZ121" s="296"/>
      <c r="GA121" s="98"/>
      <c r="GB121" s="467"/>
      <c r="GC121" s="52"/>
      <c r="GD121" s="296"/>
      <c r="GE121" s="98"/>
      <c r="GF121" s="467"/>
      <c r="GG121" s="52"/>
      <c r="GH121" s="296"/>
      <c r="GI121" s="98"/>
      <c r="GJ121" s="467"/>
      <c r="GK121" s="52"/>
      <c r="GL121" s="296"/>
      <c r="GM121" s="464"/>
      <c r="GN121" s="467"/>
      <c r="GO121" s="52"/>
      <c r="GP121" s="296"/>
      <c r="GQ121" s="464"/>
      <c r="GR121" s="467"/>
      <c r="GS121" s="52"/>
      <c r="GT121" s="296"/>
      <c r="GU121" s="464"/>
      <c r="GV121" s="467"/>
      <c r="GW121" s="52"/>
      <c r="GX121" s="296"/>
      <c r="GY121" s="464"/>
      <c r="GZ121" s="467"/>
      <c r="HA121" s="52"/>
      <c r="HB121" s="296"/>
      <c r="HC121" s="3"/>
    </row>
    <row r="122" spans="1:211" s="86" customFormat="1">
      <c r="A122" s="288" t="s">
        <v>346</v>
      </c>
      <c r="B122" s="289" t="s">
        <v>511</v>
      </c>
      <c r="C122" s="288">
        <v>135188</v>
      </c>
      <c r="D122" s="344">
        <v>9</v>
      </c>
      <c r="E122" s="460">
        <v>28</v>
      </c>
      <c r="F122" s="277">
        <v>14</v>
      </c>
      <c r="G122" s="158"/>
      <c r="H122" s="277">
        <v>0</v>
      </c>
      <c r="I122" s="158">
        <v>473</v>
      </c>
      <c r="J122" s="277">
        <v>532</v>
      </c>
      <c r="K122" s="160">
        <f t="shared" si="47"/>
        <v>0</v>
      </c>
      <c r="L122" s="161">
        <f t="shared" si="40"/>
        <v>0</v>
      </c>
      <c r="M122" s="54"/>
      <c r="N122" s="55"/>
      <c r="O122" s="55"/>
      <c r="P122" s="55"/>
      <c r="Q122" s="162">
        <f t="shared" si="48"/>
        <v>0</v>
      </c>
      <c r="R122" s="277">
        <v>0</v>
      </c>
      <c r="S122" s="277"/>
      <c r="T122" s="277"/>
      <c r="U122" s="277"/>
      <c r="V122" s="97">
        <f t="shared" si="49"/>
        <v>0</v>
      </c>
      <c r="W122" s="279"/>
      <c r="X122" s="52"/>
      <c r="Y122" s="99"/>
      <c r="Z122" s="53"/>
      <c r="AA122" s="228"/>
      <c r="AB122" s="52"/>
      <c r="AC122" s="99"/>
      <c r="AD122" s="53"/>
      <c r="AE122" s="228"/>
      <c r="AF122" s="52"/>
      <c r="AG122" s="99"/>
      <c r="AH122" s="53"/>
      <c r="AI122" s="228"/>
      <c r="AJ122" s="52"/>
      <c r="AK122" s="99"/>
      <c r="AL122" s="53"/>
      <c r="AM122" s="228"/>
      <c r="AN122" s="52"/>
      <c r="AO122" s="99"/>
      <c r="AP122" s="53"/>
      <c r="AQ122" s="50">
        <f t="shared" si="41"/>
        <v>0</v>
      </c>
      <c r="AR122" s="163">
        <f t="shared" si="42"/>
        <v>0</v>
      </c>
      <c r="AS122" s="97">
        <f t="shared" si="43"/>
        <v>0</v>
      </c>
      <c r="AT122" s="278">
        <f t="shared" si="44"/>
        <v>0</v>
      </c>
      <c r="AU122" s="55"/>
      <c r="AV122" s="277"/>
      <c r="AW122" s="279"/>
      <c r="AX122" s="52"/>
      <c r="AY122" s="105"/>
      <c r="AZ122" s="98"/>
      <c r="BA122" s="279"/>
      <c r="BB122" s="52"/>
      <c r="BC122" s="105"/>
      <c r="BD122" s="98"/>
      <c r="BE122" s="279"/>
      <c r="BF122" s="52"/>
      <c r="BG122" s="105"/>
      <c r="BH122" s="98"/>
      <c r="BI122" s="279"/>
      <c r="BJ122" s="52"/>
      <c r="BK122" s="105"/>
      <c r="BL122" s="98"/>
      <c r="BM122" s="279"/>
      <c r="BN122" s="52"/>
      <c r="BO122" s="105"/>
      <c r="BP122" s="98"/>
      <c r="BQ122" s="279"/>
      <c r="BR122" s="52"/>
      <c r="BS122" s="105"/>
      <c r="BT122" s="98"/>
      <c r="BU122" s="279"/>
      <c r="BV122" s="52"/>
      <c r="BW122" s="105"/>
      <c r="BX122" s="98"/>
      <c r="BY122" s="279"/>
      <c r="BZ122" s="52"/>
      <c r="CA122" s="105"/>
      <c r="CB122" s="98"/>
      <c r="CC122" s="279"/>
      <c r="CD122" s="52"/>
      <c r="CE122" s="105"/>
      <c r="CF122" s="98"/>
      <c r="CG122" s="279"/>
      <c r="CH122" s="52"/>
      <c r="CI122" s="105"/>
      <c r="CJ122" s="98"/>
      <c r="CK122" s="281"/>
      <c r="CL122" s="277"/>
      <c r="CM122" s="159"/>
      <c r="CN122" s="277"/>
      <c r="CO122" s="50">
        <f t="shared" si="50"/>
        <v>0</v>
      </c>
      <c r="CP122" s="103">
        <f t="shared" si="51"/>
        <v>0</v>
      </c>
      <c r="CQ122" s="280">
        <f t="shared" si="52"/>
        <v>0</v>
      </c>
      <c r="CR122" s="63">
        <f t="shared" si="53"/>
        <v>0</v>
      </c>
      <c r="CS122" s="279"/>
      <c r="CT122" s="52"/>
      <c r="CU122" s="105"/>
      <c r="CV122" s="98"/>
      <c r="CW122" s="279"/>
      <c r="CX122" s="52"/>
      <c r="CY122" s="105"/>
      <c r="CZ122" s="98"/>
      <c r="DA122" s="279"/>
      <c r="DB122" s="52"/>
      <c r="DC122" s="105"/>
      <c r="DD122" s="98"/>
      <c r="DE122" s="279"/>
      <c r="DF122" s="52"/>
      <c r="DG122" s="105"/>
      <c r="DH122" s="98"/>
      <c r="DI122" s="279"/>
      <c r="DJ122" s="52"/>
      <c r="DK122" s="105"/>
      <c r="DL122" s="98"/>
      <c r="DM122" s="279"/>
      <c r="DN122" s="52"/>
      <c r="DO122" s="105"/>
      <c r="DP122" s="98"/>
      <c r="DQ122" s="279"/>
      <c r="DR122" s="52"/>
      <c r="DS122" s="105"/>
      <c r="DT122" s="98"/>
      <c r="DU122" s="279"/>
      <c r="DV122" s="52"/>
      <c r="DW122" s="105"/>
      <c r="DX122" s="98"/>
      <c r="DY122" s="279"/>
      <c r="DZ122" s="52"/>
      <c r="EA122" s="105"/>
      <c r="EB122" s="98"/>
      <c r="EC122" s="279"/>
      <c r="ED122" s="52"/>
      <c r="EE122" s="105"/>
      <c r="EF122" s="98"/>
      <c r="EG122" s="159"/>
      <c r="EH122" s="277"/>
      <c r="EI122" s="50">
        <f t="shared" si="54"/>
        <v>0</v>
      </c>
      <c r="EJ122" s="103">
        <f t="shared" si="55"/>
        <v>0</v>
      </c>
      <c r="EK122" s="164">
        <f t="shared" si="56"/>
        <v>0</v>
      </c>
      <c r="EL122" s="280">
        <f t="shared" si="57"/>
        <v>0</v>
      </c>
      <c r="EM122" s="63">
        <f t="shared" si="58"/>
        <v>0</v>
      </c>
      <c r="EN122" s="359">
        <f t="shared" si="59"/>
        <v>0</v>
      </c>
      <c r="EO122" s="51">
        <f t="shared" si="60"/>
        <v>0</v>
      </c>
      <c r="EP122" s="361">
        <f t="shared" si="61"/>
        <v>0</v>
      </c>
      <c r="EQ122" s="281"/>
      <c r="ER122" s="277"/>
      <c r="ES122" s="281"/>
      <c r="ET122" s="277"/>
      <c r="EU122" s="281"/>
      <c r="EV122" s="277"/>
      <c r="EW122" s="281"/>
      <c r="EX122" s="277"/>
      <c r="EY122" s="281"/>
      <c r="EZ122" s="277"/>
      <c r="FA122" s="281"/>
      <c r="FB122" s="277"/>
      <c r="FC122" s="281"/>
      <c r="FD122" s="277"/>
      <c r="FE122" s="281"/>
      <c r="FF122" s="277"/>
      <c r="FG122" s="281"/>
      <c r="FH122" s="277"/>
      <c r="FI122" s="281"/>
      <c r="FJ122" s="277"/>
      <c r="FK122" s="50">
        <f t="shared" si="62"/>
        <v>0</v>
      </c>
      <c r="FL122" s="63">
        <f t="shared" si="63"/>
        <v>0</v>
      </c>
      <c r="FM122" s="50">
        <f t="shared" si="45"/>
        <v>501</v>
      </c>
      <c r="FN122" s="360">
        <f t="shared" si="46"/>
        <v>546</v>
      </c>
      <c r="FO122" s="3"/>
      <c r="FP122" s="279"/>
      <c r="FQ122" s="52"/>
      <c r="FR122" s="296"/>
      <c r="FS122" s="98"/>
      <c r="FT122" s="467"/>
      <c r="FU122" s="52"/>
      <c r="FV122" s="296"/>
      <c r="FW122" s="98"/>
      <c r="FX122" s="467"/>
      <c r="FY122" s="52"/>
      <c r="FZ122" s="296"/>
      <c r="GA122" s="98"/>
      <c r="GB122" s="467"/>
      <c r="GC122" s="52"/>
      <c r="GD122" s="296"/>
      <c r="GE122" s="98"/>
      <c r="GF122" s="467"/>
      <c r="GG122" s="52"/>
      <c r="GH122" s="296"/>
      <c r="GI122" s="98"/>
      <c r="GJ122" s="467"/>
      <c r="GK122" s="52"/>
      <c r="GL122" s="296"/>
      <c r="GM122" s="464"/>
      <c r="GN122" s="467"/>
      <c r="GO122" s="52"/>
      <c r="GP122" s="296"/>
      <c r="GQ122" s="464"/>
      <c r="GR122" s="467"/>
      <c r="GS122" s="52"/>
      <c r="GT122" s="296"/>
      <c r="GU122" s="464"/>
      <c r="GV122" s="467"/>
      <c r="GW122" s="52"/>
      <c r="GX122" s="296"/>
      <c r="GY122" s="464"/>
      <c r="GZ122" s="467"/>
      <c r="HA122" s="52"/>
      <c r="HB122" s="296"/>
      <c r="HC122" s="3"/>
    </row>
    <row r="123" spans="1:211" s="86" customFormat="1">
      <c r="A123" s="288" t="s">
        <v>346</v>
      </c>
      <c r="B123" s="289" t="s">
        <v>522</v>
      </c>
      <c r="C123" s="288">
        <v>137315</v>
      </c>
      <c r="D123" s="344">
        <v>9</v>
      </c>
      <c r="E123" s="460">
        <v>273</v>
      </c>
      <c r="F123" s="277">
        <v>300</v>
      </c>
      <c r="G123" s="158">
        <v>14</v>
      </c>
      <c r="H123" s="277"/>
      <c r="I123" s="158">
        <v>251</v>
      </c>
      <c r="J123" s="277">
        <v>266</v>
      </c>
      <c r="K123" s="160">
        <f t="shared" si="47"/>
        <v>0</v>
      </c>
      <c r="L123" s="161">
        <f t="shared" si="40"/>
        <v>0</v>
      </c>
      <c r="M123" s="54"/>
      <c r="N123" s="55"/>
      <c r="O123" s="55"/>
      <c r="P123" s="55"/>
      <c r="Q123" s="162">
        <f t="shared" si="48"/>
        <v>0</v>
      </c>
      <c r="R123" s="277">
        <v>0</v>
      </c>
      <c r="S123" s="277"/>
      <c r="T123" s="277"/>
      <c r="U123" s="277"/>
      <c r="V123" s="97">
        <f t="shared" si="49"/>
        <v>0</v>
      </c>
      <c r="W123" s="279"/>
      <c r="X123" s="52"/>
      <c r="Y123" s="99"/>
      <c r="Z123" s="53"/>
      <c r="AA123" s="228"/>
      <c r="AB123" s="52"/>
      <c r="AC123" s="99"/>
      <c r="AD123" s="53"/>
      <c r="AE123" s="228"/>
      <c r="AF123" s="52"/>
      <c r="AG123" s="99"/>
      <c r="AH123" s="53"/>
      <c r="AI123" s="228"/>
      <c r="AJ123" s="52"/>
      <c r="AK123" s="99"/>
      <c r="AL123" s="53"/>
      <c r="AM123" s="228"/>
      <c r="AN123" s="52"/>
      <c r="AO123" s="99"/>
      <c r="AP123" s="53"/>
      <c r="AQ123" s="50">
        <f t="shared" si="41"/>
        <v>0</v>
      </c>
      <c r="AR123" s="163">
        <f t="shared" si="42"/>
        <v>0</v>
      </c>
      <c r="AS123" s="97">
        <f t="shared" si="43"/>
        <v>0</v>
      </c>
      <c r="AT123" s="278">
        <f t="shared" si="44"/>
        <v>0</v>
      </c>
      <c r="AU123" s="55"/>
      <c r="AV123" s="277"/>
      <c r="AW123" s="279"/>
      <c r="AX123" s="52"/>
      <c r="AY123" s="105"/>
      <c r="AZ123" s="98"/>
      <c r="BA123" s="279"/>
      <c r="BB123" s="52"/>
      <c r="BC123" s="105"/>
      <c r="BD123" s="98"/>
      <c r="BE123" s="279"/>
      <c r="BF123" s="52"/>
      <c r="BG123" s="105"/>
      <c r="BH123" s="98"/>
      <c r="BI123" s="279"/>
      <c r="BJ123" s="52"/>
      <c r="BK123" s="105"/>
      <c r="BL123" s="98"/>
      <c r="BM123" s="279"/>
      <c r="BN123" s="52"/>
      <c r="BO123" s="105"/>
      <c r="BP123" s="98"/>
      <c r="BQ123" s="279"/>
      <c r="BR123" s="52"/>
      <c r="BS123" s="105"/>
      <c r="BT123" s="98"/>
      <c r="BU123" s="279"/>
      <c r="BV123" s="52"/>
      <c r="BW123" s="105"/>
      <c r="BX123" s="98"/>
      <c r="BY123" s="279"/>
      <c r="BZ123" s="52"/>
      <c r="CA123" s="105"/>
      <c r="CB123" s="98"/>
      <c r="CC123" s="279"/>
      <c r="CD123" s="52"/>
      <c r="CE123" s="105"/>
      <c r="CF123" s="98"/>
      <c r="CG123" s="279"/>
      <c r="CH123" s="52"/>
      <c r="CI123" s="105"/>
      <c r="CJ123" s="98"/>
      <c r="CK123" s="281"/>
      <c r="CL123" s="277"/>
      <c r="CM123" s="159"/>
      <c r="CN123" s="277"/>
      <c r="CO123" s="50">
        <f t="shared" si="50"/>
        <v>0</v>
      </c>
      <c r="CP123" s="103">
        <f t="shared" si="51"/>
        <v>0</v>
      </c>
      <c r="CQ123" s="280">
        <f t="shared" si="52"/>
        <v>0</v>
      </c>
      <c r="CR123" s="63">
        <f t="shared" si="53"/>
        <v>0</v>
      </c>
      <c r="CS123" s="279"/>
      <c r="CT123" s="52"/>
      <c r="CU123" s="105"/>
      <c r="CV123" s="98"/>
      <c r="CW123" s="279"/>
      <c r="CX123" s="52"/>
      <c r="CY123" s="105"/>
      <c r="CZ123" s="98"/>
      <c r="DA123" s="279"/>
      <c r="DB123" s="52"/>
      <c r="DC123" s="105"/>
      <c r="DD123" s="98"/>
      <c r="DE123" s="279"/>
      <c r="DF123" s="52"/>
      <c r="DG123" s="105"/>
      <c r="DH123" s="98"/>
      <c r="DI123" s="279"/>
      <c r="DJ123" s="52"/>
      <c r="DK123" s="105"/>
      <c r="DL123" s="98"/>
      <c r="DM123" s="279"/>
      <c r="DN123" s="52"/>
      <c r="DO123" s="105"/>
      <c r="DP123" s="98"/>
      <c r="DQ123" s="279"/>
      <c r="DR123" s="52"/>
      <c r="DS123" s="105"/>
      <c r="DT123" s="98"/>
      <c r="DU123" s="279"/>
      <c r="DV123" s="52"/>
      <c r="DW123" s="105"/>
      <c r="DX123" s="98"/>
      <c r="DY123" s="279"/>
      <c r="DZ123" s="52"/>
      <c r="EA123" s="105"/>
      <c r="EB123" s="98"/>
      <c r="EC123" s="279"/>
      <c r="ED123" s="52"/>
      <c r="EE123" s="105"/>
      <c r="EF123" s="98"/>
      <c r="EG123" s="159"/>
      <c r="EH123" s="277"/>
      <c r="EI123" s="50">
        <f t="shared" si="54"/>
        <v>0</v>
      </c>
      <c r="EJ123" s="103">
        <f t="shared" si="55"/>
        <v>0</v>
      </c>
      <c r="EK123" s="164">
        <f t="shared" si="56"/>
        <v>0</v>
      </c>
      <c r="EL123" s="280">
        <f t="shared" si="57"/>
        <v>0</v>
      </c>
      <c r="EM123" s="63">
        <f t="shared" si="58"/>
        <v>0</v>
      </c>
      <c r="EN123" s="359">
        <f t="shared" si="59"/>
        <v>0</v>
      </c>
      <c r="EO123" s="51">
        <f t="shared" si="60"/>
        <v>0</v>
      </c>
      <c r="EP123" s="361">
        <f t="shared" si="61"/>
        <v>0</v>
      </c>
      <c r="EQ123" s="281"/>
      <c r="ER123" s="277"/>
      <c r="ES123" s="281"/>
      <c r="ET123" s="277"/>
      <c r="EU123" s="281"/>
      <c r="EV123" s="277"/>
      <c r="EW123" s="281"/>
      <c r="EX123" s="277"/>
      <c r="EY123" s="281"/>
      <c r="EZ123" s="277"/>
      <c r="FA123" s="281"/>
      <c r="FB123" s="277"/>
      <c r="FC123" s="281"/>
      <c r="FD123" s="277"/>
      <c r="FE123" s="281"/>
      <c r="FF123" s="277"/>
      <c r="FG123" s="281"/>
      <c r="FH123" s="277"/>
      <c r="FI123" s="281"/>
      <c r="FJ123" s="277"/>
      <c r="FK123" s="50">
        <f t="shared" si="62"/>
        <v>0</v>
      </c>
      <c r="FL123" s="63">
        <f t="shared" si="63"/>
        <v>0</v>
      </c>
      <c r="FM123" s="50">
        <f t="shared" si="45"/>
        <v>538</v>
      </c>
      <c r="FN123" s="360">
        <f t="shared" si="46"/>
        <v>566</v>
      </c>
      <c r="FO123" s="3"/>
      <c r="FP123" s="279"/>
      <c r="FQ123" s="52"/>
      <c r="FR123" s="296"/>
      <c r="FS123" s="98"/>
      <c r="FT123" s="467"/>
      <c r="FU123" s="52"/>
      <c r="FV123" s="296"/>
      <c r="FW123" s="98"/>
      <c r="FX123" s="467"/>
      <c r="FY123" s="52"/>
      <c r="FZ123" s="296"/>
      <c r="GA123" s="98"/>
      <c r="GB123" s="467"/>
      <c r="GC123" s="52"/>
      <c r="GD123" s="296"/>
      <c r="GE123" s="98"/>
      <c r="GF123" s="467"/>
      <c r="GG123" s="52"/>
      <c r="GH123" s="296"/>
      <c r="GI123" s="98"/>
      <c r="GJ123" s="467"/>
      <c r="GK123" s="52"/>
      <c r="GL123" s="296"/>
      <c r="GM123" s="464"/>
      <c r="GN123" s="467"/>
      <c r="GO123" s="52"/>
      <c r="GP123" s="296"/>
      <c r="GQ123" s="464"/>
      <c r="GR123" s="467"/>
      <c r="GS123" s="52"/>
      <c r="GT123" s="296"/>
      <c r="GU123" s="464"/>
      <c r="GV123" s="467"/>
      <c r="GW123" s="52"/>
      <c r="GX123" s="296"/>
      <c r="GY123" s="464"/>
      <c r="GZ123" s="467"/>
      <c r="HA123" s="52"/>
      <c r="HB123" s="296"/>
      <c r="HC123" s="3"/>
    </row>
    <row r="124" spans="1:211" s="86" customFormat="1">
      <c r="A124" s="288" t="s">
        <v>346</v>
      </c>
      <c r="B124" s="289" t="s">
        <v>521</v>
      </c>
      <c r="C124" s="288">
        <v>137281</v>
      </c>
      <c r="D124" s="344">
        <v>9</v>
      </c>
      <c r="E124" s="460">
        <v>203</v>
      </c>
      <c r="F124" s="277">
        <v>202</v>
      </c>
      <c r="G124" s="158">
        <v>22</v>
      </c>
      <c r="H124" s="277">
        <v>30</v>
      </c>
      <c r="I124" s="158">
        <v>619</v>
      </c>
      <c r="J124" s="277">
        <v>653</v>
      </c>
      <c r="K124" s="160">
        <f t="shared" si="47"/>
        <v>0</v>
      </c>
      <c r="L124" s="161">
        <f t="shared" si="40"/>
        <v>0</v>
      </c>
      <c r="M124" s="54"/>
      <c r="N124" s="55"/>
      <c r="O124" s="55"/>
      <c r="P124" s="55"/>
      <c r="Q124" s="162">
        <f t="shared" si="48"/>
        <v>0</v>
      </c>
      <c r="R124" s="277"/>
      <c r="S124" s="277"/>
      <c r="T124" s="277"/>
      <c r="U124" s="277"/>
      <c r="V124" s="97">
        <f t="shared" si="49"/>
        <v>0</v>
      </c>
      <c r="W124" s="279"/>
      <c r="X124" s="52"/>
      <c r="Y124" s="99"/>
      <c r="Z124" s="53"/>
      <c r="AA124" s="228"/>
      <c r="AB124" s="52"/>
      <c r="AC124" s="99"/>
      <c r="AD124" s="53"/>
      <c r="AE124" s="228"/>
      <c r="AF124" s="52"/>
      <c r="AG124" s="99"/>
      <c r="AH124" s="53"/>
      <c r="AI124" s="228"/>
      <c r="AJ124" s="52"/>
      <c r="AK124" s="99"/>
      <c r="AL124" s="53"/>
      <c r="AM124" s="228"/>
      <c r="AN124" s="52"/>
      <c r="AO124" s="99"/>
      <c r="AP124" s="53"/>
      <c r="AQ124" s="50">
        <f t="shared" si="41"/>
        <v>0</v>
      </c>
      <c r="AR124" s="163">
        <f t="shared" si="42"/>
        <v>0</v>
      </c>
      <c r="AS124" s="97">
        <f t="shared" si="43"/>
        <v>0</v>
      </c>
      <c r="AT124" s="278">
        <f t="shared" si="44"/>
        <v>0</v>
      </c>
      <c r="AU124" s="55"/>
      <c r="AV124" s="277"/>
      <c r="AW124" s="279"/>
      <c r="AX124" s="52"/>
      <c r="AY124" s="105"/>
      <c r="AZ124" s="98"/>
      <c r="BA124" s="279"/>
      <c r="BB124" s="52"/>
      <c r="BC124" s="105"/>
      <c r="BD124" s="98"/>
      <c r="BE124" s="279"/>
      <c r="BF124" s="52"/>
      <c r="BG124" s="105"/>
      <c r="BH124" s="98"/>
      <c r="BI124" s="279"/>
      <c r="BJ124" s="52"/>
      <c r="BK124" s="105"/>
      <c r="BL124" s="98"/>
      <c r="BM124" s="279"/>
      <c r="BN124" s="52"/>
      <c r="BO124" s="105"/>
      <c r="BP124" s="98"/>
      <c r="BQ124" s="279"/>
      <c r="BR124" s="52"/>
      <c r="BS124" s="105"/>
      <c r="BT124" s="98"/>
      <c r="BU124" s="279"/>
      <c r="BV124" s="52"/>
      <c r="BW124" s="105"/>
      <c r="BX124" s="98"/>
      <c r="BY124" s="279"/>
      <c r="BZ124" s="52"/>
      <c r="CA124" s="105"/>
      <c r="CB124" s="98"/>
      <c r="CC124" s="279"/>
      <c r="CD124" s="52"/>
      <c r="CE124" s="105"/>
      <c r="CF124" s="98"/>
      <c r="CG124" s="279"/>
      <c r="CH124" s="52"/>
      <c r="CI124" s="105"/>
      <c r="CJ124" s="98"/>
      <c r="CK124" s="281"/>
      <c r="CL124" s="277"/>
      <c r="CM124" s="159"/>
      <c r="CN124" s="277"/>
      <c r="CO124" s="50">
        <f t="shared" si="50"/>
        <v>0</v>
      </c>
      <c r="CP124" s="103">
        <f t="shared" si="51"/>
        <v>0</v>
      </c>
      <c r="CQ124" s="280">
        <f t="shared" si="52"/>
        <v>0</v>
      </c>
      <c r="CR124" s="63">
        <f t="shared" si="53"/>
        <v>0</v>
      </c>
      <c r="CS124" s="279"/>
      <c r="CT124" s="52"/>
      <c r="CU124" s="105"/>
      <c r="CV124" s="98"/>
      <c r="CW124" s="279"/>
      <c r="CX124" s="52"/>
      <c r="CY124" s="105"/>
      <c r="CZ124" s="98"/>
      <c r="DA124" s="279"/>
      <c r="DB124" s="52"/>
      <c r="DC124" s="105"/>
      <c r="DD124" s="98"/>
      <c r="DE124" s="279"/>
      <c r="DF124" s="52"/>
      <c r="DG124" s="105"/>
      <c r="DH124" s="98"/>
      <c r="DI124" s="279"/>
      <c r="DJ124" s="52"/>
      <c r="DK124" s="105"/>
      <c r="DL124" s="98"/>
      <c r="DM124" s="279"/>
      <c r="DN124" s="52"/>
      <c r="DO124" s="105"/>
      <c r="DP124" s="98"/>
      <c r="DQ124" s="279"/>
      <c r="DR124" s="52"/>
      <c r="DS124" s="105"/>
      <c r="DT124" s="98"/>
      <c r="DU124" s="279"/>
      <c r="DV124" s="52"/>
      <c r="DW124" s="105"/>
      <c r="DX124" s="98"/>
      <c r="DY124" s="279"/>
      <c r="DZ124" s="52"/>
      <c r="EA124" s="105"/>
      <c r="EB124" s="98"/>
      <c r="EC124" s="279"/>
      <c r="ED124" s="52"/>
      <c r="EE124" s="105"/>
      <c r="EF124" s="98"/>
      <c r="EG124" s="159"/>
      <c r="EH124" s="277"/>
      <c r="EI124" s="50">
        <f t="shared" si="54"/>
        <v>0</v>
      </c>
      <c r="EJ124" s="103">
        <f t="shared" si="55"/>
        <v>0</v>
      </c>
      <c r="EK124" s="164">
        <f t="shared" si="56"/>
        <v>0</v>
      </c>
      <c r="EL124" s="280">
        <f t="shared" si="57"/>
        <v>0</v>
      </c>
      <c r="EM124" s="63">
        <f t="shared" si="58"/>
        <v>0</v>
      </c>
      <c r="EN124" s="359">
        <f t="shared" si="59"/>
        <v>0</v>
      </c>
      <c r="EO124" s="51">
        <f t="shared" si="60"/>
        <v>0</v>
      </c>
      <c r="EP124" s="361">
        <f t="shared" si="61"/>
        <v>0</v>
      </c>
      <c r="EQ124" s="281"/>
      <c r="ER124" s="277"/>
      <c r="ES124" s="281"/>
      <c r="ET124" s="277"/>
      <c r="EU124" s="281"/>
      <c r="EV124" s="277"/>
      <c r="EW124" s="281"/>
      <c r="EX124" s="277"/>
      <c r="EY124" s="281"/>
      <c r="EZ124" s="277"/>
      <c r="FA124" s="281"/>
      <c r="FB124" s="277"/>
      <c r="FC124" s="281"/>
      <c r="FD124" s="277"/>
      <c r="FE124" s="281"/>
      <c r="FF124" s="277"/>
      <c r="FG124" s="281"/>
      <c r="FH124" s="277"/>
      <c r="FI124" s="281"/>
      <c r="FJ124" s="277"/>
      <c r="FK124" s="50">
        <f t="shared" si="62"/>
        <v>0</v>
      </c>
      <c r="FL124" s="63">
        <f t="shared" si="63"/>
        <v>0</v>
      </c>
      <c r="FM124" s="50">
        <f t="shared" si="45"/>
        <v>844</v>
      </c>
      <c r="FN124" s="360">
        <f t="shared" si="46"/>
        <v>885</v>
      </c>
      <c r="FO124" s="3"/>
      <c r="FP124" s="279"/>
      <c r="FQ124" s="52"/>
      <c r="FR124" s="296"/>
      <c r="FS124" s="98"/>
      <c r="FT124" s="467"/>
      <c r="FU124" s="52"/>
      <c r="FV124" s="296"/>
      <c r="FW124" s="98"/>
      <c r="FX124" s="467"/>
      <c r="FY124" s="52"/>
      <c r="FZ124" s="296"/>
      <c r="GA124" s="98"/>
      <c r="GB124" s="467"/>
      <c r="GC124" s="52"/>
      <c r="GD124" s="296"/>
      <c r="GE124" s="98"/>
      <c r="GF124" s="467"/>
      <c r="GG124" s="52"/>
      <c r="GH124" s="296"/>
      <c r="GI124" s="98"/>
      <c r="GJ124" s="467"/>
      <c r="GK124" s="52"/>
      <c r="GL124" s="296"/>
      <c r="GM124" s="464"/>
      <c r="GN124" s="467"/>
      <c r="GO124" s="52"/>
      <c r="GP124" s="296"/>
      <c r="GQ124" s="464"/>
      <c r="GR124" s="467"/>
      <c r="GS124" s="52"/>
      <c r="GT124" s="296"/>
      <c r="GU124" s="464"/>
      <c r="GV124" s="467"/>
      <c r="GW124" s="52"/>
      <c r="GX124" s="296"/>
      <c r="GY124" s="464"/>
      <c r="GZ124" s="467"/>
      <c r="HA124" s="52"/>
      <c r="HB124" s="296"/>
      <c r="HC124" s="3"/>
    </row>
    <row r="125" spans="1:211" s="86" customFormat="1">
      <c r="A125" s="288" t="s">
        <v>346</v>
      </c>
      <c r="B125" s="289" t="s">
        <v>506</v>
      </c>
      <c r="C125" s="288">
        <v>133960</v>
      </c>
      <c r="D125" s="344">
        <v>10</v>
      </c>
      <c r="E125" s="460">
        <v>103</v>
      </c>
      <c r="F125" s="277">
        <v>100</v>
      </c>
      <c r="G125" s="158"/>
      <c r="H125" s="277">
        <v>0</v>
      </c>
      <c r="I125" s="158">
        <v>162</v>
      </c>
      <c r="J125" s="277">
        <v>118</v>
      </c>
      <c r="K125" s="160">
        <f t="shared" si="47"/>
        <v>0</v>
      </c>
      <c r="L125" s="161">
        <f t="shared" si="40"/>
        <v>0</v>
      </c>
      <c r="M125" s="54"/>
      <c r="N125" s="55"/>
      <c r="O125" s="55"/>
      <c r="P125" s="55"/>
      <c r="Q125" s="162">
        <f t="shared" si="48"/>
        <v>0</v>
      </c>
      <c r="R125" s="277">
        <v>0</v>
      </c>
      <c r="S125" s="277"/>
      <c r="T125" s="277"/>
      <c r="U125" s="277"/>
      <c r="V125" s="97">
        <f t="shared" si="49"/>
        <v>0</v>
      </c>
      <c r="W125" s="279"/>
      <c r="X125" s="52"/>
      <c r="Y125" s="99"/>
      <c r="Z125" s="53"/>
      <c r="AA125" s="228"/>
      <c r="AB125" s="52"/>
      <c r="AC125" s="99"/>
      <c r="AD125" s="53"/>
      <c r="AE125" s="228"/>
      <c r="AF125" s="52"/>
      <c r="AG125" s="99"/>
      <c r="AH125" s="53"/>
      <c r="AI125" s="228"/>
      <c r="AJ125" s="52"/>
      <c r="AK125" s="99"/>
      <c r="AL125" s="53"/>
      <c r="AM125" s="228"/>
      <c r="AN125" s="52"/>
      <c r="AO125" s="99"/>
      <c r="AP125" s="53"/>
      <c r="AQ125" s="50">
        <f t="shared" si="41"/>
        <v>0</v>
      </c>
      <c r="AR125" s="163">
        <f t="shared" si="42"/>
        <v>0</v>
      </c>
      <c r="AS125" s="97">
        <f t="shared" si="43"/>
        <v>0</v>
      </c>
      <c r="AT125" s="278">
        <f t="shared" si="44"/>
        <v>0</v>
      </c>
      <c r="AU125" s="55"/>
      <c r="AV125" s="277"/>
      <c r="AW125" s="279"/>
      <c r="AX125" s="52"/>
      <c r="AY125" s="105"/>
      <c r="AZ125" s="98"/>
      <c r="BA125" s="279"/>
      <c r="BB125" s="52"/>
      <c r="BC125" s="105"/>
      <c r="BD125" s="98"/>
      <c r="BE125" s="279"/>
      <c r="BF125" s="52"/>
      <c r="BG125" s="105"/>
      <c r="BH125" s="98"/>
      <c r="BI125" s="279"/>
      <c r="BJ125" s="52"/>
      <c r="BK125" s="105"/>
      <c r="BL125" s="98"/>
      <c r="BM125" s="279"/>
      <c r="BN125" s="52"/>
      <c r="BO125" s="105"/>
      <c r="BP125" s="98"/>
      <c r="BQ125" s="279"/>
      <c r="BR125" s="52"/>
      <c r="BS125" s="105"/>
      <c r="BT125" s="98"/>
      <c r="BU125" s="279"/>
      <c r="BV125" s="52"/>
      <c r="BW125" s="105"/>
      <c r="BX125" s="98"/>
      <c r="BY125" s="279"/>
      <c r="BZ125" s="52"/>
      <c r="CA125" s="105"/>
      <c r="CB125" s="98"/>
      <c r="CC125" s="279"/>
      <c r="CD125" s="52"/>
      <c r="CE125" s="105"/>
      <c r="CF125" s="98"/>
      <c r="CG125" s="279"/>
      <c r="CH125" s="52"/>
      <c r="CI125" s="105"/>
      <c r="CJ125" s="98"/>
      <c r="CK125" s="281"/>
      <c r="CL125" s="277"/>
      <c r="CM125" s="159"/>
      <c r="CN125" s="277"/>
      <c r="CO125" s="50">
        <f t="shared" si="50"/>
        <v>0</v>
      </c>
      <c r="CP125" s="103">
        <f t="shared" si="51"/>
        <v>0</v>
      </c>
      <c r="CQ125" s="280">
        <f t="shared" si="52"/>
        <v>0</v>
      </c>
      <c r="CR125" s="63">
        <f t="shared" si="53"/>
        <v>0</v>
      </c>
      <c r="CS125" s="279"/>
      <c r="CT125" s="52"/>
      <c r="CU125" s="105"/>
      <c r="CV125" s="98"/>
      <c r="CW125" s="279"/>
      <c r="CX125" s="52"/>
      <c r="CY125" s="105"/>
      <c r="CZ125" s="98"/>
      <c r="DA125" s="279"/>
      <c r="DB125" s="52"/>
      <c r="DC125" s="105"/>
      <c r="DD125" s="98"/>
      <c r="DE125" s="279"/>
      <c r="DF125" s="52"/>
      <c r="DG125" s="105"/>
      <c r="DH125" s="98"/>
      <c r="DI125" s="279"/>
      <c r="DJ125" s="52"/>
      <c r="DK125" s="105"/>
      <c r="DL125" s="98"/>
      <c r="DM125" s="279"/>
      <c r="DN125" s="52"/>
      <c r="DO125" s="105"/>
      <c r="DP125" s="98"/>
      <c r="DQ125" s="279"/>
      <c r="DR125" s="52"/>
      <c r="DS125" s="105"/>
      <c r="DT125" s="98"/>
      <c r="DU125" s="279"/>
      <c r="DV125" s="52"/>
      <c r="DW125" s="105"/>
      <c r="DX125" s="98"/>
      <c r="DY125" s="279"/>
      <c r="DZ125" s="52"/>
      <c r="EA125" s="105"/>
      <c r="EB125" s="98"/>
      <c r="EC125" s="279"/>
      <c r="ED125" s="52"/>
      <c r="EE125" s="105"/>
      <c r="EF125" s="98"/>
      <c r="EG125" s="159"/>
      <c r="EH125" s="277"/>
      <c r="EI125" s="50">
        <f t="shared" si="54"/>
        <v>0</v>
      </c>
      <c r="EJ125" s="103">
        <f t="shared" si="55"/>
        <v>0</v>
      </c>
      <c r="EK125" s="164">
        <f t="shared" si="56"/>
        <v>0</v>
      </c>
      <c r="EL125" s="280">
        <f t="shared" si="57"/>
        <v>0</v>
      </c>
      <c r="EM125" s="63">
        <f t="shared" si="58"/>
        <v>0</v>
      </c>
      <c r="EN125" s="359">
        <f t="shared" si="59"/>
        <v>0</v>
      </c>
      <c r="EO125" s="51">
        <f t="shared" si="60"/>
        <v>0</v>
      </c>
      <c r="EP125" s="361">
        <f t="shared" si="61"/>
        <v>0</v>
      </c>
      <c r="EQ125" s="281"/>
      <c r="ER125" s="277"/>
      <c r="ES125" s="281"/>
      <c r="ET125" s="277"/>
      <c r="EU125" s="281"/>
      <c r="EV125" s="277"/>
      <c r="EW125" s="281"/>
      <c r="EX125" s="277"/>
      <c r="EY125" s="281"/>
      <c r="EZ125" s="277"/>
      <c r="FA125" s="281"/>
      <c r="FB125" s="277"/>
      <c r="FC125" s="281"/>
      <c r="FD125" s="277"/>
      <c r="FE125" s="281"/>
      <c r="FF125" s="277"/>
      <c r="FG125" s="281"/>
      <c r="FH125" s="277"/>
      <c r="FI125" s="281"/>
      <c r="FJ125" s="277"/>
      <c r="FK125" s="50">
        <f t="shared" si="62"/>
        <v>0</v>
      </c>
      <c r="FL125" s="63">
        <f t="shared" si="63"/>
        <v>0</v>
      </c>
      <c r="FM125" s="50">
        <f t="shared" si="45"/>
        <v>265</v>
      </c>
      <c r="FN125" s="360">
        <f t="shared" si="46"/>
        <v>218</v>
      </c>
      <c r="FO125" s="3"/>
      <c r="FP125" s="279"/>
      <c r="FQ125" s="52"/>
      <c r="FR125" s="296"/>
      <c r="FS125" s="98"/>
      <c r="FT125" s="467"/>
      <c r="FU125" s="52"/>
      <c r="FV125" s="296"/>
      <c r="FW125" s="98"/>
      <c r="FX125" s="467"/>
      <c r="FY125" s="52"/>
      <c r="FZ125" s="296"/>
      <c r="GA125" s="98"/>
      <c r="GB125" s="467"/>
      <c r="GC125" s="52"/>
      <c r="GD125" s="296"/>
      <c r="GE125" s="98"/>
      <c r="GF125" s="467"/>
      <c r="GG125" s="52"/>
      <c r="GH125" s="296"/>
      <c r="GI125" s="98"/>
      <c r="GJ125" s="467"/>
      <c r="GK125" s="52"/>
      <c r="GL125" s="296"/>
      <c r="GM125" s="464"/>
      <c r="GN125" s="467"/>
      <c r="GO125" s="52"/>
      <c r="GP125" s="296"/>
      <c r="GQ125" s="464"/>
      <c r="GR125" s="467"/>
      <c r="GS125" s="52"/>
      <c r="GT125" s="296"/>
      <c r="GU125" s="464"/>
      <c r="GV125" s="467"/>
      <c r="GW125" s="52"/>
      <c r="GX125" s="296"/>
      <c r="GY125" s="464"/>
      <c r="GZ125" s="467"/>
      <c r="HA125" s="52"/>
      <c r="HB125" s="296"/>
      <c r="HC125" s="3"/>
    </row>
    <row r="126" spans="1:211" s="86" customFormat="1">
      <c r="A126" s="288" t="s">
        <v>346</v>
      </c>
      <c r="B126" s="289" t="s">
        <v>513</v>
      </c>
      <c r="C126" s="288">
        <v>136145</v>
      </c>
      <c r="D126" s="344">
        <v>10</v>
      </c>
      <c r="E126" s="460">
        <v>130</v>
      </c>
      <c r="F126" s="277">
        <v>127</v>
      </c>
      <c r="G126" s="158">
        <v>1</v>
      </c>
      <c r="H126" s="277">
        <v>9</v>
      </c>
      <c r="I126" s="158">
        <v>147</v>
      </c>
      <c r="J126" s="277">
        <v>161</v>
      </c>
      <c r="K126" s="160">
        <f t="shared" si="47"/>
        <v>0</v>
      </c>
      <c r="L126" s="161">
        <f t="shared" si="40"/>
        <v>0</v>
      </c>
      <c r="M126" s="54"/>
      <c r="N126" s="55"/>
      <c r="O126" s="55"/>
      <c r="P126" s="55"/>
      <c r="Q126" s="162">
        <f t="shared" si="48"/>
        <v>0</v>
      </c>
      <c r="R126" s="277">
        <v>0</v>
      </c>
      <c r="S126" s="277"/>
      <c r="T126" s="277"/>
      <c r="U126" s="277"/>
      <c r="V126" s="97">
        <f t="shared" si="49"/>
        <v>0</v>
      </c>
      <c r="W126" s="279"/>
      <c r="X126" s="52"/>
      <c r="Y126" s="99"/>
      <c r="Z126" s="53"/>
      <c r="AA126" s="228"/>
      <c r="AB126" s="52"/>
      <c r="AC126" s="99"/>
      <c r="AD126" s="53"/>
      <c r="AE126" s="228"/>
      <c r="AF126" s="52"/>
      <c r="AG126" s="99"/>
      <c r="AH126" s="53"/>
      <c r="AI126" s="228"/>
      <c r="AJ126" s="52"/>
      <c r="AK126" s="99"/>
      <c r="AL126" s="53"/>
      <c r="AM126" s="228"/>
      <c r="AN126" s="52"/>
      <c r="AO126" s="99"/>
      <c r="AP126" s="53"/>
      <c r="AQ126" s="50">
        <f t="shared" si="41"/>
        <v>0</v>
      </c>
      <c r="AR126" s="163">
        <f t="shared" si="42"/>
        <v>0</v>
      </c>
      <c r="AS126" s="97">
        <f t="shared" si="43"/>
        <v>0</v>
      </c>
      <c r="AT126" s="278">
        <f t="shared" si="44"/>
        <v>0</v>
      </c>
      <c r="AU126" s="55"/>
      <c r="AV126" s="277"/>
      <c r="AW126" s="279"/>
      <c r="AX126" s="52"/>
      <c r="AY126" s="105"/>
      <c r="AZ126" s="98"/>
      <c r="BA126" s="279"/>
      <c r="BB126" s="52"/>
      <c r="BC126" s="105"/>
      <c r="BD126" s="98"/>
      <c r="BE126" s="279"/>
      <c r="BF126" s="52"/>
      <c r="BG126" s="105"/>
      <c r="BH126" s="98"/>
      <c r="BI126" s="279"/>
      <c r="BJ126" s="52"/>
      <c r="BK126" s="105"/>
      <c r="BL126" s="98"/>
      <c r="BM126" s="279"/>
      <c r="BN126" s="52"/>
      <c r="BO126" s="105"/>
      <c r="BP126" s="98"/>
      <c r="BQ126" s="279"/>
      <c r="BR126" s="52"/>
      <c r="BS126" s="105"/>
      <c r="BT126" s="98"/>
      <c r="BU126" s="279"/>
      <c r="BV126" s="52"/>
      <c r="BW126" s="105"/>
      <c r="BX126" s="98"/>
      <c r="BY126" s="279"/>
      <c r="BZ126" s="52"/>
      <c r="CA126" s="105"/>
      <c r="CB126" s="98"/>
      <c r="CC126" s="279"/>
      <c r="CD126" s="52"/>
      <c r="CE126" s="105"/>
      <c r="CF126" s="98"/>
      <c r="CG126" s="279"/>
      <c r="CH126" s="52"/>
      <c r="CI126" s="105"/>
      <c r="CJ126" s="98"/>
      <c r="CK126" s="281"/>
      <c r="CL126" s="277"/>
      <c r="CM126" s="159"/>
      <c r="CN126" s="277"/>
      <c r="CO126" s="50">
        <f t="shared" si="50"/>
        <v>0</v>
      </c>
      <c r="CP126" s="103">
        <f t="shared" si="51"/>
        <v>0</v>
      </c>
      <c r="CQ126" s="280">
        <f t="shared" si="52"/>
        <v>0</v>
      </c>
      <c r="CR126" s="63">
        <f t="shared" si="53"/>
        <v>0</v>
      </c>
      <c r="CS126" s="279"/>
      <c r="CT126" s="52"/>
      <c r="CU126" s="105"/>
      <c r="CV126" s="98"/>
      <c r="CW126" s="279"/>
      <c r="CX126" s="52"/>
      <c r="CY126" s="105"/>
      <c r="CZ126" s="98"/>
      <c r="DA126" s="279"/>
      <c r="DB126" s="52"/>
      <c r="DC126" s="105"/>
      <c r="DD126" s="98"/>
      <c r="DE126" s="279"/>
      <c r="DF126" s="52"/>
      <c r="DG126" s="105"/>
      <c r="DH126" s="98"/>
      <c r="DI126" s="279"/>
      <c r="DJ126" s="52"/>
      <c r="DK126" s="105"/>
      <c r="DL126" s="98"/>
      <c r="DM126" s="279"/>
      <c r="DN126" s="52"/>
      <c r="DO126" s="105"/>
      <c r="DP126" s="98"/>
      <c r="DQ126" s="279"/>
      <c r="DR126" s="52"/>
      <c r="DS126" s="105"/>
      <c r="DT126" s="98"/>
      <c r="DU126" s="279"/>
      <c r="DV126" s="52"/>
      <c r="DW126" s="105"/>
      <c r="DX126" s="98"/>
      <c r="DY126" s="279"/>
      <c r="DZ126" s="52"/>
      <c r="EA126" s="105"/>
      <c r="EB126" s="98"/>
      <c r="EC126" s="279"/>
      <c r="ED126" s="52"/>
      <c r="EE126" s="105"/>
      <c r="EF126" s="98"/>
      <c r="EG126" s="159"/>
      <c r="EH126" s="277"/>
      <c r="EI126" s="50">
        <f t="shared" si="54"/>
        <v>0</v>
      </c>
      <c r="EJ126" s="103">
        <f t="shared" si="55"/>
        <v>0</v>
      </c>
      <c r="EK126" s="164">
        <f t="shared" si="56"/>
        <v>0</v>
      </c>
      <c r="EL126" s="280">
        <f t="shared" si="57"/>
        <v>0</v>
      </c>
      <c r="EM126" s="63">
        <f t="shared" si="58"/>
        <v>0</v>
      </c>
      <c r="EN126" s="359">
        <f t="shared" si="59"/>
        <v>0</v>
      </c>
      <c r="EO126" s="51">
        <f t="shared" si="60"/>
        <v>0</v>
      </c>
      <c r="EP126" s="361">
        <f t="shared" si="61"/>
        <v>0</v>
      </c>
      <c r="EQ126" s="281"/>
      <c r="ER126" s="277"/>
      <c r="ES126" s="281"/>
      <c r="ET126" s="277"/>
      <c r="EU126" s="281"/>
      <c r="EV126" s="277"/>
      <c r="EW126" s="281"/>
      <c r="EX126" s="277"/>
      <c r="EY126" s="281"/>
      <c r="EZ126" s="277"/>
      <c r="FA126" s="281"/>
      <c r="FB126" s="277"/>
      <c r="FC126" s="281"/>
      <c r="FD126" s="277"/>
      <c r="FE126" s="281"/>
      <c r="FF126" s="277"/>
      <c r="FG126" s="281"/>
      <c r="FH126" s="277"/>
      <c r="FI126" s="281"/>
      <c r="FJ126" s="277"/>
      <c r="FK126" s="50">
        <f t="shared" si="62"/>
        <v>0</v>
      </c>
      <c r="FL126" s="63">
        <f t="shared" si="63"/>
        <v>0</v>
      </c>
      <c r="FM126" s="50">
        <f t="shared" si="45"/>
        <v>278</v>
      </c>
      <c r="FN126" s="360">
        <f t="shared" si="46"/>
        <v>297</v>
      </c>
      <c r="FO126" s="3"/>
      <c r="FP126" s="279"/>
      <c r="FQ126" s="52"/>
      <c r="FR126" s="296"/>
      <c r="FS126" s="98"/>
      <c r="FT126" s="467"/>
      <c r="FU126" s="52"/>
      <c r="FV126" s="296"/>
      <c r="FW126" s="98"/>
      <c r="FX126" s="467"/>
      <c r="FY126" s="52"/>
      <c r="FZ126" s="296"/>
      <c r="GA126" s="98"/>
      <c r="GB126" s="467"/>
      <c r="GC126" s="52"/>
      <c r="GD126" s="296"/>
      <c r="GE126" s="98"/>
      <c r="GF126" s="467"/>
      <c r="GG126" s="52"/>
      <c r="GH126" s="296"/>
      <c r="GI126" s="98"/>
      <c r="GJ126" s="467"/>
      <c r="GK126" s="52"/>
      <c r="GL126" s="296"/>
      <c r="GM126" s="464"/>
      <c r="GN126" s="467"/>
      <c r="GO126" s="52"/>
      <c r="GP126" s="296"/>
      <c r="GQ126" s="464"/>
      <c r="GR126" s="467"/>
      <c r="GS126" s="52"/>
      <c r="GT126" s="296"/>
      <c r="GU126" s="464"/>
      <c r="GV126" s="467"/>
      <c r="GW126" s="52"/>
      <c r="GX126" s="296"/>
      <c r="GY126" s="464"/>
      <c r="GZ126" s="467"/>
      <c r="HA126" s="52"/>
      <c r="HB126" s="296"/>
      <c r="HC126" s="3"/>
    </row>
    <row r="127" spans="1:211" s="86" customFormat="1">
      <c r="A127" s="292" t="s">
        <v>955</v>
      </c>
      <c r="B127" s="293" t="s">
        <v>525</v>
      </c>
      <c r="C127" s="292">
        <v>139940</v>
      </c>
      <c r="D127" s="346">
        <v>1</v>
      </c>
      <c r="E127" s="460"/>
      <c r="F127" s="277">
        <v>2</v>
      </c>
      <c r="G127" s="158"/>
      <c r="H127" s="277"/>
      <c r="I127" s="158"/>
      <c r="J127" s="277"/>
      <c r="K127" s="160">
        <f t="shared" si="47"/>
        <v>0</v>
      </c>
      <c r="L127" s="161">
        <f t="shared" si="40"/>
        <v>0</v>
      </c>
      <c r="M127" s="54">
        <v>3630</v>
      </c>
      <c r="N127" s="55">
        <v>193</v>
      </c>
      <c r="O127" s="55"/>
      <c r="P127" s="55"/>
      <c r="Q127" s="162">
        <f t="shared" si="48"/>
        <v>193</v>
      </c>
      <c r="R127" s="277">
        <v>3843</v>
      </c>
      <c r="S127" s="277">
        <v>213</v>
      </c>
      <c r="T127" s="277"/>
      <c r="U127" s="277"/>
      <c r="V127" s="97">
        <f t="shared" si="49"/>
        <v>213</v>
      </c>
      <c r="W127" s="279"/>
      <c r="X127" s="52"/>
      <c r="Y127" s="99"/>
      <c r="Z127" s="53"/>
      <c r="AA127" s="228"/>
      <c r="AB127" s="52"/>
      <c r="AC127" s="99"/>
      <c r="AD127" s="53"/>
      <c r="AE127" s="228"/>
      <c r="AF127" s="52"/>
      <c r="AG127" s="99"/>
      <c r="AH127" s="53"/>
      <c r="AI127" s="228"/>
      <c r="AJ127" s="52"/>
      <c r="AK127" s="99"/>
      <c r="AL127" s="53"/>
      <c r="AM127" s="228"/>
      <c r="AN127" s="52"/>
      <c r="AO127" s="99"/>
      <c r="AP127" s="53"/>
      <c r="AQ127" s="50">
        <f t="shared" si="41"/>
        <v>0</v>
      </c>
      <c r="AR127" s="163">
        <f t="shared" si="42"/>
        <v>0.62640207075064713</v>
      </c>
      <c r="AS127" s="97">
        <f t="shared" si="43"/>
        <v>0</v>
      </c>
      <c r="AT127" s="278">
        <f t="shared" si="44"/>
        <v>0.6286602322918371</v>
      </c>
      <c r="AU127" s="55">
        <v>28</v>
      </c>
      <c r="AV127" s="277">
        <v>31</v>
      </c>
      <c r="AW127" s="297">
        <v>52</v>
      </c>
      <c r="AX127" s="294">
        <v>576</v>
      </c>
      <c r="AY127" s="295">
        <v>52</v>
      </c>
      <c r="AZ127" s="296">
        <v>671</v>
      </c>
      <c r="BA127" s="297">
        <v>13</v>
      </c>
      <c r="BB127" s="294">
        <v>491</v>
      </c>
      <c r="BC127" s="295">
        <v>13</v>
      </c>
      <c r="BD127" s="296">
        <v>472</v>
      </c>
      <c r="BE127" s="297">
        <v>51</v>
      </c>
      <c r="BF127" s="294">
        <v>158</v>
      </c>
      <c r="BG127" s="295">
        <v>22</v>
      </c>
      <c r="BH127" s="296">
        <v>182</v>
      </c>
      <c r="BI127" s="297">
        <v>45</v>
      </c>
      <c r="BJ127" s="294">
        <v>85</v>
      </c>
      <c r="BK127" s="295">
        <v>51</v>
      </c>
      <c r="BL127" s="296">
        <v>143</v>
      </c>
      <c r="BM127" s="297">
        <v>44</v>
      </c>
      <c r="BN127" s="294">
        <v>75</v>
      </c>
      <c r="BO127" s="295">
        <v>44</v>
      </c>
      <c r="BP127" s="296">
        <v>80</v>
      </c>
      <c r="BQ127" s="297">
        <v>26</v>
      </c>
      <c r="BR127" s="294">
        <v>71</v>
      </c>
      <c r="BS127" s="295">
        <v>26</v>
      </c>
      <c r="BT127" s="296">
        <v>59</v>
      </c>
      <c r="BU127" s="297">
        <v>40</v>
      </c>
      <c r="BV127" s="294">
        <v>40</v>
      </c>
      <c r="BW127" s="295">
        <v>42</v>
      </c>
      <c r="BX127" s="296">
        <v>59</v>
      </c>
      <c r="BY127" s="297">
        <v>11</v>
      </c>
      <c r="BZ127" s="294">
        <v>39</v>
      </c>
      <c r="CA127" s="295">
        <v>45</v>
      </c>
      <c r="CB127" s="296">
        <v>58</v>
      </c>
      <c r="CC127" s="297">
        <v>50</v>
      </c>
      <c r="CD127" s="294">
        <v>37</v>
      </c>
      <c r="CE127" s="295">
        <v>11</v>
      </c>
      <c r="CF127" s="296">
        <v>45</v>
      </c>
      <c r="CG127" s="297">
        <v>27</v>
      </c>
      <c r="CH127" s="294">
        <v>25</v>
      </c>
      <c r="CI127" s="295">
        <v>31</v>
      </c>
      <c r="CJ127" s="296">
        <v>43</v>
      </c>
      <c r="CK127" s="281"/>
      <c r="CL127" s="277"/>
      <c r="CM127" s="485">
        <v>155</v>
      </c>
      <c r="CN127" s="312">
        <v>28</v>
      </c>
      <c r="CO127" s="50">
        <f t="shared" si="50"/>
        <v>1752</v>
      </c>
      <c r="CP127" s="103">
        <f t="shared" si="51"/>
        <v>10</v>
      </c>
      <c r="CQ127" s="280">
        <f t="shared" si="52"/>
        <v>1840</v>
      </c>
      <c r="CR127" s="63">
        <f t="shared" si="53"/>
        <v>10</v>
      </c>
      <c r="CS127" s="279">
        <v>13</v>
      </c>
      <c r="CT127" s="52">
        <v>53</v>
      </c>
      <c r="CU127" s="105">
        <v>13</v>
      </c>
      <c r="CV127" s="98">
        <v>65</v>
      </c>
      <c r="CW127" s="279">
        <v>26</v>
      </c>
      <c r="CX127" s="52">
        <v>25</v>
      </c>
      <c r="CY127" s="105">
        <v>45</v>
      </c>
      <c r="CZ127" s="98">
        <v>21</v>
      </c>
      <c r="DA127" s="279">
        <v>42</v>
      </c>
      <c r="DB127" s="52">
        <v>22</v>
      </c>
      <c r="DC127" s="105">
        <v>51</v>
      </c>
      <c r="DD127" s="98">
        <v>21</v>
      </c>
      <c r="DE127" s="279">
        <v>11</v>
      </c>
      <c r="DF127" s="52">
        <v>20</v>
      </c>
      <c r="DG127" s="105">
        <v>26</v>
      </c>
      <c r="DH127" s="98">
        <v>17</v>
      </c>
      <c r="DI127" s="279">
        <v>40</v>
      </c>
      <c r="DJ127" s="52">
        <v>19</v>
      </c>
      <c r="DK127" s="105">
        <v>40</v>
      </c>
      <c r="DL127" s="98">
        <v>17</v>
      </c>
      <c r="DM127" s="279">
        <v>45</v>
      </c>
      <c r="DN127" s="52">
        <v>18</v>
      </c>
      <c r="DO127" s="105">
        <v>23</v>
      </c>
      <c r="DP127" s="98">
        <v>16</v>
      </c>
      <c r="DQ127" s="279">
        <v>52</v>
      </c>
      <c r="DR127" s="52">
        <v>12</v>
      </c>
      <c r="DS127" s="105">
        <v>42</v>
      </c>
      <c r="DT127" s="98">
        <v>14</v>
      </c>
      <c r="DU127" s="279">
        <v>23</v>
      </c>
      <c r="DV127" s="52">
        <v>11</v>
      </c>
      <c r="DW127" s="105">
        <v>11</v>
      </c>
      <c r="DX127" s="98">
        <v>13</v>
      </c>
      <c r="DY127" s="279">
        <v>44</v>
      </c>
      <c r="DZ127" s="52">
        <v>7</v>
      </c>
      <c r="EA127" s="105">
        <v>52</v>
      </c>
      <c r="EB127" s="98">
        <v>9</v>
      </c>
      <c r="EC127" s="279">
        <v>54</v>
      </c>
      <c r="ED127" s="52">
        <v>7</v>
      </c>
      <c r="EE127" s="105">
        <v>54</v>
      </c>
      <c r="EF127" s="98">
        <v>9</v>
      </c>
      <c r="EG127" s="159">
        <v>6</v>
      </c>
      <c r="EH127" s="277">
        <v>13</v>
      </c>
      <c r="EI127" s="50">
        <f t="shared" si="54"/>
        <v>200</v>
      </c>
      <c r="EJ127" s="103">
        <f t="shared" si="55"/>
        <v>10</v>
      </c>
      <c r="EK127" s="164">
        <f t="shared" si="56"/>
        <v>0.26500000000000001</v>
      </c>
      <c r="EL127" s="280">
        <f t="shared" si="57"/>
        <v>215</v>
      </c>
      <c r="EM127" s="63">
        <f t="shared" si="58"/>
        <v>10</v>
      </c>
      <c r="EN127" s="359">
        <f t="shared" si="59"/>
        <v>0.30232558139534882</v>
      </c>
      <c r="EO127" s="51">
        <f t="shared" si="60"/>
        <v>1952</v>
      </c>
      <c r="EP127" s="361">
        <f t="shared" si="61"/>
        <v>2055</v>
      </c>
      <c r="EQ127" s="281">
        <v>185</v>
      </c>
      <c r="ER127" s="277">
        <v>182</v>
      </c>
      <c r="ES127" s="281"/>
      <c r="ET127" s="277"/>
      <c r="EU127" s="281"/>
      <c r="EV127" s="277"/>
      <c r="EW127" s="281"/>
      <c r="EX127" s="277"/>
      <c r="EY127" s="281"/>
      <c r="EZ127" s="277"/>
      <c r="FA127" s="281"/>
      <c r="FB127" s="277"/>
      <c r="FC127" s="281"/>
      <c r="FD127" s="277"/>
      <c r="FE127" s="281"/>
      <c r="FF127" s="277"/>
      <c r="FG127" s="281"/>
      <c r="FH127" s="277"/>
      <c r="FI127" s="281"/>
      <c r="FJ127" s="277"/>
      <c r="FK127" s="50">
        <f t="shared" si="62"/>
        <v>185</v>
      </c>
      <c r="FL127" s="63">
        <f t="shared" si="63"/>
        <v>182</v>
      </c>
      <c r="FM127" s="50">
        <f t="shared" si="45"/>
        <v>5795</v>
      </c>
      <c r="FN127" s="360">
        <f t="shared" si="46"/>
        <v>6113</v>
      </c>
      <c r="FO127" s="3"/>
      <c r="FP127" s="279"/>
      <c r="FQ127" s="52"/>
      <c r="FR127" s="296"/>
      <c r="FS127" s="98"/>
      <c r="FT127" s="467"/>
      <c r="FU127" s="52"/>
      <c r="FV127" s="296"/>
      <c r="FW127" s="98"/>
      <c r="FX127" s="467"/>
      <c r="FY127" s="52"/>
      <c r="FZ127" s="296"/>
      <c r="GA127" s="98"/>
      <c r="GB127" s="467"/>
      <c r="GC127" s="52"/>
      <c r="GD127" s="296"/>
      <c r="GE127" s="98"/>
      <c r="GF127" s="467"/>
      <c r="GG127" s="52"/>
      <c r="GH127" s="296"/>
      <c r="GI127" s="98"/>
      <c r="GJ127" s="467"/>
      <c r="GK127" s="52"/>
      <c r="GL127" s="296"/>
      <c r="GM127" s="464"/>
      <c r="GN127" s="467"/>
      <c r="GO127" s="52"/>
      <c r="GP127" s="296"/>
      <c r="GQ127" s="464"/>
      <c r="GR127" s="467"/>
      <c r="GS127" s="52"/>
      <c r="GT127" s="296"/>
      <c r="GU127" s="464"/>
      <c r="GV127" s="467"/>
      <c r="GW127" s="52"/>
      <c r="GX127" s="296"/>
      <c r="GY127" s="464"/>
      <c r="GZ127" s="467"/>
      <c r="HA127" s="52"/>
      <c r="HB127" s="296"/>
      <c r="HC127" s="3"/>
    </row>
    <row r="128" spans="1:211" s="86" customFormat="1">
      <c r="A128" s="292" t="s">
        <v>955</v>
      </c>
      <c r="B128" s="293" t="s">
        <v>526</v>
      </c>
      <c r="C128" s="292">
        <v>139959</v>
      </c>
      <c r="D128" s="346">
        <v>1</v>
      </c>
      <c r="E128" s="460"/>
      <c r="F128" s="277"/>
      <c r="G128" s="158"/>
      <c r="H128" s="277"/>
      <c r="I128" s="158"/>
      <c r="J128" s="277"/>
      <c r="K128" s="160">
        <f t="shared" si="47"/>
        <v>0</v>
      </c>
      <c r="L128" s="161">
        <f t="shared" si="40"/>
        <v>0</v>
      </c>
      <c r="M128" s="54">
        <v>6378</v>
      </c>
      <c r="N128" s="55">
        <v>530</v>
      </c>
      <c r="O128" s="55"/>
      <c r="P128" s="55"/>
      <c r="Q128" s="162">
        <f t="shared" si="48"/>
        <v>530</v>
      </c>
      <c r="R128" s="277">
        <v>6248</v>
      </c>
      <c r="S128" s="277">
        <v>551</v>
      </c>
      <c r="T128" s="277"/>
      <c r="U128" s="277"/>
      <c r="V128" s="97">
        <f t="shared" si="49"/>
        <v>551</v>
      </c>
      <c r="W128" s="279"/>
      <c r="X128" s="52"/>
      <c r="Y128" s="99"/>
      <c r="Z128" s="53"/>
      <c r="AA128" s="228"/>
      <c r="AB128" s="52"/>
      <c r="AC128" s="99"/>
      <c r="AD128" s="53"/>
      <c r="AE128" s="228"/>
      <c r="AF128" s="52"/>
      <c r="AG128" s="99"/>
      <c r="AH128" s="53"/>
      <c r="AI128" s="228"/>
      <c r="AJ128" s="52"/>
      <c r="AK128" s="99"/>
      <c r="AL128" s="53"/>
      <c r="AM128" s="228"/>
      <c r="AN128" s="52"/>
      <c r="AO128" s="99"/>
      <c r="AP128" s="53"/>
      <c r="AQ128" s="50">
        <f t="shared" si="41"/>
        <v>0</v>
      </c>
      <c r="AR128" s="163">
        <f t="shared" si="42"/>
        <v>0.71832413560085595</v>
      </c>
      <c r="AS128" s="97">
        <f t="shared" si="43"/>
        <v>0</v>
      </c>
      <c r="AT128" s="278">
        <f t="shared" si="44"/>
        <v>0.66581415174765557</v>
      </c>
      <c r="AU128" s="55"/>
      <c r="AV128" s="277"/>
      <c r="AW128" s="297">
        <v>13</v>
      </c>
      <c r="AX128" s="294">
        <v>529</v>
      </c>
      <c r="AY128" s="295">
        <v>13</v>
      </c>
      <c r="AZ128" s="296">
        <v>471</v>
      </c>
      <c r="BA128" s="297">
        <v>52</v>
      </c>
      <c r="BB128" s="294">
        <v>376</v>
      </c>
      <c r="BC128" s="295">
        <v>52</v>
      </c>
      <c r="BD128" s="296">
        <v>444</v>
      </c>
      <c r="BE128" s="297">
        <v>44</v>
      </c>
      <c r="BF128" s="294">
        <v>210</v>
      </c>
      <c r="BG128" s="295">
        <v>44</v>
      </c>
      <c r="BH128" s="296">
        <v>230</v>
      </c>
      <c r="BI128" s="297">
        <v>51</v>
      </c>
      <c r="BJ128" s="294">
        <v>78</v>
      </c>
      <c r="BK128" s="295">
        <v>51</v>
      </c>
      <c r="BL128" s="296">
        <v>84</v>
      </c>
      <c r="BM128" s="297">
        <v>1</v>
      </c>
      <c r="BN128" s="294">
        <v>59</v>
      </c>
      <c r="BO128" s="295">
        <v>1</v>
      </c>
      <c r="BP128" s="296">
        <v>66</v>
      </c>
      <c r="BQ128" s="297">
        <v>50</v>
      </c>
      <c r="BR128" s="294">
        <v>47</v>
      </c>
      <c r="BS128" s="295">
        <v>3</v>
      </c>
      <c r="BT128" s="296">
        <v>51</v>
      </c>
      <c r="BU128" s="297">
        <v>16</v>
      </c>
      <c r="BV128" s="294">
        <v>41</v>
      </c>
      <c r="BW128" s="295">
        <v>50</v>
      </c>
      <c r="BX128" s="296">
        <v>49</v>
      </c>
      <c r="BY128" s="297">
        <v>3</v>
      </c>
      <c r="BZ128" s="294">
        <v>40</v>
      </c>
      <c r="CA128" s="295">
        <v>11</v>
      </c>
      <c r="CB128" s="296">
        <v>48</v>
      </c>
      <c r="CC128" s="297">
        <v>9</v>
      </c>
      <c r="CD128" s="294">
        <v>36</v>
      </c>
      <c r="CE128" s="295">
        <v>42</v>
      </c>
      <c r="CF128" s="296">
        <v>44</v>
      </c>
      <c r="CG128" s="297">
        <v>42</v>
      </c>
      <c r="CH128" s="294">
        <v>38</v>
      </c>
      <c r="CI128" s="295">
        <v>22</v>
      </c>
      <c r="CJ128" s="296">
        <v>4</v>
      </c>
      <c r="CK128" s="281"/>
      <c r="CL128" s="277"/>
      <c r="CM128" s="485">
        <v>220</v>
      </c>
      <c r="CN128" s="312">
        <v>760</v>
      </c>
      <c r="CO128" s="50">
        <f t="shared" si="50"/>
        <v>1674</v>
      </c>
      <c r="CP128" s="103">
        <f t="shared" si="51"/>
        <v>10</v>
      </c>
      <c r="CQ128" s="280">
        <f t="shared" si="52"/>
        <v>2251</v>
      </c>
      <c r="CR128" s="63">
        <f t="shared" si="53"/>
        <v>10</v>
      </c>
      <c r="CS128" s="279">
        <v>13</v>
      </c>
      <c r="CT128" s="52">
        <v>86</v>
      </c>
      <c r="CU128" s="105">
        <v>13</v>
      </c>
      <c r="CV128" s="98">
        <v>111</v>
      </c>
      <c r="CW128" s="279">
        <v>26</v>
      </c>
      <c r="CX128" s="52">
        <v>60</v>
      </c>
      <c r="CY128" s="105">
        <v>26</v>
      </c>
      <c r="CZ128" s="98">
        <v>70</v>
      </c>
      <c r="DA128" s="279">
        <v>42</v>
      </c>
      <c r="DB128" s="52">
        <v>44</v>
      </c>
      <c r="DC128" s="105">
        <v>42</v>
      </c>
      <c r="DD128" s="98">
        <v>39</v>
      </c>
      <c r="DE128" s="279">
        <v>40</v>
      </c>
      <c r="DF128" s="52">
        <v>24</v>
      </c>
      <c r="DG128" s="105">
        <v>40</v>
      </c>
      <c r="DH128" s="98">
        <v>32</v>
      </c>
      <c r="DI128" s="279">
        <v>45</v>
      </c>
      <c r="DJ128" s="52">
        <v>20</v>
      </c>
      <c r="DK128" s="105">
        <v>45</v>
      </c>
      <c r="DL128" s="98">
        <v>27</v>
      </c>
      <c r="DM128" s="279">
        <v>1</v>
      </c>
      <c r="DN128" s="52">
        <v>19</v>
      </c>
      <c r="DO128" s="105">
        <v>1</v>
      </c>
      <c r="DP128" s="98">
        <v>19</v>
      </c>
      <c r="DQ128" s="279">
        <v>23</v>
      </c>
      <c r="DR128" s="52">
        <v>18</v>
      </c>
      <c r="DS128" s="105">
        <v>50</v>
      </c>
      <c r="DT128" s="98">
        <v>19</v>
      </c>
      <c r="DU128" s="279">
        <v>51</v>
      </c>
      <c r="DV128" s="52">
        <v>16</v>
      </c>
      <c r="DW128" s="105">
        <v>51</v>
      </c>
      <c r="DX128" s="98">
        <v>17</v>
      </c>
      <c r="DY128" s="279">
        <v>44</v>
      </c>
      <c r="DZ128" s="52">
        <v>14</v>
      </c>
      <c r="EA128" s="105">
        <v>52</v>
      </c>
      <c r="EB128" s="98">
        <v>15</v>
      </c>
      <c r="EC128" s="279">
        <v>16</v>
      </c>
      <c r="ED128" s="52">
        <v>13</v>
      </c>
      <c r="EE128" s="105">
        <v>3</v>
      </c>
      <c r="EF128" s="98">
        <v>14</v>
      </c>
      <c r="EG128" s="159">
        <v>77</v>
      </c>
      <c r="EH128" s="277">
        <v>96</v>
      </c>
      <c r="EI128" s="50">
        <f t="shared" si="54"/>
        <v>391</v>
      </c>
      <c r="EJ128" s="103">
        <f t="shared" si="55"/>
        <v>10</v>
      </c>
      <c r="EK128" s="164">
        <f t="shared" si="56"/>
        <v>0.21994884910485935</v>
      </c>
      <c r="EL128" s="280">
        <f t="shared" si="57"/>
        <v>459</v>
      </c>
      <c r="EM128" s="63">
        <f t="shared" si="58"/>
        <v>10</v>
      </c>
      <c r="EN128" s="359">
        <f t="shared" si="59"/>
        <v>0.24183006535947713</v>
      </c>
      <c r="EO128" s="51">
        <f t="shared" si="60"/>
        <v>2065</v>
      </c>
      <c r="EP128" s="361">
        <f t="shared" si="61"/>
        <v>2710</v>
      </c>
      <c r="EQ128" s="281">
        <v>202</v>
      </c>
      <c r="ER128" s="277">
        <v>209</v>
      </c>
      <c r="ES128" s="281"/>
      <c r="ET128" s="277"/>
      <c r="EU128" s="281"/>
      <c r="EV128" s="277"/>
      <c r="EW128" s="281">
        <v>138</v>
      </c>
      <c r="EX128" s="277">
        <v>122</v>
      </c>
      <c r="EY128" s="281"/>
      <c r="EZ128" s="277"/>
      <c r="FA128" s="281"/>
      <c r="FB128" s="277"/>
      <c r="FC128" s="281"/>
      <c r="FD128" s="277"/>
      <c r="FE128" s="281">
        <v>96</v>
      </c>
      <c r="FF128" s="277">
        <v>95</v>
      </c>
      <c r="FG128" s="281"/>
      <c r="FH128" s="277"/>
      <c r="FI128" s="281"/>
      <c r="FJ128" s="277"/>
      <c r="FK128" s="50">
        <f t="shared" si="62"/>
        <v>436</v>
      </c>
      <c r="FL128" s="63">
        <f t="shared" si="63"/>
        <v>426</v>
      </c>
      <c r="FM128" s="50">
        <f t="shared" si="45"/>
        <v>8879</v>
      </c>
      <c r="FN128" s="360">
        <f t="shared" si="46"/>
        <v>9384</v>
      </c>
      <c r="FO128" s="3"/>
      <c r="FP128" s="279"/>
      <c r="FQ128" s="52"/>
      <c r="FR128" s="296"/>
      <c r="FS128" s="98"/>
      <c r="FT128" s="467"/>
      <c r="FU128" s="52"/>
      <c r="FV128" s="296"/>
      <c r="FW128" s="98"/>
      <c r="FX128" s="467"/>
      <c r="FY128" s="52"/>
      <c r="FZ128" s="296"/>
      <c r="GA128" s="98"/>
      <c r="GB128" s="467"/>
      <c r="GC128" s="52"/>
      <c r="GD128" s="296"/>
      <c r="GE128" s="98"/>
      <c r="GF128" s="467"/>
      <c r="GG128" s="52"/>
      <c r="GH128" s="296"/>
      <c r="GI128" s="98"/>
      <c r="GJ128" s="467"/>
      <c r="GK128" s="52"/>
      <c r="GL128" s="296"/>
      <c r="GM128" s="464"/>
      <c r="GN128" s="467"/>
      <c r="GO128" s="52"/>
      <c r="GP128" s="296"/>
      <c r="GQ128" s="464"/>
      <c r="GR128" s="467"/>
      <c r="GS128" s="52"/>
      <c r="GT128" s="296"/>
      <c r="GU128" s="464"/>
      <c r="GV128" s="467"/>
      <c r="GW128" s="52"/>
      <c r="GX128" s="296"/>
      <c r="GY128" s="464"/>
      <c r="GZ128" s="467"/>
      <c r="HA128" s="52"/>
      <c r="HB128" s="296"/>
      <c r="HC128" s="3"/>
    </row>
    <row r="129" spans="1:211" s="86" customFormat="1">
      <c r="A129" s="292" t="s">
        <v>955</v>
      </c>
      <c r="B129" s="293" t="s">
        <v>527</v>
      </c>
      <c r="C129" s="292">
        <v>139755</v>
      </c>
      <c r="D129" s="346">
        <v>2</v>
      </c>
      <c r="E129" s="460"/>
      <c r="F129" s="277"/>
      <c r="G129" s="158"/>
      <c r="H129" s="277"/>
      <c r="I129" s="158"/>
      <c r="J129" s="277"/>
      <c r="K129" s="160">
        <f t="shared" si="47"/>
        <v>0</v>
      </c>
      <c r="L129" s="161">
        <f t="shared" si="40"/>
        <v>0</v>
      </c>
      <c r="M129" s="54">
        <v>2583</v>
      </c>
      <c r="N129" s="55"/>
      <c r="O129" s="55"/>
      <c r="P129" s="55"/>
      <c r="Q129" s="162">
        <f t="shared" si="48"/>
        <v>0</v>
      </c>
      <c r="R129" s="277">
        <v>2696</v>
      </c>
      <c r="S129" s="277"/>
      <c r="T129" s="277"/>
      <c r="U129" s="277"/>
      <c r="V129" s="97">
        <f t="shared" si="49"/>
        <v>0</v>
      </c>
      <c r="W129" s="279"/>
      <c r="X129" s="52"/>
      <c r="Y129" s="99"/>
      <c r="Z129" s="53"/>
      <c r="AA129" s="228"/>
      <c r="AB129" s="52"/>
      <c r="AC129" s="99"/>
      <c r="AD129" s="53"/>
      <c r="AE129" s="228"/>
      <c r="AF129" s="52"/>
      <c r="AG129" s="99"/>
      <c r="AH129" s="53"/>
      <c r="AI129" s="228"/>
      <c r="AJ129" s="52"/>
      <c r="AK129" s="99"/>
      <c r="AL129" s="53"/>
      <c r="AM129" s="228"/>
      <c r="AN129" s="52"/>
      <c r="AO129" s="99"/>
      <c r="AP129" s="53"/>
      <c r="AQ129" s="50">
        <f t="shared" si="41"/>
        <v>0</v>
      </c>
      <c r="AR129" s="163">
        <f t="shared" si="42"/>
        <v>0.57630522088353409</v>
      </c>
      <c r="AS129" s="97">
        <f t="shared" si="43"/>
        <v>0</v>
      </c>
      <c r="AT129" s="278">
        <f t="shared" si="44"/>
        <v>0.53228035538005924</v>
      </c>
      <c r="AU129" s="55"/>
      <c r="AV129" s="277"/>
      <c r="AW129" s="297">
        <v>14</v>
      </c>
      <c r="AX129" s="294">
        <v>759</v>
      </c>
      <c r="AY129" s="295">
        <v>14</v>
      </c>
      <c r="AZ129" s="296">
        <v>940</v>
      </c>
      <c r="BA129" s="297">
        <v>11</v>
      </c>
      <c r="BB129" s="294">
        <v>192</v>
      </c>
      <c r="BC129" s="295">
        <v>11</v>
      </c>
      <c r="BD129" s="296">
        <v>298</v>
      </c>
      <c r="BE129" s="297">
        <v>52</v>
      </c>
      <c r="BF129" s="294">
        <v>189</v>
      </c>
      <c r="BG129" s="295">
        <v>52</v>
      </c>
      <c r="BH129" s="296">
        <v>274</v>
      </c>
      <c r="BI129" s="297">
        <v>4</v>
      </c>
      <c r="BJ129" s="294">
        <v>104</v>
      </c>
      <c r="BK129" s="295">
        <v>4</v>
      </c>
      <c r="BL129" s="296">
        <v>138</v>
      </c>
      <c r="BM129" s="297">
        <v>40</v>
      </c>
      <c r="BN129" s="294">
        <v>39</v>
      </c>
      <c r="BO129" s="295">
        <v>40</v>
      </c>
      <c r="BP129" s="296">
        <v>44</v>
      </c>
      <c r="BQ129" s="297">
        <v>45</v>
      </c>
      <c r="BR129" s="294">
        <v>38</v>
      </c>
      <c r="BS129" s="295">
        <v>51</v>
      </c>
      <c r="BT129" s="296">
        <v>39</v>
      </c>
      <c r="BU129" s="297">
        <v>51</v>
      </c>
      <c r="BV129" s="294">
        <v>37</v>
      </c>
      <c r="BW129" s="295">
        <v>45</v>
      </c>
      <c r="BX129" s="296">
        <v>38</v>
      </c>
      <c r="BY129" s="297">
        <v>27</v>
      </c>
      <c r="BZ129" s="294">
        <v>18</v>
      </c>
      <c r="CA129" s="295">
        <v>27</v>
      </c>
      <c r="CB129" s="296">
        <v>32</v>
      </c>
      <c r="CC129" s="297">
        <v>26</v>
      </c>
      <c r="CD129" s="294">
        <v>16</v>
      </c>
      <c r="CE129" s="295">
        <v>50</v>
      </c>
      <c r="CF129" s="296">
        <v>20</v>
      </c>
      <c r="CG129" s="297">
        <v>44</v>
      </c>
      <c r="CH129" s="294">
        <v>12</v>
      </c>
      <c r="CI129" s="295">
        <v>26</v>
      </c>
      <c r="CJ129" s="296">
        <v>19</v>
      </c>
      <c r="CK129" s="281"/>
      <c r="CL129" s="277"/>
      <c r="CM129" s="298">
        <v>28</v>
      </c>
      <c r="CN129" s="277">
        <v>37</v>
      </c>
      <c r="CO129" s="50">
        <f t="shared" si="50"/>
        <v>1432</v>
      </c>
      <c r="CP129" s="103">
        <f t="shared" si="51"/>
        <v>10</v>
      </c>
      <c r="CQ129" s="280">
        <f t="shared" si="52"/>
        <v>1879</v>
      </c>
      <c r="CR129" s="63">
        <f t="shared" si="53"/>
        <v>10</v>
      </c>
      <c r="CS129" s="279">
        <v>14</v>
      </c>
      <c r="CT129" s="52">
        <v>326</v>
      </c>
      <c r="CU129" s="105">
        <v>14</v>
      </c>
      <c r="CV129" s="98">
        <v>331</v>
      </c>
      <c r="CW129" s="279">
        <v>40</v>
      </c>
      <c r="CX129" s="52">
        <v>57</v>
      </c>
      <c r="CY129" s="105">
        <v>40</v>
      </c>
      <c r="CZ129" s="98">
        <v>66</v>
      </c>
      <c r="DA129" s="279">
        <v>11</v>
      </c>
      <c r="DB129" s="52">
        <v>30</v>
      </c>
      <c r="DC129" s="105">
        <v>11</v>
      </c>
      <c r="DD129" s="98">
        <v>29</v>
      </c>
      <c r="DE129" s="279">
        <v>44</v>
      </c>
      <c r="DF129" s="52">
        <v>13</v>
      </c>
      <c r="DG129" s="105">
        <v>27</v>
      </c>
      <c r="DH129" s="98">
        <v>16</v>
      </c>
      <c r="DI129" s="279">
        <v>26</v>
      </c>
      <c r="DJ129" s="52">
        <v>12</v>
      </c>
      <c r="DK129" s="105">
        <v>26</v>
      </c>
      <c r="DL129" s="98">
        <v>14</v>
      </c>
      <c r="DM129" s="279">
        <v>52</v>
      </c>
      <c r="DN129" s="52">
        <v>11</v>
      </c>
      <c r="DO129" s="105">
        <v>42</v>
      </c>
      <c r="DP129" s="98">
        <v>9</v>
      </c>
      <c r="DQ129" s="279">
        <v>27</v>
      </c>
      <c r="DR129" s="52">
        <v>10</v>
      </c>
      <c r="DS129" s="105">
        <v>44</v>
      </c>
      <c r="DT129" s="98">
        <v>8</v>
      </c>
      <c r="DU129" s="279">
        <v>42</v>
      </c>
      <c r="DV129" s="52">
        <v>5</v>
      </c>
      <c r="DW129" s="105">
        <v>4</v>
      </c>
      <c r="DX129" s="98">
        <v>7</v>
      </c>
      <c r="DY129" s="279">
        <v>4</v>
      </c>
      <c r="DZ129" s="52">
        <v>2</v>
      </c>
      <c r="EA129" s="105">
        <v>52</v>
      </c>
      <c r="EB129" s="98">
        <v>7</v>
      </c>
      <c r="EC129" s="279">
        <v>54</v>
      </c>
      <c r="ED129" s="52">
        <v>1</v>
      </c>
      <c r="EE129" s="105">
        <v>54</v>
      </c>
      <c r="EF129" s="98">
        <v>2</v>
      </c>
      <c r="EG129" s="159"/>
      <c r="EH129" s="277">
        <v>1</v>
      </c>
      <c r="EI129" s="50">
        <f t="shared" si="54"/>
        <v>467</v>
      </c>
      <c r="EJ129" s="103">
        <f t="shared" si="55"/>
        <v>10</v>
      </c>
      <c r="EK129" s="164">
        <f t="shared" si="56"/>
        <v>0.69807280513918635</v>
      </c>
      <c r="EL129" s="280">
        <f t="shared" si="57"/>
        <v>490</v>
      </c>
      <c r="EM129" s="63">
        <f t="shared" si="58"/>
        <v>10</v>
      </c>
      <c r="EN129" s="359">
        <f t="shared" si="59"/>
        <v>0.67551020408163265</v>
      </c>
      <c r="EO129" s="51">
        <f t="shared" si="60"/>
        <v>1899</v>
      </c>
      <c r="EP129" s="361">
        <f t="shared" si="61"/>
        <v>2369</v>
      </c>
      <c r="EQ129" s="281"/>
      <c r="ER129" s="277"/>
      <c r="ES129" s="281"/>
      <c r="ET129" s="277"/>
      <c r="EU129" s="281"/>
      <c r="EV129" s="277"/>
      <c r="EW129" s="281"/>
      <c r="EX129" s="277"/>
      <c r="EY129" s="281"/>
      <c r="EZ129" s="277"/>
      <c r="FA129" s="281"/>
      <c r="FB129" s="277"/>
      <c r="FC129" s="281"/>
      <c r="FD129" s="277"/>
      <c r="FE129" s="281"/>
      <c r="FF129" s="277"/>
      <c r="FG129" s="281"/>
      <c r="FH129" s="277"/>
      <c r="FI129" s="281"/>
      <c r="FJ129" s="277"/>
      <c r="FK129" s="50">
        <f t="shared" si="62"/>
        <v>0</v>
      </c>
      <c r="FL129" s="63">
        <f t="shared" si="63"/>
        <v>0</v>
      </c>
      <c r="FM129" s="50">
        <f t="shared" si="45"/>
        <v>4482</v>
      </c>
      <c r="FN129" s="360">
        <f t="shared" si="46"/>
        <v>5065</v>
      </c>
      <c r="FO129" s="3"/>
      <c r="FP129" s="279"/>
      <c r="FQ129" s="52"/>
      <c r="FR129" s="296"/>
      <c r="FS129" s="98"/>
      <c r="FT129" s="467"/>
      <c r="FU129" s="52"/>
      <c r="FV129" s="296"/>
      <c r="FW129" s="98"/>
      <c r="FX129" s="467"/>
      <c r="FY129" s="52"/>
      <c r="FZ129" s="296"/>
      <c r="GA129" s="98"/>
      <c r="GB129" s="467"/>
      <c r="GC129" s="52"/>
      <c r="GD129" s="296"/>
      <c r="GE129" s="98"/>
      <c r="GF129" s="467"/>
      <c r="GG129" s="52"/>
      <c r="GH129" s="296"/>
      <c r="GI129" s="98"/>
      <c r="GJ129" s="467"/>
      <c r="GK129" s="52"/>
      <c r="GL129" s="296"/>
      <c r="GM129" s="464"/>
      <c r="GN129" s="467"/>
      <c r="GO129" s="52"/>
      <c r="GP129" s="296"/>
      <c r="GQ129" s="464"/>
      <c r="GR129" s="467"/>
      <c r="GS129" s="52"/>
      <c r="GT129" s="296"/>
      <c r="GU129" s="464"/>
      <c r="GV129" s="467"/>
      <c r="GW129" s="52"/>
      <c r="GX129" s="296"/>
      <c r="GY129" s="464"/>
      <c r="GZ129" s="467"/>
      <c r="HA129" s="52"/>
      <c r="HB129" s="296"/>
      <c r="HC129" s="3"/>
    </row>
    <row r="130" spans="1:211" s="86" customFormat="1">
      <c r="A130" s="292" t="s">
        <v>955</v>
      </c>
      <c r="B130" s="293" t="s">
        <v>528</v>
      </c>
      <c r="C130" s="292">
        <v>139931</v>
      </c>
      <c r="D130" s="346">
        <v>3</v>
      </c>
      <c r="E130" s="460"/>
      <c r="F130" s="277"/>
      <c r="G130" s="158"/>
      <c r="H130" s="277"/>
      <c r="I130" s="158"/>
      <c r="J130" s="277"/>
      <c r="K130" s="160">
        <f t="shared" si="47"/>
        <v>0</v>
      </c>
      <c r="L130" s="161">
        <f t="shared" si="40"/>
        <v>0</v>
      </c>
      <c r="M130" s="54">
        <v>2383</v>
      </c>
      <c r="N130" s="55">
        <v>300</v>
      </c>
      <c r="O130" s="55"/>
      <c r="P130" s="55"/>
      <c r="Q130" s="162">
        <f t="shared" si="48"/>
        <v>300</v>
      </c>
      <c r="R130" s="277">
        <v>2381</v>
      </c>
      <c r="S130" s="277">
        <v>312</v>
      </c>
      <c r="T130" s="277"/>
      <c r="U130" s="277"/>
      <c r="V130" s="97">
        <f t="shared" si="49"/>
        <v>312</v>
      </c>
      <c r="W130" s="279"/>
      <c r="X130" s="52"/>
      <c r="Y130" s="99"/>
      <c r="Z130" s="53"/>
      <c r="AA130" s="228"/>
      <c r="AB130" s="52"/>
      <c r="AC130" s="99"/>
      <c r="AD130" s="53"/>
      <c r="AE130" s="228"/>
      <c r="AF130" s="52"/>
      <c r="AG130" s="99"/>
      <c r="AH130" s="53"/>
      <c r="AI130" s="228"/>
      <c r="AJ130" s="52"/>
      <c r="AK130" s="99"/>
      <c r="AL130" s="53"/>
      <c r="AM130" s="228"/>
      <c r="AN130" s="52"/>
      <c r="AO130" s="99"/>
      <c r="AP130" s="53"/>
      <c r="AQ130" s="50">
        <f t="shared" si="41"/>
        <v>0</v>
      </c>
      <c r="AR130" s="163">
        <f t="shared" si="42"/>
        <v>0.80262714718760531</v>
      </c>
      <c r="AS130" s="97">
        <f t="shared" si="43"/>
        <v>0</v>
      </c>
      <c r="AT130" s="278">
        <f t="shared" si="44"/>
        <v>0.79658748745399799</v>
      </c>
      <c r="AU130" s="55"/>
      <c r="AV130" s="277"/>
      <c r="AW130" s="297">
        <v>13</v>
      </c>
      <c r="AX130" s="294">
        <v>225</v>
      </c>
      <c r="AY130" s="295">
        <v>13</v>
      </c>
      <c r="AZ130" s="296">
        <v>247</v>
      </c>
      <c r="BA130" s="297">
        <v>52</v>
      </c>
      <c r="BB130" s="294">
        <v>114</v>
      </c>
      <c r="BC130" s="295">
        <v>52</v>
      </c>
      <c r="BD130" s="296">
        <v>129</v>
      </c>
      <c r="BE130" s="297">
        <v>31</v>
      </c>
      <c r="BF130" s="294">
        <v>38</v>
      </c>
      <c r="BG130" s="295">
        <v>31</v>
      </c>
      <c r="BH130" s="296">
        <v>46</v>
      </c>
      <c r="BI130" s="297">
        <v>42</v>
      </c>
      <c r="BJ130" s="294">
        <v>36</v>
      </c>
      <c r="BK130" s="295">
        <v>42</v>
      </c>
      <c r="BL130" s="296">
        <v>31</v>
      </c>
      <c r="BM130" s="297">
        <v>51</v>
      </c>
      <c r="BN130" s="294">
        <v>30</v>
      </c>
      <c r="BO130" s="295">
        <v>51</v>
      </c>
      <c r="BP130" s="296">
        <v>29</v>
      </c>
      <c r="BQ130" s="297">
        <v>44</v>
      </c>
      <c r="BR130" s="294">
        <v>26</v>
      </c>
      <c r="BS130" s="295">
        <v>44</v>
      </c>
      <c r="BT130" s="296">
        <v>14</v>
      </c>
      <c r="BU130" s="297">
        <v>15</v>
      </c>
      <c r="BV130" s="294">
        <v>11</v>
      </c>
      <c r="BW130" s="295">
        <v>45</v>
      </c>
      <c r="BX130" s="296">
        <v>14</v>
      </c>
      <c r="BY130" s="297">
        <v>26</v>
      </c>
      <c r="BZ130" s="294">
        <v>10</v>
      </c>
      <c r="CA130" s="295">
        <v>26</v>
      </c>
      <c r="CB130" s="296">
        <v>13</v>
      </c>
      <c r="CC130" s="297">
        <v>45</v>
      </c>
      <c r="CD130" s="294">
        <v>9</v>
      </c>
      <c r="CE130" s="295">
        <v>23</v>
      </c>
      <c r="CF130" s="296">
        <v>9</v>
      </c>
      <c r="CG130" s="297">
        <v>50</v>
      </c>
      <c r="CH130" s="294">
        <v>6</v>
      </c>
      <c r="CI130" s="295">
        <v>50</v>
      </c>
      <c r="CJ130" s="296">
        <v>8</v>
      </c>
      <c r="CK130" s="281"/>
      <c r="CL130" s="277"/>
      <c r="CM130" s="298">
        <v>12</v>
      </c>
      <c r="CN130" s="277">
        <v>13</v>
      </c>
      <c r="CO130" s="50">
        <f t="shared" si="50"/>
        <v>517</v>
      </c>
      <c r="CP130" s="103">
        <f t="shared" si="51"/>
        <v>10</v>
      </c>
      <c r="CQ130" s="280">
        <f t="shared" si="52"/>
        <v>553</v>
      </c>
      <c r="CR130" s="63">
        <f t="shared" si="53"/>
        <v>10</v>
      </c>
      <c r="CS130" s="279">
        <v>13</v>
      </c>
      <c r="CT130" s="52">
        <v>69</v>
      </c>
      <c r="CU130" s="105">
        <v>13</v>
      </c>
      <c r="CV130" s="98">
        <v>55</v>
      </c>
      <c r="CW130" s="279"/>
      <c r="CX130" s="52"/>
      <c r="CY130" s="105"/>
      <c r="CZ130" s="98"/>
      <c r="DA130" s="279"/>
      <c r="DB130" s="52"/>
      <c r="DC130" s="105"/>
      <c r="DD130" s="98"/>
      <c r="DE130" s="279"/>
      <c r="DF130" s="52"/>
      <c r="DG130" s="105"/>
      <c r="DH130" s="98"/>
      <c r="DI130" s="279"/>
      <c r="DJ130" s="52"/>
      <c r="DK130" s="105"/>
      <c r="DL130" s="98"/>
      <c r="DM130" s="279"/>
      <c r="DN130" s="52"/>
      <c r="DO130" s="105"/>
      <c r="DP130" s="98"/>
      <c r="DQ130" s="279"/>
      <c r="DR130" s="52"/>
      <c r="DS130" s="105"/>
      <c r="DT130" s="98"/>
      <c r="DU130" s="279"/>
      <c r="DV130" s="52"/>
      <c r="DW130" s="105"/>
      <c r="DX130" s="98"/>
      <c r="DY130" s="279"/>
      <c r="DZ130" s="52"/>
      <c r="EA130" s="105"/>
      <c r="EB130" s="98"/>
      <c r="EC130" s="279"/>
      <c r="ED130" s="52"/>
      <c r="EE130" s="105"/>
      <c r="EF130" s="98"/>
      <c r="EG130" s="159"/>
      <c r="EH130" s="277"/>
      <c r="EI130" s="50">
        <f t="shared" si="54"/>
        <v>69</v>
      </c>
      <c r="EJ130" s="103">
        <f t="shared" si="55"/>
        <v>1</v>
      </c>
      <c r="EK130" s="164">
        <f t="shared" si="56"/>
        <v>1</v>
      </c>
      <c r="EL130" s="280">
        <f t="shared" si="57"/>
        <v>55</v>
      </c>
      <c r="EM130" s="63">
        <f t="shared" si="58"/>
        <v>1</v>
      </c>
      <c r="EN130" s="359">
        <f t="shared" si="59"/>
        <v>1</v>
      </c>
      <c r="EO130" s="51">
        <f t="shared" si="60"/>
        <v>586</v>
      </c>
      <c r="EP130" s="361">
        <f t="shared" si="61"/>
        <v>608</v>
      </c>
      <c r="EQ130" s="281"/>
      <c r="ER130" s="277"/>
      <c r="ES130" s="281"/>
      <c r="ET130" s="277"/>
      <c r="EU130" s="281"/>
      <c r="EV130" s="277"/>
      <c r="EW130" s="281"/>
      <c r="EX130" s="277"/>
      <c r="EY130" s="281"/>
      <c r="EZ130" s="277"/>
      <c r="FA130" s="281"/>
      <c r="FB130" s="277"/>
      <c r="FC130" s="281"/>
      <c r="FD130" s="277"/>
      <c r="FE130" s="281"/>
      <c r="FF130" s="277"/>
      <c r="FG130" s="281"/>
      <c r="FH130" s="277"/>
      <c r="FI130" s="281"/>
      <c r="FJ130" s="277"/>
      <c r="FK130" s="50">
        <f t="shared" si="62"/>
        <v>0</v>
      </c>
      <c r="FL130" s="63">
        <f t="shared" si="63"/>
        <v>0</v>
      </c>
      <c r="FM130" s="50">
        <f t="shared" si="45"/>
        <v>2969</v>
      </c>
      <c r="FN130" s="360">
        <f t="shared" si="46"/>
        <v>2989</v>
      </c>
      <c r="FO130" s="3"/>
      <c r="FP130" s="279"/>
      <c r="FQ130" s="52"/>
      <c r="FR130" s="296"/>
      <c r="FS130" s="98"/>
      <c r="FT130" s="467"/>
      <c r="FU130" s="52"/>
      <c r="FV130" s="296"/>
      <c r="FW130" s="98"/>
      <c r="FX130" s="467"/>
      <c r="FY130" s="52"/>
      <c r="FZ130" s="296"/>
      <c r="GA130" s="98"/>
      <c r="GB130" s="467"/>
      <c r="GC130" s="52"/>
      <c r="GD130" s="296"/>
      <c r="GE130" s="98"/>
      <c r="GF130" s="467"/>
      <c r="GG130" s="52"/>
      <c r="GH130" s="296"/>
      <c r="GI130" s="98"/>
      <c r="GJ130" s="467"/>
      <c r="GK130" s="52"/>
      <c r="GL130" s="296"/>
      <c r="GM130" s="464"/>
      <c r="GN130" s="467"/>
      <c r="GO130" s="52"/>
      <c r="GP130" s="296"/>
      <c r="GQ130" s="464"/>
      <c r="GR130" s="467"/>
      <c r="GS130" s="52"/>
      <c r="GT130" s="296"/>
      <c r="GU130" s="464"/>
      <c r="GV130" s="467"/>
      <c r="GW130" s="52"/>
      <c r="GX130" s="296"/>
      <c r="GY130" s="464"/>
      <c r="GZ130" s="467"/>
      <c r="HA130" s="52"/>
      <c r="HB130" s="296"/>
      <c r="HC130" s="3"/>
    </row>
    <row r="131" spans="1:211" s="86" customFormat="1">
      <c r="A131" s="292" t="s">
        <v>955</v>
      </c>
      <c r="B131" s="293" t="s">
        <v>529</v>
      </c>
      <c r="C131" s="292">
        <v>141334</v>
      </c>
      <c r="D131" s="346">
        <v>3</v>
      </c>
      <c r="E131" s="460"/>
      <c r="F131" s="277"/>
      <c r="G131" s="158"/>
      <c r="H131" s="277"/>
      <c r="I131" s="158"/>
      <c r="J131" s="277"/>
      <c r="K131" s="160">
        <f t="shared" si="47"/>
        <v>0</v>
      </c>
      <c r="L131" s="161">
        <f t="shared" si="40"/>
        <v>0</v>
      </c>
      <c r="M131" s="54">
        <v>1222</v>
      </c>
      <c r="N131" s="55">
        <v>230</v>
      </c>
      <c r="O131" s="55"/>
      <c r="P131" s="55"/>
      <c r="Q131" s="162">
        <f t="shared" si="48"/>
        <v>230</v>
      </c>
      <c r="R131" s="277">
        <v>1335</v>
      </c>
      <c r="S131" s="277">
        <v>264</v>
      </c>
      <c r="T131" s="277"/>
      <c r="U131" s="277"/>
      <c r="V131" s="97">
        <f t="shared" si="49"/>
        <v>264</v>
      </c>
      <c r="W131" s="279"/>
      <c r="X131" s="52"/>
      <c r="Y131" s="99"/>
      <c r="Z131" s="53"/>
      <c r="AA131" s="228"/>
      <c r="AB131" s="52"/>
      <c r="AC131" s="99"/>
      <c r="AD131" s="53"/>
      <c r="AE131" s="228"/>
      <c r="AF131" s="52"/>
      <c r="AG131" s="99"/>
      <c r="AH131" s="53"/>
      <c r="AI131" s="228"/>
      <c r="AJ131" s="52"/>
      <c r="AK131" s="99"/>
      <c r="AL131" s="53"/>
      <c r="AM131" s="228"/>
      <c r="AN131" s="52"/>
      <c r="AO131" s="99"/>
      <c r="AP131" s="53"/>
      <c r="AQ131" s="50">
        <f t="shared" si="41"/>
        <v>0</v>
      </c>
      <c r="AR131" s="163">
        <f t="shared" si="42"/>
        <v>0.71170646476412347</v>
      </c>
      <c r="AS131" s="97">
        <f t="shared" si="43"/>
        <v>0</v>
      </c>
      <c r="AT131" s="278">
        <f t="shared" si="44"/>
        <v>0.70337197049525813</v>
      </c>
      <c r="AU131" s="55">
        <v>8</v>
      </c>
      <c r="AV131" s="277">
        <v>11</v>
      </c>
      <c r="AW131" s="297">
        <v>13</v>
      </c>
      <c r="AX131" s="294">
        <v>366</v>
      </c>
      <c r="AY131" s="295">
        <v>13</v>
      </c>
      <c r="AZ131" s="296">
        <v>406</v>
      </c>
      <c r="BA131" s="297">
        <v>42</v>
      </c>
      <c r="BB131" s="294">
        <v>25</v>
      </c>
      <c r="BC131" s="295">
        <v>52</v>
      </c>
      <c r="BD131" s="296">
        <v>59</v>
      </c>
      <c r="BE131" s="297">
        <v>52</v>
      </c>
      <c r="BF131" s="294">
        <v>25</v>
      </c>
      <c r="BG131" s="295">
        <v>51</v>
      </c>
      <c r="BH131" s="296">
        <v>28</v>
      </c>
      <c r="BI131" s="297">
        <v>51</v>
      </c>
      <c r="BJ131" s="294">
        <v>21</v>
      </c>
      <c r="BK131" s="295">
        <v>42</v>
      </c>
      <c r="BL131" s="296">
        <v>15</v>
      </c>
      <c r="BM131" s="297">
        <v>44</v>
      </c>
      <c r="BN131" s="294">
        <v>12</v>
      </c>
      <c r="BO131" s="295">
        <v>44</v>
      </c>
      <c r="BP131" s="296">
        <v>10</v>
      </c>
      <c r="BQ131" s="297">
        <v>11</v>
      </c>
      <c r="BR131" s="294">
        <v>6</v>
      </c>
      <c r="BS131" s="295">
        <v>54</v>
      </c>
      <c r="BT131" s="296">
        <v>10</v>
      </c>
      <c r="BU131" s="297">
        <v>23</v>
      </c>
      <c r="BV131" s="294">
        <v>6</v>
      </c>
      <c r="BW131" s="295">
        <v>23</v>
      </c>
      <c r="BX131" s="296">
        <v>5</v>
      </c>
      <c r="BY131" s="297">
        <v>26</v>
      </c>
      <c r="BZ131" s="294">
        <v>6</v>
      </c>
      <c r="CA131" s="295">
        <v>26</v>
      </c>
      <c r="CB131" s="296">
        <v>4</v>
      </c>
      <c r="CC131" s="297">
        <v>45</v>
      </c>
      <c r="CD131" s="294">
        <v>6</v>
      </c>
      <c r="CE131" s="295">
        <v>45</v>
      </c>
      <c r="CF131" s="296">
        <v>4</v>
      </c>
      <c r="CG131" s="297">
        <v>54</v>
      </c>
      <c r="CH131" s="294">
        <v>6</v>
      </c>
      <c r="CI131" s="295">
        <v>11</v>
      </c>
      <c r="CJ131" s="296">
        <v>2</v>
      </c>
      <c r="CK131" s="281"/>
      <c r="CL131" s="277"/>
      <c r="CM131" s="298"/>
      <c r="CN131" s="277">
        <v>1</v>
      </c>
      <c r="CO131" s="50">
        <f t="shared" si="50"/>
        <v>479</v>
      </c>
      <c r="CP131" s="103">
        <f t="shared" si="51"/>
        <v>10</v>
      </c>
      <c r="CQ131" s="280">
        <f t="shared" si="52"/>
        <v>544</v>
      </c>
      <c r="CR131" s="63">
        <f t="shared" si="53"/>
        <v>10</v>
      </c>
      <c r="CS131" s="279">
        <v>13</v>
      </c>
      <c r="CT131" s="52">
        <v>8</v>
      </c>
      <c r="CU131" s="105">
        <v>13</v>
      </c>
      <c r="CV131" s="98">
        <v>8</v>
      </c>
      <c r="CW131" s="279"/>
      <c r="CX131" s="52"/>
      <c r="CY131" s="105"/>
      <c r="CZ131" s="98"/>
      <c r="DA131" s="279"/>
      <c r="DB131" s="52"/>
      <c r="DC131" s="105"/>
      <c r="DD131" s="98"/>
      <c r="DE131" s="279"/>
      <c r="DF131" s="52"/>
      <c r="DG131" s="105"/>
      <c r="DH131" s="98"/>
      <c r="DI131" s="279"/>
      <c r="DJ131" s="52"/>
      <c r="DK131" s="105"/>
      <c r="DL131" s="98"/>
      <c r="DM131" s="279"/>
      <c r="DN131" s="52"/>
      <c r="DO131" s="105"/>
      <c r="DP131" s="98"/>
      <c r="DQ131" s="279"/>
      <c r="DR131" s="52"/>
      <c r="DS131" s="105"/>
      <c r="DT131" s="98"/>
      <c r="DU131" s="279"/>
      <c r="DV131" s="52"/>
      <c r="DW131" s="105"/>
      <c r="DX131" s="98"/>
      <c r="DY131" s="279"/>
      <c r="DZ131" s="52"/>
      <c r="EA131" s="105"/>
      <c r="EB131" s="98"/>
      <c r="EC131" s="279"/>
      <c r="ED131" s="52"/>
      <c r="EE131" s="105"/>
      <c r="EF131" s="98"/>
      <c r="EG131" s="159"/>
      <c r="EH131" s="277"/>
      <c r="EI131" s="50">
        <f t="shared" si="54"/>
        <v>8</v>
      </c>
      <c r="EJ131" s="103">
        <f t="shared" si="55"/>
        <v>1</v>
      </c>
      <c r="EK131" s="164">
        <f t="shared" si="56"/>
        <v>1</v>
      </c>
      <c r="EL131" s="280">
        <f t="shared" si="57"/>
        <v>8</v>
      </c>
      <c r="EM131" s="63">
        <f t="shared" si="58"/>
        <v>1</v>
      </c>
      <c r="EN131" s="359">
        <f t="shared" si="59"/>
        <v>1</v>
      </c>
      <c r="EO131" s="51">
        <f t="shared" si="60"/>
        <v>487</v>
      </c>
      <c r="EP131" s="361">
        <f t="shared" si="61"/>
        <v>552</v>
      </c>
      <c r="EQ131" s="281"/>
      <c r="ER131" s="277"/>
      <c r="ES131" s="281"/>
      <c r="ET131" s="277"/>
      <c r="EU131" s="281"/>
      <c r="EV131" s="277"/>
      <c r="EW131" s="281"/>
      <c r="EX131" s="277"/>
      <c r="EY131" s="281"/>
      <c r="EZ131" s="277"/>
      <c r="FA131" s="281"/>
      <c r="FB131" s="277"/>
      <c r="FC131" s="281"/>
      <c r="FD131" s="277"/>
      <c r="FE131" s="281"/>
      <c r="FF131" s="277"/>
      <c r="FG131" s="281"/>
      <c r="FH131" s="277"/>
      <c r="FI131" s="281"/>
      <c r="FJ131" s="277"/>
      <c r="FK131" s="50">
        <f t="shared" si="62"/>
        <v>0</v>
      </c>
      <c r="FL131" s="63">
        <f t="shared" si="63"/>
        <v>0</v>
      </c>
      <c r="FM131" s="50">
        <f t="shared" si="45"/>
        <v>1717</v>
      </c>
      <c r="FN131" s="360">
        <f t="shared" si="46"/>
        <v>1898</v>
      </c>
      <c r="FO131" s="3"/>
      <c r="FP131" s="279"/>
      <c r="FQ131" s="52"/>
      <c r="FR131" s="296"/>
      <c r="FS131" s="98"/>
      <c r="FT131" s="467"/>
      <c r="FU131" s="52"/>
      <c r="FV131" s="296"/>
      <c r="FW131" s="98"/>
      <c r="FX131" s="467"/>
      <c r="FY131" s="52"/>
      <c r="FZ131" s="296"/>
      <c r="GA131" s="98"/>
      <c r="GB131" s="467"/>
      <c r="GC131" s="52"/>
      <c r="GD131" s="296"/>
      <c r="GE131" s="98"/>
      <c r="GF131" s="467"/>
      <c r="GG131" s="52"/>
      <c r="GH131" s="296"/>
      <c r="GI131" s="98"/>
      <c r="GJ131" s="467"/>
      <c r="GK131" s="52"/>
      <c r="GL131" s="296"/>
      <c r="GM131" s="464"/>
      <c r="GN131" s="467"/>
      <c r="GO131" s="52"/>
      <c r="GP131" s="296"/>
      <c r="GQ131" s="464"/>
      <c r="GR131" s="467"/>
      <c r="GS131" s="52"/>
      <c r="GT131" s="296"/>
      <c r="GU131" s="464"/>
      <c r="GV131" s="467"/>
      <c r="GW131" s="52"/>
      <c r="GX131" s="296"/>
      <c r="GY131" s="464"/>
      <c r="GZ131" s="467"/>
      <c r="HA131" s="52"/>
      <c r="HB131" s="296"/>
      <c r="HC131" s="3"/>
    </row>
    <row r="132" spans="1:211" s="86" customFormat="1">
      <c r="A132" s="292" t="s">
        <v>955</v>
      </c>
      <c r="B132" s="293" t="s">
        <v>530</v>
      </c>
      <c r="C132" s="292">
        <v>141264</v>
      </c>
      <c r="D132" s="346">
        <v>3</v>
      </c>
      <c r="E132" s="460"/>
      <c r="F132" s="277"/>
      <c r="G132" s="158"/>
      <c r="H132" s="277"/>
      <c r="I132" s="158">
        <v>52</v>
      </c>
      <c r="J132" s="277">
        <v>57</v>
      </c>
      <c r="K132" s="160">
        <f t="shared" si="47"/>
        <v>3.2078963602714373E-2</v>
      </c>
      <c r="L132" s="161">
        <f t="shared" si="40"/>
        <v>3.4969325153374232E-2</v>
      </c>
      <c r="M132" s="54">
        <v>1621</v>
      </c>
      <c r="N132" s="55">
        <v>339</v>
      </c>
      <c r="O132" s="55"/>
      <c r="P132" s="55"/>
      <c r="Q132" s="162">
        <f t="shared" si="48"/>
        <v>339</v>
      </c>
      <c r="R132" s="277">
        <v>1630</v>
      </c>
      <c r="S132" s="277">
        <v>352</v>
      </c>
      <c r="T132" s="277"/>
      <c r="U132" s="277"/>
      <c r="V132" s="97">
        <f t="shared" si="49"/>
        <v>352</v>
      </c>
      <c r="W132" s="279"/>
      <c r="X132" s="52"/>
      <c r="Y132" s="99"/>
      <c r="Z132" s="53"/>
      <c r="AA132" s="228"/>
      <c r="AB132" s="52"/>
      <c r="AC132" s="99"/>
      <c r="AD132" s="53"/>
      <c r="AE132" s="228"/>
      <c r="AF132" s="52"/>
      <c r="AG132" s="99"/>
      <c r="AH132" s="53"/>
      <c r="AI132" s="228"/>
      <c r="AJ132" s="52"/>
      <c r="AK132" s="99"/>
      <c r="AL132" s="53"/>
      <c r="AM132" s="228"/>
      <c r="AN132" s="52"/>
      <c r="AO132" s="99"/>
      <c r="AP132" s="53"/>
      <c r="AQ132" s="50">
        <f t="shared" si="41"/>
        <v>0</v>
      </c>
      <c r="AR132" s="163">
        <f t="shared" si="42"/>
        <v>0.75185528756957332</v>
      </c>
      <c r="AS132" s="97">
        <f t="shared" si="43"/>
        <v>0</v>
      </c>
      <c r="AT132" s="278">
        <f t="shared" si="44"/>
        <v>0.72605790645879731</v>
      </c>
      <c r="AU132" s="55"/>
      <c r="AV132" s="277"/>
      <c r="AW132" s="297">
        <v>13</v>
      </c>
      <c r="AX132" s="294">
        <v>243</v>
      </c>
      <c r="AY132" s="295">
        <v>13</v>
      </c>
      <c r="AZ132" s="296">
        <v>298</v>
      </c>
      <c r="BA132" s="297">
        <v>44</v>
      </c>
      <c r="BB132" s="294">
        <v>74</v>
      </c>
      <c r="BC132" s="295">
        <v>51</v>
      </c>
      <c r="BD132" s="296">
        <v>84</v>
      </c>
      <c r="BE132" s="297">
        <v>51</v>
      </c>
      <c r="BF132" s="294">
        <v>69</v>
      </c>
      <c r="BG132" s="295">
        <v>44</v>
      </c>
      <c r="BH132" s="296">
        <v>79</v>
      </c>
      <c r="BI132" s="297">
        <v>42</v>
      </c>
      <c r="BJ132" s="294">
        <v>27</v>
      </c>
      <c r="BK132" s="295">
        <v>25</v>
      </c>
      <c r="BL132" s="296">
        <v>34</v>
      </c>
      <c r="BM132" s="297">
        <v>25</v>
      </c>
      <c r="BN132" s="294">
        <v>20</v>
      </c>
      <c r="BO132" s="295">
        <v>42</v>
      </c>
      <c r="BP132" s="296">
        <v>20</v>
      </c>
      <c r="BQ132" s="297">
        <v>52</v>
      </c>
      <c r="BR132" s="294">
        <v>11</v>
      </c>
      <c r="BS132" s="295">
        <v>52</v>
      </c>
      <c r="BT132" s="296">
        <v>18</v>
      </c>
      <c r="BU132" s="297">
        <v>43</v>
      </c>
      <c r="BV132" s="294">
        <v>9</v>
      </c>
      <c r="BW132" s="295">
        <v>43</v>
      </c>
      <c r="BX132" s="296">
        <v>7</v>
      </c>
      <c r="BY132" s="297">
        <v>23</v>
      </c>
      <c r="BZ132" s="294">
        <v>4</v>
      </c>
      <c r="CA132" s="295">
        <v>45</v>
      </c>
      <c r="CB132" s="296">
        <v>5</v>
      </c>
      <c r="CC132" s="297">
        <v>45</v>
      </c>
      <c r="CD132" s="294">
        <v>4</v>
      </c>
      <c r="CE132" s="295">
        <v>26</v>
      </c>
      <c r="CF132" s="296">
        <v>3</v>
      </c>
      <c r="CG132" s="297">
        <v>50</v>
      </c>
      <c r="CH132" s="294">
        <v>3</v>
      </c>
      <c r="CI132" s="295">
        <v>23</v>
      </c>
      <c r="CJ132" s="296">
        <v>2</v>
      </c>
      <c r="CK132" s="281"/>
      <c r="CL132" s="277"/>
      <c r="CM132" s="298">
        <v>4</v>
      </c>
      <c r="CN132" s="277">
        <v>3</v>
      </c>
      <c r="CO132" s="50">
        <f t="shared" si="50"/>
        <v>468</v>
      </c>
      <c r="CP132" s="103">
        <f t="shared" si="51"/>
        <v>10</v>
      </c>
      <c r="CQ132" s="280">
        <f t="shared" si="52"/>
        <v>553</v>
      </c>
      <c r="CR132" s="63">
        <f t="shared" si="53"/>
        <v>10</v>
      </c>
      <c r="CS132" s="279">
        <v>13</v>
      </c>
      <c r="CT132" s="52">
        <v>15</v>
      </c>
      <c r="CU132" s="105">
        <v>13</v>
      </c>
      <c r="CV132" s="98">
        <v>5</v>
      </c>
      <c r="CW132" s="279"/>
      <c r="CX132" s="52"/>
      <c r="CY132" s="105"/>
      <c r="CZ132" s="98"/>
      <c r="DA132" s="279"/>
      <c r="DB132" s="52"/>
      <c r="DC132" s="105"/>
      <c r="DD132" s="98"/>
      <c r="DE132" s="279"/>
      <c r="DF132" s="52"/>
      <c r="DG132" s="105"/>
      <c r="DH132" s="98"/>
      <c r="DI132" s="279"/>
      <c r="DJ132" s="52"/>
      <c r="DK132" s="105"/>
      <c r="DL132" s="98"/>
      <c r="DM132" s="279"/>
      <c r="DN132" s="52"/>
      <c r="DO132" s="105"/>
      <c r="DP132" s="98"/>
      <c r="DQ132" s="279"/>
      <c r="DR132" s="52"/>
      <c r="DS132" s="105"/>
      <c r="DT132" s="98"/>
      <c r="DU132" s="279"/>
      <c r="DV132" s="52"/>
      <c r="DW132" s="105"/>
      <c r="DX132" s="98"/>
      <c r="DY132" s="279"/>
      <c r="DZ132" s="52"/>
      <c r="EA132" s="105"/>
      <c r="EB132" s="98"/>
      <c r="EC132" s="279"/>
      <c r="ED132" s="52"/>
      <c r="EE132" s="105"/>
      <c r="EF132" s="98"/>
      <c r="EG132" s="159"/>
      <c r="EH132" s="277"/>
      <c r="EI132" s="50">
        <f t="shared" si="54"/>
        <v>15</v>
      </c>
      <c r="EJ132" s="103">
        <f t="shared" si="55"/>
        <v>1</v>
      </c>
      <c r="EK132" s="164">
        <f t="shared" si="56"/>
        <v>1</v>
      </c>
      <c r="EL132" s="280">
        <f t="shared" si="57"/>
        <v>5</v>
      </c>
      <c r="EM132" s="63">
        <f t="shared" si="58"/>
        <v>1</v>
      </c>
      <c r="EN132" s="359">
        <f t="shared" si="59"/>
        <v>1</v>
      </c>
      <c r="EO132" s="51">
        <f t="shared" si="60"/>
        <v>483</v>
      </c>
      <c r="EP132" s="361">
        <f t="shared" si="61"/>
        <v>558</v>
      </c>
      <c r="EQ132" s="281"/>
      <c r="ER132" s="277"/>
      <c r="ES132" s="281"/>
      <c r="ET132" s="277"/>
      <c r="EU132" s="281"/>
      <c r="EV132" s="277"/>
      <c r="EW132" s="281"/>
      <c r="EX132" s="277"/>
      <c r="EY132" s="281"/>
      <c r="EZ132" s="277"/>
      <c r="FA132" s="281"/>
      <c r="FB132" s="277"/>
      <c r="FC132" s="281"/>
      <c r="FD132" s="277"/>
      <c r="FE132" s="281"/>
      <c r="FF132" s="277"/>
      <c r="FG132" s="281"/>
      <c r="FH132" s="277"/>
      <c r="FI132" s="281"/>
      <c r="FJ132" s="277"/>
      <c r="FK132" s="50">
        <f t="shared" si="62"/>
        <v>0</v>
      </c>
      <c r="FL132" s="63">
        <f t="shared" si="63"/>
        <v>0</v>
      </c>
      <c r="FM132" s="50">
        <f t="shared" si="45"/>
        <v>2156</v>
      </c>
      <c r="FN132" s="360">
        <f t="shared" si="46"/>
        <v>2245</v>
      </c>
      <c r="FO132" s="3"/>
      <c r="FP132" s="279"/>
      <c r="FQ132" s="52"/>
      <c r="FR132" s="296"/>
      <c r="FS132" s="98"/>
      <c r="FT132" s="467"/>
      <c r="FU132" s="52"/>
      <c r="FV132" s="296"/>
      <c r="FW132" s="98"/>
      <c r="FX132" s="467"/>
      <c r="FY132" s="52"/>
      <c r="FZ132" s="296"/>
      <c r="GA132" s="98"/>
      <c r="GB132" s="467"/>
      <c r="GC132" s="52"/>
      <c r="GD132" s="296"/>
      <c r="GE132" s="98"/>
      <c r="GF132" s="467"/>
      <c r="GG132" s="52"/>
      <c r="GH132" s="296"/>
      <c r="GI132" s="98"/>
      <c r="GJ132" s="467"/>
      <c r="GK132" s="52"/>
      <c r="GL132" s="296"/>
      <c r="GM132" s="464"/>
      <c r="GN132" s="467"/>
      <c r="GO132" s="52"/>
      <c r="GP132" s="296"/>
      <c r="GQ132" s="464"/>
      <c r="GR132" s="467"/>
      <c r="GS132" s="52"/>
      <c r="GT132" s="296"/>
      <c r="GU132" s="464"/>
      <c r="GV132" s="467"/>
      <c r="GW132" s="52"/>
      <c r="GX132" s="296"/>
      <c r="GY132" s="464"/>
      <c r="GZ132" s="467"/>
      <c r="HA132" s="52"/>
      <c r="HB132" s="296"/>
      <c r="HC132" s="3"/>
    </row>
    <row r="133" spans="1:211" s="86" customFormat="1">
      <c r="A133" s="292" t="s">
        <v>955</v>
      </c>
      <c r="B133" s="293" t="s">
        <v>531</v>
      </c>
      <c r="C133" s="292">
        <v>138716</v>
      </c>
      <c r="D133" s="346">
        <v>4</v>
      </c>
      <c r="E133" s="460"/>
      <c r="F133" s="277"/>
      <c r="G133" s="158"/>
      <c r="H133" s="277"/>
      <c r="I133" s="158">
        <v>3</v>
      </c>
      <c r="J133" s="277">
        <v>3</v>
      </c>
      <c r="K133" s="160">
        <f t="shared" si="47"/>
        <v>5.9405940594059407E-3</v>
      </c>
      <c r="L133" s="161">
        <f t="shared" si="40"/>
        <v>5.7692307692307696E-3</v>
      </c>
      <c r="M133" s="54">
        <v>505</v>
      </c>
      <c r="N133" s="55">
        <v>75</v>
      </c>
      <c r="O133" s="55"/>
      <c r="P133" s="55"/>
      <c r="Q133" s="162">
        <f t="shared" si="48"/>
        <v>75</v>
      </c>
      <c r="R133" s="277">
        <v>520</v>
      </c>
      <c r="S133" s="277">
        <v>102</v>
      </c>
      <c r="T133" s="277"/>
      <c r="U133" s="277"/>
      <c r="V133" s="97">
        <f t="shared" si="49"/>
        <v>102</v>
      </c>
      <c r="W133" s="279"/>
      <c r="X133" s="52"/>
      <c r="Y133" s="99"/>
      <c r="Z133" s="53"/>
      <c r="AA133" s="228"/>
      <c r="AB133" s="52"/>
      <c r="AC133" s="99"/>
      <c r="AD133" s="53"/>
      <c r="AE133" s="228"/>
      <c r="AF133" s="52"/>
      <c r="AG133" s="99"/>
      <c r="AH133" s="53"/>
      <c r="AI133" s="228"/>
      <c r="AJ133" s="52"/>
      <c r="AK133" s="99"/>
      <c r="AL133" s="53"/>
      <c r="AM133" s="228"/>
      <c r="AN133" s="52"/>
      <c r="AO133" s="99"/>
      <c r="AP133" s="53"/>
      <c r="AQ133" s="50">
        <f t="shared" si="41"/>
        <v>0</v>
      </c>
      <c r="AR133" s="163">
        <f t="shared" si="42"/>
        <v>0.76399394856278369</v>
      </c>
      <c r="AS133" s="97">
        <f t="shared" si="43"/>
        <v>0</v>
      </c>
      <c r="AT133" s="278">
        <f t="shared" si="44"/>
        <v>0.79389312977099236</v>
      </c>
      <c r="AU133" s="55"/>
      <c r="AV133" s="277"/>
      <c r="AW133" s="297">
        <v>13</v>
      </c>
      <c r="AX133" s="294">
        <v>101</v>
      </c>
      <c r="AY133" s="295">
        <v>13</v>
      </c>
      <c r="AZ133" s="296">
        <v>74</v>
      </c>
      <c r="BA133" s="297">
        <v>51</v>
      </c>
      <c r="BB133" s="294">
        <v>25</v>
      </c>
      <c r="BC133" s="295">
        <v>51</v>
      </c>
      <c r="BD133" s="296">
        <v>21</v>
      </c>
      <c r="BE133" s="297">
        <v>44</v>
      </c>
      <c r="BF133" s="294">
        <v>16</v>
      </c>
      <c r="BG133" s="295">
        <v>44</v>
      </c>
      <c r="BH133" s="296">
        <v>17</v>
      </c>
      <c r="BI133" s="297">
        <v>43</v>
      </c>
      <c r="BJ133" s="294">
        <v>8</v>
      </c>
      <c r="BK133" s="295">
        <v>52</v>
      </c>
      <c r="BL133" s="296">
        <v>12</v>
      </c>
      <c r="BM133" s="297">
        <v>52</v>
      </c>
      <c r="BN133" s="294">
        <v>3</v>
      </c>
      <c r="BO133" s="295">
        <v>43</v>
      </c>
      <c r="BP133" s="296">
        <v>8</v>
      </c>
      <c r="BQ133" s="297"/>
      <c r="BR133" s="294"/>
      <c r="BS133" s="295"/>
      <c r="BT133" s="296"/>
      <c r="BU133" s="297"/>
      <c r="BV133" s="294"/>
      <c r="BW133" s="295"/>
      <c r="BX133" s="296"/>
      <c r="BY133" s="297"/>
      <c r="BZ133" s="294"/>
      <c r="CA133" s="295"/>
      <c r="CB133" s="296"/>
      <c r="CC133" s="297"/>
      <c r="CD133" s="294"/>
      <c r="CE133" s="295"/>
      <c r="CF133" s="296"/>
      <c r="CG133" s="297"/>
      <c r="CH133" s="294"/>
      <c r="CI133" s="295"/>
      <c r="CJ133" s="296"/>
      <c r="CK133" s="281"/>
      <c r="CL133" s="277"/>
      <c r="CM133" s="298"/>
      <c r="CN133" s="277"/>
      <c r="CO133" s="50">
        <f t="shared" si="50"/>
        <v>153</v>
      </c>
      <c r="CP133" s="103">
        <f t="shared" si="51"/>
        <v>5</v>
      </c>
      <c r="CQ133" s="280">
        <f t="shared" si="52"/>
        <v>132</v>
      </c>
      <c r="CR133" s="63">
        <f t="shared" si="53"/>
        <v>5</v>
      </c>
      <c r="CS133" s="279"/>
      <c r="CT133" s="52"/>
      <c r="CU133" s="105"/>
      <c r="CV133" s="98"/>
      <c r="CW133" s="279"/>
      <c r="CX133" s="52"/>
      <c r="CY133" s="105"/>
      <c r="CZ133" s="98"/>
      <c r="DA133" s="279"/>
      <c r="DB133" s="52"/>
      <c r="DC133" s="105"/>
      <c r="DD133" s="98"/>
      <c r="DE133" s="279"/>
      <c r="DF133" s="52"/>
      <c r="DG133" s="105"/>
      <c r="DH133" s="98"/>
      <c r="DI133" s="279"/>
      <c r="DJ133" s="52"/>
      <c r="DK133" s="105"/>
      <c r="DL133" s="98"/>
      <c r="DM133" s="279"/>
      <c r="DN133" s="52"/>
      <c r="DO133" s="105"/>
      <c r="DP133" s="98"/>
      <c r="DQ133" s="279"/>
      <c r="DR133" s="52"/>
      <c r="DS133" s="105"/>
      <c r="DT133" s="98"/>
      <c r="DU133" s="279"/>
      <c r="DV133" s="52"/>
      <c r="DW133" s="105"/>
      <c r="DX133" s="98"/>
      <c r="DY133" s="279"/>
      <c r="DZ133" s="52"/>
      <c r="EA133" s="105"/>
      <c r="EB133" s="98"/>
      <c r="EC133" s="279"/>
      <c r="ED133" s="52"/>
      <c r="EE133" s="105"/>
      <c r="EF133" s="98"/>
      <c r="EG133" s="159"/>
      <c r="EH133" s="277"/>
      <c r="EI133" s="50">
        <f t="shared" si="54"/>
        <v>0</v>
      </c>
      <c r="EJ133" s="103">
        <f t="shared" si="55"/>
        <v>0</v>
      </c>
      <c r="EK133" s="164">
        <f t="shared" si="56"/>
        <v>0</v>
      </c>
      <c r="EL133" s="280">
        <f t="shared" si="57"/>
        <v>0</v>
      </c>
      <c r="EM133" s="63">
        <f t="shared" si="58"/>
        <v>0</v>
      </c>
      <c r="EN133" s="359">
        <f t="shared" si="59"/>
        <v>0</v>
      </c>
      <c r="EO133" s="51">
        <f t="shared" si="60"/>
        <v>153</v>
      </c>
      <c r="EP133" s="361">
        <f t="shared" si="61"/>
        <v>132</v>
      </c>
      <c r="EQ133" s="281"/>
      <c r="ER133" s="277"/>
      <c r="ES133" s="281"/>
      <c r="ET133" s="277"/>
      <c r="EU133" s="281"/>
      <c r="EV133" s="277"/>
      <c r="EW133" s="281"/>
      <c r="EX133" s="277"/>
      <c r="EY133" s="281"/>
      <c r="EZ133" s="277"/>
      <c r="FA133" s="281"/>
      <c r="FB133" s="277"/>
      <c r="FC133" s="281"/>
      <c r="FD133" s="277"/>
      <c r="FE133" s="281"/>
      <c r="FF133" s="277"/>
      <c r="FG133" s="281"/>
      <c r="FH133" s="277"/>
      <c r="FI133" s="281"/>
      <c r="FJ133" s="277"/>
      <c r="FK133" s="50">
        <f t="shared" si="62"/>
        <v>0</v>
      </c>
      <c r="FL133" s="63">
        <f t="shared" si="63"/>
        <v>0</v>
      </c>
      <c r="FM133" s="50">
        <f t="shared" si="45"/>
        <v>661</v>
      </c>
      <c r="FN133" s="360">
        <f t="shared" si="46"/>
        <v>655</v>
      </c>
      <c r="FO133" s="3"/>
      <c r="FP133" s="279"/>
      <c r="FQ133" s="52"/>
      <c r="FR133" s="296"/>
      <c r="FS133" s="98"/>
      <c r="FT133" s="467"/>
      <c r="FU133" s="52"/>
      <c r="FV133" s="296"/>
      <c r="FW133" s="98"/>
      <c r="FX133" s="467"/>
      <c r="FY133" s="52"/>
      <c r="FZ133" s="296"/>
      <c r="GA133" s="98"/>
      <c r="GB133" s="467"/>
      <c r="GC133" s="52"/>
      <c r="GD133" s="296"/>
      <c r="GE133" s="98"/>
      <c r="GF133" s="467"/>
      <c r="GG133" s="52"/>
      <c r="GH133" s="296"/>
      <c r="GI133" s="98"/>
      <c r="GJ133" s="467"/>
      <c r="GK133" s="52"/>
      <c r="GL133" s="296"/>
      <c r="GM133" s="464"/>
      <c r="GN133" s="467"/>
      <c r="GO133" s="52"/>
      <c r="GP133" s="296"/>
      <c r="GQ133" s="464"/>
      <c r="GR133" s="467"/>
      <c r="GS133" s="52"/>
      <c r="GT133" s="296"/>
      <c r="GU133" s="464"/>
      <c r="GV133" s="467"/>
      <c r="GW133" s="52"/>
      <c r="GX133" s="296"/>
      <c r="GY133" s="464"/>
      <c r="GZ133" s="467"/>
      <c r="HA133" s="52"/>
      <c r="HB133" s="296"/>
      <c r="HC133" s="3"/>
    </row>
    <row r="134" spans="1:211" s="86" customFormat="1">
      <c r="A134" s="292" t="s">
        <v>955</v>
      </c>
      <c r="B134" s="293" t="s">
        <v>532</v>
      </c>
      <c r="C134" s="292">
        <v>138789</v>
      </c>
      <c r="D134" s="346">
        <v>4</v>
      </c>
      <c r="E134" s="460">
        <v>12</v>
      </c>
      <c r="F134" s="277">
        <v>58</v>
      </c>
      <c r="G134" s="158"/>
      <c r="H134" s="277"/>
      <c r="I134" s="158">
        <v>77</v>
      </c>
      <c r="J134" s="277">
        <v>84</v>
      </c>
      <c r="K134" s="160">
        <f t="shared" si="47"/>
        <v>9.2215568862275443E-2</v>
      </c>
      <c r="L134" s="161">
        <f t="shared" si="40"/>
        <v>9.3541202672605794E-2</v>
      </c>
      <c r="M134" s="54">
        <v>835</v>
      </c>
      <c r="N134" s="55">
        <v>167</v>
      </c>
      <c r="O134" s="55"/>
      <c r="P134" s="55"/>
      <c r="Q134" s="162">
        <f t="shared" si="48"/>
        <v>167</v>
      </c>
      <c r="R134" s="277">
        <v>898</v>
      </c>
      <c r="S134" s="277">
        <v>188</v>
      </c>
      <c r="T134" s="277"/>
      <c r="U134" s="277"/>
      <c r="V134" s="97">
        <f t="shared" si="49"/>
        <v>188</v>
      </c>
      <c r="W134" s="279"/>
      <c r="X134" s="52"/>
      <c r="Y134" s="99"/>
      <c r="Z134" s="53"/>
      <c r="AA134" s="228"/>
      <c r="AB134" s="52"/>
      <c r="AC134" s="99"/>
      <c r="AD134" s="53"/>
      <c r="AE134" s="228"/>
      <c r="AF134" s="52"/>
      <c r="AG134" s="99"/>
      <c r="AH134" s="53"/>
      <c r="AI134" s="228"/>
      <c r="AJ134" s="52"/>
      <c r="AK134" s="99"/>
      <c r="AL134" s="53"/>
      <c r="AM134" s="228"/>
      <c r="AN134" s="52"/>
      <c r="AO134" s="99"/>
      <c r="AP134" s="53"/>
      <c r="AQ134" s="50">
        <f t="shared" si="41"/>
        <v>0</v>
      </c>
      <c r="AR134" s="163">
        <f t="shared" si="42"/>
        <v>0.73893805309734517</v>
      </c>
      <c r="AS134" s="97">
        <f t="shared" si="43"/>
        <v>0</v>
      </c>
      <c r="AT134" s="278">
        <f t="shared" si="44"/>
        <v>0.68549618320610683</v>
      </c>
      <c r="AU134" s="55"/>
      <c r="AV134" s="277"/>
      <c r="AW134" s="297">
        <v>13</v>
      </c>
      <c r="AX134" s="294">
        <v>130</v>
      </c>
      <c r="AY134" s="295">
        <v>13</v>
      </c>
      <c r="AZ134" s="296">
        <v>191</v>
      </c>
      <c r="BA134" s="297">
        <v>51</v>
      </c>
      <c r="BB134" s="294">
        <v>67</v>
      </c>
      <c r="BC134" s="295">
        <v>51</v>
      </c>
      <c r="BD134" s="296">
        <v>62</v>
      </c>
      <c r="BE134" s="297">
        <v>9</v>
      </c>
      <c r="BF134" s="294">
        <v>4</v>
      </c>
      <c r="BG134" s="295">
        <v>9</v>
      </c>
      <c r="BH134" s="296">
        <v>9</v>
      </c>
      <c r="BI134" s="297">
        <v>11</v>
      </c>
      <c r="BJ134" s="294">
        <v>3</v>
      </c>
      <c r="BK134" s="295">
        <v>43</v>
      </c>
      <c r="BL134" s="296">
        <v>4</v>
      </c>
      <c r="BM134" s="297">
        <v>43</v>
      </c>
      <c r="BN134" s="294">
        <v>1</v>
      </c>
      <c r="BO134" s="295">
        <v>54</v>
      </c>
      <c r="BP134" s="296">
        <v>4</v>
      </c>
      <c r="BQ134" s="297">
        <v>54</v>
      </c>
      <c r="BR134" s="294">
        <v>1</v>
      </c>
      <c r="BS134" s="295"/>
      <c r="BT134" s="296"/>
      <c r="BU134" s="297"/>
      <c r="BV134" s="294"/>
      <c r="BW134" s="295"/>
      <c r="BX134" s="296"/>
      <c r="BY134" s="297"/>
      <c r="BZ134" s="294"/>
      <c r="CA134" s="295"/>
      <c r="CB134" s="296"/>
      <c r="CC134" s="297"/>
      <c r="CD134" s="294"/>
      <c r="CE134" s="295"/>
      <c r="CF134" s="296"/>
      <c r="CG134" s="297"/>
      <c r="CH134" s="294"/>
      <c r="CI134" s="295"/>
      <c r="CJ134" s="296"/>
      <c r="CK134" s="281"/>
      <c r="CL134" s="277"/>
      <c r="CM134" s="298"/>
      <c r="CN134" s="277"/>
      <c r="CO134" s="50">
        <f t="shared" si="50"/>
        <v>206</v>
      </c>
      <c r="CP134" s="103">
        <f t="shared" si="51"/>
        <v>6</v>
      </c>
      <c r="CQ134" s="280">
        <f t="shared" si="52"/>
        <v>270</v>
      </c>
      <c r="CR134" s="63">
        <f t="shared" si="53"/>
        <v>5</v>
      </c>
      <c r="CS134" s="279"/>
      <c r="CT134" s="52"/>
      <c r="CU134" s="105"/>
      <c r="CV134" s="98"/>
      <c r="CW134" s="279"/>
      <c r="CX134" s="52"/>
      <c r="CY134" s="105"/>
      <c r="CZ134" s="98"/>
      <c r="DA134" s="279"/>
      <c r="DB134" s="52"/>
      <c r="DC134" s="105"/>
      <c r="DD134" s="98"/>
      <c r="DE134" s="279"/>
      <c r="DF134" s="52"/>
      <c r="DG134" s="105"/>
      <c r="DH134" s="98"/>
      <c r="DI134" s="279"/>
      <c r="DJ134" s="52"/>
      <c r="DK134" s="105"/>
      <c r="DL134" s="98"/>
      <c r="DM134" s="279"/>
      <c r="DN134" s="52"/>
      <c r="DO134" s="105"/>
      <c r="DP134" s="98"/>
      <c r="DQ134" s="279"/>
      <c r="DR134" s="52"/>
      <c r="DS134" s="105"/>
      <c r="DT134" s="98"/>
      <c r="DU134" s="279"/>
      <c r="DV134" s="52"/>
      <c r="DW134" s="105"/>
      <c r="DX134" s="98"/>
      <c r="DY134" s="279"/>
      <c r="DZ134" s="52"/>
      <c r="EA134" s="105"/>
      <c r="EB134" s="98"/>
      <c r="EC134" s="279"/>
      <c r="ED134" s="52"/>
      <c r="EE134" s="105"/>
      <c r="EF134" s="98"/>
      <c r="EG134" s="159"/>
      <c r="EH134" s="277"/>
      <c r="EI134" s="50">
        <f t="shared" si="54"/>
        <v>0</v>
      </c>
      <c r="EJ134" s="103">
        <f t="shared" si="55"/>
        <v>0</v>
      </c>
      <c r="EK134" s="164">
        <f t="shared" si="56"/>
        <v>0</v>
      </c>
      <c r="EL134" s="280">
        <f t="shared" si="57"/>
        <v>0</v>
      </c>
      <c r="EM134" s="63">
        <f t="shared" si="58"/>
        <v>0</v>
      </c>
      <c r="EN134" s="359">
        <f t="shared" si="59"/>
        <v>0</v>
      </c>
      <c r="EO134" s="51">
        <f t="shared" si="60"/>
        <v>206</v>
      </c>
      <c r="EP134" s="361">
        <f t="shared" si="61"/>
        <v>270</v>
      </c>
      <c r="EQ134" s="281"/>
      <c r="ER134" s="277"/>
      <c r="ES134" s="281"/>
      <c r="ET134" s="277"/>
      <c r="EU134" s="281"/>
      <c r="EV134" s="277"/>
      <c r="EW134" s="281"/>
      <c r="EX134" s="277"/>
      <c r="EY134" s="281"/>
      <c r="EZ134" s="277"/>
      <c r="FA134" s="281"/>
      <c r="FB134" s="277"/>
      <c r="FC134" s="281"/>
      <c r="FD134" s="277"/>
      <c r="FE134" s="281"/>
      <c r="FF134" s="277"/>
      <c r="FG134" s="281"/>
      <c r="FH134" s="277"/>
      <c r="FI134" s="281"/>
      <c r="FJ134" s="277"/>
      <c r="FK134" s="50">
        <f t="shared" si="62"/>
        <v>0</v>
      </c>
      <c r="FL134" s="63">
        <f t="shared" si="63"/>
        <v>0</v>
      </c>
      <c r="FM134" s="50">
        <f t="shared" si="45"/>
        <v>1130</v>
      </c>
      <c r="FN134" s="360">
        <f t="shared" si="46"/>
        <v>1310</v>
      </c>
      <c r="FO134" s="3"/>
      <c r="FP134" s="279"/>
      <c r="FQ134" s="52"/>
      <c r="FR134" s="296"/>
      <c r="FS134" s="98"/>
      <c r="FT134" s="467"/>
      <c r="FU134" s="52"/>
      <c r="FV134" s="296"/>
      <c r="FW134" s="98"/>
      <c r="FX134" s="467"/>
      <c r="FY134" s="52"/>
      <c r="FZ134" s="296"/>
      <c r="GA134" s="98"/>
      <c r="GB134" s="467"/>
      <c r="GC134" s="52"/>
      <c r="GD134" s="296"/>
      <c r="GE134" s="98"/>
      <c r="GF134" s="467"/>
      <c r="GG134" s="52"/>
      <c r="GH134" s="296"/>
      <c r="GI134" s="98"/>
      <c r="GJ134" s="467"/>
      <c r="GK134" s="52"/>
      <c r="GL134" s="296"/>
      <c r="GM134" s="464"/>
      <c r="GN134" s="467"/>
      <c r="GO134" s="52"/>
      <c r="GP134" s="296"/>
      <c r="GQ134" s="464"/>
      <c r="GR134" s="467"/>
      <c r="GS134" s="52"/>
      <c r="GT134" s="296"/>
      <c r="GU134" s="464"/>
      <c r="GV134" s="467"/>
      <c r="GW134" s="52"/>
      <c r="GX134" s="296"/>
      <c r="GY134" s="464"/>
      <c r="GZ134" s="467"/>
      <c r="HA134" s="52"/>
      <c r="HB134" s="296"/>
      <c r="HC134" s="3"/>
    </row>
    <row r="135" spans="1:211" s="86" customFormat="1">
      <c r="A135" s="292" t="s">
        <v>955</v>
      </c>
      <c r="B135" s="293" t="s">
        <v>533</v>
      </c>
      <c r="C135" s="292">
        <v>139366</v>
      </c>
      <c r="D135" s="346">
        <v>4</v>
      </c>
      <c r="E135" s="460">
        <v>93</v>
      </c>
      <c r="F135" s="277">
        <v>98</v>
      </c>
      <c r="G135" s="158"/>
      <c r="H135" s="277"/>
      <c r="I135" s="158">
        <v>27</v>
      </c>
      <c r="J135" s="277">
        <v>42</v>
      </c>
      <c r="K135" s="160">
        <f t="shared" si="47"/>
        <v>3.2181168057210968E-2</v>
      </c>
      <c r="L135" s="161">
        <f t="shared" si="40"/>
        <v>4.9411764705882349E-2</v>
      </c>
      <c r="M135" s="54">
        <v>839</v>
      </c>
      <c r="N135" s="55">
        <v>152</v>
      </c>
      <c r="O135" s="55"/>
      <c r="P135" s="55"/>
      <c r="Q135" s="162">
        <f t="shared" si="48"/>
        <v>152</v>
      </c>
      <c r="R135" s="277">
        <v>850</v>
      </c>
      <c r="S135" s="277">
        <v>147</v>
      </c>
      <c r="T135" s="277"/>
      <c r="U135" s="277"/>
      <c r="V135" s="97">
        <f t="shared" si="49"/>
        <v>147</v>
      </c>
      <c r="W135" s="279"/>
      <c r="X135" s="52"/>
      <c r="Y135" s="99"/>
      <c r="Z135" s="53"/>
      <c r="AA135" s="228"/>
      <c r="AB135" s="52"/>
      <c r="AC135" s="99"/>
      <c r="AD135" s="53"/>
      <c r="AE135" s="228"/>
      <c r="AF135" s="52"/>
      <c r="AG135" s="99"/>
      <c r="AH135" s="53"/>
      <c r="AI135" s="228"/>
      <c r="AJ135" s="52"/>
      <c r="AK135" s="99"/>
      <c r="AL135" s="53"/>
      <c r="AM135" s="228"/>
      <c r="AN135" s="52"/>
      <c r="AO135" s="99"/>
      <c r="AP135" s="53"/>
      <c r="AQ135" s="50">
        <f t="shared" si="41"/>
        <v>0</v>
      </c>
      <c r="AR135" s="163">
        <f t="shared" si="42"/>
        <v>0.64737654320987659</v>
      </c>
      <c r="AS135" s="97">
        <f t="shared" si="43"/>
        <v>0</v>
      </c>
      <c r="AT135" s="278">
        <f t="shared" si="44"/>
        <v>0.58259081562714188</v>
      </c>
      <c r="AU135" s="55"/>
      <c r="AV135" s="277"/>
      <c r="AW135" s="297">
        <v>13</v>
      </c>
      <c r="AX135" s="294">
        <v>160</v>
      </c>
      <c r="AY135" s="295">
        <v>13</v>
      </c>
      <c r="AZ135" s="296">
        <v>272</v>
      </c>
      <c r="BA135" s="297">
        <v>45</v>
      </c>
      <c r="BB135" s="294">
        <v>137</v>
      </c>
      <c r="BC135" s="295">
        <v>45</v>
      </c>
      <c r="BD135" s="296">
        <v>147</v>
      </c>
      <c r="BE135" s="297">
        <v>11</v>
      </c>
      <c r="BF135" s="294">
        <v>28</v>
      </c>
      <c r="BG135" s="295">
        <v>52</v>
      </c>
      <c r="BH135" s="296">
        <v>26</v>
      </c>
      <c r="BI135" s="297">
        <v>52</v>
      </c>
      <c r="BJ135" s="294">
        <v>12</v>
      </c>
      <c r="BK135" s="295">
        <v>11</v>
      </c>
      <c r="BL135" s="296">
        <v>16</v>
      </c>
      <c r="BM135" s="297"/>
      <c r="BN135" s="294"/>
      <c r="BO135" s="295">
        <v>3</v>
      </c>
      <c r="BP135" s="296">
        <v>8</v>
      </c>
      <c r="BQ135" s="297"/>
      <c r="BR135" s="294"/>
      <c r="BS135" s="295"/>
      <c r="BT135" s="296"/>
      <c r="BU135" s="297"/>
      <c r="BV135" s="294"/>
      <c r="BW135" s="295"/>
      <c r="BX135" s="296"/>
      <c r="BY135" s="297"/>
      <c r="BZ135" s="294"/>
      <c r="CA135" s="295"/>
      <c r="CB135" s="296"/>
      <c r="CC135" s="297"/>
      <c r="CD135" s="294"/>
      <c r="CE135" s="295"/>
      <c r="CF135" s="296"/>
      <c r="CG135" s="297"/>
      <c r="CH135" s="294"/>
      <c r="CI135" s="295"/>
      <c r="CJ135" s="296"/>
      <c r="CK135" s="281"/>
      <c r="CL135" s="277"/>
      <c r="CM135" s="298"/>
      <c r="CN135" s="277"/>
      <c r="CO135" s="50">
        <f t="shared" si="50"/>
        <v>337</v>
      </c>
      <c r="CP135" s="103">
        <f t="shared" si="51"/>
        <v>4</v>
      </c>
      <c r="CQ135" s="280">
        <f t="shared" si="52"/>
        <v>469</v>
      </c>
      <c r="CR135" s="63">
        <f t="shared" si="53"/>
        <v>5</v>
      </c>
      <c r="CS135" s="279"/>
      <c r="CT135" s="52"/>
      <c r="CU135" s="105"/>
      <c r="CV135" s="98"/>
      <c r="CW135" s="279"/>
      <c r="CX135" s="52"/>
      <c r="CY135" s="105"/>
      <c r="CZ135" s="98"/>
      <c r="DA135" s="279"/>
      <c r="DB135" s="52"/>
      <c r="DC135" s="105"/>
      <c r="DD135" s="98"/>
      <c r="DE135" s="279"/>
      <c r="DF135" s="52"/>
      <c r="DG135" s="105"/>
      <c r="DH135" s="98"/>
      <c r="DI135" s="279"/>
      <c r="DJ135" s="52"/>
      <c r="DK135" s="105"/>
      <c r="DL135" s="98"/>
      <c r="DM135" s="279"/>
      <c r="DN135" s="52"/>
      <c r="DO135" s="105"/>
      <c r="DP135" s="98"/>
      <c r="DQ135" s="279"/>
      <c r="DR135" s="52"/>
      <c r="DS135" s="105"/>
      <c r="DT135" s="98"/>
      <c r="DU135" s="279"/>
      <c r="DV135" s="52"/>
      <c r="DW135" s="105"/>
      <c r="DX135" s="98"/>
      <c r="DY135" s="279"/>
      <c r="DZ135" s="52"/>
      <c r="EA135" s="105"/>
      <c r="EB135" s="98"/>
      <c r="EC135" s="279"/>
      <c r="ED135" s="52"/>
      <c r="EE135" s="105"/>
      <c r="EF135" s="98"/>
      <c r="EG135" s="159"/>
      <c r="EH135" s="277"/>
      <c r="EI135" s="50">
        <f t="shared" si="54"/>
        <v>0</v>
      </c>
      <c r="EJ135" s="103">
        <f t="shared" si="55"/>
        <v>0</v>
      </c>
      <c r="EK135" s="164">
        <f t="shared" si="56"/>
        <v>0</v>
      </c>
      <c r="EL135" s="280">
        <f t="shared" si="57"/>
        <v>0</v>
      </c>
      <c r="EM135" s="63">
        <f t="shared" si="58"/>
        <v>0</v>
      </c>
      <c r="EN135" s="359">
        <f t="shared" si="59"/>
        <v>0</v>
      </c>
      <c r="EO135" s="51">
        <f t="shared" si="60"/>
        <v>337</v>
      </c>
      <c r="EP135" s="361">
        <f t="shared" si="61"/>
        <v>469</v>
      </c>
      <c r="EQ135" s="281"/>
      <c r="ER135" s="277"/>
      <c r="ES135" s="281"/>
      <c r="ET135" s="277"/>
      <c r="EU135" s="281"/>
      <c r="EV135" s="277"/>
      <c r="EW135" s="281"/>
      <c r="EX135" s="277"/>
      <c r="EY135" s="281"/>
      <c r="EZ135" s="277"/>
      <c r="FA135" s="281"/>
      <c r="FB135" s="277"/>
      <c r="FC135" s="281"/>
      <c r="FD135" s="277"/>
      <c r="FE135" s="281"/>
      <c r="FF135" s="277"/>
      <c r="FG135" s="281"/>
      <c r="FH135" s="277"/>
      <c r="FI135" s="281"/>
      <c r="FJ135" s="277"/>
      <c r="FK135" s="50">
        <f t="shared" si="62"/>
        <v>0</v>
      </c>
      <c r="FL135" s="63">
        <f t="shared" si="63"/>
        <v>0</v>
      </c>
      <c r="FM135" s="50">
        <f t="shared" si="45"/>
        <v>1296</v>
      </c>
      <c r="FN135" s="360">
        <f t="shared" si="46"/>
        <v>1459</v>
      </c>
      <c r="FO135" s="3"/>
      <c r="FP135" s="279"/>
      <c r="FQ135" s="52"/>
      <c r="FR135" s="296"/>
      <c r="FS135" s="98"/>
      <c r="FT135" s="467"/>
      <c r="FU135" s="52"/>
      <c r="FV135" s="296"/>
      <c r="FW135" s="98"/>
      <c r="FX135" s="467"/>
      <c r="FY135" s="52"/>
      <c r="FZ135" s="296"/>
      <c r="GA135" s="98"/>
      <c r="GB135" s="467"/>
      <c r="GC135" s="52"/>
      <c r="GD135" s="296"/>
      <c r="GE135" s="98"/>
      <c r="GF135" s="467"/>
      <c r="GG135" s="52"/>
      <c r="GH135" s="296"/>
      <c r="GI135" s="98"/>
      <c r="GJ135" s="467"/>
      <c r="GK135" s="52"/>
      <c r="GL135" s="296"/>
      <c r="GM135" s="464"/>
      <c r="GN135" s="467"/>
      <c r="GO135" s="52"/>
      <c r="GP135" s="296"/>
      <c r="GQ135" s="464"/>
      <c r="GR135" s="467"/>
      <c r="GS135" s="52"/>
      <c r="GT135" s="296"/>
      <c r="GU135" s="464"/>
      <c r="GV135" s="467"/>
      <c r="GW135" s="52"/>
      <c r="GX135" s="296"/>
      <c r="GY135" s="464"/>
      <c r="GZ135" s="467"/>
      <c r="HA135" s="52"/>
      <c r="HB135" s="296"/>
      <c r="HC135" s="3"/>
    </row>
    <row r="136" spans="1:211" s="86" customFormat="1">
      <c r="A136" s="292" t="s">
        <v>955</v>
      </c>
      <c r="B136" s="293" t="s">
        <v>534</v>
      </c>
      <c r="C136" s="292">
        <v>139861</v>
      </c>
      <c r="D136" s="346">
        <v>4</v>
      </c>
      <c r="E136" s="460"/>
      <c r="F136" s="277"/>
      <c r="G136" s="158"/>
      <c r="H136" s="277"/>
      <c r="I136" s="158"/>
      <c r="J136" s="277"/>
      <c r="K136" s="160">
        <f t="shared" si="47"/>
        <v>0</v>
      </c>
      <c r="L136" s="161">
        <f t="shared" si="40"/>
        <v>0</v>
      </c>
      <c r="M136" s="54">
        <v>913</v>
      </c>
      <c r="N136" s="55">
        <v>161</v>
      </c>
      <c r="O136" s="55"/>
      <c r="P136" s="55"/>
      <c r="Q136" s="162">
        <f t="shared" si="48"/>
        <v>161</v>
      </c>
      <c r="R136" s="277">
        <v>979</v>
      </c>
      <c r="S136" s="277">
        <v>156</v>
      </c>
      <c r="T136" s="277"/>
      <c r="U136" s="277"/>
      <c r="V136" s="97">
        <f t="shared" si="49"/>
        <v>156</v>
      </c>
      <c r="W136" s="279"/>
      <c r="X136" s="52"/>
      <c r="Y136" s="99"/>
      <c r="Z136" s="53"/>
      <c r="AA136" s="228"/>
      <c r="AB136" s="52"/>
      <c r="AC136" s="99"/>
      <c r="AD136" s="53"/>
      <c r="AE136" s="228"/>
      <c r="AF136" s="52"/>
      <c r="AG136" s="99"/>
      <c r="AH136" s="53"/>
      <c r="AI136" s="228"/>
      <c r="AJ136" s="52"/>
      <c r="AK136" s="99"/>
      <c r="AL136" s="53"/>
      <c r="AM136" s="228"/>
      <c r="AN136" s="52"/>
      <c r="AO136" s="99"/>
      <c r="AP136" s="53"/>
      <c r="AQ136" s="50">
        <f t="shared" si="41"/>
        <v>0</v>
      </c>
      <c r="AR136" s="163">
        <f t="shared" si="42"/>
        <v>0.69961685823754793</v>
      </c>
      <c r="AS136" s="97">
        <f t="shared" si="43"/>
        <v>0</v>
      </c>
      <c r="AT136" s="278">
        <f t="shared" si="44"/>
        <v>0.67704011065006919</v>
      </c>
      <c r="AU136" s="55"/>
      <c r="AV136" s="277"/>
      <c r="AW136" s="297">
        <v>13</v>
      </c>
      <c r="AX136" s="294">
        <v>220</v>
      </c>
      <c r="AY136" s="295">
        <v>13</v>
      </c>
      <c r="AZ136" s="296">
        <v>296</v>
      </c>
      <c r="BA136" s="297">
        <v>52</v>
      </c>
      <c r="BB136" s="294">
        <v>99</v>
      </c>
      <c r="BC136" s="295">
        <v>52</v>
      </c>
      <c r="BD136" s="296">
        <v>95</v>
      </c>
      <c r="BE136" s="297">
        <v>44</v>
      </c>
      <c r="BF136" s="294">
        <v>36</v>
      </c>
      <c r="BG136" s="295">
        <v>44</v>
      </c>
      <c r="BH136" s="296">
        <v>24</v>
      </c>
      <c r="BI136" s="297">
        <v>51</v>
      </c>
      <c r="BJ136" s="294">
        <v>14</v>
      </c>
      <c r="BK136" s="295">
        <v>51</v>
      </c>
      <c r="BL136" s="296">
        <v>22</v>
      </c>
      <c r="BM136" s="297">
        <v>23</v>
      </c>
      <c r="BN136" s="294">
        <v>12</v>
      </c>
      <c r="BO136" s="295">
        <v>26</v>
      </c>
      <c r="BP136" s="296">
        <v>9</v>
      </c>
      <c r="BQ136" s="297">
        <v>26</v>
      </c>
      <c r="BR136" s="294">
        <v>7</v>
      </c>
      <c r="BS136" s="295">
        <v>23</v>
      </c>
      <c r="BT136" s="296">
        <v>8</v>
      </c>
      <c r="BU136" s="297">
        <v>43</v>
      </c>
      <c r="BV136" s="294">
        <v>3</v>
      </c>
      <c r="BW136" s="295">
        <v>43</v>
      </c>
      <c r="BX136" s="296">
        <v>8</v>
      </c>
      <c r="BY136" s="297">
        <v>54</v>
      </c>
      <c r="BZ136" s="294">
        <v>1</v>
      </c>
      <c r="CA136" s="295">
        <v>54</v>
      </c>
      <c r="CB136" s="296">
        <v>5</v>
      </c>
      <c r="CC136" s="297"/>
      <c r="CD136" s="294"/>
      <c r="CE136" s="295"/>
      <c r="CF136" s="296"/>
      <c r="CG136" s="297"/>
      <c r="CH136" s="294"/>
      <c r="CI136" s="295"/>
      <c r="CJ136" s="296"/>
      <c r="CK136" s="281"/>
      <c r="CL136" s="277"/>
      <c r="CM136" s="298"/>
      <c r="CN136" s="277"/>
      <c r="CO136" s="50">
        <f t="shared" si="50"/>
        <v>392</v>
      </c>
      <c r="CP136" s="103">
        <f t="shared" si="51"/>
        <v>8</v>
      </c>
      <c r="CQ136" s="280">
        <f t="shared" si="52"/>
        <v>467</v>
      </c>
      <c r="CR136" s="63">
        <f t="shared" si="53"/>
        <v>8</v>
      </c>
      <c r="CS136" s="279"/>
      <c r="CT136" s="52"/>
      <c r="CU136" s="105"/>
      <c r="CV136" s="98"/>
      <c r="CW136" s="279"/>
      <c r="CX136" s="52"/>
      <c r="CY136" s="105"/>
      <c r="CZ136" s="98"/>
      <c r="DA136" s="279"/>
      <c r="DB136" s="52"/>
      <c r="DC136" s="105"/>
      <c r="DD136" s="98"/>
      <c r="DE136" s="279"/>
      <c r="DF136" s="52"/>
      <c r="DG136" s="105"/>
      <c r="DH136" s="98"/>
      <c r="DI136" s="279"/>
      <c r="DJ136" s="52"/>
      <c r="DK136" s="105"/>
      <c r="DL136" s="98"/>
      <c r="DM136" s="279"/>
      <c r="DN136" s="52"/>
      <c r="DO136" s="105"/>
      <c r="DP136" s="98"/>
      <c r="DQ136" s="279"/>
      <c r="DR136" s="52"/>
      <c r="DS136" s="105"/>
      <c r="DT136" s="98"/>
      <c r="DU136" s="279"/>
      <c r="DV136" s="52"/>
      <c r="DW136" s="105"/>
      <c r="DX136" s="98"/>
      <c r="DY136" s="279"/>
      <c r="DZ136" s="52"/>
      <c r="EA136" s="105"/>
      <c r="EB136" s="98"/>
      <c r="EC136" s="279"/>
      <c r="ED136" s="52"/>
      <c r="EE136" s="105"/>
      <c r="EF136" s="98"/>
      <c r="EG136" s="159"/>
      <c r="EH136" s="277"/>
      <c r="EI136" s="50">
        <f t="shared" si="54"/>
        <v>0</v>
      </c>
      <c r="EJ136" s="103">
        <f t="shared" si="55"/>
        <v>0</v>
      </c>
      <c r="EK136" s="164">
        <f t="shared" si="56"/>
        <v>0</v>
      </c>
      <c r="EL136" s="280">
        <f t="shared" si="57"/>
        <v>0</v>
      </c>
      <c r="EM136" s="63">
        <f t="shared" si="58"/>
        <v>0</v>
      </c>
      <c r="EN136" s="359">
        <f t="shared" si="59"/>
        <v>0</v>
      </c>
      <c r="EO136" s="51">
        <f t="shared" si="60"/>
        <v>392</v>
      </c>
      <c r="EP136" s="361">
        <f t="shared" si="61"/>
        <v>467</v>
      </c>
      <c r="EQ136" s="281"/>
      <c r="ER136" s="277"/>
      <c r="ES136" s="281"/>
      <c r="ET136" s="277"/>
      <c r="EU136" s="281"/>
      <c r="EV136" s="277"/>
      <c r="EW136" s="281"/>
      <c r="EX136" s="277"/>
      <c r="EY136" s="281"/>
      <c r="EZ136" s="277"/>
      <c r="FA136" s="281"/>
      <c r="FB136" s="277"/>
      <c r="FC136" s="281"/>
      <c r="FD136" s="277"/>
      <c r="FE136" s="281"/>
      <c r="FF136" s="277"/>
      <c r="FG136" s="281"/>
      <c r="FH136" s="277"/>
      <c r="FI136" s="281"/>
      <c r="FJ136" s="277"/>
      <c r="FK136" s="50">
        <f t="shared" si="62"/>
        <v>0</v>
      </c>
      <c r="FL136" s="63">
        <f t="shared" si="63"/>
        <v>0</v>
      </c>
      <c r="FM136" s="50">
        <f t="shared" si="45"/>
        <v>1305</v>
      </c>
      <c r="FN136" s="360">
        <f t="shared" si="46"/>
        <v>1446</v>
      </c>
      <c r="FO136" s="3"/>
      <c r="FP136" s="279"/>
      <c r="FQ136" s="52"/>
      <c r="FR136" s="296"/>
      <c r="FS136" s="98"/>
      <c r="FT136" s="467"/>
      <c r="FU136" s="52"/>
      <c r="FV136" s="296"/>
      <c r="FW136" s="98"/>
      <c r="FX136" s="467"/>
      <c r="FY136" s="52"/>
      <c r="FZ136" s="296"/>
      <c r="GA136" s="98"/>
      <c r="GB136" s="467"/>
      <c r="GC136" s="52"/>
      <c r="GD136" s="296"/>
      <c r="GE136" s="98"/>
      <c r="GF136" s="467"/>
      <c r="GG136" s="52"/>
      <c r="GH136" s="296"/>
      <c r="GI136" s="98"/>
      <c r="GJ136" s="467"/>
      <c r="GK136" s="52"/>
      <c r="GL136" s="296"/>
      <c r="GM136" s="464"/>
      <c r="GN136" s="467"/>
      <c r="GO136" s="52"/>
      <c r="GP136" s="296"/>
      <c r="GQ136" s="464"/>
      <c r="GR136" s="467"/>
      <c r="GS136" s="52"/>
      <c r="GT136" s="296"/>
      <c r="GU136" s="464"/>
      <c r="GV136" s="467"/>
      <c r="GW136" s="52"/>
      <c r="GX136" s="296"/>
      <c r="GY136" s="464"/>
      <c r="GZ136" s="467"/>
      <c r="HA136" s="52"/>
      <c r="HB136" s="296"/>
      <c r="HC136" s="3"/>
    </row>
    <row r="137" spans="1:211" s="86" customFormat="1">
      <c r="A137" s="292" t="s">
        <v>955</v>
      </c>
      <c r="B137" s="293" t="s">
        <v>535</v>
      </c>
      <c r="C137" s="292">
        <v>140164</v>
      </c>
      <c r="D137" s="346">
        <v>4</v>
      </c>
      <c r="E137" s="460"/>
      <c r="F137" s="277"/>
      <c r="G137" s="158"/>
      <c r="H137" s="277"/>
      <c r="I137" s="158"/>
      <c r="J137" s="277"/>
      <c r="K137" s="160">
        <f t="shared" si="47"/>
        <v>0</v>
      </c>
      <c r="L137" s="161">
        <f t="shared" si="40"/>
        <v>0</v>
      </c>
      <c r="M137" s="54">
        <v>2854</v>
      </c>
      <c r="N137" s="55">
        <v>522</v>
      </c>
      <c r="O137" s="55"/>
      <c r="P137" s="55"/>
      <c r="Q137" s="162">
        <f t="shared" si="48"/>
        <v>522</v>
      </c>
      <c r="R137" s="277">
        <v>3019</v>
      </c>
      <c r="S137" s="277">
        <v>518</v>
      </c>
      <c r="T137" s="277"/>
      <c r="U137" s="277"/>
      <c r="V137" s="97">
        <f t="shared" si="49"/>
        <v>518</v>
      </c>
      <c r="W137" s="279"/>
      <c r="X137" s="52"/>
      <c r="Y137" s="99"/>
      <c r="Z137" s="53"/>
      <c r="AA137" s="228"/>
      <c r="AB137" s="52"/>
      <c r="AC137" s="99"/>
      <c r="AD137" s="53"/>
      <c r="AE137" s="228"/>
      <c r="AF137" s="52"/>
      <c r="AG137" s="99"/>
      <c r="AH137" s="53"/>
      <c r="AI137" s="228"/>
      <c r="AJ137" s="52"/>
      <c r="AK137" s="99"/>
      <c r="AL137" s="53"/>
      <c r="AM137" s="228"/>
      <c r="AN137" s="52"/>
      <c r="AO137" s="99"/>
      <c r="AP137" s="53"/>
      <c r="AQ137" s="50">
        <f t="shared" si="41"/>
        <v>0</v>
      </c>
      <c r="AR137" s="163">
        <f t="shared" si="42"/>
        <v>0.74672946101517534</v>
      </c>
      <c r="AS137" s="97">
        <f t="shared" si="43"/>
        <v>0</v>
      </c>
      <c r="AT137" s="278">
        <f t="shared" si="44"/>
        <v>0.75683128603660066</v>
      </c>
      <c r="AU137" s="55"/>
      <c r="AV137" s="277"/>
      <c r="AW137" s="297">
        <v>13</v>
      </c>
      <c r="AX137" s="294">
        <v>398</v>
      </c>
      <c r="AY137" s="295">
        <v>52</v>
      </c>
      <c r="AZ137" s="296">
        <v>403</v>
      </c>
      <c r="BA137" s="297">
        <v>52</v>
      </c>
      <c r="BB137" s="294">
        <v>348</v>
      </c>
      <c r="BC137" s="295">
        <v>13</v>
      </c>
      <c r="BD137" s="296">
        <v>327</v>
      </c>
      <c r="BE137" s="297">
        <v>44</v>
      </c>
      <c r="BF137" s="294">
        <v>57</v>
      </c>
      <c r="BG137" s="295">
        <v>44</v>
      </c>
      <c r="BH137" s="296">
        <v>79</v>
      </c>
      <c r="BI137" s="297">
        <v>11</v>
      </c>
      <c r="BJ137" s="294">
        <v>56</v>
      </c>
      <c r="BK137" s="295">
        <v>11</v>
      </c>
      <c r="BL137" s="296">
        <v>42</v>
      </c>
      <c r="BM137" s="297">
        <v>51</v>
      </c>
      <c r="BN137" s="294">
        <v>45</v>
      </c>
      <c r="BO137" s="295">
        <v>51</v>
      </c>
      <c r="BP137" s="296">
        <v>38</v>
      </c>
      <c r="BQ137" s="297">
        <v>30</v>
      </c>
      <c r="BR137" s="294">
        <v>29</v>
      </c>
      <c r="BS137" s="295">
        <v>23</v>
      </c>
      <c r="BT137" s="296">
        <v>37</v>
      </c>
      <c r="BU137" s="297">
        <v>23</v>
      </c>
      <c r="BV137" s="294">
        <v>27</v>
      </c>
      <c r="BW137" s="295">
        <v>30</v>
      </c>
      <c r="BX137" s="296">
        <v>27</v>
      </c>
      <c r="BY137" s="297">
        <v>27</v>
      </c>
      <c r="BZ137" s="294">
        <v>8</v>
      </c>
      <c r="CA137" s="295">
        <v>27</v>
      </c>
      <c r="CB137" s="296">
        <v>17</v>
      </c>
      <c r="CC137" s="297"/>
      <c r="CD137" s="294"/>
      <c r="CE137" s="295"/>
      <c r="CF137" s="296"/>
      <c r="CG137" s="297"/>
      <c r="CH137" s="294"/>
      <c r="CI137" s="295"/>
      <c r="CJ137" s="296"/>
      <c r="CK137" s="281"/>
      <c r="CL137" s="277"/>
      <c r="CM137" s="298"/>
      <c r="CN137" s="277"/>
      <c r="CO137" s="50">
        <f t="shared" si="50"/>
        <v>968</v>
      </c>
      <c r="CP137" s="103">
        <f t="shared" si="51"/>
        <v>8</v>
      </c>
      <c r="CQ137" s="280">
        <f t="shared" si="52"/>
        <v>970</v>
      </c>
      <c r="CR137" s="63">
        <f t="shared" si="53"/>
        <v>8</v>
      </c>
      <c r="CS137" s="279"/>
      <c r="CT137" s="52"/>
      <c r="CU137" s="105"/>
      <c r="CV137" s="98"/>
      <c r="CW137" s="279"/>
      <c r="CX137" s="52"/>
      <c r="CY137" s="105"/>
      <c r="CZ137" s="98"/>
      <c r="DA137" s="279"/>
      <c r="DB137" s="52"/>
      <c r="DC137" s="105"/>
      <c r="DD137" s="98"/>
      <c r="DE137" s="279"/>
      <c r="DF137" s="52"/>
      <c r="DG137" s="105"/>
      <c r="DH137" s="98"/>
      <c r="DI137" s="279"/>
      <c r="DJ137" s="52"/>
      <c r="DK137" s="105"/>
      <c r="DL137" s="98"/>
      <c r="DM137" s="279"/>
      <c r="DN137" s="52"/>
      <c r="DO137" s="105"/>
      <c r="DP137" s="98"/>
      <c r="DQ137" s="279"/>
      <c r="DR137" s="52"/>
      <c r="DS137" s="105"/>
      <c r="DT137" s="98"/>
      <c r="DU137" s="279"/>
      <c r="DV137" s="52"/>
      <c r="DW137" s="105"/>
      <c r="DX137" s="98"/>
      <c r="DY137" s="279"/>
      <c r="DZ137" s="52"/>
      <c r="EA137" s="105"/>
      <c r="EB137" s="98"/>
      <c r="EC137" s="279"/>
      <c r="ED137" s="52"/>
      <c r="EE137" s="105"/>
      <c r="EF137" s="98"/>
      <c r="EG137" s="159"/>
      <c r="EH137" s="277"/>
      <c r="EI137" s="50">
        <f t="shared" si="54"/>
        <v>0</v>
      </c>
      <c r="EJ137" s="103">
        <f t="shared" si="55"/>
        <v>0</v>
      </c>
      <c r="EK137" s="164">
        <f t="shared" si="56"/>
        <v>0</v>
      </c>
      <c r="EL137" s="280">
        <f t="shared" si="57"/>
        <v>0</v>
      </c>
      <c r="EM137" s="63">
        <f t="shared" si="58"/>
        <v>0</v>
      </c>
      <c r="EN137" s="359">
        <f t="shared" si="59"/>
        <v>0</v>
      </c>
      <c r="EO137" s="51">
        <f t="shared" si="60"/>
        <v>968</v>
      </c>
      <c r="EP137" s="361">
        <f t="shared" si="61"/>
        <v>970</v>
      </c>
      <c r="EQ137" s="281"/>
      <c r="ER137" s="277"/>
      <c r="ES137" s="281"/>
      <c r="ET137" s="277"/>
      <c r="EU137" s="281"/>
      <c r="EV137" s="277"/>
      <c r="EW137" s="281"/>
      <c r="EX137" s="277"/>
      <c r="EY137" s="281"/>
      <c r="EZ137" s="277"/>
      <c r="FA137" s="281"/>
      <c r="FB137" s="277"/>
      <c r="FC137" s="281"/>
      <c r="FD137" s="277"/>
      <c r="FE137" s="281"/>
      <c r="FF137" s="277"/>
      <c r="FG137" s="281"/>
      <c r="FH137" s="277"/>
      <c r="FI137" s="281"/>
      <c r="FJ137" s="277"/>
      <c r="FK137" s="50">
        <f t="shared" si="62"/>
        <v>0</v>
      </c>
      <c r="FL137" s="63">
        <f t="shared" si="63"/>
        <v>0</v>
      </c>
      <c r="FM137" s="50">
        <f t="shared" si="45"/>
        <v>3822</v>
      </c>
      <c r="FN137" s="360">
        <f t="shared" si="46"/>
        <v>3989</v>
      </c>
      <c r="FO137" s="3"/>
      <c r="FP137" s="279"/>
      <c r="FQ137" s="52"/>
      <c r="FR137" s="296"/>
      <c r="FS137" s="98"/>
      <c r="FT137" s="467"/>
      <c r="FU137" s="52"/>
      <c r="FV137" s="296"/>
      <c r="FW137" s="98"/>
      <c r="FX137" s="467"/>
      <c r="FY137" s="52"/>
      <c r="FZ137" s="296"/>
      <c r="GA137" s="98"/>
      <c r="GB137" s="467"/>
      <c r="GC137" s="52"/>
      <c r="GD137" s="296"/>
      <c r="GE137" s="98"/>
      <c r="GF137" s="467"/>
      <c r="GG137" s="52"/>
      <c r="GH137" s="296"/>
      <c r="GI137" s="98"/>
      <c r="GJ137" s="467"/>
      <c r="GK137" s="52"/>
      <c r="GL137" s="296"/>
      <c r="GM137" s="464"/>
      <c r="GN137" s="467"/>
      <c r="GO137" s="52"/>
      <c r="GP137" s="296"/>
      <c r="GQ137" s="464"/>
      <c r="GR137" s="467"/>
      <c r="GS137" s="52"/>
      <c r="GT137" s="296"/>
      <c r="GU137" s="464"/>
      <c r="GV137" s="467"/>
      <c r="GW137" s="52"/>
      <c r="GX137" s="296"/>
      <c r="GY137" s="464"/>
      <c r="GZ137" s="467"/>
      <c r="HA137" s="52"/>
      <c r="HB137" s="296"/>
      <c r="HC137" s="3"/>
    </row>
    <row r="138" spans="1:211" s="86" customFormat="1">
      <c r="A138" s="292" t="s">
        <v>955</v>
      </c>
      <c r="B138" s="293" t="s">
        <v>536</v>
      </c>
      <c r="C138" s="292">
        <v>138983</v>
      </c>
      <c r="D138" s="346">
        <v>5</v>
      </c>
      <c r="E138" s="460"/>
      <c r="F138" s="277"/>
      <c r="G138" s="158"/>
      <c r="H138" s="277"/>
      <c r="I138" s="158">
        <v>73</v>
      </c>
      <c r="J138" s="277">
        <v>117</v>
      </c>
      <c r="K138" s="160">
        <f t="shared" si="47"/>
        <v>0.12739965095986039</v>
      </c>
      <c r="L138" s="161">
        <f t="shared" ref="L138:L201" si="64">IF(R138&gt;0,J138/R138, )</f>
        <v>0.19243421052631579</v>
      </c>
      <c r="M138" s="54">
        <v>573</v>
      </c>
      <c r="N138" s="55">
        <v>137</v>
      </c>
      <c r="O138" s="55"/>
      <c r="P138" s="55"/>
      <c r="Q138" s="162">
        <f t="shared" si="48"/>
        <v>137</v>
      </c>
      <c r="R138" s="277">
        <v>608</v>
      </c>
      <c r="S138" s="277">
        <v>124</v>
      </c>
      <c r="T138" s="277"/>
      <c r="U138" s="277"/>
      <c r="V138" s="97">
        <f t="shared" si="49"/>
        <v>124</v>
      </c>
      <c r="W138" s="279"/>
      <c r="X138" s="52"/>
      <c r="Y138" s="99"/>
      <c r="Z138" s="53"/>
      <c r="AA138" s="228"/>
      <c r="AB138" s="52"/>
      <c r="AC138" s="99"/>
      <c r="AD138" s="53"/>
      <c r="AE138" s="228"/>
      <c r="AF138" s="52"/>
      <c r="AG138" s="99"/>
      <c r="AH138" s="53"/>
      <c r="AI138" s="228"/>
      <c r="AJ138" s="52"/>
      <c r="AK138" s="99"/>
      <c r="AL138" s="53"/>
      <c r="AM138" s="228"/>
      <c r="AN138" s="52"/>
      <c r="AO138" s="99"/>
      <c r="AP138" s="53"/>
      <c r="AQ138" s="50">
        <f t="shared" ref="AQ138:AQ201" si="65">COUNTA(W138,AA138,AE138,AI138,AM138)</f>
        <v>0</v>
      </c>
      <c r="AR138" s="163">
        <f t="shared" ref="AR138:AR201" si="66">IF(FM138&gt;0,M138/FM138,)</f>
        <v>0.57937310414560161</v>
      </c>
      <c r="AS138" s="97">
        <f t="shared" ref="AS138:AS201" si="67">COUNTA(Y138,AC138,AG138,AK138,AO138)</f>
        <v>0</v>
      </c>
      <c r="AT138" s="278">
        <f t="shared" ref="AT138:AT201" si="68">IF(FN138&gt;0,R138/FN138,)</f>
        <v>0.5356828193832599</v>
      </c>
      <c r="AU138" s="55"/>
      <c r="AV138" s="277"/>
      <c r="AW138" s="297">
        <v>13</v>
      </c>
      <c r="AX138" s="294">
        <v>284</v>
      </c>
      <c r="AY138" s="295">
        <v>13</v>
      </c>
      <c r="AZ138" s="296">
        <v>363</v>
      </c>
      <c r="BA138" s="297">
        <v>52</v>
      </c>
      <c r="BB138" s="294">
        <v>36</v>
      </c>
      <c r="BC138" s="295">
        <v>52</v>
      </c>
      <c r="BD138" s="296">
        <v>34</v>
      </c>
      <c r="BE138" s="297">
        <v>44</v>
      </c>
      <c r="BF138" s="294">
        <v>15</v>
      </c>
      <c r="BG138" s="295">
        <v>44</v>
      </c>
      <c r="BH138" s="296">
        <v>7</v>
      </c>
      <c r="BI138" s="297">
        <v>42</v>
      </c>
      <c r="BJ138" s="294">
        <v>8</v>
      </c>
      <c r="BK138" s="295">
        <v>42</v>
      </c>
      <c r="BL138" s="296">
        <v>6</v>
      </c>
      <c r="BM138" s="297"/>
      <c r="BN138" s="294"/>
      <c r="BO138" s="295"/>
      <c r="BP138" s="296"/>
      <c r="BQ138" s="297"/>
      <c r="BR138" s="294"/>
      <c r="BS138" s="295"/>
      <c r="BT138" s="296"/>
      <c r="BU138" s="297"/>
      <c r="BV138" s="294"/>
      <c r="BW138" s="295"/>
      <c r="BX138" s="296"/>
      <c r="BY138" s="297"/>
      <c r="BZ138" s="294"/>
      <c r="CA138" s="295"/>
      <c r="CB138" s="296"/>
      <c r="CC138" s="297"/>
      <c r="CD138" s="294"/>
      <c r="CE138" s="295"/>
      <c r="CF138" s="296"/>
      <c r="CG138" s="297"/>
      <c r="CH138" s="294"/>
      <c r="CI138" s="295"/>
      <c r="CJ138" s="296"/>
      <c r="CK138" s="281"/>
      <c r="CL138" s="277"/>
      <c r="CM138" s="298"/>
      <c r="CN138" s="277"/>
      <c r="CO138" s="50">
        <f t="shared" si="50"/>
        <v>343</v>
      </c>
      <c r="CP138" s="103">
        <f t="shared" si="51"/>
        <v>4</v>
      </c>
      <c r="CQ138" s="280">
        <f t="shared" si="52"/>
        <v>410</v>
      </c>
      <c r="CR138" s="63">
        <f t="shared" si="53"/>
        <v>4</v>
      </c>
      <c r="CS138" s="279"/>
      <c r="CT138" s="52"/>
      <c r="CU138" s="105"/>
      <c r="CV138" s="98"/>
      <c r="CW138" s="279"/>
      <c r="CX138" s="52"/>
      <c r="CY138" s="105"/>
      <c r="CZ138" s="98"/>
      <c r="DA138" s="279"/>
      <c r="DB138" s="52"/>
      <c r="DC138" s="105"/>
      <c r="DD138" s="98"/>
      <c r="DE138" s="279"/>
      <c r="DF138" s="52"/>
      <c r="DG138" s="105"/>
      <c r="DH138" s="98"/>
      <c r="DI138" s="279"/>
      <c r="DJ138" s="52"/>
      <c r="DK138" s="105"/>
      <c r="DL138" s="98"/>
      <c r="DM138" s="279"/>
      <c r="DN138" s="52"/>
      <c r="DO138" s="105"/>
      <c r="DP138" s="98"/>
      <c r="DQ138" s="279"/>
      <c r="DR138" s="52"/>
      <c r="DS138" s="105"/>
      <c r="DT138" s="98"/>
      <c r="DU138" s="279"/>
      <c r="DV138" s="52"/>
      <c r="DW138" s="105"/>
      <c r="DX138" s="98"/>
      <c r="DY138" s="279"/>
      <c r="DZ138" s="52"/>
      <c r="EA138" s="105"/>
      <c r="EB138" s="98"/>
      <c r="EC138" s="279"/>
      <c r="ED138" s="52"/>
      <c r="EE138" s="105"/>
      <c r="EF138" s="98"/>
      <c r="EG138" s="159"/>
      <c r="EH138" s="277"/>
      <c r="EI138" s="50">
        <f t="shared" si="54"/>
        <v>0</v>
      </c>
      <c r="EJ138" s="103">
        <f t="shared" si="55"/>
        <v>0</v>
      </c>
      <c r="EK138" s="164">
        <f t="shared" si="56"/>
        <v>0</v>
      </c>
      <c r="EL138" s="280">
        <f t="shared" si="57"/>
        <v>0</v>
      </c>
      <c r="EM138" s="63">
        <f t="shared" si="58"/>
        <v>0</v>
      </c>
      <c r="EN138" s="359">
        <f t="shared" si="59"/>
        <v>0</v>
      </c>
      <c r="EO138" s="51">
        <f t="shared" si="60"/>
        <v>343</v>
      </c>
      <c r="EP138" s="361">
        <f t="shared" si="61"/>
        <v>410</v>
      </c>
      <c r="EQ138" s="281"/>
      <c r="ER138" s="277"/>
      <c r="ES138" s="281"/>
      <c r="ET138" s="277"/>
      <c r="EU138" s="281"/>
      <c r="EV138" s="277"/>
      <c r="EW138" s="281"/>
      <c r="EX138" s="277"/>
      <c r="EY138" s="281"/>
      <c r="EZ138" s="277"/>
      <c r="FA138" s="281"/>
      <c r="FB138" s="277"/>
      <c r="FC138" s="281"/>
      <c r="FD138" s="277"/>
      <c r="FE138" s="281"/>
      <c r="FF138" s="277"/>
      <c r="FG138" s="281"/>
      <c r="FH138" s="277"/>
      <c r="FI138" s="281"/>
      <c r="FJ138" s="277"/>
      <c r="FK138" s="50">
        <f t="shared" si="62"/>
        <v>0</v>
      </c>
      <c r="FL138" s="63">
        <f t="shared" si="63"/>
        <v>0</v>
      </c>
      <c r="FM138" s="50">
        <f t="shared" ref="FM138:FM201" si="69">E138+G138+I138+M138+AU138+EO138+FK138</f>
        <v>989</v>
      </c>
      <c r="FN138" s="360">
        <f t="shared" ref="FN138:FN201" si="70">F138+H138+J138+R138+AV138+EP138+FL138</f>
        <v>1135</v>
      </c>
      <c r="FO138" s="3"/>
      <c r="FP138" s="279"/>
      <c r="FQ138" s="52"/>
      <c r="FR138" s="296"/>
      <c r="FS138" s="98"/>
      <c r="FT138" s="467"/>
      <c r="FU138" s="52"/>
      <c r="FV138" s="296"/>
      <c r="FW138" s="98"/>
      <c r="FX138" s="467"/>
      <c r="FY138" s="52"/>
      <c r="FZ138" s="296"/>
      <c r="GA138" s="98"/>
      <c r="GB138" s="467"/>
      <c r="GC138" s="52"/>
      <c r="GD138" s="296"/>
      <c r="GE138" s="98"/>
      <c r="GF138" s="467"/>
      <c r="GG138" s="52"/>
      <c r="GH138" s="296"/>
      <c r="GI138" s="98"/>
      <c r="GJ138" s="467"/>
      <c r="GK138" s="52"/>
      <c r="GL138" s="296"/>
      <c r="GM138" s="464"/>
      <c r="GN138" s="467"/>
      <c r="GO138" s="52"/>
      <c r="GP138" s="296"/>
      <c r="GQ138" s="464"/>
      <c r="GR138" s="467"/>
      <c r="GS138" s="52"/>
      <c r="GT138" s="296"/>
      <c r="GU138" s="464"/>
      <c r="GV138" s="467"/>
      <c r="GW138" s="52"/>
      <c r="GX138" s="296"/>
      <c r="GY138" s="464"/>
      <c r="GZ138" s="467"/>
      <c r="HA138" s="52"/>
      <c r="HB138" s="296"/>
      <c r="HC138" s="3"/>
    </row>
    <row r="139" spans="1:211" s="86" customFormat="1">
      <c r="A139" s="292" t="s">
        <v>955</v>
      </c>
      <c r="B139" s="293" t="s">
        <v>537</v>
      </c>
      <c r="C139" s="292">
        <v>139719</v>
      </c>
      <c r="D139" s="346">
        <v>5</v>
      </c>
      <c r="E139" s="460"/>
      <c r="F139" s="277"/>
      <c r="G139" s="158"/>
      <c r="H139" s="277"/>
      <c r="I139" s="158">
        <v>11</v>
      </c>
      <c r="J139" s="277">
        <v>9</v>
      </c>
      <c r="K139" s="160">
        <f t="shared" ref="K139:K202" si="71">IF(M139&gt;0,I139/M139, )</f>
        <v>4.1044776119402986E-2</v>
      </c>
      <c r="L139" s="161">
        <f t="shared" si="64"/>
        <v>3.71900826446281E-2</v>
      </c>
      <c r="M139" s="54">
        <v>268</v>
      </c>
      <c r="N139" s="55">
        <v>8</v>
      </c>
      <c r="O139" s="55"/>
      <c r="P139" s="55"/>
      <c r="Q139" s="162">
        <f t="shared" ref="Q139:Q202" si="72">SUM(N139:P139)</f>
        <v>8</v>
      </c>
      <c r="R139" s="277">
        <v>242</v>
      </c>
      <c r="S139" s="277">
        <v>7</v>
      </c>
      <c r="T139" s="277"/>
      <c r="U139" s="277"/>
      <c r="V139" s="97">
        <f t="shared" ref="V139:V202" si="73">SUM(S139:U139)</f>
        <v>7</v>
      </c>
      <c r="W139" s="279"/>
      <c r="X139" s="52"/>
      <c r="Y139" s="99"/>
      <c r="Z139" s="53"/>
      <c r="AA139" s="228"/>
      <c r="AB139" s="52"/>
      <c r="AC139" s="99"/>
      <c r="AD139" s="53"/>
      <c r="AE139" s="228"/>
      <c r="AF139" s="52"/>
      <c r="AG139" s="99"/>
      <c r="AH139" s="53"/>
      <c r="AI139" s="228"/>
      <c r="AJ139" s="52"/>
      <c r="AK139" s="99"/>
      <c r="AL139" s="53"/>
      <c r="AM139" s="228"/>
      <c r="AN139" s="52"/>
      <c r="AO139" s="99"/>
      <c r="AP139" s="53"/>
      <c r="AQ139" s="50">
        <f t="shared" si="65"/>
        <v>0</v>
      </c>
      <c r="AR139" s="163">
        <f t="shared" si="66"/>
        <v>0.89036544850498334</v>
      </c>
      <c r="AS139" s="97">
        <f t="shared" si="67"/>
        <v>0</v>
      </c>
      <c r="AT139" s="278">
        <f t="shared" si="68"/>
        <v>0.83448275862068966</v>
      </c>
      <c r="AU139" s="55"/>
      <c r="AV139" s="277"/>
      <c r="AW139" s="297">
        <v>51</v>
      </c>
      <c r="AX139" s="294">
        <v>21</v>
      </c>
      <c r="AY139" s="295">
        <v>51</v>
      </c>
      <c r="AZ139" s="296">
        <v>35</v>
      </c>
      <c r="BA139" s="297">
        <v>1</v>
      </c>
      <c r="BB139" s="294">
        <v>1</v>
      </c>
      <c r="BC139" s="295">
        <v>1</v>
      </c>
      <c r="BD139" s="296">
        <v>4</v>
      </c>
      <c r="BE139" s="297"/>
      <c r="BF139" s="294"/>
      <c r="BG139" s="295"/>
      <c r="BH139" s="296"/>
      <c r="BI139" s="297"/>
      <c r="BJ139" s="294"/>
      <c r="BK139" s="295"/>
      <c r="BL139" s="296"/>
      <c r="BM139" s="297"/>
      <c r="BN139" s="294"/>
      <c r="BO139" s="295"/>
      <c r="BP139" s="296"/>
      <c r="BQ139" s="297"/>
      <c r="BR139" s="294"/>
      <c r="BS139" s="295"/>
      <c r="BT139" s="296"/>
      <c r="BU139" s="297"/>
      <c r="BV139" s="294"/>
      <c r="BW139" s="295"/>
      <c r="BX139" s="296"/>
      <c r="BY139" s="297"/>
      <c r="BZ139" s="294"/>
      <c r="CA139" s="295"/>
      <c r="CB139" s="296"/>
      <c r="CC139" s="297"/>
      <c r="CD139" s="294"/>
      <c r="CE139" s="295"/>
      <c r="CF139" s="296"/>
      <c r="CG139" s="297"/>
      <c r="CH139" s="294"/>
      <c r="CI139" s="295"/>
      <c r="CJ139" s="296"/>
      <c r="CK139" s="281"/>
      <c r="CL139" s="277"/>
      <c r="CM139" s="298"/>
      <c r="CN139" s="277"/>
      <c r="CO139" s="50">
        <f t="shared" ref="CO139:CO202" si="74">AX139+BB139+BF139+BJ139+BN139+BR139+BV139+BZ139+CD139+CH139+CK139+CM139</f>
        <v>22</v>
      </c>
      <c r="CP139" s="103">
        <f t="shared" ref="CP139:CP202" si="75">COUNTA(AW139,BA139,BE139,BI139,BM139,BQ139,BU139,BY139,CC139,CG139)</f>
        <v>2</v>
      </c>
      <c r="CQ139" s="280">
        <f t="shared" ref="CQ139:CQ202" si="76">AZ139+BD139+BH139+BL139+BP139+BT139+BX139+CF139+CB139+CJ139+CL139+CN139</f>
        <v>39</v>
      </c>
      <c r="CR139" s="63">
        <f t="shared" ref="CR139:CR202" si="77">COUNTA(AY139,BC139,BG139,BK139,BO139,BS139,BW139,CE139,CA139,CI139)</f>
        <v>2</v>
      </c>
      <c r="CS139" s="279"/>
      <c r="CT139" s="52"/>
      <c r="CU139" s="105"/>
      <c r="CV139" s="98"/>
      <c r="CW139" s="279"/>
      <c r="CX139" s="52"/>
      <c r="CY139" s="105"/>
      <c r="CZ139" s="98"/>
      <c r="DA139" s="279"/>
      <c r="DB139" s="52"/>
      <c r="DC139" s="105"/>
      <c r="DD139" s="98"/>
      <c r="DE139" s="279"/>
      <c r="DF139" s="52"/>
      <c r="DG139" s="105"/>
      <c r="DH139" s="98"/>
      <c r="DI139" s="279"/>
      <c r="DJ139" s="52"/>
      <c r="DK139" s="105"/>
      <c r="DL139" s="98"/>
      <c r="DM139" s="279"/>
      <c r="DN139" s="52"/>
      <c r="DO139" s="105"/>
      <c r="DP139" s="98"/>
      <c r="DQ139" s="279"/>
      <c r="DR139" s="52"/>
      <c r="DS139" s="105"/>
      <c r="DT139" s="98"/>
      <c r="DU139" s="279"/>
      <c r="DV139" s="52"/>
      <c r="DW139" s="105"/>
      <c r="DX139" s="98"/>
      <c r="DY139" s="279"/>
      <c r="DZ139" s="52"/>
      <c r="EA139" s="105"/>
      <c r="EB139" s="98"/>
      <c r="EC139" s="279"/>
      <c r="ED139" s="52"/>
      <c r="EE139" s="105"/>
      <c r="EF139" s="98"/>
      <c r="EG139" s="159"/>
      <c r="EH139" s="277"/>
      <c r="EI139" s="50">
        <f t="shared" ref="EI139:EI202" si="78">CT139+CX139+DB139+DF139+DJ139+DN139+DR139+DV139+DZ139+ED139+EG139</f>
        <v>0</v>
      </c>
      <c r="EJ139" s="103">
        <f t="shared" ref="EJ139:EJ202" si="79">COUNTA(CS139,CW139,DA139,DE139,DI139,DM139,DQ139,DU139,DY139,EC139)</f>
        <v>0</v>
      </c>
      <c r="EK139" s="164">
        <f t="shared" ref="EK139:EK202" si="80">IF(EI139&gt;0,CT139/EI139,)</f>
        <v>0</v>
      </c>
      <c r="EL139" s="280">
        <f t="shared" ref="EL139:EL202" si="81">CV139+CZ139+DD139+DH139+DL139+DP139+DT139+DX139+EB139+EF139+EH139</f>
        <v>0</v>
      </c>
      <c r="EM139" s="63">
        <f t="shared" ref="EM139:EM202" si="82">COUNTA(CU139,CY139,DC139,DG139,DK139,DO139,DS139,DW139,EA139,EE139)</f>
        <v>0</v>
      </c>
      <c r="EN139" s="359">
        <f t="shared" ref="EN139:EN202" si="83">IF(EL139&gt;0,CV139/EL139,)</f>
        <v>0</v>
      </c>
      <c r="EO139" s="51">
        <f t="shared" ref="EO139:EO202" si="84">CO139+EI139</f>
        <v>22</v>
      </c>
      <c r="EP139" s="361">
        <f t="shared" ref="EP139:EP202" si="85">CQ139+EL139</f>
        <v>39</v>
      </c>
      <c r="EQ139" s="281"/>
      <c r="ER139" s="277"/>
      <c r="ES139" s="281"/>
      <c r="ET139" s="277"/>
      <c r="EU139" s="281"/>
      <c r="EV139" s="277"/>
      <c r="EW139" s="281"/>
      <c r="EX139" s="277"/>
      <c r="EY139" s="281"/>
      <c r="EZ139" s="277"/>
      <c r="FA139" s="281"/>
      <c r="FB139" s="277"/>
      <c r="FC139" s="281"/>
      <c r="FD139" s="277"/>
      <c r="FE139" s="281"/>
      <c r="FF139" s="277"/>
      <c r="FG139" s="281"/>
      <c r="FH139" s="277"/>
      <c r="FI139" s="281"/>
      <c r="FJ139" s="277"/>
      <c r="FK139" s="50">
        <f t="shared" ref="FK139:FK202" si="86">EQ139+ES139+EU139+EW139+EY139+FA139+FC139+FE139+FG139+FI139</f>
        <v>0</v>
      </c>
      <c r="FL139" s="63">
        <f t="shared" ref="FL139:FL202" si="87">ER139+ET139+EV139+EX139+EZ139+FB139+FD139+FF139+FH139+FJ139</f>
        <v>0</v>
      </c>
      <c r="FM139" s="50">
        <f t="shared" si="69"/>
        <v>301</v>
      </c>
      <c r="FN139" s="360">
        <f t="shared" si="70"/>
        <v>290</v>
      </c>
      <c r="FO139" s="3"/>
      <c r="FP139" s="279"/>
      <c r="FQ139" s="52"/>
      <c r="FR139" s="296"/>
      <c r="FS139" s="98"/>
      <c r="FT139" s="467"/>
      <c r="FU139" s="52"/>
      <c r="FV139" s="296"/>
      <c r="FW139" s="98"/>
      <c r="FX139" s="467"/>
      <c r="FY139" s="52"/>
      <c r="FZ139" s="296"/>
      <c r="GA139" s="98"/>
      <c r="GB139" s="467"/>
      <c r="GC139" s="52"/>
      <c r="GD139" s="296"/>
      <c r="GE139" s="98"/>
      <c r="GF139" s="467"/>
      <c r="GG139" s="52"/>
      <c r="GH139" s="296"/>
      <c r="GI139" s="98"/>
      <c r="GJ139" s="467"/>
      <c r="GK139" s="52"/>
      <c r="GL139" s="296"/>
      <c r="GM139" s="464"/>
      <c r="GN139" s="467"/>
      <c r="GO139" s="52"/>
      <c r="GP139" s="296"/>
      <c r="GQ139" s="464"/>
      <c r="GR139" s="467"/>
      <c r="GS139" s="52"/>
      <c r="GT139" s="296"/>
      <c r="GU139" s="464"/>
      <c r="GV139" s="467"/>
      <c r="GW139" s="52"/>
      <c r="GX139" s="296"/>
      <c r="GY139" s="464"/>
      <c r="GZ139" s="467"/>
      <c r="HA139" s="52"/>
      <c r="HB139" s="296"/>
      <c r="HC139" s="3"/>
    </row>
    <row r="140" spans="1:211" s="86" customFormat="1">
      <c r="A140" s="292" t="s">
        <v>955</v>
      </c>
      <c r="B140" s="293" t="s">
        <v>538</v>
      </c>
      <c r="C140" s="292">
        <v>139764</v>
      </c>
      <c r="D140" s="346">
        <v>5</v>
      </c>
      <c r="E140" s="460">
        <v>3</v>
      </c>
      <c r="F140" s="277">
        <v>1</v>
      </c>
      <c r="G140" s="158"/>
      <c r="H140" s="277"/>
      <c r="I140" s="158">
        <v>7</v>
      </c>
      <c r="J140" s="277"/>
      <c r="K140" s="160">
        <f t="shared" si="71"/>
        <v>1.9337016574585635E-2</v>
      </c>
      <c r="L140" s="161">
        <f t="shared" si="64"/>
        <v>0</v>
      </c>
      <c r="M140" s="54">
        <v>362</v>
      </c>
      <c r="N140" s="55">
        <v>88</v>
      </c>
      <c r="O140" s="55"/>
      <c r="P140" s="55"/>
      <c r="Q140" s="162">
        <f t="shared" si="72"/>
        <v>88</v>
      </c>
      <c r="R140" s="277">
        <v>385</v>
      </c>
      <c r="S140" s="277">
        <v>89</v>
      </c>
      <c r="T140" s="277"/>
      <c r="U140" s="277"/>
      <c r="V140" s="97">
        <f t="shared" si="73"/>
        <v>89</v>
      </c>
      <c r="W140" s="279"/>
      <c r="X140" s="52"/>
      <c r="Y140" s="99"/>
      <c r="Z140" s="53"/>
      <c r="AA140" s="228"/>
      <c r="AB140" s="52"/>
      <c r="AC140" s="99"/>
      <c r="AD140" s="53"/>
      <c r="AE140" s="228"/>
      <c r="AF140" s="52"/>
      <c r="AG140" s="99"/>
      <c r="AH140" s="53"/>
      <c r="AI140" s="228"/>
      <c r="AJ140" s="52"/>
      <c r="AK140" s="99"/>
      <c r="AL140" s="53"/>
      <c r="AM140" s="228"/>
      <c r="AN140" s="52"/>
      <c r="AO140" s="99"/>
      <c r="AP140" s="53"/>
      <c r="AQ140" s="50">
        <f t="shared" si="65"/>
        <v>0</v>
      </c>
      <c r="AR140" s="163">
        <f t="shared" si="66"/>
        <v>0.73131313131313136</v>
      </c>
      <c r="AS140" s="97">
        <f t="shared" si="67"/>
        <v>0</v>
      </c>
      <c r="AT140" s="278">
        <f t="shared" si="68"/>
        <v>0.84615384615384615</v>
      </c>
      <c r="AU140" s="55">
        <v>1</v>
      </c>
      <c r="AV140" s="277"/>
      <c r="AW140" s="297">
        <v>13</v>
      </c>
      <c r="AX140" s="294">
        <v>81</v>
      </c>
      <c r="AY140" s="295">
        <v>52</v>
      </c>
      <c r="AZ140" s="296">
        <v>31</v>
      </c>
      <c r="BA140" s="297">
        <v>52</v>
      </c>
      <c r="BB140" s="294">
        <v>25</v>
      </c>
      <c r="BC140" s="295">
        <v>13</v>
      </c>
      <c r="BD140" s="296">
        <v>26</v>
      </c>
      <c r="BE140" s="297">
        <v>11</v>
      </c>
      <c r="BF140" s="294">
        <v>16</v>
      </c>
      <c r="BG140" s="295">
        <v>11</v>
      </c>
      <c r="BH140" s="296">
        <v>12</v>
      </c>
      <c r="BI140" s="297"/>
      <c r="BJ140" s="294"/>
      <c r="BK140" s="295"/>
      <c r="BL140" s="296"/>
      <c r="BM140" s="297"/>
      <c r="BN140" s="294"/>
      <c r="BO140" s="295"/>
      <c r="BP140" s="296"/>
      <c r="BQ140" s="297"/>
      <c r="BR140" s="294"/>
      <c r="BS140" s="295"/>
      <c r="BT140" s="296"/>
      <c r="BU140" s="297"/>
      <c r="BV140" s="294"/>
      <c r="BW140" s="295"/>
      <c r="BX140" s="296"/>
      <c r="BY140" s="297"/>
      <c r="BZ140" s="294"/>
      <c r="CA140" s="295"/>
      <c r="CB140" s="296"/>
      <c r="CC140" s="297"/>
      <c r="CD140" s="294"/>
      <c r="CE140" s="295"/>
      <c r="CF140" s="296"/>
      <c r="CG140" s="297"/>
      <c r="CH140" s="294"/>
      <c r="CI140" s="295"/>
      <c r="CJ140" s="296"/>
      <c r="CK140" s="281"/>
      <c r="CL140" s="277"/>
      <c r="CM140" s="298"/>
      <c r="CN140" s="277"/>
      <c r="CO140" s="50">
        <f t="shared" si="74"/>
        <v>122</v>
      </c>
      <c r="CP140" s="103">
        <f t="shared" si="75"/>
        <v>3</v>
      </c>
      <c r="CQ140" s="280">
        <f t="shared" si="76"/>
        <v>69</v>
      </c>
      <c r="CR140" s="63">
        <f t="shared" si="77"/>
        <v>3</v>
      </c>
      <c r="CS140" s="279"/>
      <c r="CT140" s="52"/>
      <c r="CU140" s="105"/>
      <c r="CV140" s="98"/>
      <c r="CW140" s="279"/>
      <c r="CX140" s="52"/>
      <c r="CY140" s="105"/>
      <c r="CZ140" s="98"/>
      <c r="DA140" s="279"/>
      <c r="DB140" s="52"/>
      <c r="DC140" s="105"/>
      <c r="DD140" s="98"/>
      <c r="DE140" s="279"/>
      <c r="DF140" s="52"/>
      <c r="DG140" s="105"/>
      <c r="DH140" s="98"/>
      <c r="DI140" s="279"/>
      <c r="DJ140" s="52"/>
      <c r="DK140" s="105"/>
      <c r="DL140" s="98"/>
      <c r="DM140" s="279"/>
      <c r="DN140" s="52"/>
      <c r="DO140" s="105"/>
      <c r="DP140" s="98"/>
      <c r="DQ140" s="279"/>
      <c r="DR140" s="52"/>
      <c r="DS140" s="105"/>
      <c r="DT140" s="98"/>
      <c r="DU140" s="279"/>
      <c r="DV140" s="52"/>
      <c r="DW140" s="105"/>
      <c r="DX140" s="98"/>
      <c r="DY140" s="279"/>
      <c r="DZ140" s="52"/>
      <c r="EA140" s="105"/>
      <c r="EB140" s="98"/>
      <c r="EC140" s="279"/>
      <c r="ED140" s="52"/>
      <c r="EE140" s="105"/>
      <c r="EF140" s="98"/>
      <c r="EG140" s="159"/>
      <c r="EH140" s="277"/>
      <c r="EI140" s="50">
        <f t="shared" si="78"/>
        <v>0</v>
      </c>
      <c r="EJ140" s="103">
        <f t="shared" si="79"/>
        <v>0</v>
      </c>
      <c r="EK140" s="164">
        <f t="shared" si="80"/>
        <v>0</v>
      </c>
      <c r="EL140" s="280">
        <f t="shared" si="81"/>
        <v>0</v>
      </c>
      <c r="EM140" s="63">
        <f t="shared" si="82"/>
        <v>0</v>
      </c>
      <c r="EN140" s="359">
        <f t="shared" si="83"/>
        <v>0</v>
      </c>
      <c r="EO140" s="51">
        <f t="shared" si="84"/>
        <v>122</v>
      </c>
      <c r="EP140" s="361">
        <f t="shared" si="85"/>
        <v>69</v>
      </c>
      <c r="EQ140" s="281"/>
      <c r="ER140" s="277"/>
      <c r="ES140" s="281"/>
      <c r="ET140" s="277"/>
      <c r="EU140" s="281"/>
      <c r="EV140" s="277"/>
      <c r="EW140" s="281"/>
      <c r="EX140" s="277"/>
      <c r="EY140" s="281"/>
      <c r="EZ140" s="277"/>
      <c r="FA140" s="281"/>
      <c r="FB140" s="277"/>
      <c r="FC140" s="281"/>
      <c r="FD140" s="277"/>
      <c r="FE140" s="281"/>
      <c r="FF140" s="277"/>
      <c r="FG140" s="281"/>
      <c r="FH140" s="277"/>
      <c r="FI140" s="281"/>
      <c r="FJ140" s="277"/>
      <c r="FK140" s="50">
        <f t="shared" si="86"/>
        <v>0</v>
      </c>
      <c r="FL140" s="63">
        <f t="shared" si="87"/>
        <v>0</v>
      </c>
      <c r="FM140" s="50">
        <f t="shared" si="69"/>
        <v>495</v>
      </c>
      <c r="FN140" s="360">
        <f t="shared" si="70"/>
        <v>455</v>
      </c>
      <c r="FO140" s="3"/>
      <c r="FP140" s="279"/>
      <c r="FQ140" s="52"/>
      <c r="FR140" s="296"/>
      <c r="FS140" s="98"/>
      <c r="FT140" s="467"/>
      <c r="FU140" s="52"/>
      <c r="FV140" s="296"/>
      <c r="FW140" s="98"/>
      <c r="FX140" s="467"/>
      <c r="FY140" s="52"/>
      <c r="FZ140" s="296"/>
      <c r="GA140" s="98"/>
      <c r="GB140" s="467"/>
      <c r="GC140" s="52"/>
      <c r="GD140" s="296"/>
      <c r="GE140" s="98"/>
      <c r="GF140" s="467"/>
      <c r="GG140" s="52"/>
      <c r="GH140" s="296"/>
      <c r="GI140" s="98"/>
      <c r="GJ140" s="467"/>
      <c r="GK140" s="52"/>
      <c r="GL140" s="296"/>
      <c r="GM140" s="464"/>
      <c r="GN140" s="467"/>
      <c r="GO140" s="52"/>
      <c r="GP140" s="296"/>
      <c r="GQ140" s="464"/>
      <c r="GR140" s="467"/>
      <c r="GS140" s="52"/>
      <c r="GT140" s="296"/>
      <c r="GU140" s="464"/>
      <c r="GV140" s="467"/>
      <c r="GW140" s="52"/>
      <c r="GX140" s="296"/>
      <c r="GY140" s="464"/>
      <c r="GZ140" s="467"/>
      <c r="HA140" s="52"/>
      <c r="HB140" s="296"/>
      <c r="HC140" s="3"/>
    </row>
    <row r="141" spans="1:211" s="86" customFormat="1">
      <c r="A141" s="292" t="s">
        <v>955</v>
      </c>
      <c r="B141" s="293" t="s">
        <v>539</v>
      </c>
      <c r="C141" s="292">
        <v>140669</v>
      </c>
      <c r="D141" s="346">
        <v>5</v>
      </c>
      <c r="E141" s="460"/>
      <c r="F141" s="277"/>
      <c r="G141" s="158"/>
      <c r="H141" s="277"/>
      <c r="I141" s="158">
        <v>125</v>
      </c>
      <c r="J141" s="277">
        <v>115</v>
      </c>
      <c r="K141" s="160">
        <f t="shared" si="71"/>
        <v>0.16318537859007834</v>
      </c>
      <c r="L141" s="161">
        <f t="shared" si="64"/>
        <v>0.14954486345903772</v>
      </c>
      <c r="M141" s="54">
        <v>766</v>
      </c>
      <c r="N141" s="55">
        <v>189</v>
      </c>
      <c r="O141" s="55"/>
      <c r="P141" s="55"/>
      <c r="Q141" s="162">
        <f t="shared" si="72"/>
        <v>189</v>
      </c>
      <c r="R141" s="277">
        <v>769</v>
      </c>
      <c r="S141" s="277">
        <v>164</v>
      </c>
      <c r="T141" s="277"/>
      <c r="U141" s="277"/>
      <c r="V141" s="97">
        <f t="shared" si="73"/>
        <v>164</v>
      </c>
      <c r="W141" s="279"/>
      <c r="X141" s="52"/>
      <c r="Y141" s="99"/>
      <c r="Z141" s="53"/>
      <c r="AA141" s="228"/>
      <c r="AB141" s="52"/>
      <c r="AC141" s="99"/>
      <c r="AD141" s="53"/>
      <c r="AE141" s="228"/>
      <c r="AF141" s="52"/>
      <c r="AG141" s="99"/>
      <c r="AH141" s="53"/>
      <c r="AI141" s="228"/>
      <c r="AJ141" s="52"/>
      <c r="AK141" s="99"/>
      <c r="AL141" s="53"/>
      <c r="AM141" s="228"/>
      <c r="AN141" s="52"/>
      <c r="AO141" s="99"/>
      <c r="AP141" s="53"/>
      <c r="AQ141" s="50">
        <f t="shared" si="65"/>
        <v>0</v>
      </c>
      <c r="AR141" s="163">
        <f t="shared" si="66"/>
        <v>0.6778761061946903</v>
      </c>
      <c r="AS141" s="97">
        <f t="shared" si="67"/>
        <v>0</v>
      </c>
      <c r="AT141" s="278">
        <f t="shared" si="68"/>
        <v>0.6606529209621993</v>
      </c>
      <c r="AU141" s="55"/>
      <c r="AV141" s="277"/>
      <c r="AW141" s="297">
        <v>13</v>
      </c>
      <c r="AX141" s="294">
        <v>193</v>
      </c>
      <c r="AY141" s="295">
        <v>13</v>
      </c>
      <c r="AZ141" s="296">
        <v>238</v>
      </c>
      <c r="BA141" s="297">
        <v>51</v>
      </c>
      <c r="BB141" s="294">
        <v>25</v>
      </c>
      <c r="BC141" s="295">
        <v>51</v>
      </c>
      <c r="BD141" s="296">
        <v>25</v>
      </c>
      <c r="BE141" s="297">
        <v>44</v>
      </c>
      <c r="BF141" s="294">
        <v>14</v>
      </c>
      <c r="BG141" s="295">
        <v>44</v>
      </c>
      <c r="BH141" s="296">
        <v>9</v>
      </c>
      <c r="BI141" s="297">
        <v>42</v>
      </c>
      <c r="BJ141" s="294">
        <v>7</v>
      </c>
      <c r="BK141" s="295">
        <v>42</v>
      </c>
      <c r="BL141" s="296">
        <v>8</v>
      </c>
      <c r="BM141" s="297"/>
      <c r="BN141" s="294"/>
      <c r="BO141" s="295"/>
      <c r="BP141" s="296"/>
      <c r="BQ141" s="297"/>
      <c r="BR141" s="294"/>
      <c r="BS141" s="295"/>
      <c r="BT141" s="296"/>
      <c r="BU141" s="297"/>
      <c r="BV141" s="294"/>
      <c r="BW141" s="295"/>
      <c r="BX141" s="296"/>
      <c r="BY141" s="297"/>
      <c r="BZ141" s="294"/>
      <c r="CA141" s="295"/>
      <c r="CB141" s="296"/>
      <c r="CC141" s="297"/>
      <c r="CD141" s="294"/>
      <c r="CE141" s="295"/>
      <c r="CF141" s="296"/>
      <c r="CG141" s="297"/>
      <c r="CH141" s="294"/>
      <c r="CI141" s="295"/>
      <c r="CJ141" s="296"/>
      <c r="CK141" s="281"/>
      <c r="CL141" s="277"/>
      <c r="CM141" s="298"/>
      <c r="CN141" s="277"/>
      <c r="CO141" s="50">
        <f t="shared" si="74"/>
        <v>239</v>
      </c>
      <c r="CP141" s="103">
        <f t="shared" si="75"/>
        <v>4</v>
      </c>
      <c r="CQ141" s="280">
        <f t="shared" si="76"/>
        <v>280</v>
      </c>
      <c r="CR141" s="63">
        <f t="shared" si="77"/>
        <v>4</v>
      </c>
      <c r="CS141" s="279"/>
      <c r="CT141" s="52"/>
      <c r="CU141" s="105"/>
      <c r="CV141" s="98"/>
      <c r="CW141" s="279"/>
      <c r="CX141" s="52"/>
      <c r="CY141" s="105"/>
      <c r="CZ141" s="98"/>
      <c r="DA141" s="279"/>
      <c r="DB141" s="52"/>
      <c r="DC141" s="105"/>
      <c r="DD141" s="98"/>
      <c r="DE141" s="279"/>
      <c r="DF141" s="52"/>
      <c r="DG141" s="105"/>
      <c r="DH141" s="98"/>
      <c r="DI141" s="279"/>
      <c r="DJ141" s="52"/>
      <c r="DK141" s="105"/>
      <c r="DL141" s="98"/>
      <c r="DM141" s="279"/>
      <c r="DN141" s="52"/>
      <c r="DO141" s="105"/>
      <c r="DP141" s="98"/>
      <c r="DQ141" s="279"/>
      <c r="DR141" s="52"/>
      <c r="DS141" s="105"/>
      <c r="DT141" s="98"/>
      <c r="DU141" s="279"/>
      <c r="DV141" s="52"/>
      <c r="DW141" s="105"/>
      <c r="DX141" s="98"/>
      <c r="DY141" s="279"/>
      <c r="DZ141" s="52"/>
      <c r="EA141" s="105"/>
      <c r="EB141" s="98"/>
      <c r="EC141" s="279"/>
      <c r="ED141" s="52"/>
      <c r="EE141" s="105"/>
      <c r="EF141" s="98"/>
      <c r="EG141" s="159"/>
      <c r="EH141" s="277"/>
      <c r="EI141" s="50">
        <f t="shared" si="78"/>
        <v>0</v>
      </c>
      <c r="EJ141" s="103">
        <f t="shared" si="79"/>
        <v>0</v>
      </c>
      <c r="EK141" s="164">
        <f t="shared" si="80"/>
        <v>0</v>
      </c>
      <c r="EL141" s="280">
        <f t="shared" si="81"/>
        <v>0</v>
      </c>
      <c r="EM141" s="63">
        <f t="shared" si="82"/>
        <v>0</v>
      </c>
      <c r="EN141" s="359">
        <f t="shared" si="83"/>
        <v>0</v>
      </c>
      <c r="EO141" s="51">
        <f t="shared" si="84"/>
        <v>239</v>
      </c>
      <c r="EP141" s="361">
        <f t="shared" si="85"/>
        <v>280</v>
      </c>
      <c r="EQ141" s="281"/>
      <c r="ER141" s="277"/>
      <c r="ES141" s="281"/>
      <c r="ET141" s="277"/>
      <c r="EU141" s="281"/>
      <c r="EV141" s="277"/>
      <c r="EW141" s="281"/>
      <c r="EX141" s="277"/>
      <c r="EY141" s="281"/>
      <c r="EZ141" s="277"/>
      <c r="FA141" s="281"/>
      <c r="FB141" s="277"/>
      <c r="FC141" s="281"/>
      <c r="FD141" s="277"/>
      <c r="FE141" s="281"/>
      <c r="FF141" s="277"/>
      <c r="FG141" s="281"/>
      <c r="FH141" s="277"/>
      <c r="FI141" s="281"/>
      <c r="FJ141" s="277"/>
      <c r="FK141" s="50">
        <f t="shared" si="86"/>
        <v>0</v>
      </c>
      <c r="FL141" s="63">
        <f t="shared" si="87"/>
        <v>0</v>
      </c>
      <c r="FM141" s="50">
        <f t="shared" si="69"/>
        <v>1130</v>
      </c>
      <c r="FN141" s="360">
        <f t="shared" si="70"/>
        <v>1164</v>
      </c>
      <c r="FO141" s="3"/>
      <c r="FP141" s="279"/>
      <c r="FQ141" s="52"/>
      <c r="FR141" s="296"/>
      <c r="FS141" s="98"/>
      <c r="FT141" s="467"/>
      <c r="FU141" s="52"/>
      <c r="FV141" s="296"/>
      <c r="FW141" s="98"/>
      <c r="FX141" s="467"/>
      <c r="FY141" s="52"/>
      <c r="FZ141" s="296"/>
      <c r="GA141" s="98"/>
      <c r="GB141" s="467"/>
      <c r="GC141" s="52"/>
      <c r="GD141" s="296"/>
      <c r="GE141" s="98"/>
      <c r="GF141" s="467"/>
      <c r="GG141" s="52"/>
      <c r="GH141" s="296"/>
      <c r="GI141" s="98"/>
      <c r="GJ141" s="467"/>
      <c r="GK141" s="52"/>
      <c r="GL141" s="296"/>
      <c r="GM141" s="464"/>
      <c r="GN141" s="467"/>
      <c r="GO141" s="52"/>
      <c r="GP141" s="296"/>
      <c r="GQ141" s="464"/>
      <c r="GR141" s="467"/>
      <c r="GS141" s="52"/>
      <c r="GT141" s="296"/>
      <c r="GU141" s="464"/>
      <c r="GV141" s="467"/>
      <c r="GW141" s="52"/>
      <c r="GX141" s="296"/>
      <c r="GY141" s="464"/>
      <c r="GZ141" s="467"/>
      <c r="HA141" s="52"/>
      <c r="HB141" s="296"/>
      <c r="HC141" s="3"/>
    </row>
    <row r="142" spans="1:211" s="86" customFormat="1">
      <c r="A142" s="292" t="s">
        <v>955</v>
      </c>
      <c r="B142" s="293" t="s">
        <v>540</v>
      </c>
      <c r="C142" s="292">
        <v>140960</v>
      </c>
      <c r="D142" s="346">
        <v>5</v>
      </c>
      <c r="E142" s="460"/>
      <c r="F142" s="277"/>
      <c r="G142" s="158"/>
      <c r="H142" s="277"/>
      <c r="I142" s="158"/>
      <c r="J142" s="277"/>
      <c r="K142" s="160">
        <f t="shared" si="71"/>
        <v>0</v>
      </c>
      <c r="L142" s="161">
        <f t="shared" si="64"/>
        <v>0</v>
      </c>
      <c r="M142" s="54">
        <v>300</v>
      </c>
      <c r="N142" s="55"/>
      <c r="O142" s="55"/>
      <c r="P142" s="55"/>
      <c r="Q142" s="162">
        <f t="shared" si="72"/>
        <v>0</v>
      </c>
      <c r="R142" s="277">
        <v>326</v>
      </c>
      <c r="S142" s="277">
        <v>0</v>
      </c>
      <c r="T142" s="277"/>
      <c r="U142" s="277"/>
      <c r="V142" s="97">
        <f t="shared" si="73"/>
        <v>0</v>
      </c>
      <c r="W142" s="279"/>
      <c r="X142" s="52"/>
      <c r="Y142" s="99"/>
      <c r="Z142" s="53"/>
      <c r="AA142" s="228"/>
      <c r="AB142" s="52"/>
      <c r="AC142" s="99"/>
      <c r="AD142" s="53"/>
      <c r="AE142" s="228"/>
      <c r="AF142" s="52"/>
      <c r="AG142" s="99"/>
      <c r="AH142" s="53"/>
      <c r="AI142" s="228"/>
      <c r="AJ142" s="52"/>
      <c r="AK142" s="99"/>
      <c r="AL142" s="53"/>
      <c r="AM142" s="228"/>
      <c r="AN142" s="52"/>
      <c r="AO142" s="99"/>
      <c r="AP142" s="53"/>
      <c r="AQ142" s="50">
        <f t="shared" si="65"/>
        <v>0</v>
      </c>
      <c r="AR142" s="163">
        <f t="shared" si="66"/>
        <v>0.86956521739130432</v>
      </c>
      <c r="AS142" s="97">
        <f t="shared" si="67"/>
        <v>0</v>
      </c>
      <c r="AT142" s="278">
        <f t="shared" si="68"/>
        <v>0.88586956521739135</v>
      </c>
      <c r="AU142" s="55"/>
      <c r="AV142" s="277"/>
      <c r="AW142" s="297">
        <v>44</v>
      </c>
      <c r="AX142" s="294">
        <v>43</v>
      </c>
      <c r="AY142" s="295">
        <v>44</v>
      </c>
      <c r="AZ142" s="296">
        <v>25</v>
      </c>
      <c r="BA142" s="297">
        <v>26</v>
      </c>
      <c r="BB142" s="294">
        <v>2</v>
      </c>
      <c r="BC142" s="295">
        <v>52</v>
      </c>
      <c r="BD142" s="296">
        <v>9</v>
      </c>
      <c r="BE142" s="297"/>
      <c r="BF142" s="294"/>
      <c r="BG142" s="295">
        <v>26</v>
      </c>
      <c r="BH142" s="296">
        <v>5</v>
      </c>
      <c r="BI142" s="297"/>
      <c r="BJ142" s="294"/>
      <c r="BK142" s="295">
        <v>45</v>
      </c>
      <c r="BL142" s="296">
        <v>3</v>
      </c>
      <c r="BM142" s="297"/>
      <c r="BN142" s="294"/>
      <c r="BO142" s="295"/>
      <c r="BP142" s="296"/>
      <c r="BQ142" s="297"/>
      <c r="BR142" s="294"/>
      <c r="BS142" s="295"/>
      <c r="BT142" s="296"/>
      <c r="BU142" s="297"/>
      <c r="BV142" s="294"/>
      <c r="BW142" s="295"/>
      <c r="BX142" s="296"/>
      <c r="BY142" s="297"/>
      <c r="BZ142" s="294"/>
      <c r="CA142" s="295"/>
      <c r="CB142" s="296"/>
      <c r="CC142" s="297"/>
      <c r="CD142" s="294"/>
      <c r="CE142" s="295"/>
      <c r="CF142" s="296"/>
      <c r="CG142" s="297"/>
      <c r="CH142" s="294"/>
      <c r="CI142" s="295"/>
      <c r="CJ142" s="296"/>
      <c r="CK142" s="281"/>
      <c r="CL142" s="277"/>
      <c r="CM142" s="298"/>
      <c r="CN142" s="277"/>
      <c r="CO142" s="50">
        <f t="shared" si="74"/>
        <v>45</v>
      </c>
      <c r="CP142" s="103">
        <f t="shared" si="75"/>
        <v>2</v>
      </c>
      <c r="CQ142" s="280">
        <f t="shared" si="76"/>
        <v>42</v>
      </c>
      <c r="CR142" s="63">
        <f t="shared" si="77"/>
        <v>4</v>
      </c>
      <c r="CS142" s="279"/>
      <c r="CT142" s="52"/>
      <c r="CU142" s="105"/>
      <c r="CV142" s="98"/>
      <c r="CW142" s="279"/>
      <c r="CX142" s="52"/>
      <c r="CY142" s="105"/>
      <c r="CZ142" s="98"/>
      <c r="DA142" s="279"/>
      <c r="DB142" s="52"/>
      <c r="DC142" s="105"/>
      <c r="DD142" s="98"/>
      <c r="DE142" s="279"/>
      <c r="DF142" s="52"/>
      <c r="DG142" s="105"/>
      <c r="DH142" s="98"/>
      <c r="DI142" s="279"/>
      <c r="DJ142" s="52"/>
      <c r="DK142" s="105"/>
      <c r="DL142" s="98"/>
      <c r="DM142" s="279"/>
      <c r="DN142" s="52"/>
      <c r="DO142" s="105"/>
      <c r="DP142" s="98"/>
      <c r="DQ142" s="279"/>
      <c r="DR142" s="52"/>
      <c r="DS142" s="105"/>
      <c r="DT142" s="98"/>
      <c r="DU142" s="279"/>
      <c r="DV142" s="52"/>
      <c r="DW142" s="105"/>
      <c r="DX142" s="98"/>
      <c r="DY142" s="279"/>
      <c r="DZ142" s="52"/>
      <c r="EA142" s="105"/>
      <c r="EB142" s="98"/>
      <c r="EC142" s="279"/>
      <c r="ED142" s="52"/>
      <c r="EE142" s="105"/>
      <c r="EF142" s="98"/>
      <c r="EG142" s="159"/>
      <c r="EH142" s="277"/>
      <c r="EI142" s="50">
        <f t="shared" si="78"/>
        <v>0</v>
      </c>
      <c r="EJ142" s="103">
        <f t="shared" si="79"/>
        <v>0</v>
      </c>
      <c r="EK142" s="164">
        <f t="shared" si="80"/>
        <v>0</v>
      </c>
      <c r="EL142" s="280">
        <f t="shared" si="81"/>
        <v>0</v>
      </c>
      <c r="EM142" s="63">
        <f t="shared" si="82"/>
        <v>0</v>
      </c>
      <c r="EN142" s="359">
        <f t="shared" si="83"/>
        <v>0</v>
      </c>
      <c r="EO142" s="51">
        <f t="shared" si="84"/>
        <v>45</v>
      </c>
      <c r="EP142" s="361">
        <f t="shared" si="85"/>
        <v>42</v>
      </c>
      <c r="EQ142" s="281"/>
      <c r="ER142" s="277"/>
      <c r="ES142" s="281"/>
      <c r="ET142" s="277"/>
      <c r="EU142" s="281"/>
      <c r="EV142" s="277"/>
      <c r="EW142" s="281"/>
      <c r="EX142" s="277"/>
      <c r="EY142" s="281"/>
      <c r="EZ142" s="277"/>
      <c r="FA142" s="281"/>
      <c r="FB142" s="277"/>
      <c r="FC142" s="281"/>
      <c r="FD142" s="277"/>
      <c r="FE142" s="281"/>
      <c r="FF142" s="277"/>
      <c r="FG142" s="281"/>
      <c r="FH142" s="277"/>
      <c r="FI142" s="281"/>
      <c r="FJ142" s="277"/>
      <c r="FK142" s="50">
        <f t="shared" si="86"/>
        <v>0</v>
      </c>
      <c r="FL142" s="63">
        <f t="shared" si="87"/>
        <v>0</v>
      </c>
      <c r="FM142" s="50">
        <f t="shared" si="69"/>
        <v>345</v>
      </c>
      <c r="FN142" s="360">
        <f t="shared" si="70"/>
        <v>368</v>
      </c>
      <c r="FO142" s="3"/>
      <c r="FP142" s="279"/>
      <c r="FQ142" s="52"/>
      <c r="FR142" s="296"/>
      <c r="FS142" s="98"/>
      <c r="FT142" s="467"/>
      <c r="FU142" s="52"/>
      <c r="FV142" s="296"/>
      <c r="FW142" s="98"/>
      <c r="FX142" s="467"/>
      <c r="FY142" s="52"/>
      <c r="FZ142" s="296"/>
      <c r="GA142" s="98"/>
      <c r="GB142" s="467"/>
      <c r="GC142" s="52"/>
      <c r="GD142" s="296"/>
      <c r="GE142" s="98"/>
      <c r="GF142" s="467"/>
      <c r="GG142" s="52"/>
      <c r="GH142" s="296"/>
      <c r="GI142" s="98"/>
      <c r="GJ142" s="467"/>
      <c r="GK142" s="52"/>
      <c r="GL142" s="296"/>
      <c r="GM142" s="464"/>
      <c r="GN142" s="467"/>
      <c r="GO142" s="52"/>
      <c r="GP142" s="296"/>
      <c r="GQ142" s="464"/>
      <c r="GR142" s="467"/>
      <c r="GS142" s="52"/>
      <c r="GT142" s="296"/>
      <c r="GU142" s="464"/>
      <c r="GV142" s="467"/>
      <c r="GW142" s="52"/>
      <c r="GX142" s="296"/>
      <c r="GY142" s="464"/>
      <c r="GZ142" s="467"/>
      <c r="HA142" s="52"/>
      <c r="HB142" s="296"/>
      <c r="HC142" s="3"/>
    </row>
    <row r="143" spans="1:211" s="86" customFormat="1">
      <c r="A143" s="292" t="s">
        <v>955</v>
      </c>
      <c r="B143" s="293" t="s">
        <v>541</v>
      </c>
      <c r="C143" s="292">
        <v>139311</v>
      </c>
      <c r="D143" s="346">
        <v>6</v>
      </c>
      <c r="E143" s="460">
        <v>56</v>
      </c>
      <c r="F143" s="277">
        <v>68</v>
      </c>
      <c r="G143" s="158"/>
      <c r="H143" s="277"/>
      <c r="I143" s="158">
        <v>126</v>
      </c>
      <c r="J143" s="277">
        <v>122</v>
      </c>
      <c r="K143" s="160">
        <f t="shared" si="71"/>
        <v>0.1496437054631829</v>
      </c>
      <c r="L143" s="161">
        <f t="shared" si="64"/>
        <v>0.14006888633754305</v>
      </c>
      <c r="M143" s="54">
        <v>842</v>
      </c>
      <c r="N143" s="55">
        <v>42</v>
      </c>
      <c r="O143" s="55"/>
      <c r="P143" s="55"/>
      <c r="Q143" s="162">
        <f t="shared" si="72"/>
        <v>42</v>
      </c>
      <c r="R143" s="277">
        <v>871</v>
      </c>
      <c r="S143" s="277">
        <v>50</v>
      </c>
      <c r="T143" s="277"/>
      <c r="U143" s="277"/>
      <c r="V143" s="97">
        <f t="shared" si="73"/>
        <v>50</v>
      </c>
      <c r="W143" s="279"/>
      <c r="X143" s="52"/>
      <c r="Y143" s="99"/>
      <c r="Z143" s="53"/>
      <c r="AA143" s="228"/>
      <c r="AB143" s="52"/>
      <c r="AC143" s="99"/>
      <c r="AD143" s="53"/>
      <c r="AE143" s="228"/>
      <c r="AF143" s="52"/>
      <c r="AG143" s="99"/>
      <c r="AH143" s="53"/>
      <c r="AI143" s="228"/>
      <c r="AJ143" s="52"/>
      <c r="AK143" s="99"/>
      <c r="AL143" s="53"/>
      <c r="AM143" s="228"/>
      <c r="AN143" s="52"/>
      <c r="AO143" s="99"/>
      <c r="AP143" s="53"/>
      <c r="AQ143" s="50">
        <f t="shared" si="65"/>
        <v>0</v>
      </c>
      <c r="AR143" s="163">
        <f t="shared" si="66"/>
        <v>0.822265625</v>
      </c>
      <c r="AS143" s="97">
        <f t="shared" si="67"/>
        <v>0</v>
      </c>
      <c r="AT143" s="278">
        <f t="shared" si="68"/>
        <v>0.79616087751371112</v>
      </c>
      <c r="AU143" s="55"/>
      <c r="AV143" s="277"/>
      <c r="AW143" s="297"/>
      <c r="AX143" s="294"/>
      <c r="AY143" s="295">
        <v>52</v>
      </c>
      <c r="AZ143" s="296">
        <v>31</v>
      </c>
      <c r="BA143" s="297"/>
      <c r="BB143" s="294"/>
      <c r="BC143" s="295">
        <v>24</v>
      </c>
      <c r="BD143" s="296">
        <v>2</v>
      </c>
      <c r="BE143" s="297"/>
      <c r="BF143" s="294"/>
      <c r="BG143" s="295"/>
      <c r="BH143" s="296"/>
      <c r="BI143" s="297"/>
      <c r="BJ143" s="294"/>
      <c r="BK143" s="295"/>
      <c r="BL143" s="296"/>
      <c r="BM143" s="297"/>
      <c r="BN143" s="294"/>
      <c r="BO143" s="295"/>
      <c r="BP143" s="296"/>
      <c r="BQ143" s="297"/>
      <c r="BR143" s="294"/>
      <c r="BS143" s="295"/>
      <c r="BT143" s="296"/>
      <c r="BU143" s="297"/>
      <c r="BV143" s="294"/>
      <c r="BW143" s="295"/>
      <c r="BX143" s="296"/>
      <c r="BY143" s="297"/>
      <c r="BZ143" s="294"/>
      <c r="CA143" s="295"/>
      <c r="CB143" s="296"/>
      <c r="CC143" s="297"/>
      <c r="CD143" s="294"/>
      <c r="CE143" s="295"/>
      <c r="CF143" s="296"/>
      <c r="CG143" s="297"/>
      <c r="CH143" s="294"/>
      <c r="CI143" s="295"/>
      <c r="CJ143" s="296"/>
      <c r="CK143" s="281"/>
      <c r="CL143" s="277"/>
      <c r="CM143" s="298"/>
      <c r="CN143" s="277"/>
      <c r="CO143" s="50">
        <f t="shared" si="74"/>
        <v>0</v>
      </c>
      <c r="CP143" s="103">
        <f t="shared" si="75"/>
        <v>0</v>
      </c>
      <c r="CQ143" s="280">
        <f t="shared" si="76"/>
        <v>33</v>
      </c>
      <c r="CR143" s="63">
        <f t="shared" si="77"/>
        <v>2</v>
      </c>
      <c r="CS143" s="279"/>
      <c r="CT143" s="52"/>
      <c r="CU143" s="105"/>
      <c r="CV143" s="98"/>
      <c r="CW143" s="279"/>
      <c r="CX143" s="52"/>
      <c r="CY143" s="105"/>
      <c r="CZ143" s="98"/>
      <c r="DA143" s="279"/>
      <c r="DB143" s="52"/>
      <c r="DC143" s="105"/>
      <c r="DD143" s="98"/>
      <c r="DE143" s="279"/>
      <c r="DF143" s="52"/>
      <c r="DG143" s="105"/>
      <c r="DH143" s="98"/>
      <c r="DI143" s="279"/>
      <c r="DJ143" s="52"/>
      <c r="DK143" s="105"/>
      <c r="DL143" s="98"/>
      <c r="DM143" s="279"/>
      <c r="DN143" s="52"/>
      <c r="DO143" s="105"/>
      <c r="DP143" s="98"/>
      <c r="DQ143" s="279"/>
      <c r="DR143" s="52"/>
      <c r="DS143" s="105"/>
      <c r="DT143" s="98"/>
      <c r="DU143" s="279"/>
      <c r="DV143" s="52"/>
      <c r="DW143" s="105"/>
      <c r="DX143" s="98"/>
      <c r="DY143" s="279"/>
      <c r="DZ143" s="52"/>
      <c r="EA143" s="105"/>
      <c r="EB143" s="98"/>
      <c r="EC143" s="279"/>
      <c r="ED143" s="52"/>
      <c r="EE143" s="105"/>
      <c r="EF143" s="98"/>
      <c r="EG143" s="159"/>
      <c r="EH143" s="277"/>
      <c r="EI143" s="50">
        <f t="shared" si="78"/>
        <v>0</v>
      </c>
      <c r="EJ143" s="103">
        <f t="shared" si="79"/>
        <v>0</v>
      </c>
      <c r="EK143" s="164">
        <f t="shared" si="80"/>
        <v>0</v>
      </c>
      <c r="EL143" s="280">
        <f t="shared" si="81"/>
        <v>0</v>
      </c>
      <c r="EM143" s="63">
        <f t="shared" si="82"/>
        <v>0</v>
      </c>
      <c r="EN143" s="359">
        <f t="shared" si="83"/>
        <v>0</v>
      </c>
      <c r="EO143" s="51">
        <f t="shared" si="84"/>
        <v>0</v>
      </c>
      <c r="EP143" s="361">
        <f t="shared" si="85"/>
        <v>33</v>
      </c>
      <c r="EQ143" s="281"/>
      <c r="ER143" s="277"/>
      <c r="ES143" s="281"/>
      <c r="ET143" s="277"/>
      <c r="EU143" s="281"/>
      <c r="EV143" s="277"/>
      <c r="EW143" s="281"/>
      <c r="EX143" s="277"/>
      <c r="EY143" s="281"/>
      <c r="EZ143" s="277"/>
      <c r="FA143" s="281"/>
      <c r="FB143" s="277"/>
      <c r="FC143" s="281"/>
      <c r="FD143" s="277"/>
      <c r="FE143" s="281"/>
      <c r="FF143" s="277"/>
      <c r="FG143" s="281"/>
      <c r="FH143" s="277"/>
      <c r="FI143" s="281"/>
      <c r="FJ143" s="277"/>
      <c r="FK143" s="50">
        <f t="shared" si="86"/>
        <v>0</v>
      </c>
      <c r="FL143" s="63">
        <f t="shared" si="87"/>
        <v>0</v>
      </c>
      <c r="FM143" s="50">
        <f t="shared" si="69"/>
        <v>1024</v>
      </c>
      <c r="FN143" s="360">
        <f t="shared" si="70"/>
        <v>1094</v>
      </c>
      <c r="FO143" s="3"/>
      <c r="FP143" s="279"/>
      <c r="FQ143" s="52"/>
      <c r="FR143" s="296"/>
      <c r="FS143" s="98"/>
      <c r="FT143" s="467"/>
      <c r="FU143" s="52"/>
      <c r="FV143" s="296"/>
      <c r="FW143" s="98"/>
      <c r="FX143" s="467"/>
      <c r="FY143" s="52"/>
      <c r="FZ143" s="296"/>
      <c r="GA143" s="98"/>
      <c r="GB143" s="467"/>
      <c r="GC143" s="52"/>
      <c r="GD143" s="296"/>
      <c r="GE143" s="98"/>
      <c r="GF143" s="467"/>
      <c r="GG143" s="52"/>
      <c r="GH143" s="296"/>
      <c r="GI143" s="98"/>
      <c r="GJ143" s="467"/>
      <c r="GK143" s="52"/>
      <c r="GL143" s="296"/>
      <c r="GM143" s="464"/>
      <c r="GN143" s="467"/>
      <c r="GO143" s="52"/>
      <c r="GP143" s="296"/>
      <c r="GQ143" s="464"/>
      <c r="GR143" s="467"/>
      <c r="GS143" s="52"/>
      <c r="GT143" s="296"/>
      <c r="GU143" s="464"/>
      <c r="GV143" s="467"/>
      <c r="GW143" s="52"/>
      <c r="GX143" s="296"/>
      <c r="GY143" s="464"/>
      <c r="GZ143" s="467"/>
      <c r="HA143" s="52"/>
      <c r="HB143" s="296"/>
      <c r="HC143" s="3"/>
    </row>
    <row r="144" spans="1:211" s="86" customFormat="1">
      <c r="A144" s="292" t="s">
        <v>955</v>
      </c>
      <c r="B144" s="293" t="s">
        <v>542</v>
      </c>
      <c r="C144" s="292">
        <v>140322</v>
      </c>
      <c r="D144" s="346">
        <v>6</v>
      </c>
      <c r="E144" s="460">
        <v>53</v>
      </c>
      <c r="F144" s="277">
        <v>45</v>
      </c>
      <c r="G144" s="158"/>
      <c r="H144" s="277"/>
      <c r="I144" s="158">
        <v>341</v>
      </c>
      <c r="J144" s="277">
        <v>342</v>
      </c>
      <c r="K144" s="160">
        <f t="shared" si="71"/>
        <v>0.96600566572237956</v>
      </c>
      <c r="L144" s="161">
        <f t="shared" si="64"/>
        <v>0.77551020408163263</v>
      </c>
      <c r="M144" s="54">
        <v>353</v>
      </c>
      <c r="N144" s="55">
        <v>49</v>
      </c>
      <c r="O144" s="55"/>
      <c r="P144" s="55"/>
      <c r="Q144" s="162">
        <f t="shared" si="72"/>
        <v>49</v>
      </c>
      <c r="R144" s="277">
        <v>441</v>
      </c>
      <c r="S144" s="277">
        <v>79</v>
      </c>
      <c r="T144" s="277"/>
      <c r="U144" s="277"/>
      <c r="V144" s="97">
        <f t="shared" si="73"/>
        <v>79</v>
      </c>
      <c r="W144" s="279" t="s">
        <v>731</v>
      </c>
      <c r="X144" s="52">
        <v>118</v>
      </c>
      <c r="Y144" s="99" t="s">
        <v>731</v>
      </c>
      <c r="Z144" s="53">
        <v>140</v>
      </c>
      <c r="AA144" s="228" t="s">
        <v>747</v>
      </c>
      <c r="AB144" s="52">
        <v>69</v>
      </c>
      <c r="AC144" s="99" t="s">
        <v>343</v>
      </c>
      <c r="AD144" s="53">
        <v>79</v>
      </c>
      <c r="AE144" s="228" t="s">
        <v>733</v>
      </c>
      <c r="AF144" s="52">
        <v>68</v>
      </c>
      <c r="AG144" s="99" t="s">
        <v>747</v>
      </c>
      <c r="AH144" s="53">
        <v>63</v>
      </c>
      <c r="AI144" s="228" t="s">
        <v>343</v>
      </c>
      <c r="AJ144" s="52">
        <v>49</v>
      </c>
      <c r="AK144" s="99" t="s">
        <v>733</v>
      </c>
      <c r="AL144" s="53">
        <v>62</v>
      </c>
      <c r="AM144" s="228" t="s">
        <v>729</v>
      </c>
      <c r="AN144" s="52">
        <v>45</v>
      </c>
      <c r="AO144" s="99" t="s">
        <v>729</v>
      </c>
      <c r="AP144" s="53">
        <v>58</v>
      </c>
      <c r="AQ144" s="50">
        <f t="shared" si="65"/>
        <v>5</v>
      </c>
      <c r="AR144" s="163">
        <f t="shared" si="66"/>
        <v>0.47255689424364122</v>
      </c>
      <c r="AS144" s="97">
        <f t="shared" si="67"/>
        <v>5</v>
      </c>
      <c r="AT144" s="278">
        <f t="shared" si="68"/>
        <v>0.53260869565217395</v>
      </c>
      <c r="AU144" s="55"/>
      <c r="AV144" s="277"/>
      <c r="AW144" s="297"/>
      <c r="AX144" s="294"/>
      <c r="AY144" s="295"/>
      <c r="AZ144" s="296"/>
      <c r="BA144" s="297"/>
      <c r="BB144" s="294"/>
      <c r="BC144" s="295"/>
      <c r="BD144" s="296"/>
      <c r="BE144" s="297"/>
      <c r="BF144" s="294"/>
      <c r="BG144" s="295"/>
      <c r="BH144" s="296"/>
      <c r="BI144" s="297"/>
      <c r="BJ144" s="294"/>
      <c r="BK144" s="295"/>
      <c r="BL144" s="296"/>
      <c r="BM144" s="297"/>
      <c r="BN144" s="294"/>
      <c r="BO144" s="295"/>
      <c r="BP144" s="296"/>
      <c r="BQ144" s="297"/>
      <c r="BR144" s="294"/>
      <c r="BS144" s="295"/>
      <c r="BT144" s="296"/>
      <c r="BU144" s="297"/>
      <c r="BV144" s="294"/>
      <c r="BW144" s="295"/>
      <c r="BX144" s="296"/>
      <c r="BY144" s="297"/>
      <c r="BZ144" s="294"/>
      <c r="CA144" s="295"/>
      <c r="CB144" s="296"/>
      <c r="CC144" s="297"/>
      <c r="CD144" s="294"/>
      <c r="CE144" s="295"/>
      <c r="CF144" s="296"/>
      <c r="CG144" s="297"/>
      <c r="CH144" s="294"/>
      <c r="CI144" s="295"/>
      <c r="CJ144" s="296"/>
      <c r="CK144" s="281"/>
      <c r="CL144" s="277"/>
      <c r="CM144" s="298"/>
      <c r="CN144" s="277"/>
      <c r="CO144" s="50">
        <f t="shared" si="74"/>
        <v>0</v>
      </c>
      <c r="CP144" s="103">
        <f t="shared" si="75"/>
        <v>0</v>
      </c>
      <c r="CQ144" s="280">
        <f t="shared" si="76"/>
        <v>0</v>
      </c>
      <c r="CR144" s="63">
        <f t="shared" si="77"/>
        <v>0</v>
      </c>
      <c r="CS144" s="279"/>
      <c r="CT144" s="52"/>
      <c r="CU144" s="105"/>
      <c r="CV144" s="98"/>
      <c r="CW144" s="279"/>
      <c r="CX144" s="52"/>
      <c r="CY144" s="105"/>
      <c r="CZ144" s="98"/>
      <c r="DA144" s="279"/>
      <c r="DB144" s="52"/>
      <c r="DC144" s="105"/>
      <c r="DD144" s="98"/>
      <c r="DE144" s="279"/>
      <c r="DF144" s="52"/>
      <c r="DG144" s="105"/>
      <c r="DH144" s="98"/>
      <c r="DI144" s="279"/>
      <c r="DJ144" s="52"/>
      <c r="DK144" s="105"/>
      <c r="DL144" s="98"/>
      <c r="DM144" s="279"/>
      <c r="DN144" s="52"/>
      <c r="DO144" s="105"/>
      <c r="DP144" s="98"/>
      <c r="DQ144" s="279"/>
      <c r="DR144" s="52"/>
      <c r="DS144" s="105"/>
      <c r="DT144" s="98"/>
      <c r="DU144" s="279"/>
      <c r="DV144" s="52"/>
      <c r="DW144" s="105"/>
      <c r="DX144" s="98"/>
      <c r="DY144" s="279"/>
      <c r="DZ144" s="52"/>
      <c r="EA144" s="105"/>
      <c r="EB144" s="98"/>
      <c r="EC144" s="279"/>
      <c r="ED144" s="52"/>
      <c r="EE144" s="105"/>
      <c r="EF144" s="98"/>
      <c r="EG144" s="159"/>
      <c r="EH144" s="277"/>
      <c r="EI144" s="50">
        <f t="shared" si="78"/>
        <v>0</v>
      </c>
      <c r="EJ144" s="103">
        <f t="shared" si="79"/>
        <v>0</v>
      </c>
      <c r="EK144" s="164">
        <f t="shared" si="80"/>
        <v>0</v>
      </c>
      <c r="EL144" s="280">
        <f t="shared" si="81"/>
        <v>0</v>
      </c>
      <c r="EM144" s="63">
        <f t="shared" si="82"/>
        <v>0</v>
      </c>
      <c r="EN144" s="359">
        <f t="shared" si="83"/>
        <v>0</v>
      </c>
      <c r="EO144" s="51">
        <f t="shared" si="84"/>
        <v>0</v>
      </c>
      <c r="EP144" s="361">
        <f t="shared" si="85"/>
        <v>0</v>
      </c>
      <c r="EQ144" s="281"/>
      <c r="ER144" s="277"/>
      <c r="ES144" s="281"/>
      <c r="ET144" s="277"/>
      <c r="EU144" s="281"/>
      <c r="EV144" s="277"/>
      <c r="EW144" s="281"/>
      <c r="EX144" s="277"/>
      <c r="EY144" s="281"/>
      <c r="EZ144" s="277"/>
      <c r="FA144" s="281"/>
      <c r="FB144" s="277"/>
      <c r="FC144" s="281"/>
      <c r="FD144" s="277"/>
      <c r="FE144" s="281"/>
      <c r="FF144" s="277"/>
      <c r="FG144" s="281"/>
      <c r="FH144" s="277"/>
      <c r="FI144" s="281"/>
      <c r="FJ144" s="277"/>
      <c r="FK144" s="50">
        <f t="shared" si="86"/>
        <v>0</v>
      </c>
      <c r="FL144" s="63">
        <f t="shared" si="87"/>
        <v>0</v>
      </c>
      <c r="FM144" s="50">
        <f t="shared" si="69"/>
        <v>747</v>
      </c>
      <c r="FN144" s="360">
        <f t="shared" si="70"/>
        <v>828</v>
      </c>
      <c r="FO144" s="3"/>
      <c r="FP144" s="279"/>
      <c r="FQ144" s="52"/>
      <c r="FR144" s="296"/>
      <c r="FS144" s="98"/>
      <c r="FT144" s="467"/>
      <c r="FU144" s="52"/>
      <c r="FV144" s="296"/>
      <c r="FW144" s="98"/>
      <c r="FX144" s="467"/>
      <c r="FY144" s="52"/>
      <c r="FZ144" s="296"/>
      <c r="GA144" s="98"/>
      <c r="GB144" s="467"/>
      <c r="GC144" s="52"/>
      <c r="GD144" s="296"/>
      <c r="GE144" s="98"/>
      <c r="GF144" s="467"/>
      <c r="GG144" s="52"/>
      <c r="GH144" s="296"/>
      <c r="GI144" s="98"/>
      <c r="GJ144" s="467"/>
      <c r="GK144" s="52"/>
      <c r="GL144" s="296"/>
      <c r="GM144" s="464"/>
      <c r="GN144" s="467"/>
      <c r="GO144" s="52"/>
      <c r="GP144" s="296"/>
      <c r="GQ144" s="464"/>
      <c r="GR144" s="467"/>
      <c r="GS144" s="52"/>
      <c r="GT144" s="296"/>
      <c r="GU144" s="464"/>
      <c r="GV144" s="467"/>
      <c r="GW144" s="52"/>
      <c r="GX144" s="296"/>
      <c r="GY144" s="464"/>
      <c r="GZ144" s="467"/>
      <c r="HA144" s="52"/>
      <c r="HB144" s="296"/>
      <c r="HC144" s="3"/>
    </row>
    <row r="145" spans="1:211" s="86" customFormat="1">
      <c r="A145" s="292" t="s">
        <v>955</v>
      </c>
      <c r="B145" s="293" t="s">
        <v>543</v>
      </c>
      <c r="C145" s="292">
        <v>139463</v>
      </c>
      <c r="D145" s="346">
        <v>7</v>
      </c>
      <c r="E145" s="460">
        <v>108</v>
      </c>
      <c r="F145" s="277">
        <v>85</v>
      </c>
      <c r="G145" s="158"/>
      <c r="H145" s="277"/>
      <c r="I145" s="158">
        <v>412</v>
      </c>
      <c r="J145" s="277">
        <v>339</v>
      </c>
      <c r="K145" s="160">
        <f t="shared" si="71"/>
        <v>2.5432098765432101</v>
      </c>
      <c r="L145" s="161">
        <f t="shared" si="64"/>
        <v>2.0670731707317072</v>
      </c>
      <c r="M145" s="54">
        <v>162</v>
      </c>
      <c r="N145" s="55">
        <v>59</v>
      </c>
      <c r="O145" s="55"/>
      <c r="P145" s="55"/>
      <c r="Q145" s="162">
        <f t="shared" si="72"/>
        <v>59</v>
      </c>
      <c r="R145" s="277">
        <v>164</v>
      </c>
      <c r="S145" s="277">
        <v>86</v>
      </c>
      <c r="T145" s="277"/>
      <c r="U145" s="277"/>
      <c r="V145" s="97">
        <f t="shared" si="73"/>
        <v>86</v>
      </c>
      <c r="W145" s="279" t="s">
        <v>731</v>
      </c>
      <c r="X145" s="52">
        <v>90</v>
      </c>
      <c r="Y145" s="99" t="s">
        <v>343</v>
      </c>
      <c r="Z145" s="53">
        <v>86</v>
      </c>
      <c r="AA145" s="228" t="s">
        <v>343</v>
      </c>
      <c r="AB145" s="52">
        <v>59</v>
      </c>
      <c r="AC145" s="99" t="s">
        <v>731</v>
      </c>
      <c r="AD145" s="53">
        <v>60</v>
      </c>
      <c r="AE145" s="228" t="s">
        <v>729</v>
      </c>
      <c r="AF145" s="52">
        <v>13</v>
      </c>
      <c r="AG145" s="99" t="s">
        <v>729</v>
      </c>
      <c r="AH145" s="53">
        <v>18</v>
      </c>
      <c r="AI145" s="228"/>
      <c r="AJ145" s="52"/>
      <c r="AK145" s="99"/>
      <c r="AL145" s="53"/>
      <c r="AM145" s="228"/>
      <c r="AN145" s="52"/>
      <c r="AO145" s="99"/>
      <c r="AP145" s="53"/>
      <c r="AQ145" s="50">
        <f t="shared" si="65"/>
        <v>3</v>
      </c>
      <c r="AR145" s="163">
        <f t="shared" si="66"/>
        <v>0.23753665689149561</v>
      </c>
      <c r="AS145" s="97">
        <f t="shared" si="67"/>
        <v>3</v>
      </c>
      <c r="AT145" s="278">
        <f t="shared" si="68"/>
        <v>0.27891156462585032</v>
      </c>
      <c r="AU145" s="55"/>
      <c r="AV145" s="277"/>
      <c r="AW145" s="297"/>
      <c r="AX145" s="294"/>
      <c r="AY145" s="295"/>
      <c r="AZ145" s="296"/>
      <c r="BA145" s="297"/>
      <c r="BB145" s="294"/>
      <c r="BC145" s="295"/>
      <c r="BD145" s="296"/>
      <c r="BE145" s="297"/>
      <c r="BF145" s="294"/>
      <c r="BG145" s="295"/>
      <c r="BH145" s="296"/>
      <c r="BI145" s="297"/>
      <c r="BJ145" s="294"/>
      <c r="BK145" s="295"/>
      <c r="BL145" s="296"/>
      <c r="BM145" s="297"/>
      <c r="BN145" s="294"/>
      <c r="BO145" s="295"/>
      <c r="BP145" s="296"/>
      <c r="BQ145" s="297"/>
      <c r="BR145" s="294"/>
      <c r="BS145" s="295"/>
      <c r="BT145" s="296"/>
      <c r="BU145" s="297"/>
      <c r="BV145" s="294"/>
      <c r="BW145" s="295"/>
      <c r="BX145" s="296"/>
      <c r="BY145" s="297"/>
      <c r="BZ145" s="294"/>
      <c r="CA145" s="295"/>
      <c r="CB145" s="296"/>
      <c r="CC145" s="297"/>
      <c r="CD145" s="294"/>
      <c r="CE145" s="295"/>
      <c r="CF145" s="296"/>
      <c r="CG145" s="297"/>
      <c r="CH145" s="294"/>
      <c r="CI145" s="295"/>
      <c r="CJ145" s="296"/>
      <c r="CK145" s="281"/>
      <c r="CL145" s="277"/>
      <c r="CM145" s="298"/>
      <c r="CN145" s="277"/>
      <c r="CO145" s="50">
        <f t="shared" si="74"/>
        <v>0</v>
      </c>
      <c r="CP145" s="103">
        <f t="shared" si="75"/>
        <v>0</v>
      </c>
      <c r="CQ145" s="280">
        <f t="shared" si="76"/>
        <v>0</v>
      </c>
      <c r="CR145" s="63">
        <f t="shared" si="77"/>
        <v>0</v>
      </c>
      <c r="CS145" s="279"/>
      <c r="CT145" s="52"/>
      <c r="CU145" s="105"/>
      <c r="CV145" s="98"/>
      <c r="CW145" s="279"/>
      <c r="CX145" s="52"/>
      <c r="CY145" s="105"/>
      <c r="CZ145" s="98"/>
      <c r="DA145" s="279"/>
      <c r="DB145" s="52"/>
      <c r="DC145" s="105"/>
      <c r="DD145" s="98"/>
      <c r="DE145" s="279"/>
      <c r="DF145" s="52"/>
      <c r="DG145" s="105"/>
      <c r="DH145" s="98"/>
      <c r="DI145" s="279"/>
      <c r="DJ145" s="52"/>
      <c r="DK145" s="105"/>
      <c r="DL145" s="98"/>
      <c r="DM145" s="279"/>
      <c r="DN145" s="52"/>
      <c r="DO145" s="105"/>
      <c r="DP145" s="98"/>
      <c r="DQ145" s="279"/>
      <c r="DR145" s="52"/>
      <c r="DS145" s="105"/>
      <c r="DT145" s="98"/>
      <c r="DU145" s="279"/>
      <c r="DV145" s="52"/>
      <c r="DW145" s="105"/>
      <c r="DX145" s="98"/>
      <c r="DY145" s="279"/>
      <c r="DZ145" s="52"/>
      <c r="EA145" s="105"/>
      <c r="EB145" s="98"/>
      <c r="EC145" s="279"/>
      <c r="ED145" s="52"/>
      <c r="EE145" s="105"/>
      <c r="EF145" s="98"/>
      <c r="EG145" s="159"/>
      <c r="EH145" s="277"/>
      <c r="EI145" s="50">
        <f t="shared" si="78"/>
        <v>0</v>
      </c>
      <c r="EJ145" s="103">
        <f t="shared" si="79"/>
        <v>0</v>
      </c>
      <c r="EK145" s="164">
        <f t="shared" si="80"/>
        <v>0</v>
      </c>
      <c r="EL145" s="280">
        <f t="shared" si="81"/>
        <v>0</v>
      </c>
      <c r="EM145" s="63">
        <f t="shared" si="82"/>
        <v>0</v>
      </c>
      <c r="EN145" s="359">
        <f t="shared" si="83"/>
        <v>0</v>
      </c>
      <c r="EO145" s="51">
        <f t="shared" si="84"/>
        <v>0</v>
      </c>
      <c r="EP145" s="361">
        <f t="shared" si="85"/>
        <v>0</v>
      </c>
      <c r="EQ145" s="281"/>
      <c r="ER145" s="277"/>
      <c r="ES145" s="281"/>
      <c r="ET145" s="277"/>
      <c r="EU145" s="281"/>
      <c r="EV145" s="277"/>
      <c r="EW145" s="281"/>
      <c r="EX145" s="277"/>
      <c r="EY145" s="281"/>
      <c r="EZ145" s="277"/>
      <c r="FA145" s="281"/>
      <c r="FB145" s="277"/>
      <c r="FC145" s="281"/>
      <c r="FD145" s="277"/>
      <c r="FE145" s="281"/>
      <c r="FF145" s="277"/>
      <c r="FG145" s="281"/>
      <c r="FH145" s="277"/>
      <c r="FI145" s="281"/>
      <c r="FJ145" s="277"/>
      <c r="FK145" s="50">
        <f t="shared" si="86"/>
        <v>0</v>
      </c>
      <c r="FL145" s="63">
        <f t="shared" si="87"/>
        <v>0</v>
      </c>
      <c r="FM145" s="50">
        <f t="shared" si="69"/>
        <v>682</v>
      </c>
      <c r="FN145" s="360">
        <f t="shared" si="70"/>
        <v>588</v>
      </c>
      <c r="FO145" s="3"/>
      <c r="FP145" s="279"/>
      <c r="FQ145" s="52"/>
      <c r="FR145" s="296"/>
      <c r="FS145" s="98"/>
      <c r="FT145" s="467"/>
      <c r="FU145" s="52"/>
      <c r="FV145" s="296"/>
      <c r="FW145" s="98"/>
      <c r="FX145" s="467"/>
      <c r="FY145" s="52"/>
      <c r="FZ145" s="296"/>
      <c r="GA145" s="98"/>
      <c r="GB145" s="467"/>
      <c r="GC145" s="52"/>
      <c r="GD145" s="296"/>
      <c r="GE145" s="98"/>
      <c r="GF145" s="467"/>
      <c r="GG145" s="52"/>
      <c r="GH145" s="296"/>
      <c r="GI145" s="98"/>
      <c r="GJ145" s="467"/>
      <c r="GK145" s="52"/>
      <c r="GL145" s="296"/>
      <c r="GM145" s="464"/>
      <c r="GN145" s="467"/>
      <c r="GO145" s="52"/>
      <c r="GP145" s="296"/>
      <c r="GQ145" s="464"/>
      <c r="GR145" s="467"/>
      <c r="GS145" s="52"/>
      <c r="GT145" s="296"/>
      <c r="GU145" s="464"/>
      <c r="GV145" s="467"/>
      <c r="GW145" s="52"/>
      <c r="GX145" s="296"/>
      <c r="GY145" s="464"/>
      <c r="GZ145" s="467"/>
      <c r="HA145" s="52"/>
      <c r="HB145" s="296"/>
      <c r="HC145" s="3"/>
    </row>
    <row r="146" spans="1:211" s="86" customFormat="1">
      <c r="A146" s="292" t="s">
        <v>955</v>
      </c>
      <c r="B146" s="293" t="s">
        <v>544</v>
      </c>
      <c r="C146" s="292">
        <v>244437</v>
      </c>
      <c r="D146" s="346">
        <v>8</v>
      </c>
      <c r="E146" s="460">
        <v>4</v>
      </c>
      <c r="F146" s="277">
        <v>8</v>
      </c>
      <c r="G146" s="158"/>
      <c r="H146" s="277"/>
      <c r="I146" s="158">
        <v>1623</v>
      </c>
      <c r="J146" s="277">
        <v>1506</v>
      </c>
      <c r="K146" s="160">
        <f t="shared" si="71"/>
        <v>0</v>
      </c>
      <c r="L146" s="161">
        <f t="shared" si="64"/>
        <v>0</v>
      </c>
      <c r="M146" s="54"/>
      <c r="N146" s="55"/>
      <c r="O146" s="55"/>
      <c r="P146" s="55"/>
      <c r="Q146" s="162">
        <f t="shared" si="72"/>
        <v>0</v>
      </c>
      <c r="R146" s="277"/>
      <c r="S146" s="277"/>
      <c r="T146" s="277"/>
      <c r="U146" s="277"/>
      <c r="V146" s="97">
        <f t="shared" si="73"/>
        <v>0</v>
      </c>
      <c r="W146" s="279"/>
      <c r="X146" s="52"/>
      <c r="Y146" s="99"/>
      <c r="Z146" s="53"/>
      <c r="AA146" s="228"/>
      <c r="AB146" s="52"/>
      <c r="AC146" s="99"/>
      <c r="AD146" s="53"/>
      <c r="AE146" s="228"/>
      <c r="AF146" s="52"/>
      <c r="AG146" s="99"/>
      <c r="AH146" s="53"/>
      <c r="AI146" s="228"/>
      <c r="AJ146" s="52"/>
      <c r="AK146" s="99"/>
      <c r="AL146" s="53"/>
      <c r="AM146" s="228"/>
      <c r="AN146" s="52"/>
      <c r="AO146" s="99"/>
      <c r="AP146" s="53"/>
      <c r="AQ146" s="50">
        <f t="shared" si="65"/>
        <v>0</v>
      </c>
      <c r="AR146" s="163">
        <f t="shared" si="66"/>
        <v>0</v>
      </c>
      <c r="AS146" s="97">
        <f t="shared" si="67"/>
        <v>0</v>
      </c>
      <c r="AT146" s="278">
        <f t="shared" si="68"/>
        <v>0</v>
      </c>
      <c r="AU146" s="55"/>
      <c r="AV146" s="277"/>
      <c r="AW146" s="297"/>
      <c r="AX146" s="294"/>
      <c r="AY146" s="295"/>
      <c r="AZ146" s="296"/>
      <c r="BA146" s="297"/>
      <c r="BB146" s="294"/>
      <c r="BC146" s="295"/>
      <c r="BD146" s="296"/>
      <c r="BE146" s="297"/>
      <c r="BF146" s="294"/>
      <c r="BG146" s="295"/>
      <c r="BH146" s="296"/>
      <c r="BI146" s="297"/>
      <c r="BJ146" s="294"/>
      <c r="BK146" s="295"/>
      <c r="BL146" s="296"/>
      <c r="BM146" s="297"/>
      <c r="BN146" s="294"/>
      <c r="BO146" s="295"/>
      <c r="BP146" s="296"/>
      <c r="BQ146" s="297"/>
      <c r="BR146" s="294"/>
      <c r="BS146" s="295"/>
      <c r="BT146" s="296"/>
      <c r="BU146" s="297"/>
      <c r="BV146" s="294"/>
      <c r="BW146" s="295"/>
      <c r="BX146" s="296"/>
      <c r="BY146" s="297"/>
      <c r="BZ146" s="294"/>
      <c r="CA146" s="295"/>
      <c r="CB146" s="296"/>
      <c r="CC146" s="297"/>
      <c r="CD146" s="294"/>
      <c r="CE146" s="295"/>
      <c r="CF146" s="296"/>
      <c r="CG146" s="297"/>
      <c r="CH146" s="294"/>
      <c r="CI146" s="295"/>
      <c r="CJ146" s="296"/>
      <c r="CK146" s="281"/>
      <c r="CL146" s="277"/>
      <c r="CM146" s="298"/>
      <c r="CN146" s="277"/>
      <c r="CO146" s="50">
        <f t="shared" si="74"/>
        <v>0</v>
      </c>
      <c r="CP146" s="103">
        <f t="shared" si="75"/>
        <v>0</v>
      </c>
      <c r="CQ146" s="280">
        <f t="shared" si="76"/>
        <v>0</v>
      </c>
      <c r="CR146" s="63">
        <f t="shared" si="77"/>
        <v>0</v>
      </c>
      <c r="CS146" s="279"/>
      <c r="CT146" s="52"/>
      <c r="CU146" s="105"/>
      <c r="CV146" s="98"/>
      <c r="CW146" s="279"/>
      <c r="CX146" s="52"/>
      <c r="CY146" s="105"/>
      <c r="CZ146" s="98"/>
      <c r="DA146" s="279"/>
      <c r="DB146" s="52"/>
      <c r="DC146" s="105"/>
      <c r="DD146" s="98"/>
      <c r="DE146" s="279"/>
      <c r="DF146" s="52"/>
      <c r="DG146" s="105"/>
      <c r="DH146" s="98"/>
      <c r="DI146" s="279"/>
      <c r="DJ146" s="52"/>
      <c r="DK146" s="105"/>
      <c r="DL146" s="98"/>
      <c r="DM146" s="279"/>
      <c r="DN146" s="52"/>
      <c r="DO146" s="105"/>
      <c r="DP146" s="98"/>
      <c r="DQ146" s="279"/>
      <c r="DR146" s="52"/>
      <c r="DS146" s="105"/>
      <c r="DT146" s="98"/>
      <c r="DU146" s="279"/>
      <c r="DV146" s="52"/>
      <c r="DW146" s="105"/>
      <c r="DX146" s="98"/>
      <c r="DY146" s="279"/>
      <c r="DZ146" s="52"/>
      <c r="EA146" s="105"/>
      <c r="EB146" s="98"/>
      <c r="EC146" s="279"/>
      <c r="ED146" s="52"/>
      <c r="EE146" s="105"/>
      <c r="EF146" s="98"/>
      <c r="EG146" s="159"/>
      <c r="EH146" s="277"/>
      <c r="EI146" s="50">
        <f t="shared" si="78"/>
        <v>0</v>
      </c>
      <c r="EJ146" s="103">
        <f t="shared" si="79"/>
        <v>0</v>
      </c>
      <c r="EK146" s="164">
        <f t="shared" si="80"/>
        <v>0</v>
      </c>
      <c r="EL146" s="280">
        <f t="shared" si="81"/>
        <v>0</v>
      </c>
      <c r="EM146" s="63">
        <f t="shared" si="82"/>
        <v>0</v>
      </c>
      <c r="EN146" s="359">
        <f t="shared" si="83"/>
        <v>0</v>
      </c>
      <c r="EO146" s="51">
        <f t="shared" si="84"/>
        <v>0</v>
      </c>
      <c r="EP146" s="361">
        <f t="shared" si="85"/>
        <v>0</v>
      </c>
      <c r="EQ146" s="281"/>
      <c r="ER146" s="277"/>
      <c r="ES146" s="281"/>
      <c r="ET146" s="277"/>
      <c r="EU146" s="281"/>
      <c r="EV146" s="277"/>
      <c r="EW146" s="281"/>
      <c r="EX146" s="277"/>
      <c r="EY146" s="281"/>
      <c r="EZ146" s="277"/>
      <c r="FA146" s="281"/>
      <c r="FB146" s="277"/>
      <c r="FC146" s="281"/>
      <c r="FD146" s="277"/>
      <c r="FE146" s="281"/>
      <c r="FF146" s="277"/>
      <c r="FG146" s="281"/>
      <c r="FH146" s="277"/>
      <c r="FI146" s="281"/>
      <c r="FJ146" s="277"/>
      <c r="FK146" s="50">
        <f t="shared" si="86"/>
        <v>0</v>
      </c>
      <c r="FL146" s="63">
        <f t="shared" si="87"/>
        <v>0</v>
      </c>
      <c r="FM146" s="50">
        <f t="shared" si="69"/>
        <v>1627</v>
      </c>
      <c r="FN146" s="360">
        <f t="shared" si="70"/>
        <v>1514</v>
      </c>
      <c r="FO146" s="3"/>
      <c r="FP146" s="279"/>
      <c r="FQ146" s="52"/>
      <c r="FR146" s="296"/>
      <c r="FS146" s="98"/>
      <c r="FT146" s="467"/>
      <c r="FU146" s="52"/>
      <c r="FV146" s="296"/>
      <c r="FW146" s="98"/>
      <c r="FX146" s="467"/>
      <c r="FY146" s="52"/>
      <c r="FZ146" s="296"/>
      <c r="GA146" s="98"/>
      <c r="GB146" s="467"/>
      <c r="GC146" s="52"/>
      <c r="GD146" s="296"/>
      <c r="GE146" s="98"/>
      <c r="GF146" s="467"/>
      <c r="GG146" s="52"/>
      <c r="GH146" s="296"/>
      <c r="GI146" s="98"/>
      <c r="GJ146" s="467"/>
      <c r="GK146" s="52"/>
      <c r="GL146" s="296"/>
      <c r="GM146" s="464"/>
      <c r="GN146" s="467"/>
      <c r="GO146" s="52"/>
      <c r="GP146" s="296"/>
      <c r="GQ146" s="464"/>
      <c r="GR146" s="467"/>
      <c r="GS146" s="52"/>
      <c r="GT146" s="296"/>
      <c r="GU146" s="464"/>
      <c r="GV146" s="467"/>
      <c r="GW146" s="52"/>
      <c r="GX146" s="296"/>
      <c r="GY146" s="464"/>
      <c r="GZ146" s="467"/>
      <c r="HA146" s="52"/>
      <c r="HB146" s="296"/>
      <c r="HC146" s="3"/>
    </row>
    <row r="147" spans="1:211" s="86" customFormat="1">
      <c r="A147" s="292" t="s">
        <v>955</v>
      </c>
      <c r="B147" s="293" t="s">
        <v>545</v>
      </c>
      <c r="C147" s="292">
        <v>138558</v>
      </c>
      <c r="D147" s="346">
        <v>9</v>
      </c>
      <c r="E147" s="460">
        <v>9</v>
      </c>
      <c r="F147" s="277">
        <v>4</v>
      </c>
      <c r="G147" s="158"/>
      <c r="H147" s="277"/>
      <c r="I147" s="158">
        <v>426</v>
      </c>
      <c r="J147" s="277">
        <v>485</v>
      </c>
      <c r="K147" s="160">
        <f t="shared" si="71"/>
        <v>0</v>
      </c>
      <c r="L147" s="161">
        <f t="shared" si="64"/>
        <v>121.25</v>
      </c>
      <c r="M147" s="54"/>
      <c r="N147" s="55"/>
      <c r="O147" s="55"/>
      <c r="P147" s="55"/>
      <c r="Q147" s="162">
        <f t="shared" si="72"/>
        <v>0</v>
      </c>
      <c r="R147" s="277">
        <v>4</v>
      </c>
      <c r="S147" s="277"/>
      <c r="T147" s="277"/>
      <c r="U147" s="277"/>
      <c r="V147" s="97">
        <f t="shared" si="73"/>
        <v>0</v>
      </c>
      <c r="W147" s="279"/>
      <c r="X147" s="52"/>
      <c r="Y147" s="99" t="s">
        <v>742</v>
      </c>
      <c r="Z147" s="53">
        <v>4</v>
      </c>
      <c r="AA147" s="228"/>
      <c r="AB147" s="52"/>
      <c r="AC147" s="99"/>
      <c r="AD147" s="53"/>
      <c r="AE147" s="228"/>
      <c r="AF147" s="52"/>
      <c r="AG147" s="99"/>
      <c r="AH147" s="53"/>
      <c r="AI147" s="228"/>
      <c r="AJ147" s="52"/>
      <c r="AK147" s="99"/>
      <c r="AL147" s="53"/>
      <c r="AM147" s="228"/>
      <c r="AN147" s="52"/>
      <c r="AO147" s="99"/>
      <c r="AP147" s="53"/>
      <c r="AQ147" s="50">
        <f t="shared" si="65"/>
        <v>0</v>
      </c>
      <c r="AR147" s="163">
        <f t="shared" si="66"/>
        <v>0</v>
      </c>
      <c r="AS147" s="97">
        <f t="shared" si="67"/>
        <v>1</v>
      </c>
      <c r="AT147" s="278">
        <f t="shared" si="68"/>
        <v>8.1135902636916835E-3</v>
      </c>
      <c r="AU147" s="55"/>
      <c r="AV147" s="277"/>
      <c r="AW147" s="297"/>
      <c r="AX147" s="294"/>
      <c r="AY147" s="295"/>
      <c r="AZ147" s="296"/>
      <c r="BA147" s="297"/>
      <c r="BB147" s="294"/>
      <c r="BC147" s="295"/>
      <c r="BD147" s="296"/>
      <c r="BE147" s="297"/>
      <c r="BF147" s="294"/>
      <c r="BG147" s="295"/>
      <c r="BH147" s="296"/>
      <c r="BI147" s="297"/>
      <c r="BJ147" s="294"/>
      <c r="BK147" s="295"/>
      <c r="BL147" s="296"/>
      <c r="BM147" s="297"/>
      <c r="BN147" s="294"/>
      <c r="BO147" s="295"/>
      <c r="BP147" s="296"/>
      <c r="BQ147" s="297"/>
      <c r="BR147" s="294"/>
      <c r="BS147" s="295"/>
      <c r="BT147" s="296"/>
      <c r="BU147" s="297"/>
      <c r="BV147" s="294"/>
      <c r="BW147" s="295"/>
      <c r="BX147" s="296"/>
      <c r="BY147" s="297"/>
      <c r="BZ147" s="294"/>
      <c r="CA147" s="295"/>
      <c r="CB147" s="296"/>
      <c r="CC147" s="297"/>
      <c r="CD147" s="294"/>
      <c r="CE147" s="295"/>
      <c r="CF147" s="296"/>
      <c r="CG147" s="297"/>
      <c r="CH147" s="294"/>
      <c r="CI147" s="295"/>
      <c r="CJ147" s="296"/>
      <c r="CK147" s="281"/>
      <c r="CL147" s="277"/>
      <c r="CM147" s="298"/>
      <c r="CN147" s="277"/>
      <c r="CO147" s="50">
        <f t="shared" si="74"/>
        <v>0</v>
      </c>
      <c r="CP147" s="103">
        <f t="shared" si="75"/>
        <v>0</v>
      </c>
      <c r="CQ147" s="280">
        <f t="shared" si="76"/>
        <v>0</v>
      </c>
      <c r="CR147" s="63">
        <f t="shared" si="77"/>
        <v>0</v>
      </c>
      <c r="CS147" s="279"/>
      <c r="CT147" s="52"/>
      <c r="CU147" s="105"/>
      <c r="CV147" s="98"/>
      <c r="CW147" s="279"/>
      <c r="CX147" s="52"/>
      <c r="CY147" s="105"/>
      <c r="CZ147" s="98"/>
      <c r="DA147" s="279"/>
      <c r="DB147" s="52"/>
      <c r="DC147" s="105"/>
      <c r="DD147" s="98"/>
      <c r="DE147" s="279"/>
      <c r="DF147" s="52"/>
      <c r="DG147" s="105"/>
      <c r="DH147" s="98"/>
      <c r="DI147" s="279"/>
      <c r="DJ147" s="52"/>
      <c r="DK147" s="105"/>
      <c r="DL147" s="98"/>
      <c r="DM147" s="279"/>
      <c r="DN147" s="52"/>
      <c r="DO147" s="105"/>
      <c r="DP147" s="98"/>
      <c r="DQ147" s="279"/>
      <c r="DR147" s="52"/>
      <c r="DS147" s="105"/>
      <c r="DT147" s="98"/>
      <c r="DU147" s="279"/>
      <c r="DV147" s="52"/>
      <c r="DW147" s="105"/>
      <c r="DX147" s="98"/>
      <c r="DY147" s="279"/>
      <c r="DZ147" s="52"/>
      <c r="EA147" s="105"/>
      <c r="EB147" s="98"/>
      <c r="EC147" s="279"/>
      <c r="ED147" s="52"/>
      <c r="EE147" s="105"/>
      <c r="EF147" s="98"/>
      <c r="EG147" s="159"/>
      <c r="EH147" s="277"/>
      <c r="EI147" s="50">
        <f t="shared" si="78"/>
        <v>0</v>
      </c>
      <c r="EJ147" s="103">
        <f t="shared" si="79"/>
        <v>0</v>
      </c>
      <c r="EK147" s="164">
        <f t="shared" si="80"/>
        <v>0</v>
      </c>
      <c r="EL147" s="280">
        <f t="shared" si="81"/>
        <v>0</v>
      </c>
      <c r="EM147" s="63">
        <f t="shared" si="82"/>
        <v>0</v>
      </c>
      <c r="EN147" s="359">
        <f t="shared" si="83"/>
        <v>0</v>
      </c>
      <c r="EO147" s="51">
        <f t="shared" si="84"/>
        <v>0</v>
      </c>
      <c r="EP147" s="361">
        <f t="shared" si="85"/>
        <v>0</v>
      </c>
      <c r="EQ147" s="281"/>
      <c r="ER147" s="277"/>
      <c r="ES147" s="281"/>
      <c r="ET147" s="277"/>
      <c r="EU147" s="281"/>
      <c r="EV147" s="277"/>
      <c r="EW147" s="281"/>
      <c r="EX147" s="277"/>
      <c r="EY147" s="281"/>
      <c r="EZ147" s="277"/>
      <c r="FA147" s="281"/>
      <c r="FB147" s="277"/>
      <c r="FC147" s="281"/>
      <c r="FD147" s="277"/>
      <c r="FE147" s="281"/>
      <c r="FF147" s="277"/>
      <c r="FG147" s="281"/>
      <c r="FH147" s="277"/>
      <c r="FI147" s="281"/>
      <c r="FJ147" s="277"/>
      <c r="FK147" s="50">
        <f t="shared" si="86"/>
        <v>0</v>
      </c>
      <c r="FL147" s="63">
        <f t="shared" si="87"/>
        <v>0</v>
      </c>
      <c r="FM147" s="50">
        <f t="shared" si="69"/>
        <v>435</v>
      </c>
      <c r="FN147" s="360">
        <f t="shared" si="70"/>
        <v>493</v>
      </c>
      <c r="FO147" s="3"/>
      <c r="FP147" s="279"/>
      <c r="FQ147" s="52"/>
      <c r="FR147" s="296"/>
      <c r="FS147" s="98"/>
      <c r="FT147" s="467"/>
      <c r="FU147" s="52"/>
      <c r="FV147" s="296"/>
      <c r="FW147" s="98"/>
      <c r="FX147" s="467"/>
      <c r="FY147" s="52"/>
      <c r="FZ147" s="296"/>
      <c r="GA147" s="98"/>
      <c r="GB147" s="467"/>
      <c r="GC147" s="52"/>
      <c r="GD147" s="296"/>
      <c r="GE147" s="98"/>
      <c r="GF147" s="467"/>
      <c r="GG147" s="52"/>
      <c r="GH147" s="296"/>
      <c r="GI147" s="98"/>
      <c r="GJ147" s="467"/>
      <c r="GK147" s="52"/>
      <c r="GL147" s="296"/>
      <c r="GM147" s="464"/>
      <c r="GN147" s="467"/>
      <c r="GO147" s="52"/>
      <c r="GP147" s="296"/>
      <c r="GQ147" s="464"/>
      <c r="GR147" s="467"/>
      <c r="GS147" s="52"/>
      <c r="GT147" s="296"/>
      <c r="GU147" s="464"/>
      <c r="GV147" s="467"/>
      <c r="GW147" s="52"/>
      <c r="GX147" s="296"/>
      <c r="GY147" s="464"/>
      <c r="GZ147" s="467"/>
      <c r="HA147" s="52"/>
      <c r="HB147" s="296"/>
      <c r="HC147" s="3"/>
    </row>
    <row r="148" spans="1:211" s="86" customFormat="1">
      <c r="A148" s="292" t="s">
        <v>955</v>
      </c>
      <c r="B148" s="293" t="s">
        <v>552</v>
      </c>
      <c r="C148" s="292">
        <v>139010</v>
      </c>
      <c r="D148" s="346">
        <v>9</v>
      </c>
      <c r="E148" s="460">
        <v>420</v>
      </c>
      <c r="F148" s="277">
        <v>386</v>
      </c>
      <c r="G148" s="158"/>
      <c r="H148" s="277"/>
      <c r="I148" s="158">
        <v>177</v>
      </c>
      <c r="J148" s="277">
        <v>165</v>
      </c>
      <c r="K148" s="160">
        <f t="shared" si="71"/>
        <v>0</v>
      </c>
      <c r="L148" s="161">
        <f t="shared" si="64"/>
        <v>0</v>
      </c>
      <c r="M148" s="54"/>
      <c r="N148" s="55"/>
      <c r="O148" s="55"/>
      <c r="P148" s="55"/>
      <c r="Q148" s="162">
        <f t="shared" si="72"/>
        <v>0</v>
      </c>
      <c r="R148" s="277"/>
      <c r="S148" s="277"/>
      <c r="T148" s="277"/>
      <c r="U148" s="277"/>
      <c r="V148" s="97">
        <f t="shared" si="73"/>
        <v>0</v>
      </c>
      <c r="W148" s="279"/>
      <c r="X148" s="52"/>
      <c r="Y148" s="99"/>
      <c r="Z148" s="53"/>
      <c r="AA148" s="228"/>
      <c r="AB148" s="52"/>
      <c r="AC148" s="99"/>
      <c r="AD148" s="53"/>
      <c r="AE148" s="228"/>
      <c r="AF148" s="52"/>
      <c r="AG148" s="99"/>
      <c r="AH148" s="53"/>
      <c r="AI148" s="228"/>
      <c r="AJ148" s="52"/>
      <c r="AK148" s="99"/>
      <c r="AL148" s="53"/>
      <c r="AM148" s="228"/>
      <c r="AN148" s="52"/>
      <c r="AO148" s="99"/>
      <c r="AP148" s="53"/>
      <c r="AQ148" s="50">
        <f t="shared" si="65"/>
        <v>0</v>
      </c>
      <c r="AR148" s="163">
        <f t="shared" si="66"/>
        <v>0</v>
      </c>
      <c r="AS148" s="97">
        <f t="shared" si="67"/>
        <v>0</v>
      </c>
      <c r="AT148" s="278">
        <f t="shared" si="68"/>
        <v>0</v>
      </c>
      <c r="AU148" s="55"/>
      <c r="AV148" s="277"/>
      <c r="AW148" s="297"/>
      <c r="AX148" s="294"/>
      <c r="AY148" s="295"/>
      <c r="AZ148" s="296"/>
      <c r="BA148" s="297"/>
      <c r="BB148" s="294"/>
      <c r="BC148" s="295"/>
      <c r="BD148" s="296"/>
      <c r="BE148" s="297"/>
      <c r="BF148" s="294"/>
      <c r="BG148" s="295"/>
      <c r="BH148" s="296"/>
      <c r="BI148" s="297"/>
      <c r="BJ148" s="294"/>
      <c r="BK148" s="295"/>
      <c r="BL148" s="296"/>
      <c r="BM148" s="297"/>
      <c r="BN148" s="294"/>
      <c r="BO148" s="295"/>
      <c r="BP148" s="296"/>
      <c r="BQ148" s="297"/>
      <c r="BR148" s="294"/>
      <c r="BS148" s="295"/>
      <c r="BT148" s="296"/>
      <c r="BU148" s="297"/>
      <c r="BV148" s="294"/>
      <c r="BW148" s="295"/>
      <c r="BX148" s="296"/>
      <c r="BY148" s="297"/>
      <c r="BZ148" s="294"/>
      <c r="CA148" s="295"/>
      <c r="CB148" s="296"/>
      <c r="CC148" s="297"/>
      <c r="CD148" s="294"/>
      <c r="CE148" s="295"/>
      <c r="CF148" s="296"/>
      <c r="CG148" s="297"/>
      <c r="CH148" s="294"/>
      <c r="CI148" s="295"/>
      <c r="CJ148" s="296"/>
      <c r="CK148" s="281"/>
      <c r="CL148" s="277"/>
      <c r="CM148" s="298"/>
      <c r="CN148" s="277"/>
      <c r="CO148" s="50">
        <f t="shared" si="74"/>
        <v>0</v>
      </c>
      <c r="CP148" s="103">
        <f t="shared" si="75"/>
        <v>0</v>
      </c>
      <c r="CQ148" s="280">
        <f t="shared" si="76"/>
        <v>0</v>
      </c>
      <c r="CR148" s="63">
        <f t="shared" si="77"/>
        <v>0</v>
      </c>
      <c r="CS148" s="279"/>
      <c r="CT148" s="52"/>
      <c r="CU148" s="105"/>
      <c r="CV148" s="98"/>
      <c r="CW148" s="279"/>
      <c r="CX148" s="52"/>
      <c r="CY148" s="105"/>
      <c r="CZ148" s="98"/>
      <c r="DA148" s="279"/>
      <c r="DB148" s="52"/>
      <c r="DC148" s="105"/>
      <c r="DD148" s="98"/>
      <c r="DE148" s="279"/>
      <c r="DF148" s="52"/>
      <c r="DG148" s="105"/>
      <c r="DH148" s="98"/>
      <c r="DI148" s="279"/>
      <c r="DJ148" s="52"/>
      <c r="DK148" s="105"/>
      <c r="DL148" s="98"/>
      <c r="DM148" s="279"/>
      <c r="DN148" s="52"/>
      <c r="DO148" s="105"/>
      <c r="DP148" s="98"/>
      <c r="DQ148" s="279"/>
      <c r="DR148" s="52"/>
      <c r="DS148" s="105"/>
      <c r="DT148" s="98"/>
      <c r="DU148" s="279"/>
      <c r="DV148" s="52"/>
      <c r="DW148" s="105"/>
      <c r="DX148" s="98"/>
      <c r="DY148" s="279"/>
      <c r="DZ148" s="52"/>
      <c r="EA148" s="105"/>
      <c r="EB148" s="98"/>
      <c r="EC148" s="279"/>
      <c r="ED148" s="52"/>
      <c r="EE148" s="105"/>
      <c r="EF148" s="98"/>
      <c r="EG148" s="159"/>
      <c r="EH148" s="277"/>
      <c r="EI148" s="50">
        <f t="shared" si="78"/>
        <v>0</v>
      </c>
      <c r="EJ148" s="103">
        <f t="shared" si="79"/>
        <v>0</v>
      </c>
      <c r="EK148" s="164">
        <f t="shared" si="80"/>
        <v>0</v>
      </c>
      <c r="EL148" s="280">
        <f t="shared" si="81"/>
        <v>0</v>
      </c>
      <c r="EM148" s="63">
        <f t="shared" si="82"/>
        <v>0</v>
      </c>
      <c r="EN148" s="359">
        <f t="shared" si="83"/>
        <v>0</v>
      </c>
      <c r="EO148" s="51">
        <f t="shared" si="84"/>
        <v>0</v>
      </c>
      <c r="EP148" s="361">
        <f t="shared" si="85"/>
        <v>0</v>
      </c>
      <c r="EQ148" s="281"/>
      <c r="ER148" s="277"/>
      <c r="ES148" s="281"/>
      <c r="ET148" s="277"/>
      <c r="EU148" s="281"/>
      <c r="EV148" s="277"/>
      <c r="EW148" s="281"/>
      <c r="EX148" s="277"/>
      <c r="EY148" s="281"/>
      <c r="EZ148" s="277"/>
      <c r="FA148" s="281"/>
      <c r="FB148" s="277"/>
      <c r="FC148" s="281"/>
      <c r="FD148" s="277"/>
      <c r="FE148" s="281"/>
      <c r="FF148" s="277"/>
      <c r="FG148" s="281"/>
      <c r="FH148" s="277"/>
      <c r="FI148" s="281"/>
      <c r="FJ148" s="277"/>
      <c r="FK148" s="50">
        <f t="shared" si="86"/>
        <v>0</v>
      </c>
      <c r="FL148" s="63">
        <f t="shared" si="87"/>
        <v>0</v>
      </c>
      <c r="FM148" s="50">
        <f t="shared" si="69"/>
        <v>597</v>
      </c>
      <c r="FN148" s="360">
        <f t="shared" si="70"/>
        <v>551</v>
      </c>
      <c r="FO148" s="3"/>
      <c r="FP148" s="279"/>
      <c r="FQ148" s="52"/>
      <c r="FR148" s="296"/>
      <c r="FS148" s="98"/>
      <c r="FT148" s="467"/>
      <c r="FU148" s="52"/>
      <c r="FV148" s="296"/>
      <c r="FW148" s="98"/>
      <c r="FX148" s="467"/>
      <c r="FY148" s="52"/>
      <c r="FZ148" s="296"/>
      <c r="GA148" s="98"/>
      <c r="GB148" s="467"/>
      <c r="GC148" s="52"/>
      <c r="GD148" s="296"/>
      <c r="GE148" s="98"/>
      <c r="GF148" s="467"/>
      <c r="GG148" s="52"/>
      <c r="GH148" s="296"/>
      <c r="GI148" s="98"/>
      <c r="GJ148" s="467"/>
      <c r="GK148" s="52"/>
      <c r="GL148" s="296"/>
      <c r="GM148" s="464"/>
      <c r="GN148" s="467"/>
      <c r="GO148" s="52"/>
      <c r="GP148" s="296"/>
      <c r="GQ148" s="464"/>
      <c r="GR148" s="467"/>
      <c r="GS148" s="52"/>
      <c r="GT148" s="296"/>
      <c r="GU148" s="464"/>
      <c r="GV148" s="467"/>
      <c r="GW148" s="52"/>
      <c r="GX148" s="296"/>
      <c r="GY148" s="464"/>
      <c r="GZ148" s="467"/>
      <c r="HA148" s="52"/>
      <c r="HB148" s="296"/>
      <c r="HC148" s="3"/>
    </row>
    <row r="149" spans="1:211" s="86" customFormat="1">
      <c r="A149" s="292" t="s">
        <v>955</v>
      </c>
      <c r="B149" s="365" t="s">
        <v>75</v>
      </c>
      <c r="C149" s="300">
        <v>139250</v>
      </c>
      <c r="D149" s="347">
        <v>9</v>
      </c>
      <c r="E149" s="460">
        <v>123</v>
      </c>
      <c r="F149" s="277">
        <v>92</v>
      </c>
      <c r="G149" s="158"/>
      <c r="H149" s="277"/>
      <c r="I149" s="158">
        <v>288</v>
      </c>
      <c r="J149" s="277">
        <v>294</v>
      </c>
      <c r="K149" s="160">
        <f t="shared" si="71"/>
        <v>0</v>
      </c>
      <c r="L149" s="161">
        <f t="shared" si="64"/>
        <v>0</v>
      </c>
      <c r="M149" s="54"/>
      <c r="N149" s="55"/>
      <c r="O149" s="55"/>
      <c r="P149" s="55"/>
      <c r="Q149" s="162">
        <f t="shared" si="72"/>
        <v>0</v>
      </c>
      <c r="R149" s="277"/>
      <c r="S149" s="277">
        <v>0</v>
      </c>
      <c r="T149" s="277"/>
      <c r="U149" s="277"/>
      <c r="V149" s="97">
        <f t="shared" si="73"/>
        <v>0</v>
      </c>
      <c r="W149" s="279"/>
      <c r="X149" s="52"/>
      <c r="Y149" s="99"/>
      <c r="Z149" s="53"/>
      <c r="AA149" s="228"/>
      <c r="AB149" s="52"/>
      <c r="AC149" s="99"/>
      <c r="AD149" s="53"/>
      <c r="AE149" s="228"/>
      <c r="AF149" s="52"/>
      <c r="AG149" s="99"/>
      <c r="AH149" s="53"/>
      <c r="AI149" s="228"/>
      <c r="AJ149" s="52"/>
      <c r="AK149" s="99"/>
      <c r="AL149" s="53"/>
      <c r="AM149" s="228"/>
      <c r="AN149" s="52"/>
      <c r="AO149" s="99"/>
      <c r="AP149" s="53"/>
      <c r="AQ149" s="50">
        <f t="shared" si="65"/>
        <v>0</v>
      </c>
      <c r="AR149" s="163">
        <f t="shared" si="66"/>
        <v>0</v>
      </c>
      <c r="AS149" s="97">
        <f t="shared" si="67"/>
        <v>0</v>
      </c>
      <c r="AT149" s="278">
        <f t="shared" si="68"/>
        <v>0</v>
      </c>
      <c r="AU149" s="55"/>
      <c r="AV149" s="277"/>
      <c r="AW149" s="297"/>
      <c r="AX149" s="294"/>
      <c r="AY149" s="295"/>
      <c r="AZ149" s="296"/>
      <c r="BA149" s="297"/>
      <c r="BB149" s="294"/>
      <c r="BC149" s="295"/>
      <c r="BD149" s="296"/>
      <c r="BE149" s="297"/>
      <c r="BF149" s="294"/>
      <c r="BG149" s="295"/>
      <c r="BH149" s="296"/>
      <c r="BI149" s="297"/>
      <c r="BJ149" s="294"/>
      <c r="BK149" s="295"/>
      <c r="BL149" s="296"/>
      <c r="BM149" s="297"/>
      <c r="BN149" s="294"/>
      <c r="BO149" s="295"/>
      <c r="BP149" s="296"/>
      <c r="BQ149" s="297"/>
      <c r="BR149" s="294"/>
      <c r="BS149" s="295"/>
      <c r="BT149" s="296"/>
      <c r="BU149" s="297"/>
      <c r="BV149" s="294"/>
      <c r="BW149" s="295"/>
      <c r="BX149" s="296"/>
      <c r="BY149" s="297"/>
      <c r="BZ149" s="294"/>
      <c r="CA149" s="295"/>
      <c r="CB149" s="296"/>
      <c r="CC149" s="297"/>
      <c r="CD149" s="294"/>
      <c r="CE149" s="295"/>
      <c r="CF149" s="296"/>
      <c r="CG149" s="297"/>
      <c r="CH149" s="294"/>
      <c r="CI149" s="295"/>
      <c r="CJ149" s="296"/>
      <c r="CK149" s="281"/>
      <c r="CL149" s="277"/>
      <c r="CM149" s="298"/>
      <c r="CN149" s="277"/>
      <c r="CO149" s="50">
        <f t="shared" si="74"/>
        <v>0</v>
      </c>
      <c r="CP149" s="103">
        <f t="shared" si="75"/>
        <v>0</v>
      </c>
      <c r="CQ149" s="280">
        <f t="shared" si="76"/>
        <v>0</v>
      </c>
      <c r="CR149" s="63">
        <f t="shared" si="77"/>
        <v>0</v>
      </c>
      <c r="CS149" s="279"/>
      <c r="CT149" s="52"/>
      <c r="CU149" s="105"/>
      <c r="CV149" s="98"/>
      <c r="CW149" s="279"/>
      <c r="CX149" s="52"/>
      <c r="CY149" s="105"/>
      <c r="CZ149" s="98"/>
      <c r="DA149" s="279"/>
      <c r="DB149" s="52"/>
      <c r="DC149" s="105"/>
      <c r="DD149" s="98"/>
      <c r="DE149" s="279"/>
      <c r="DF149" s="52"/>
      <c r="DG149" s="105"/>
      <c r="DH149" s="98"/>
      <c r="DI149" s="279"/>
      <c r="DJ149" s="52"/>
      <c r="DK149" s="105"/>
      <c r="DL149" s="98"/>
      <c r="DM149" s="279"/>
      <c r="DN149" s="52"/>
      <c r="DO149" s="105"/>
      <c r="DP149" s="98"/>
      <c r="DQ149" s="279"/>
      <c r="DR149" s="52"/>
      <c r="DS149" s="105"/>
      <c r="DT149" s="98"/>
      <c r="DU149" s="279"/>
      <c r="DV149" s="52"/>
      <c r="DW149" s="105"/>
      <c r="DX149" s="98"/>
      <c r="DY149" s="279"/>
      <c r="DZ149" s="52"/>
      <c r="EA149" s="105"/>
      <c r="EB149" s="98"/>
      <c r="EC149" s="279"/>
      <c r="ED149" s="52"/>
      <c r="EE149" s="105"/>
      <c r="EF149" s="98"/>
      <c r="EG149" s="159"/>
      <c r="EH149" s="277"/>
      <c r="EI149" s="50">
        <f t="shared" si="78"/>
        <v>0</v>
      </c>
      <c r="EJ149" s="103">
        <f t="shared" si="79"/>
        <v>0</v>
      </c>
      <c r="EK149" s="164">
        <f t="shared" si="80"/>
        <v>0</v>
      </c>
      <c r="EL149" s="280">
        <f t="shared" si="81"/>
        <v>0</v>
      </c>
      <c r="EM149" s="63">
        <f t="shared" si="82"/>
        <v>0</v>
      </c>
      <c r="EN149" s="359">
        <f t="shared" si="83"/>
        <v>0</v>
      </c>
      <c r="EO149" s="51">
        <f t="shared" si="84"/>
        <v>0</v>
      </c>
      <c r="EP149" s="361">
        <f t="shared" si="85"/>
        <v>0</v>
      </c>
      <c r="EQ149" s="281"/>
      <c r="ER149" s="277"/>
      <c r="ES149" s="281"/>
      <c r="ET149" s="277"/>
      <c r="EU149" s="281"/>
      <c r="EV149" s="277"/>
      <c r="EW149" s="281"/>
      <c r="EX149" s="277"/>
      <c r="EY149" s="281"/>
      <c r="EZ149" s="277"/>
      <c r="FA149" s="281"/>
      <c r="FB149" s="277"/>
      <c r="FC149" s="281"/>
      <c r="FD149" s="277"/>
      <c r="FE149" s="281"/>
      <c r="FF149" s="277"/>
      <c r="FG149" s="281"/>
      <c r="FH149" s="277"/>
      <c r="FI149" s="281"/>
      <c r="FJ149" s="277"/>
      <c r="FK149" s="50">
        <f t="shared" si="86"/>
        <v>0</v>
      </c>
      <c r="FL149" s="63">
        <f t="shared" si="87"/>
        <v>0</v>
      </c>
      <c r="FM149" s="50">
        <f t="shared" si="69"/>
        <v>411</v>
      </c>
      <c r="FN149" s="360">
        <f t="shared" si="70"/>
        <v>386</v>
      </c>
      <c r="FO149" s="3"/>
      <c r="FP149" s="279"/>
      <c r="FQ149" s="52"/>
      <c r="FR149" s="296"/>
      <c r="FS149" s="98"/>
      <c r="FT149" s="467"/>
      <c r="FU149" s="52"/>
      <c r="FV149" s="296"/>
      <c r="FW149" s="98"/>
      <c r="FX149" s="467"/>
      <c r="FY149" s="52"/>
      <c r="FZ149" s="296"/>
      <c r="GA149" s="98"/>
      <c r="GB149" s="467"/>
      <c r="GC149" s="52"/>
      <c r="GD149" s="296"/>
      <c r="GE149" s="98"/>
      <c r="GF149" s="467"/>
      <c r="GG149" s="52"/>
      <c r="GH149" s="296"/>
      <c r="GI149" s="98"/>
      <c r="GJ149" s="467"/>
      <c r="GK149" s="52"/>
      <c r="GL149" s="296"/>
      <c r="GM149" s="464"/>
      <c r="GN149" s="467"/>
      <c r="GO149" s="52"/>
      <c r="GP149" s="296"/>
      <c r="GQ149" s="464"/>
      <c r="GR149" s="467"/>
      <c r="GS149" s="52"/>
      <c r="GT149" s="296"/>
      <c r="GU149" s="464"/>
      <c r="GV149" s="467"/>
      <c r="GW149" s="52"/>
      <c r="GX149" s="296"/>
      <c r="GY149" s="464"/>
      <c r="GZ149" s="467"/>
      <c r="HA149" s="52"/>
      <c r="HB149" s="296"/>
      <c r="HC149" s="3"/>
    </row>
    <row r="150" spans="1:211" s="86" customFormat="1">
      <c r="A150" s="292" t="s">
        <v>955</v>
      </c>
      <c r="B150" s="365" t="s">
        <v>546</v>
      </c>
      <c r="C150" s="292">
        <v>138691</v>
      </c>
      <c r="D150" s="346">
        <v>9</v>
      </c>
      <c r="E150" s="460">
        <v>80</v>
      </c>
      <c r="F150" s="277">
        <v>114</v>
      </c>
      <c r="G150" s="158"/>
      <c r="H150" s="277"/>
      <c r="I150" s="158">
        <v>547</v>
      </c>
      <c r="J150" s="277">
        <v>456</v>
      </c>
      <c r="K150" s="160">
        <f t="shared" si="71"/>
        <v>0</v>
      </c>
      <c r="L150" s="161">
        <f t="shared" si="64"/>
        <v>0</v>
      </c>
      <c r="M150" s="54"/>
      <c r="N150" s="55"/>
      <c r="O150" s="55"/>
      <c r="P150" s="55"/>
      <c r="Q150" s="162">
        <f t="shared" si="72"/>
        <v>0</v>
      </c>
      <c r="R150" s="277"/>
      <c r="S150" s="277"/>
      <c r="T150" s="277"/>
      <c r="U150" s="277"/>
      <c r="V150" s="97">
        <f t="shared" si="73"/>
        <v>0</v>
      </c>
      <c r="W150" s="279"/>
      <c r="X150" s="52"/>
      <c r="Y150" s="99"/>
      <c r="Z150" s="53"/>
      <c r="AA150" s="228"/>
      <c r="AB150" s="52"/>
      <c r="AC150" s="99"/>
      <c r="AD150" s="53"/>
      <c r="AE150" s="228"/>
      <c r="AF150" s="52"/>
      <c r="AG150" s="99"/>
      <c r="AH150" s="53"/>
      <c r="AI150" s="228"/>
      <c r="AJ150" s="52"/>
      <c r="AK150" s="99"/>
      <c r="AL150" s="53"/>
      <c r="AM150" s="228"/>
      <c r="AN150" s="52"/>
      <c r="AO150" s="99"/>
      <c r="AP150" s="53"/>
      <c r="AQ150" s="50">
        <f t="shared" si="65"/>
        <v>0</v>
      </c>
      <c r="AR150" s="163">
        <f t="shared" si="66"/>
        <v>0</v>
      </c>
      <c r="AS150" s="97">
        <f t="shared" si="67"/>
        <v>0</v>
      </c>
      <c r="AT150" s="278">
        <f t="shared" si="68"/>
        <v>0</v>
      </c>
      <c r="AU150" s="55"/>
      <c r="AV150" s="277"/>
      <c r="AW150" s="297"/>
      <c r="AX150" s="294"/>
      <c r="AY150" s="295"/>
      <c r="AZ150" s="296"/>
      <c r="BA150" s="297"/>
      <c r="BB150" s="294"/>
      <c r="BC150" s="295"/>
      <c r="BD150" s="296"/>
      <c r="BE150" s="297"/>
      <c r="BF150" s="294"/>
      <c r="BG150" s="295"/>
      <c r="BH150" s="296"/>
      <c r="BI150" s="297"/>
      <c r="BJ150" s="294"/>
      <c r="BK150" s="295"/>
      <c r="BL150" s="296"/>
      <c r="BM150" s="297"/>
      <c r="BN150" s="294"/>
      <c r="BO150" s="295"/>
      <c r="BP150" s="296"/>
      <c r="BQ150" s="297"/>
      <c r="BR150" s="294"/>
      <c r="BS150" s="295"/>
      <c r="BT150" s="296"/>
      <c r="BU150" s="297"/>
      <c r="BV150" s="294"/>
      <c r="BW150" s="295"/>
      <c r="BX150" s="296"/>
      <c r="BY150" s="297"/>
      <c r="BZ150" s="294"/>
      <c r="CA150" s="295"/>
      <c r="CB150" s="296"/>
      <c r="CC150" s="297"/>
      <c r="CD150" s="294"/>
      <c r="CE150" s="295"/>
      <c r="CF150" s="296"/>
      <c r="CG150" s="297"/>
      <c r="CH150" s="294"/>
      <c r="CI150" s="295"/>
      <c r="CJ150" s="296"/>
      <c r="CK150" s="281"/>
      <c r="CL150" s="277"/>
      <c r="CM150" s="298"/>
      <c r="CN150" s="277"/>
      <c r="CO150" s="50">
        <f t="shared" si="74"/>
        <v>0</v>
      </c>
      <c r="CP150" s="103">
        <f t="shared" si="75"/>
        <v>0</v>
      </c>
      <c r="CQ150" s="280">
        <f t="shared" si="76"/>
        <v>0</v>
      </c>
      <c r="CR150" s="63">
        <f t="shared" si="77"/>
        <v>0</v>
      </c>
      <c r="CS150" s="279"/>
      <c r="CT150" s="52"/>
      <c r="CU150" s="105"/>
      <c r="CV150" s="98"/>
      <c r="CW150" s="279"/>
      <c r="CX150" s="52"/>
      <c r="CY150" s="105"/>
      <c r="CZ150" s="98"/>
      <c r="DA150" s="279"/>
      <c r="DB150" s="52"/>
      <c r="DC150" s="105"/>
      <c r="DD150" s="98"/>
      <c r="DE150" s="279"/>
      <c r="DF150" s="52"/>
      <c r="DG150" s="105"/>
      <c r="DH150" s="98"/>
      <c r="DI150" s="279"/>
      <c r="DJ150" s="52"/>
      <c r="DK150" s="105"/>
      <c r="DL150" s="98"/>
      <c r="DM150" s="279"/>
      <c r="DN150" s="52"/>
      <c r="DO150" s="105"/>
      <c r="DP150" s="98"/>
      <c r="DQ150" s="279"/>
      <c r="DR150" s="52"/>
      <c r="DS150" s="105"/>
      <c r="DT150" s="98"/>
      <c r="DU150" s="279"/>
      <c r="DV150" s="52"/>
      <c r="DW150" s="105"/>
      <c r="DX150" s="98"/>
      <c r="DY150" s="279"/>
      <c r="DZ150" s="52"/>
      <c r="EA150" s="105"/>
      <c r="EB150" s="98"/>
      <c r="EC150" s="279"/>
      <c r="ED150" s="52"/>
      <c r="EE150" s="105"/>
      <c r="EF150" s="98"/>
      <c r="EG150" s="159"/>
      <c r="EH150" s="277"/>
      <c r="EI150" s="50">
        <f t="shared" si="78"/>
        <v>0</v>
      </c>
      <c r="EJ150" s="103">
        <f t="shared" si="79"/>
        <v>0</v>
      </c>
      <c r="EK150" s="164">
        <f t="shared" si="80"/>
        <v>0</v>
      </c>
      <c r="EL150" s="280">
        <f t="shared" si="81"/>
        <v>0</v>
      </c>
      <c r="EM150" s="63">
        <f t="shared" si="82"/>
        <v>0</v>
      </c>
      <c r="EN150" s="359">
        <f t="shared" si="83"/>
        <v>0</v>
      </c>
      <c r="EO150" s="51">
        <f t="shared" si="84"/>
        <v>0</v>
      </c>
      <c r="EP150" s="361">
        <f t="shared" si="85"/>
        <v>0</v>
      </c>
      <c r="EQ150" s="281"/>
      <c r="ER150" s="277"/>
      <c r="ES150" s="281"/>
      <c r="ET150" s="277"/>
      <c r="EU150" s="281"/>
      <c r="EV150" s="277"/>
      <c r="EW150" s="281"/>
      <c r="EX150" s="277"/>
      <c r="EY150" s="281"/>
      <c r="EZ150" s="277"/>
      <c r="FA150" s="281"/>
      <c r="FB150" s="277"/>
      <c r="FC150" s="281"/>
      <c r="FD150" s="277"/>
      <c r="FE150" s="281"/>
      <c r="FF150" s="277"/>
      <c r="FG150" s="281"/>
      <c r="FH150" s="277"/>
      <c r="FI150" s="281"/>
      <c r="FJ150" s="277"/>
      <c r="FK150" s="50">
        <f t="shared" si="86"/>
        <v>0</v>
      </c>
      <c r="FL150" s="63">
        <f t="shared" si="87"/>
        <v>0</v>
      </c>
      <c r="FM150" s="50">
        <f t="shared" si="69"/>
        <v>627</v>
      </c>
      <c r="FN150" s="360">
        <f t="shared" si="70"/>
        <v>570</v>
      </c>
      <c r="FO150" s="3"/>
      <c r="FP150" s="279"/>
      <c r="FQ150" s="52"/>
      <c r="FR150" s="296"/>
      <c r="FS150" s="98"/>
      <c r="FT150" s="467"/>
      <c r="FU150" s="52"/>
      <c r="FV150" s="296"/>
      <c r="FW150" s="98"/>
      <c r="FX150" s="467"/>
      <c r="FY150" s="52"/>
      <c r="FZ150" s="296"/>
      <c r="GA150" s="98"/>
      <c r="GB150" s="467"/>
      <c r="GC150" s="52"/>
      <c r="GD150" s="296"/>
      <c r="GE150" s="98"/>
      <c r="GF150" s="467"/>
      <c r="GG150" s="52"/>
      <c r="GH150" s="296"/>
      <c r="GI150" s="98"/>
      <c r="GJ150" s="467"/>
      <c r="GK150" s="52"/>
      <c r="GL150" s="296"/>
      <c r="GM150" s="464"/>
      <c r="GN150" s="467"/>
      <c r="GO150" s="52"/>
      <c r="GP150" s="296"/>
      <c r="GQ150" s="464"/>
      <c r="GR150" s="467"/>
      <c r="GS150" s="52"/>
      <c r="GT150" s="296"/>
      <c r="GU150" s="464"/>
      <c r="GV150" s="467"/>
      <c r="GW150" s="52"/>
      <c r="GX150" s="296"/>
      <c r="GY150" s="464"/>
      <c r="GZ150" s="467"/>
      <c r="HA150" s="52"/>
      <c r="HB150" s="296"/>
      <c r="HC150" s="3"/>
    </row>
    <row r="151" spans="1:211" s="86" customFormat="1">
      <c r="A151" s="301" t="s">
        <v>955</v>
      </c>
      <c r="B151" s="366" t="s">
        <v>547</v>
      </c>
      <c r="C151" s="300">
        <v>139773</v>
      </c>
      <c r="D151" s="347">
        <v>9</v>
      </c>
      <c r="E151" s="460">
        <v>28</v>
      </c>
      <c r="F151" s="277">
        <v>23</v>
      </c>
      <c r="G151" s="158"/>
      <c r="H151" s="277"/>
      <c r="I151" s="158">
        <v>647</v>
      </c>
      <c r="J151" s="277">
        <v>653</v>
      </c>
      <c r="K151" s="160">
        <f t="shared" si="71"/>
        <v>25.88</v>
      </c>
      <c r="L151" s="161">
        <f t="shared" si="64"/>
        <v>10.704918032786885</v>
      </c>
      <c r="M151" s="54">
        <v>25</v>
      </c>
      <c r="N151" s="55">
        <v>19</v>
      </c>
      <c r="O151" s="55"/>
      <c r="P151" s="55"/>
      <c r="Q151" s="162">
        <f t="shared" si="72"/>
        <v>19</v>
      </c>
      <c r="R151" s="277">
        <v>61</v>
      </c>
      <c r="S151" s="277">
        <v>49</v>
      </c>
      <c r="T151" s="277"/>
      <c r="U151" s="277"/>
      <c r="V151" s="97">
        <f t="shared" si="73"/>
        <v>49</v>
      </c>
      <c r="W151" s="279" t="s">
        <v>343</v>
      </c>
      <c r="X151" s="52">
        <v>19</v>
      </c>
      <c r="Y151" s="99" t="s">
        <v>343</v>
      </c>
      <c r="Z151" s="53">
        <v>49</v>
      </c>
      <c r="AA151" s="228" t="s">
        <v>751</v>
      </c>
      <c r="AB151" s="52">
        <v>6</v>
      </c>
      <c r="AC151" s="99" t="s">
        <v>731</v>
      </c>
      <c r="AD151" s="53">
        <v>7</v>
      </c>
      <c r="AE151" s="228"/>
      <c r="AF151" s="52"/>
      <c r="AG151" s="99" t="s">
        <v>751</v>
      </c>
      <c r="AH151" s="53">
        <v>5</v>
      </c>
      <c r="AI151" s="228"/>
      <c r="AJ151" s="52"/>
      <c r="AK151" s="99"/>
      <c r="AL151" s="53"/>
      <c r="AM151" s="228"/>
      <c r="AN151" s="52"/>
      <c r="AO151" s="99"/>
      <c r="AP151" s="53"/>
      <c r="AQ151" s="50">
        <f t="shared" si="65"/>
        <v>2</v>
      </c>
      <c r="AR151" s="163">
        <f t="shared" si="66"/>
        <v>3.5714285714285712E-2</v>
      </c>
      <c r="AS151" s="97">
        <f t="shared" si="67"/>
        <v>3</v>
      </c>
      <c r="AT151" s="278">
        <f t="shared" si="68"/>
        <v>8.2767978290366348E-2</v>
      </c>
      <c r="AU151" s="55"/>
      <c r="AV151" s="277"/>
      <c r="AW151" s="297"/>
      <c r="AX151" s="294"/>
      <c r="AY151" s="295"/>
      <c r="AZ151" s="296"/>
      <c r="BA151" s="297"/>
      <c r="BB151" s="294"/>
      <c r="BC151" s="295"/>
      <c r="BD151" s="296"/>
      <c r="BE151" s="297"/>
      <c r="BF151" s="294"/>
      <c r="BG151" s="295"/>
      <c r="BH151" s="296"/>
      <c r="BI151" s="297"/>
      <c r="BJ151" s="294"/>
      <c r="BK151" s="295"/>
      <c r="BL151" s="296"/>
      <c r="BM151" s="297"/>
      <c r="BN151" s="294"/>
      <c r="BO151" s="295"/>
      <c r="BP151" s="296"/>
      <c r="BQ151" s="297"/>
      <c r="BR151" s="294"/>
      <c r="BS151" s="295"/>
      <c r="BT151" s="296"/>
      <c r="BU151" s="297"/>
      <c r="BV151" s="294"/>
      <c r="BW151" s="295"/>
      <c r="BX151" s="296"/>
      <c r="BY151" s="297"/>
      <c r="BZ151" s="294"/>
      <c r="CA151" s="295"/>
      <c r="CB151" s="296"/>
      <c r="CC151" s="297"/>
      <c r="CD151" s="294"/>
      <c r="CE151" s="295"/>
      <c r="CF151" s="296"/>
      <c r="CG151" s="297"/>
      <c r="CH151" s="294"/>
      <c r="CI151" s="295"/>
      <c r="CJ151" s="296"/>
      <c r="CK151" s="281"/>
      <c r="CL151" s="277"/>
      <c r="CM151" s="298"/>
      <c r="CN151" s="277"/>
      <c r="CO151" s="50">
        <f t="shared" si="74"/>
        <v>0</v>
      </c>
      <c r="CP151" s="103">
        <f t="shared" si="75"/>
        <v>0</v>
      </c>
      <c r="CQ151" s="280">
        <f t="shared" si="76"/>
        <v>0</v>
      </c>
      <c r="CR151" s="63">
        <f t="shared" si="77"/>
        <v>0</v>
      </c>
      <c r="CS151" s="279"/>
      <c r="CT151" s="52"/>
      <c r="CU151" s="105"/>
      <c r="CV151" s="98"/>
      <c r="CW151" s="279"/>
      <c r="CX151" s="52"/>
      <c r="CY151" s="105"/>
      <c r="CZ151" s="98"/>
      <c r="DA151" s="279"/>
      <c r="DB151" s="52"/>
      <c r="DC151" s="105"/>
      <c r="DD151" s="98"/>
      <c r="DE151" s="279"/>
      <c r="DF151" s="52"/>
      <c r="DG151" s="105"/>
      <c r="DH151" s="98"/>
      <c r="DI151" s="279"/>
      <c r="DJ151" s="52"/>
      <c r="DK151" s="105"/>
      <c r="DL151" s="98"/>
      <c r="DM151" s="279"/>
      <c r="DN151" s="52"/>
      <c r="DO151" s="105"/>
      <c r="DP151" s="98"/>
      <c r="DQ151" s="279"/>
      <c r="DR151" s="52"/>
      <c r="DS151" s="105"/>
      <c r="DT151" s="98"/>
      <c r="DU151" s="279"/>
      <c r="DV151" s="52"/>
      <c r="DW151" s="105"/>
      <c r="DX151" s="98"/>
      <c r="DY151" s="279"/>
      <c r="DZ151" s="52"/>
      <c r="EA151" s="105"/>
      <c r="EB151" s="98"/>
      <c r="EC151" s="279"/>
      <c r="ED151" s="52"/>
      <c r="EE151" s="105"/>
      <c r="EF151" s="98"/>
      <c r="EG151" s="159"/>
      <c r="EH151" s="277"/>
      <c r="EI151" s="50">
        <f t="shared" si="78"/>
        <v>0</v>
      </c>
      <c r="EJ151" s="103">
        <f t="shared" si="79"/>
        <v>0</v>
      </c>
      <c r="EK151" s="164">
        <f t="shared" si="80"/>
        <v>0</v>
      </c>
      <c r="EL151" s="280">
        <f t="shared" si="81"/>
        <v>0</v>
      </c>
      <c r="EM151" s="63">
        <f t="shared" si="82"/>
        <v>0</v>
      </c>
      <c r="EN151" s="359">
        <f t="shared" si="83"/>
        <v>0</v>
      </c>
      <c r="EO151" s="51">
        <f t="shared" si="84"/>
        <v>0</v>
      </c>
      <c r="EP151" s="361">
        <f t="shared" si="85"/>
        <v>0</v>
      </c>
      <c r="EQ151" s="281"/>
      <c r="ER151" s="277"/>
      <c r="ES151" s="281"/>
      <c r="ET151" s="277"/>
      <c r="EU151" s="281"/>
      <c r="EV151" s="277"/>
      <c r="EW151" s="281"/>
      <c r="EX151" s="277"/>
      <c r="EY151" s="281"/>
      <c r="EZ151" s="277"/>
      <c r="FA151" s="281"/>
      <c r="FB151" s="277"/>
      <c r="FC151" s="281"/>
      <c r="FD151" s="277"/>
      <c r="FE151" s="281"/>
      <c r="FF151" s="277"/>
      <c r="FG151" s="281"/>
      <c r="FH151" s="277"/>
      <c r="FI151" s="281"/>
      <c r="FJ151" s="277"/>
      <c r="FK151" s="50">
        <f t="shared" si="86"/>
        <v>0</v>
      </c>
      <c r="FL151" s="63">
        <f t="shared" si="87"/>
        <v>0</v>
      </c>
      <c r="FM151" s="50">
        <f t="shared" si="69"/>
        <v>700</v>
      </c>
      <c r="FN151" s="360">
        <f t="shared" si="70"/>
        <v>737</v>
      </c>
      <c r="FO151" s="3"/>
      <c r="FP151" s="279"/>
      <c r="FQ151" s="52"/>
      <c r="FR151" s="296"/>
      <c r="FS151" s="98"/>
      <c r="FT151" s="467"/>
      <c r="FU151" s="52"/>
      <c r="FV151" s="296"/>
      <c r="FW151" s="98"/>
      <c r="FX151" s="467"/>
      <c r="FY151" s="52"/>
      <c r="FZ151" s="296"/>
      <c r="GA151" s="98"/>
      <c r="GB151" s="467"/>
      <c r="GC151" s="52"/>
      <c r="GD151" s="296"/>
      <c r="GE151" s="98"/>
      <c r="GF151" s="467"/>
      <c r="GG151" s="52"/>
      <c r="GH151" s="296"/>
      <c r="GI151" s="98"/>
      <c r="GJ151" s="467"/>
      <c r="GK151" s="52"/>
      <c r="GL151" s="296"/>
      <c r="GM151" s="464"/>
      <c r="GN151" s="467"/>
      <c r="GO151" s="52"/>
      <c r="GP151" s="296"/>
      <c r="GQ151" s="464"/>
      <c r="GR151" s="467"/>
      <c r="GS151" s="52"/>
      <c r="GT151" s="296"/>
      <c r="GU151" s="464"/>
      <c r="GV151" s="467"/>
      <c r="GW151" s="52"/>
      <c r="GX151" s="296"/>
      <c r="GY151" s="464"/>
      <c r="GZ151" s="467"/>
      <c r="HA151" s="52"/>
      <c r="HB151" s="296"/>
      <c r="HC151" s="3"/>
    </row>
    <row r="152" spans="1:211" s="86" customFormat="1">
      <c r="A152" s="301" t="s">
        <v>955</v>
      </c>
      <c r="B152" s="299" t="s">
        <v>548</v>
      </c>
      <c r="C152" s="300">
        <v>139700</v>
      </c>
      <c r="D152" s="347">
        <v>9</v>
      </c>
      <c r="E152" s="460"/>
      <c r="F152" s="277"/>
      <c r="G152" s="158"/>
      <c r="H152" s="277"/>
      <c r="I152" s="158">
        <v>384</v>
      </c>
      <c r="J152" s="277">
        <v>418</v>
      </c>
      <c r="K152" s="160">
        <f t="shared" si="71"/>
        <v>0</v>
      </c>
      <c r="L152" s="161">
        <f t="shared" si="64"/>
        <v>0</v>
      </c>
      <c r="M152" s="54"/>
      <c r="N152" s="55"/>
      <c r="O152" s="55"/>
      <c r="P152" s="55"/>
      <c r="Q152" s="162">
        <f t="shared" si="72"/>
        <v>0</v>
      </c>
      <c r="R152" s="277"/>
      <c r="S152" s="277"/>
      <c r="T152" s="277"/>
      <c r="U152" s="277"/>
      <c r="V152" s="97">
        <f t="shared" si="73"/>
        <v>0</v>
      </c>
      <c r="W152" s="279"/>
      <c r="X152" s="52"/>
      <c r="Y152" s="99"/>
      <c r="Z152" s="53"/>
      <c r="AA152" s="228"/>
      <c r="AB152" s="52"/>
      <c r="AC152" s="99"/>
      <c r="AD152" s="53"/>
      <c r="AE152" s="228"/>
      <c r="AF152" s="52"/>
      <c r="AG152" s="99"/>
      <c r="AH152" s="53"/>
      <c r="AI152" s="228"/>
      <c r="AJ152" s="52"/>
      <c r="AK152" s="99"/>
      <c r="AL152" s="53"/>
      <c r="AM152" s="228"/>
      <c r="AN152" s="52"/>
      <c r="AO152" s="99"/>
      <c r="AP152" s="53"/>
      <c r="AQ152" s="50">
        <f t="shared" si="65"/>
        <v>0</v>
      </c>
      <c r="AR152" s="163">
        <f t="shared" si="66"/>
        <v>0</v>
      </c>
      <c r="AS152" s="97">
        <f t="shared" si="67"/>
        <v>0</v>
      </c>
      <c r="AT152" s="278">
        <f t="shared" si="68"/>
        <v>0</v>
      </c>
      <c r="AU152" s="55"/>
      <c r="AV152" s="277"/>
      <c r="AW152" s="297"/>
      <c r="AX152" s="294"/>
      <c r="AY152" s="295"/>
      <c r="AZ152" s="296"/>
      <c r="BA152" s="297"/>
      <c r="BB152" s="294"/>
      <c r="BC152" s="295"/>
      <c r="BD152" s="296"/>
      <c r="BE152" s="297"/>
      <c r="BF152" s="294"/>
      <c r="BG152" s="295"/>
      <c r="BH152" s="296"/>
      <c r="BI152" s="297"/>
      <c r="BJ152" s="294"/>
      <c r="BK152" s="295"/>
      <c r="BL152" s="296"/>
      <c r="BM152" s="297"/>
      <c r="BN152" s="294"/>
      <c r="BO152" s="295"/>
      <c r="BP152" s="296"/>
      <c r="BQ152" s="297"/>
      <c r="BR152" s="294"/>
      <c r="BS152" s="295"/>
      <c r="BT152" s="296"/>
      <c r="BU152" s="297"/>
      <c r="BV152" s="294"/>
      <c r="BW152" s="295"/>
      <c r="BX152" s="296"/>
      <c r="BY152" s="297"/>
      <c r="BZ152" s="294"/>
      <c r="CA152" s="295"/>
      <c r="CB152" s="296"/>
      <c r="CC152" s="297"/>
      <c r="CD152" s="294"/>
      <c r="CE152" s="295"/>
      <c r="CF152" s="296"/>
      <c r="CG152" s="297"/>
      <c r="CH152" s="294"/>
      <c r="CI152" s="295"/>
      <c r="CJ152" s="296"/>
      <c r="CK152" s="281"/>
      <c r="CL152" s="277"/>
      <c r="CM152" s="298"/>
      <c r="CN152" s="277"/>
      <c r="CO152" s="50">
        <f t="shared" si="74"/>
        <v>0</v>
      </c>
      <c r="CP152" s="103">
        <f t="shared" si="75"/>
        <v>0</v>
      </c>
      <c r="CQ152" s="280">
        <f t="shared" si="76"/>
        <v>0</v>
      </c>
      <c r="CR152" s="63">
        <f t="shared" si="77"/>
        <v>0</v>
      </c>
      <c r="CS152" s="279"/>
      <c r="CT152" s="52"/>
      <c r="CU152" s="105"/>
      <c r="CV152" s="98"/>
      <c r="CW152" s="279"/>
      <c r="CX152" s="52"/>
      <c r="CY152" s="105"/>
      <c r="CZ152" s="98"/>
      <c r="DA152" s="279"/>
      <c r="DB152" s="52"/>
      <c r="DC152" s="105"/>
      <c r="DD152" s="98"/>
      <c r="DE152" s="279"/>
      <c r="DF152" s="52"/>
      <c r="DG152" s="105"/>
      <c r="DH152" s="98"/>
      <c r="DI152" s="279"/>
      <c r="DJ152" s="52"/>
      <c r="DK152" s="105"/>
      <c r="DL152" s="98"/>
      <c r="DM152" s="279"/>
      <c r="DN152" s="52"/>
      <c r="DO152" s="105"/>
      <c r="DP152" s="98"/>
      <c r="DQ152" s="279"/>
      <c r="DR152" s="52"/>
      <c r="DS152" s="105"/>
      <c r="DT152" s="98"/>
      <c r="DU152" s="279"/>
      <c r="DV152" s="52"/>
      <c r="DW152" s="105"/>
      <c r="DX152" s="98"/>
      <c r="DY152" s="279"/>
      <c r="DZ152" s="52"/>
      <c r="EA152" s="105"/>
      <c r="EB152" s="98"/>
      <c r="EC152" s="279"/>
      <c r="ED152" s="52"/>
      <c r="EE152" s="105"/>
      <c r="EF152" s="98"/>
      <c r="EG152" s="159"/>
      <c r="EH152" s="277"/>
      <c r="EI152" s="50">
        <f t="shared" si="78"/>
        <v>0</v>
      </c>
      <c r="EJ152" s="103">
        <f t="shared" si="79"/>
        <v>0</v>
      </c>
      <c r="EK152" s="164">
        <f t="shared" si="80"/>
        <v>0</v>
      </c>
      <c r="EL152" s="280">
        <f t="shared" si="81"/>
        <v>0</v>
      </c>
      <c r="EM152" s="63">
        <f t="shared" si="82"/>
        <v>0</v>
      </c>
      <c r="EN152" s="359">
        <f t="shared" si="83"/>
        <v>0</v>
      </c>
      <c r="EO152" s="51">
        <f t="shared" si="84"/>
        <v>0</v>
      </c>
      <c r="EP152" s="361">
        <f t="shared" si="85"/>
        <v>0</v>
      </c>
      <c r="EQ152" s="281"/>
      <c r="ER152" s="277"/>
      <c r="ES152" s="281"/>
      <c r="ET152" s="277"/>
      <c r="EU152" s="281"/>
      <c r="EV152" s="277"/>
      <c r="EW152" s="281"/>
      <c r="EX152" s="277"/>
      <c r="EY152" s="281"/>
      <c r="EZ152" s="277"/>
      <c r="FA152" s="281"/>
      <c r="FB152" s="277"/>
      <c r="FC152" s="281"/>
      <c r="FD152" s="277"/>
      <c r="FE152" s="281"/>
      <c r="FF152" s="277"/>
      <c r="FG152" s="281"/>
      <c r="FH152" s="277"/>
      <c r="FI152" s="281"/>
      <c r="FJ152" s="277"/>
      <c r="FK152" s="50">
        <f t="shared" si="86"/>
        <v>0</v>
      </c>
      <c r="FL152" s="63">
        <f t="shared" si="87"/>
        <v>0</v>
      </c>
      <c r="FM152" s="50">
        <f t="shared" si="69"/>
        <v>384</v>
      </c>
      <c r="FN152" s="360">
        <f t="shared" si="70"/>
        <v>418</v>
      </c>
      <c r="FO152" s="3"/>
      <c r="FP152" s="279"/>
      <c r="FQ152" s="52"/>
      <c r="FR152" s="296"/>
      <c r="FS152" s="98"/>
      <c r="FT152" s="467"/>
      <c r="FU152" s="52"/>
      <c r="FV152" s="296"/>
      <c r="FW152" s="98"/>
      <c r="FX152" s="467"/>
      <c r="FY152" s="52"/>
      <c r="FZ152" s="296"/>
      <c r="GA152" s="98"/>
      <c r="GB152" s="467"/>
      <c r="GC152" s="52"/>
      <c r="GD152" s="296"/>
      <c r="GE152" s="98"/>
      <c r="GF152" s="467"/>
      <c r="GG152" s="52"/>
      <c r="GH152" s="296"/>
      <c r="GI152" s="98"/>
      <c r="GJ152" s="467"/>
      <c r="GK152" s="52"/>
      <c r="GL152" s="296"/>
      <c r="GM152" s="464"/>
      <c r="GN152" s="467"/>
      <c r="GO152" s="52"/>
      <c r="GP152" s="296"/>
      <c r="GQ152" s="464"/>
      <c r="GR152" s="467"/>
      <c r="GS152" s="52"/>
      <c r="GT152" s="296"/>
      <c r="GU152" s="464"/>
      <c r="GV152" s="467"/>
      <c r="GW152" s="52"/>
      <c r="GX152" s="296"/>
      <c r="GY152" s="464"/>
      <c r="GZ152" s="467"/>
      <c r="HA152" s="52"/>
      <c r="HB152" s="296"/>
      <c r="HC152" s="3"/>
    </row>
    <row r="153" spans="1:211" s="86" customFormat="1">
      <c r="A153" s="292" t="s">
        <v>955</v>
      </c>
      <c r="B153" s="293" t="s">
        <v>549</v>
      </c>
      <c r="C153" s="292">
        <v>139968</v>
      </c>
      <c r="D153" s="346">
        <v>9</v>
      </c>
      <c r="E153" s="460"/>
      <c r="F153" s="277"/>
      <c r="G153" s="158"/>
      <c r="H153" s="277"/>
      <c r="I153" s="158">
        <v>409</v>
      </c>
      <c r="J153" s="277">
        <v>420</v>
      </c>
      <c r="K153" s="160">
        <f t="shared" si="71"/>
        <v>0</v>
      </c>
      <c r="L153" s="161">
        <f t="shared" si="64"/>
        <v>15</v>
      </c>
      <c r="M153" s="54"/>
      <c r="N153" s="55"/>
      <c r="O153" s="55"/>
      <c r="P153" s="55"/>
      <c r="Q153" s="162">
        <f t="shared" si="72"/>
        <v>0</v>
      </c>
      <c r="R153" s="277">
        <v>28</v>
      </c>
      <c r="S153" s="277">
        <v>28</v>
      </c>
      <c r="T153" s="277"/>
      <c r="U153" s="277"/>
      <c r="V153" s="97">
        <f t="shared" si="73"/>
        <v>28</v>
      </c>
      <c r="W153" s="279"/>
      <c r="X153" s="52"/>
      <c r="Y153" s="99" t="s">
        <v>343</v>
      </c>
      <c r="Z153" s="53">
        <v>28</v>
      </c>
      <c r="AA153" s="228"/>
      <c r="AB153" s="52"/>
      <c r="AC153" s="99"/>
      <c r="AD153" s="53"/>
      <c r="AE153" s="228"/>
      <c r="AF153" s="52"/>
      <c r="AG153" s="99"/>
      <c r="AH153" s="53"/>
      <c r="AI153" s="228"/>
      <c r="AJ153" s="52"/>
      <c r="AK153" s="99"/>
      <c r="AL153" s="53"/>
      <c r="AM153" s="228"/>
      <c r="AN153" s="52"/>
      <c r="AO153" s="99"/>
      <c r="AP153" s="53"/>
      <c r="AQ153" s="50">
        <f t="shared" si="65"/>
        <v>0</v>
      </c>
      <c r="AR153" s="163">
        <f t="shared" si="66"/>
        <v>0</v>
      </c>
      <c r="AS153" s="97">
        <f t="shared" si="67"/>
        <v>1</v>
      </c>
      <c r="AT153" s="278">
        <f t="shared" si="68"/>
        <v>6.25E-2</v>
      </c>
      <c r="AU153" s="55"/>
      <c r="AV153" s="277"/>
      <c r="AW153" s="297"/>
      <c r="AX153" s="294"/>
      <c r="AY153" s="295"/>
      <c r="AZ153" s="296"/>
      <c r="BA153" s="297"/>
      <c r="BB153" s="294"/>
      <c r="BC153" s="295"/>
      <c r="BD153" s="296"/>
      <c r="BE153" s="297"/>
      <c r="BF153" s="294"/>
      <c r="BG153" s="295"/>
      <c r="BH153" s="296"/>
      <c r="BI153" s="297"/>
      <c r="BJ153" s="294"/>
      <c r="BK153" s="295"/>
      <c r="BL153" s="296"/>
      <c r="BM153" s="297"/>
      <c r="BN153" s="294"/>
      <c r="BO153" s="295"/>
      <c r="BP153" s="296"/>
      <c r="BQ153" s="297"/>
      <c r="BR153" s="294"/>
      <c r="BS153" s="295"/>
      <c r="BT153" s="296"/>
      <c r="BU153" s="297"/>
      <c r="BV153" s="294"/>
      <c r="BW153" s="295"/>
      <c r="BX153" s="296"/>
      <c r="BY153" s="297"/>
      <c r="BZ153" s="294"/>
      <c r="CA153" s="295"/>
      <c r="CB153" s="296"/>
      <c r="CC153" s="297"/>
      <c r="CD153" s="294"/>
      <c r="CE153" s="295"/>
      <c r="CF153" s="296"/>
      <c r="CG153" s="297"/>
      <c r="CH153" s="294"/>
      <c r="CI153" s="295"/>
      <c r="CJ153" s="296"/>
      <c r="CK153" s="281"/>
      <c r="CL153" s="277"/>
      <c r="CM153" s="298"/>
      <c r="CN153" s="277"/>
      <c r="CO153" s="50">
        <f t="shared" si="74"/>
        <v>0</v>
      </c>
      <c r="CP153" s="103">
        <f t="shared" si="75"/>
        <v>0</v>
      </c>
      <c r="CQ153" s="280">
        <f t="shared" si="76"/>
        <v>0</v>
      </c>
      <c r="CR153" s="63">
        <f t="shared" si="77"/>
        <v>0</v>
      </c>
      <c r="CS153" s="279"/>
      <c r="CT153" s="52"/>
      <c r="CU153" s="105"/>
      <c r="CV153" s="98"/>
      <c r="CW153" s="279"/>
      <c r="CX153" s="52"/>
      <c r="CY153" s="105"/>
      <c r="CZ153" s="98"/>
      <c r="DA153" s="279"/>
      <c r="DB153" s="52"/>
      <c r="DC153" s="105"/>
      <c r="DD153" s="98"/>
      <c r="DE153" s="279"/>
      <c r="DF153" s="52"/>
      <c r="DG153" s="105"/>
      <c r="DH153" s="98"/>
      <c r="DI153" s="279"/>
      <c r="DJ153" s="52"/>
      <c r="DK153" s="105"/>
      <c r="DL153" s="98"/>
      <c r="DM153" s="279"/>
      <c r="DN153" s="52"/>
      <c r="DO153" s="105"/>
      <c r="DP153" s="98"/>
      <c r="DQ153" s="279"/>
      <c r="DR153" s="52"/>
      <c r="DS153" s="105"/>
      <c r="DT153" s="98"/>
      <c r="DU153" s="279"/>
      <c r="DV153" s="52"/>
      <c r="DW153" s="105"/>
      <c r="DX153" s="98"/>
      <c r="DY153" s="279"/>
      <c r="DZ153" s="52"/>
      <c r="EA153" s="105"/>
      <c r="EB153" s="98"/>
      <c r="EC153" s="279"/>
      <c r="ED153" s="52"/>
      <c r="EE153" s="105"/>
      <c r="EF153" s="98"/>
      <c r="EG153" s="159"/>
      <c r="EH153" s="277"/>
      <c r="EI153" s="50">
        <f t="shared" si="78"/>
        <v>0</v>
      </c>
      <c r="EJ153" s="103">
        <f t="shared" si="79"/>
        <v>0</v>
      </c>
      <c r="EK153" s="164">
        <f t="shared" si="80"/>
        <v>0</v>
      </c>
      <c r="EL153" s="280">
        <f t="shared" si="81"/>
        <v>0</v>
      </c>
      <c r="EM153" s="63">
        <f t="shared" si="82"/>
        <v>0</v>
      </c>
      <c r="EN153" s="359">
        <f t="shared" si="83"/>
        <v>0</v>
      </c>
      <c r="EO153" s="51">
        <f t="shared" si="84"/>
        <v>0</v>
      </c>
      <c r="EP153" s="361">
        <f t="shared" si="85"/>
        <v>0</v>
      </c>
      <c r="EQ153" s="281"/>
      <c r="ER153" s="277"/>
      <c r="ES153" s="281"/>
      <c r="ET153" s="277"/>
      <c r="EU153" s="281"/>
      <c r="EV153" s="277"/>
      <c r="EW153" s="281"/>
      <c r="EX153" s="277"/>
      <c r="EY153" s="281"/>
      <c r="EZ153" s="277"/>
      <c r="FA153" s="281"/>
      <c r="FB153" s="277"/>
      <c r="FC153" s="281"/>
      <c r="FD153" s="277"/>
      <c r="FE153" s="281"/>
      <c r="FF153" s="277"/>
      <c r="FG153" s="281"/>
      <c r="FH153" s="277"/>
      <c r="FI153" s="281"/>
      <c r="FJ153" s="277"/>
      <c r="FK153" s="50">
        <f t="shared" si="86"/>
        <v>0</v>
      </c>
      <c r="FL153" s="63">
        <f t="shared" si="87"/>
        <v>0</v>
      </c>
      <c r="FM153" s="50">
        <f t="shared" si="69"/>
        <v>409</v>
      </c>
      <c r="FN153" s="360">
        <f t="shared" si="70"/>
        <v>448</v>
      </c>
      <c r="FO153" s="3"/>
      <c r="FP153" s="279"/>
      <c r="FQ153" s="52"/>
      <c r="FR153" s="296"/>
      <c r="FS153" s="98"/>
      <c r="FT153" s="467"/>
      <c r="FU153" s="52"/>
      <c r="FV153" s="296"/>
      <c r="FW153" s="98"/>
      <c r="FX153" s="467"/>
      <c r="FY153" s="52"/>
      <c r="FZ153" s="296"/>
      <c r="GA153" s="98"/>
      <c r="GB153" s="467"/>
      <c r="GC153" s="52"/>
      <c r="GD153" s="296"/>
      <c r="GE153" s="98"/>
      <c r="GF153" s="467"/>
      <c r="GG153" s="52"/>
      <c r="GH153" s="296"/>
      <c r="GI153" s="98"/>
      <c r="GJ153" s="467"/>
      <c r="GK153" s="52"/>
      <c r="GL153" s="296"/>
      <c r="GM153" s="464"/>
      <c r="GN153" s="467"/>
      <c r="GO153" s="52"/>
      <c r="GP153" s="296"/>
      <c r="GQ153" s="464"/>
      <c r="GR153" s="467"/>
      <c r="GS153" s="52"/>
      <c r="GT153" s="296"/>
      <c r="GU153" s="464"/>
      <c r="GV153" s="467"/>
      <c r="GW153" s="52"/>
      <c r="GX153" s="296"/>
      <c r="GY153" s="464"/>
      <c r="GZ153" s="467"/>
      <c r="HA153" s="52"/>
      <c r="HB153" s="296"/>
      <c r="HC153" s="3"/>
    </row>
    <row r="154" spans="1:211" s="86" customFormat="1">
      <c r="A154" s="292" t="s">
        <v>955</v>
      </c>
      <c r="B154" s="299" t="s">
        <v>550</v>
      </c>
      <c r="C154" s="292">
        <v>140483</v>
      </c>
      <c r="D154" s="346">
        <v>9</v>
      </c>
      <c r="E154" s="460">
        <v>115</v>
      </c>
      <c r="F154" s="277">
        <v>74</v>
      </c>
      <c r="G154" s="158"/>
      <c r="H154" s="277"/>
      <c r="I154" s="158">
        <v>349</v>
      </c>
      <c r="J154" s="277">
        <v>263</v>
      </c>
      <c r="K154" s="160">
        <f t="shared" si="71"/>
        <v>0</v>
      </c>
      <c r="L154" s="161">
        <f t="shared" si="64"/>
        <v>0</v>
      </c>
      <c r="M154" s="54"/>
      <c r="N154" s="55"/>
      <c r="O154" s="55"/>
      <c r="P154" s="55"/>
      <c r="Q154" s="162">
        <f t="shared" si="72"/>
        <v>0</v>
      </c>
      <c r="R154" s="277"/>
      <c r="S154" s="277"/>
      <c r="T154" s="277"/>
      <c r="U154" s="277"/>
      <c r="V154" s="97">
        <f t="shared" si="73"/>
        <v>0</v>
      </c>
      <c r="W154" s="279"/>
      <c r="X154" s="52"/>
      <c r="Y154" s="99"/>
      <c r="Z154" s="53"/>
      <c r="AA154" s="228"/>
      <c r="AB154" s="52"/>
      <c r="AC154" s="99"/>
      <c r="AD154" s="53"/>
      <c r="AE154" s="228"/>
      <c r="AF154" s="52"/>
      <c r="AG154" s="99"/>
      <c r="AH154" s="53"/>
      <c r="AI154" s="228"/>
      <c r="AJ154" s="52"/>
      <c r="AK154" s="99"/>
      <c r="AL154" s="53"/>
      <c r="AM154" s="228"/>
      <c r="AN154" s="52"/>
      <c r="AO154" s="99"/>
      <c r="AP154" s="53"/>
      <c r="AQ154" s="50">
        <f t="shared" si="65"/>
        <v>0</v>
      </c>
      <c r="AR154" s="163">
        <f t="shared" si="66"/>
        <v>0</v>
      </c>
      <c r="AS154" s="97">
        <f t="shared" si="67"/>
        <v>0</v>
      </c>
      <c r="AT154" s="278">
        <f t="shared" si="68"/>
        <v>0</v>
      </c>
      <c r="AU154" s="55"/>
      <c r="AV154" s="277"/>
      <c r="AW154" s="297"/>
      <c r="AX154" s="294"/>
      <c r="AY154" s="295"/>
      <c r="AZ154" s="296"/>
      <c r="BA154" s="297"/>
      <c r="BB154" s="294"/>
      <c r="BC154" s="295"/>
      <c r="BD154" s="296"/>
      <c r="BE154" s="297"/>
      <c r="BF154" s="294"/>
      <c r="BG154" s="295"/>
      <c r="BH154" s="296"/>
      <c r="BI154" s="297"/>
      <c r="BJ154" s="294"/>
      <c r="BK154" s="295"/>
      <c r="BL154" s="296"/>
      <c r="BM154" s="297"/>
      <c r="BN154" s="294"/>
      <c r="BO154" s="295"/>
      <c r="BP154" s="296"/>
      <c r="BQ154" s="297"/>
      <c r="BR154" s="294"/>
      <c r="BS154" s="295"/>
      <c r="BT154" s="296"/>
      <c r="BU154" s="297"/>
      <c r="BV154" s="294"/>
      <c r="BW154" s="295"/>
      <c r="BX154" s="296"/>
      <c r="BY154" s="297"/>
      <c r="BZ154" s="294"/>
      <c r="CA154" s="295"/>
      <c r="CB154" s="296"/>
      <c r="CC154" s="297"/>
      <c r="CD154" s="294"/>
      <c r="CE154" s="295"/>
      <c r="CF154" s="296"/>
      <c r="CG154" s="297"/>
      <c r="CH154" s="294"/>
      <c r="CI154" s="295"/>
      <c r="CJ154" s="296"/>
      <c r="CK154" s="281"/>
      <c r="CL154" s="277"/>
      <c r="CM154" s="298"/>
      <c r="CN154" s="277"/>
      <c r="CO154" s="50">
        <f t="shared" si="74"/>
        <v>0</v>
      </c>
      <c r="CP154" s="103">
        <f t="shared" si="75"/>
        <v>0</v>
      </c>
      <c r="CQ154" s="280">
        <f t="shared" si="76"/>
        <v>0</v>
      </c>
      <c r="CR154" s="63">
        <f t="shared" si="77"/>
        <v>0</v>
      </c>
      <c r="CS154" s="279"/>
      <c r="CT154" s="52"/>
      <c r="CU154" s="105"/>
      <c r="CV154" s="98"/>
      <c r="CW154" s="279"/>
      <c r="CX154" s="52"/>
      <c r="CY154" s="105"/>
      <c r="CZ154" s="98"/>
      <c r="DA154" s="279"/>
      <c r="DB154" s="52"/>
      <c r="DC154" s="105"/>
      <c r="DD154" s="98"/>
      <c r="DE154" s="279"/>
      <c r="DF154" s="52"/>
      <c r="DG154" s="105"/>
      <c r="DH154" s="98"/>
      <c r="DI154" s="279"/>
      <c r="DJ154" s="52"/>
      <c r="DK154" s="105"/>
      <c r="DL154" s="98"/>
      <c r="DM154" s="279"/>
      <c r="DN154" s="52"/>
      <c r="DO154" s="105"/>
      <c r="DP154" s="98"/>
      <c r="DQ154" s="279"/>
      <c r="DR154" s="52"/>
      <c r="DS154" s="105"/>
      <c r="DT154" s="98"/>
      <c r="DU154" s="279"/>
      <c r="DV154" s="52"/>
      <c r="DW154" s="105"/>
      <c r="DX154" s="98"/>
      <c r="DY154" s="279"/>
      <c r="DZ154" s="52"/>
      <c r="EA154" s="105"/>
      <c r="EB154" s="98"/>
      <c r="EC154" s="279"/>
      <c r="ED154" s="52"/>
      <c r="EE154" s="105"/>
      <c r="EF154" s="98"/>
      <c r="EG154" s="159"/>
      <c r="EH154" s="277"/>
      <c r="EI154" s="50">
        <f t="shared" si="78"/>
        <v>0</v>
      </c>
      <c r="EJ154" s="103">
        <f t="shared" si="79"/>
        <v>0</v>
      </c>
      <c r="EK154" s="164">
        <f t="shared" si="80"/>
        <v>0</v>
      </c>
      <c r="EL154" s="280">
        <f t="shared" si="81"/>
        <v>0</v>
      </c>
      <c r="EM154" s="63">
        <f t="shared" si="82"/>
        <v>0</v>
      </c>
      <c r="EN154" s="359">
        <f t="shared" si="83"/>
        <v>0</v>
      </c>
      <c r="EO154" s="51">
        <f t="shared" si="84"/>
        <v>0</v>
      </c>
      <c r="EP154" s="361">
        <f t="shared" si="85"/>
        <v>0</v>
      </c>
      <c r="EQ154" s="281"/>
      <c r="ER154" s="277"/>
      <c r="ES154" s="281"/>
      <c r="ET154" s="277"/>
      <c r="EU154" s="281"/>
      <c r="EV154" s="277"/>
      <c r="EW154" s="281"/>
      <c r="EX154" s="277"/>
      <c r="EY154" s="281"/>
      <c r="EZ154" s="277"/>
      <c r="FA154" s="281"/>
      <c r="FB154" s="277"/>
      <c r="FC154" s="281"/>
      <c r="FD154" s="277"/>
      <c r="FE154" s="281"/>
      <c r="FF154" s="277"/>
      <c r="FG154" s="281"/>
      <c r="FH154" s="277"/>
      <c r="FI154" s="281"/>
      <c r="FJ154" s="277"/>
      <c r="FK154" s="50">
        <f t="shared" si="86"/>
        <v>0</v>
      </c>
      <c r="FL154" s="63">
        <f t="shared" si="87"/>
        <v>0</v>
      </c>
      <c r="FM154" s="50">
        <f t="shared" si="69"/>
        <v>464</v>
      </c>
      <c r="FN154" s="360">
        <f t="shared" si="70"/>
        <v>337</v>
      </c>
      <c r="FO154" s="3"/>
      <c r="FP154" s="279"/>
      <c r="FQ154" s="52"/>
      <c r="FR154" s="296"/>
      <c r="FS154" s="98"/>
      <c r="FT154" s="467"/>
      <c r="FU154" s="52"/>
      <c r="FV154" s="296"/>
      <c r="FW154" s="98"/>
      <c r="FX154" s="467"/>
      <c r="FY154" s="52"/>
      <c r="FZ154" s="296"/>
      <c r="GA154" s="98"/>
      <c r="GB154" s="467"/>
      <c r="GC154" s="52"/>
      <c r="GD154" s="296"/>
      <c r="GE154" s="98"/>
      <c r="GF154" s="467"/>
      <c r="GG154" s="52"/>
      <c r="GH154" s="296"/>
      <c r="GI154" s="98"/>
      <c r="GJ154" s="467"/>
      <c r="GK154" s="52"/>
      <c r="GL154" s="296"/>
      <c r="GM154" s="464"/>
      <c r="GN154" s="467"/>
      <c r="GO154" s="52"/>
      <c r="GP154" s="296"/>
      <c r="GQ154" s="464"/>
      <c r="GR154" s="467"/>
      <c r="GS154" s="52"/>
      <c r="GT154" s="296"/>
      <c r="GU154" s="464"/>
      <c r="GV154" s="467"/>
      <c r="GW154" s="52"/>
      <c r="GX154" s="296"/>
      <c r="GY154" s="464"/>
      <c r="GZ154" s="467"/>
      <c r="HA154" s="52"/>
      <c r="HB154" s="296"/>
      <c r="HC154" s="3"/>
    </row>
    <row r="155" spans="1:211" s="86" customFormat="1">
      <c r="A155" s="292" t="s">
        <v>955</v>
      </c>
      <c r="B155" s="293" t="s">
        <v>551</v>
      </c>
      <c r="C155" s="292">
        <v>138901</v>
      </c>
      <c r="D155" s="346">
        <v>10</v>
      </c>
      <c r="E155" s="460"/>
      <c r="F155" s="277"/>
      <c r="G155" s="158"/>
      <c r="H155" s="277"/>
      <c r="I155" s="158">
        <v>189</v>
      </c>
      <c r="J155" s="277">
        <v>226</v>
      </c>
      <c r="K155" s="160">
        <f t="shared" si="71"/>
        <v>0</v>
      </c>
      <c r="L155" s="161">
        <f t="shared" si="64"/>
        <v>0</v>
      </c>
      <c r="M155" s="54"/>
      <c r="N155" s="55"/>
      <c r="O155" s="55"/>
      <c r="P155" s="55"/>
      <c r="Q155" s="162">
        <f t="shared" si="72"/>
        <v>0</v>
      </c>
      <c r="R155" s="277"/>
      <c r="S155" s="277"/>
      <c r="T155" s="277"/>
      <c r="U155" s="277"/>
      <c r="V155" s="97">
        <f t="shared" si="73"/>
        <v>0</v>
      </c>
      <c r="W155" s="279"/>
      <c r="X155" s="52"/>
      <c r="Y155" s="99"/>
      <c r="Z155" s="53"/>
      <c r="AA155" s="228"/>
      <c r="AB155" s="52"/>
      <c r="AC155" s="99"/>
      <c r="AD155" s="53"/>
      <c r="AE155" s="228"/>
      <c r="AF155" s="52"/>
      <c r="AG155" s="99"/>
      <c r="AH155" s="53"/>
      <c r="AI155" s="228"/>
      <c r="AJ155" s="52"/>
      <c r="AK155" s="99"/>
      <c r="AL155" s="53"/>
      <c r="AM155" s="228"/>
      <c r="AN155" s="52"/>
      <c r="AO155" s="99"/>
      <c r="AP155" s="53"/>
      <c r="AQ155" s="50">
        <f t="shared" si="65"/>
        <v>0</v>
      </c>
      <c r="AR155" s="163">
        <f t="shared" si="66"/>
        <v>0</v>
      </c>
      <c r="AS155" s="97">
        <f t="shared" si="67"/>
        <v>0</v>
      </c>
      <c r="AT155" s="278">
        <f t="shared" si="68"/>
        <v>0</v>
      </c>
      <c r="AU155" s="55"/>
      <c r="AV155" s="277"/>
      <c r="AW155" s="297"/>
      <c r="AX155" s="294"/>
      <c r="AY155" s="295"/>
      <c r="AZ155" s="296"/>
      <c r="BA155" s="297"/>
      <c r="BB155" s="294"/>
      <c r="BC155" s="295"/>
      <c r="BD155" s="296"/>
      <c r="BE155" s="297"/>
      <c r="BF155" s="294"/>
      <c r="BG155" s="295"/>
      <c r="BH155" s="296"/>
      <c r="BI155" s="297"/>
      <c r="BJ155" s="294"/>
      <c r="BK155" s="295"/>
      <c r="BL155" s="296"/>
      <c r="BM155" s="297"/>
      <c r="BN155" s="294"/>
      <c r="BO155" s="295"/>
      <c r="BP155" s="296"/>
      <c r="BQ155" s="297"/>
      <c r="BR155" s="294"/>
      <c r="BS155" s="295"/>
      <c r="BT155" s="296"/>
      <c r="BU155" s="297"/>
      <c r="BV155" s="294"/>
      <c r="BW155" s="295"/>
      <c r="BX155" s="296"/>
      <c r="BY155" s="297"/>
      <c r="BZ155" s="294"/>
      <c r="CA155" s="295"/>
      <c r="CB155" s="296"/>
      <c r="CC155" s="297"/>
      <c r="CD155" s="294"/>
      <c r="CE155" s="295"/>
      <c r="CF155" s="296"/>
      <c r="CG155" s="297"/>
      <c r="CH155" s="294"/>
      <c r="CI155" s="295"/>
      <c r="CJ155" s="296"/>
      <c r="CK155" s="281"/>
      <c r="CL155" s="277"/>
      <c r="CM155" s="298"/>
      <c r="CN155" s="277"/>
      <c r="CO155" s="50">
        <f t="shared" si="74"/>
        <v>0</v>
      </c>
      <c r="CP155" s="103">
        <f t="shared" si="75"/>
        <v>0</v>
      </c>
      <c r="CQ155" s="280">
        <f t="shared" si="76"/>
        <v>0</v>
      </c>
      <c r="CR155" s="63">
        <f t="shared" si="77"/>
        <v>0</v>
      </c>
      <c r="CS155" s="279"/>
      <c r="CT155" s="52"/>
      <c r="CU155" s="105"/>
      <c r="CV155" s="98"/>
      <c r="CW155" s="279"/>
      <c r="CX155" s="52"/>
      <c r="CY155" s="105"/>
      <c r="CZ155" s="98"/>
      <c r="DA155" s="279"/>
      <c r="DB155" s="52"/>
      <c r="DC155" s="105"/>
      <c r="DD155" s="98"/>
      <c r="DE155" s="279"/>
      <c r="DF155" s="52"/>
      <c r="DG155" s="105"/>
      <c r="DH155" s="98"/>
      <c r="DI155" s="279"/>
      <c r="DJ155" s="52"/>
      <c r="DK155" s="105"/>
      <c r="DL155" s="98"/>
      <c r="DM155" s="279"/>
      <c r="DN155" s="52"/>
      <c r="DO155" s="105"/>
      <c r="DP155" s="98"/>
      <c r="DQ155" s="279"/>
      <c r="DR155" s="52"/>
      <c r="DS155" s="105"/>
      <c r="DT155" s="98"/>
      <c r="DU155" s="279"/>
      <c r="DV155" s="52"/>
      <c r="DW155" s="105"/>
      <c r="DX155" s="98"/>
      <c r="DY155" s="279"/>
      <c r="DZ155" s="52"/>
      <c r="EA155" s="105"/>
      <c r="EB155" s="98"/>
      <c r="EC155" s="279"/>
      <c r="ED155" s="52"/>
      <c r="EE155" s="105"/>
      <c r="EF155" s="98"/>
      <c r="EG155" s="159"/>
      <c r="EH155" s="277"/>
      <c r="EI155" s="50">
        <f t="shared" si="78"/>
        <v>0</v>
      </c>
      <c r="EJ155" s="103">
        <f t="shared" si="79"/>
        <v>0</v>
      </c>
      <c r="EK155" s="164">
        <f t="shared" si="80"/>
        <v>0</v>
      </c>
      <c r="EL155" s="280">
        <f t="shared" si="81"/>
        <v>0</v>
      </c>
      <c r="EM155" s="63">
        <f t="shared" si="82"/>
        <v>0</v>
      </c>
      <c r="EN155" s="359">
        <f t="shared" si="83"/>
        <v>0</v>
      </c>
      <c r="EO155" s="51">
        <f t="shared" si="84"/>
        <v>0</v>
      </c>
      <c r="EP155" s="361">
        <f t="shared" si="85"/>
        <v>0</v>
      </c>
      <c r="EQ155" s="281"/>
      <c r="ER155" s="277"/>
      <c r="ES155" s="281"/>
      <c r="ET155" s="277"/>
      <c r="EU155" s="281"/>
      <c r="EV155" s="277"/>
      <c r="EW155" s="281"/>
      <c r="EX155" s="277"/>
      <c r="EY155" s="281"/>
      <c r="EZ155" s="277"/>
      <c r="FA155" s="281"/>
      <c r="FB155" s="277"/>
      <c r="FC155" s="281"/>
      <c r="FD155" s="277"/>
      <c r="FE155" s="281"/>
      <c r="FF155" s="277"/>
      <c r="FG155" s="281"/>
      <c r="FH155" s="277"/>
      <c r="FI155" s="281"/>
      <c r="FJ155" s="277"/>
      <c r="FK155" s="50">
        <f t="shared" si="86"/>
        <v>0</v>
      </c>
      <c r="FL155" s="63">
        <f t="shared" si="87"/>
        <v>0</v>
      </c>
      <c r="FM155" s="50">
        <f t="shared" si="69"/>
        <v>189</v>
      </c>
      <c r="FN155" s="360">
        <f t="shared" si="70"/>
        <v>226</v>
      </c>
      <c r="FO155" s="3"/>
      <c r="FP155" s="279"/>
      <c r="FQ155" s="52"/>
      <c r="FR155" s="296"/>
      <c r="FS155" s="98"/>
      <c r="FT155" s="467"/>
      <c r="FU155" s="52"/>
      <c r="FV155" s="296"/>
      <c r="FW155" s="98"/>
      <c r="FX155" s="467"/>
      <c r="FY155" s="52"/>
      <c r="FZ155" s="296"/>
      <c r="GA155" s="98"/>
      <c r="GB155" s="467"/>
      <c r="GC155" s="52"/>
      <c r="GD155" s="296"/>
      <c r="GE155" s="98"/>
      <c r="GF155" s="467"/>
      <c r="GG155" s="52"/>
      <c r="GH155" s="296"/>
      <c r="GI155" s="98"/>
      <c r="GJ155" s="467"/>
      <c r="GK155" s="52"/>
      <c r="GL155" s="296"/>
      <c r="GM155" s="464"/>
      <c r="GN155" s="467"/>
      <c r="GO155" s="52"/>
      <c r="GP155" s="296"/>
      <c r="GQ155" s="464"/>
      <c r="GR155" s="467"/>
      <c r="GS155" s="52"/>
      <c r="GT155" s="296"/>
      <c r="GU155" s="464"/>
      <c r="GV155" s="467"/>
      <c r="GW155" s="52"/>
      <c r="GX155" s="296"/>
      <c r="GY155" s="464"/>
      <c r="GZ155" s="467"/>
      <c r="HA155" s="52"/>
      <c r="HB155" s="296"/>
      <c r="HC155" s="3"/>
    </row>
    <row r="156" spans="1:211" s="86" customFormat="1">
      <c r="A156" s="292" t="s">
        <v>955</v>
      </c>
      <c r="B156" s="293" t="s">
        <v>553</v>
      </c>
      <c r="C156" s="292">
        <v>139621</v>
      </c>
      <c r="D156" s="346">
        <v>10</v>
      </c>
      <c r="E156" s="460"/>
      <c r="F156" s="277"/>
      <c r="G156" s="158"/>
      <c r="H156" s="277"/>
      <c r="I156" s="158">
        <v>94</v>
      </c>
      <c r="J156" s="277">
        <v>120</v>
      </c>
      <c r="K156" s="160">
        <f t="shared" si="71"/>
        <v>0</v>
      </c>
      <c r="L156" s="161">
        <f t="shared" si="64"/>
        <v>0</v>
      </c>
      <c r="M156" s="54"/>
      <c r="N156" s="55"/>
      <c r="O156" s="55"/>
      <c r="P156" s="55"/>
      <c r="Q156" s="162">
        <f t="shared" si="72"/>
        <v>0</v>
      </c>
      <c r="R156" s="277"/>
      <c r="S156" s="277"/>
      <c r="T156" s="277"/>
      <c r="U156" s="277"/>
      <c r="V156" s="97">
        <f t="shared" si="73"/>
        <v>0</v>
      </c>
      <c r="W156" s="279"/>
      <c r="X156" s="52"/>
      <c r="Y156" s="99"/>
      <c r="Z156" s="53"/>
      <c r="AA156" s="228"/>
      <c r="AB156" s="52"/>
      <c r="AC156" s="99"/>
      <c r="AD156" s="53"/>
      <c r="AE156" s="228"/>
      <c r="AF156" s="52"/>
      <c r="AG156" s="99"/>
      <c r="AH156" s="53"/>
      <c r="AI156" s="228"/>
      <c r="AJ156" s="52"/>
      <c r="AK156" s="99"/>
      <c r="AL156" s="53"/>
      <c r="AM156" s="228"/>
      <c r="AN156" s="52"/>
      <c r="AO156" s="99"/>
      <c r="AP156" s="53"/>
      <c r="AQ156" s="50">
        <f t="shared" si="65"/>
        <v>0</v>
      </c>
      <c r="AR156" s="163">
        <f t="shared" si="66"/>
        <v>0</v>
      </c>
      <c r="AS156" s="97">
        <f t="shared" si="67"/>
        <v>0</v>
      </c>
      <c r="AT156" s="278">
        <f t="shared" si="68"/>
        <v>0</v>
      </c>
      <c r="AU156" s="55"/>
      <c r="AV156" s="277"/>
      <c r="AW156" s="297"/>
      <c r="AX156" s="294"/>
      <c r="AY156" s="295"/>
      <c r="AZ156" s="296"/>
      <c r="BA156" s="297"/>
      <c r="BB156" s="294"/>
      <c r="BC156" s="295"/>
      <c r="BD156" s="296"/>
      <c r="BE156" s="297"/>
      <c r="BF156" s="294"/>
      <c r="BG156" s="295"/>
      <c r="BH156" s="296"/>
      <c r="BI156" s="297"/>
      <c r="BJ156" s="294"/>
      <c r="BK156" s="295"/>
      <c r="BL156" s="296"/>
      <c r="BM156" s="297"/>
      <c r="BN156" s="294"/>
      <c r="BO156" s="295"/>
      <c r="BP156" s="296"/>
      <c r="BQ156" s="297"/>
      <c r="BR156" s="294"/>
      <c r="BS156" s="295"/>
      <c r="BT156" s="296"/>
      <c r="BU156" s="297"/>
      <c r="BV156" s="294"/>
      <c r="BW156" s="295"/>
      <c r="BX156" s="296"/>
      <c r="BY156" s="297"/>
      <c r="BZ156" s="294"/>
      <c r="CA156" s="295"/>
      <c r="CB156" s="296"/>
      <c r="CC156" s="297"/>
      <c r="CD156" s="294"/>
      <c r="CE156" s="295"/>
      <c r="CF156" s="296"/>
      <c r="CG156" s="297"/>
      <c r="CH156" s="294"/>
      <c r="CI156" s="295"/>
      <c r="CJ156" s="296"/>
      <c r="CK156" s="281"/>
      <c r="CL156" s="277"/>
      <c r="CM156" s="298"/>
      <c r="CN156" s="277"/>
      <c r="CO156" s="50">
        <f t="shared" si="74"/>
        <v>0</v>
      </c>
      <c r="CP156" s="103">
        <f t="shared" si="75"/>
        <v>0</v>
      </c>
      <c r="CQ156" s="280">
        <f t="shared" si="76"/>
        <v>0</v>
      </c>
      <c r="CR156" s="63">
        <f t="shared" si="77"/>
        <v>0</v>
      </c>
      <c r="CS156" s="279"/>
      <c r="CT156" s="52"/>
      <c r="CU156" s="105"/>
      <c r="CV156" s="98"/>
      <c r="CW156" s="279"/>
      <c r="CX156" s="52"/>
      <c r="CY156" s="105"/>
      <c r="CZ156" s="98"/>
      <c r="DA156" s="279"/>
      <c r="DB156" s="52"/>
      <c r="DC156" s="105"/>
      <c r="DD156" s="98"/>
      <c r="DE156" s="279"/>
      <c r="DF156" s="52"/>
      <c r="DG156" s="105"/>
      <c r="DH156" s="98"/>
      <c r="DI156" s="279"/>
      <c r="DJ156" s="52"/>
      <c r="DK156" s="105"/>
      <c r="DL156" s="98"/>
      <c r="DM156" s="279"/>
      <c r="DN156" s="52"/>
      <c r="DO156" s="105"/>
      <c r="DP156" s="98"/>
      <c r="DQ156" s="279"/>
      <c r="DR156" s="52"/>
      <c r="DS156" s="105"/>
      <c r="DT156" s="98"/>
      <c r="DU156" s="279"/>
      <c r="DV156" s="52"/>
      <c r="DW156" s="105"/>
      <c r="DX156" s="98"/>
      <c r="DY156" s="279"/>
      <c r="DZ156" s="52"/>
      <c r="EA156" s="105"/>
      <c r="EB156" s="98"/>
      <c r="EC156" s="279"/>
      <c r="ED156" s="52"/>
      <c r="EE156" s="105"/>
      <c r="EF156" s="98"/>
      <c r="EG156" s="159"/>
      <c r="EH156" s="277"/>
      <c r="EI156" s="50">
        <f t="shared" si="78"/>
        <v>0</v>
      </c>
      <c r="EJ156" s="103">
        <f t="shared" si="79"/>
        <v>0</v>
      </c>
      <c r="EK156" s="164">
        <f t="shared" si="80"/>
        <v>0</v>
      </c>
      <c r="EL156" s="280">
        <f t="shared" si="81"/>
        <v>0</v>
      </c>
      <c r="EM156" s="63">
        <f t="shared" si="82"/>
        <v>0</v>
      </c>
      <c r="EN156" s="359">
        <f t="shared" si="83"/>
        <v>0</v>
      </c>
      <c r="EO156" s="51">
        <f t="shared" si="84"/>
        <v>0</v>
      </c>
      <c r="EP156" s="361">
        <f t="shared" si="85"/>
        <v>0</v>
      </c>
      <c r="EQ156" s="281"/>
      <c r="ER156" s="277"/>
      <c r="ES156" s="281"/>
      <c r="ET156" s="277"/>
      <c r="EU156" s="281"/>
      <c r="EV156" s="277"/>
      <c r="EW156" s="281"/>
      <c r="EX156" s="277"/>
      <c r="EY156" s="281"/>
      <c r="EZ156" s="277"/>
      <c r="FA156" s="281"/>
      <c r="FB156" s="277"/>
      <c r="FC156" s="281"/>
      <c r="FD156" s="277"/>
      <c r="FE156" s="281"/>
      <c r="FF156" s="277"/>
      <c r="FG156" s="281"/>
      <c r="FH156" s="277"/>
      <c r="FI156" s="281"/>
      <c r="FJ156" s="277"/>
      <c r="FK156" s="50">
        <f t="shared" si="86"/>
        <v>0</v>
      </c>
      <c r="FL156" s="63">
        <f t="shared" si="87"/>
        <v>0</v>
      </c>
      <c r="FM156" s="50">
        <f t="shared" si="69"/>
        <v>94</v>
      </c>
      <c r="FN156" s="360">
        <f t="shared" si="70"/>
        <v>120</v>
      </c>
      <c r="FO156" s="3"/>
      <c r="FP156" s="279"/>
      <c r="FQ156" s="52"/>
      <c r="FR156" s="296"/>
      <c r="FS156" s="98"/>
      <c r="FT156" s="467"/>
      <c r="FU156" s="52"/>
      <c r="FV156" s="296"/>
      <c r="FW156" s="98"/>
      <c r="FX156" s="467"/>
      <c r="FY156" s="52"/>
      <c r="FZ156" s="296"/>
      <c r="GA156" s="98"/>
      <c r="GB156" s="467"/>
      <c r="GC156" s="52"/>
      <c r="GD156" s="296"/>
      <c r="GE156" s="98"/>
      <c r="GF156" s="467"/>
      <c r="GG156" s="52"/>
      <c r="GH156" s="296"/>
      <c r="GI156" s="98"/>
      <c r="GJ156" s="467"/>
      <c r="GK156" s="52"/>
      <c r="GL156" s="296"/>
      <c r="GM156" s="464"/>
      <c r="GN156" s="467"/>
      <c r="GO156" s="52"/>
      <c r="GP156" s="296"/>
      <c r="GQ156" s="464"/>
      <c r="GR156" s="467"/>
      <c r="GS156" s="52"/>
      <c r="GT156" s="296"/>
      <c r="GU156" s="464"/>
      <c r="GV156" s="467"/>
      <c r="GW156" s="52"/>
      <c r="GX156" s="296"/>
      <c r="GY156" s="464"/>
      <c r="GZ156" s="467"/>
      <c r="HA156" s="52"/>
      <c r="HB156" s="296"/>
      <c r="HC156" s="3"/>
    </row>
    <row r="157" spans="1:211" s="86" customFormat="1">
      <c r="A157" s="292" t="s">
        <v>955</v>
      </c>
      <c r="B157" s="293" t="s">
        <v>554</v>
      </c>
      <c r="C157" s="292">
        <v>140997</v>
      </c>
      <c r="D157" s="346">
        <v>10</v>
      </c>
      <c r="E157" s="460">
        <v>1</v>
      </c>
      <c r="F157" s="277"/>
      <c r="G157" s="158"/>
      <c r="H157" s="277"/>
      <c r="I157" s="158">
        <v>185</v>
      </c>
      <c r="J157" s="277">
        <v>224</v>
      </c>
      <c r="K157" s="160">
        <f t="shared" si="71"/>
        <v>0</v>
      </c>
      <c r="L157" s="161">
        <f t="shared" si="64"/>
        <v>0</v>
      </c>
      <c r="M157" s="54"/>
      <c r="N157" s="55"/>
      <c r="O157" s="55"/>
      <c r="P157" s="55"/>
      <c r="Q157" s="162">
        <f t="shared" si="72"/>
        <v>0</v>
      </c>
      <c r="R157" s="277"/>
      <c r="S157" s="277"/>
      <c r="T157" s="277"/>
      <c r="U157" s="277"/>
      <c r="V157" s="97">
        <f t="shared" si="73"/>
        <v>0</v>
      </c>
      <c r="W157" s="279"/>
      <c r="X157" s="52"/>
      <c r="Y157" s="99"/>
      <c r="Z157" s="53"/>
      <c r="AA157" s="228"/>
      <c r="AB157" s="52"/>
      <c r="AC157" s="99"/>
      <c r="AD157" s="53"/>
      <c r="AE157" s="228"/>
      <c r="AF157" s="52"/>
      <c r="AG157" s="99"/>
      <c r="AH157" s="53"/>
      <c r="AI157" s="228"/>
      <c r="AJ157" s="52"/>
      <c r="AK157" s="99"/>
      <c r="AL157" s="53"/>
      <c r="AM157" s="228"/>
      <c r="AN157" s="52"/>
      <c r="AO157" s="99"/>
      <c r="AP157" s="53"/>
      <c r="AQ157" s="50">
        <f t="shared" si="65"/>
        <v>0</v>
      </c>
      <c r="AR157" s="163">
        <f t="shared" si="66"/>
        <v>0</v>
      </c>
      <c r="AS157" s="97">
        <f t="shared" si="67"/>
        <v>0</v>
      </c>
      <c r="AT157" s="278">
        <f t="shared" si="68"/>
        <v>0</v>
      </c>
      <c r="AU157" s="55"/>
      <c r="AV157" s="277"/>
      <c r="AW157" s="297"/>
      <c r="AX157" s="294"/>
      <c r="AY157" s="295"/>
      <c r="AZ157" s="296"/>
      <c r="BA157" s="297"/>
      <c r="BB157" s="294"/>
      <c r="BC157" s="295"/>
      <c r="BD157" s="296"/>
      <c r="BE157" s="297"/>
      <c r="BF157" s="294"/>
      <c r="BG157" s="295"/>
      <c r="BH157" s="296"/>
      <c r="BI157" s="297"/>
      <c r="BJ157" s="294"/>
      <c r="BK157" s="295"/>
      <c r="BL157" s="296"/>
      <c r="BM157" s="297"/>
      <c r="BN157" s="294"/>
      <c r="BO157" s="295"/>
      <c r="BP157" s="296"/>
      <c r="BQ157" s="297"/>
      <c r="BR157" s="294"/>
      <c r="BS157" s="295"/>
      <c r="BT157" s="296"/>
      <c r="BU157" s="297"/>
      <c r="BV157" s="294"/>
      <c r="BW157" s="295"/>
      <c r="BX157" s="296"/>
      <c r="BY157" s="297"/>
      <c r="BZ157" s="294"/>
      <c r="CA157" s="295"/>
      <c r="CB157" s="296"/>
      <c r="CC157" s="297"/>
      <c r="CD157" s="294"/>
      <c r="CE157" s="295"/>
      <c r="CF157" s="296"/>
      <c r="CG157" s="297"/>
      <c r="CH157" s="294"/>
      <c r="CI157" s="295"/>
      <c r="CJ157" s="296"/>
      <c r="CK157" s="281"/>
      <c r="CL157" s="277"/>
      <c r="CM157" s="298"/>
      <c r="CN157" s="277"/>
      <c r="CO157" s="50">
        <f t="shared" si="74"/>
        <v>0</v>
      </c>
      <c r="CP157" s="103">
        <f t="shared" si="75"/>
        <v>0</v>
      </c>
      <c r="CQ157" s="280">
        <f t="shared" si="76"/>
        <v>0</v>
      </c>
      <c r="CR157" s="63">
        <f t="shared" si="77"/>
        <v>0</v>
      </c>
      <c r="CS157" s="279"/>
      <c r="CT157" s="52"/>
      <c r="CU157" s="105"/>
      <c r="CV157" s="98"/>
      <c r="CW157" s="279"/>
      <c r="CX157" s="52"/>
      <c r="CY157" s="105"/>
      <c r="CZ157" s="98"/>
      <c r="DA157" s="279"/>
      <c r="DB157" s="52"/>
      <c r="DC157" s="105"/>
      <c r="DD157" s="98"/>
      <c r="DE157" s="279"/>
      <c r="DF157" s="52"/>
      <c r="DG157" s="105"/>
      <c r="DH157" s="98"/>
      <c r="DI157" s="279"/>
      <c r="DJ157" s="52"/>
      <c r="DK157" s="105"/>
      <c r="DL157" s="98"/>
      <c r="DM157" s="279"/>
      <c r="DN157" s="52"/>
      <c r="DO157" s="105"/>
      <c r="DP157" s="98"/>
      <c r="DQ157" s="279"/>
      <c r="DR157" s="52"/>
      <c r="DS157" s="105"/>
      <c r="DT157" s="98"/>
      <c r="DU157" s="279"/>
      <c r="DV157" s="52"/>
      <c r="DW157" s="105"/>
      <c r="DX157" s="98"/>
      <c r="DY157" s="279"/>
      <c r="DZ157" s="52"/>
      <c r="EA157" s="105"/>
      <c r="EB157" s="98"/>
      <c r="EC157" s="279"/>
      <c r="ED157" s="52"/>
      <c r="EE157" s="105"/>
      <c r="EF157" s="98"/>
      <c r="EG157" s="159"/>
      <c r="EH157" s="277"/>
      <c r="EI157" s="50">
        <f t="shared" si="78"/>
        <v>0</v>
      </c>
      <c r="EJ157" s="103">
        <f t="shared" si="79"/>
        <v>0</v>
      </c>
      <c r="EK157" s="164">
        <f t="shared" si="80"/>
        <v>0</v>
      </c>
      <c r="EL157" s="280">
        <f t="shared" si="81"/>
        <v>0</v>
      </c>
      <c r="EM157" s="63">
        <f t="shared" si="82"/>
        <v>0</v>
      </c>
      <c r="EN157" s="359">
        <f t="shared" si="83"/>
        <v>0</v>
      </c>
      <c r="EO157" s="51">
        <f t="shared" si="84"/>
        <v>0</v>
      </c>
      <c r="EP157" s="361">
        <f t="shared" si="85"/>
        <v>0</v>
      </c>
      <c r="EQ157" s="281"/>
      <c r="ER157" s="277"/>
      <c r="ES157" s="281"/>
      <c r="ET157" s="277"/>
      <c r="EU157" s="281"/>
      <c r="EV157" s="277"/>
      <c r="EW157" s="281"/>
      <c r="EX157" s="277"/>
      <c r="EY157" s="281"/>
      <c r="EZ157" s="277"/>
      <c r="FA157" s="281"/>
      <c r="FB157" s="277"/>
      <c r="FC157" s="281"/>
      <c r="FD157" s="277"/>
      <c r="FE157" s="281"/>
      <c r="FF157" s="277"/>
      <c r="FG157" s="281"/>
      <c r="FH157" s="277"/>
      <c r="FI157" s="281"/>
      <c r="FJ157" s="277"/>
      <c r="FK157" s="50">
        <f t="shared" si="86"/>
        <v>0</v>
      </c>
      <c r="FL157" s="63">
        <f t="shared" si="87"/>
        <v>0</v>
      </c>
      <c r="FM157" s="50">
        <f t="shared" si="69"/>
        <v>186</v>
      </c>
      <c r="FN157" s="360">
        <f t="shared" si="70"/>
        <v>224</v>
      </c>
      <c r="FO157" s="3"/>
      <c r="FP157" s="279"/>
      <c r="FQ157" s="52"/>
      <c r="FR157" s="296"/>
      <c r="FS157" s="98"/>
      <c r="FT157" s="467"/>
      <c r="FU157" s="52"/>
      <c r="FV157" s="296"/>
      <c r="FW157" s="98"/>
      <c r="FX157" s="467"/>
      <c r="FY157" s="52"/>
      <c r="FZ157" s="296"/>
      <c r="GA157" s="98"/>
      <c r="GB157" s="467"/>
      <c r="GC157" s="52"/>
      <c r="GD157" s="296"/>
      <c r="GE157" s="98"/>
      <c r="GF157" s="467"/>
      <c r="GG157" s="52"/>
      <c r="GH157" s="296"/>
      <c r="GI157" s="98"/>
      <c r="GJ157" s="467"/>
      <c r="GK157" s="52"/>
      <c r="GL157" s="296"/>
      <c r="GM157" s="464"/>
      <c r="GN157" s="467"/>
      <c r="GO157" s="52"/>
      <c r="GP157" s="296"/>
      <c r="GQ157" s="464"/>
      <c r="GR157" s="467"/>
      <c r="GS157" s="52"/>
      <c r="GT157" s="296"/>
      <c r="GU157" s="464"/>
      <c r="GV157" s="467"/>
      <c r="GW157" s="52"/>
      <c r="GX157" s="296"/>
      <c r="GY157" s="464"/>
      <c r="GZ157" s="467"/>
      <c r="HA157" s="52"/>
      <c r="HB157" s="296"/>
      <c r="HC157" s="3"/>
    </row>
    <row r="158" spans="1:211" s="86" customFormat="1">
      <c r="A158" s="292" t="s">
        <v>955</v>
      </c>
      <c r="B158" s="293" t="s">
        <v>555</v>
      </c>
      <c r="C158" s="292">
        <v>141307</v>
      </c>
      <c r="D158" s="346">
        <v>10</v>
      </c>
      <c r="E158" s="460"/>
      <c r="F158" s="277"/>
      <c r="G158" s="158"/>
      <c r="H158" s="277"/>
      <c r="I158" s="158">
        <v>87</v>
      </c>
      <c r="J158" s="277">
        <v>102</v>
      </c>
      <c r="K158" s="160">
        <f t="shared" si="71"/>
        <v>0</v>
      </c>
      <c r="L158" s="161">
        <f t="shared" si="64"/>
        <v>0</v>
      </c>
      <c r="M158" s="54"/>
      <c r="N158" s="55"/>
      <c r="O158" s="55"/>
      <c r="P158" s="55"/>
      <c r="Q158" s="162">
        <f t="shared" si="72"/>
        <v>0</v>
      </c>
      <c r="R158" s="277"/>
      <c r="S158" s="277"/>
      <c r="T158" s="277"/>
      <c r="U158" s="277"/>
      <c r="V158" s="97">
        <f t="shared" si="73"/>
        <v>0</v>
      </c>
      <c r="W158" s="279"/>
      <c r="X158" s="52"/>
      <c r="Y158" s="99"/>
      <c r="Z158" s="53"/>
      <c r="AA158" s="228"/>
      <c r="AB158" s="52"/>
      <c r="AC158" s="99"/>
      <c r="AD158" s="53"/>
      <c r="AE158" s="228"/>
      <c r="AF158" s="52"/>
      <c r="AG158" s="99"/>
      <c r="AH158" s="53"/>
      <c r="AI158" s="228"/>
      <c r="AJ158" s="52"/>
      <c r="AK158" s="99"/>
      <c r="AL158" s="53"/>
      <c r="AM158" s="228"/>
      <c r="AN158" s="52"/>
      <c r="AO158" s="99"/>
      <c r="AP158" s="53"/>
      <c r="AQ158" s="50">
        <f t="shared" si="65"/>
        <v>0</v>
      </c>
      <c r="AR158" s="163">
        <f t="shared" si="66"/>
        <v>0</v>
      </c>
      <c r="AS158" s="97">
        <f t="shared" si="67"/>
        <v>0</v>
      </c>
      <c r="AT158" s="278">
        <f t="shared" si="68"/>
        <v>0</v>
      </c>
      <c r="AU158" s="55"/>
      <c r="AV158" s="277"/>
      <c r="AW158" s="297"/>
      <c r="AX158" s="294"/>
      <c r="AY158" s="295"/>
      <c r="AZ158" s="296"/>
      <c r="BA158" s="297"/>
      <c r="BB158" s="294"/>
      <c r="BC158" s="295"/>
      <c r="BD158" s="296"/>
      <c r="BE158" s="297"/>
      <c r="BF158" s="294"/>
      <c r="BG158" s="295"/>
      <c r="BH158" s="296"/>
      <c r="BI158" s="297"/>
      <c r="BJ158" s="294"/>
      <c r="BK158" s="295"/>
      <c r="BL158" s="296"/>
      <c r="BM158" s="297"/>
      <c r="BN158" s="294"/>
      <c r="BO158" s="295"/>
      <c r="BP158" s="296"/>
      <c r="BQ158" s="297"/>
      <c r="BR158" s="294"/>
      <c r="BS158" s="295"/>
      <c r="BT158" s="296"/>
      <c r="BU158" s="297"/>
      <c r="BV158" s="294"/>
      <c r="BW158" s="295"/>
      <c r="BX158" s="296"/>
      <c r="BY158" s="297"/>
      <c r="BZ158" s="294"/>
      <c r="CA158" s="295"/>
      <c r="CB158" s="296"/>
      <c r="CC158" s="297"/>
      <c r="CD158" s="294"/>
      <c r="CE158" s="295"/>
      <c r="CF158" s="296"/>
      <c r="CG158" s="297"/>
      <c r="CH158" s="294"/>
      <c r="CI158" s="295"/>
      <c r="CJ158" s="296"/>
      <c r="CK158" s="281"/>
      <c r="CL158" s="277"/>
      <c r="CM158" s="298"/>
      <c r="CN158" s="277"/>
      <c r="CO158" s="50">
        <f t="shared" si="74"/>
        <v>0</v>
      </c>
      <c r="CP158" s="103">
        <f t="shared" si="75"/>
        <v>0</v>
      </c>
      <c r="CQ158" s="280">
        <f t="shared" si="76"/>
        <v>0</v>
      </c>
      <c r="CR158" s="63">
        <f t="shared" si="77"/>
        <v>0</v>
      </c>
      <c r="CS158" s="279"/>
      <c r="CT158" s="52"/>
      <c r="CU158" s="105"/>
      <c r="CV158" s="98"/>
      <c r="CW158" s="279"/>
      <c r="CX158" s="52"/>
      <c r="CY158" s="105"/>
      <c r="CZ158" s="98"/>
      <c r="DA158" s="279"/>
      <c r="DB158" s="52"/>
      <c r="DC158" s="105"/>
      <c r="DD158" s="98"/>
      <c r="DE158" s="279"/>
      <c r="DF158" s="52"/>
      <c r="DG158" s="105"/>
      <c r="DH158" s="98"/>
      <c r="DI158" s="279"/>
      <c r="DJ158" s="52"/>
      <c r="DK158" s="105"/>
      <c r="DL158" s="98"/>
      <c r="DM158" s="279"/>
      <c r="DN158" s="52"/>
      <c r="DO158" s="105"/>
      <c r="DP158" s="98"/>
      <c r="DQ158" s="279"/>
      <c r="DR158" s="52"/>
      <c r="DS158" s="105"/>
      <c r="DT158" s="98"/>
      <c r="DU158" s="279"/>
      <c r="DV158" s="52"/>
      <c r="DW158" s="105"/>
      <c r="DX158" s="98"/>
      <c r="DY158" s="279"/>
      <c r="DZ158" s="52"/>
      <c r="EA158" s="105"/>
      <c r="EB158" s="98"/>
      <c r="EC158" s="279"/>
      <c r="ED158" s="52"/>
      <c r="EE158" s="105"/>
      <c r="EF158" s="98"/>
      <c r="EG158" s="159"/>
      <c r="EH158" s="277"/>
      <c r="EI158" s="50">
        <f t="shared" si="78"/>
        <v>0</v>
      </c>
      <c r="EJ158" s="103">
        <f t="shared" si="79"/>
        <v>0</v>
      </c>
      <c r="EK158" s="164">
        <f t="shared" si="80"/>
        <v>0</v>
      </c>
      <c r="EL158" s="280">
        <f t="shared" si="81"/>
        <v>0</v>
      </c>
      <c r="EM158" s="63">
        <f t="shared" si="82"/>
        <v>0</v>
      </c>
      <c r="EN158" s="359">
        <f t="shared" si="83"/>
        <v>0</v>
      </c>
      <c r="EO158" s="51">
        <f t="shared" si="84"/>
        <v>0</v>
      </c>
      <c r="EP158" s="361">
        <f t="shared" si="85"/>
        <v>0</v>
      </c>
      <c r="EQ158" s="281"/>
      <c r="ER158" s="277"/>
      <c r="ES158" s="281"/>
      <c r="ET158" s="277"/>
      <c r="EU158" s="281"/>
      <c r="EV158" s="277"/>
      <c r="EW158" s="281"/>
      <c r="EX158" s="277"/>
      <c r="EY158" s="281"/>
      <c r="EZ158" s="277"/>
      <c r="FA158" s="281"/>
      <c r="FB158" s="277"/>
      <c r="FC158" s="281"/>
      <c r="FD158" s="277"/>
      <c r="FE158" s="281"/>
      <c r="FF158" s="277"/>
      <c r="FG158" s="281"/>
      <c r="FH158" s="277"/>
      <c r="FI158" s="281"/>
      <c r="FJ158" s="277"/>
      <c r="FK158" s="50">
        <f t="shared" si="86"/>
        <v>0</v>
      </c>
      <c r="FL158" s="63">
        <f t="shared" si="87"/>
        <v>0</v>
      </c>
      <c r="FM158" s="50">
        <f t="shared" si="69"/>
        <v>87</v>
      </c>
      <c r="FN158" s="360">
        <f t="shared" si="70"/>
        <v>102</v>
      </c>
      <c r="FO158" s="3"/>
      <c r="FP158" s="279"/>
      <c r="FQ158" s="52"/>
      <c r="FR158" s="296"/>
      <c r="FS158" s="98"/>
      <c r="FT158" s="467"/>
      <c r="FU158" s="52"/>
      <c r="FV158" s="296"/>
      <c r="FW158" s="98"/>
      <c r="FX158" s="467"/>
      <c r="FY158" s="52"/>
      <c r="FZ158" s="296"/>
      <c r="GA158" s="98"/>
      <c r="GB158" s="467"/>
      <c r="GC158" s="52"/>
      <c r="GD158" s="296"/>
      <c r="GE158" s="98"/>
      <c r="GF158" s="467"/>
      <c r="GG158" s="52"/>
      <c r="GH158" s="296"/>
      <c r="GI158" s="98"/>
      <c r="GJ158" s="467"/>
      <c r="GK158" s="52"/>
      <c r="GL158" s="296"/>
      <c r="GM158" s="464"/>
      <c r="GN158" s="467"/>
      <c r="GO158" s="52"/>
      <c r="GP158" s="296"/>
      <c r="GQ158" s="464"/>
      <c r="GR158" s="467"/>
      <c r="GS158" s="52"/>
      <c r="GT158" s="296"/>
      <c r="GU158" s="464"/>
      <c r="GV158" s="467"/>
      <c r="GW158" s="52"/>
      <c r="GX158" s="296"/>
      <c r="GY158" s="464"/>
      <c r="GZ158" s="467"/>
      <c r="HA158" s="52"/>
      <c r="HB158" s="296"/>
      <c r="HC158" s="3"/>
    </row>
    <row r="159" spans="1:211" s="86" customFormat="1">
      <c r="A159" s="486" t="s">
        <v>955</v>
      </c>
      <c r="B159" s="293" t="s">
        <v>688</v>
      </c>
      <c r="C159" s="292">
        <v>447689</v>
      </c>
      <c r="D159" s="346">
        <v>15</v>
      </c>
      <c r="E159" s="460"/>
      <c r="F159" s="277"/>
      <c r="G159" s="158"/>
      <c r="H159" s="277"/>
      <c r="I159" s="158"/>
      <c r="J159" s="277"/>
      <c r="K159" s="160">
        <f t="shared" si="71"/>
        <v>0</v>
      </c>
      <c r="L159" s="161">
        <f t="shared" si="64"/>
        <v>0</v>
      </c>
      <c r="M159" s="54">
        <v>5</v>
      </c>
      <c r="N159" s="55"/>
      <c r="O159" s="55"/>
      <c r="P159" s="55"/>
      <c r="Q159" s="162">
        <f t="shared" si="72"/>
        <v>0</v>
      </c>
      <c r="R159" s="277">
        <v>74</v>
      </c>
      <c r="S159" s="277">
        <v>0</v>
      </c>
      <c r="T159" s="277"/>
      <c r="U159" s="277"/>
      <c r="V159" s="97">
        <f t="shared" si="73"/>
        <v>0</v>
      </c>
      <c r="W159" s="279"/>
      <c r="X159" s="52"/>
      <c r="Y159" s="99"/>
      <c r="Z159" s="53"/>
      <c r="AA159" s="228"/>
      <c r="AB159" s="52"/>
      <c r="AC159" s="99"/>
      <c r="AD159" s="53"/>
      <c r="AE159" s="228"/>
      <c r="AF159" s="52"/>
      <c r="AG159" s="99"/>
      <c r="AH159" s="53"/>
      <c r="AI159" s="228"/>
      <c r="AJ159" s="52"/>
      <c r="AK159" s="99"/>
      <c r="AL159" s="53"/>
      <c r="AM159" s="228"/>
      <c r="AN159" s="52"/>
      <c r="AO159" s="99"/>
      <c r="AP159" s="53"/>
      <c r="AQ159" s="50">
        <f t="shared" si="65"/>
        <v>0</v>
      </c>
      <c r="AR159" s="163">
        <f t="shared" si="66"/>
        <v>1</v>
      </c>
      <c r="AS159" s="97">
        <f t="shared" si="67"/>
        <v>0</v>
      </c>
      <c r="AT159" s="278">
        <f t="shared" si="68"/>
        <v>1</v>
      </c>
      <c r="AU159" s="55"/>
      <c r="AV159" s="277"/>
      <c r="AW159" s="297"/>
      <c r="AX159" s="294"/>
      <c r="AY159" s="295"/>
      <c r="AZ159" s="296"/>
      <c r="BA159" s="297"/>
      <c r="BB159" s="294"/>
      <c r="BC159" s="295"/>
      <c r="BD159" s="296"/>
      <c r="BE159" s="297"/>
      <c r="BF159" s="294"/>
      <c r="BG159" s="295"/>
      <c r="BH159" s="296"/>
      <c r="BI159" s="297"/>
      <c r="BJ159" s="294"/>
      <c r="BK159" s="295"/>
      <c r="BL159" s="296"/>
      <c r="BM159" s="297"/>
      <c r="BN159" s="294"/>
      <c r="BO159" s="295"/>
      <c r="BP159" s="296"/>
      <c r="BQ159" s="297"/>
      <c r="BR159" s="294"/>
      <c r="BS159" s="295"/>
      <c r="BT159" s="296"/>
      <c r="BU159" s="297"/>
      <c r="BV159" s="294"/>
      <c r="BW159" s="295"/>
      <c r="BX159" s="296"/>
      <c r="BY159" s="297"/>
      <c r="BZ159" s="294"/>
      <c r="CA159" s="295"/>
      <c r="CB159" s="296"/>
      <c r="CC159" s="297"/>
      <c r="CD159" s="294"/>
      <c r="CE159" s="295"/>
      <c r="CF159" s="296"/>
      <c r="CG159" s="297"/>
      <c r="CH159" s="294"/>
      <c r="CI159" s="295"/>
      <c r="CJ159" s="296"/>
      <c r="CK159" s="281"/>
      <c r="CL159" s="277"/>
      <c r="CM159" s="298"/>
      <c r="CN159" s="277"/>
      <c r="CO159" s="50">
        <f t="shared" si="74"/>
        <v>0</v>
      </c>
      <c r="CP159" s="103">
        <f t="shared" si="75"/>
        <v>0</v>
      </c>
      <c r="CQ159" s="280">
        <f t="shared" si="76"/>
        <v>0</v>
      </c>
      <c r="CR159" s="63">
        <f t="shared" si="77"/>
        <v>0</v>
      </c>
      <c r="CS159" s="279"/>
      <c r="CT159" s="52"/>
      <c r="CU159" s="105"/>
      <c r="CV159" s="98"/>
      <c r="CW159" s="279"/>
      <c r="CX159" s="52"/>
      <c r="CY159" s="105"/>
      <c r="CZ159" s="98"/>
      <c r="DA159" s="279"/>
      <c r="DB159" s="52"/>
      <c r="DC159" s="105"/>
      <c r="DD159" s="98"/>
      <c r="DE159" s="279"/>
      <c r="DF159" s="52"/>
      <c r="DG159" s="105"/>
      <c r="DH159" s="98"/>
      <c r="DI159" s="279"/>
      <c r="DJ159" s="52"/>
      <c r="DK159" s="105"/>
      <c r="DL159" s="98"/>
      <c r="DM159" s="279"/>
      <c r="DN159" s="52"/>
      <c r="DO159" s="105"/>
      <c r="DP159" s="98"/>
      <c r="DQ159" s="279"/>
      <c r="DR159" s="52"/>
      <c r="DS159" s="105"/>
      <c r="DT159" s="98"/>
      <c r="DU159" s="279"/>
      <c r="DV159" s="52"/>
      <c r="DW159" s="105"/>
      <c r="DX159" s="98"/>
      <c r="DY159" s="279"/>
      <c r="DZ159" s="52"/>
      <c r="EA159" s="105"/>
      <c r="EB159" s="98"/>
      <c r="EC159" s="279"/>
      <c r="ED159" s="52"/>
      <c r="EE159" s="105"/>
      <c r="EF159" s="98"/>
      <c r="EG159" s="159"/>
      <c r="EH159" s="277"/>
      <c r="EI159" s="50">
        <f t="shared" si="78"/>
        <v>0</v>
      </c>
      <c r="EJ159" s="103">
        <f t="shared" si="79"/>
        <v>0</v>
      </c>
      <c r="EK159" s="164">
        <f t="shared" si="80"/>
        <v>0</v>
      </c>
      <c r="EL159" s="280">
        <f t="shared" si="81"/>
        <v>0</v>
      </c>
      <c r="EM159" s="63">
        <f t="shared" si="82"/>
        <v>0</v>
      </c>
      <c r="EN159" s="359">
        <f t="shared" si="83"/>
        <v>0</v>
      </c>
      <c r="EO159" s="51">
        <f t="shared" si="84"/>
        <v>0</v>
      </c>
      <c r="EP159" s="361">
        <f t="shared" si="85"/>
        <v>0</v>
      </c>
      <c r="EQ159" s="281"/>
      <c r="ER159" s="277"/>
      <c r="ES159" s="281"/>
      <c r="ET159" s="277"/>
      <c r="EU159" s="281"/>
      <c r="EV159" s="277"/>
      <c r="EW159" s="281"/>
      <c r="EX159" s="277"/>
      <c r="EY159" s="281"/>
      <c r="EZ159" s="277"/>
      <c r="FA159" s="281"/>
      <c r="FB159" s="277"/>
      <c r="FC159" s="281"/>
      <c r="FD159" s="277"/>
      <c r="FE159" s="281"/>
      <c r="FF159" s="277"/>
      <c r="FG159" s="281"/>
      <c r="FH159" s="277"/>
      <c r="FI159" s="281"/>
      <c r="FJ159" s="277"/>
      <c r="FK159" s="50">
        <f t="shared" si="86"/>
        <v>0</v>
      </c>
      <c r="FL159" s="63">
        <f t="shared" si="87"/>
        <v>0</v>
      </c>
      <c r="FM159" s="50">
        <f t="shared" si="69"/>
        <v>5</v>
      </c>
      <c r="FN159" s="360">
        <f t="shared" si="70"/>
        <v>74</v>
      </c>
      <c r="FO159" s="3"/>
      <c r="FP159" s="279"/>
      <c r="FQ159" s="52"/>
      <c r="FR159" s="296"/>
      <c r="FS159" s="98"/>
      <c r="FT159" s="467"/>
      <c r="FU159" s="52"/>
      <c r="FV159" s="296"/>
      <c r="FW159" s="98"/>
      <c r="FX159" s="467"/>
      <c r="FY159" s="52"/>
      <c r="FZ159" s="296"/>
      <c r="GA159" s="98"/>
      <c r="GB159" s="467"/>
      <c r="GC159" s="52"/>
      <c r="GD159" s="296"/>
      <c r="GE159" s="98"/>
      <c r="GF159" s="467"/>
      <c r="GG159" s="52"/>
      <c r="GH159" s="296"/>
      <c r="GI159" s="98"/>
      <c r="GJ159" s="467"/>
      <c r="GK159" s="52"/>
      <c r="GL159" s="296"/>
      <c r="GM159" s="464"/>
      <c r="GN159" s="467"/>
      <c r="GO159" s="52"/>
      <c r="GP159" s="296"/>
      <c r="GQ159" s="464"/>
      <c r="GR159" s="467"/>
      <c r="GS159" s="52"/>
      <c r="GT159" s="296"/>
      <c r="GU159" s="464"/>
      <c r="GV159" s="467"/>
      <c r="GW159" s="52"/>
      <c r="GX159" s="296"/>
      <c r="GY159" s="464"/>
      <c r="GZ159" s="467"/>
      <c r="HA159" s="52"/>
      <c r="HB159" s="296"/>
      <c r="HC159" s="3"/>
    </row>
    <row r="160" spans="1:211" s="86" customFormat="1">
      <c r="A160" s="486" t="s">
        <v>955</v>
      </c>
      <c r="B160" s="293" t="s">
        <v>556</v>
      </c>
      <c r="C160" s="292">
        <v>140401</v>
      </c>
      <c r="D160" s="346">
        <v>15</v>
      </c>
      <c r="E160" s="460">
        <v>12</v>
      </c>
      <c r="F160" s="277">
        <v>8</v>
      </c>
      <c r="G160" s="158"/>
      <c r="H160" s="277"/>
      <c r="I160" s="158"/>
      <c r="J160" s="277"/>
      <c r="K160" s="160">
        <f t="shared" si="71"/>
        <v>0</v>
      </c>
      <c r="L160" s="161">
        <f t="shared" si="64"/>
        <v>0</v>
      </c>
      <c r="M160" s="54">
        <v>278</v>
      </c>
      <c r="N160" s="55"/>
      <c r="O160" s="55"/>
      <c r="P160" s="55"/>
      <c r="Q160" s="162">
        <f t="shared" si="72"/>
        <v>0</v>
      </c>
      <c r="R160" s="277">
        <v>285</v>
      </c>
      <c r="S160" s="277"/>
      <c r="T160" s="277"/>
      <c r="U160" s="277"/>
      <c r="V160" s="97">
        <f t="shared" si="73"/>
        <v>0</v>
      </c>
      <c r="W160" s="279"/>
      <c r="X160" s="52"/>
      <c r="Y160" s="99"/>
      <c r="Z160" s="53"/>
      <c r="AA160" s="228"/>
      <c r="AB160" s="52"/>
      <c r="AC160" s="99"/>
      <c r="AD160" s="53"/>
      <c r="AE160" s="228"/>
      <c r="AF160" s="52"/>
      <c r="AG160" s="99"/>
      <c r="AH160" s="53"/>
      <c r="AI160" s="228"/>
      <c r="AJ160" s="52"/>
      <c r="AK160" s="99"/>
      <c r="AL160" s="53"/>
      <c r="AM160" s="228"/>
      <c r="AN160" s="52"/>
      <c r="AO160" s="99"/>
      <c r="AP160" s="53"/>
      <c r="AQ160" s="50">
        <f t="shared" si="65"/>
        <v>0</v>
      </c>
      <c r="AR160" s="163">
        <f t="shared" si="66"/>
        <v>0.37669376693766937</v>
      </c>
      <c r="AS160" s="97">
        <f t="shared" si="67"/>
        <v>0</v>
      </c>
      <c r="AT160" s="278">
        <f t="shared" si="68"/>
        <v>0.34009546539379476</v>
      </c>
      <c r="AU160" s="55">
        <v>19</v>
      </c>
      <c r="AV160" s="277">
        <v>1</v>
      </c>
      <c r="AW160" s="297">
        <v>51</v>
      </c>
      <c r="AX160" s="294">
        <v>100</v>
      </c>
      <c r="AY160" s="295">
        <v>51</v>
      </c>
      <c r="AZ160" s="296">
        <v>141</v>
      </c>
      <c r="BA160" s="297">
        <v>26</v>
      </c>
      <c r="BB160" s="294">
        <v>5</v>
      </c>
      <c r="BC160" s="295">
        <v>26</v>
      </c>
      <c r="BD160" s="296">
        <v>5</v>
      </c>
      <c r="BE160" s="297"/>
      <c r="BF160" s="294"/>
      <c r="BG160" s="295"/>
      <c r="BH160" s="296"/>
      <c r="BI160" s="297"/>
      <c r="BJ160" s="294"/>
      <c r="BK160" s="295"/>
      <c r="BL160" s="296"/>
      <c r="BM160" s="297"/>
      <c r="BN160" s="294"/>
      <c r="BO160" s="295"/>
      <c r="BP160" s="296"/>
      <c r="BQ160" s="297"/>
      <c r="BR160" s="294"/>
      <c r="BS160" s="295"/>
      <c r="BT160" s="296"/>
      <c r="BU160" s="297"/>
      <c r="BV160" s="294"/>
      <c r="BW160" s="295"/>
      <c r="BX160" s="296"/>
      <c r="BY160" s="297"/>
      <c r="BZ160" s="294"/>
      <c r="CA160" s="295"/>
      <c r="CB160" s="296"/>
      <c r="CC160" s="297"/>
      <c r="CD160" s="294"/>
      <c r="CE160" s="295"/>
      <c r="CF160" s="296"/>
      <c r="CG160" s="297"/>
      <c r="CH160" s="294"/>
      <c r="CI160" s="295"/>
      <c r="CJ160" s="296"/>
      <c r="CK160" s="281"/>
      <c r="CL160" s="277"/>
      <c r="CM160" s="298"/>
      <c r="CN160" s="277">
        <v>21</v>
      </c>
      <c r="CO160" s="50">
        <f t="shared" si="74"/>
        <v>105</v>
      </c>
      <c r="CP160" s="103">
        <f t="shared" si="75"/>
        <v>2</v>
      </c>
      <c r="CQ160" s="280">
        <f t="shared" si="76"/>
        <v>167</v>
      </c>
      <c r="CR160" s="63">
        <f t="shared" si="77"/>
        <v>2</v>
      </c>
      <c r="CS160" s="279">
        <v>51</v>
      </c>
      <c r="CT160" s="52">
        <v>74</v>
      </c>
      <c r="CU160" s="105">
        <v>51</v>
      </c>
      <c r="CV160" s="98">
        <v>120</v>
      </c>
      <c r="CW160" s="279">
        <v>26</v>
      </c>
      <c r="CX160" s="52">
        <v>19</v>
      </c>
      <c r="CY160" s="105">
        <v>26</v>
      </c>
      <c r="CZ160" s="98">
        <v>14</v>
      </c>
      <c r="DA160" s="279"/>
      <c r="DB160" s="52"/>
      <c r="DC160" s="105">
        <v>30</v>
      </c>
      <c r="DD160" s="98">
        <v>2</v>
      </c>
      <c r="DE160" s="279"/>
      <c r="DF160" s="52"/>
      <c r="DG160" s="105"/>
      <c r="DH160" s="98"/>
      <c r="DI160" s="279"/>
      <c r="DJ160" s="52"/>
      <c r="DK160" s="105"/>
      <c r="DL160" s="98"/>
      <c r="DM160" s="279"/>
      <c r="DN160" s="52"/>
      <c r="DO160" s="105"/>
      <c r="DP160" s="98"/>
      <c r="DQ160" s="279"/>
      <c r="DR160" s="52"/>
      <c r="DS160" s="105"/>
      <c r="DT160" s="98"/>
      <c r="DU160" s="279"/>
      <c r="DV160" s="52"/>
      <c r="DW160" s="105"/>
      <c r="DX160" s="98"/>
      <c r="DY160" s="279"/>
      <c r="DZ160" s="52"/>
      <c r="EA160" s="105"/>
      <c r="EB160" s="98"/>
      <c r="EC160" s="279"/>
      <c r="ED160" s="52"/>
      <c r="EE160" s="105"/>
      <c r="EF160" s="98"/>
      <c r="EG160" s="159"/>
      <c r="EH160" s="277"/>
      <c r="EI160" s="50">
        <f t="shared" si="78"/>
        <v>93</v>
      </c>
      <c r="EJ160" s="103">
        <f t="shared" si="79"/>
        <v>2</v>
      </c>
      <c r="EK160" s="164">
        <f t="shared" si="80"/>
        <v>0.79569892473118276</v>
      </c>
      <c r="EL160" s="280">
        <f t="shared" si="81"/>
        <v>136</v>
      </c>
      <c r="EM160" s="63">
        <f t="shared" si="82"/>
        <v>3</v>
      </c>
      <c r="EN160" s="359">
        <f t="shared" si="83"/>
        <v>0.88235294117647056</v>
      </c>
      <c r="EO160" s="51">
        <f t="shared" si="84"/>
        <v>198</v>
      </c>
      <c r="EP160" s="361">
        <f t="shared" si="85"/>
        <v>303</v>
      </c>
      <c r="EQ160" s="281"/>
      <c r="ER160" s="277"/>
      <c r="ES160" s="281">
        <v>175</v>
      </c>
      <c r="ET160" s="277">
        <v>182</v>
      </c>
      <c r="EU160" s="281">
        <v>56</v>
      </c>
      <c r="EV160" s="277">
        <v>59</v>
      </c>
      <c r="EW160" s="281"/>
      <c r="EX160" s="277"/>
      <c r="EY160" s="281"/>
      <c r="EZ160" s="277"/>
      <c r="FA160" s="281"/>
      <c r="FB160" s="277"/>
      <c r="FC160" s="281"/>
      <c r="FD160" s="277"/>
      <c r="FE160" s="281"/>
      <c r="FF160" s="277"/>
      <c r="FG160" s="281"/>
      <c r="FH160" s="277"/>
      <c r="FI160" s="281"/>
      <c r="FJ160" s="277"/>
      <c r="FK160" s="50">
        <f t="shared" si="86"/>
        <v>231</v>
      </c>
      <c r="FL160" s="63">
        <f t="shared" si="87"/>
        <v>241</v>
      </c>
      <c r="FM160" s="50">
        <f t="shared" si="69"/>
        <v>738</v>
      </c>
      <c r="FN160" s="360">
        <f t="shared" si="70"/>
        <v>838</v>
      </c>
      <c r="FO160" s="3"/>
      <c r="FP160" s="279"/>
      <c r="FQ160" s="52"/>
      <c r="FR160" s="296"/>
      <c r="FS160" s="98"/>
      <c r="FT160" s="467"/>
      <c r="FU160" s="52"/>
      <c r="FV160" s="296"/>
      <c r="FW160" s="98"/>
      <c r="FX160" s="467"/>
      <c r="FY160" s="52"/>
      <c r="FZ160" s="296"/>
      <c r="GA160" s="98"/>
      <c r="GB160" s="467"/>
      <c r="GC160" s="52"/>
      <c r="GD160" s="296"/>
      <c r="GE160" s="98"/>
      <c r="GF160" s="467"/>
      <c r="GG160" s="52"/>
      <c r="GH160" s="296"/>
      <c r="GI160" s="98"/>
      <c r="GJ160" s="467"/>
      <c r="GK160" s="52"/>
      <c r="GL160" s="296"/>
      <c r="GM160" s="464"/>
      <c r="GN160" s="467"/>
      <c r="GO160" s="52"/>
      <c r="GP160" s="296"/>
      <c r="GQ160" s="464"/>
      <c r="GR160" s="467"/>
      <c r="GS160" s="52"/>
      <c r="GT160" s="296"/>
      <c r="GU160" s="464"/>
      <c r="GV160" s="467"/>
      <c r="GW160" s="52"/>
      <c r="GX160" s="296"/>
      <c r="GY160" s="464"/>
      <c r="GZ160" s="467"/>
      <c r="HA160" s="52"/>
      <c r="HB160" s="296"/>
      <c r="HC160" s="3"/>
    </row>
    <row r="161" spans="1:211" s="86" customFormat="1">
      <c r="A161" s="486" t="s">
        <v>955</v>
      </c>
      <c r="B161" s="293" t="s">
        <v>557</v>
      </c>
      <c r="C161" s="292">
        <v>141097</v>
      </c>
      <c r="D161" s="346">
        <v>15</v>
      </c>
      <c r="E161" s="460">
        <v>15</v>
      </c>
      <c r="F161" s="277">
        <v>10</v>
      </c>
      <c r="G161" s="158"/>
      <c r="H161" s="277"/>
      <c r="I161" s="158">
        <v>3</v>
      </c>
      <c r="J161" s="277">
        <v>2</v>
      </c>
      <c r="K161" s="160">
        <f t="shared" si="71"/>
        <v>5.454545454545455E-3</v>
      </c>
      <c r="L161" s="161">
        <f t="shared" si="64"/>
        <v>3.8535645472061657E-3</v>
      </c>
      <c r="M161" s="54">
        <v>550</v>
      </c>
      <c r="N161" s="55"/>
      <c r="O161" s="55"/>
      <c r="P161" s="55"/>
      <c r="Q161" s="162">
        <f t="shared" si="72"/>
        <v>0</v>
      </c>
      <c r="R161" s="277">
        <v>519</v>
      </c>
      <c r="S161" s="277"/>
      <c r="T161" s="277"/>
      <c r="U161" s="277"/>
      <c r="V161" s="97">
        <f t="shared" si="73"/>
        <v>0</v>
      </c>
      <c r="W161" s="279"/>
      <c r="X161" s="52"/>
      <c r="Y161" s="99"/>
      <c r="Z161" s="53"/>
      <c r="AA161" s="228"/>
      <c r="AB161" s="52"/>
      <c r="AC161" s="99"/>
      <c r="AD161" s="53"/>
      <c r="AE161" s="228"/>
      <c r="AF161" s="52"/>
      <c r="AG161" s="99"/>
      <c r="AH161" s="53"/>
      <c r="AI161" s="228"/>
      <c r="AJ161" s="52"/>
      <c r="AK161" s="99"/>
      <c r="AL161" s="53"/>
      <c r="AM161" s="228"/>
      <c r="AN161" s="52"/>
      <c r="AO161" s="99"/>
      <c r="AP161" s="53"/>
      <c r="AQ161" s="50">
        <f t="shared" si="65"/>
        <v>0</v>
      </c>
      <c r="AR161" s="163">
        <f t="shared" si="66"/>
        <v>0.74626865671641796</v>
      </c>
      <c r="AS161" s="97">
        <f t="shared" si="67"/>
        <v>0</v>
      </c>
      <c r="AT161" s="278">
        <f t="shared" si="68"/>
        <v>0.72995780590717296</v>
      </c>
      <c r="AU161" s="55">
        <v>24</v>
      </c>
      <c r="AV161" s="277">
        <v>9</v>
      </c>
      <c r="AW161" s="297">
        <v>52</v>
      </c>
      <c r="AX161" s="294">
        <v>45</v>
      </c>
      <c r="AY161" s="295">
        <v>11</v>
      </c>
      <c r="AZ161" s="296">
        <v>58</v>
      </c>
      <c r="BA161" s="297">
        <v>11</v>
      </c>
      <c r="BB161" s="294">
        <v>42</v>
      </c>
      <c r="BC161" s="295">
        <v>52</v>
      </c>
      <c r="BD161" s="296">
        <v>56</v>
      </c>
      <c r="BE161" s="297">
        <v>15</v>
      </c>
      <c r="BF161" s="294">
        <v>32</v>
      </c>
      <c r="BG161" s="295">
        <v>15</v>
      </c>
      <c r="BH161" s="296">
        <v>38</v>
      </c>
      <c r="BI161" s="297">
        <v>14</v>
      </c>
      <c r="BJ161" s="294">
        <v>17</v>
      </c>
      <c r="BK161" s="295">
        <v>14</v>
      </c>
      <c r="BL161" s="296">
        <v>11</v>
      </c>
      <c r="BM161" s="297">
        <v>9</v>
      </c>
      <c r="BN161" s="294">
        <v>9</v>
      </c>
      <c r="BO161" s="295">
        <v>9</v>
      </c>
      <c r="BP161" s="296">
        <v>8</v>
      </c>
      <c r="BQ161" s="297"/>
      <c r="BR161" s="294"/>
      <c r="BS161" s="295"/>
      <c r="BT161" s="296"/>
      <c r="BU161" s="297"/>
      <c r="BV161" s="294"/>
      <c r="BW161" s="295"/>
      <c r="BX161" s="296"/>
      <c r="BY161" s="297"/>
      <c r="BZ161" s="294"/>
      <c r="CA161" s="295"/>
      <c r="CB161" s="296"/>
      <c r="CC161" s="297"/>
      <c r="CD161" s="294"/>
      <c r="CE161" s="295"/>
      <c r="CF161" s="296"/>
      <c r="CG161" s="297"/>
      <c r="CH161" s="294"/>
      <c r="CI161" s="295"/>
      <c r="CJ161" s="296"/>
      <c r="CK161" s="281"/>
      <c r="CL161" s="277"/>
      <c r="CM161" s="298"/>
      <c r="CN161" s="277"/>
      <c r="CO161" s="50">
        <f t="shared" si="74"/>
        <v>145</v>
      </c>
      <c r="CP161" s="103">
        <f t="shared" si="75"/>
        <v>5</v>
      </c>
      <c r="CQ161" s="280">
        <f t="shared" si="76"/>
        <v>171</v>
      </c>
      <c r="CR161" s="63">
        <f t="shared" si="77"/>
        <v>5</v>
      </c>
      <c r="CS161" s="279"/>
      <c r="CT161" s="52"/>
      <c r="CU161" s="105"/>
      <c r="CV161" s="98"/>
      <c r="CW161" s="279"/>
      <c r="CX161" s="52"/>
      <c r="CY161" s="105"/>
      <c r="CZ161" s="98"/>
      <c r="DA161" s="279"/>
      <c r="DB161" s="52"/>
      <c r="DC161" s="105"/>
      <c r="DD161" s="98"/>
      <c r="DE161" s="279"/>
      <c r="DF161" s="52"/>
      <c r="DG161" s="105"/>
      <c r="DH161" s="98"/>
      <c r="DI161" s="279"/>
      <c r="DJ161" s="52"/>
      <c r="DK161" s="105"/>
      <c r="DL161" s="98"/>
      <c r="DM161" s="279"/>
      <c r="DN161" s="52"/>
      <c r="DO161" s="105"/>
      <c r="DP161" s="98"/>
      <c r="DQ161" s="279"/>
      <c r="DR161" s="52"/>
      <c r="DS161" s="105"/>
      <c r="DT161" s="98"/>
      <c r="DU161" s="279"/>
      <c r="DV161" s="52"/>
      <c r="DW161" s="105"/>
      <c r="DX161" s="98"/>
      <c r="DY161" s="279"/>
      <c r="DZ161" s="52"/>
      <c r="EA161" s="105"/>
      <c r="EB161" s="98"/>
      <c r="EC161" s="279"/>
      <c r="ED161" s="52"/>
      <c r="EE161" s="105"/>
      <c r="EF161" s="98"/>
      <c r="EG161" s="159"/>
      <c r="EH161" s="277"/>
      <c r="EI161" s="50">
        <f t="shared" si="78"/>
        <v>0</v>
      </c>
      <c r="EJ161" s="103">
        <f t="shared" si="79"/>
        <v>0</v>
      </c>
      <c r="EK161" s="164">
        <f t="shared" si="80"/>
        <v>0</v>
      </c>
      <c r="EL161" s="280">
        <f t="shared" si="81"/>
        <v>0</v>
      </c>
      <c r="EM161" s="63">
        <f t="shared" si="82"/>
        <v>0</v>
      </c>
      <c r="EN161" s="359">
        <f t="shared" si="83"/>
        <v>0</v>
      </c>
      <c r="EO161" s="51">
        <f t="shared" si="84"/>
        <v>145</v>
      </c>
      <c r="EP161" s="361">
        <f t="shared" si="85"/>
        <v>171</v>
      </c>
      <c r="EQ161" s="281"/>
      <c r="ER161" s="277"/>
      <c r="ES161" s="281"/>
      <c r="ET161" s="277"/>
      <c r="EU161" s="281"/>
      <c r="EV161" s="277"/>
      <c r="EW161" s="281"/>
      <c r="EX161" s="277"/>
      <c r="EY161" s="281"/>
      <c r="EZ161" s="277"/>
      <c r="FA161" s="281"/>
      <c r="FB161" s="277"/>
      <c r="FC161" s="281"/>
      <c r="FD161" s="277"/>
      <c r="FE161" s="281"/>
      <c r="FF161" s="277"/>
      <c r="FG161" s="281"/>
      <c r="FH161" s="277"/>
      <c r="FI161" s="281"/>
      <c r="FJ161" s="277"/>
      <c r="FK161" s="50">
        <f t="shared" si="86"/>
        <v>0</v>
      </c>
      <c r="FL161" s="63">
        <f t="shared" si="87"/>
        <v>0</v>
      </c>
      <c r="FM161" s="50">
        <f t="shared" si="69"/>
        <v>737</v>
      </c>
      <c r="FN161" s="360">
        <f t="shared" si="70"/>
        <v>711</v>
      </c>
      <c r="FO161" s="3"/>
      <c r="FP161" s="279"/>
      <c r="FQ161" s="52"/>
      <c r="FR161" s="296"/>
      <c r="FS161" s="98"/>
      <c r="FT161" s="467"/>
      <c r="FU161" s="52"/>
      <c r="FV161" s="296"/>
      <c r="FW161" s="98"/>
      <c r="FX161" s="467"/>
      <c r="FY161" s="52"/>
      <c r="FZ161" s="296"/>
      <c r="GA161" s="98"/>
      <c r="GB161" s="467"/>
      <c r="GC161" s="52"/>
      <c r="GD161" s="296"/>
      <c r="GE161" s="98"/>
      <c r="GF161" s="467"/>
      <c r="GG161" s="52"/>
      <c r="GH161" s="296"/>
      <c r="GI161" s="98"/>
      <c r="GJ161" s="467"/>
      <c r="GK161" s="52"/>
      <c r="GL161" s="296"/>
      <c r="GM161" s="464"/>
      <c r="GN161" s="467"/>
      <c r="GO161" s="52"/>
      <c r="GP161" s="296"/>
      <c r="GQ161" s="464"/>
      <c r="GR161" s="467"/>
      <c r="GS161" s="52"/>
      <c r="GT161" s="296"/>
      <c r="GU161" s="464"/>
      <c r="GV161" s="467"/>
      <c r="GW161" s="52"/>
      <c r="GX161" s="296"/>
      <c r="GY161" s="464"/>
      <c r="GZ161" s="467"/>
      <c r="HA161" s="52"/>
      <c r="HB161" s="296"/>
      <c r="HC161" s="3"/>
    </row>
    <row r="162" spans="1:211" s="86" customFormat="1">
      <c r="A162" s="487" t="s">
        <v>955</v>
      </c>
      <c r="B162" s="303" t="s">
        <v>956</v>
      </c>
      <c r="C162" s="302">
        <v>138682</v>
      </c>
      <c r="D162" s="340">
        <v>12</v>
      </c>
      <c r="E162" s="460">
        <v>1393</v>
      </c>
      <c r="F162" s="277">
        <v>1801</v>
      </c>
      <c r="G162" s="158">
        <v>134</v>
      </c>
      <c r="H162" s="277">
        <v>140</v>
      </c>
      <c r="I162" s="158">
        <v>104</v>
      </c>
      <c r="J162" s="277">
        <v>110</v>
      </c>
      <c r="K162" s="160">
        <f t="shared" si="71"/>
        <v>0</v>
      </c>
      <c r="L162" s="161">
        <f t="shared" si="64"/>
        <v>0</v>
      </c>
      <c r="M162" s="54"/>
      <c r="N162" s="55"/>
      <c r="O162" s="55"/>
      <c r="P162" s="55"/>
      <c r="Q162" s="162">
        <f t="shared" si="72"/>
        <v>0</v>
      </c>
      <c r="R162" s="277"/>
      <c r="S162" s="277"/>
      <c r="T162" s="277"/>
      <c r="U162" s="277"/>
      <c r="V162" s="97">
        <f t="shared" si="73"/>
        <v>0</v>
      </c>
      <c r="W162" s="279"/>
      <c r="X162" s="52"/>
      <c r="Y162" s="99"/>
      <c r="Z162" s="53"/>
      <c r="AA162" s="228"/>
      <c r="AB162" s="52"/>
      <c r="AC162" s="99"/>
      <c r="AD162" s="53"/>
      <c r="AE162" s="228"/>
      <c r="AF162" s="52"/>
      <c r="AG162" s="99"/>
      <c r="AH162" s="53"/>
      <c r="AI162" s="228"/>
      <c r="AJ162" s="52"/>
      <c r="AK162" s="99"/>
      <c r="AL162" s="53"/>
      <c r="AM162" s="228"/>
      <c r="AN162" s="52"/>
      <c r="AO162" s="99"/>
      <c r="AP162" s="53"/>
      <c r="AQ162" s="50">
        <f t="shared" si="65"/>
        <v>0</v>
      </c>
      <c r="AR162" s="163">
        <f t="shared" si="66"/>
        <v>0</v>
      </c>
      <c r="AS162" s="97">
        <f t="shared" si="67"/>
        <v>0</v>
      </c>
      <c r="AT162" s="278">
        <f t="shared" si="68"/>
        <v>0</v>
      </c>
      <c r="AU162" s="55"/>
      <c r="AV162" s="277"/>
      <c r="AW162" s="279"/>
      <c r="AX162" s="52"/>
      <c r="AY162" s="105"/>
      <c r="AZ162" s="98"/>
      <c r="BA162" s="279"/>
      <c r="BB162" s="52"/>
      <c r="BC162" s="105"/>
      <c r="BD162" s="98"/>
      <c r="BE162" s="279"/>
      <c r="BF162" s="52"/>
      <c r="BG162" s="105"/>
      <c r="BH162" s="98"/>
      <c r="BI162" s="279"/>
      <c r="BJ162" s="52"/>
      <c r="BK162" s="105"/>
      <c r="BL162" s="98"/>
      <c r="BM162" s="279"/>
      <c r="BN162" s="52"/>
      <c r="BO162" s="105"/>
      <c r="BP162" s="98"/>
      <c r="BQ162" s="279"/>
      <c r="BR162" s="52"/>
      <c r="BS162" s="105"/>
      <c r="BT162" s="98"/>
      <c r="BU162" s="279"/>
      <c r="BV162" s="52"/>
      <c r="BW162" s="105"/>
      <c r="BX162" s="98"/>
      <c r="BY162" s="279"/>
      <c r="BZ162" s="52"/>
      <c r="CA162" s="105"/>
      <c r="CB162" s="98"/>
      <c r="CC162" s="279"/>
      <c r="CD162" s="52"/>
      <c r="CE162" s="105"/>
      <c r="CF162" s="98"/>
      <c r="CG162" s="279"/>
      <c r="CH162" s="52"/>
      <c r="CI162" s="105"/>
      <c r="CJ162" s="98"/>
      <c r="CK162" s="281"/>
      <c r="CL162" s="277"/>
      <c r="CM162" s="159"/>
      <c r="CN162" s="277"/>
      <c r="CO162" s="50">
        <f t="shared" si="74"/>
        <v>0</v>
      </c>
      <c r="CP162" s="103">
        <f t="shared" si="75"/>
        <v>0</v>
      </c>
      <c r="CQ162" s="280">
        <f t="shared" si="76"/>
        <v>0</v>
      </c>
      <c r="CR162" s="63">
        <f t="shared" si="77"/>
        <v>0</v>
      </c>
      <c r="CS162" s="279"/>
      <c r="CT162" s="52"/>
      <c r="CU162" s="105"/>
      <c r="CV162" s="98"/>
      <c r="CW162" s="279"/>
      <c r="CX162" s="52"/>
      <c r="CY162" s="105"/>
      <c r="CZ162" s="98"/>
      <c r="DA162" s="279"/>
      <c r="DB162" s="52"/>
      <c r="DC162" s="105"/>
      <c r="DD162" s="98"/>
      <c r="DE162" s="279"/>
      <c r="DF162" s="52"/>
      <c r="DG162" s="105"/>
      <c r="DH162" s="98"/>
      <c r="DI162" s="279"/>
      <c r="DJ162" s="52"/>
      <c r="DK162" s="105"/>
      <c r="DL162" s="98"/>
      <c r="DM162" s="279"/>
      <c r="DN162" s="52"/>
      <c r="DO162" s="105"/>
      <c r="DP162" s="98"/>
      <c r="DQ162" s="279"/>
      <c r="DR162" s="52"/>
      <c r="DS162" s="105"/>
      <c r="DT162" s="98"/>
      <c r="DU162" s="279"/>
      <c r="DV162" s="52"/>
      <c r="DW162" s="105"/>
      <c r="DX162" s="98"/>
      <c r="DY162" s="279"/>
      <c r="DZ162" s="52"/>
      <c r="EA162" s="105"/>
      <c r="EB162" s="98"/>
      <c r="EC162" s="279"/>
      <c r="ED162" s="52"/>
      <c r="EE162" s="105"/>
      <c r="EF162" s="98"/>
      <c r="EG162" s="159"/>
      <c r="EH162" s="277"/>
      <c r="EI162" s="50">
        <f t="shared" si="78"/>
        <v>0</v>
      </c>
      <c r="EJ162" s="103">
        <f t="shared" si="79"/>
        <v>0</v>
      </c>
      <c r="EK162" s="164">
        <f t="shared" si="80"/>
        <v>0</v>
      </c>
      <c r="EL162" s="280">
        <f t="shared" si="81"/>
        <v>0</v>
      </c>
      <c r="EM162" s="63">
        <f t="shared" si="82"/>
        <v>0</v>
      </c>
      <c r="EN162" s="359">
        <f t="shared" si="83"/>
        <v>0</v>
      </c>
      <c r="EO162" s="51">
        <f t="shared" si="84"/>
        <v>0</v>
      </c>
      <c r="EP162" s="361">
        <f t="shared" si="85"/>
        <v>0</v>
      </c>
      <c r="EQ162" s="281"/>
      <c r="ER162" s="277"/>
      <c r="ES162" s="281"/>
      <c r="ET162" s="277"/>
      <c r="EU162" s="281"/>
      <c r="EV162" s="277"/>
      <c r="EW162" s="281"/>
      <c r="EX162" s="277"/>
      <c r="EY162" s="281"/>
      <c r="EZ162" s="277"/>
      <c r="FA162" s="281"/>
      <c r="FB162" s="277"/>
      <c r="FC162" s="281"/>
      <c r="FD162" s="277"/>
      <c r="FE162" s="281"/>
      <c r="FF162" s="277"/>
      <c r="FG162" s="281"/>
      <c r="FH162" s="277"/>
      <c r="FI162" s="281"/>
      <c r="FJ162" s="277"/>
      <c r="FK162" s="50">
        <f t="shared" si="86"/>
        <v>0</v>
      </c>
      <c r="FL162" s="63">
        <f t="shared" si="87"/>
        <v>0</v>
      </c>
      <c r="FM162" s="50">
        <f t="shared" si="69"/>
        <v>1631</v>
      </c>
      <c r="FN162" s="360">
        <f t="shared" si="70"/>
        <v>2051</v>
      </c>
      <c r="FO162" s="3"/>
      <c r="FP162" s="279"/>
      <c r="FQ162" s="52"/>
      <c r="FR162" s="296"/>
      <c r="FS162" s="98"/>
      <c r="FT162" s="467"/>
      <c r="FU162" s="52"/>
      <c r="FV162" s="296"/>
      <c r="FW162" s="98"/>
      <c r="FX162" s="467"/>
      <c r="FY162" s="52"/>
      <c r="FZ162" s="296"/>
      <c r="GA162" s="98"/>
      <c r="GB162" s="467"/>
      <c r="GC162" s="52"/>
      <c r="GD162" s="296"/>
      <c r="GE162" s="98"/>
      <c r="GF162" s="467"/>
      <c r="GG162" s="52"/>
      <c r="GH162" s="296"/>
      <c r="GI162" s="98"/>
      <c r="GJ162" s="467"/>
      <c r="GK162" s="52"/>
      <c r="GL162" s="296"/>
      <c r="GM162" s="464"/>
      <c r="GN162" s="467"/>
      <c r="GO162" s="52"/>
      <c r="GP162" s="296"/>
      <c r="GQ162" s="464"/>
      <c r="GR162" s="467"/>
      <c r="GS162" s="52"/>
      <c r="GT162" s="296"/>
      <c r="GU162" s="464"/>
      <c r="GV162" s="467"/>
      <c r="GW162" s="52"/>
      <c r="GX162" s="296"/>
      <c r="GY162" s="464"/>
      <c r="GZ162" s="467"/>
      <c r="HA162" s="52"/>
      <c r="HB162" s="296"/>
      <c r="HC162" s="3"/>
    </row>
    <row r="163" spans="1:211" s="86" customFormat="1">
      <c r="A163" s="487" t="s">
        <v>955</v>
      </c>
      <c r="B163" s="303" t="s">
        <v>958</v>
      </c>
      <c r="C163" s="302">
        <v>246813</v>
      </c>
      <c r="D163" s="340">
        <v>12</v>
      </c>
      <c r="E163" s="460">
        <v>778</v>
      </c>
      <c r="F163" s="277">
        <v>687</v>
      </c>
      <c r="G163" s="158">
        <v>50</v>
      </c>
      <c r="H163" s="277">
        <v>35</v>
      </c>
      <c r="I163" s="158">
        <v>265</v>
      </c>
      <c r="J163" s="277">
        <v>262</v>
      </c>
      <c r="K163" s="160">
        <f t="shared" si="71"/>
        <v>0</v>
      </c>
      <c r="L163" s="161">
        <f t="shared" si="64"/>
        <v>0</v>
      </c>
      <c r="M163" s="54"/>
      <c r="N163" s="55"/>
      <c r="O163" s="55"/>
      <c r="P163" s="55"/>
      <c r="Q163" s="162">
        <f t="shared" si="72"/>
        <v>0</v>
      </c>
      <c r="R163" s="277"/>
      <c r="S163" s="277"/>
      <c r="T163" s="277"/>
      <c r="U163" s="277"/>
      <c r="V163" s="97">
        <f t="shared" si="73"/>
        <v>0</v>
      </c>
      <c r="W163" s="279"/>
      <c r="X163" s="52"/>
      <c r="Y163" s="99"/>
      <c r="Z163" s="53"/>
      <c r="AA163" s="228"/>
      <c r="AB163" s="52"/>
      <c r="AC163" s="99"/>
      <c r="AD163" s="53"/>
      <c r="AE163" s="228"/>
      <c r="AF163" s="52"/>
      <c r="AG163" s="99"/>
      <c r="AH163" s="53"/>
      <c r="AI163" s="228"/>
      <c r="AJ163" s="52"/>
      <c r="AK163" s="99"/>
      <c r="AL163" s="53"/>
      <c r="AM163" s="228"/>
      <c r="AN163" s="52"/>
      <c r="AO163" s="99"/>
      <c r="AP163" s="53"/>
      <c r="AQ163" s="50">
        <f t="shared" si="65"/>
        <v>0</v>
      </c>
      <c r="AR163" s="163">
        <f t="shared" si="66"/>
        <v>0</v>
      </c>
      <c r="AS163" s="97">
        <f t="shared" si="67"/>
        <v>0</v>
      </c>
      <c r="AT163" s="278">
        <f t="shared" si="68"/>
        <v>0</v>
      </c>
      <c r="AU163" s="55"/>
      <c r="AV163" s="277"/>
      <c r="AW163" s="279"/>
      <c r="AX163" s="52"/>
      <c r="AY163" s="105"/>
      <c r="AZ163" s="98"/>
      <c r="BA163" s="279"/>
      <c r="BB163" s="52"/>
      <c r="BC163" s="105"/>
      <c r="BD163" s="98"/>
      <c r="BE163" s="279"/>
      <c r="BF163" s="52"/>
      <c r="BG163" s="105"/>
      <c r="BH163" s="98"/>
      <c r="BI163" s="279"/>
      <c r="BJ163" s="52"/>
      <c r="BK163" s="105"/>
      <c r="BL163" s="98"/>
      <c r="BM163" s="279"/>
      <c r="BN163" s="52"/>
      <c r="BO163" s="105"/>
      <c r="BP163" s="98"/>
      <c r="BQ163" s="279"/>
      <c r="BR163" s="52"/>
      <c r="BS163" s="105"/>
      <c r="BT163" s="98"/>
      <c r="BU163" s="279"/>
      <c r="BV163" s="52"/>
      <c r="BW163" s="105"/>
      <c r="BX163" s="98"/>
      <c r="BY163" s="279"/>
      <c r="BZ163" s="52"/>
      <c r="CA163" s="105"/>
      <c r="CB163" s="98"/>
      <c r="CC163" s="279"/>
      <c r="CD163" s="52"/>
      <c r="CE163" s="105"/>
      <c r="CF163" s="98"/>
      <c r="CG163" s="279"/>
      <c r="CH163" s="52"/>
      <c r="CI163" s="105"/>
      <c r="CJ163" s="98"/>
      <c r="CK163" s="281"/>
      <c r="CL163" s="277"/>
      <c r="CM163" s="159"/>
      <c r="CN163" s="277"/>
      <c r="CO163" s="50">
        <f t="shared" si="74"/>
        <v>0</v>
      </c>
      <c r="CP163" s="103">
        <f t="shared" si="75"/>
        <v>0</v>
      </c>
      <c r="CQ163" s="280">
        <f t="shared" si="76"/>
        <v>0</v>
      </c>
      <c r="CR163" s="63">
        <f t="shared" si="77"/>
        <v>0</v>
      </c>
      <c r="CS163" s="279"/>
      <c r="CT163" s="52"/>
      <c r="CU163" s="105"/>
      <c r="CV163" s="98"/>
      <c r="CW163" s="279"/>
      <c r="CX163" s="52"/>
      <c r="CY163" s="105"/>
      <c r="CZ163" s="98"/>
      <c r="DA163" s="279"/>
      <c r="DB163" s="52"/>
      <c r="DC163" s="105"/>
      <c r="DD163" s="98"/>
      <c r="DE163" s="279"/>
      <c r="DF163" s="52"/>
      <c r="DG163" s="105"/>
      <c r="DH163" s="98"/>
      <c r="DI163" s="279"/>
      <c r="DJ163" s="52"/>
      <c r="DK163" s="105"/>
      <c r="DL163" s="98"/>
      <c r="DM163" s="279"/>
      <c r="DN163" s="52"/>
      <c r="DO163" s="105"/>
      <c r="DP163" s="98"/>
      <c r="DQ163" s="279"/>
      <c r="DR163" s="52"/>
      <c r="DS163" s="105"/>
      <c r="DT163" s="98"/>
      <c r="DU163" s="279"/>
      <c r="DV163" s="52"/>
      <c r="DW163" s="105"/>
      <c r="DX163" s="98"/>
      <c r="DY163" s="279"/>
      <c r="DZ163" s="52"/>
      <c r="EA163" s="105"/>
      <c r="EB163" s="98"/>
      <c r="EC163" s="279"/>
      <c r="ED163" s="52"/>
      <c r="EE163" s="105"/>
      <c r="EF163" s="98"/>
      <c r="EG163" s="159"/>
      <c r="EH163" s="277"/>
      <c r="EI163" s="50">
        <f t="shared" si="78"/>
        <v>0</v>
      </c>
      <c r="EJ163" s="103">
        <f t="shared" si="79"/>
        <v>0</v>
      </c>
      <c r="EK163" s="164">
        <f t="shared" si="80"/>
        <v>0</v>
      </c>
      <c r="EL163" s="280">
        <f t="shared" si="81"/>
        <v>0</v>
      </c>
      <c r="EM163" s="63">
        <f t="shared" si="82"/>
        <v>0</v>
      </c>
      <c r="EN163" s="359">
        <f t="shared" si="83"/>
        <v>0</v>
      </c>
      <c r="EO163" s="51">
        <f t="shared" si="84"/>
        <v>0</v>
      </c>
      <c r="EP163" s="361">
        <f t="shared" si="85"/>
        <v>0</v>
      </c>
      <c r="EQ163" s="281"/>
      <c r="ER163" s="277"/>
      <c r="ES163" s="281"/>
      <c r="ET163" s="277"/>
      <c r="EU163" s="281"/>
      <c r="EV163" s="277"/>
      <c r="EW163" s="281"/>
      <c r="EX163" s="277"/>
      <c r="EY163" s="281"/>
      <c r="EZ163" s="277"/>
      <c r="FA163" s="281"/>
      <c r="FB163" s="277"/>
      <c r="FC163" s="281"/>
      <c r="FD163" s="277"/>
      <c r="FE163" s="281"/>
      <c r="FF163" s="277"/>
      <c r="FG163" s="281"/>
      <c r="FH163" s="277"/>
      <c r="FI163" s="281"/>
      <c r="FJ163" s="277"/>
      <c r="FK163" s="50">
        <f t="shared" si="86"/>
        <v>0</v>
      </c>
      <c r="FL163" s="63">
        <f t="shared" si="87"/>
        <v>0</v>
      </c>
      <c r="FM163" s="50">
        <f t="shared" si="69"/>
        <v>1093</v>
      </c>
      <c r="FN163" s="360">
        <f t="shared" si="70"/>
        <v>984</v>
      </c>
      <c r="FO163" s="3"/>
      <c r="FP163" s="279"/>
      <c r="FQ163" s="52"/>
      <c r="FR163" s="296"/>
      <c r="FS163" s="98"/>
      <c r="FT163" s="467"/>
      <c r="FU163" s="52"/>
      <c r="FV163" s="296"/>
      <c r="FW163" s="98"/>
      <c r="FX163" s="467"/>
      <c r="FY163" s="52"/>
      <c r="FZ163" s="296"/>
      <c r="GA163" s="98"/>
      <c r="GB163" s="467"/>
      <c r="GC163" s="52"/>
      <c r="GD163" s="296"/>
      <c r="GE163" s="98"/>
      <c r="GF163" s="467"/>
      <c r="GG163" s="52"/>
      <c r="GH163" s="296"/>
      <c r="GI163" s="98"/>
      <c r="GJ163" s="467"/>
      <c r="GK163" s="52"/>
      <c r="GL163" s="296"/>
      <c r="GM163" s="464"/>
      <c r="GN163" s="467"/>
      <c r="GO163" s="52"/>
      <c r="GP163" s="296"/>
      <c r="GQ163" s="464"/>
      <c r="GR163" s="467"/>
      <c r="GS163" s="52"/>
      <c r="GT163" s="296"/>
      <c r="GU163" s="464"/>
      <c r="GV163" s="467"/>
      <c r="GW163" s="52"/>
      <c r="GX163" s="296"/>
      <c r="GY163" s="464"/>
      <c r="GZ163" s="467"/>
      <c r="HA163" s="52"/>
      <c r="HB163" s="296"/>
      <c r="HC163" s="3"/>
    </row>
    <row r="164" spans="1:211" s="86" customFormat="1">
      <c r="A164" s="487" t="s">
        <v>955</v>
      </c>
      <c r="B164" s="303" t="s">
        <v>959</v>
      </c>
      <c r="C164" s="302">
        <v>138840</v>
      </c>
      <c r="D164" s="340">
        <v>12</v>
      </c>
      <c r="E164" s="460">
        <v>1149</v>
      </c>
      <c r="F164" s="277">
        <v>1271</v>
      </c>
      <c r="G164" s="158">
        <v>97</v>
      </c>
      <c r="H164" s="277">
        <v>102</v>
      </c>
      <c r="I164" s="158">
        <v>44</v>
      </c>
      <c r="J164" s="277">
        <v>67</v>
      </c>
      <c r="K164" s="160">
        <f t="shared" si="71"/>
        <v>0</v>
      </c>
      <c r="L164" s="161">
        <f t="shared" si="64"/>
        <v>0</v>
      </c>
      <c r="M164" s="54"/>
      <c r="N164" s="55"/>
      <c r="O164" s="55"/>
      <c r="P164" s="55"/>
      <c r="Q164" s="162">
        <f t="shared" si="72"/>
        <v>0</v>
      </c>
      <c r="R164" s="277"/>
      <c r="S164" s="277"/>
      <c r="T164" s="277"/>
      <c r="U164" s="277"/>
      <c r="V164" s="97">
        <f t="shared" si="73"/>
        <v>0</v>
      </c>
      <c r="W164" s="279"/>
      <c r="X164" s="52"/>
      <c r="Y164" s="99"/>
      <c r="Z164" s="53"/>
      <c r="AA164" s="228"/>
      <c r="AB164" s="52"/>
      <c r="AC164" s="99"/>
      <c r="AD164" s="53"/>
      <c r="AE164" s="228"/>
      <c r="AF164" s="52"/>
      <c r="AG164" s="99"/>
      <c r="AH164" s="53"/>
      <c r="AI164" s="228"/>
      <c r="AJ164" s="52"/>
      <c r="AK164" s="99"/>
      <c r="AL164" s="53"/>
      <c r="AM164" s="228"/>
      <c r="AN164" s="52"/>
      <c r="AO164" s="99"/>
      <c r="AP164" s="53"/>
      <c r="AQ164" s="50">
        <f t="shared" si="65"/>
        <v>0</v>
      </c>
      <c r="AR164" s="163">
        <f t="shared" si="66"/>
        <v>0</v>
      </c>
      <c r="AS164" s="97">
        <f t="shared" si="67"/>
        <v>0</v>
      </c>
      <c r="AT164" s="278">
        <f t="shared" si="68"/>
        <v>0</v>
      </c>
      <c r="AU164" s="55"/>
      <c r="AV164" s="277"/>
      <c r="AW164" s="279"/>
      <c r="AX164" s="52"/>
      <c r="AY164" s="105"/>
      <c r="AZ164" s="98"/>
      <c r="BA164" s="279"/>
      <c r="BB164" s="52"/>
      <c r="BC164" s="105"/>
      <c r="BD164" s="98"/>
      <c r="BE164" s="279"/>
      <c r="BF164" s="52"/>
      <c r="BG164" s="105"/>
      <c r="BH164" s="98"/>
      <c r="BI164" s="279"/>
      <c r="BJ164" s="52"/>
      <c r="BK164" s="105"/>
      <c r="BL164" s="98"/>
      <c r="BM164" s="279"/>
      <c r="BN164" s="52"/>
      <c r="BO164" s="105"/>
      <c r="BP164" s="98"/>
      <c r="BQ164" s="279"/>
      <c r="BR164" s="52"/>
      <c r="BS164" s="105"/>
      <c r="BT164" s="98"/>
      <c r="BU164" s="279"/>
      <c r="BV164" s="52"/>
      <c r="BW164" s="105"/>
      <c r="BX164" s="98"/>
      <c r="BY164" s="279"/>
      <c r="BZ164" s="52"/>
      <c r="CA164" s="105"/>
      <c r="CB164" s="98"/>
      <c r="CC164" s="279"/>
      <c r="CD164" s="52"/>
      <c r="CE164" s="105"/>
      <c r="CF164" s="98"/>
      <c r="CG164" s="279"/>
      <c r="CH164" s="52"/>
      <c r="CI164" s="105"/>
      <c r="CJ164" s="98"/>
      <c r="CK164" s="281"/>
      <c r="CL164" s="277"/>
      <c r="CM164" s="159"/>
      <c r="CN164" s="277"/>
      <c r="CO164" s="50">
        <f t="shared" si="74"/>
        <v>0</v>
      </c>
      <c r="CP164" s="103">
        <f t="shared" si="75"/>
        <v>0</v>
      </c>
      <c r="CQ164" s="280">
        <f t="shared" si="76"/>
        <v>0</v>
      </c>
      <c r="CR164" s="63">
        <f t="shared" si="77"/>
        <v>0</v>
      </c>
      <c r="CS164" s="279"/>
      <c r="CT164" s="52"/>
      <c r="CU164" s="105"/>
      <c r="CV164" s="98"/>
      <c r="CW164" s="279"/>
      <c r="CX164" s="52"/>
      <c r="CY164" s="105"/>
      <c r="CZ164" s="98"/>
      <c r="DA164" s="279"/>
      <c r="DB164" s="52"/>
      <c r="DC164" s="105"/>
      <c r="DD164" s="98"/>
      <c r="DE164" s="279"/>
      <c r="DF164" s="52"/>
      <c r="DG164" s="105"/>
      <c r="DH164" s="98"/>
      <c r="DI164" s="279"/>
      <c r="DJ164" s="52"/>
      <c r="DK164" s="105"/>
      <c r="DL164" s="98"/>
      <c r="DM164" s="279"/>
      <c r="DN164" s="52"/>
      <c r="DO164" s="105"/>
      <c r="DP164" s="98"/>
      <c r="DQ164" s="279"/>
      <c r="DR164" s="52"/>
      <c r="DS164" s="105"/>
      <c r="DT164" s="98"/>
      <c r="DU164" s="279"/>
      <c r="DV164" s="52"/>
      <c r="DW164" s="105"/>
      <c r="DX164" s="98"/>
      <c r="DY164" s="279"/>
      <c r="DZ164" s="52"/>
      <c r="EA164" s="105"/>
      <c r="EB164" s="98"/>
      <c r="EC164" s="279"/>
      <c r="ED164" s="52"/>
      <c r="EE164" s="105"/>
      <c r="EF164" s="98"/>
      <c r="EG164" s="159"/>
      <c r="EH164" s="277"/>
      <c r="EI164" s="50">
        <f t="shared" si="78"/>
        <v>0</v>
      </c>
      <c r="EJ164" s="103">
        <f t="shared" si="79"/>
        <v>0</v>
      </c>
      <c r="EK164" s="164">
        <f t="shared" si="80"/>
        <v>0</v>
      </c>
      <c r="EL164" s="280">
        <f t="shared" si="81"/>
        <v>0</v>
      </c>
      <c r="EM164" s="63">
        <f t="shared" si="82"/>
        <v>0</v>
      </c>
      <c r="EN164" s="359">
        <f t="shared" si="83"/>
        <v>0</v>
      </c>
      <c r="EO164" s="51">
        <f t="shared" si="84"/>
        <v>0</v>
      </c>
      <c r="EP164" s="361">
        <f t="shared" si="85"/>
        <v>0</v>
      </c>
      <c r="EQ164" s="281"/>
      <c r="ER164" s="277"/>
      <c r="ES164" s="281"/>
      <c r="ET164" s="277"/>
      <c r="EU164" s="281"/>
      <c r="EV164" s="277"/>
      <c r="EW164" s="281"/>
      <c r="EX164" s="277"/>
      <c r="EY164" s="281"/>
      <c r="EZ164" s="277"/>
      <c r="FA164" s="281"/>
      <c r="FB164" s="277"/>
      <c r="FC164" s="281"/>
      <c r="FD164" s="277"/>
      <c r="FE164" s="281"/>
      <c r="FF164" s="277"/>
      <c r="FG164" s="281"/>
      <c r="FH164" s="277"/>
      <c r="FI164" s="281"/>
      <c r="FJ164" s="277"/>
      <c r="FK164" s="50">
        <f t="shared" si="86"/>
        <v>0</v>
      </c>
      <c r="FL164" s="63">
        <f t="shared" si="87"/>
        <v>0</v>
      </c>
      <c r="FM164" s="50">
        <f t="shared" si="69"/>
        <v>1290</v>
      </c>
      <c r="FN164" s="360">
        <f t="shared" si="70"/>
        <v>1440</v>
      </c>
      <c r="FO164" s="3"/>
      <c r="FP164" s="279"/>
      <c r="FQ164" s="52"/>
      <c r="FR164" s="296"/>
      <c r="FS164" s="98"/>
      <c r="FT164" s="467"/>
      <c r="FU164" s="52"/>
      <c r="FV164" s="296"/>
      <c r="FW164" s="98"/>
      <c r="FX164" s="467"/>
      <c r="FY164" s="52"/>
      <c r="FZ164" s="296"/>
      <c r="GA164" s="98"/>
      <c r="GB164" s="467"/>
      <c r="GC164" s="52"/>
      <c r="GD164" s="296"/>
      <c r="GE164" s="98"/>
      <c r="GF164" s="467"/>
      <c r="GG164" s="52"/>
      <c r="GH164" s="296"/>
      <c r="GI164" s="98"/>
      <c r="GJ164" s="467"/>
      <c r="GK164" s="52"/>
      <c r="GL164" s="296"/>
      <c r="GM164" s="464"/>
      <c r="GN164" s="467"/>
      <c r="GO164" s="52"/>
      <c r="GP164" s="296"/>
      <c r="GQ164" s="464"/>
      <c r="GR164" s="467"/>
      <c r="GS164" s="52"/>
      <c r="GT164" s="296"/>
      <c r="GU164" s="464"/>
      <c r="GV164" s="467"/>
      <c r="GW164" s="52"/>
      <c r="GX164" s="296"/>
      <c r="GY164" s="464"/>
      <c r="GZ164" s="467"/>
      <c r="HA164" s="52"/>
      <c r="HB164" s="296"/>
      <c r="HC164" s="3"/>
    </row>
    <row r="165" spans="1:211" s="86" customFormat="1">
      <c r="A165" s="302" t="s">
        <v>955</v>
      </c>
      <c r="B165" s="303" t="s">
        <v>960</v>
      </c>
      <c r="C165" s="302">
        <v>138956</v>
      </c>
      <c r="D165" s="340">
        <v>12</v>
      </c>
      <c r="E165" s="460">
        <v>1358</v>
      </c>
      <c r="F165" s="277">
        <v>1408</v>
      </c>
      <c r="G165" s="158">
        <v>130</v>
      </c>
      <c r="H165" s="277">
        <v>125</v>
      </c>
      <c r="I165" s="158">
        <v>286</v>
      </c>
      <c r="J165" s="277">
        <v>309</v>
      </c>
      <c r="K165" s="160">
        <f t="shared" si="71"/>
        <v>0</v>
      </c>
      <c r="L165" s="161">
        <f t="shared" si="64"/>
        <v>0</v>
      </c>
      <c r="M165" s="54"/>
      <c r="N165" s="55"/>
      <c r="O165" s="55"/>
      <c r="P165" s="55"/>
      <c r="Q165" s="162">
        <f t="shared" si="72"/>
        <v>0</v>
      </c>
      <c r="R165" s="277"/>
      <c r="S165" s="277"/>
      <c r="T165" s="277"/>
      <c r="U165" s="277"/>
      <c r="V165" s="97">
        <f t="shared" si="73"/>
        <v>0</v>
      </c>
      <c r="W165" s="279"/>
      <c r="X165" s="52"/>
      <c r="Y165" s="99"/>
      <c r="Z165" s="53"/>
      <c r="AA165" s="228"/>
      <c r="AB165" s="52"/>
      <c r="AC165" s="99"/>
      <c r="AD165" s="53"/>
      <c r="AE165" s="228"/>
      <c r="AF165" s="52"/>
      <c r="AG165" s="99"/>
      <c r="AH165" s="53"/>
      <c r="AI165" s="228"/>
      <c r="AJ165" s="52"/>
      <c r="AK165" s="99"/>
      <c r="AL165" s="53"/>
      <c r="AM165" s="228"/>
      <c r="AN165" s="52"/>
      <c r="AO165" s="99"/>
      <c r="AP165" s="53"/>
      <c r="AQ165" s="50">
        <f t="shared" si="65"/>
        <v>0</v>
      </c>
      <c r="AR165" s="163">
        <f t="shared" si="66"/>
        <v>0</v>
      </c>
      <c r="AS165" s="97">
        <f t="shared" si="67"/>
        <v>0</v>
      </c>
      <c r="AT165" s="278">
        <f t="shared" si="68"/>
        <v>0</v>
      </c>
      <c r="AU165" s="55"/>
      <c r="AV165" s="277"/>
      <c r="AW165" s="279"/>
      <c r="AX165" s="52"/>
      <c r="AY165" s="105"/>
      <c r="AZ165" s="98"/>
      <c r="BA165" s="279"/>
      <c r="BB165" s="52"/>
      <c r="BC165" s="105"/>
      <c r="BD165" s="98"/>
      <c r="BE165" s="279"/>
      <c r="BF165" s="52"/>
      <c r="BG165" s="105"/>
      <c r="BH165" s="98"/>
      <c r="BI165" s="279"/>
      <c r="BJ165" s="52"/>
      <c r="BK165" s="105"/>
      <c r="BL165" s="98"/>
      <c r="BM165" s="279"/>
      <c r="BN165" s="52"/>
      <c r="BO165" s="105"/>
      <c r="BP165" s="98"/>
      <c r="BQ165" s="279"/>
      <c r="BR165" s="52"/>
      <c r="BS165" s="105"/>
      <c r="BT165" s="98"/>
      <c r="BU165" s="279"/>
      <c r="BV165" s="52"/>
      <c r="BW165" s="105"/>
      <c r="BX165" s="98"/>
      <c r="BY165" s="279"/>
      <c r="BZ165" s="52"/>
      <c r="CA165" s="105"/>
      <c r="CB165" s="98"/>
      <c r="CC165" s="279"/>
      <c r="CD165" s="52"/>
      <c r="CE165" s="105"/>
      <c r="CF165" s="98"/>
      <c r="CG165" s="279"/>
      <c r="CH165" s="52"/>
      <c r="CI165" s="105"/>
      <c r="CJ165" s="98"/>
      <c r="CK165" s="281"/>
      <c r="CL165" s="277"/>
      <c r="CM165" s="159"/>
      <c r="CN165" s="277"/>
      <c r="CO165" s="50">
        <f t="shared" si="74"/>
        <v>0</v>
      </c>
      <c r="CP165" s="103">
        <f t="shared" si="75"/>
        <v>0</v>
      </c>
      <c r="CQ165" s="280">
        <f t="shared" si="76"/>
        <v>0</v>
      </c>
      <c r="CR165" s="63">
        <f t="shared" si="77"/>
        <v>0</v>
      </c>
      <c r="CS165" s="279"/>
      <c r="CT165" s="52"/>
      <c r="CU165" s="105"/>
      <c r="CV165" s="98"/>
      <c r="CW165" s="279"/>
      <c r="CX165" s="52"/>
      <c r="CY165" s="105"/>
      <c r="CZ165" s="98"/>
      <c r="DA165" s="279"/>
      <c r="DB165" s="52"/>
      <c r="DC165" s="105"/>
      <c r="DD165" s="98"/>
      <c r="DE165" s="279"/>
      <c r="DF165" s="52"/>
      <c r="DG165" s="105"/>
      <c r="DH165" s="98"/>
      <c r="DI165" s="279"/>
      <c r="DJ165" s="52"/>
      <c r="DK165" s="105"/>
      <c r="DL165" s="98"/>
      <c r="DM165" s="279"/>
      <c r="DN165" s="52"/>
      <c r="DO165" s="105"/>
      <c r="DP165" s="98"/>
      <c r="DQ165" s="279"/>
      <c r="DR165" s="52"/>
      <c r="DS165" s="105"/>
      <c r="DT165" s="98"/>
      <c r="DU165" s="279"/>
      <c r="DV165" s="52"/>
      <c r="DW165" s="105"/>
      <c r="DX165" s="98"/>
      <c r="DY165" s="279"/>
      <c r="DZ165" s="52"/>
      <c r="EA165" s="105"/>
      <c r="EB165" s="98"/>
      <c r="EC165" s="279"/>
      <c r="ED165" s="52"/>
      <c r="EE165" s="105"/>
      <c r="EF165" s="98"/>
      <c r="EG165" s="159"/>
      <c r="EH165" s="277"/>
      <c r="EI165" s="50">
        <f t="shared" si="78"/>
        <v>0</v>
      </c>
      <c r="EJ165" s="103">
        <f t="shared" si="79"/>
        <v>0</v>
      </c>
      <c r="EK165" s="164">
        <f t="shared" si="80"/>
        <v>0</v>
      </c>
      <c r="EL165" s="280">
        <f t="shared" si="81"/>
        <v>0</v>
      </c>
      <c r="EM165" s="63">
        <f t="shared" si="82"/>
        <v>0</v>
      </c>
      <c r="EN165" s="359">
        <f t="shared" si="83"/>
        <v>0</v>
      </c>
      <c r="EO165" s="51">
        <f t="shared" si="84"/>
        <v>0</v>
      </c>
      <c r="EP165" s="361">
        <f t="shared" si="85"/>
        <v>0</v>
      </c>
      <c r="EQ165" s="281"/>
      <c r="ER165" s="277"/>
      <c r="ES165" s="281"/>
      <c r="ET165" s="277"/>
      <c r="EU165" s="281"/>
      <c r="EV165" s="277"/>
      <c r="EW165" s="281"/>
      <c r="EX165" s="277"/>
      <c r="EY165" s="281"/>
      <c r="EZ165" s="277"/>
      <c r="FA165" s="281"/>
      <c r="FB165" s="277"/>
      <c r="FC165" s="281"/>
      <c r="FD165" s="277"/>
      <c r="FE165" s="281"/>
      <c r="FF165" s="277"/>
      <c r="FG165" s="281"/>
      <c r="FH165" s="277"/>
      <c r="FI165" s="281"/>
      <c r="FJ165" s="277"/>
      <c r="FK165" s="50">
        <f t="shared" si="86"/>
        <v>0</v>
      </c>
      <c r="FL165" s="63">
        <f t="shared" si="87"/>
        <v>0</v>
      </c>
      <c r="FM165" s="50">
        <f t="shared" si="69"/>
        <v>1774</v>
      </c>
      <c r="FN165" s="360">
        <f t="shared" si="70"/>
        <v>1842</v>
      </c>
      <c r="FO165" s="3"/>
      <c r="FP165" s="279"/>
      <c r="FQ165" s="52"/>
      <c r="FR165" s="296"/>
      <c r="FS165" s="98"/>
      <c r="FT165" s="467"/>
      <c r="FU165" s="52"/>
      <c r="FV165" s="296"/>
      <c r="FW165" s="98"/>
      <c r="FX165" s="467"/>
      <c r="FY165" s="52"/>
      <c r="FZ165" s="296"/>
      <c r="GA165" s="98"/>
      <c r="GB165" s="467"/>
      <c r="GC165" s="52"/>
      <c r="GD165" s="296"/>
      <c r="GE165" s="98"/>
      <c r="GF165" s="467"/>
      <c r="GG165" s="52"/>
      <c r="GH165" s="296"/>
      <c r="GI165" s="98"/>
      <c r="GJ165" s="467"/>
      <c r="GK165" s="52"/>
      <c r="GL165" s="296"/>
      <c r="GM165" s="464"/>
      <c r="GN165" s="467"/>
      <c r="GO165" s="52"/>
      <c r="GP165" s="296"/>
      <c r="GQ165" s="464"/>
      <c r="GR165" s="467"/>
      <c r="GS165" s="52"/>
      <c r="GT165" s="296"/>
      <c r="GU165" s="464"/>
      <c r="GV165" s="467"/>
      <c r="GW165" s="52"/>
      <c r="GX165" s="296"/>
      <c r="GY165" s="464"/>
      <c r="GZ165" s="467"/>
      <c r="HA165" s="52"/>
      <c r="HB165" s="296"/>
      <c r="HC165" s="3"/>
    </row>
    <row r="166" spans="1:211" s="86" customFormat="1">
      <c r="A166" s="302" t="s">
        <v>955</v>
      </c>
      <c r="B166" s="303" t="s">
        <v>961</v>
      </c>
      <c r="C166" s="302">
        <v>140304</v>
      </c>
      <c r="D166" s="340">
        <v>12</v>
      </c>
      <c r="E166" s="460">
        <v>1369</v>
      </c>
      <c r="F166" s="277">
        <v>1496</v>
      </c>
      <c r="G166" s="158">
        <v>106</v>
      </c>
      <c r="H166" s="277">
        <v>120</v>
      </c>
      <c r="I166" s="158">
        <v>212</v>
      </c>
      <c r="J166" s="277">
        <v>231</v>
      </c>
      <c r="K166" s="160">
        <f t="shared" si="71"/>
        <v>0</v>
      </c>
      <c r="L166" s="161">
        <f t="shared" si="64"/>
        <v>0</v>
      </c>
      <c r="M166" s="54"/>
      <c r="N166" s="55"/>
      <c r="O166" s="55"/>
      <c r="P166" s="55"/>
      <c r="Q166" s="162">
        <f t="shared" si="72"/>
        <v>0</v>
      </c>
      <c r="R166" s="277"/>
      <c r="S166" s="277"/>
      <c r="T166" s="277"/>
      <c r="U166" s="277"/>
      <c r="V166" s="97">
        <f t="shared" si="73"/>
        <v>0</v>
      </c>
      <c r="W166" s="279"/>
      <c r="X166" s="52"/>
      <c r="Y166" s="99"/>
      <c r="Z166" s="53"/>
      <c r="AA166" s="228"/>
      <c r="AB166" s="52"/>
      <c r="AC166" s="99"/>
      <c r="AD166" s="53"/>
      <c r="AE166" s="228"/>
      <c r="AF166" s="52"/>
      <c r="AG166" s="99"/>
      <c r="AH166" s="53"/>
      <c r="AI166" s="228"/>
      <c r="AJ166" s="52"/>
      <c r="AK166" s="99"/>
      <c r="AL166" s="53"/>
      <c r="AM166" s="228"/>
      <c r="AN166" s="52"/>
      <c r="AO166" s="99"/>
      <c r="AP166" s="53"/>
      <c r="AQ166" s="50">
        <f t="shared" si="65"/>
        <v>0</v>
      </c>
      <c r="AR166" s="163">
        <f t="shared" si="66"/>
        <v>0</v>
      </c>
      <c r="AS166" s="97">
        <f t="shared" si="67"/>
        <v>0</v>
      </c>
      <c r="AT166" s="278">
        <f t="shared" si="68"/>
        <v>0</v>
      </c>
      <c r="AU166" s="55"/>
      <c r="AV166" s="277"/>
      <c r="AW166" s="279"/>
      <c r="AX166" s="52"/>
      <c r="AY166" s="105"/>
      <c r="AZ166" s="98"/>
      <c r="BA166" s="279"/>
      <c r="BB166" s="52"/>
      <c r="BC166" s="105"/>
      <c r="BD166" s="98"/>
      <c r="BE166" s="279"/>
      <c r="BF166" s="52"/>
      <c r="BG166" s="105"/>
      <c r="BH166" s="98"/>
      <c r="BI166" s="279"/>
      <c r="BJ166" s="52"/>
      <c r="BK166" s="105"/>
      <c r="BL166" s="98"/>
      <c r="BM166" s="279"/>
      <c r="BN166" s="52"/>
      <c r="BO166" s="105"/>
      <c r="BP166" s="98"/>
      <c r="BQ166" s="279"/>
      <c r="BR166" s="52"/>
      <c r="BS166" s="105"/>
      <c r="BT166" s="98"/>
      <c r="BU166" s="279"/>
      <c r="BV166" s="52"/>
      <c r="BW166" s="105"/>
      <c r="BX166" s="98"/>
      <c r="BY166" s="279"/>
      <c r="BZ166" s="52"/>
      <c r="CA166" s="105"/>
      <c r="CB166" s="98"/>
      <c r="CC166" s="279"/>
      <c r="CD166" s="52"/>
      <c r="CE166" s="105"/>
      <c r="CF166" s="98"/>
      <c r="CG166" s="279"/>
      <c r="CH166" s="52"/>
      <c r="CI166" s="105"/>
      <c r="CJ166" s="98"/>
      <c r="CK166" s="281"/>
      <c r="CL166" s="277"/>
      <c r="CM166" s="159"/>
      <c r="CN166" s="277"/>
      <c r="CO166" s="50">
        <f t="shared" si="74"/>
        <v>0</v>
      </c>
      <c r="CP166" s="103">
        <f t="shared" si="75"/>
        <v>0</v>
      </c>
      <c r="CQ166" s="280">
        <f t="shared" si="76"/>
        <v>0</v>
      </c>
      <c r="CR166" s="63">
        <f t="shared" si="77"/>
        <v>0</v>
      </c>
      <c r="CS166" s="279"/>
      <c r="CT166" s="52"/>
      <c r="CU166" s="105"/>
      <c r="CV166" s="98"/>
      <c r="CW166" s="279"/>
      <c r="CX166" s="52"/>
      <c r="CY166" s="105"/>
      <c r="CZ166" s="98"/>
      <c r="DA166" s="279"/>
      <c r="DB166" s="52"/>
      <c r="DC166" s="105"/>
      <c r="DD166" s="98"/>
      <c r="DE166" s="279"/>
      <c r="DF166" s="52"/>
      <c r="DG166" s="105"/>
      <c r="DH166" s="98"/>
      <c r="DI166" s="279"/>
      <c r="DJ166" s="52"/>
      <c r="DK166" s="105"/>
      <c r="DL166" s="98"/>
      <c r="DM166" s="279"/>
      <c r="DN166" s="52"/>
      <c r="DO166" s="105"/>
      <c r="DP166" s="98"/>
      <c r="DQ166" s="279"/>
      <c r="DR166" s="52"/>
      <c r="DS166" s="105"/>
      <c r="DT166" s="98"/>
      <c r="DU166" s="279"/>
      <c r="DV166" s="52"/>
      <c r="DW166" s="105"/>
      <c r="DX166" s="98"/>
      <c r="DY166" s="279"/>
      <c r="DZ166" s="52"/>
      <c r="EA166" s="105"/>
      <c r="EB166" s="98"/>
      <c r="EC166" s="279"/>
      <c r="ED166" s="52"/>
      <c r="EE166" s="105"/>
      <c r="EF166" s="98"/>
      <c r="EG166" s="159"/>
      <c r="EH166" s="277"/>
      <c r="EI166" s="50">
        <f t="shared" si="78"/>
        <v>0</v>
      </c>
      <c r="EJ166" s="103">
        <f t="shared" si="79"/>
        <v>0</v>
      </c>
      <c r="EK166" s="164">
        <f t="shared" si="80"/>
        <v>0</v>
      </c>
      <c r="EL166" s="280">
        <f t="shared" si="81"/>
        <v>0</v>
      </c>
      <c r="EM166" s="63">
        <f t="shared" si="82"/>
        <v>0</v>
      </c>
      <c r="EN166" s="359">
        <f t="shared" si="83"/>
        <v>0</v>
      </c>
      <c r="EO166" s="51">
        <f t="shared" si="84"/>
        <v>0</v>
      </c>
      <c r="EP166" s="361">
        <f t="shared" si="85"/>
        <v>0</v>
      </c>
      <c r="EQ166" s="281"/>
      <c r="ER166" s="277"/>
      <c r="ES166" s="281"/>
      <c r="ET166" s="277"/>
      <c r="EU166" s="281"/>
      <c r="EV166" s="277"/>
      <c r="EW166" s="281"/>
      <c r="EX166" s="277"/>
      <c r="EY166" s="281"/>
      <c r="EZ166" s="277"/>
      <c r="FA166" s="281"/>
      <c r="FB166" s="277"/>
      <c r="FC166" s="281"/>
      <c r="FD166" s="277"/>
      <c r="FE166" s="281"/>
      <c r="FF166" s="277"/>
      <c r="FG166" s="281"/>
      <c r="FH166" s="277"/>
      <c r="FI166" s="281"/>
      <c r="FJ166" s="277"/>
      <c r="FK166" s="50">
        <f t="shared" si="86"/>
        <v>0</v>
      </c>
      <c r="FL166" s="63">
        <f t="shared" si="87"/>
        <v>0</v>
      </c>
      <c r="FM166" s="50">
        <f t="shared" si="69"/>
        <v>1687</v>
      </c>
      <c r="FN166" s="360">
        <f t="shared" si="70"/>
        <v>1847</v>
      </c>
      <c r="FO166" s="3"/>
      <c r="FP166" s="279"/>
      <c r="FQ166" s="52"/>
      <c r="FR166" s="296"/>
      <c r="FS166" s="98"/>
      <c r="FT166" s="467"/>
      <c r="FU166" s="52"/>
      <c r="FV166" s="296"/>
      <c r="FW166" s="98"/>
      <c r="FX166" s="467"/>
      <c r="FY166" s="52"/>
      <c r="FZ166" s="296"/>
      <c r="GA166" s="98"/>
      <c r="GB166" s="467"/>
      <c r="GC166" s="52"/>
      <c r="GD166" s="296"/>
      <c r="GE166" s="98"/>
      <c r="GF166" s="467"/>
      <c r="GG166" s="52"/>
      <c r="GH166" s="296"/>
      <c r="GI166" s="98"/>
      <c r="GJ166" s="467"/>
      <c r="GK166" s="52"/>
      <c r="GL166" s="296"/>
      <c r="GM166" s="464"/>
      <c r="GN166" s="467"/>
      <c r="GO166" s="52"/>
      <c r="GP166" s="296"/>
      <c r="GQ166" s="464"/>
      <c r="GR166" s="467"/>
      <c r="GS166" s="52"/>
      <c r="GT166" s="296"/>
      <c r="GU166" s="464"/>
      <c r="GV166" s="467"/>
      <c r="GW166" s="52"/>
      <c r="GX166" s="296"/>
      <c r="GY166" s="464"/>
      <c r="GZ166" s="467"/>
      <c r="HA166" s="52"/>
      <c r="HB166" s="296"/>
      <c r="HC166" s="3"/>
    </row>
    <row r="167" spans="1:211" s="86" customFormat="1">
      <c r="A167" s="302" t="s">
        <v>955</v>
      </c>
      <c r="B167" s="303" t="s">
        <v>962</v>
      </c>
      <c r="C167" s="302">
        <v>140331</v>
      </c>
      <c r="D167" s="340">
        <v>12</v>
      </c>
      <c r="E167" s="460">
        <v>2173</v>
      </c>
      <c r="F167" s="277">
        <v>2007</v>
      </c>
      <c r="G167" s="158">
        <v>202</v>
      </c>
      <c r="H167" s="277">
        <v>231</v>
      </c>
      <c r="I167" s="158">
        <v>401</v>
      </c>
      <c r="J167" s="277">
        <v>476</v>
      </c>
      <c r="K167" s="160">
        <f t="shared" si="71"/>
        <v>0</v>
      </c>
      <c r="L167" s="161">
        <f t="shared" si="64"/>
        <v>0</v>
      </c>
      <c r="M167" s="54">
        <v>0</v>
      </c>
      <c r="N167" s="55">
        <v>0</v>
      </c>
      <c r="O167" s="55">
        <v>0</v>
      </c>
      <c r="P167" s="55">
        <v>0</v>
      </c>
      <c r="Q167" s="162">
        <f t="shared" si="72"/>
        <v>0</v>
      </c>
      <c r="R167" s="277">
        <v>0</v>
      </c>
      <c r="S167" s="277">
        <v>0</v>
      </c>
      <c r="T167" s="277">
        <v>0</v>
      </c>
      <c r="U167" s="277">
        <v>0</v>
      </c>
      <c r="V167" s="97">
        <f t="shared" si="73"/>
        <v>0</v>
      </c>
      <c r="W167" s="279">
        <v>0</v>
      </c>
      <c r="X167" s="52">
        <v>0</v>
      </c>
      <c r="Y167" s="99">
        <v>0</v>
      </c>
      <c r="Z167" s="53">
        <v>0</v>
      </c>
      <c r="AA167" s="228">
        <v>0</v>
      </c>
      <c r="AB167" s="52">
        <v>0</v>
      </c>
      <c r="AC167" s="99">
        <v>0</v>
      </c>
      <c r="AD167" s="53">
        <v>0</v>
      </c>
      <c r="AE167" s="228">
        <v>0</v>
      </c>
      <c r="AF167" s="52">
        <v>0</v>
      </c>
      <c r="AG167" s="99">
        <v>0</v>
      </c>
      <c r="AH167" s="53">
        <v>0</v>
      </c>
      <c r="AI167" s="228">
        <v>0</v>
      </c>
      <c r="AJ167" s="52">
        <v>0</v>
      </c>
      <c r="AK167" s="99">
        <v>0</v>
      </c>
      <c r="AL167" s="53">
        <v>0</v>
      </c>
      <c r="AM167" s="228">
        <v>0</v>
      </c>
      <c r="AN167" s="52">
        <v>0</v>
      </c>
      <c r="AO167" s="99">
        <v>0</v>
      </c>
      <c r="AP167" s="53">
        <v>0</v>
      </c>
      <c r="AQ167" s="50">
        <f t="shared" si="65"/>
        <v>5</v>
      </c>
      <c r="AR167" s="163">
        <f t="shared" si="66"/>
        <v>0</v>
      </c>
      <c r="AS167" s="97">
        <f t="shared" si="67"/>
        <v>5</v>
      </c>
      <c r="AT167" s="278">
        <f t="shared" si="68"/>
        <v>0</v>
      </c>
      <c r="AU167" s="55">
        <v>0</v>
      </c>
      <c r="AV167" s="277">
        <v>0</v>
      </c>
      <c r="AW167" s="279">
        <v>0</v>
      </c>
      <c r="AX167" s="52">
        <v>0</v>
      </c>
      <c r="AY167" s="105">
        <v>0</v>
      </c>
      <c r="AZ167" s="98">
        <v>0</v>
      </c>
      <c r="BA167" s="279">
        <v>0</v>
      </c>
      <c r="BB167" s="52">
        <v>0</v>
      </c>
      <c r="BC167" s="105">
        <v>0</v>
      </c>
      <c r="BD167" s="98">
        <v>0</v>
      </c>
      <c r="BE167" s="279">
        <v>0</v>
      </c>
      <c r="BF167" s="52">
        <v>0</v>
      </c>
      <c r="BG167" s="105">
        <v>0</v>
      </c>
      <c r="BH167" s="98">
        <v>0</v>
      </c>
      <c r="BI167" s="279">
        <v>0</v>
      </c>
      <c r="BJ167" s="52">
        <v>0</v>
      </c>
      <c r="BK167" s="105">
        <v>0</v>
      </c>
      <c r="BL167" s="98">
        <v>0</v>
      </c>
      <c r="BM167" s="279">
        <v>0</v>
      </c>
      <c r="BN167" s="52">
        <v>0</v>
      </c>
      <c r="BO167" s="105">
        <v>0</v>
      </c>
      <c r="BP167" s="98">
        <v>0</v>
      </c>
      <c r="BQ167" s="279">
        <v>0</v>
      </c>
      <c r="BR167" s="52">
        <v>0</v>
      </c>
      <c r="BS167" s="105">
        <v>0</v>
      </c>
      <c r="BT167" s="98">
        <v>0</v>
      </c>
      <c r="BU167" s="279">
        <v>0</v>
      </c>
      <c r="BV167" s="52">
        <v>0</v>
      </c>
      <c r="BW167" s="105">
        <v>0</v>
      </c>
      <c r="BX167" s="98">
        <v>0</v>
      </c>
      <c r="BY167" s="279">
        <v>0</v>
      </c>
      <c r="BZ167" s="52">
        <v>0</v>
      </c>
      <c r="CA167" s="105">
        <v>0</v>
      </c>
      <c r="CB167" s="98">
        <v>0</v>
      </c>
      <c r="CC167" s="279">
        <v>0</v>
      </c>
      <c r="CD167" s="52">
        <v>0</v>
      </c>
      <c r="CE167" s="105">
        <v>0</v>
      </c>
      <c r="CF167" s="98">
        <v>0</v>
      </c>
      <c r="CG167" s="279">
        <v>0</v>
      </c>
      <c r="CH167" s="52">
        <v>0</v>
      </c>
      <c r="CI167" s="105">
        <v>0</v>
      </c>
      <c r="CJ167" s="98">
        <v>0</v>
      </c>
      <c r="CK167" s="281">
        <v>0</v>
      </c>
      <c r="CL167" s="277">
        <v>0</v>
      </c>
      <c r="CM167" s="159">
        <v>0</v>
      </c>
      <c r="CN167" s="277">
        <v>0</v>
      </c>
      <c r="CO167" s="50">
        <f t="shared" si="74"/>
        <v>0</v>
      </c>
      <c r="CP167" s="103">
        <f t="shared" si="75"/>
        <v>10</v>
      </c>
      <c r="CQ167" s="280">
        <f t="shared" si="76"/>
        <v>0</v>
      </c>
      <c r="CR167" s="63">
        <f t="shared" si="77"/>
        <v>10</v>
      </c>
      <c r="CS167" s="279">
        <v>0</v>
      </c>
      <c r="CT167" s="52">
        <v>0</v>
      </c>
      <c r="CU167" s="105">
        <v>0</v>
      </c>
      <c r="CV167" s="98">
        <v>0</v>
      </c>
      <c r="CW167" s="279">
        <v>0</v>
      </c>
      <c r="CX167" s="52">
        <v>0</v>
      </c>
      <c r="CY167" s="105">
        <v>0</v>
      </c>
      <c r="CZ167" s="98">
        <v>0</v>
      </c>
      <c r="DA167" s="279">
        <v>0</v>
      </c>
      <c r="DB167" s="52">
        <v>0</v>
      </c>
      <c r="DC167" s="105">
        <v>0</v>
      </c>
      <c r="DD167" s="98">
        <v>0</v>
      </c>
      <c r="DE167" s="279">
        <v>0</v>
      </c>
      <c r="DF167" s="52">
        <v>0</v>
      </c>
      <c r="DG167" s="105">
        <v>0</v>
      </c>
      <c r="DH167" s="98">
        <v>0</v>
      </c>
      <c r="DI167" s="279">
        <v>0</v>
      </c>
      <c r="DJ167" s="52">
        <v>0</v>
      </c>
      <c r="DK167" s="105">
        <v>0</v>
      </c>
      <c r="DL167" s="98">
        <v>0</v>
      </c>
      <c r="DM167" s="279">
        <v>0</v>
      </c>
      <c r="DN167" s="52">
        <v>0</v>
      </c>
      <c r="DO167" s="105">
        <v>0</v>
      </c>
      <c r="DP167" s="98">
        <v>0</v>
      </c>
      <c r="DQ167" s="279">
        <v>0</v>
      </c>
      <c r="DR167" s="52">
        <v>0</v>
      </c>
      <c r="DS167" s="105">
        <v>0</v>
      </c>
      <c r="DT167" s="98">
        <v>0</v>
      </c>
      <c r="DU167" s="279">
        <v>0</v>
      </c>
      <c r="DV167" s="52">
        <v>0</v>
      </c>
      <c r="DW167" s="105">
        <v>0</v>
      </c>
      <c r="DX167" s="98">
        <v>0</v>
      </c>
      <c r="DY167" s="279">
        <v>0</v>
      </c>
      <c r="DZ167" s="52">
        <v>0</v>
      </c>
      <c r="EA167" s="105">
        <v>0</v>
      </c>
      <c r="EB167" s="98">
        <v>0</v>
      </c>
      <c r="EC167" s="279">
        <v>0</v>
      </c>
      <c r="ED167" s="52">
        <v>0</v>
      </c>
      <c r="EE167" s="105">
        <v>0</v>
      </c>
      <c r="EF167" s="98">
        <v>0</v>
      </c>
      <c r="EG167" s="159">
        <v>0</v>
      </c>
      <c r="EH167" s="277">
        <v>0</v>
      </c>
      <c r="EI167" s="50">
        <f t="shared" si="78"/>
        <v>0</v>
      </c>
      <c r="EJ167" s="103">
        <f t="shared" si="79"/>
        <v>10</v>
      </c>
      <c r="EK167" s="164">
        <f t="shared" si="80"/>
        <v>0</v>
      </c>
      <c r="EL167" s="280">
        <f t="shared" si="81"/>
        <v>0</v>
      </c>
      <c r="EM167" s="63">
        <f t="shared" si="82"/>
        <v>10</v>
      </c>
      <c r="EN167" s="359">
        <f t="shared" si="83"/>
        <v>0</v>
      </c>
      <c r="EO167" s="51">
        <f t="shared" si="84"/>
        <v>0</v>
      </c>
      <c r="EP167" s="361">
        <f t="shared" si="85"/>
        <v>0</v>
      </c>
      <c r="EQ167" s="281"/>
      <c r="ER167" s="277"/>
      <c r="ES167" s="281"/>
      <c r="ET167" s="277"/>
      <c r="EU167" s="281"/>
      <c r="EV167" s="277"/>
      <c r="EW167" s="281"/>
      <c r="EX167" s="277"/>
      <c r="EY167" s="281"/>
      <c r="EZ167" s="277"/>
      <c r="FA167" s="281"/>
      <c r="FB167" s="277"/>
      <c r="FC167" s="281"/>
      <c r="FD167" s="277"/>
      <c r="FE167" s="281"/>
      <c r="FF167" s="277"/>
      <c r="FG167" s="281"/>
      <c r="FH167" s="277"/>
      <c r="FI167" s="281"/>
      <c r="FJ167" s="277"/>
      <c r="FK167" s="50">
        <f t="shared" si="86"/>
        <v>0</v>
      </c>
      <c r="FL167" s="63">
        <f t="shared" si="87"/>
        <v>0</v>
      </c>
      <c r="FM167" s="50">
        <f t="shared" si="69"/>
        <v>2776</v>
      </c>
      <c r="FN167" s="360">
        <f t="shared" si="70"/>
        <v>2714</v>
      </c>
      <c r="FO167" s="3"/>
      <c r="FP167" s="279"/>
      <c r="FQ167" s="52"/>
      <c r="FR167" s="296"/>
      <c r="FS167" s="98"/>
      <c r="FT167" s="467"/>
      <c r="FU167" s="52"/>
      <c r="FV167" s="296"/>
      <c r="FW167" s="98"/>
      <c r="FX167" s="467"/>
      <c r="FY167" s="52"/>
      <c r="FZ167" s="296"/>
      <c r="GA167" s="98"/>
      <c r="GB167" s="467"/>
      <c r="GC167" s="52"/>
      <c r="GD167" s="296"/>
      <c r="GE167" s="98"/>
      <c r="GF167" s="467"/>
      <c r="GG167" s="52"/>
      <c r="GH167" s="296"/>
      <c r="GI167" s="98"/>
      <c r="GJ167" s="467"/>
      <c r="GK167" s="52"/>
      <c r="GL167" s="296"/>
      <c r="GM167" s="464"/>
      <c r="GN167" s="467"/>
      <c r="GO167" s="52"/>
      <c r="GP167" s="296"/>
      <c r="GQ167" s="464"/>
      <c r="GR167" s="467"/>
      <c r="GS167" s="52"/>
      <c r="GT167" s="296"/>
      <c r="GU167" s="464"/>
      <c r="GV167" s="467"/>
      <c r="GW167" s="52"/>
      <c r="GX167" s="296"/>
      <c r="GY167" s="464"/>
      <c r="GZ167" s="467"/>
      <c r="HA167" s="52"/>
      <c r="HB167" s="296"/>
      <c r="HC167" s="3"/>
    </row>
    <row r="168" spans="1:211" s="86" customFormat="1">
      <c r="A168" s="302" t="s">
        <v>955</v>
      </c>
      <c r="B168" s="303" t="s">
        <v>963</v>
      </c>
      <c r="C168" s="302">
        <v>139357</v>
      </c>
      <c r="D168" s="340">
        <v>12</v>
      </c>
      <c r="E168" s="460">
        <v>747</v>
      </c>
      <c r="F168" s="277">
        <v>791</v>
      </c>
      <c r="G168" s="158">
        <v>92</v>
      </c>
      <c r="H168" s="277">
        <v>87</v>
      </c>
      <c r="I168" s="158">
        <v>272</v>
      </c>
      <c r="J168" s="277">
        <v>295</v>
      </c>
      <c r="K168" s="160">
        <f t="shared" si="71"/>
        <v>0</v>
      </c>
      <c r="L168" s="161">
        <f t="shared" si="64"/>
        <v>0</v>
      </c>
      <c r="M168" s="54"/>
      <c r="N168" s="55"/>
      <c r="O168" s="55"/>
      <c r="P168" s="55"/>
      <c r="Q168" s="162">
        <f t="shared" si="72"/>
        <v>0</v>
      </c>
      <c r="R168" s="277"/>
      <c r="S168" s="277"/>
      <c r="T168" s="277"/>
      <c r="U168" s="277"/>
      <c r="V168" s="97">
        <f t="shared" si="73"/>
        <v>0</v>
      </c>
      <c r="W168" s="279"/>
      <c r="X168" s="52"/>
      <c r="Y168" s="99"/>
      <c r="Z168" s="53"/>
      <c r="AA168" s="228"/>
      <c r="AB168" s="52"/>
      <c r="AC168" s="99"/>
      <c r="AD168" s="53"/>
      <c r="AE168" s="228"/>
      <c r="AF168" s="52"/>
      <c r="AG168" s="99"/>
      <c r="AH168" s="53"/>
      <c r="AI168" s="228"/>
      <c r="AJ168" s="52"/>
      <c r="AK168" s="99"/>
      <c r="AL168" s="53"/>
      <c r="AM168" s="228"/>
      <c r="AN168" s="52"/>
      <c r="AO168" s="99"/>
      <c r="AP168" s="53"/>
      <c r="AQ168" s="50">
        <f t="shared" si="65"/>
        <v>0</v>
      </c>
      <c r="AR168" s="163">
        <f t="shared" si="66"/>
        <v>0</v>
      </c>
      <c r="AS168" s="97">
        <f t="shared" si="67"/>
        <v>0</v>
      </c>
      <c r="AT168" s="278">
        <f t="shared" si="68"/>
        <v>0</v>
      </c>
      <c r="AU168" s="55"/>
      <c r="AV168" s="277"/>
      <c r="AW168" s="279"/>
      <c r="AX168" s="52"/>
      <c r="AY168" s="105"/>
      <c r="AZ168" s="98"/>
      <c r="BA168" s="279"/>
      <c r="BB168" s="52"/>
      <c r="BC168" s="105"/>
      <c r="BD168" s="98"/>
      <c r="BE168" s="279"/>
      <c r="BF168" s="52"/>
      <c r="BG168" s="105"/>
      <c r="BH168" s="98"/>
      <c r="BI168" s="279"/>
      <c r="BJ168" s="52"/>
      <c r="BK168" s="105"/>
      <c r="BL168" s="98"/>
      <c r="BM168" s="279"/>
      <c r="BN168" s="52"/>
      <c r="BO168" s="105"/>
      <c r="BP168" s="98"/>
      <c r="BQ168" s="279"/>
      <c r="BR168" s="52"/>
      <c r="BS168" s="105"/>
      <c r="BT168" s="98"/>
      <c r="BU168" s="279"/>
      <c r="BV168" s="52"/>
      <c r="BW168" s="105"/>
      <c r="BX168" s="98"/>
      <c r="BY168" s="279"/>
      <c r="BZ168" s="52"/>
      <c r="CA168" s="105"/>
      <c r="CB168" s="98"/>
      <c r="CC168" s="279"/>
      <c r="CD168" s="52"/>
      <c r="CE168" s="105"/>
      <c r="CF168" s="98"/>
      <c r="CG168" s="279"/>
      <c r="CH168" s="52"/>
      <c r="CI168" s="105"/>
      <c r="CJ168" s="98"/>
      <c r="CK168" s="281"/>
      <c r="CL168" s="277"/>
      <c r="CM168" s="159"/>
      <c r="CN168" s="277"/>
      <c r="CO168" s="50">
        <f t="shared" si="74"/>
        <v>0</v>
      </c>
      <c r="CP168" s="103">
        <f t="shared" si="75"/>
        <v>0</v>
      </c>
      <c r="CQ168" s="280">
        <f t="shared" si="76"/>
        <v>0</v>
      </c>
      <c r="CR168" s="63">
        <f t="shared" si="77"/>
        <v>0</v>
      </c>
      <c r="CS168" s="279"/>
      <c r="CT168" s="52"/>
      <c r="CU168" s="105"/>
      <c r="CV168" s="98"/>
      <c r="CW168" s="279"/>
      <c r="CX168" s="52"/>
      <c r="CY168" s="105"/>
      <c r="CZ168" s="98"/>
      <c r="DA168" s="279"/>
      <c r="DB168" s="52"/>
      <c r="DC168" s="105"/>
      <c r="DD168" s="98"/>
      <c r="DE168" s="279"/>
      <c r="DF168" s="52"/>
      <c r="DG168" s="105"/>
      <c r="DH168" s="98"/>
      <c r="DI168" s="279"/>
      <c r="DJ168" s="52"/>
      <c r="DK168" s="105"/>
      <c r="DL168" s="98"/>
      <c r="DM168" s="279"/>
      <c r="DN168" s="52"/>
      <c r="DO168" s="105"/>
      <c r="DP168" s="98"/>
      <c r="DQ168" s="279"/>
      <c r="DR168" s="52"/>
      <c r="DS168" s="105"/>
      <c r="DT168" s="98"/>
      <c r="DU168" s="279"/>
      <c r="DV168" s="52"/>
      <c r="DW168" s="105"/>
      <c r="DX168" s="98"/>
      <c r="DY168" s="279"/>
      <c r="DZ168" s="52"/>
      <c r="EA168" s="105"/>
      <c r="EB168" s="98"/>
      <c r="EC168" s="279"/>
      <c r="ED168" s="52"/>
      <c r="EE168" s="105"/>
      <c r="EF168" s="98"/>
      <c r="EG168" s="159"/>
      <c r="EH168" s="277"/>
      <c r="EI168" s="50">
        <f t="shared" si="78"/>
        <v>0</v>
      </c>
      <c r="EJ168" s="103">
        <f t="shared" si="79"/>
        <v>0</v>
      </c>
      <c r="EK168" s="164">
        <f t="shared" si="80"/>
        <v>0</v>
      </c>
      <c r="EL168" s="280">
        <f t="shared" si="81"/>
        <v>0</v>
      </c>
      <c r="EM168" s="63">
        <f t="shared" si="82"/>
        <v>0</v>
      </c>
      <c r="EN168" s="359">
        <f t="shared" si="83"/>
        <v>0</v>
      </c>
      <c r="EO168" s="51">
        <f t="shared" si="84"/>
        <v>0</v>
      </c>
      <c r="EP168" s="361">
        <f t="shared" si="85"/>
        <v>0</v>
      </c>
      <c r="EQ168" s="281"/>
      <c r="ER168" s="277"/>
      <c r="ES168" s="281"/>
      <c r="ET168" s="277"/>
      <c r="EU168" s="281"/>
      <c r="EV168" s="277"/>
      <c r="EW168" s="281"/>
      <c r="EX168" s="277"/>
      <c r="EY168" s="281"/>
      <c r="EZ168" s="277"/>
      <c r="FA168" s="281"/>
      <c r="FB168" s="277"/>
      <c r="FC168" s="281"/>
      <c r="FD168" s="277"/>
      <c r="FE168" s="281"/>
      <c r="FF168" s="277"/>
      <c r="FG168" s="281"/>
      <c r="FH168" s="277"/>
      <c r="FI168" s="281"/>
      <c r="FJ168" s="277"/>
      <c r="FK168" s="50">
        <f t="shared" si="86"/>
        <v>0</v>
      </c>
      <c r="FL168" s="63">
        <f t="shared" si="87"/>
        <v>0</v>
      </c>
      <c r="FM168" s="50">
        <f t="shared" si="69"/>
        <v>1111</v>
      </c>
      <c r="FN168" s="360">
        <f t="shared" si="70"/>
        <v>1173</v>
      </c>
      <c r="FO168" s="3"/>
      <c r="FP168" s="279"/>
      <c r="FQ168" s="52"/>
      <c r="FR168" s="296"/>
      <c r="FS168" s="98"/>
      <c r="FT168" s="467"/>
      <c r="FU168" s="52"/>
      <c r="FV168" s="296"/>
      <c r="FW168" s="98"/>
      <c r="FX168" s="467"/>
      <c r="FY168" s="52"/>
      <c r="FZ168" s="296"/>
      <c r="GA168" s="98"/>
      <c r="GB168" s="467"/>
      <c r="GC168" s="52"/>
      <c r="GD168" s="296"/>
      <c r="GE168" s="98"/>
      <c r="GF168" s="467"/>
      <c r="GG168" s="52"/>
      <c r="GH168" s="296"/>
      <c r="GI168" s="98"/>
      <c r="GJ168" s="467"/>
      <c r="GK168" s="52"/>
      <c r="GL168" s="296"/>
      <c r="GM168" s="464"/>
      <c r="GN168" s="467"/>
      <c r="GO168" s="52"/>
      <c r="GP168" s="296"/>
      <c r="GQ168" s="464"/>
      <c r="GR168" s="467"/>
      <c r="GS168" s="52"/>
      <c r="GT168" s="296"/>
      <c r="GU168" s="464"/>
      <c r="GV168" s="467"/>
      <c r="GW168" s="52"/>
      <c r="GX168" s="296"/>
      <c r="GY168" s="464"/>
      <c r="GZ168" s="467"/>
      <c r="HA168" s="52"/>
      <c r="HB168" s="296"/>
      <c r="HC168" s="3"/>
    </row>
    <row r="169" spans="1:211" s="86" customFormat="1">
      <c r="A169" s="302" t="s">
        <v>955</v>
      </c>
      <c r="B169" s="303" t="s">
        <v>1225</v>
      </c>
      <c r="C169" s="302">
        <v>139384</v>
      </c>
      <c r="D169" s="340">
        <v>12</v>
      </c>
      <c r="E169" s="460">
        <v>1897</v>
      </c>
      <c r="F169" s="277">
        <v>2099</v>
      </c>
      <c r="G169" s="158">
        <v>199</v>
      </c>
      <c r="H169" s="277">
        <v>201</v>
      </c>
      <c r="I169" s="158">
        <v>276</v>
      </c>
      <c r="J169" s="277">
        <v>312</v>
      </c>
      <c r="K169" s="160">
        <f t="shared" si="71"/>
        <v>0</v>
      </c>
      <c r="L169" s="161">
        <f t="shared" si="64"/>
        <v>0</v>
      </c>
      <c r="M169" s="54"/>
      <c r="N169" s="55"/>
      <c r="O169" s="55"/>
      <c r="P169" s="55"/>
      <c r="Q169" s="162">
        <f t="shared" si="72"/>
        <v>0</v>
      </c>
      <c r="R169" s="277"/>
      <c r="S169" s="277"/>
      <c r="T169" s="277"/>
      <c r="U169" s="277"/>
      <c r="V169" s="97">
        <f t="shared" si="73"/>
        <v>0</v>
      </c>
      <c r="W169" s="279"/>
      <c r="X169" s="52"/>
      <c r="Y169" s="99"/>
      <c r="Z169" s="53"/>
      <c r="AA169" s="228"/>
      <c r="AB169" s="52"/>
      <c r="AC169" s="99"/>
      <c r="AD169" s="53"/>
      <c r="AE169" s="228"/>
      <c r="AF169" s="52"/>
      <c r="AG169" s="99"/>
      <c r="AH169" s="53"/>
      <c r="AI169" s="228"/>
      <c r="AJ169" s="52"/>
      <c r="AK169" s="99"/>
      <c r="AL169" s="53"/>
      <c r="AM169" s="228"/>
      <c r="AN169" s="52"/>
      <c r="AO169" s="99"/>
      <c r="AP169" s="53"/>
      <c r="AQ169" s="50">
        <f t="shared" si="65"/>
        <v>0</v>
      </c>
      <c r="AR169" s="163">
        <f t="shared" si="66"/>
        <v>0</v>
      </c>
      <c r="AS169" s="97">
        <f t="shared" si="67"/>
        <v>0</v>
      </c>
      <c r="AT169" s="278">
        <f t="shared" si="68"/>
        <v>0</v>
      </c>
      <c r="AU169" s="55"/>
      <c r="AV169" s="277"/>
      <c r="AW169" s="279"/>
      <c r="AX169" s="52"/>
      <c r="AY169" s="105"/>
      <c r="AZ169" s="98"/>
      <c r="BA169" s="279"/>
      <c r="BB169" s="52"/>
      <c r="BC169" s="105"/>
      <c r="BD169" s="98"/>
      <c r="BE169" s="279"/>
      <c r="BF169" s="52"/>
      <c r="BG169" s="105"/>
      <c r="BH169" s="98"/>
      <c r="BI169" s="279"/>
      <c r="BJ169" s="52"/>
      <c r="BK169" s="105"/>
      <c r="BL169" s="98"/>
      <c r="BM169" s="279"/>
      <c r="BN169" s="52"/>
      <c r="BO169" s="105"/>
      <c r="BP169" s="98"/>
      <c r="BQ169" s="279"/>
      <c r="BR169" s="52"/>
      <c r="BS169" s="105"/>
      <c r="BT169" s="98"/>
      <c r="BU169" s="279"/>
      <c r="BV169" s="52"/>
      <c r="BW169" s="105"/>
      <c r="BX169" s="98"/>
      <c r="BY169" s="279"/>
      <c r="BZ169" s="52"/>
      <c r="CA169" s="105"/>
      <c r="CB169" s="98"/>
      <c r="CC169" s="279"/>
      <c r="CD169" s="52"/>
      <c r="CE169" s="105"/>
      <c r="CF169" s="98"/>
      <c r="CG169" s="279"/>
      <c r="CH169" s="52"/>
      <c r="CI169" s="105"/>
      <c r="CJ169" s="98"/>
      <c r="CK169" s="281"/>
      <c r="CL169" s="277"/>
      <c r="CM169" s="159"/>
      <c r="CN169" s="277"/>
      <c r="CO169" s="50">
        <f t="shared" si="74"/>
        <v>0</v>
      </c>
      <c r="CP169" s="103">
        <f t="shared" si="75"/>
        <v>0</v>
      </c>
      <c r="CQ169" s="280">
        <f t="shared" si="76"/>
        <v>0</v>
      </c>
      <c r="CR169" s="63">
        <f t="shared" si="77"/>
        <v>0</v>
      </c>
      <c r="CS169" s="279"/>
      <c r="CT169" s="52"/>
      <c r="CU169" s="105"/>
      <c r="CV169" s="98"/>
      <c r="CW169" s="279"/>
      <c r="CX169" s="52"/>
      <c r="CY169" s="105"/>
      <c r="CZ169" s="98"/>
      <c r="DA169" s="279"/>
      <c r="DB169" s="52"/>
      <c r="DC169" s="105"/>
      <c r="DD169" s="98"/>
      <c r="DE169" s="279"/>
      <c r="DF169" s="52"/>
      <c r="DG169" s="105"/>
      <c r="DH169" s="98"/>
      <c r="DI169" s="279"/>
      <c r="DJ169" s="52"/>
      <c r="DK169" s="105"/>
      <c r="DL169" s="98"/>
      <c r="DM169" s="279"/>
      <c r="DN169" s="52"/>
      <c r="DO169" s="105"/>
      <c r="DP169" s="98"/>
      <c r="DQ169" s="279"/>
      <c r="DR169" s="52"/>
      <c r="DS169" s="105"/>
      <c r="DT169" s="98"/>
      <c r="DU169" s="279"/>
      <c r="DV169" s="52"/>
      <c r="DW169" s="105"/>
      <c r="DX169" s="98"/>
      <c r="DY169" s="279"/>
      <c r="DZ169" s="52"/>
      <c r="EA169" s="105"/>
      <c r="EB169" s="98"/>
      <c r="EC169" s="279"/>
      <c r="ED169" s="52"/>
      <c r="EE169" s="105"/>
      <c r="EF169" s="98"/>
      <c r="EG169" s="159"/>
      <c r="EH169" s="277"/>
      <c r="EI169" s="50">
        <f t="shared" si="78"/>
        <v>0</v>
      </c>
      <c r="EJ169" s="103">
        <f t="shared" si="79"/>
        <v>0</v>
      </c>
      <c r="EK169" s="164">
        <f t="shared" si="80"/>
        <v>0</v>
      </c>
      <c r="EL169" s="280">
        <f t="shared" si="81"/>
        <v>0</v>
      </c>
      <c r="EM169" s="63">
        <f t="shared" si="82"/>
        <v>0</v>
      </c>
      <c r="EN169" s="359">
        <f t="shared" si="83"/>
        <v>0</v>
      </c>
      <c r="EO169" s="51">
        <f t="shared" si="84"/>
        <v>0</v>
      </c>
      <c r="EP169" s="361">
        <f t="shared" si="85"/>
        <v>0</v>
      </c>
      <c r="EQ169" s="281"/>
      <c r="ER169" s="277"/>
      <c r="ES169" s="281"/>
      <c r="ET169" s="277"/>
      <c r="EU169" s="281"/>
      <c r="EV169" s="277"/>
      <c r="EW169" s="281"/>
      <c r="EX169" s="277"/>
      <c r="EY169" s="281"/>
      <c r="EZ169" s="277"/>
      <c r="FA169" s="281"/>
      <c r="FB169" s="277"/>
      <c r="FC169" s="281"/>
      <c r="FD169" s="277"/>
      <c r="FE169" s="281"/>
      <c r="FF169" s="277"/>
      <c r="FG169" s="281"/>
      <c r="FH169" s="277"/>
      <c r="FI169" s="281"/>
      <c r="FJ169" s="277"/>
      <c r="FK169" s="50">
        <f t="shared" si="86"/>
        <v>0</v>
      </c>
      <c r="FL169" s="63">
        <f t="shared" si="87"/>
        <v>0</v>
      </c>
      <c r="FM169" s="50">
        <f t="shared" si="69"/>
        <v>2372</v>
      </c>
      <c r="FN169" s="360">
        <f t="shared" si="70"/>
        <v>2612</v>
      </c>
      <c r="FO169" s="3"/>
      <c r="FP169" s="279"/>
      <c r="FQ169" s="52"/>
      <c r="FR169" s="296"/>
      <c r="FS169" s="98"/>
      <c r="FT169" s="467"/>
      <c r="FU169" s="52"/>
      <c r="FV169" s="296"/>
      <c r="FW169" s="98"/>
      <c r="FX169" s="467"/>
      <c r="FY169" s="52"/>
      <c r="FZ169" s="296"/>
      <c r="GA169" s="98"/>
      <c r="GB169" s="467"/>
      <c r="GC169" s="52"/>
      <c r="GD169" s="296"/>
      <c r="GE169" s="98"/>
      <c r="GF169" s="467"/>
      <c r="GG169" s="52"/>
      <c r="GH169" s="296"/>
      <c r="GI169" s="98"/>
      <c r="GJ169" s="467"/>
      <c r="GK169" s="52"/>
      <c r="GL169" s="296"/>
      <c r="GM169" s="464"/>
      <c r="GN169" s="467"/>
      <c r="GO169" s="52"/>
      <c r="GP169" s="296"/>
      <c r="GQ169" s="464"/>
      <c r="GR169" s="467"/>
      <c r="GS169" s="52"/>
      <c r="GT169" s="296"/>
      <c r="GU169" s="464"/>
      <c r="GV169" s="467"/>
      <c r="GW169" s="52"/>
      <c r="GX169" s="296"/>
      <c r="GY169" s="464"/>
      <c r="GZ169" s="467"/>
      <c r="HA169" s="52"/>
      <c r="HB169" s="296"/>
      <c r="HC169" s="3"/>
    </row>
    <row r="170" spans="1:211" s="86" customFormat="1">
      <c r="A170" s="487" t="s">
        <v>955</v>
      </c>
      <c r="B170" s="303" t="s">
        <v>964</v>
      </c>
      <c r="C170" s="302">
        <v>244446</v>
      </c>
      <c r="D170" s="340">
        <v>12</v>
      </c>
      <c r="E170" s="460">
        <v>1201</v>
      </c>
      <c r="F170" s="277">
        <v>1525</v>
      </c>
      <c r="G170" s="158">
        <v>61</v>
      </c>
      <c r="H170" s="277">
        <v>66</v>
      </c>
      <c r="I170" s="158">
        <v>237</v>
      </c>
      <c r="J170" s="277">
        <v>266</v>
      </c>
      <c r="K170" s="160">
        <f t="shared" si="71"/>
        <v>0</v>
      </c>
      <c r="L170" s="161">
        <f t="shared" si="64"/>
        <v>0</v>
      </c>
      <c r="M170" s="54"/>
      <c r="N170" s="55"/>
      <c r="O170" s="55"/>
      <c r="P170" s="55"/>
      <c r="Q170" s="162">
        <f t="shared" si="72"/>
        <v>0</v>
      </c>
      <c r="R170" s="277"/>
      <c r="S170" s="277"/>
      <c r="T170" s="277"/>
      <c r="U170" s="277"/>
      <c r="V170" s="97">
        <f t="shared" si="73"/>
        <v>0</v>
      </c>
      <c r="W170" s="279"/>
      <c r="X170" s="52"/>
      <c r="Y170" s="99"/>
      <c r="Z170" s="53"/>
      <c r="AA170" s="228"/>
      <c r="AB170" s="52"/>
      <c r="AC170" s="99"/>
      <c r="AD170" s="53"/>
      <c r="AE170" s="228"/>
      <c r="AF170" s="52"/>
      <c r="AG170" s="99"/>
      <c r="AH170" s="53"/>
      <c r="AI170" s="228"/>
      <c r="AJ170" s="52"/>
      <c r="AK170" s="99"/>
      <c r="AL170" s="53"/>
      <c r="AM170" s="228"/>
      <c r="AN170" s="52"/>
      <c r="AO170" s="99"/>
      <c r="AP170" s="53"/>
      <c r="AQ170" s="50">
        <f t="shared" si="65"/>
        <v>0</v>
      </c>
      <c r="AR170" s="163">
        <f t="shared" si="66"/>
        <v>0</v>
      </c>
      <c r="AS170" s="97">
        <f t="shared" si="67"/>
        <v>0</v>
      </c>
      <c r="AT170" s="278">
        <f t="shared" si="68"/>
        <v>0</v>
      </c>
      <c r="AU170" s="55"/>
      <c r="AV170" s="277"/>
      <c r="AW170" s="279"/>
      <c r="AX170" s="52"/>
      <c r="AY170" s="105"/>
      <c r="AZ170" s="98"/>
      <c r="BA170" s="279"/>
      <c r="BB170" s="52"/>
      <c r="BC170" s="105"/>
      <c r="BD170" s="98"/>
      <c r="BE170" s="279"/>
      <c r="BF170" s="52"/>
      <c r="BG170" s="105"/>
      <c r="BH170" s="98"/>
      <c r="BI170" s="279"/>
      <c r="BJ170" s="52"/>
      <c r="BK170" s="105"/>
      <c r="BL170" s="98"/>
      <c r="BM170" s="279"/>
      <c r="BN170" s="52"/>
      <c r="BO170" s="105"/>
      <c r="BP170" s="98"/>
      <c r="BQ170" s="279"/>
      <c r="BR170" s="52"/>
      <c r="BS170" s="105"/>
      <c r="BT170" s="98"/>
      <c r="BU170" s="279"/>
      <c r="BV170" s="52"/>
      <c r="BW170" s="105"/>
      <c r="BX170" s="98"/>
      <c r="BY170" s="279"/>
      <c r="BZ170" s="52"/>
      <c r="CA170" s="105"/>
      <c r="CB170" s="98"/>
      <c r="CC170" s="279"/>
      <c r="CD170" s="52"/>
      <c r="CE170" s="105"/>
      <c r="CF170" s="98"/>
      <c r="CG170" s="279"/>
      <c r="CH170" s="52"/>
      <c r="CI170" s="105"/>
      <c r="CJ170" s="98"/>
      <c r="CK170" s="281"/>
      <c r="CL170" s="277"/>
      <c r="CM170" s="159"/>
      <c r="CN170" s="277"/>
      <c r="CO170" s="50">
        <f t="shared" si="74"/>
        <v>0</v>
      </c>
      <c r="CP170" s="103">
        <f t="shared" si="75"/>
        <v>0</v>
      </c>
      <c r="CQ170" s="280">
        <f t="shared" si="76"/>
        <v>0</v>
      </c>
      <c r="CR170" s="63">
        <f t="shared" si="77"/>
        <v>0</v>
      </c>
      <c r="CS170" s="279"/>
      <c r="CT170" s="52"/>
      <c r="CU170" s="105"/>
      <c r="CV170" s="98"/>
      <c r="CW170" s="279"/>
      <c r="CX170" s="52"/>
      <c r="CY170" s="105"/>
      <c r="CZ170" s="98"/>
      <c r="DA170" s="279"/>
      <c r="DB170" s="52"/>
      <c r="DC170" s="105"/>
      <c r="DD170" s="98"/>
      <c r="DE170" s="279"/>
      <c r="DF170" s="52"/>
      <c r="DG170" s="105"/>
      <c r="DH170" s="98"/>
      <c r="DI170" s="279"/>
      <c r="DJ170" s="52"/>
      <c r="DK170" s="105"/>
      <c r="DL170" s="98"/>
      <c r="DM170" s="279"/>
      <c r="DN170" s="52"/>
      <c r="DO170" s="105"/>
      <c r="DP170" s="98"/>
      <c r="DQ170" s="279"/>
      <c r="DR170" s="52"/>
      <c r="DS170" s="105"/>
      <c r="DT170" s="98"/>
      <c r="DU170" s="279"/>
      <c r="DV170" s="52"/>
      <c r="DW170" s="105"/>
      <c r="DX170" s="98"/>
      <c r="DY170" s="279"/>
      <c r="DZ170" s="52"/>
      <c r="EA170" s="105"/>
      <c r="EB170" s="98"/>
      <c r="EC170" s="279"/>
      <c r="ED170" s="52"/>
      <c r="EE170" s="105"/>
      <c r="EF170" s="98"/>
      <c r="EG170" s="159"/>
      <c r="EH170" s="277"/>
      <c r="EI170" s="50">
        <f t="shared" si="78"/>
        <v>0</v>
      </c>
      <c r="EJ170" s="103">
        <f t="shared" si="79"/>
        <v>0</v>
      </c>
      <c r="EK170" s="164">
        <f t="shared" si="80"/>
        <v>0</v>
      </c>
      <c r="EL170" s="280">
        <f t="shared" si="81"/>
        <v>0</v>
      </c>
      <c r="EM170" s="63">
        <f t="shared" si="82"/>
        <v>0</v>
      </c>
      <c r="EN170" s="359">
        <f t="shared" si="83"/>
        <v>0</v>
      </c>
      <c r="EO170" s="51">
        <f t="shared" si="84"/>
        <v>0</v>
      </c>
      <c r="EP170" s="361">
        <f t="shared" si="85"/>
        <v>0</v>
      </c>
      <c r="EQ170" s="281"/>
      <c r="ER170" s="277"/>
      <c r="ES170" s="281"/>
      <c r="ET170" s="277"/>
      <c r="EU170" s="281"/>
      <c r="EV170" s="277"/>
      <c r="EW170" s="281"/>
      <c r="EX170" s="277"/>
      <c r="EY170" s="281"/>
      <c r="EZ170" s="277"/>
      <c r="FA170" s="281"/>
      <c r="FB170" s="277"/>
      <c r="FC170" s="281"/>
      <c r="FD170" s="277"/>
      <c r="FE170" s="281"/>
      <c r="FF170" s="277"/>
      <c r="FG170" s="281"/>
      <c r="FH170" s="277"/>
      <c r="FI170" s="281"/>
      <c r="FJ170" s="277"/>
      <c r="FK170" s="50">
        <f t="shared" si="86"/>
        <v>0</v>
      </c>
      <c r="FL170" s="63">
        <f t="shared" si="87"/>
        <v>0</v>
      </c>
      <c r="FM170" s="50">
        <f t="shared" si="69"/>
        <v>1499</v>
      </c>
      <c r="FN170" s="360">
        <f t="shared" si="70"/>
        <v>1857</v>
      </c>
      <c r="FO170" s="3"/>
      <c r="FP170" s="279"/>
      <c r="FQ170" s="52"/>
      <c r="FR170" s="296"/>
      <c r="FS170" s="98"/>
      <c r="FT170" s="467"/>
      <c r="FU170" s="52"/>
      <c r="FV170" s="296"/>
      <c r="FW170" s="98"/>
      <c r="FX170" s="467"/>
      <c r="FY170" s="52"/>
      <c r="FZ170" s="296"/>
      <c r="GA170" s="98"/>
      <c r="GB170" s="467"/>
      <c r="GC170" s="52"/>
      <c r="GD170" s="296"/>
      <c r="GE170" s="98"/>
      <c r="GF170" s="467"/>
      <c r="GG170" s="52"/>
      <c r="GH170" s="296"/>
      <c r="GI170" s="98"/>
      <c r="GJ170" s="467"/>
      <c r="GK170" s="52"/>
      <c r="GL170" s="296"/>
      <c r="GM170" s="464"/>
      <c r="GN170" s="467"/>
      <c r="GO170" s="52"/>
      <c r="GP170" s="296"/>
      <c r="GQ170" s="464"/>
      <c r="GR170" s="467"/>
      <c r="GS170" s="52"/>
      <c r="GT170" s="296"/>
      <c r="GU170" s="464"/>
      <c r="GV170" s="467"/>
      <c r="GW170" s="52"/>
      <c r="GX170" s="296"/>
      <c r="GY170" s="464"/>
      <c r="GZ170" s="467"/>
      <c r="HA170" s="52"/>
      <c r="HB170" s="296"/>
      <c r="HC170" s="3"/>
    </row>
    <row r="171" spans="1:211" s="86" customFormat="1">
      <c r="A171" s="487" t="s">
        <v>955</v>
      </c>
      <c r="B171" s="303" t="s">
        <v>965</v>
      </c>
      <c r="C171" s="302">
        <v>139126</v>
      </c>
      <c r="D171" s="340">
        <v>12</v>
      </c>
      <c r="E171" s="460">
        <v>492</v>
      </c>
      <c r="F171" s="277">
        <v>760</v>
      </c>
      <c r="G171" s="158">
        <v>114</v>
      </c>
      <c r="H171" s="277">
        <v>85</v>
      </c>
      <c r="I171" s="158">
        <v>1</v>
      </c>
      <c r="J171" s="277">
        <v>4</v>
      </c>
      <c r="K171" s="160">
        <f t="shared" si="71"/>
        <v>0</v>
      </c>
      <c r="L171" s="161">
        <f t="shared" si="64"/>
        <v>0</v>
      </c>
      <c r="M171" s="54"/>
      <c r="N171" s="55"/>
      <c r="O171" s="55"/>
      <c r="P171" s="55"/>
      <c r="Q171" s="162">
        <f t="shared" si="72"/>
        <v>0</v>
      </c>
      <c r="R171" s="277"/>
      <c r="S171" s="277"/>
      <c r="T171" s="277"/>
      <c r="U171" s="277"/>
      <c r="V171" s="97">
        <f t="shared" si="73"/>
        <v>0</v>
      </c>
      <c r="W171" s="279"/>
      <c r="X171" s="52"/>
      <c r="Y171" s="99"/>
      <c r="Z171" s="53"/>
      <c r="AA171" s="228"/>
      <c r="AB171" s="52"/>
      <c r="AC171" s="99"/>
      <c r="AD171" s="53"/>
      <c r="AE171" s="228"/>
      <c r="AF171" s="52"/>
      <c r="AG171" s="99"/>
      <c r="AH171" s="53"/>
      <c r="AI171" s="228"/>
      <c r="AJ171" s="52"/>
      <c r="AK171" s="99"/>
      <c r="AL171" s="53"/>
      <c r="AM171" s="228"/>
      <c r="AN171" s="52"/>
      <c r="AO171" s="99"/>
      <c r="AP171" s="53"/>
      <c r="AQ171" s="50">
        <f t="shared" si="65"/>
        <v>0</v>
      </c>
      <c r="AR171" s="163">
        <f t="shared" si="66"/>
        <v>0</v>
      </c>
      <c r="AS171" s="97">
        <f t="shared" si="67"/>
        <v>0</v>
      </c>
      <c r="AT171" s="278">
        <f t="shared" si="68"/>
        <v>0</v>
      </c>
      <c r="AU171" s="55"/>
      <c r="AV171" s="277"/>
      <c r="AW171" s="279"/>
      <c r="AX171" s="52"/>
      <c r="AY171" s="105"/>
      <c r="AZ171" s="98"/>
      <c r="BA171" s="279"/>
      <c r="BB171" s="52"/>
      <c r="BC171" s="105"/>
      <c r="BD171" s="98"/>
      <c r="BE171" s="279"/>
      <c r="BF171" s="52"/>
      <c r="BG171" s="105"/>
      <c r="BH171" s="98"/>
      <c r="BI171" s="279"/>
      <c r="BJ171" s="52"/>
      <c r="BK171" s="105"/>
      <c r="BL171" s="98"/>
      <c r="BM171" s="279"/>
      <c r="BN171" s="52"/>
      <c r="BO171" s="105"/>
      <c r="BP171" s="98"/>
      <c r="BQ171" s="279"/>
      <c r="BR171" s="52"/>
      <c r="BS171" s="105"/>
      <c r="BT171" s="98"/>
      <c r="BU171" s="279"/>
      <c r="BV171" s="52"/>
      <c r="BW171" s="105"/>
      <c r="BX171" s="98"/>
      <c r="BY171" s="279"/>
      <c r="BZ171" s="52"/>
      <c r="CA171" s="105"/>
      <c r="CB171" s="98"/>
      <c r="CC171" s="279"/>
      <c r="CD171" s="52"/>
      <c r="CE171" s="105"/>
      <c r="CF171" s="98"/>
      <c r="CG171" s="279"/>
      <c r="CH171" s="52"/>
      <c r="CI171" s="105"/>
      <c r="CJ171" s="98"/>
      <c r="CK171" s="281"/>
      <c r="CL171" s="277"/>
      <c r="CM171" s="159"/>
      <c r="CN171" s="277"/>
      <c r="CO171" s="50">
        <f t="shared" si="74"/>
        <v>0</v>
      </c>
      <c r="CP171" s="103">
        <f t="shared" si="75"/>
        <v>0</v>
      </c>
      <c r="CQ171" s="280">
        <f t="shared" si="76"/>
        <v>0</v>
      </c>
      <c r="CR171" s="63">
        <f t="shared" si="77"/>
        <v>0</v>
      </c>
      <c r="CS171" s="279"/>
      <c r="CT171" s="52"/>
      <c r="CU171" s="105"/>
      <c r="CV171" s="98"/>
      <c r="CW171" s="279"/>
      <c r="CX171" s="52"/>
      <c r="CY171" s="105"/>
      <c r="CZ171" s="98"/>
      <c r="DA171" s="279"/>
      <c r="DB171" s="52"/>
      <c r="DC171" s="105"/>
      <c r="DD171" s="98"/>
      <c r="DE171" s="279"/>
      <c r="DF171" s="52"/>
      <c r="DG171" s="105"/>
      <c r="DH171" s="98"/>
      <c r="DI171" s="279"/>
      <c r="DJ171" s="52"/>
      <c r="DK171" s="105"/>
      <c r="DL171" s="98"/>
      <c r="DM171" s="279"/>
      <c r="DN171" s="52"/>
      <c r="DO171" s="105"/>
      <c r="DP171" s="98"/>
      <c r="DQ171" s="279"/>
      <c r="DR171" s="52"/>
      <c r="DS171" s="105"/>
      <c r="DT171" s="98"/>
      <c r="DU171" s="279"/>
      <c r="DV171" s="52"/>
      <c r="DW171" s="105"/>
      <c r="DX171" s="98"/>
      <c r="DY171" s="279"/>
      <c r="DZ171" s="52"/>
      <c r="EA171" s="105"/>
      <c r="EB171" s="98"/>
      <c r="EC171" s="279"/>
      <c r="ED171" s="52"/>
      <c r="EE171" s="105"/>
      <c r="EF171" s="98"/>
      <c r="EG171" s="159"/>
      <c r="EH171" s="277"/>
      <c r="EI171" s="50">
        <f t="shared" si="78"/>
        <v>0</v>
      </c>
      <c r="EJ171" s="103">
        <f t="shared" si="79"/>
        <v>0</v>
      </c>
      <c r="EK171" s="164">
        <f t="shared" si="80"/>
        <v>0</v>
      </c>
      <c r="EL171" s="280">
        <f t="shared" si="81"/>
        <v>0</v>
      </c>
      <c r="EM171" s="63">
        <f t="shared" si="82"/>
        <v>0</v>
      </c>
      <c r="EN171" s="359">
        <f t="shared" si="83"/>
        <v>0</v>
      </c>
      <c r="EO171" s="51">
        <f t="shared" si="84"/>
        <v>0</v>
      </c>
      <c r="EP171" s="361">
        <f t="shared" si="85"/>
        <v>0</v>
      </c>
      <c r="EQ171" s="281"/>
      <c r="ER171" s="277"/>
      <c r="ES171" s="281"/>
      <c r="ET171" s="277"/>
      <c r="EU171" s="281"/>
      <c r="EV171" s="277"/>
      <c r="EW171" s="281"/>
      <c r="EX171" s="277"/>
      <c r="EY171" s="281"/>
      <c r="EZ171" s="277"/>
      <c r="FA171" s="281"/>
      <c r="FB171" s="277"/>
      <c r="FC171" s="281"/>
      <c r="FD171" s="277"/>
      <c r="FE171" s="281"/>
      <c r="FF171" s="277"/>
      <c r="FG171" s="281"/>
      <c r="FH171" s="277"/>
      <c r="FI171" s="281"/>
      <c r="FJ171" s="277"/>
      <c r="FK171" s="50">
        <f t="shared" si="86"/>
        <v>0</v>
      </c>
      <c r="FL171" s="63">
        <f t="shared" si="87"/>
        <v>0</v>
      </c>
      <c r="FM171" s="50">
        <f t="shared" si="69"/>
        <v>607</v>
      </c>
      <c r="FN171" s="360">
        <f t="shared" si="70"/>
        <v>849</v>
      </c>
      <c r="FO171" s="3"/>
      <c r="FP171" s="279"/>
      <c r="FQ171" s="52"/>
      <c r="FR171" s="296"/>
      <c r="FS171" s="98"/>
      <c r="FT171" s="467"/>
      <c r="FU171" s="52"/>
      <c r="FV171" s="296"/>
      <c r="FW171" s="98"/>
      <c r="FX171" s="467"/>
      <c r="FY171" s="52"/>
      <c r="FZ171" s="296"/>
      <c r="GA171" s="98"/>
      <c r="GB171" s="467"/>
      <c r="GC171" s="52"/>
      <c r="GD171" s="296"/>
      <c r="GE171" s="98"/>
      <c r="GF171" s="467"/>
      <c r="GG171" s="52"/>
      <c r="GH171" s="296"/>
      <c r="GI171" s="98"/>
      <c r="GJ171" s="467"/>
      <c r="GK171" s="52"/>
      <c r="GL171" s="296"/>
      <c r="GM171" s="464"/>
      <c r="GN171" s="467"/>
      <c r="GO171" s="52"/>
      <c r="GP171" s="296"/>
      <c r="GQ171" s="464"/>
      <c r="GR171" s="467"/>
      <c r="GS171" s="52"/>
      <c r="GT171" s="296"/>
      <c r="GU171" s="464"/>
      <c r="GV171" s="467"/>
      <c r="GW171" s="52"/>
      <c r="GX171" s="296"/>
      <c r="GY171" s="464"/>
      <c r="GZ171" s="467"/>
      <c r="HA171" s="52"/>
      <c r="HB171" s="296"/>
      <c r="HC171" s="3"/>
    </row>
    <row r="172" spans="1:211" s="86" customFormat="1">
      <c r="A172" s="487" t="s">
        <v>955</v>
      </c>
      <c r="B172" s="303" t="s">
        <v>967</v>
      </c>
      <c r="C172" s="302">
        <v>139986</v>
      </c>
      <c r="D172" s="340">
        <v>12</v>
      </c>
      <c r="E172" s="460">
        <v>1192</v>
      </c>
      <c r="F172" s="277">
        <v>1190</v>
      </c>
      <c r="G172" s="158">
        <v>89</v>
      </c>
      <c r="H172" s="277">
        <v>74</v>
      </c>
      <c r="I172" s="158">
        <v>221</v>
      </c>
      <c r="J172" s="277">
        <v>260</v>
      </c>
      <c r="K172" s="160">
        <f t="shared" si="71"/>
        <v>0</v>
      </c>
      <c r="L172" s="161">
        <f t="shared" si="64"/>
        <v>0</v>
      </c>
      <c r="M172" s="54"/>
      <c r="N172" s="55"/>
      <c r="O172" s="55"/>
      <c r="P172" s="55"/>
      <c r="Q172" s="162">
        <f t="shared" si="72"/>
        <v>0</v>
      </c>
      <c r="R172" s="277"/>
      <c r="S172" s="277"/>
      <c r="T172" s="277"/>
      <c r="U172" s="277"/>
      <c r="V172" s="97">
        <f t="shared" si="73"/>
        <v>0</v>
      </c>
      <c r="W172" s="279"/>
      <c r="X172" s="52"/>
      <c r="Y172" s="99"/>
      <c r="Z172" s="53"/>
      <c r="AA172" s="228"/>
      <c r="AB172" s="52"/>
      <c r="AC172" s="99"/>
      <c r="AD172" s="53"/>
      <c r="AE172" s="228"/>
      <c r="AF172" s="52"/>
      <c r="AG172" s="99"/>
      <c r="AH172" s="53"/>
      <c r="AI172" s="228"/>
      <c r="AJ172" s="52"/>
      <c r="AK172" s="99"/>
      <c r="AL172" s="53"/>
      <c r="AM172" s="228"/>
      <c r="AN172" s="52"/>
      <c r="AO172" s="99"/>
      <c r="AP172" s="53"/>
      <c r="AQ172" s="50">
        <f t="shared" si="65"/>
        <v>0</v>
      </c>
      <c r="AR172" s="163">
        <f t="shared" si="66"/>
        <v>0</v>
      </c>
      <c r="AS172" s="97">
        <f t="shared" si="67"/>
        <v>0</v>
      </c>
      <c r="AT172" s="278">
        <f t="shared" si="68"/>
        <v>0</v>
      </c>
      <c r="AU172" s="55"/>
      <c r="AV172" s="277"/>
      <c r="AW172" s="279"/>
      <c r="AX172" s="52"/>
      <c r="AY172" s="105"/>
      <c r="AZ172" s="98"/>
      <c r="BA172" s="279"/>
      <c r="BB172" s="52"/>
      <c r="BC172" s="105"/>
      <c r="BD172" s="98"/>
      <c r="BE172" s="279"/>
      <c r="BF172" s="52"/>
      <c r="BG172" s="105"/>
      <c r="BH172" s="98"/>
      <c r="BI172" s="279"/>
      <c r="BJ172" s="52"/>
      <c r="BK172" s="105"/>
      <c r="BL172" s="98"/>
      <c r="BM172" s="279"/>
      <c r="BN172" s="52"/>
      <c r="BO172" s="105"/>
      <c r="BP172" s="98"/>
      <c r="BQ172" s="279"/>
      <c r="BR172" s="52"/>
      <c r="BS172" s="105"/>
      <c r="BT172" s="98"/>
      <c r="BU172" s="279"/>
      <c r="BV172" s="52"/>
      <c r="BW172" s="105"/>
      <c r="BX172" s="98"/>
      <c r="BY172" s="279"/>
      <c r="BZ172" s="52"/>
      <c r="CA172" s="105"/>
      <c r="CB172" s="98"/>
      <c r="CC172" s="279"/>
      <c r="CD172" s="52"/>
      <c r="CE172" s="105"/>
      <c r="CF172" s="98"/>
      <c r="CG172" s="279"/>
      <c r="CH172" s="52"/>
      <c r="CI172" s="105"/>
      <c r="CJ172" s="98"/>
      <c r="CK172" s="281"/>
      <c r="CL172" s="277"/>
      <c r="CM172" s="159"/>
      <c r="CN172" s="277"/>
      <c r="CO172" s="50">
        <f t="shared" si="74"/>
        <v>0</v>
      </c>
      <c r="CP172" s="103">
        <f t="shared" si="75"/>
        <v>0</v>
      </c>
      <c r="CQ172" s="280">
        <f t="shared" si="76"/>
        <v>0</v>
      </c>
      <c r="CR172" s="63">
        <f t="shared" si="77"/>
        <v>0</v>
      </c>
      <c r="CS172" s="279"/>
      <c r="CT172" s="52"/>
      <c r="CU172" s="105"/>
      <c r="CV172" s="98"/>
      <c r="CW172" s="279"/>
      <c r="CX172" s="52"/>
      <c r="CY172" s="105"/>
      <c r="CZ172" s="98"/>
      <c r="DA172" s="279"/>
      <c r="DB172" s="52"/>
      <c r="DC172" s="105"/>
      <c r="DD172" s="98"/>
      <c r="DE172" s="279"/>
      <c r="DF172" s="52"/>
      <c r="DG172" s="105"/>
      <c r="DH172" s="98"/>
      <c r="DI172" s="279"/>
      <c r="DJ172" s="52"/>
      <c r="DK172" s="105"/>
      <c r="DL172" s="98"/>
      <c r="DM172" s="279"/>
      <c r="DN172" s="52"/>
      <c r="DO172" s="105"/>
      <c r="DP172" s="98"/>
      <c r="DQ172" s="279"/>
      <c r="DR172" s="52"/>
      <c r="DS172" s="105"/>
      <c r="DT172" s="98"/>
      <c r="DU172" s="279"/>
      <c r="DV172" s="52"/>
      <c r="DW172" s="105"/>
      <c r="DX172" s="98"/>
      <c r="DY172" s="279"/>
      <c r="DZ172" s="52"/>
      <c r="EA172" s="105"/>
      <c r="EB172" s="98"/>
      <c r="EC172" s="279"/>
      <c r="ED172" s="52"/>
      <c r="EE172" s="105"/>
      <c r="EF172" s="98"/>
      <c r="EG172" s="159"/>
      <c r="EH172" s="277"/>
      <c r="EI172" s="50">
        <f t="shared" si="78"/>
        <v>0</v>
      </c>
      <c r="EJ172" s="103">
        <f t="shared" si="79"/>
        <v>0</v>
      </c>
      <c r="EK172" s="164">
        <f t="shared" si="80"/>
        <v>0</v>
      </c>
      <c r="EL172" s="280">
        <f t="shared" si="81"/>
        <v>0</v>
      </c>
      <c r="EM172" s="63">
        <f t="shared" si="82"/>
        <v>0</v>
      </c>
      <c r="EN172" s="359">
        <f t="shared" si="83"/>
        <v>0</v>
      </c>
      <c r="EO172" s="51">
        <f t="shared" si="84"/>
        <v>0</v>
      </c>
      <c r="EP172" s="361">
        <f t="shared" si="85"/>
        <v>0</v>
      </c>
      <c r="EQ172" s="281"/>
      <c r="ER172" s="277"/>
      <c r="ES172" s="281"/>
      <c r="ET172" s="277"/>
      <c r="EU172" s="281"/>
      <c r="EV172" s="277"/>
      <c r="EW172" s="281"/>
      <c r="EX172" s="277"/>
      <c r="EY172" s="281"/>
      <c r="EZ172" s="277"/>
      <c r="FA172" s="281"/>
      <c r="FB172" s="277"/>
      <c r="FC172" s="281"/>
      <c r="FD172" s="277"/>
      <c r="FE172" s="281"/>
      <c r="FF172" s="277"/>
      <c r="FG172" s="281"/>
      <c r="FH172" s="277"/>
      <c r="FI172" s="281"/>
      <c r="FJ172" s="277"/>
      <c r="FK172" s="50">
        <f t="shared" si="86"/>
        <v>0</v>
      </c>
      <c r="FL172" s="63">
        <f t="shared" si="87"/>
        <v>0</v>
      </c>
      <c r="FM172" s="50">
        <f t="shared" si="69"/>
        <v>1502</v>
      </c>
      <c r="FN172" s="360">
        <f t="shared" si="70"/>
        <v>1524</v>
      </c>
      <c r="FO172" s="3"/>
      <c r="FP172" s="279"/>
      <c r="FQ172" s="52"/>
      <c r="FR172" s="296"/>
      <c r="FS172" s="98"/>
      <c r="FT172" s="467"/>
      <c r="FU172" s="52"/>
      <c r="FV172" s="296"/>
      <c r="FW172" s="98"/>
      <c r="FX172" s="467"/>
      <c r="FY172" s="52"/>
      <c r="FZ172" s="296"/>
      <c r="GA172" s="98"/>
      <c r="GB172" s="467"/>
      <c r="GC172" s="52"/>
      <c r="GD172" s="296"/>
      <c r="GE172" s="98"/>
      <c r="GF172" s="467"/>
      <c r="GG172" s="52"/>
      <c r="GH172" s="296"/>
      <c r="GI172" s="98"/>
      <c r="GJ172" s="467"/>
      <c r="GK172" s="52"/>
      <c r="GL172" s="296"/>
      <c r="GM172" s="464"/>
      <c r="GN172" s="467"/>
      <c r="GO172" s="52"/>
      <c r="GP172" s="296"/>
      <c r="GQ172" s="464"/>
      <c r="GR172" s="467"/>
      <c r="GS172" s="52"/>
      <c r="GT172" s="296"/>
      <c r="GU172" s="464"/>
      <c r="GV172" s="467"/>
      <c r="GW172" s="52"/>
      <c r="GX172" s="296"/>
      <c r="GY172" s="464"/>
      <c r="GZ172" s="467"/>
      <c r="HA172" s="52"/>
      <c r="HB172" s="296"/>
      <c r="HC172" s="3"/>
    </row>
    <row r="173" spans="1:211" s="86" customFormat="1">
      <c r="A173" s="487" t="s">
        <v>955</v>
      </c>
      <c r="B173" s="303" t="s">
        <v>968</v>
      </c>
      <c r="C173" s="302">
        <v>140012</v>
      </c>
      <c r="D173" s="340">
        <v>12</v>
      </c>
      <c r="E173" s="460">
        <v>2102</v>
      </c>
      <c r="F173" s="277">
        <v>2447</v>
      </c>
      <c r="G173" s="158">
        <v>54</v>
      </c>
      <c r="H173" s="277">
        <v>42</v>
      </c>
      <c r="I173" s="158">
        <v>329</v>
      </c>
      <c r="J173" s="277">
        <v>452</v>
      </c>
      <c r="K173" s="160">
        <f t="shared" si="71"/>
        <v>0</v>
      </c>
      <c r="L173" s="161">
        <f t="shared" si="64"/>
        <v>0</v>
      </c>
      <c r="M173" s="54"/>
      <c r="N173" s="55"/>
      <c r="O173" s="55"/>
      <c r="P173" s="55"/>
      <c r="Q173" s="162">
        <f t="shared" si="72"/>
        <v>0</v>
      </c>
      <c r="R173" s="277"/>
      <c r="S173" s="277"/>
      <c r="T173" s="277"/>
      <c r="U173" s="277"/>
      <c r="V173" s="97">
        <f t="shared" si="73"/>
        <v>0</v>
      </c>
      <c r="W173" s="279"/>
      <c r="X173" s="52"/>
      <c r="Y173" s="99"/>
      <c r="Z173" s="53"/>
      <c r="AA173" s="228"/>
      <c r="AB173" s="52"/>
      <c r="AC173" s="99"/>
      <c r="AD173" s="53"/>
      <c r="AE173" s="228"/>
      <c r="AF173" s="52"/>
      <c r="AG173" s="99"/>
      <c r="AH173" s="53"/>
      <c r="AI173" s="228"/>
      <c r="AJ173" s="52"/>
      <c r="AK173" s="99"/>
      <c r="AL173" s="53"/>
      <c r="AM173" s="228"/>
      <c r="AN173" s="52"/>
      <c r="AO173" s="99"/>
      <c r="AP173" s="53"/>
      <c r="AQ173" s="50">
        <f t="shared" si="65"/>
        <v>0</v>
      </c>
      <c r="AR173" s="163">
        <f t="shared" si="66"/>
        <v>0</v>
      </c>
      <c r="AS173" s="97">
        <f t="shared" si="67"/>
        <v>0</v>
      </c>
      <c r="AT173" s="278">
        <f t="shared" si="68"/>
        <v>0</v>
      </c>
      <c r="AU173" s="55"/>
      <c r="AV173" s="277"/>
      <c r="AW173" s="279"/>
      <c r="AX173" s="52"/>
      <c r="AY173" s="105"/>
      <c r="AZ173" s="98"/>
      <c r="BA173" s="279"/>
      <c r="BB173" s="52"/>
      <c r="BC173" s="105"/>
      <c r="BD173" s="98"/>
      <c r="BE173" s="279"/>
      <c r="BF173" s="52"/>
      <c r="BG173" s="105"/>
      <c r="BH173" s="98"/>
      <c r="BI173" s="279"/>
      <c r="BJ173" s="52"/>
      <c r="BK173" s="105"/>
      <c r="BL173" s="98"/>
      <c r="BM173" s="279"/>
      <c r="BN173" s="52"/>
      <c r="BO173" s="105"/>
      <c r="BP173" s="98"/>
      <c r="BQ173" s="279"/>
      <c r="BR173" s="52"/>
      <c r="BS173" s="105"/>
      <c r="BT173" s="98"/>
      <c r="BU173" s="279"/>
      <c r="BV173" s="52"/>
      <c r="BW173" s="105"/>
      <c r="BX173" s="98"/>
      <c r="BY173" s="279"/>
      <c r="BZ173" s="52"/>
      <c r="CA173" s="105"/>
      <c r="CB173" s="98"/>
      <c r="CC173" s="279"/>
      <c r="CD173" s="52"/>
      <c r="CE173" s="105"/>
      <c r="CF173" s="98"/>
      <c r="CG173" s="279"/>
      <c r="CH173" s="52"/>
      <c r="CI173" s="105"/>
      <c r="CJ173" s="98"/>
      <c r="CK173" s="281"/>
      <c r="CL173" s="277"/>
      <c r="CM173" s="159"/>
      <c r="CN173" s="277"/>
      <c r="CO173" s="50">
        <f t="shared" si="74"/>
        <v>0</v>
      </c>
      <c r="CP173" s="103">
        <f t="shared" si="75"/>
        <v>0</v>
      </c>
      <c r="CQ173" s="280">
        <f t="shared" si="76"/>
        <v>0</v>
      </c>
      <c r="CR173" s="63">
        <f t="shared" si="77"/>
        <v>0</v>
      </c>
      <c r="CS173" s="279"/>
      <c r="CT173" s="52"/>
      <c r="CU173" s="105"/>
      <c r="CV173" s="98"/>
      <c r="CW173" s="279"/>
      <c r="CX173" s="52"/>
      <c r="CY173" s="105"/>
      <c r="CZ173" s="98"/>
      <c r="DA173" s="279"/>
      <c r="DB173" s="52"/>
      <c r="DC173" s="105"/>
      <c r="DD173" s="98"/>
      <c r="DE173" s="279"/>
      <c r="DF173" s="52"/>
      <c r="DG173" s="105"/>
      <c r="DH173" s="98"/>
      <c r="DI173" s="279"/>
      <c r="DJ173" s="52"/>
      <c r="DK173" s="105"/>
      <c r="DL173" s="98"/>
      <c r="DM173" s="279"/>
      <c r="DN173" s="52"/>
      <c r="DO173" s="105"/>
      <c r="DP173" s="98"/>
      <c r="DQ173" s="279"/>
      <c r="DR173" s="52"/>
      <c r="DS173" s="105"/>
      <c r="DT173" s="98"/>
      <c r="DU173" s="279"/>
      <c r="DV173" s="52"/>
      <c r="DW173" s="105"/>
      <c r="DX173" s="98"/>
      <c r="DY173" s="279"/>
      <c r="DZ173" s="52"/>
      <c r="EA173" s="105"/>
      <c r="EB173" s="98"/>
      <c r="EC173" s="279"/>
      <c r="ED173" s="52"/>
      <c r="EE173" s="105"/>
      <c r="EF173" s="98"/>
      <c r="EG173" s="159"/>
      <c r="EH173" s="277"/>
      <c r="EI173" s="50">
        <f t="shared" si="78"/>
        <v>0</v>
      </c>
      <c r="EJ173" s="103">
        <f t="shared" si="79"/>
        <v>0</v>
      </c>
      <c r="EK173" s="164">
        <f t="shared" si="80"/>
        <v>0</v>
      </c>
      <c r="EL173" s="280">
        <f t="shared" si="81"/>
        <v>0</v>
      </c>
      <c r="EM173" s="63">
        <f t="shared" si="82"/>
        <v>0</v>
      </c>
      <c r="EN173" s="359">
        <f t="shared" si="83"/>
        <v>0</v>
      </c>
      <c r="EO173" s="51">
        <f t="shared" si="84"/>
        <v>0</v>
      </c>
      <c r="EP173" s="361">
        <f t="shared" si="85"/>
        <v>0</v>
      </c>
      <c r="EQ173" s="281"/>
      <c r="ER173" s="277"/>
      <c r="ES173" s="281"/>
      <c r="ET173" s="277"/>
      <c r="EU173" s="281"/>
      <c r="EV173" s="277"/>
      <c r="EW173" s="281"/>
      <c r="EX173" s="277"/>
      <c r="EY173" s="281"/>
      <c r="EZ173" s="277"/>
      <c r="FA173" s="281"/>
      <c r="FB173" s="277"/>
      <c r="FC173" s="281"/>
      <c r="FD173" s="277"/>
      <c r="FE173" s="281"/>
      <c r="FF173" s="277"/>
      <c r="FG173" s="281"/>
      <c r="FH173" s="277"/>
      <c r="FI173" s="281"/>
      <c r="FJ173" s="277"/>
      <c r="FK173" s="50">
        <f t="shared" si="86"/>
        <v>0</v>
      </c>
      <c r="FL173" s="63">
        <f t="shared" si="87"/>
        <v>0</v>
      </c>
      <c r="FM173" s="50">
        <f t="shared" si="69"/>
        <v>2485</v>
      </c>
      <c r="FN173" s="360">
        <f t="shared" si="70"/>
        <v>2941</v>
      </c>
      <c r="FO173" s="3"/>
      <c r="FP173" s="279"/>
      <c r="FQ173" s="52"/>
      <c r="FR173" s="296"/>
      <c r="FS173" s="98"/>
      <c r="FT173" s="467"/>
      <c r="FU173" s="52"/>
      <c r="FV173" s="296"/>
      <c r="FW173" s="98"/>
      <c r="FX173" s="467"/>
      <c r="FY173" s="52"/>
      <c r="FZ173" s="296"/>
      <c r="GA173" s="98"/>
      <c r="GB173" s="467"/>
      <c r="GC173" s="52"/>
      <c r="GD173" s="296"/>
      <c r="GE173" s="98"/>
      <c r="GF173" s="467"/>
      <c r="GG173" s="52"/>
      <c r="GH173" s="296"/>
      <c r="GI173" s="98"/>
      <c r="GJ173" s="467"/>
      <c r="GK173" s="52"/>
      <c r="GL173" s="296"/>
      <c r="GM173" s="464"/>
      <c r="GN173" s="467"/>
      <c r="GO173" s="52"/>
      <c r="GP173" s="296"/>
      <c r="GQ173" s="464"/>
      <c r="GR173" s="467"/>
      <c r="GS173" s="52"/>
      <c r="GT173" s="296"/>
      <c r="GU173" s="464"/>
      <c r="GV173" s="467"/>
      <c r="GW173" s="52"/>
      <c r="GX173" s="296"/>
      <c r="GY173" s="464"/>
      <c r="GZ173" s="467"/>
      <c r="HA173" s="52"/>
      <c r="HB173" s="296"/>
      <c r="HC173" s="3"/>
    </row>
    <row r="174" spans="1:211" s="86" customFormat="1">
      <c r="A174" s="487" t="s">
        <v>955</v>
      </c>
      <c r="B174" s="303" t="s">
        <v>969</v>
      </c>
      <c r="C174" s="302">
        <v>140076</v>
      </c>
      <c r="D174" s="340">
        <v>12</v>
      </c>
      <c r="E174" s="460">
        <v>471</v>
      </c>
      <c r="F174" s="277">
        <v>453</v>
      </c>
      <c r="G174" s="158">
        <v>67</v>
      </c>
      <c r="H174" s="277">
        <v>60</v>
      </c>
      <c r="I174" s="158">
        <v>34</v>
      </c>
      <c r="J174" s="277">
        <v>44</v>
      </c>
      <c r="K174" s="160">
        <f t="shared" si="71"/>
        <v>0</v>
      </c>
      <c r="L174" s="161">
        <f t="shared" si="64"/>
        <v>0</v>
      </c>
      <c r="M174" s="54"/>
      <c r="N174" s="55"/>
      <c r="O174" s="55"/>
      <c r="P174" s="55"/>
      <c r="Q174" s="162">
        <f t="shared" si="72"/>
        <v>0</v>
      </c>
      <c r="R174" s="277"/>
      <c r="S174" s="277"/>
      <c r="T174" s="277"/>
      <c r="U174" s="277"/>
      <c r="V174" s="97">
        <f t="shared" si="73"/>
        <v>0</v>
      </c>
      <c r="W174" s="279"/>
      <c r="X174" s="52"/>
      <c r="Y174" s="99"/>
      <c r="Z174" s="53"/>
      <c r="AA174" s="228"/>
      <c r="AB174" s="52"/>
      <c r="AC174" s="99"/>
      <c r="AD174" s="53"/>
      <c r="AE174" s="228"/>
      <c r="AF174" s="52"/>
      <c r="AG174" s="99"/>
      <c r="AH174" s="53"/>
      <c r="AI174" s="228"/>
      <c r="AJ174" s="52"/>
      <c r="AK174" s="99"/>
      <c r="AL174" s="53"/>
      <c r="AM174" s="228"/>
      <c r="AN174" s="52"/>
      <c r="AO174" s="99"/>
      <c r="AP174" s="53"/>
      <c r="AQ174" s="50">
        <f t="shared" si="65"/>
        <v>0</v>
      </c>
      <c r="AR174" s="163">
        <f t="shared" si="66"/>
        <v>0</v>
      </c>
      <c r="AS174" s="97">
        <f t="shared" si="67"/>
        <v>0</v>
      </c>
      <c r="AT174" s="278">
        <f t="shared" si="68"/>
        <v>0</v>
      </c>
      <c r="AU174" s="55"/>
      <c r="AV174" s="277"/>
      <c r="AW174" s="279"/>
      <c r="AX174" s="52"/>
      <c r="AY174" s="105"/>
      <c r="AZ174" s="98"/>
      <c r="BA174" s="279"/>
      <c r="BB174" s="52"/>
      <c r="BC174" s="105"/>
      <c r="BD174" s="98"/>
      <c r="BE174" s="279"/>
      <c r="BF174" s="52"/>
      <c r="BG174" s="105"/>
      <c r="BH174" s="98"/>
      <c r="BI174" s="279"/>
      <c r="BJ174" s="52"/>
      <c r="BK174" s="105"/>
      <c r="BL174" s="98"/>
      <c r="BM174" s="279"/>
      <c r="BN174" s="52"/>
      <c r="BO174" s="105"/>
      <c r="BP174" s="98"/>
      <c r="BQ174" s="279"/>
      <c r="BR174" s="52"/>
      <c r="BS174" s="105"/>
      <c r="BT174" s="98"/>
      <c r="BU174" s="279"/>
      <c r="BV174" s="52"/>
      <c r="BW174" s="105"/>
      <c r="BX174" s="98"/>
      <c r="BY174" s="279"/>
      <c r="BZ174" s="52"/>
      <c r="CA174" s="105"/>
      <c r="CB174" s="98"/>
      <c r="CC174" s="279"/>
      <c r="CD174" s="52"/>
      <c r="CE174" s="105"/>
      <c r="CF174" s="98"/>
      <c r="CG174" s="279"/>
      <c r="CH174" s="52"/>
      <c r="CI174" s="105"/>
      <c r="CJ174" s="98"/>
      <c r="CK174" s="281"/>
      <c r="CL174" s="277"/>
      <c r="CM174" s="159"/>
      <c r="CN174" s="277"/>
      <c r="CO174" s="50">
        <f t="shared" si="74"/>
        <v>0</v>
      </c>
      <c r="CP174" s="103">
        <f t="shared" si="75"/>
        <v>0</v>
      </c>
      <c r="CQ174" s="280">
        <f t="shared" si="76"/>
        <v>0</v>
      </c>
      <c r="CR174" s="63">
        <f t="shared" si="77"/>
        <v>0</v>
      </c>
      <c r="CS174" s="279"/>
      <c r="CT174" s="52"/>
      <c r="CU174" s="105"/>
      <c r="CV174" s="98"/>
      <c r="CW174" s="279"/>
      <c r="CX174" s="52"/>
      <c r="CY174" s="105"/>
      <c r="CZ174" s="98"/>
      <c r="DA174" s="279"/>
      <c r="DB174" s="52"/>
      <c r="DC174" s="105"/>
      <c r="DD174" s="98"/>
      <c r="DE174" s="279"/>
      <c r="DF174" s="52"/>
      <c r="DG174" s="105"/>
      <c r="DH174" s="98"/>
      <c r="DI174" s="279"/>
      <c r="DJ174" s="52"/>
      <c r="DK174" s="105"/>
      <c r="DL174" s="98"/>
      <c r="DM174" s="279"/>
      <c r="DN174" s="52"/>
      <c r="DO174" s="105"/>
      <c r="DP174" s="98"/>
      <c r="DQ174" s="279"/>
      <c r="DR174" s="52"/>
      <c r="DS174" s="105"/>
      <c r="DT174" s="98"/>
      <c r="DU174" s="279"/>
      <c r="DV174" s="52"/>
      <c r="DW174" s="105"/>
      <c r="DX174" s="98"/>
      <c r="DY174" s="279"/>
      <c r="DZ174" s="52"/>
      <c r="EA174" s="105"/>
      <c r="EB174" s="98"/>
      <c r="EC174" s="279"/>
      <c r="ED174" s="52"/>
      <c r="EE174" s="105"/>
      <c r="EF174" s="98"/>
      <c r="EG174" s="159"/>
      <c r="EH174" s="277"/>
      <c r="EI174" s="50">
        <f t="shared" si="78"/>
        <v>0</v>
      </c>
      <c r="EJ174" s="103">
        <f t="shared" si="79"/>
        <v>0</v>
      </c>
      <c r="EK174" s="164">
        <f t="shared" si="80"/>
        <v>0</v>
      </c>
      <c r="EL174" s="280">
        <f t="shared" si="81"/>
        <v>0</v>
      </c>
      <c r="EM174" s="63">
        <f t="shared" si="82"/>
        <v>0</v>
      </c>
      <c r="EN174" s="359">
        <f t="shared" si="83"/>
        <v>0</v>
      </c>
      <c r="EO174" s="51">
        <f t="shared" si="84"/>
        <v>0</v>
      </c>
      <c r="EP174" s="361">
        <f t="shared" si="85"/>
        <v>0</v>
      </c>
      <c r="EQ174" s="281"/>
      <c r="ER174" s="277"/>
      <c r="ES174" s="281"/>
      <c r="ET174" s="277"/>
      <c r="EU174" s="281"/>
      <c r="EV174" s="277"/>
      <c r="EW174" s="281"/>
      <c r="EX174" s="277"/>
      <c r="EY174" s="281"/>
      <c r="EZ174" s="277"/>
      <c r="FA174" s="281"/>
      <c r="FB174" s="277"/>
      <c r="FC174" s="281"/>
      <c r="FD174" s="277"/>
      <c r="FE174" s="281"/>
      <c r="FF174" s="277"/>
      <c r="FG174" s="281"/>
      <c r="FH174" s="277"/>
      <c r="FI174" s="281"/>
      <c r="FJ174" s="277"/>
      <c r="FK174" s="50">
        <f t="shared" si="86"/>
        <v>0</v>
      </c>
      <c r="FL174" s="63">
        <f t="shared" si="87"/>
        <v>0</v>
      </c>
      <c r="FM174" s="50">
        <f t="shared" si="69"/>
        <v>572</v>
      </c>
      <c r="FN174" s="360">
        <f t="shared" si="70"/>
        <v>557</v>
      </c>
      <c r="FO174" s="3"/>
      <c r="FP174" s="279"/>
      <c r="FQ174" s="52"/>
      <c r="FR174" s="296"/>
      <c r="FS174" s="98"/>
      <c r="FT174" s="467"/>
      <c r="FU174" s="52"/>
      <c r="FV174" s="296"/>
      <c r="FW174" s="98"/>
      <c r="FX174" s="467"/>
      <c r="FY174" s="52"/>
      <c r="FZ174" s="296"/>
      <c r="GA174" s="98"/>
      <c r="GB174" s="467"/>
      <c r="GC174" s="52"/>
      <c r="GD174" s="296"/>
      <c r="GE174" s="98"/>
      <c r="GF174" s="467"/>
      <c r="GG174" s="52"/>
      <c r="GH174" s="296"/>
      <c r="GI174" s="98"/>
      <c r="GJ174" s="467"/>
      <c r="GK174" s="52"/>
      <c r="GL174" s="296"/>
      <c r="GM174" s="464"/>
      <c r="GN174" s="467"/>
      <c r="GO174" s="52"/>
      <c r="GP174" s="296"/>
      <c r="GQ174" s="464"/>
      <c r="GR174" s="467"/>
      <c r="GS174" s="52"/>
      <c r="GT174" s="296"/>
      <c r="GU174" s="464"/>
      <c r="GV174" s="467"/>
      <c r="GW174" s="52"/>
      <c r="GX174" s="296"/>
      <c r="GY174" s="464"/>
      <c r="GZ174" s="467"/>
      <c r="HA174" s="52"/>
      <c r="HB174" s="296"/>
      <c r="HC174" s="3"/>
    </row>
    <row r="175" spans="1:211" s="86" customFormat="1">
      <c r="A175" s="487" t="s">
        <v>955</v>
      </c>
      <c r="B175" s="303" t="s">
        <v>970</v>
      </c>
      <c r="C175" s="302">
        <v>140243</v>
      </c>
      <c r="D175" s="340">
        <v>12</v>
      </c>
      <c r="E175" s="460">
        <v>912</v>
      </c>
      <c r="F175" s="277">
        <v>1049</v>
      </c>
      <c r="G175" s="158">
        <v>97</v>
      </c>
      <c r="H175" s="277">
        <v>106</v>
      </c>
      <c r="I175" s="158">
        <v>152</v>
      </c>
      <c r="J175" s="277">
        <v>154</v>
      </c>
      <c r="K175" s="160">
        <f t="shared" si="71"/>
        <v>0</v>
      </c>
      <c r="L175" s="161">
        <f t="shared" si="64"/>
        <v>0</v>
      </c>
      <c r="M175" s="54"/>
      <c r="N175" s="55"/>
      <c r="O175" s="55"/>
      <c r="P175" s="55"/>
      <c r="Q175" s="162">
        <f t="shared" si="72"/>
        <v>0</v>
      </c>
      <c r="R175" s="277"/>
      <c r="S175" s="277"/>
      <c r="T175" s="277"/>
      <c r="U175" s="277"/>
      <c r="V175" s="97">
        <f t="shared" si="73"/>
        <v>0</v>
      </c>
      <c r="W175" s="279"/>
      <c r="X175" s="52"/>
      <c r="Y175" s="99"/>
      <c r="Z175" s="53"/>
      <c r="AA175" s="228"/>
      <c r="AB175" s="52"/>
      <c r="AC175" s="99"/>
      <c r="AD175" s="53"/>
      <c r="AE175" s="228"/>
      <c r="AF175" s="52"/>
      <c r="AG175" s="99"/>
      <c r="AH175" s="53"/>
      <c r="AI175" s="228"/>
      <c r="AJ175" s="52"/>
      <c r="AK175" s="99"/>
      <c r="AL175" s="53"/>
      <c r="AM175" s="228"/>
      <c r="AN175" s="52"/>
      <c r="AO175" s="99"/>
      <c r="AP175" s="53"/>
      <c r="AQ175" s="50">
        <f t="shared" si="65"/>
        <v>0</v>
      </c>
      <c r="AR175" s="163">
        <f t="shared" si="66"/>
        <v>0</v>
      </c>
      <c r="AS175" s="97">
        <f t="shared" si="67"/>
        <v>0</v>
      </c>
      <c r="AT175" s="278">
        <f t="shared" si="68"/>
        <v>0</v>
      </c>
      <c r="AU175" s="55"/>
      <c r="AV175" s="277"/>
      <c r="AW175" s="279"/>
      <c r="AX175" s="52"/>
      <c r="AY175" s="105"/>
      <c r="AZ175" s="98"/>
      <c r="BA175" s="279"/>
      <c r="BB175" s="52"/>
      <c r="BC175" s="105"/>
      <c r="BD175" s="98"/>
      <c r="BE175" s="279"/>
      <c r="BF175" s="52"/>
      <c r="BG175" s="105"/>
      <c r="BH175" s="98"/>
      <c r="BI175" s="279"/>
      <c r="BJ175" s="52"/>
      <c r="BK175" s="105"/>
      <c r="BL175" s="98"/>
      <c r="BM175" s="279"/>
      <c r="BN175" s="52"/>
      <c r="BO175" s="105"/>
      <c r="BP175" s="98"/>
      <c r="BQ175" s="279"/>
      <c r="BR175" s="52"/>
      <c r="BS175" s="105"/>
      <c r="BT175" s="98"/>
      <c r="BU175" s="279"/>
      <c r="BV175" s="52"/>
      <c r="BW175" s="105"/>
      <c r="BX175" s="98"/>
      <c r="BY175" s="279"/>
      <c r="BZ175" s="52"/>
      <c r="CA175" s="105"/>
      <c r="CB175" s="98"/>
      <c r="CC175" s="279"/>
      <c r="CD175" s="52"/>
      <c r="CE175" s="105"/>
      <c r="CF175" s="98"/>
      <c r="CG175" s="279"/>
      <c r="CH175" s="52"/>
      <c r="CI175" s="105"/>
      <c r="CJ175" s="98"/>
      <c r="CK175" s="281"/>
      <c r="CL175" s="277"/>
      <c r="CM175" s="159"/>
      <c r="CN175" s="277"/>
      <c r="CO175" s="50">
        <f t="shared" si="74"/>
        <v>0</v>
      </c>
      <c r="CP175" s="103">
        <f t="shared" si="75"/>
        <v>0</v>
      </c>
      <c r="CQ175" s="280">
        <f t="shared" si="76"/>
        <v>0</v>
      </c>
      <c r="CR175" s="63">
        <f t="shared" si="77"/>
        <v>0</v>
      </c>
      <c r="CS175" s="279"/>
      <c r="CT175" s="52"/>
      <c r="CU175" s="105"/>
      <c r="CV175" s="98"/>
      <c r="CW175" s="279"/>
      <c r="CX175" s="52"/>
      <c r="CY175" s="105"/>
      <c r="CZ175" s="98"/>
      <c r="DA175" s="279"/>
      <c r="DB175" s="52"/>
      <c r="DC175" s="105"/>
      <c r="DD175" s="98"/>
      <c r="DE175" s="279"/>
      <c r="DF175" s="52"/>
      <c r="DG175" s="105"/>
      <c r="DH175" s="98"/>
      <c r="DI175" s="279"/>
      <c r="DJ175" s="52"/>
      <c r="DK175" s="105"/>
      <c r="DL175" s="98"/>
      <c r="DM175" s="279"/>
      <c r="DN175" s="52"/>
      <c r="DO175" s="105"/>
      <c r="DP175" s="98"/>
      <c r="DQ175" s="279"/>
      <c r="DR175" s="52"/>
      <c r="DS175" s="105"/>
      <c r="DT175" s="98"/>
      <c r="DU175" s="279"/>
      <c r="DV175" s="52"/>
      <c r="DW175" s="105"/>
      <c r="DX175" s="98"/>
      <c r="DY175" s="279"/>
      <c r="DZ175" s="52"/>
      <c r="EA175" s="105"/>
      <c r="EB175" s="98"/>
      <c r="EC175" s="279"/>
      <c r="ED175" s="52"/>
      <c r="EE175" s="105"/>
      <c r="EF175" s="98"/>
      <c r="EG175" s="159"/>
      <c r="EH175" s="277"/>
      <c r="EI175" s="50">
        <f t="shared" si="78"/>
        <v>0</v>
      </c>
      <c r="EJ175" s="103">
        <f t="shared" si="79"/>
        <v>0</v>
      </c>
      <c r="EK175" s="164">
        <f t="shared" si="80"/>
        <v>0</v>
      </c>
      <c r="EL175" s="280">
        <f t="shared" si="81"/>
        <v>0</v>
      </c>
      <c r="EM175" s="63">
        <f t="shared" si="82"/>
        <v>0</v>
      </c>
      <c r="EN175" s="359">
        <f t="shared" si="83"/>
        <v>0</v>
      </c>
      <c r="EO175" s="51">
        <f t="shared" si="84"/>
        <v>0</v>
      </c>
      <c r="EP175" s="361">
        <f t="shared" si="85"/>
        <v>0</v>
      </c>
      <c r="EQ175" s="281"/>
      <c r="ER175" s="277"/>
      <c r="ES175" s="281"/>
      <c r="ET175" s="277"/>
      <c r="EU175" s="281"/>
      <c r="EV175" s="277"/>
      <c r="EW175" s="281"/>
      <c r="EX175" s="277"/>
      <c r="EY175" s="281"/>
      <c r="EZ175" s="277"/>
      <c r="FA175" s="281"/>
      <c r="FB175" s="277"/>
      <c r="FC175" s="281"/>
      <c r="FD175" s="277"/>
      <c r="FE175" s="281"/>
      <c r="FF175" s="277"/>
      <c r="FG175" s="281"/>
      <c r="FH175" s="277"/>
      <c r="FI175" s="281"/>
      <c r="FJ175" s="277"/>
      <c r="FK175" s="50">
        <f t="shared" si="86"/>
        <v>0</v>
      </c>
      <c r="FL175" s="63">
        <f t="shared" si="87"/>
        <v>0</v>
      </c>
      <c r="FM175" s="50">
        <f t="shared" si="69"/>
        <v>1161</v>
      </c>
      <c r="FN175" s="360">
        <f t="shared" si="70"/>
        <v>1309</v>
      </c>
      <c r="FO175" s="3"/>
      <c r="FP175" s="279"/>
      <c r="FQ175" s="52"/>
      <c r="FR175" s="296"/>
      <c r="FS175" s="98"/>
      <c r="FT175" s="467"/>
      <c r="FU175" s="52"/>
      <c r="FV175" s="296"/>
      <c r="FW175" s="98"/>
      <c r="FX175" s="467"/>
      <c r="FY175" s="52"/>
      <c r="FZ175" s="296"/>
      <c r="GA175" s="98"/>
      <c r="GB175" s="467"/>
      <c r="GC175" s="52"/>
      <c r="GD175" s="296"/>
      <c r="GE175" s="98"/>
      <c r="GF175" s="467"/>
      <c r="GG175" s="52"/>
      <c r="GH175" s="296"/>
      <c r="GI175" s="98"/>
      <c r="GJ175" s="467"/>
      <c r="GK175" s="52"/>
      <c r="GL175" s="296"/>
      <c r="GM175" s="464"/>
      <c r="GN175" s="467"/>
      <c r="GO175" s="52"/>
      <c r="GP175" s="296"/>
      <c r="GQ175" s="464"/>
      <c r="GR175" s="467"/>
      <c r="GS175" s="52"/>
      <c r="GT175" s="296"/>
      <c r="GU175" s="464"/>
      <c r="GV175" s="467"/>
      <c r="GW175" s="52"/>
      <c r="GX175" s="296"/>
      <c r="GY175" s="464"/>
      <c r="GZ175" s="467"/>
      <c r="HA175" s="52"/>
      <c r="HB175" s="296"/>
      <c r="HC175" s="3"/>
    </row>
    <row r="176" spans="1:211" s="86" customFormat="1">
      <c r="A176" s="487" t="s">
        <v>955</v>
      </c>
      <c r="B176" s="303" t="s">
        <v>971</v>
      </c>
      <c r="C176" s="302">
        <v>140085</v>
      </c>
      <c r="D176" s="340">
        <v>12</v>
      </c>
      <c r="E176" s="460">
        <v>1733</v>
      </c>
      <c r="F176" s="277">
        <v>1678</v>
      </c>
      <c r="G176" s="158">
        <v>125</v>
      </c>
      <c r="H176" s="277">
        <v>120</v>
      </c>
      <c r="I176" s="158">
        <v>77</v>
      </c>
      <c r="J176" s="277">
        <v>89</v>
      </c>
      <c r="K176" s="160">
        <f t="shared" si="71"/>
        <v>0</v>
      </c>
      <c r="L176" s="161">
        <f t="shared" si="64"/>
        <v>0</v>
      </c>
      <c r="M176" s="54"/>
      <c r="N176" s="55"/>
      <c r="O176" s="55"/>
      <c r="P176" s="55"/>
      <c r="Q176" s="162">
        <f t="shared" si="72"/>
        <v>0</v>
      </c>
      <c r="R176" s="277"/>
      <c r="S176" s="277"/>
      <c r="T176" s="277"/>
      <c r="U176" s="277"/>
      <c r="V176" s="97">
        <f t="shared" si="73"/>
        <v>0</v>
      </c>
      <c r="W176" s="279"/>
      <c r="X176" s="52"/>
      <c r="Y176" s="99"/>
      <c r="Z176" s="53"/>
      <c r="AA176" s="228"/>
      <c r="AB176" s="52"/>
      <c r="AC176" s="99"/>
      <c r="AD176" s="53"/>
      <c r="AE176" s="228"/>
      <c r="AF176" s="52"/>
      <c r="AG176" s="99"/>
      <c r="AH176" s="53"/>
      <c r="AI176" s="228"/>
      <c r="AJ176" s="52"/>
      <c r="AK176" s="99"/>
      <c r="AL176" s="53"/>
      <c r="AM176" s="228"/>
      <c r="AN176" s="52"/>
      <c r="AO176" s="99"/>
      <c r="AP176" s="53"/>
      <c r="AQ176" s="50">
        <f t="shared" si="65"/>
        <v>0</v>
      </c>
      <c r="AR176" s="163">
        <f t="shared" si="66"/>
        <v>0</v>
      </c>
      <c r="AS176" s="97">
        <f t="shared" si="67"/>
        <v>0</v>
      </c>
      <c r="AT176" s="278">
        <f t="shared" si="68"/>
        <v>0</v>
      </c>
      <c r="AU176" s="55"/>
      <c r="AV176" s="277"/>
      <c r="AW176" s="279"/>
      <c r="AX176" s="52"/>
      <c r="AY176" s="105"/>
      <c r="AZ176" s="98"/>
      <c r="BA176" s="279"/>
      <c r="BB176" s="52"/>
      <c r="BC176" s="105"/>
      <c r="BD176" s="98"/>
      <c r="BE176" s="279"/>
      <c r="BF176" s="52"/>
      <c r="BG176" s="105"/>
      <c r="BH176" s="98"/>
      <c r="BI176" s="279"/>
      <c r="BJ176" s="52"/>
      <c r="BK176" s="105"/>
      <c r="BL176" s="98"/>
      <c r="BM176" s="279"/>
      <c r="BN176" s="52"/>
      <c r="BO176" s="105"/>
      <c r="BP176" s="98"/>
      <c r="BQ176" s="279"/>
      <c r="BR176" s="52"/>
      <c r="BS176" s="105"/>
      <c r="BT176" s="98"/>
      <c r="BU176" s="279"/>
      <c r="BV176" s="52"/>
      <c r="BW176" s="105"/>
      <c r="BX176" s="98"/>
      <c r="BY176" s="279"/>
      <c r="BZ176" s="52"/>
      <c r="CA176" s="105"/>
      <c r="CB176" s="98"/>
      <c r="CC176" s="279"/>
      <c r="CD176" s="52"/>
      <c r="CE176" s="105"/>
      <c r="CF176" s="98"/>
      <c r="CG176" s="279"/>
      <c r="CH176" s="52"/>
      <c r="CI176" s="105"/>
      <c r="CJ176" s="98"/>
      <c r="CK176" s="281"/>
      <c r="CL176" s="277"/>
      <c r="CM176" s="159"/>
      <c r="CN176" s="277"/>
      <c r="CO176" s="50">
        <f t="shared" si="74"/>
        <v>0</v>
      </c>
      <c r="CP176" s="103">
        <f t="shared" si="75"/>
        <v>0</v>
      </c>
      <c r="CQ176" s="280">
        <f t="shared" si="76"/>
        <v>0</v>
      </c>
      <c r="CR176" s="63">
        <f t="shared" si="77"/>
        <v>0</v>
      </c>
      <c r="CS176" s="279"/>
      <c r="CT176" s="52"/>
      <c r="CU176" s="105"/>
      <c r="CV176" s="98"/>
      <c r="CW176" s="279"/>
      <c r="CX176" s="52"/>
      <c r="CY176" s="105"/>
      <c r="CZ176" s="98"/>
      <c r="DA176" s="279"/>
      <c r="DB176" s="52"/>
      <c r="DC176" s="105"/>
      <c r="DD176" s="98"/>
      <c r="DE176" s="279"/>
      <c r="DF176" s="52"/>
      <c r="DG176" s="105"/>
      <c r="DH176" s="98"/>
      <c r="DI176" s="279"/>
      <c r="DJ176" s="52"/>
      <c r="DK176" s="105"/>
      <c r="DL176" s="98"/>
      <c r="DM176" s="279"/>
      <c r="DN176" s="52"/>
      <c r="DO176" s="105"/>
      <c r="DP176" s="98"/>
      <c r="DQ176" s="279"/>
      <c r="DR176" s="52"/>
      <c r="DS176" s="105"/>
      <c r="DT176" s="98"/>
      <c r="DU176" s="279"/>
      <c r="DV176" s="52"/>
      <c r="DW176" s="105"/>
      <c r="DX176" s="98"/>
      <c r="DY176" s="279"/>
      <c r="DZ176" s="52"/>
      <c r="EA176" s="105"/>
      <c r="EB176" s="98"/>
      <c r="EC176" s="279"/>
      <c r="ED176" s="52"/>
      <c r="EE176" s="105"/>
      <c r="EF176" s="98"/>
      <c r="EG176" s="159"/>
      <c r="EH176" s="277"/>
      <c r="EI176" s="50">
        <f t="shared" si="78"/>
        <v>0</v>
      </c>
      <c r="EJ176" s="103">
        <f t="shared" si="79"/>
        <v>0</v>
      </c>
      <c r="EK176" s="164">
        <f t="shared" si="80"/>
        <v>0</v>
      </c>
      <c r="EL176" s="280">
        <f t="shared" si="81"/>
        <v>0</v>
      </c>
      <c r="EM176" s="63">
        <f t="shared" si="82"/>
        <v>0</v>
      </c>
      <c r="EN176" s="359">
        <f t="shared" si="83"/>
        <v>0</v>
      </c>
      <c r="EO176" s="51">
        <f t="shared" si="84"/>
        <v>0</v>
      </c>
      <c r="EP176" s="361">
        <f t="shared" si="85"/>
        <v>0</v>
      </c>
      <c r="EQ176" s="281"/>
      <c r="ER176" s="277"/>
      <c r="ES176" s="281"/>
      <c r="ET176" s="277"/>
      <c r="EU176" s="281"/>
      <c r="EV176" s="277"/>
      <c r="EW176" s="281"/>
      <c r="EX176" s="277"/>
      <c r="EY176" s="281"/>
      <c r="EZ176" s="277"/>
      <c r="FA176" s="281"/>
      <c r="FB176" s="277"/>
      <c r="FC176" s="281"/>
      <c r="FD176" s="277"/>
      <c r="FE176" s="281"/>
      <c r="FF176" s="277"/>
      <c r="FG176" s="281"/>
      <c r="FH176" s="277"/>
      <c r="FI176" s="281"/>
      <c r="FJ176" s="277"/>
      <c r="FK176" s="50">
        <f t="shared" si="86"/>
        <v>0</v>
      </c>
      <c r="FL176" s="63">
        <f t="shared" si="87"/>
        <v>0</v>
      </c>
      <c r="FM176" s="50">
        <f t="shared" si="69"/>
        <v>1935</v>
      </c>
      <c r="FN176" s="360">
        <f t="shared" si="70"/>
        <v>1887</v>
      </c>
      <c r="FO176" s="3"/>
      <c r="FP176" s="279"/>
      <c r="FQ176" s="52"/>
      <c r="FR176" s="296"/>
      <c r="FS176" s="98"/>
      <c r="FT176" s="467"/>
      <c r="FU176" s="52"/>
      <c r="FV176" s="296"/>
      <c r="FW176" s="98"/>
      <c r="FX176" s="467"/>
      <c r="FY176" s="52"/>
      <c r="FZ176" s="296"/>
      <c r="GA176" s="98"/>
      <c r="GB176" s="467"/>
      <c r="GC176" s="52"/>
      <c r="GD176" s="296"/>
      <c r="GE176" s="98"/>
      <c r="GF176" s="467"/>
      <c r="GG176" s="52"/>
      <c r="GH176" s="296"/>
      <c r="GI176" s="98"/>
      <c r="GJ176" s="467"/>
      <c r="GK176" s="52"/>
      <c r="GL176" s="296"/>
      <c r="GM176" s="464"/>
      <c r="GN176" s="467"/>
      <c r="GO176" s="52"/>
      <c r="GP176" s="296"/>
      <c r="GQ176" s="464"/>
      <c r="GR176" s="467"/>
      <c r="GS176" s="52"/>
      <c r="GT176" s="296"/>
      <c r="GU176" s="464"/>
      <c r="GV176" s="467"/>
      <c r="GW176" s="52"/>
      <c r="GX176" s="296"/>
      <c r="GY176" s="464"/>
      <c r="GZ176" s="467"/>
      <c r="HA176" s="52"/>
      <c r="HB176" s="296"/>
      <c r="HC176" s="3"/>
    </row>
    <row r="177" spans="1:211" s="86" customFormat="1">
      <c r="A177" s="487" t="s">
        <v>955</v>
      </c>
      <c r="B177" s="303" t="s">
        <v>972</v>
      </c>
      <c r="C177" s="302">
        <v>140599</v>
      </c>
      <c r="D177" s="340">
        <v>12</v>
      </c>
      <c r="E177" s="460">
        <v>1037</v>
      </c>
      <c r="F177" s="277">
        <v>1019</v>
      </c>
      <c r="G177" s="158">
        <v>87</v>
      </c>
      <c r="H177" s="277">
        <v>74</v>
      </c>
      <c r="I177" s="158">
        <v>13</v>
      </c>
      <c r="J177" s="277">
        <v>10</v>
      </c>
      <c r="K177" s="160">
        <f t="shared" si="71"/>
        <v>0</v>
      </c>
      <c r="L177" s="161">
        <f t="shared" si="64"/>
        <v>0</v>
      </c>
      <c r="M177" s="54"/>
      <c r="N177" s="55"/>
      <c r="O177" s="55"/>
      <c r="P177" s="55"/>
      <c r="Q177" s="162">
        <f t="shared" si="72"/>
        <v>0</v>
      </c>
      <c r="R177" s="277"/>
      <c r="S177" s="277"/>
      <c r="T177" s="277"/>
      <c r="U177" s="277"/>
      <c r="V177" s="97">
        <f t="shared" si="73"/>
        <v>0</v>
      </c>
      <c r="W177" s="279"/>
      <c r="X177" s="52"/>
      <c r="Y177" s="99"/>
      <c r="Z177" s="53"/>
      <c r="AA177" s="228"/>
      <c r="AB177" s="52"/>
      <c r="AC177" s="99"/>
      <c r="AD177" s="53"/>
      <c r="AE177" s="228"/>
      <c r="AF177" s="52"/>
      <c r="AG177" s="99"/>
      <c r="AH177" s="53"/>
      <c r="AI177" s="228"/>
      <c r="AJ177" s="52"/>
      <c r="AK177" s="99"/>
      <c r="AL177" s="53"/>
      <c r="AM177" s="228"/>
      <c r="AN177" s="52"/>
      <c r="AO177" s="99"/>
      <c r="AP177" s="53"/>
      <c r="AQ177" s="50">
        <f t="shared" si="65"/>
        <v>0</v>
      </c>
      <c r="AR177" s="163">
        <f t="shared" si="66"/>
        <v>0</v>
      </c>
      <c r="AS177" s="97">
        <f t="shared" si="67"/>
        <v>0</v>
      </c>
      <c r="AT177" s="278">
        <f t="shared" si="68"/>
        <v>0</v>
      </c>
      <c r="AU177" s="55"/>
      <c r="AV177" s="277"/>
      <c r="AW177" s="279"/>
      <c r="AX177" s="52"/>
      <c r="AY177" s="105"/>
      <c r="AZ177" s="98"/>
      <c r="BA177" s="279"/>
      <c r="BB177" s="52"/>
      <c r="BC177" s="105"/>
      <c r="BD177" s="98"/>
      <c r="BE177" s="279"/>
      <c r="BF177" s="52"/>
      <c r="BG177" s="105"/>
      <c r="BH177" s="98"/>
      <c r="BI177" s="279"/>
      <c r="BJ177" s="52"/>
      <c r="BK177" s="105"/>
      <c r="BL177" s="98"/>
      <c r="BM177" s="279"/>
      <c r="BN177" s="52"/>
      <c r="BO177" s="105"/>
      <c r="BP177" s="98"/>
      <c r="BQ177" s="279"/>
      <c r="BR177" s="52"/>
      <c r="BS177" s="105"/>
      <c r="BT177" s="98"/>
      <c r="BU177" s="279"/>
      <c r="BV177" s="52"/>
      <c r="BW177" s="105"/>
      <c r="BX177" s="98"/>
      <c r="BY177" s="279"/>
      <c r="BZ177" s="52"/>
      <c r="CA177" s="105"/>
      <c r="CB177" s="98"/>
      <c r="CC177" s="279"/>
      <c r="CD177" s="52"/>
      <c r="CE177" s="105"/>
      <c r="CF177" s="98"/>
      <c r="CG177" s="279"/>
      <c r="CH177" s="52"/>
      <c r="CI177" s="105"/>
      <c r="CJ177" s="98"/>
      <c r="CK177" s="281"/>
      <c r="CL177" s="277"/>
      <c r="CM177" s="159"/>
      <c r="CN177" s="277"/>
      <c r="CO177" s="50">
        <f t="shared" si="74"/>
        <v>0</v>
      </c>
      <c r="CP177" s="103">
        <f t="shared" si="75"/>
        <v>0</v>
      </c>
      <c r="CQ177" s="280">
        <f t="shared" si="76"/>
        <v>0</v>
      </c>
      <c r="CR177" s="63">
        <f t="shared" si="77"/>
        <v>0</v>
      </c>
      <c r="CS177" s="279"/>
      <c r="CT177" s="52"/>
      <c r="CU177" s="105"/>
      <c r="CV177" s="98"/>
      <c r="CW177" s="279"/>
      <c r="CX177" s="52"/>
      <c r="CY177" s="105"/>
      <c r="CZ177" s="98"/>
      <c r="DA177" s="279"/>
      <c r="DB177" s="52"/>
      <c r="DC177" s="105"/>
      <c r="DD177" s="98"/>
      <c r="DE177" s="279"/>
      <c r="DF177" s="52"/>
      <c r="DG177" s="105"/>
      <c r="DH177" s="98"/>
      <c r="DI177" s="279"/>
      <c r="DJ177" s="52"/>
      <c r="DK177" s="105"/>
      <c r="DL177" s="98"/>
      <c r="DM177" s="279"/>
      <c r="DN177" s="52"/>
      <c r="DO177" s="105"/>
      <c r="DP177" s="98"/>
      <c r="DQ177" s="279"/>
      <c r="DR177" s="52"/>
      <c r="DS177" s="105"/>
      <c r="DT177" s="98"/>
      <c r="DU177" s="279"/>
      <c r="DV177" s="52"/>
      <c r="DW177" s="105"/>
      <c r="DX177" s="98"/>
      <c r="DY177" s="279"/>
      <c r="DZ177" s="52"/>
      <c r="EA177" s="105"/>
      <c r="EB177" s="98"/>
      <c r="EC177" s="279"/>
      <c r="ED177" s="52"/>
      <c r="EE177" s="105"/>
      <c r="EF177" s="98"/>
      <c r="EG177" s="159"/>
      <c r="EH177" s="277"/>
      <c r="EI177" s="50">
        <f t="shared" si="78"/>
        <v>0</v>
      </c>
      <c r="EJ177" s="103">
        <f t="shared" si="79"/>
        <v>0</v>
      </c>
      <c r="EK177" s="164">
        <f t="shared" si="80"/>
        <v>0</v>
      </c>
      <c r="EL177" s="280">
        <f t="shared" si="81"/>
        <v>0</v>
      </c>
      <c r="EM177" s="63">
        <f t="shared" si="82"/>
        <v>0</v>
      </c>
      <c r="EN177" s="359">
        <f t="shared" si="83"/>
        <v>0</v>
      </c>
      <c r="EO177" s="51">
        <f t="shared" si="84"/>
        <v>0</v>
      </c>
      <c r="EP177" s="361">
        <f t="shared" si="85"/>
        <v>0</v>
      </c>
      <c r="EQ177" s="281"/>
      <c r="ER177" s="277"/>
      <c r="ES177" s="281"/>
      <c r="ET177" s="277"/>
      <c r="EU177" s="281"/>
      <c r="EV177" s="277"/>
      <c r="EW177" s="281"/>
      <c r="EX177" s="277"/>
      <c r="EY177" s="281"/>
      <c r="EZ177" s="277"/>
      <c r="FA177" s="281"/>
      <c r="FB177" s="277"/>
      <c r="FC177" s="281"/>
      <c r="FD177" s="277"/>
      <c r="FE177" s="281"/>
      <c r="FF177" s="277"/>
      <c r="FG177" s="281"/>
      <c r="FH177" s="277"/>
      <c r="FI177" s="281"/>
      <c r="FJ177" s="277"/>
      <c r="FK177" s="50">
        <f t="shared" si="86"/>
        <v>0</v>
      </c>
      <c r="FL177" s="63">
        <f t="shared" si="87"/>
        <v>0</v>
      </c>
      <c r="FM177" s="50">
        <f t="shared" si="69"/>
        <v>1137</v>
      </c>
      <c r="FN177" s="360">
        <f t="shared" si="70"/>
        <v>1103</v>
      </c>
      <c r="FO177" s="3"/>
      <c r="FP177" s="279"/>
      <c r="FQ177" s="52"/>
      <c r="FR177" s="296"/>
      <c r="FS177" s="98"/>
      <c r="FT177" s="467"/>
      <c r="FU177" s="52"/>
      <c r="FV177" s="296"/>
      <c r="FW177" s="98"/>
      <c r="FX177" s="467"/>
      <c r="FY177" s="52"/>
      <c r="FZ177" s="296"/>
      <c r="GA177" s="98"/>
      <c r="GB177" s="467"/>
      <c r="GC177" s="52"/>
      <c r="GD177" s="296"/>
      <c r="GE177" s="98"/>
      <c r="GF177" s="467"/>
      <c r="GG177" s="52"/>
      <c r="GH177" s="296"/>
      <c r="GI177" s="98"/>
      <c r="GJ177" s="467"/>
      <c r="GK177" s="52"/>
      <c r="GL177" s="296"/>
      <c r="GM177" s="464"/>
      <c r="GN177" s="467"/>
      <c r="GO177" s="52"/>
      <c r="GP177" s="296"/>
      <c r="GQ177" s="464"/>
      <c r="GR177" s="467"/>
      <c r="GS177" s="52"/>
      <c r="GT177" s="296"/>
      <c r="GU177" s="464"/>
      <c r="GV177" s="467"/>
      <c r="GW177" s="52"/>
      <c r="GX177" s="296"/>
      <c r="GY177" s="464"/>
      <c r="GZ177" s="467"/>
      <c r="HA177" s="52"/>
      <c r="HB177" s="296"/>
      <c r="HC177" s="3"/>
    </row>
    <row r="178" spans="1:211" s="86" customFormat="1">
      <c r="A178" s="487" t="s">
        <v>955</v>
      </c>
      <c r="B178" s="303" t="s">
        <v>973</v>
      </c>
      <c r="C178" s="302">
        <v>140678</v>
      </c>
      <c r="D178" s="340">
        <v>12</v>
      </c>
      <c r="E178" s="460">
        <v>687</v>
      </c>
      <c r="F178" s="277">
        <v>796</v>
      </c>
      <c r="G178" s="158">
        <v>74</v>
      </c>
      <c r="H178" s="277">
        <v>88</v>
      </c>
      <c r="I178" s="158">
        <v>83</v>
      </c>
      <c r="J178" s="277">
        <v>96</v>
      </c>
      <c r="K178" s="160">
        <f t="shared" si="71"/>
        <v>0</v>
      </c>
      <c r="L178" s="161">
        <f t="shared" si="64"/>
        <v>0</v>
      </c>
      <c r="M178" s="54"/>
      <c r="N178" s="55"/>
      <c r="O178" s="55"/>
      <c r="P178" s="55"/>
      <c r="Q178" s="162">
        <f t="shared" si="72"/>
        <v>0</v>
      </c>
      <c r="R178" s="277"/>
      <c r="S178" s="277"/>
      <c r="T178" s="277"/>
      <c r="U178" s="277"/>
      <c r="V178" s="97">
        <f t="shared" si="73"/>
        <v>0</v>
      </c>
      <c r="W178" s="279"/>
      <c r="X178" s="52"/>
      <c r="Y178" s="99"/>
      <c r="Z178" s="53"/>
      <c r="AA178" s="228"/>
      <c r="AB178" s="52"/>
      <c r="AC178" s="99"/>
      <c r="AD178" s="53"/>
      <c r="AE178" s="228"/>
      <c r="AF178" s="52"/>
      <c r="AG178" s="99"/>
      <c r="AH178" s="53"/>
      <c r="AI178" s="228"/>
      <c r="AJ178" s="52"/>
      <c r="AK178" s="99"/>
      <c r="AL178" s="53"/>
      <c r="AM178" s="228"/>
      <c r="AN178" s="52"/>
      <c r="AO178" s="99"/>
      <c r="AP178" s="53"/>
      <c r="AQ178" s="50">
        <f t="shared" si="65"/>
        <v>0</v>
      </c>
      <c r="AR178" s="163">
        <f t="shared" si="66"/>
        <v>0</v>
      </c>
      <c r="AS178" s="97">
        <f t="shared" si="67"/>
        <v>0</v>
      </c>
      <c r="AT178" s="278">
        <f t="shared" si="68"/>
        <v>0</v>
      </c>
      <c r="AU178" s="55"/>
      <c r="AV178" s="277"/>
      <c r="AW178" s="279"/>
      <c r="AX178" s="52"/>
      <c r="AY178" s="105"/>
      <c r="AZ178" s="98"/>
      <c r="BA178" s="279"/>
      <c r="BB178" s="52"/>
      <c r="BC178" s="105"/>
      <c r="BD178" s="98"/>
      <c r="BE178" s="279"/>
      <c r="BF178" s="52"/>
      <c r="BG178" s="105"/>
      <c r="BH178" s="98"/>
      <c r="BI178" s="279"/>
      <c r="BJ178" s="52"/>
      <c r="BK178" s="105"/>
      <c r="BL178" s="98"/>
      <c r="BM178" s="279"/>
      <c r="BN178" s="52"/>
      <c r="BO178" s="105"/>
      <c r="BP178" s="98"/>
      <c r="BQ178" s="279"/>
      <c r="BR178" s="52"/>
      <c r="BS178" s="105"/>
      <c r="BT178" s="98"/>
      <c r="BU178" s="279"/>
      <c r="BV178" s="52"/>
      <c r="BW178" s="105"/>
      <c r="BX178" s="98"/>
      <c r="BY178" s="279"/>
      <c r="BZ178" s="52"/>
      <c r="CA178" s="105"/>
      <c r="CB178" s="98"/>
      <c r="CC178" s="279"/>
      <c r="CD178" s="52"/>
      <c r="CE178" s="105"/>
      <c r="CF178" s="98"/>
      <c r="CG178" s="279"/>
      <c r="CH178" s="52"/>
      <c r="CI178" s="105"/>
      <c r="CJ178" s="98"/>
      <c r="CK178" s="281"/>
      <c r="CL178" s="277"/>
      <c r="CM178" s="159"/>
      <c r="CN178" s="277"/>
      <c r="CO178" s="50">
        <f t="shared" si="74"/>
        <v>0</v>
      </c>
      <c r="CP178" s="103">
        <f t="shared" si="75"/>
        <v>0</v>
      </c>
      <c r="CQ178" s="280">
        <f t="shared" si="76"/>
        <v>0</v>
      </c>
      <c r="CR178" s="63">
        <f t="shared" si="77"/>
        <v>0</v>
      </c>
      <c r="CS178" s="279"/>
      <c r="CT178" s="52"/>
      <c r="CU178" s="105"/>
      <c r="CV178" s="98"/>
      <c r="CW178" s="279"/>
      <c r="CX178" s="52"/>
      <c r="CY178" s="105"/>
      <c r="CZ178" s="98"/>
      <c r="DA178" s="279"/>
      <c r="DB178" s="52"/>
      <c r="DC178" s="105"/>
      <c r="DD178" s="98"/>
      <c r="DE178" s="279"/>
      <c r="DF178" s="52"/>
      <c r="DG178" s="105"/>
      <c r="DH178" s="98"/>
      <c r="DI178" s="279"/>
      <c r="DJ178" s="52"/>
      <c r="DK178" s="105"/>
      <c r="DL178" s="98"/>
      <c r="DM178" s="279"/>
      <c r="DN178" s="52"/>
      <c r="DO178" s="105"/>
      <c r="DP178" s="98"/>
      <c r="DQ178" s="279"/>
      <c r="DR178" s="52"/>
      <c r="DS178" s="105"/>
      <c r="DT178" s="98"/>
      <c r="DU178" s="279"/>
      <c r="DV178" s="52"/>
      <c r="DW178" s="105"/>
      <c r="DX178" s="98"/>
      <c r="DY178" s="279"/>
      <c r="DZ178" s="52"/>
      <c r="EA178" s="105"/>
      <c r="EB178" s="98"/>
      <c r="EC178" s="279"/>
      <c r="ED178" s="52"/>
      <c r="EE178" s="105"/>
      <c r="EF178" s="98"/>
      <c r="EG178" s="159"/>
      <c r="EH178" s="277"/>
      <c r="EI178" s="50">
        <f t="shared" si="78"/>
        <v>0</v>
      </c>
      <c r="EJ178" s="103">
        <f t="shared" si="79"/>
        <v>0</v>
      </c>
      <c r="EK178" s="164">
        <f t="shared" si="80"/>
        <v>0</v>
      </c>
      <c r="EL178" s="280">
        <f t="shared" si="81"/>
        <v>0</v>
      </c>
      <c r="EM178" s="63">
        <f t="shared" si="82"/>
        <v>0</v>
      </c>
      <c r="EN178" s="359">
        <f t="shared" si="83"/>
        <v>0</v>
      </c>
      <c r="EO178" s="51">
        <f t="shared" si="84"/>
        <v>0</v>
      </c>
      <c r="EP178" s="361">
        <f t="shared" si="85"/>
        <v>0</v>
      </c>
      <c r="EQ178" s="281"/>
      <c r="ER178" s="277"/>
      <c r="ES178" s="281"/>
      <c r="ET178" s="277"/>
      <c r="EU178" s="281"/>
      <c r="EV178" s="277"/>
      <c r="EW178" s="281"/>
      <c r="EX178" s="277"/>
      <c r="EY178" s="281"/>
      <c r="EZ178" s="277"/>
      <c r="FA178" s="281"/>
      <c r="FB178" s="277"/>
      <c r="FC178" s="281"/>
      <c r="FD178" s="277"/>
      <c r="FE178" s="281"/>
      <c r="FF178" s="277"/>
      <c r="FG178" s="281"/>
      <c r="FH178" s="277"/>
      <c r="FI178" s="281"/>
      <c r="FJ178" s="277"/>
      <c r="FK178" s="50">
        <f t="shared" si="86"/>
        <v>0</v>
      </c>
      <c r="FL178" s="63">
        <f t="shared" si="87"/>
        <v>0</v>
      </c>
      <c r="FM178" s="50">
        <f t="shared" si="69"/>
        <v>844</v>
      </c>
      <c r="FN178" s="360">
        <f t="shared" si="70"/>
        <v>980</v>
      </c>
      <c r="FO178" s="3"/>
      <c r="FP178" s="279"/>
      <c r="FQ178" s="52"/>
      <c r="FR178" s="296"/>
      <c r="FS178" s="98"/>
      <c r="FT178" s="467"/>
      <c r="FU178" s="52"/>
      <c r="FV178" s="296"/>
      <c r="FW178" s="98"/>
      <c r="FX178" s="467"/>
      <c r="FY178" s="52"/>
      <c r="FZ178" s="296"/>
      <c r="GA178" s="98"/>
      <c r="GB178" s="467"/>
      <c r="GC178" s="52"/>
      <c r="GD178" s="296"/>
      <c r="GE178" s="98"/>
      <c r="GF178" s="467"/>
      <c r="GG178" s="52"/>
      <c r="GH178" s="296"/>
      <c r="GI178" s="98"/>
      <c r="GJ178" s="467"/>
      <c r="GK178" s="52"/>
      <c r="GL178" s="296"/>
      <c r="GM178" s="464"/>
      <c r="GN178" s="467"/>
      <c r="GO178" s="52"/>
      <c r="GP178" s="296"/>
      <c r="GQ178" s="464"/>
      <c r="GR178" s="467"/>
      <c r="GS178" s="52"/>
      <c r="GT178" s="296"/>
      <c r="GU178" s="464"/>
      <c r="GV178" s="467"/>
      <c r="GW178" s="52"/>
      <c r="GX178" s="296"/>
      <c r="GY178" s="464"/>
      <c r="GZ178" s="467"/>
      <c r="HA178" s="52"/>
      <c r="HB178" s="296"/>
      <c r="HC178" s="3"/>
    </row>
    <row r="179" spans="1:211" s="86" customFormat="1">
      <c r="A179" s="487" t="s">
        <v>955</v>
      </c>
      <c r="B179" s="303" t="s">
        <v>974</v>
      </c>
      <c r="C179" s="302">
        <v>366465</v>
      </c>
      <c r="D179" s="340">
        <v>12</v>
      </c>
      <c r="E179" s="460">
        <v>597</v>
      </c>
      <c r="F179" s="277">
        <v>828</v>
      </c>
      <c r="G179" s="158">
        <v>90</v>
      </c>
      <c r="H179" s="277">
        <v>78</v>
      </c>
      <c r="I179" s="158">
        <v>84</v>
      </c>
      <c r="J179" s="277">
        <v>102</v>
      </c>
      <c r="K179" s="160">
        <f t="shared" si="71"/>
        <v>0</v>
      </c>
      <c r="L179" s="161">
        <f t="shared" si="64"/>
        <v>0</v>
      </c>
      <c r="M179" s="54"/>
      <c r="N179" s="55"/>
      <c r="O179" s="55"/>
      <c r="P179" s="55"/>
      <c r="Q179" s="162">
        <f t="shared" si="72"/>
        <v>0</v>
      </c>
      <c r="R179" s="277"/>
      <c r="S179" s="277"/>
      <c r="T179" s="277"/>
      <c r="U179" s="277"/>
      <c r="V179" s="97">
        <f t="shared" si="73"/>
        <v>0</v>
      </c>
      <c r="W179" s="279"/>
      <c r="X179" s="52"/>
      <c r="Y179" s="99"/>
      <c r="Z179" s="53"/>
      <c r="AA179" s="228"/>
      <c r="AB179" s="52"/>
      <c r="AC179" s="99"/>
      <c r="AD179" s="53"/>
      <c r="AE179" s="228"/>
      <c r="AF179" s="52"/>
      <c r="AG179" s="99"/>
      <c r="AH179" s="53"/>
      <c r="AI179" s="228"/>
      <c r="AJ179" s="52"/>
      <c r="AK179" s="99"/>
      <c r="AL179" s="53"/>
      <c r="AM179" s="228"/>
      <c r="AN179" s="52"/>
      <c r="AO179" s="99"/>
      <c r="AP179" s="53"/>
      <c r="AQ179" s="50">
        <f t="shared" si="65"/>
        <v>0</v>
      </c>
      <c r="AR179" s="163">
        <f t="shared" si="66"/>
        <v>0</v>
      </c>
      <c r="AS179" s="97">
        <f t="shared" si="67"/>
        <v>0</v>
      </c>
      <c r="AT179" s="278">
        <f t="shared" si="68"/>
        <v>0</v>
      </c>
      <c r="AU179" s="55"/>
      <c r="AV179" s="277"/>
      <c r="AW179" s="279"/>
      <c r="AX179" s="52"/>
      <c r="AY179" s="105"/>
      <c r="AZ179" s="98"/>
      <c r="BA179" s="279"/>
      <c r="BB179" s="52"/>
      <c r="BC179" s="105"/>
      <c r="BD179" s="98"/>
      <c r="BE179" s="279"/>
      <c r="BF179" s="52"/>
      <c r="BG179" s="105"/>
      <c r="BH179" s="98"/>
      <c r="BI179" s="279"/>
      <c r="BJ179" s="52"/>
      <c r="BK179" s="105"/>
      <c r="BL179" s="98"/>
      <c r="BM179" s="279"/>
      <c r="BN179" s="52"/>
      <c r="BO179" s="105"/>
      <c r="BP179" s="98"/>
      <c r="BQ179" s="279"/>
      <c r="BR179" s="52"/>
      <c r="BS179" s="105"/>
      <c r="BT179" s="98"/>
      <c r="BU179" s="279"/>
      <c r="BV179" s="52"/>
      <c r="BW179" s="105"/>
      <c r="BX179" s="98"/>
      <c r="BY179" s="279"/>
      <c r="BZ179" s="52"/>
      <c r="CA179" s="105"/>
      <c r="CB179" s="98"/>
      <c r="CC179" s="279"/>
      <c r="CD179" s="52"/>
      <c r="CE179" s="105"/>
      <c r="CF179" s="98"/>
      <c r="CG179" s="279"/>
      <c r="CH179" s="52"/>
      <c r="CI179" s="105"/>
      <c r="CJ179" s="98"/>
      <c r="CK179" s="281"/>
      <c r="CL179" s="277"/>
      <c r="CM179" s="159"/>
      <c r="CN179" s="277"/>
      <c r="CO179" s="50">
        <f t="shared" si="74"/>
        <v>0</v>
      </c>
      <c r="CP179" s="103">
        <f t="shared" si="75"/>
        <v>0</v>
      </c>
      <c r="CQ179" s="280">
        <f t="shared" si="76"/>
        <v>0</v>
      </c>
      <c r="CR179" s="63">
        <f t="shared" si="77"/>
        <v>0</v>
      </c>
      <c r="CS179" s="279"/>
      <c r="CT179" s="52"/>
      <c r="CU179" s="105"/>
      <c r="CV179" s="98"/>
      <c r="CW179" s="279"/>
      <c r="CX179" s="52"/>
      <c r="CY179" s="105"/>
      <c r="CZ179" s="98"/>
      <c r="DA179" s="279"/>
      <c r="DB179" s="52"/>
      <c r="DC179" s="105"/>
      <c r="DD179" s="98"/>
      <c r="DE179" s="279"/>
      <c r="DF179" s="52"/>
      <c r="DG179" s="105"/>
      <c r="DH179" s="98"/>
      <c r="DI179" s="279"/>
      <c r="DJ179" s="52"/>
      <c r="DK179" s="105"/>
      <c r="DL179" s="98"/>
      <c r="DM179" s="279"/>
      <c r="DN179" s="52"/>
      <c r="DO179" s="105"/>
      <c r="DP179" s="98"/>
      <c r="DQ179" s="279"/>
      <c r="DR179" s="52"/>
      <c r="DS179" s="105"/>
      <c r="DT179" s="98"/>
      <c r="DU179" s="279"/>
      <c r="DV179" s="52"/>
      <c r="DW179" s="105"/>
      <c r="DX179" s="98"/>
      <c r="DY179" s="279"/>
      <c r="DZ179" s="52"/>
      <c r="EA179" s="105"/>
      <c r="EB179" s="98"/>
      <c r="EC179" s="279"/>
      <c r="ED179" s="52"/>
      <c r="EE179" s="105"/>
      <c r="EF179" s="98"/>
      <c r="EG179" s="159"/>
      <c r="EH179" s="277"/>
      <c r="EI179" s="50">
        <f t="shared" si="78"/>
        <v>0</v>
      </c>
      <c r="EJ179" s="103">
        <f t="shared" si="79"/>
        <v>0</v>
      </c>
      <c r="EK179" s="164">
        <f t="shared" si="80"/>
        <v>0</v>
      </c>
      <c r="EL179" s="280">
        <f t="shared" si="81"/>
        <v>0</v>
      </c>
      <c r="EM179" s="63">
        <f t="shared" si="82"/>
        <v>0</v>
      </c>
      <c r="EN179" s="359">
        <f t="shared" si="83"/>
        <v>0</v>
      </c>
      <c r="EO179" s="51">
        <f t="shared" si="84"/>
        <v>0</v>
      </c>
      <c r="EP179" s="361">
        <f t="shared" si="85"/>
        <v>0</v>
      </c>
      <c r="EQ179" s="281"/>
      <c r="ER179" s="277"/>
      <c r="ES179" s="281"/>
      <c r="ET179" s="277"/>
      <c r="EU179" s="281"/>
      <c r="EV179" s="277"/>
      <c r="EW179" s="281"/>
      <c r="EX179" s="277"/>
      <c r="EY179" s="281"/>
      <c r="EZ179" s="277"/>
      <c r="FA179" s="281"/>
      <c r="FB179" s="277"/>
      <c r="FC179" s="281"/>
      <c r="FD179" s="277"/>
      <c r="FE179" s="281"/>
      <c r="FF179" s="277"/>
      <c r="FG179" s="281"/>
      <c r="FH179" s="277"/>
      <c r="FI179" s="281"/>
      <c r="FJ179" s="277"/>
      <c r="FK179" s="50">
        <f t="shared" si="86"/>
        <v>0</v>
      </c>
      <c r="FL179" s="63">
        <f t="shared" si="87"/>
        <v>0</v>
      </c>
      <c r="FM179" s="50">
        <f t="shared" si="69"/>
        <v>771</v>
      </c>
      <c r="FN179" s="360">
        <f t="shared" si="70"/>
        <v>1008</v>
      </c>
      <c r="FO179" s="3"/>
      <c r="FP179" s="279"/>
      <c r="FQ179" s="52"/>
      <c r="FR179" s="296"/>
      <c r="FS179" s="98"/>
      <c r="FT179" s="467"/>
      <c r="FU179" s="52"/>
      <c r="FV179" s="296"/>
      <c r="FW179" s="98"/>
      <c r="FX179" s="467"/>
      <c r="FY179" s="52"/>
      <c r="FZ179" s="296"/>
      <c r="GA179" s="98"/>
      <c r="GB179" s="467"/>
      <c r="GC179" s="52"/>
      <c r="GD179" s="296"/>
      <c r="GE179" s="98"/>
      <c r="GF179" s="467"/>
      <c r="GG179" s="52"/>
      <c r="GH179" s="296"/>
      <c r="GI179" s="98"/>
      <c r="GJ179" s="467"/>
      <c r="GK179" s="52"/>
      <c r="GL179" s="296"/>
      <c r="GM179" s="464"/>
      <c r="GN179" s="467"/>
      <c r="GO179" s="52"/>
      <c r="GP179" s="296"/>
      <c r="GQ179" s="464"/>
      <c r="GR179" s="467"/>
      <c r="GS179" s="52"/>
      <c r="GT179" s="296"/>
      <c r="GU179" s="464"/>
      <c r="GV179" s="467"/>
      <c r="GW179" s="52"/>
      <c r="GX179" s="296"/>
      <c r="GY179" s="464"/>
      <c r="GZ179" s="467"/>
      <c r="HA179" s="52"/>
      <c r="HB179" s="296"/>
      <c r="HC179" s="3"/>
    </row>
    <row r="180" spans="1:211" s="86" customFormat="1">
      <c r="A180" s="487" t="s">
        <v>955</v>
      </c>
      <c r="B180" s="303" t="s">
        <v>975</v>
      </c>
      <c r="C180" s="302">
        <v>248776</v>
      </c>
      <c r="D180" s="340">
        <v>12</v>
      </c>
      <c r="E180" s="460">
        <v>511</v>
      </c>
      <c r="F180" s="277">
        <v>681</v>
      </c>
      <c r="G180" s="158">
        <v>65</v>
      </c>
      <c r="H180" s="277">
        <v>76</v>
      </c>
      <c r="I180" s="158">
        <v>29</v>
      </c>
      <c r="J180" s="277">
        <v>33</v>
      </c>
      <c r="K180" s="160">
        <f t="shared" si="71"/>
        <v>0</v>
      </c>
      <c r="L180" s="161">
        <f t="shared" si="64"/>
        <v>0</v>
      </c>
      <c r="M180" s="54"/>
      <c r="N180" s="55"/>
      <c r="O180" s="55"/>
      <c r="P180" s="55"/>
      <c r="Q180" s="162">
        <f t="shared" si="72"/>
        <v>0</v>
      </c>
      <c r="R180" s="277"/>
      <c r="S180" s="277"/>
      <c r="T180" s="277"/>
      <c r="U180" s="277"/>
      <c r="V180" s="97">
        <f t="shared" si="73"/>
        <v>0</v>
      </c>
      <c r="W180" s="279"/>
      <c r="X180" s="52"/>
      <c r="Y180" s="99"/>
      <c r="Z180" s="53"/>
      <c r="AA180" s="228"/>
      <c r="AB180" s="52"/>
      <c r="AC180" s="99"/>
      <c r="AD180" s="53"/>
      <c r="AE180" s="228"/>
      <c r="AF180" s="52"/>
      <c r="AG180" s="99"/>
      <c r="AH180" s="53"/>
      <c r="AI180" s="228"/>
      <c r="AJ180" s="52"/>
      <c r="AK180" s="99"/>
      <c r="AL180" s="53"/>
      <c r="AM180" s="228"/>
      <c r="AN180" s="52"/>
      <c r="AO180" s="99"/>
      <c r="AP180" s="53"/>
      <c r="AQ180" s="50">
        <f t="shared" si="65"/>
        <v>0</v>
      </c>
      <c r="AR180" s="163">
        <f t="shared" si="66"/>
        <v>0</v>
      </c>
      <c r="AS180" s="97">
        <f t="shared" si="67"/>
        <v>0</v>
      </c>
      <c r="AT180" s="278">
        <f t="shared" si="68"/>
        <v>0</v>
      </c>
      <c r="AU180" s="55"/>
      <c r="AV180" s="277"/>
      <c r="AW180" s="279"/>
      <c r="AX180" s="52"/>
      <c r="AY180" s="105"/>
      <c r="AZ180" s="98"/>
      <c r="BA180" s="279"/>
      <c r="BB180" s="52"/>
      <c r="BC180" s="105"/>
      <c r="BD180" s="98"/>
      <c r="BE180" s="279"/>
      <c r="BF180" s="52"/>
      <c r="BG180" s="105"/>
      <c r="BH180" s="98"/>
      <c r="BI180" s="279"/>
      <c r="BJ180" s="52"/>
      <c r="BK180" s="105"/>
      <c r="BL180" s="98"/>
      <c r="BM180" s="279"/>
      <c r="BN180" s="52"/>
      <c r="BO180" s="105"/>
      <c r="BP180" s="98"/>
      <c r="BQ180" s="279"/>
      <c r="BR180" s="52"/>
      <c r="BS180" s="105"/>
      <c r="BT180" s="98"/>
      <c r="BU180" s="279"/>
      <c r="BV180" s="52"/>
      <c r="BW180" s="105"/>
      <c r="BX180" s="98"/>
      <c r="BY180" s="279"/>
      <c r="BZ180" s="52"/>
      <c r="CA180" s="105"/>
      <c r="CB180" s="98"/>
      <c r="CC180" s="279"/>
      <c r="CD180" s="52"/>
      <c r="CE180" s="105"/>
      <c r="CF180" s="98"/>
      <c r="CG180" s="279"/>
      <c r="CH180" s="52"/>
      <c r="CI180" s="105"/>
      <c r="CJ180" s="98"/>
      <c r="CK180" s="281"/>
      <c r="CL180" s="277"/>
      <c r="CM180" s="159"/>
      <c r="CN180" s="277"/>
      <c r="CO180" s="50">
        <f t="shared" si="74"/>
        <v>0</v>
      </c>
      <c r="CP180" s="103">
        <f t="shared" si="75"/>
        <v>0</v>
      </c>
      <c r="CQ180" s="280">
        <f t="shared" si="76"/>
        <v>0</v>
      </c>
      <c r="CR180" s="63">
        <f t="shared" si="77"/>
        <v>0</v>
      </c>
      <c r="CS180" s="279"/>
      <c r="CT180" s="52"/>
      <c r="CU180" s="105"/>
      <c r="CV180" s="98"/>
      <c r="CW180" s="279"/>
      <c r="CX180" s="52"/>
      <c r="CY180" s="105"/>
      <c r="CZ180" s="98"/>
      <c r="DA180" s="279"/>
      <c r="DB180" s="52"/>
      <c r="DC180" s="105"/>
      <c r="DD180" s="98"/>
      <c r="DE180" s="279"/>
      <c r="DF180" s="52"/>
      <c r="DG180" s="105"/>
      <c r="DH180" s="98"/>
      <c r="DI180" s="279"/>
      <c r="DJ180" s="52"/>
      <c r="DK180" s="105"/>
      <c r="DL180" s="98"/>
      <c r="DM180" s="279"/>
      <c r="DN180" s="52"/>
      <c r="DO180" s="105"/>
      <c r="DP180" s="98"/>
      <c r="DQ180" s="279"/>
      <c r="DR180" s="52"/>
      <c r="DS180" s="105"/>
      <c r="DT180" s="98"/>
      <c r="DU180" s="279"/>
      <c r="DV180" s="52"/>
      <c r="DW180" s="105"/>
      <c r="DX180" s="98"/>
      <c r="DY180" s="279"/>
      <c r="DZ180" s="52"/>
      <c r="EA180" s="105"/>
      <c r="EB180" s="98"/>
      <c r="EC180" s="279"/>
      <c r="ED180" s="52"/>
      <c r="EE180" s="105"/>
      <c r="EF180" s="98"/>
      <c r="EG180" s="159"/>
      <c r="EH180" s="277"/>
      <c r="EI180" s="50">
        <f t="shared" si="78"/>
        <v>0</v>
      </c>
      <c r="EJ180" s="103">
        <f t="shared" si="79"/>
        <v>0</v>
      </c>
      <c r="EK180" s="164">
        <f t="shared" si="80"/>
        <v>0</v>
      </c>
      <c r="EL180" s="280">
        <f t="shared" si="81"/>
        <v>0</v>
      </c>
      <c r="EM180" s="63">
        <f t="shared" si="82"/>
        <v>0</v>
      </c>
      <c r="EN180" s="359">
        <f t="shared" si="83"/>
        <v>0</v>
      </c>
      <c r="EO180" s="51">
        <f t="shared" si="84"/>
        <v>0</v>
      </c>
      <c r="EP180" s="361">
        <f t="shared" si="85"/>
        <v>0</v>
      </c>
      <c r="EQ180" s="281"/>
      <c r="ER180" s="277"/>
      <c r="ES180" s="281"/>
      <c r="ET180" s="277"/>
      <c r="EU180" s="281"/>
      <c r="EV180" s="277"/>
      <c r="EW180" s="281"/>
      <c r="EX180" s="277"/>
      <c r="EY180" s="281"/>
      <c r="EZ180" s="277"/>
      <c r="FA180" s="281"/>
      <c r="FB180" s="277"/>
      <c r="FC180" s="281"/>
      <c r="FD180" s="277"/>
      <c r="FE180" s="281"/>
      <c r="FF180" s="277"/>
      <c r="FG180" s="281"/>
      <c r="FH180" s="277"/>
      <c r="FI180" s="281"/>
      <c r="FJ180" s="277"/>
      <c r="FK180" s="50">
        <f t="shared" si="86"/>
        <v>0</v>
      </c>
      <c r="FL180" s="63">
        <f t="shared" si="87"/>
        <v>0</v>
      </c>
      <c r="FM180" s="50">
        <f t="shared" si="69"/>
        <v>605</v>
      </c>
      <c r="FN180" s="360">
        <f t="shared" si="70"/>
        <v>790</v>
      </c>
      <c r="FO180" s="3"/>
      <c r="FP180" s="279"/>
      <c r="FQ180" s="52"/>
      <c r="FR180" s="296"/>
      <c r="FS180" s="98"/>
      <c r="FT180" s="467"/>
      <c r="FU180" s="52"/>
      <c r="FV180" s="296"/>
      <c r="FW180" s="98"/>
      <c r="FX180" s="467"/>
      <c r="FY180" s="52"/>
      <c r="FZ180" s="296"/>
      <c r="GA180" s="98"/>
      <c r="GB180" s="467"/>
      <c r="GC180" s="52"/>
      <c r="GD180" s="296"/>
      <c r="GE180" s="98"/>
      <c r="GF180" s="467"/>
      <c r="GG180" s="52"/>
      <c r="GH180" s="296"/>
      <c r="GI180" s="98"/>
      <c r="GJ180" s="467"/>
      <c r="GK180" s="52"/>
      <c r="GL180" s="296"/>
      <c r="GM180" s="464"/>
      <c r="GN180" s="467"/>
      <c r="GO180" s="52"/>
      <c r="GP180" s="296"/>
      <c r="GQ180" s="464"/>
      <c r="GR180" s="467"/>
      <c r="GS180" s="52"/>
      <c r="GT180" s="296"/>
      <c r="GU180" s="464"/>
      <c r="GV180" s="467"/>
      <c r="GW180" s="52"/>
      <c r="GX180" s="296"/>
      <c r="GY180" s="464"/>
      <c r="GZ180" s="467"/>
      <c r="HA180" s="52"/>
      <c r="HB180" s="296"/>
      <c r="HC180" s="3"/>
    </row>
    <row r="181" spans="1:211" s="86" customFormat="1">
      <c r="A181" s="487" t="s">
        <v>955</v>
      </c>
      <c r="B181" s="303" t="s">
        <v>976</v>
      </c>
      <c r="C181" s="302">
        <v>140942</v>
      </c>
      <c r="D181" s="340">
        <v>12</v>
      </c>
      <c r="E181" s="460">
        <v>1162</v>
      </c>
      <c r="F181" s="277">
        <v>1404</v>
      </c>
      <c r="G181" s="158">
        <v>66</v>
      </c>
      <c r="H181" s="277">
        <v>62</v>
      </c>
      <c r="I181" s="158">
        <v>157</v>
      </c>
      <c r="J181" s="277">
        <v>184</v>
      </c>
      <c r="K181" s="160">
        <f t="shared" si="71"/>
        <v>0</v>
      </c>
      <c r="L181" s="161">
        <f t="shared" si="64"/>
        <v>0</v>
      </c>
      <c r="M181" s="54"/>
      <c r="N181" s="55"/>
      <c r="O181" s="55"/>
      <c r="P181" s="55"/>
      <c r="Q181" s="162">
        <f t="shared" si="72"/>
        <v>0</v>
      </c>
      <c r="R181" s="277"/>
      <c r="S181" s="277"/>
      <c r="T181" s="277"/>
      <c r="U181" s="277"/>
      <c r="V181" s="97">
        <f t="shared" si="73"/>
        <v>0</v>
      </c>
      <c r="W181" s="279"/>
      <c r="X181" s="52"/>
      <c r="Y181" s="99"/>
      <c r="Z181" s="53"/>
      <c r="AA181" s="228"/>
      <c r="AB181" s="52"/>
      <c r="AC181" s="99"/>
      <c r="AD181" s="53"/>
      <c r="AE181" s="228"/>
      <c r="AF181" s="52"/>
      <c r="AG181" s="99"/>
      <c r="AH181" s="53"/>
      <c r="AI181" s="228"/>
      <c r="AJ181" s="52"/>
      <c r="AK181" s="99"/>
      <c r="AL181" s="53"/>
      <c r="AM181" s="228"/>
      <c r="AN181" s="52"/>
      <c r="AO181" s="99"/>
      <c r="AP181" s="53"/>
      <c r="AQ181" s="50">
        <f t="shared" si="65"/>
        <v>0</v>
      </c>
      <c r="AR181" s="163">
        <f t="shared" si="66"/>
        <v>0</v>
      </c>
      <c r="AS181" s="97">
        <f t="shared" si="67"/>
        <v>0</v>
      </c>
      <c r="AT181" s="278">
        <f t="shared" si="68"/>
        <v>0</v>
      </c>
      <c r="AU181" s="55"/>
      <c r="AV181" s="277"/>
      <c r="AW181" s="279"/>
      <c r="AX181" s="52"/>
      <c r="AY181" s="105"/>
      <c r="AZ181" s="98"/>
      <c r="BA181" s="279"/>
      <c r="BB181" s="52"/>
      <c r="BC181" s="105"/>
      <c r="BD181" s="98"/>
      <c r="BE181" s="279"/>
      <c r="BF181" s="52"/>
      <c r="BG181" s="105"/>
      <c r="BH181" s="98"/>
      <c r="BI181" s="279"/>
      <c r="BJ181" s="52"/>
      <c r="BK181" s="105"/>
      <c r="BL181" s="98"/>
      <c r="BM181" s="279"/>
      <c r="BN181" s="52"/>
      <c r="BO181" s="105"/>
      <c r="BP181" s="98"/>
      <c r="BQ181" s="279"/>
      <c r="BR181" s="52"/>
      <c r="BS181" s="105"/>
      <c r="BT181" s="98"/>
      <c r="BU181" s="279"/>
      <c r="BV181" s="52"/>
      <c r="BW181" s="105"/>
      <c r="BX181" s="98"/>
      <c r="BY181" s="279"/>
      <c r="BZ181" s="52"/>
      <c r="CA181" s="105"/>
      <c r="CB181" s="98"/>
      <c r="CC181" s="279"/>
      <c r="CD181" s="52"/>
      <c r="CE181" s="105"/>
      <c r="CF181" s="98"/>
      <c r="CG181" s="279"/>
      <c r="CH181" s="52"/>
      <c r="CI181" s="105"/>
      <c r="CJ181" s="98"/>
      <c r="CK181" s="281"/>
      <c r="CL181" s="277"/>
      <c r="CM181" s="159"/>
      <c r="CN181" s="277"/>
      <c r="CO181" s="50">
        <f t="shared" si="74"/>
        <v>0</v>
      </c>
      <c r="CP181" s="103">
        <f t="shared" si="75"/>
        <v>0</v>
      </c>
      <c r="CQ181" s="280">
        <f t="shared" si="76"/>
        <v>0</v>
      </c>
      <c r="CR181" s="63">
        <f t="shared" si="77"/>
        <v>0</v>
      </c>
      <c r="CS181" s="279"/>
      <c r="CT181" s="52"/>
      <c r="CU181" s="105"/>
      <c r="CV181" s="98"/>
      <c r="CW181" s="279"/>
      <c r="CX181" s="52"/>
      <c r="CY181" s="105"/>
      <c r="CZ181" s="98"/>
      <c r="DA181" s="279"/>
      <c r="DB181" s="52"/>
      <c r="DC181" s="105"/>
      <c r="DD181" s="98"/>
      <c r="DE181" s="279"/>
      <c r="DF181" s="52"/>
      <c r="DG181" s="105"/>
      <c r="DH181" s="98"/>
      <c r="DI181" s="279"/>
      <c r="DJ181" s="52"/>
      <c r="DK181" s="105"/>
      <c r="DL181" s="98"/>
      <c r="DM181" s="279"/>
      <c r="DN181" s="52"/>
      <c r="DO181" s="105"/>
      <c r="DP181" s="98"/>
      <c r="DQ181" s="279"/>
      <c r="DR181" s="52"/>
      <c r="DS181" s="105"/>
      <c r="DT181" s="98"/>
      <c r="DU181" s="279"/>
      <c r="DV181" s="52"/>
      <c r="DW181" s="105"/>
      <c r="DX181" s="98"/>
      <c r="DY181" s="279"/>
      <c r="DZ181" s="52"/>
      <c r="EA181" s="105"/>
      <c r="EB181" s="98"/>
      <c r="EC181" s="279"/>
      <c r="ED181" s="52"/>
      <c r="EE181" s="105"/>
      <c r="EF181" s="98"/>
      <c r="EG181" s="159"/>
      <c r="EH181" s="277"/>
      <c r="EI181" s="50">
        <f t="shared" si="78"/>
        <v>0</v>
      </c>
      <c r="EJ181" s="103">
        <f t="shared" si="79"/>
        <v>0</v>
      </c>
      <c r="EK181" s="164">
        <f t="shared" si="80"/>
        <v>0</v>
      </c>
      <c r="EL181" s="280">
        <f t="shared" si="81"/>
        <v>0</v>
      </c>
      <c r="EM181" s="63">
        <f t="shared" si="82"/>
        <v>0</v>
      </c>
      <c r="EN181" s="359">
        <f t="shared" si="83"/>
        <v>0</v>
      </c>
      <c r="EO181" s="51">
        <f t="shared" si="84"/>
        <v>0</v>
      </c>
      <c r="EP181" s="361">
        <f t="shared" si="85"/>
        <v>0</v>
      </c>
      <c r="EQ181" s="281"/>
      <c r="ER181" s="277"/>
      <c r="ES181" s="281"/>
      <c r="ET181" s="277"/>
      <c r="EU181" s="281"/>
      <c r="EV181" s="277"/>
      <c r="EW181" s="281"/>
      <c r="EX181" s="277"/>
      <c r="EY181" s="281"/>
      <c r="EZ181" s="277"/>
      <c r="FA181" s="281"/>
      <c r="FB181" s="277"/>
      <c r="FC181" s="281"/>
      <c r="FD181" s="277"/>
      <c r="FE181" s="281"/>
      <c r="FF181" s="277"/>
      <c r="FG181" s="281"/>
      <c r="FH181" s="277"/>
      <c r="FI181" s="281"/>
      <c r="FJ181" s="277"/>
      <c r="FK181" s="50">
        <f t="shared" si="86"/>
        <v>0</v>
      </c>
      <c r="FL181" s="63">
        <f t="shared" si="87"/>
        <v>0</v>
      </c>
      <c r="FM181" s="50">
        <f t="shared" si="69"/>
        <v>1385</v>
      </c>
      <c r="FN181" s="360">
        <f t="shared" si="70"/>
        <v>1650</v>
      </c>
      <c r="FO181" s="3"/>
      <c r="FP181" s="279"/>
      <c r="FQ181" s="52"/>
      <c r="FR181" s="296"/>
      <c r="FS181" s="98"/>
      <c r="FT181" s="467"/>
      <c r="FU181" s="52"/>
      <c r="FV181" s="296"/>
      <c r="FW181" s="98"/>
      <c r="FX181" s="467"/>
      <c r="FY181" s="52"/>
      <c r="FZ181" s="296"/>
      <c r="GA181" s="98"/>
      <c r="GB181" s="467"/>
      <c r="GC181" s="52"/>
      <c r="GD181" s="296"/>
      <c r="GE181" s="98"/>
      <c r="GF181" s="467"/>
      <c r="GG181" s="52"/>
      <c r="GH181" s="296"/>
      <c r="GI181" s="98"/>
      <c r="GJ181" s="467"/>
      <c r="GK181" s="52"/>
      <c r="GL181" s="296"/>
      <c r="GM181" s="464"/>
      <c r="GN181" s="467"/>
      <c r="GO181" s="52"/>
      <c r="GP181" s="296"/>
      <c r="GQ181" s="464"/>
      <c r="GR181" s="467"/>
      <c r="GS181" s="52"/>
      <c r="GT181" s="296"/>
      <c r="GU181" s="464"/>
      <c r="GV181" s="467"/>
      <c r="GW181" s="52"/>
      <c r="GX181" s="296"/>
      <c r="GY181" s="464"/>
      <c r="GZ181" s="467"/>
      <c r="HA181" s="52"/>
      <c r="HB181" s="296"/>
      <c r="HC181" s="3"/>
    </row>
    <row r="182" spans="1:211" s="86" customFormat="1">
      <c r="A182" s="487" t="s">
        <v>955</v>
      </c>
      <c r="B182" s="303" t="s">
        <v>977</v>
      </c>
      <c r="C182" s="302">
        <v>141006</v>
      </c>
      <c r="D182" s="340">
        <v>12</v>
      </c>
      <c r="E182" s="460">
        <v>819</v>
      </c>
      <c r="F182" s="277">
        <v>949</v>
      </c>
      <c r="G182" s="158">
        <v>85</v>
      </c>
      <c r="H182" s="277">
        <v>101</v>
      </c>
      <c r="I182" s="158">
        <v>64</v>
      </c>
      <c r="J182" s="277">
        <v>76</v>
      </c>
      <c r="K182" s="160">
        <f t="shared" si="71"/>
        <v>0</v>
      </c>
      <c r="L182" s="161">
        <f t="shared" si="64"/>
        <v>0</v>
      </c>
      <c r="M182" s="54"/>
      <c r="N182" s="55"/>
      <c r="O182" s="55"/>
      <c r="P182" s="55"/>
      <c r="Q182" s="162">
        <f t="shared" si="72"/>
        <v>0</v>
      </c>
      <c r="R182" s="277"/>
      <c r="S182" s="277"/>
      <c r="T182" s="277"/>
      <c r="U182" s="277"/>
      <c r="V182" s="97">
        <f t="shared" si="73"/>
        <v>0</v>
      </c>
      <c r="W182" s="279"/>
      <c r="X182" s="52"/>
      <c r="Y182" s="99"/>
      <c r="Z182" s="53"/>
      <c r="AA182" s="228"/>
      <c r="AB182" s="52"/>
      <c r="AC182" s="99"/>
      <c r="AD182" s="53"/>
      <c r="AE182" s="228"/>
      <c r="AF182" s="52"/>
      <c r="AG182" s="99"/>
      <c r="AH182" s="53"/>
      <c r="AI182" s="228"/>
      <c r="AJ182" s="52"/>
      <c r="AK182" s="99"/>
      <c r="AL182" s="53"/>
      <c r="AM182" s="228"/>
      <c r="AN182" s="52"/>
      <c r="AO182" s="99"/>
      <c r="AP182" s="53"/>
      <c r="AQ182" s="50">
        <f t="shared" si="65"/>
        <v>0</v>
      </c>
      <c r="AR182" s="163">
        <f t="shared" si="66"/>
        <v>0</v>
      </c>
      <c r="AS182" s="97">
        <f t="shared" si="67"/>
        <v>0</v>
      </c>
      <c r="AT182" s="278">
        <f t="shared" si="68"/>
        <v>0</v>
      </c>
      <c r="AU182" s="55"/>
      <c r="AV182" s="277"/>
      <c r="AW182" s="279"/>
      <c r="AX182" s="52"/>
      <c r="AY182" s="105"/>
      <c r="AZ182" s="98"/>
      <c r="BA182" s="279"/>
      <c r="BB182" s="52"/>
      <c r="BC182" s="105"/>
      <c r="BD182" s="98"/>
      <c r="BE182" s="279"/>
      <c r="BF182" s="52"/>
      <c r="BG182" s="105"/>
      <c r="BH182" s="98"/>
      <c r="BI182" s="279"/>
      <c r="BJ182" s="52"/>
      <c r="BK182" s="105"/>
      <c r="BL182" s="98"/>
      <c r="BM182" s="279"/>
      <c r="BN182" s="52"/>
      <c r="BO182" s="105"/>
      <c r="BP182" s="98"/>
      <c r="BQ182" s="279"/>
      <c r="BR182" s="52"/>
      <c r="BS182" s="105"/>
      <c r="BT182" s="98"/>
      <c r="BU182" s="279"/>
      <c r="BV182" s="52"/>
      <c r="BW182" s="105"/>
      <c r="BX182" s="98"/>
      <c r="BY182" s="279"/>
      <c r="BZ182" s="52"/>
      <c r="CA182" s="105"/>
      <c r="CB182" s="98"/>
      <c r="CC182" s="279"/>
      <c r="CD182" s="52"/>
      <c r="CE182" s="105"/>
      <c r="CF182" s="98"/>
      <c r="CG182" s="279"/>
      <c r="CH182" s="52"/>
      <c r="CI182" s="105"/>
      <c r="CJ182" s="98"/>
      <c r="CK182" s="281"/>
      <c r="CL182" s="277"/>
      <c r="CM182" s="159"/>
      <c r="CN182" s="277"/>
      <c r="CO182" s="50">
        <f t="shared" si="74"/>
        <v>0</v>
      </c>
      <c r="CP182" s="103">
        <f t="shared" si="75"/>
        <v>0</v>
      </c>
      <c r="CQ182" s="280">
        <f t="shared" si="76"/>
        <v>0</v>
      </c>
      <c r="CR182" s="63">
        <f t="shared" si="77"/>
        <v>0</v>
      </c>
      <c r="CS182" s="279"/>
      <c r="CT182" s="52"/>
      <c r="CU182" s="105"/>
      <c r="CV182" s="98"/>
      <c r="CW182" s="279"/>
      <c r="CX182" s="52"/>
      <c r="CY182" s="105"/>
      <c r="CZ182" s="98"/>
      <c r="DA182" s="279"/>
      <c r="DB182" s="52"/>
      <c r="DC182" s="105"/>
      <c r="DD182" s="98"/>
      <c r="DE182" s="279"/>
      <c r="DF182" s="52"/>
      <c r="DG182" s="105"/>
      <c r="DH182" s="98"/>
      <c r="DI182" s="279"/>
      <c r="DJ182" s="52"/>
      <c r="DK182" s="105"/>
      <c r="DL182" s="98"/>
      <c r="DM182" s="279"/>
      <c r="DN182" s="52"/>
      <c r="DO182" s="105"/>
      <c r="DP182" s="98"/>
      <c r="DQ182" s="279"/>
      <c r="DR182" s="52"/>
      <c r="DS182" s="105"/>
      <c r="DT182" s="98"/>
      <c r="DU182" s="279"/>
      <c r="DV182" s="52"/>
      <c r="DW182" s="105"/>
      <c r="DX182" s="98"/>
      <c r="DY182" s="279"/>
      <c r="DZ182" s="52"/>
      <c r="EA182" s="105"/>
      <c r="EB182" s="98"/>
      <c r="EC182" s="279"/>
      <c r="ED182" s="52"/>
      <c r="EE182" s="105"/>
      <c r="EF182" s="98"/>
      <c r="EG182" s="159"/>
      <c r="EH182" s="277"/>
      <c r="EI182" s="50">
        <f t="shared" si="78"/>
        <v>0</v>
      </c>
      <c r="EJ182" s="103">
        <f t="shared" si="79"/>
        <v>0</v>
      </c>
      <c r="EK182" s="164">
        <f t="shared" si="80"/>
        <v>0</v>
      </c>
      <c r="EL182" s="280">
        <f t="shared" si="81"/>
        <v>0</v>
      </c>
      <c r="EM182" s="63">
        <f t="shared" si="82"/>
        <v>0</v>
      </c>
      <c r="EN182" s="359">
        <f t="shared" si="83"/>
        <v>0</v>
      </c>
      <c r="EO182" s="51">
        <f t="shared" si="84"/>
        <v>0</v>
      </c>
      <c r="EP182" s="361">
        <f t="shared" si="85"/>
        <v>0</v>
      </c>
      <c r="EQ182" s="281"/>
      <c r="ER182" s="277"/>
      <c r="ES182" s="281"/>
      <c r="ET182" s="277"/>
      <c r="EU182" s="281"/>
      <c r="EV182" s="277"/>
      <c r="EW182" s="281"/>
      <c r="EX182" s="277"/>
      <c r="EY182" s="281"/>
      <c r="EZ182" s="277"/>
      <c r="FA182" s="281"/>
      <c r="FB182" s="277"/>
      <c r="FC182" s="281"/>
      <c r="FD182" s="277"/>
      <c r="FE182" s="281"/>
      <c r="FF182" s="277"/>
      <c r="FG182" s="281"/>
      <c r="FH182" s="277"/>
      <c r="FI182" s="281"/>
      <c r="FJ182" s="277"/>
      <c r="FK182" s="50">
        <f t="shared" si="86"/>
        <v>0</v>
      </c>
      <c r="FL182" s="63">
        <f t="shared" si="87"/>
        <v>0</v>
      </c>
      <c r="FM182" s="50">
        <f t="shared" si="69"/>
        <v>968</v>
      </c>
      <c r="FN182" s="360">
        <f t="shared" si="70"/>
        <v>1126</v>
      </c>
      <c r="FO182" s="3"/>
      <c r="FP182" s="279"/>
      <c r="FQ182" s="52"/>
      <c r="FR182" s="296"/>
      <c r="FS182" s="98"/>
      <c r="FT182" s="467"/>
      <c r="FU182" s="52"/>
      <c r="FV182" s="296"/>
      <c r="FW182" s="98"/>
      <c r="FX182" s="467"/>
      <c r="FY182" s="52"/>
      <c r="FZ182" s="296"/>
      <c r="GA182" s="98"/>
      <c r="GB182" s="467"/>
      <c r="GC182" s="52"/>
      <c r="GD182" s="296"/>
      <c r="GE182" s="98"/>
      <c r="GF182" s="467"/>
      <c r="GG182" s="52"/>
      <c r="GH182" s="296"/>
      <c r="GI182" s="98"/>
      <c r="GJ182" s="467"/>
      <c r="GK182" s="52"/>
      <c r="GL182" s="296"/>
      <c r="GM182" s="464"/>
      <c r="GN182" s="467"/>
      <c r="GO182" s="52"/>
      <c r="GP182" s="296"/>
      <c r="GQ182" s="464"/>
      <c r="GR182" s="467"/>
      <c r="GS182" s="52"/>
      <c r="GT182" s="296"/>
      <c r="GU182" s="464"/>
      <c r="GV182" s="467"/>
      <c r="GW182" s="52"/>
      <c r="GX182" s="296"/>
      <c r="GY182" s="464"/>
      <c r="GZ182" s="467"/>
      <c r="HA182" s="52"/>
      <c r="HB182" s="296"/>
      <c r="HC182" s="3"/>
    </row>
    <row r="183" spans="1:211" s="86" customFormat="1">
      <c r="A183" s="487" t="s">
        <v>955</v>
      </c>
      <c r="B183" s="303" t="s">
        <v>978</v>
      </c>
      <c r="C183" s="302">
        <v>368911</v>
      </c>
      <c r="D183" s="340">
        <v>12</v>
      </c>
      <c r="E183" s="460">
        <v>608</v>
      </c>
      <c r="F183" s="277">
        <v>691</v>
      </c>
      <c r="G183" s="158">
        <v>58</v>
      </c>
      <c r="H183" s="277">
        <v>63</v>
      </c>
      <c r="I183" s="158">
        <v>40</v>
      </c>
      <c r="J183" s="277">
        <v>42</v>
      </c>
      <c r="K183" s="160">
        <f t="shared" si="71"/>
        <v>0</v>
      </c>
      <c r="L183" s="161">
        <f t="shared" si="64"/>
        <v>0</v>
      </c>
      <c r="M183" s="54"/>
      <c r="N183" s="55"/>
      <c r="O183" s="55"/>
      <c r="P183" s="55"/>
      <c r="Q183" s="162">
        <f t="shared" si="72"/>
        <v>0</v>
      </c>
      <c r="R183" s="277"/>
      <c r="S183" s="277"/>
      <c r="T183" s="277"/>
      <c r="U183" s="277"/>
      <c r="V183" s="97">
        <f t="shared" si="73"/>
        <v>0</v>
      </c>
      <c r="W183" s="279"/>
      <c r="X183" s="52"/>
      <c r="Y183" s="99"/>
      <c r="Z183" s="53"/>
      <c r="AA183" s="228"/>
      <c r="AB183" s="52"/>
      <c r="AC183" s="99"/>
      <c r="AD183" s="53"/>
      <c r="AE183" s="228"/>
      <c r="AF183" s="52"/>
      <c r="AG183" s="99"/>
      <c r="AH183" s="53"/>
      <c r="AI183" s="228"/>
      <c r="AJ183" s="52"/>
      <c r="AK183" s="99"/>
      <c r="AL183" s="53"/>
      <c r="AM183" s="228"/>
      <c r="AN183" s="52"/>
      <c r="AO183" s="99"/>
      <c r="AP183" s="53"/>
      <c r="AQ183" s="50">
        <f t="shared" si="65"/>
        <v>0</v>
      </c>
      <c r="AR183" s="163">
        <f t="shared" si="66"/>
        <v>0</v>
      </c>
      <c r="AS183" s="97">
        <f t="shared" si="67"/>
        <v>0</v>
      </c>
      <c r="AT183" s="278">
        <f t="shared" si="68"/>
        <v>0</v>
      </c>
      <c r="AU183" s="55"/>
      <c r="AV183" s="277"/>
      <c r="AW183" s="279"/>
      <c r="AX183" s="52"/>
      <c r="AY183" s="105"/>
      <c r="AZ183" s="98"/>
      <c r="BA183" s="279"/>
      <c r="BB183" s="52"/>
      <c r="BC183" s="105"/>
      <c r="BD183" s="98"/>
      <c r="BE183" s="279"/>
      <c r="BF183" s="52"/>
      <c r="BG183" s="105"/>
      <c r="BH183" s="98"/>
      <c r="BI183" s="279"/>
      <c r="BJ183" s="52"/>
      <c r="BK183" s="105"/>
      <c r="BL183" s="98"/>
      <c r="BM183" s="279"/>
      <c r="BN183" s="52"/>
      <c r="BO183" s="105"/>
      <c r="BP183" s="98"/>
      <c r="BQ183" s="279"/>
      <c r="BR183" s="52"/>
      <c r="BS183" s="105"/>
      <c r="BT183" s="98"/>
      <c r="BU183" s="279"/>
      <c r="BV183" s="52"/>
      <c r="BW183" s="105"/>
      <c r="BX183" s="98"/>
      <c r="BY183" s="279"/>
      <c r="BZ183" s="52"/>
      <c r="CA183" s="105"/>
      <c r="CB183" s="98"/>
      <c r="CC183" s="279"/>
      <c r="CD183" s="52"/>
      <c r="CE183" s="105"/>
      <c r="CF183" s="98"/>
      <c r="CG183" s="279"/>
      <c r="CH183" s="52"/>
      <c r="CI183" s="105"/>
      <c r="CJ183" s="98"/>
      <c r="CK183" s="281"/>
      <c r="CL183" s="277"/>
      <c r="CM183" s="159"/>
      <c r="CN183" s="277"/>
      <c r="CO183" s="50">
        <f t="shared" si="74"/>
        <v>0</v>
      </c>
      <c r="CP183" s="103">
        <f t="shared" si="75"/>
        <v>0</v>
      </c>
      <c r="CQ183" s="280">
        <f t="shared" si="76"/>
        <v>0</v>
      </c>
      <c r="CR183" s="63">
        <f t="shared" si="77"/>
        <v>0</v>
      </c>
      <c r="CS183" s="279"/>
      <c r="CT183" s="52"/>
      <c r="CU183" s="105"/>
      <c r="CV183" s="98"/>
      <c r="CW183" s="279"/>
      <c r="CX183" s="52"/>
      <c r="CY183" s="105"/>
      <c r="CZ183" s="98"/>
      <c r="DA183" s="279"/>
      <c r="DB183" s="52"/>
      <c r="DC183" s="105"/>
      <c r="DD183" s="98"/>
      <c r="DE183" s="279"/>
      <c r="DF183" s="52"/>
      <c r="DG183" s="105"/>
      <c r="DH183" s="98"/>
      <c r="DI183" s="279"/>
      <c r="DJ183" s="52"/>
      <c r="DK183" s="105"/>
      <c r="DL183" s="98"/>
      <c r="DM183" s="279"/>
      <c r="DN183" s="52"/>
      <c r="DO183" s="105"/>
      <c r="DP183" s="98"/>
      <c r="DQ183" s="279"/>
      <c r="DR183" s="52"/>
      <c r="DS183" s="105"/>
      <c r="DT183" s="98"/>
      <c r="DU183" s="279"/>
      <c r="DV183" s="52"/>
      <c r="DW183" s="105"/>
      <c r="DX183" s="98"/>
      <c r="DY183" s="279"/>
      <c r="DZ183" s="52"/>
      <c r="EA183" s="105"/>
      <c r="EB183" s="98"/>
      <c r="EC183" s="279"/>
      <c r="ED183" s="52"/>
      <c r="EE183" s="105"/>
      <c r="EF183" s="98"/>
      <c r="EG183" s="159"/>
      <c r="EH183" s="277"/>
      <c r="EI183" s="50">
        <f t="shared" si="78"/>
        <v>0</v>
      </c>
      <c r="EJ183" s="103">
        <f t="shared" si="79"/>
        <v>0</v>
      </c>
      <c r="EK183" s="164">
        <f t="shared" si="80"/>
        <v>0</v>
      </c>
      <c r="EL183" s="280">
        <f t="shared" si="81"/>
        <v>0</v>
      </c>
      <c r="EM183" s="63">
        <f t="shared" si="82"/>
        <v>0</v>
      </c>
      <c r="EN183" s="359">
        <f t="shared" si="83"/>
        <v>0</v>
      </c>
      <c r="EO183" s="51">
        <f t="shared" si="84"/>
        <v>0</v>
      </c>
      <c r="EP183" s="361">
        <f t="shared" si="85"/>
        <v>0</v>
      </c>
      <c r="EQ183" s="281"/>
      <c r="ER183" s="277"/>
      <c r="ES183" s="281"/>
      <c r="ET183" s="277"/>
      <c r="EU183" s="281"/>
      <c r="EV183" s="277"/>
      <c r="EW183" s="281"/>
      <c r="EX183" s="277"/>
      <c r="EY183" s="281"/>
      <c r="EZ183" s="277"/>
      <c r="FA183" s="281"/>
      <c r="FB183" s="277"/>
      <c r="FC183" s="281"/>
      <c r="FD183" s="277"/>
      <c r="FE183" s="281"/>
      <c r="FF183" s="277"/>
      <c r="FG183" s="281"/>
      <c r="FH183" s="277"/>
      <c r="FI183" s="281"/>
      <c r="FJ183" s="277"/>
      <c r="FK183" s="50">
        <f t="shared" si="86"/>
        <v>0</v>
      </c>
      <c r="FL183" s="63">
        <f t="shared" si="87"/>
        <v>0</v>
      </c>
      <c r="FM183" s="50">
        <f t="shared" si="69"/>
        <v>706</v>
      </c>
      <c r="FN183" s="360">
        <f t="shared" si="70"/>
        <v>796</v>
      </c>
      <c r="FO183" s="3"/>
      <c r="FP183" s="279"/>
      <c r="FQ183" s="52"/>
      <c r="FR183" s="296"/>
      <c r="FS183" s="98"/>
      <c r="FT183" s="467"/>
      <c r="FU183" s="52"/>
      <c r="FV183" s="296"/>
      <c r="FW183" s="98"/>
      <c r="FX183" s="467"/>
      <c r="FY183" s="52"/>
      <c r="FZ183" s="296"/>
      <c r="GA183" s="98"/>
      <c r="GB183" s="467"/>
      <c r="GC183" s="52"/>
      <c r="GD183" s="296"/>
      <c r="GE183" s="98"/>
      <c r="GF183" s="467"/>
      <c r="GG183" s="52"/>
      <c r="GH183" s="296"/>
      <c r="GI183" s="98"/>
      <c r="GJ183" s="467"/>
      <c r="GK183" s="52"/>
      <c r="GL183" s="296"/>
      <c r="GM183" s="464"/>
      <c r="GN183" s="467"/>
      <c r="GO183" s="52"/>
      <c r="GP183" s="296"/>
      <c r="GQ183" s="464"/>
      <c r="GR183" s="467"/>
      <c r="GS183" s="52"/>
      <c r="GT183" s="296"/>
      <c r="GU183" s="464"/>
      <c r="GV183" s="467"/>
      <c r="GW183" s="52"/>
      <c r="GX183" s="296"/>
      <c r="GY183" s="464"/>
      <c r="GZ183" s="467"/>
      <c r="HA183" s="52"/>
      <c r="HB183" s="296"/>
      <c r="HC183" s="3"/>
    </row>
    <row r="184" spans="1:211" s="86" customFormat="1">
      <c r="A184" s="487" t="s">
        <v>955</v>
      </c>
      <c r="B184" s="303" t="s">
        <v>979</v>
      </c>
      <c r="C184" s="302">
        <v>141158</v>
      </c>
      <c r="D184" s="340">
        <v>12</v>
      </c>
      <c r="E184" s="460">
        <v>623</v>
      </c>
      <c r="F184" s="277">
        <v>717</v>
      </c>
      <c r="G184" s="158">
        <v>32</v>
      </c>
      <c r="H184" s="277">
        <v>17</v>
      </c>
      <c r="I184" s="158">
        <v>107</v>
      </c>
      <c r="J184" s="277">
        <v>88</v>
      </c>
      <c r="K184" s="160">
        <f t="shared" si="71"/>
        <v>0</v>
      </c>
      <c r="L184" s="161">
        <f t="shared" si="64"/>
        <v>0</v>
      </c>
      <c r="M184" s="54"/>
      <c r="N184" s="55"/>
      <c r="O184" s="55"/>
      <c r="P184" s="55"/>
      <c r="Q184" s="162">
        <f t="shared" si="72"/>
        <v>0</v>
      </c>
      <c r="R184" s="277"/>
      <c r="S184" s="277"/>
      <c r="T184" s="277"/>
      <c r="U184" s="277"/>
      <c r="V184" s="97">
        <f t="shared" si="73"/>
        <v>0</v>
      </c>
      <c r="W184" s="279"/>
      <c r="X184" s="52"/>
      <c r="Y184" s="99"/>
      <c r="Z184" s="53"/>
      <c r="AA184" s="228"/>
      <c r="AB184" s="52"/>
      <c r="AC184" s="99"/>
      <c r="AD184" s="53"/>
      <c r="AE184" s="228"/>
      <c r="AF184" s="52"/>
      <c r="AG184" s="99"/>
      <c r="AH184" s="53"/>
      <c r="AI184" s="228"/>
      <c r="AJ184" s="52"/>
      <c r="AK184" s="99"/>
      <c r="AL184" s="53"/>
      <c r="AM184" s="228"/>
      <c r="AN184" s="52"/>
      <c r="AO184" s="99"/>
      <c r="AP184" s="53"/>
      <c r="AQ184" s="50">
        <f t="shared" si="65"/>
        <v>0</v>
      </c>
      <c r="AR184" s="163">
        <f t="shared" si="66"/>
        <v>0</v>
      </c>
      <c r="AS184" s="97">
        <f t="shared" si="67"/>
        <v>0</v>
      </c>
      <c r="AT184" s="278">
        <f t="shared" si="68"/>
        <v>0</v>
      </c>
      <c r="AU184" s="55"/>
      <c r="AV184" s="277"/>
      <c r="AW184" s="279"/>
      <c r="AX184" s="52"/>
      <c r="AY184" s="105"/>
      <c r="AZ184" s="98"/>
      <c r="BA184" s="279"/>
      <c r="BB184" s="52"/>
      <c r="BC184" s="105"/>
      <c r="BD184" s="98"/>
      <c r="BE184" s="279"/>
      <c r="BF184" s="52"/>
      <c r="BG184" s="105"/>
      <c r="BH184" s="98"/>
      <c r="BI184" s="279"/>
      <c r="BJ184" s="52"/>
      <c r="BK184" s="105"/>
      <c r="BL184" s="98"/>
      <c r="BM184" s="279"/>
      <c r="BN184" s="52"/>
      <c r="BO184" s="105"/>
      <c r="BP184" s="98"/>
      <c r="BQ184" s="279"/>
      <c r="BR184" s="52"/>
      <c r="BS184" s="105"/>
      <c r="BT184" s="98"/>
      <c r="BU184" s="279"/>
      <c r="BV184" s="52"/>
      <c r="BW184" s="105"/>
      <c r="BX184" s="98"/>
      <c r="BY184" s="279"/>
      <c r="BZ184" s="52"/>
      <c r="CA184" s="105"/>
      <c r="CB184" s="98"/>
      <c r="CC184" s="279"/>
      <c r="CD184" s="52"/>
      <c r="CE184" s="105"/>
      <c r="CF184" s="98"/>
      <c r="CG184" s="279"/>
      <c r="CH184" s="52"/>
      <c r="CI184" s="105"/>
      <c r="CJ184" s="98"/>
      <c r="CK184" s="281"/>
      <c r="CL184" s="277"/>
      <c r="CM184" s="159"/>
      <c r="CN184" s="277"/>
      <c r="CO184" s="50">
        <f t="shared" si="74"/>
        <v>0</v>
      </c>
      <c r="CP184" s="103">
        <f t="shared" si="75"/>
        <v>0</v>
      </c>
      <c r="CQ184" s="280">
        <f t="shared" si="76"/>
        <v>0</v>
      </c>
      <c r="CR184" s="63">
        <f t="shared" si="77"/>
        <v>0</v>
      </c>
      <c r="CS184" s="279"/>
      <c r="CT184" s="52"/>
      <c r="CU184" s="105"/>
      <c r="CV184" s="98"/>
      <c r="CW184" s="279"/>
      <c r="CX184" s="52"/>
      <c r="CY184" s="105"/>
      <c r="CZ184" s="98"/>
      <c r="DA184" s="279"/>
      <c r="DB184" s="52"/>
      <c r="DC184" s="105"/>
      <c r="DD184" s="98"/>
      <c r="DE184" s="279"/>
      <c r="DF184" s="52"/>
      <c r="DG184" s="105"/>
      <c r="DH184" s="98"/>
      <c r="DI184" s="279"/>
      <c r="DJ184" s="52"/>
      <c r="DK184" s="105"/>
      <c r="DL184" s="98"/>
      <c r="DM184" s="279"/>
      <c r="DN184" s="52"/>
      <c r="DO184" s="105"/>
      <c r="DP184" s="98"/>
      <c r="DQ184" s="279"/>
      <c r="DR184" s="52"/>
      <c r="DS184" s="105"/>
      <c r="DT184" s="98"/>
      <c r="DU184" s="279"/>
      <c r="DV184" s="52"/>
      <c r="DW184" s="105"/>
      <c r="DX184" s="98"/>
      <c r="DY184" s="279"/>
      <c r="DZ184" s="52"/>
      <c r="EA184" s="105"/>
      <c r="EB184" s="98"/>
      <c r="EC184" s="279"/>
      <c r="ED184" s="52"/>
      <c r="EE184" s="105"/>
      <c r="EF184" s="98"/>
      <c r="EG184" s="159"/>
      <c r="EH184" s="277"/>
      <c r="EI184" s="50">
        <f t="shared" si="78"/>
        <v>0</v>
      </c>
      <c r="EJ184" s="103">
        <f t="shared" si="79"/>
        <v>0</v>
      </c>
      <c r="EK184" s="164">
        <f t="shared" si="80"/>
        <v>0</v>
      </c>
      <c r="EL184" s="280">
        <f t="shared" si="81"/>
        <v>0</v>
      </c>
      <c r="EM184" s="63">
        <f t="shared" si="82"/>
        <v>0</v>
      </c>
      <c r="EN184" s="359">
        <f t="shared" si="83"/>
        <v>0</v>
      </c>
      <c r="EO184" s="51">
        <f t="shared" si="84"/>
        <v>0</v>
      </c>
      <c r="EP184" s="361">
        <f t="shared" si="85"/>
        <v>0</v>
      </c>
      <c r="EQ184" s="281"/>
      <c r="ER184" s="277"/>
      <c r="ES184" s="281"/>
      <c r="ET184" s="277"/>
      <c r="EU184" s="281"/>
      <c r="EV184" s="277"/>
      <c r="EW184" s="281"/>
      <c r="EX184" s="277"/>
      <c r="EY184" s="281"/>
      <c r="EZ184" s="277"/>
      <c r="FA184" s="281"/>
      <c r="FB184" s="277"/>
      <c r="FC184" s="281"/>
      <c r="FD184" s="277"/>
      <c r="FE184" s="281"/>
      <c r="FF184" s="277"/>
      <c r="FG184" s="281"/>
      <c r="FH184" s="277"/>
      <c r="FI184" s="281"/>
      <c r="FJ184" s="277"/>
      <c r="FK184" s="50">
        <f t="shared" si="86"/>
        <v>0</v>
      </c>
      <c r="FL184" s="63">
        <f t="shared" si="87"/>
        <v>0</v>
      </c>
      <c r="FM184" s="50">
        <f t="shared" si="69"/>
        <v>762</v>
      </c>
      <c r="FN184" s="360">
        <f t="shared" si="70"/>
        <v>822</v>
      </c>
      <c r="FO184" s="3"/>
      <c r="FP184" s="279"/>
      <c r="FQ184" s="52"/>
      <c r="FR184" s="296"/>
      <c r="FS184" s="98"/>
      <c r="FT184" s="467"/>
      <c r="FU184" s="52"/>
      <c r="FV184" s="296"/>
      <c r="FW184" s="98"/>
      <c r="FX184" s="467"/>
      <c r="FY184" s="52"/>
      <c r="FZ184" s="296"/>
      <c r="GA184" s="98"/>
      <c r="GB184" s="467"/>
      <c r="GC184" s="52"/>
      <c r="GD184" s="296"/>
      <c r="GE184" s="98"/>
      <c r="GF184" s="467"/>
      <c r="GG184" s="52"/>
      <c r="GH184" s="296"/>
      <c r="GI184" s="98"/>
      <c r="GJ184" s="467"/>
      <c r="GK184" s="52"/>
      <c r="GL184" s="296"/>
      <c r="GM184" s="464"/>
      <c r="GN184" s="467"/>
      <c r="GO184" s="52"/>
      <c r="GP184" s="296"/>
      <c r="GQ184" s="464"/>
      <c r="GR184" s="467"/>
      <c r="GS184" s="52"/>
      <c r="GT184" s="296"/>
      <c r="GU184" s="464"/>
      <c r="GV184" s="467"/>
      <c r="GW184" s="52"/>
      <c r="GX184" s="296"/>
      <c r="GY184" s="464"/>
      <c r="GZ184" s="467"/>
      <c r="HA184" s="52"/>
      <c r="HB184" s="296"/>
      <c r="HC184" s="3"/>
    </row>
    <row r="185" spans="1:211" s="86" customFormat="1">
      <c r="A185" s="487" t="s">
        <v>955</v>
      </c>
      <c r="B185" s="303" t="s">
        <v>980</v>
      </c>
      <c r="C185" s="302">
        <v>141255</v>
      </c>
      <c r="D185" s="340">
        <v>12</v>
      </c>
      <c r="E185" s="460">
        <v>498</v>
      </c>
      <c r="F185" s="277">
        <v>622</v>
      </c>
      <c r="G185" s="158">
        <v>39</v>
      </c>
      <c r="H185" s="277">
        <v>34</v>
      </c>
      <c r="I185" s="158">
        <v>45</v>
      </c>
      <c r="J185" s="277">
        <v>94</v>
      </c>
      <c r="K185" s="160">
        <f t="shared" si="71"/>
        <v>0</v>
      </c>
      <c r="L185" s="161">
        <f t="shared" si="64"/>
        <v>0</v>
      </c>
      <c r="M185" s="54"/>
      <c r="N185" s="55"/>
      <c r="O185" s="55"/>
      <c r="P185" s="55"/>
      <c r="Q185" s="162">
        <f t="shared" si="72"/>
        <v>0</v>
      </c>
      <c r="R185" s="277"/>
      <c r="S185" s="277"/>
      <c r="T185" s="277"/>
      <c r="U185" s="277"/>
      <c r="V185" s="97">
        <f t="shared" si="73"/>
        <v>0</v>
      </c>
      <c r="W185" s="279"/>
      <c r="X185" s="52"/>
      <c r="Y185" s="99"/>
      <c r="Z185" s="53"/>
      <c r="AA185" s="228"/>
      <c r="AB185" s="52"/>
      <c r="AC185" s="99"/>
      <c r="AD185" s="53"/>
      <c r="AE185" s="228"/>
      <c r="AF185" s="52"/>
      <c r="AG185" s="99"/>
      <c r="AH185" s="53"/>
      <c r="AI185" s="228"/>
      <c r="AJ185" s="52"/>
      <c r="AK185" s="99"/>
      <c r="AL185" s="53"/>
      <c r="AM185" s="228"/>
      <c r="AN185" s="52"/>
      <c r="AO185" s="99"/>
      <c r="AP185" s="53"/>
      <c r="AQ185" s="50">
        <f t="shared" si="65"/>
        <v>0</v>
      </c>
      <c r="AR185" s="163">
        <f t="shared" si="66"/>
        <v>0</v>
      </c>
      <c r="AS185" s="97">
        <f t="shared" si="67"/>
        <v>0</v>
      </c>
      <c r="AT185" s="278">
        <f t="shared" si="68"/>
        <v>0</v>
      </c>
      <c r="AU185" s="55"/>
      <c r="AV185" s="277"/>
      <c r="AW185" s="279"/>
      <c r="AX185" s="52"/>
      <c r="AY185" s="105"/>
      <c r="AZ185" s="98"/>
      <c r="BA185" s="279"/>
      <c r="BB185" s="52"/>
      <c r="BC185" s="105"/>
      <c r="BD185" s="98"/>
      <c r="BE185" s="279"/>
      <c r="BF185" s="52"/>
      <c r="BG185" s="105"/>
      <c r="BH185" s="98"/>
      <c r="BI185" s="279"/>
      <c r="BJ185" s="52"/>
      <c r="BK185" s="105"/>
      <c r="BL185" s="98"/>
      <c r="BM185" s="279"/>
      <c r="BN185" s="52"/>
      <c r="BO185" s="105"/>
      <c r="BP185" s="98"/>
      <c r="BQ185" s="279"/>
      <c r="BR185" s="52"/>
      <c r="BS185" s="105"/>
      <c r="BT185" s="98"/>
      <c r="BU185" s="279"/>
      <c r="BV185" s="52"/>
      <c r="BW185" s="105"/>
      <c r="BX185" s="98"/>
      <c r="BY185" s="279"/>
      <c r="BZ185" s="52"/>
      <c r="CA185" s="105"/>
      <c r="CB185" s="98"/>
      <c r="CC185" s="279"/>
      <c r="CD185" s="52"/>
      <c r="CE185" s="105"/>
      <c r="CF185" s="98"/>
      <c r="CG185" s="279"/>
      <c r="CH185" s="52"/>
      <c r="CI185" s="105"/>
      <c r="CJ185" s="98"/>
      <c r="CK185" s="281"/>
      <c r="CL185" s="277"/>
      <c r="CM185" s="159"/>
      <c r="CN185" s="277"/>
      <c r="CO185" s="50">
        <f t="shared" si="74"/>
        <v>0</v>
      </c>
      <c r="CP185" s="103">
        <f t="shared" si="75"/>
        <v>0</v>
      </c>
      <c r="CQ185" s="280">
        <f t="shared" si="76"/>
        <v>0</v>
      </c>
      <c r="CR185" s="63">
        <f t="shared" si="77"/>
        <v>0</v>
      </c>
      <c r="CS185" s="279"/>
      <c r="CT185" s="52"/>
      <c r="CU185" s="105"/>
      <c r="CV185" s="98"/>
      <c r="CW185" s="279"/>
      <c r="CX185" s="52"/>
      <c r="CY185" s="105"/>
      <c r="CZ185" s="98"/>
      <c r="DA185" s="279"/>
      <c r="DB185" s="52"/>
      <c r="DC185" s="105"/>
      <c r="DD185" s="98"/>
      <c r="DE185" s="279"/>
      <c r="DF185" s="52"/>
      <c r="DG185" s="105"/>
      <c r="DH185" s="98"/>
      <c r="DI185" s="279"/>
      <c r="DJ185" s="52"/>
      <c r="DK185" s="105"/>
      <c r="DL185" s="98"/>
      <c r="DM185" s="279"/>
      <c r="DN185" s="52"/>
      <c r="DO185" s="105"/>
      <c r="DP185" s="98"/>
      <c r="DQ185" s="279"/>
      <c r="DR185" s="52"/>
      <c r="DS185" s="105"/>
      <c r="DT185" s="98"/>
      <c r="DU185" s="279"/>
      <c r="DV185" s="52"/>
      <c r="DW185" s="105"/>
      <c r="DX185" s="98"/>
      <c r="DY185" s="279"/>
      <c r="DZ185" s="52"/>
      <c r="EA185" s="105"/>
      <c r="EB185" s="98"/>
      <c r="EC185" s="279"/>
      <c r="ED185" s="52"/>
      <c r="EE185" s="105"/>
      <c r="EF185" s="98"/>
      <c r="EG185" s="159"/>
      <c r="EH185" s="277"/>
      <c r="EI185" s="50">
        <f t="shared" si="78"/>
        <v>0</v>
      </c>
      <c r="EJ185" s="103">
        <f t="shared" si="79"/>
        <v>0</v>
      </c>
      <c r="EK185" s="164">
        <f t="shared" si="80"/>
        <v>0</v>
      </c>
      <c r="EL185" s="280">
        <f t="shared" si="81"/>
        <v>0</v>
      </c>
      <c r="EM185" s="63">
        <f t="shared" si="82"/>
        <v>0</v>
      </c>
      <c r="EN185" s="359">
        <f t="shared" si="83"/>
        <v>0</v>
      </c>
      <c r="EO185" s="51">
        <f t="shared" si="84"/>
        <v>0</v>
      </c>
      <c r="EP185" s="361">
        <f t="shared" si="85"/>
        <v>0</v>
      </c>
      <c r="EQ185" s="281"/>
      <c r="ER185" s="277"/>
      <c r="ES185" s="281"/>
      <c r="ET185" s="277"/>
      <c r="EU185" s="281"/>
      <c r="EV185" s="277"/>
      <c r="EW185" s="281"/>
      <c r="EX185" s="277"/>
      <c r="EY185" s="281"/>
      <c r="EZ185" s="277"/>
      <c r="FA185" s="281"/>
      <c r="FB185" s="277"/>
      <c r="FC185" s="281"/>
      <c r="FD185" s="277"/>
      <c r="FE185" s="281"/>
      <c r="FF185" s="277"/>
      <c r="FG185" s="281"/>
      <c r="FH185" s="277"/>
      <c r="FI185" s="281"/>
      <c r="FJ185" s="277"/>
      <c r="FK185" s="50">
        <f t="shared" si="86"/>
        <v>0</v>
      </c>
      <c r="FL185" s="63">
        <f t="shared" si="87"/>
        <v>0</v>
      </c>
      <c r="FM185" s="50">
        <f t="shared" si="69"/>
        <v>582</v>
      </c>
      <c r="FN185" s="360">
        <f t="shared" si="70"/>
        <v>750</v>
      </c>
      <c r="FO185" s="3"/>
      <c r="FP185" s="279"/>
      <c r="FQ185" s="52"/>
      <c r="FR185" s="296"/>
      <c r="FS185" s="98"/>
      <c r="FT185" s="467"/>
      <c r="FU185" s="52"/>
      <c r="FV185" s="296"/>
      <c r="FW185" s="98"/>
      <c r="FX185" s="467"/>
      <c r="FY185" s="52"/>
      <c r="FZ185" s="296"/>
      <c r="GA185" s="98"/>
      <c r="GB185" s="467"/>
      <c r="GC185" s="52"/>
      <c r="GD185" s="296"/>
      <c r="GE185" s="98"/>
      <c r="GF185" s="467"/>
      <c r="GG185" s="52"/>
      <c r="GH185" s="296"/>
      <c r="GI185" s="98"/>
      <c r="GJ185" s="467"/>
      <c r="GK185" s="52"/>
      <c r="GL185" s="296"/>
      <c r="GM185" s="464"/>
      <c r="GN185" s="467"/>
      <c r="GO185" s="52"/>
      <c r="GP185" s="296"/>
      <c r="GQ185" s="464"/>
      <c r="GR185" s="467"/>
      <c r="GS185" s="52"/>
      <c r="GT185" s="296"/>
      <c r="GU185" s="464"/>
      <c r="GV185" s="467"/>
      <c r="GW185" s="52"/>
      <c r="GX185" s="296"/>
      <c r="GY185" s="464"/>
      <c r="GZ185" s="467"/>
      <c r="HA185" s="52"/>
      <c r="HB185" s="296"/>
      <c r="HC185" s="3"/>
    </row>
    <row r="186" spans="1:211" s="86" customFormat="1">
      <c r="A186" s="487" t="s">
        <v>955</v>
      </c>
      <c r="B186" s="303" t="s">
        <v>981</v>
      </c>
      <c r="C186" s="302">
        <v>139278</v>
      </c>
      <c r="D186" s="340">
        <v>12</v>
      </c>
      <c r="E186" s="460">
        <v>2065</v>
      </c>
      <c r="F186" s="277">
        <v>1734</v>
      </c>
      <c r="G186" s="158">
        <v>89</v>
      </c>
      <c r="H186" s="277">
        <v>87</v>
      </c>
      <c r="I186" s="158">
        <v>278</v>
      </c>
      <c r="J186" s="277">
        <v>232</v>
      </c>
      <c r="K186" s="160">
        <f t="shared" si="71"/>
        <v>0</v>
      </c>
      <c r="L186" s="161">
        <f t="shared" si="64"/>
        <v>0</v>
      </c>
      <c r="M186" s="54"/>
      <c r="N186" s="55"/>
      <c r="O186" s="55"/>
      <c r="P186" s="55"/>
      <c r="Q186" s="162">
        <f t="shared" si="72"/>
        <v>0</v>
      </c>
      <c r="R186" s="277"/>
      <c r="S186" s="277"/>
      <c r="T186" s="277"/>
      <c r="U186" s="277"/>
      <c r="V186" s="97">
        <f t="shared" si="73"/>
        <v>0</v>
      </c>
      <c r="W186" s="279"/>
      <c r="X186" s="52"/>
      <c r="Y186" s="99"/>
      <c r="Z186" s="53"/>
      <c r="AA186" s="228"/>
      <c r="AB186" s="52"/>
      <c r="AC186" s="99"/>
      <c r="AD186" s="53"/>
      <c r="AE186" s="228"/>
      <c r="AF186" s="52"/>
      <c r="AG186" s="99"/>
      <c r="AH186" s="53"/>
      <c r="AI186" s="228"/>
      <c r="AJ186" s="52"/>
      <c r="AK186" s="99"/>
      <c r="AL186" s="53"/>
      <c r="AM186" s="228"/>
      <c r="AN186" s="52"/>
      <c r="AO186" s="99"/>
      <c r="AP186" s="53"/>
      <c r="AQ186" s="50">
        <f t="shared" si="65"/>
        <v>0</v>
      </c>
      <c r="AR186" s="163">
        <f t="shared" si="66"/>
        <v>0</v>
      </c>
      <c r="AS186" s="97">
        <f t="shared" si="67"/>
        <v>0</v>
      </c>
      <c r="AT186" s="278">
        <f t="shared" si="68"/>
        <v>0</v>
      </c>
      <c r="AU186" s="55"/>
      <c r="AV186" s="277"/>
      <c r="AW186" s="279"/>
      <c r="AX186" s="52"/>
      <c r="AY186" s="105"/>
      <c r="AZ186" s="98"/>
      <c r="BA186" s="279"/>
      <c r="BB186" s="52"/>
      <c r="BC186" s="105"/>
      <c r="BD186" s="98"/>
      <c r="BE186" s="279"/>
      <c r="BF186" s="52"/>
      <c r="BG186" s="105"/>
      <c r="BH186" s="98"/>
      <c r="BI186" s="279"/>
      <c r="BJ186" s="52"/>
      <c r="BK186" s="105"/>
      <c r="BL186" s="98"/>
      <c r="BM186" s="279"/>
      <c r="BN186" s="52"/>
      <c r="BO186" s="105"/>
      <c r="BP186" s="98"/>
      <c r="BQ186" s="279"/>
      <c r="BR186" s="52"/>
      <c r="BS186" s="105"/>
      <c r="BT186" s="98"/>
      <c r="BU186" s="279"/>
      <c r="BV186" s="52"/>
      <c r="BW186" s="105"/>
      <c r="BX186" s="98"/>
      <c r="BY186" s="279"/>
      <c r="BZ186" s="52"/>
      <c r="CA186" s="105"/>
      <c r="CB186" s="98"/>
      <c r="CC186" s="279"/>
      <c r="CD186" s="52"/>
      <c r="CE186" s="105"/>
      <c r="CF186" s="98"/>
      <c r="CG186" s="279"/>
      <c r="CH186" s="52"/>
      <c r="CI186" s="105"/>
      <c r="CJ186" s="98"/>
      <c r="CK186" s="281"/>
      <c r="CL186" s="277"/>
      <c r="CM186" s="159"/>
      <c r="CN186" s="277"/>
      <c r="CO186" s="50">
        <f t="shared" si="74"/>
        <v>0</v>
      </c>
      <c r="CP186" s="103">
        <f t="shared" si="75"/>
        <v>0</v>
      </c>
      <c r="CQ186" s="280">
        <f t="shared" si="76"/>
        <v>0</v>
      </c>
      <c r="CR186" s="63">
        <f t="shared" si="77"/>
        <v>0</v>
      </c>
      <c r="CS186" s="279"/>
      <c r="CT186" s="52"/>
      <c r="CU186" s="105"/>
      <c r="CV186" s="98"/>
      <c r="CW186" s="279"/>
      <c r="CX186" s="52"/>
      <c r="CY186" s="105"/>
      <c r="CZ186" s="98"/>
      <c r="DA186" s="279"/>
      <c r="DB186" s="52"/>
      <c r="DC186" s="105"/>
      <c r="DD186" s="98"/>
      <c r="DE186" s="279"/>
      <c r="DF186" s="52"/>
      <c r="DG186" s="105"/>
      <c r="DH186" s="98"/>
      <c r="DI186" s="279"/>
      <c r="DJ186" s="52"/>
      <c r="DK186" s="105"/>
      <c r="DL186" s="98"/>
      <c r="DM186" s="279"/>
      <c r="DN186" s="52"/>
      <c r="DO186" s="105"/>
      <c r="DP186" s="98"/>
      <c r="DQ186" s="279"/>
      <c r="DR186" s="52"/>
      <c r="DS186" s="105"/>
      <c r="DT186" s="98"/>
      <c r="DU186" s="279"/>
      <c r="DV186" s="52"/>
      <c r="DW186" s="105"/>
      <c r="DX186" s="98"/>
      <c r="DY186" s="279"/>
      <c r="DZ186" s="52"/>
      <c r="EA186" s="105"/>
      <c r="EB186" s="98"/>
      <c r="EC186" s="279"/>
      <c r="ED186" s="52"/>
      <c r="EE186" s="105"/>
      <c r="EF186" s="98"/>
      <c r="EG186" s="159"/>
      <c r="EH186" s="277"/>
      <c r="EI186" s="50">
        <f t="shared" si="78"/>
        <v>0</v>
      </c>
      <c r="EJ186" s="103">
        <f t="shared" si="79"/>
        <v>0</v>
      </c>
      <c r="EK186" s="164">
        <f t="shared" si="80"/>
        <v>0</v>
      </c>
      <c r="EL186" s="280">
        <f t="shared" si="81"/>
        <v>0</v>
      </c>
      <c r="EM186" s="63">
        <f t="shared" si="82"/>
        <v>0</v>
      </c>
      <c r="EN186" s="359">
        <f t="shared" si="83"/>
        <v>0</v>
      </c>
      <c r="EO186" s="51">
        <f t="shared" si="84"/>
        <v>0</v>
      </c>
      <c r="EP186" s="361">
        <f t="shared" si="85"/>
        <v>0</v>
      </c>
      <c r="EQ186" s="281"/>
      <c r="ER186" s="277"/>
      <c r="ES186" s="281"/>
      <c r="ET186" s="277"/>
      <c r="EU186" s="281"/>
      <c r="EV186" s="277"/>
      <c r="EW186" s="281"/>
      <c r="EX186" s="277"/>
      <c r="EY186" s="281"/>
      <c r="EZ186" s="277"/>
      <c r="FA186" s="281"/>
      <c r="FB186" s="277"/>
      <c r="FC186" s="281"/>
      <c r="FD186" s="277"/>
      <c r="FE186" s="281"/>
      <c r="FF186" s="277"/>
      <c r="FG186" s="281"/>
      <c r="FH186" s="277"/>
      <c r="FI186" s="281"/>
      <c r="FJ186" s="277"/>
      <c r="FK186" s="50">
        <f t="shared" si="86"/>
        <v>0</v>
      </c>
      <c r="FL186" s="63">
        <f t="shared" si="87"/>
        <v>0</v>
      </c>
      <c r="FM186" s="50">
        <f t="shared" si="69"/>
        <v>2432</v>
      </c>
      <c r="FN186" s="360">
        <f t="shared" si="70"/>
        <v>2053</v>
      </c>
      <c r="FO186" s="3"/>
      <c r="FP186" s="279"/>
      <c r="FQ186" s="52"/>
      <c r="FR186" s="296"/>
      <c r="FS186" s="98"/>
      <c r="FT186" s="467"/>
      <c r="FU186" s="52"/>
      <c r="FV186" s="296"/>
      <c r="FW186" s="98"/>
      <c r="FX186" s="467"/>
      <c r="FY186" s="52"/>
      <c r="FZ186" s="296"/>
      <c r="GA186" s="98"/>
      <c r="GB186" s="467"/>
      <c r="GC186" s="52"/>
      <c r="GD186" s="296"/>
      <c r="GE186" s="98"/>
      <c r="GF186" s="467"/>
      <c r="GG186" s="52"/>
      <c r="GH186" s="296"/>
      <c r="GI186" s="98"/>
      <c r="GJ186" s="467"/>
      <c r="GK186" s="52"/>
      <c r="GL186" s="296"/>
      <c r="GM186" s="464"/>
      <c r="GN186" s="467"/>
      <c r="GO186" s="52"/>
      <c r="GP186" s="296"/>
      <c r="GQ186" s="464"/>
      <c r="GR186" s="467"/>
      <c r="GS186" s="52"/>
      <c r="GT186" s="296"/>
      <c r="GU186" s="464"/>
      <c r="GV186" s="467"/>
      <c r="GW186" s="52"/>
      <c r="GX186" s="296"/>
      <c r="GY186" s="464"/>
      <c r="GZ186" s="467"/>
      <c r="HA186" s="52"/>
      <c r="HB186" s="296"/>
      <c r="HC186" s="3"/>
    </row>
    <row r="187" spans="1:211" s="86" customFormat="1">
      <c r="A187" s="488" t="s">
        <v>955</v>
      </c>
      <c r="B187" s="362" t="s">
        <v>957</v>
      </c>
      <c r="C187" s="305">
        <v>366447</v>
      </c>
      <c r="D187" s="348">
        <v>13</v>
      </c>
      <c r="E187" s="460">
        <v>514</v>
      </c>
      <c r="F187" s="277">
        <v>523</v>
      </c>
      <c r="G187" s="158">
        <v>44</v>
      </c>
      <c r="H187" s="277">
        <v>49</v>
      </c>
      <c r="I187" s="158">
        <v>5</v>
      </c>
      <c r="J187" s="277">
        <v>5</v>
      </c>
      <c r="K187" s="160">
        <f t="shared" si="71"/>
        <v>0</v>
      </c>
      <c r="L187" s="161">
        <f t="shared" si="64"/>
        <v>0</v>
      </c>
      <c r="M187" s="54"/>
      <c r="N187" s="55"/>
      <c r="O187" s="55"/>
      <c r="P187" s="55"/>
      <c r="Q187" s="162">
        <f t="shared" si="72"/>
        <v>0</v>
      </c>
      <c r="R187" s="277"/>
      <c r="S187" s="277"/>
      <c r="T187" s="277"/>
      <c r="U187" s="277"/>
      <c r="V187" s="97">
        <f t="shared" si="73"/>
        <v>0</v>
      </c>
      <c r="W187" s="279"/>
      <c r="X187" s="52"/>
      <c r="Y187" s="99"/>
      <c r="Z187" s="53"/>
      <c r="AA187" s="228"/>
      <c r="AB187" s="52"/>
      <c r="AC187" s="99"/>
      <c r="AD187" s="53"/>
      <c r="AE187" s="228"/>
      <c r="AF187" s="52"/>
      <c r="AG187" s="99"/>
      <c r="AH187" s="53"/>
      <c r="AI187" s="228"/>
      <c r="AJ187" s="52"/>
      <c r="AK187" s="99"/>
      <c r="AL187" s="53"/>
      <c r="AM187" s="228"/>
      <c r="AN187" s="52"/>
      <c r="AO187" s="99"/>
      <c r="AP187" s="53"/>
      <c r="AQ187" s="50">
        <f t="shared" si="65"/>
        <v>0</v>
      </c>
      <c r="AR187" s="163">
        <f t="shared" si="66"/>
        <v>0</v>
      </c>
      <c r="AS187" s="97">
        <f t="shared" si="67"/>
        <v>0</v>
      </c>
      <c r="AT187" s="278">
        <f t="shared" si="68"/>
        <v>0</v>
      </c>
      <c r="AU187" s="55"/>
      <c r="AV187" s="277"/>
      <c r="AW187" s="279"/>
      <c r="AX187" s="52"/>
      <c r="AY187" s="105"/>
      <c r="AZ187" s="98"/>
      <c r="BA187" s="279"/>
      <c r="BB187" s="52"/>
      <c r="BC187" s="105"/>
      <c r="BD187" s="98"/>
      <c r="BE187" s="279"/>
      <c r="BF187" s="52"/>
      <c r="BG187" s="105"/>
      <c r="BH187" s="98"/>
      <c r="BI187" s="279"/>
      <c r="BJ187" s="52"/>
      <c r="BK187" s="105"/>
      <c r="BL187" s="98"/>
      <c r="BM187" s="279"/>
      <c r="BN187" s="52"/>
      <c r="BO187" s="105"/>
      <c r="BP187" s="98"/>
      <c r="BQ187" s="279"/>
      <c r="BR187" s="52"/>
      <c r="BS187" s="105"/>
      <c r="BT187" s="98"/>
      <c r="BU187" s="279"/>
      <c r="BV187" s="52"/>
      <c r="BW187" s="105"/>
      <c r="BX187" s="98"/>
      <c r="BY187" s="279"/>
      <c r="BZ187" s="52"/>
      <c r="CA187" s="105"/>
      <c r="CB187" s="98"/>
      <c r="CC187" s="279"/>
      <c r="CD187" s="52"/>
      <c r="CE187" s="105"/>
      <c r="CF187" s="98"/>
      <c r="CG187" s="279"/>
      <c r="CH187" s="52"/>
      <c r="CI187" s="105"/>
      <c r="CJ187" s="98"/>
      <c r="CK187" s="281"/>
      <c r="CL187" s="277"/>
      <c r="CM187" s="159"/>
      <c r="CN187" s="277"/>
      <c r="CO187" s="50">
        <f t="shared" si="74"/>
        <v>0</v>
      </c>
      <c r="CP187" s="103">
        <f t="shared" si="75"/>
        <v>0</v>
      </c>
      <c r="CQ187" s="280">
        <f t="shared" si="76"/>
        <v>0</v>
      </c>
      <c r="CR187" s="63">
        <f t="shared" si="77"/>
        <v>0</v>
      </c>
      <c r="CS187" s="279"/>
      <c r="CT187" s="52"/>
      <c r="CU187" s="105"/>
      <c r="CV187" s="98"/>
      <c r="CW187" s="279"/>
      <c r="CX187" s="52"/>
      <c r="CY187" s="105"/>
      <c r="CZ187" s="98"/>
      <c r="DA187" s="279"/>
      <c r="DB187" s="52"/>
      <c r="DC187" s="105"/>
      <c r="DD187" s="98"/>
      <c r="DE187" s="279"/>
      <c r="DF187" s="52"/>
      <c r="DG187" s="105"/>
      <c r="DH187" s="98"/>
      <c r="DI187" s="279"/>
      <c r="DJ187" s="52"/>
      <c r="DK187" s="105"/>
      <c r="DL187" s="98"/>
      <c r="DM187" s="279"/>
      <c r="DN187" s="52"/>
      <c r="DO187" s="105"/>
      <c r="DP187" s="98"/>
      <c r="DQ187" s="279"/>
      <c r="DR187" s="52"/>
      <c r="DS187" s="105"/>
      <c r="DT187" s="98"/>
      <c r="DU187" s="279"/>
      <c r="DV187" s="52"/>
      <c r="DW187" s="105"/>
      <c r="DX187" s="98"/>
      <c r="DY187" s="279"/>
      <c r="DZ187" s="52"/>
      <c r="EA187" s="105"/>
      <c r="EB187" s="98"/>
      <c r="EC187" s="279"/>
      <c r="ED187" s="52"/>
      <c r="EE187" s="105"/>
      <c r="EF187" s="98"/>
      <c r="EG187" s="159"/>
      <c r="EH187" s="277"/>
      <c r="EI187" s="50">
        <f t="shared" si="78"/>
        <v>0</v>
      </c>
      <c r="EJ187" s="103">
        <f t="shared" si="79"/>
        <v>0</v>
      </c>
      <c r="EK187" s="164">
        <f t="shared" si="80"/>
        <v>0</v>
      </c>
      <c r="EL187" s="280">
        <f t="shared" si="81"/>
        <v>0</v>
      </c>
      <c r="EM187" s="63">
        <f t="shared" si="82"/>
        <v>0</v>
      </c>
      <c r="EN187" s="359">
        <f t="shared" si="83"/>
        <v>0</v>
      </c>
      <c r="EO187" s="51">
        <f t="shared" si="84"/>
        <v>0</v>
      </c>
      <c r="EP187" s="361">
        <f t="shared" si="85"/>
        <v>0</v>
      </c>
      <c r="EQ187" s="281"/>
      <c r="ER187" s="277"/>
      <c r="ES187" s="281"/>
      <c r="ET187" s="277"/>
      <c r="EU187" s="281"/>
      <c r="EV187" s="277"/>
      <c r="EW187" s="281"/>
      <c r="EX187" s="277"/>
      <c r="EY187" s="281"/>
      <c r="EZ187" s="277"/>
      <c r="FA187" s="281"/>
      <c r="FB187" s="277"/>
      <c r="FC187" s="281"/>
      <c r="FD187" s="277"/>
      <c r="FE187" s="281"/>
      <c r="FF187" s="277"/>
      <c r="FG187" s="281"/>
      <c r="FH187" s="277"/>
      <c r="FI187" s="281"/>
      <c r="FJ187" s="277"/>
      <c r="FK187" s="50">
        <f t="shared" si="86"/>
        <v>0</v>
      </c>
      <c r="FL187" s="63">
        <f t="shared" si="87"/>
        <v>0</v>
      </c>
      <c r="FM187" s="50">
        <f t="shared" si="69"/>
        <v>563</v>
      </c>
      <c r="FN187" s="360">
        <f t="shared" si="70"/>
        <v>577</v>
      </c>
      <c r="FO187" s="3"/>
      <c r="FP187" s="279"/>
      <c r="FQ187" s="52"/>
      <c r="FR187" s="296"/>
      <c r="FS187" s="98"/>
      <c r="FT187" s="467"/>
      <c r="FU187" s="52"/>
      <c r="FV187" s="296"/>
      <c r="FW187" s="98"/>
      <c r="FX187" s="467"/>
      <c r="FY187" s="52"/>
      <c r="FZ187" s="296"/>
      <c r="GA187" s="98"/>
      <c r="GB187" s="467"/>
      <c r="GC187" s="52"/>
      <c r="GD187" s="296"/>
      <c r="GE187" s="98"/>
      <c r="GF187" s="467"/>
      <c r="GG187" s="52"/>
      <c r="GH187" s="296"/>
      <c r="GI187" s="98"/>
      <c r="GJ187" s="467"/>
      <c r="GK187" s="52"/>
      <c r="GL187" s="296"/>
      <c r="GM187" s="464"/>
      <c r="GN187" s="467"/>
      <c r="GO187" s="52"/>
      <c r="GP187" s="296"/>
      <c r="GQ187" s="464"/>
      <c r="GR187" s="467"/>
      <c r="GS187" s="52"/>
      <c r="GT187" s="296"/>
      <c r="GU187" s="464"/>
      <c r="GV187" s="467"/>
      <c r="GW187" s="52"/>
      <c r="GX187" s="296"/>
      <c r="GY187" s="464"/>
      <c r="GZ187" s="467"/>
      <c r="HA187" s="52"/>
      <c r="HB187" s="296"/>
      <c r="HC187" s="3"/>
    </row>
    <row r="188" spans="1:211" s="86" customFormat="1">
      <c r="A188" s="488" t="s">
        <v>955</v>
      </c>
      <c r="B188" s="362" t="s">
        <v>966</v>
      </c>
      <c r="C188" s="305">
        <v>248794</v>
      </c>
      <c r="D188" s="348">
        <v>13</v>
      </c>
      <c r="E188" s="460">
        <v>604</v>
      </c>
      <c r="F188" s="277">
        <v>532</v>
      </c>
      <c r="G188" s="158">
        <v>51</v>
      </c>
      <c r="H188" s="277">
        <v>43</v>
      </c>
      <c r="I188" s="158">
        <v>19</v>
      </c>
      <c r="J188" s="277">
        <v>21</v>
      </c>
      <c r="K188" s="160">
        <f t="shared" si="71"/>
        <v>0</v>
      </c>
      <c r="L188" s="161">
        <f t="shared" si="64"/>
        <v>0</v>
      </c>
      <c r="M188" s="54"/>
      <c r="N188" s="55"/>
      <c r="O188" s="55"/>
      <c r="P188" s="55"/>
      <c r="Q188" s="162">
        <f t="shared" si="72"/>
        <v>0</v>
      </c>
      <c r="R188" s="277"/>
      <c r="S188" s="277"/>
      <c r="T188" s="277"/>
      <c r="U188" s="277"/>
      <c r="V188" s="97">
        <f t="shared" si="73"/>
        <v>0</v>
      </c>
      <c r="W188" s="279"/>
      <c r="X188" s="52"/>
      <c r="Y188" s="99"/>
      <c r="Z188" s="53"/>
      <c r="AA188" s="228"/>
      <c r="AB188" s="52"/>
      <c r="AC188" s="99"/>
      <c r="AD188" s="53"/>
      <c r="AE188" s="228"/>
      <c r="AF188" s="52"/>
      <c r="AG188" s="99"/>
      <c r="AH188" s="53"/>
      <c r="AI188" s="228"/>
      <c r="AJ188" s="52"/>
      <c r="AK188" s="99"/>
      <c r="AL188" s="53"/>
      <c r="AM188" s="228"/>
      <c r="AN188" s="52"/>
      <c r="AO188" s="99"/>
      <c r="AP188" s="53"/>
      <c r="AQ188" s="50">
        <f t="shared" si="65"/>
        <v>0</v>
      </c>
      <c r="AR188" s="163">
        <f t="shared" si="66"/>
        <v>0</v>
      </c>
      <c r="AS188" s="97">
        <f t="shared" si="67"/>
        <v>0</v>
      </c>
      <c r="AT188" s="278">
        <f t="shared" si="68"/>
        <v>0</v>
      </c>
      <c r="AU188" s="55"/>
      <c r="AV188" s="277"/>
      <c r="AW188" s="279"/>
      <c r="AX188" s="52"/>
      <c r="AY188" s="105"/>
      <c r="AZ188" s="98"/>
      <c r="BA188" s="279"/>
      <c r="BB188" s="52"/>
      <c r="BC188" s="105"/>
      <c r="BD188" s="98"/>
      <c r="BE188" s="279"/>
      <c r="BF188" s="52"/>
      <c r="BG188" s="105"/>
      <c r="BH188" s="98"/>
      <c r="BI188" s="279"/>
      <c r="BJ188" s="52"/>
      <c r="BK188" s="105"/>
      <c r="BL188" s="98"/>
      <c r="BM188" s="279"/>
      <c r="BN188" s="52"/>
      <c r="BO188" s="105"/>
      <c r="BP188" s="98"/>
      <c r="BQ188" s="279"/>
      <c r="BR188" s="52"/>
      <c r="BS188" s="105"/>
      <c r="BT188" s="98"/>
      <c r="BU188" s="279"/>
      <c r="BV188" s="52"/>
      <c r="BW188" s="105"/>
      <c r="BX188" s="98"/>
      <c r="BY188" s="279"/>
      <c r="BZ188" s="52"/>
      <c r="CA188" s="105"/>
      <c r="CB188" s="98"/>
      <c r="CC188" s="279"/>
      <c r="CD188" s="52"/>
      <c r="CE188" s="105"/>
      <c r="CF188" s="98"/>
      <c r="CG188" s="279"/>
      <c r="CH188" s="52"/>
      <c r="CI188" s="105"/>
      <c r="CJ188" s="98"/>
      <c r="CK188" s="281"/>
      <c r="CL188" s="277"/>
      <c r="CM188" s="159"/>
      <c r="CN188" s="277"/>
      <c r="CO188" s="50">
        <f t="shared" si="74"/>
        <v>0</v>
      </c>
      <c r="CP188" s="103">
        <f t="shared" si="75"/>
        <v>0</v>
      </c>
      <c r="CQ188" s="280">
        <f t="shared" si="76"/>
        <v>0</v>
      </c>
      <c r="CR188" s="63">
        <f t="shared" si="77"/>
        <v>0</v>
      </c>
      <c r="CS188" s="279"/>
      <c r="CT188" s="52"/>
      <c r="CU188" s="105"/>
      <c r="CV188" s="98"/>
      <c r="CW188" s="279"/>
      <c r="CX188" s="52"/>
      <c r="CY188" s="105"/>
      <c r="CZ188" s="98"/>
      <c r="DA188" s="279"/>
      <c r="DB188" s="52"/>
      <c r="DC188" s="105"/>
      <c r="DD188" s="98"/>
      <c r="DE188" s="279"/>
      <c r="DF188" s="52"/>
      <c r="DG188" s="105"/>
      <c r="DH188" s="98"/>
      <c r="DI188" s="279"/>
      <c r="DJ188" s="52"/>
      <c r="DK188" s="105"/>
      <c r="DL188" s="98"/>
      <c r="DM188" s="279"/>
      <c r="DN188" s="52"/>
      <c r="DO188" s="105"/>
      <c r="DP188" s="98"/>
      <c r="DQ188" s="279"/>
      <c r="DR188" s="52"/>
      <c r="DS188" s="105"/>
      <c r="DT188" s="98"/>
      <c r="DU188" s="279"/>
      <c r="DV188" s="52"/>
      <c r="DW188" s="105"/>
      <c r="DX188" s="98"/>
      <c r="DY188" s="279"/>
      <c r="DZ188" s="52"/>
      <c r="EA188" s="105"/>
      <c r="EB188" s="98"/>
      <c r="EC188" s="279"/>
      <c r="ED188" s="52"/>
      <c r="EE188" s="105"/>
      <c r="EF188" s="98"/>
      <c r="EG188" s="159"/>
      <c r="EH188" s="277"/>
      <c r="EI188" s="50">
        <f t="shared" si="78"/>
        <v>0</v>
      </c>
      <c r="EJ188" s="103">
        <f t="shared" si="79"/>
        <v>0</v>
      </c>
      <c r="EK188" s="164">
        <f t="shared" si="80"/>
        <v>0</v>
      </c>
      <c r="EL188" s="280">
        <f t="shared" si="81"/>
        <v>0</v>
      </c>
      <c r="EM188" s="63">
        <f t="shared" si="82"/>
        <v>0</v>
      </c>
      <c r="EN188" s="359">
        <f t="shared" si="83"/>
        <v>0</v>
      </c>
      <c r="EO188" s="51">
        <f t="shared" si="84"/>
        <v>0</v>
      </c>
      <c r="EP188" s="361">
        <f t="shared" si="85"/>
        <v>0</v>
      </c>
      <c r="EQ188" s="281"/>
      <c r="ER188" s="277"/>
      <c r="ES188" s="281"/>
      <c r="ET188" s="277"/>
      <c r="EU188" s="281"/>
      <c r="EV188" s="277"/>
      <c r="EW188" s="281"/>
      <c r="EX188" s="277"/>
      <c r="EY188" s="281"/>
      <c r="EZ188" s="277"/>
      <c r="FA188" s="281"/>
      <c r="FB188" s="277"/>
      <c r="FC188" s="281"/>
      <c r="FD188" s="277"/>
      <c r="FE188" s="281"/>
      <c r="FF188" s="277"/>
      <c r="FG188" s="281"/>
      <c r="FH188" s="277"/>
      <c r="FI188" s="281"/>
      <c r="FJ188" s="277"/>
      <c r="FK188" s="50">
        <f t="shared" si="86"/>
        <v>0</v>
      </c>
      <c r="FL188" s="63">
        <f t="shared" si="87"/>
        <v>0</v>
      </c>
      <c r="FM188" s="50">
        <f t="shared" si="69"/>
        <v>674</v>
      </c>
      <c r="FN188" s="360">
        <f t="shared" si="70"/>
        <v>596</v>
      </c>
      <c r="FO188" s="3"/>
      <c r="FP188" s="279"/>
      <c r="FQ188" s="52"/>
      <c r="FR188" s="296"/>
      <c r="FS188" s="98"/>
      <c r="FT188" s="467"/>
      <c r="FU188" s="52"/>
      <c r="FV188" s="296"/>
      <c r="FW188" s="98"/>
      <c r="FX188" s="467"/>
      <c r="FY188" s="52"/>
      <c r="FZ188" s="296"/>
      <c r="GA188" s="98"/>
      <c r="GB188" s="467"/>
      <c r="GC188" s="52"/>
      <c r="GD188" s="296"/>
      <c r="GE188" s="98"/>
      <c r="GF188" s="467"/>
      <c r="GG188" s="52"/>
      <c r="GH188" s="296"/>
      <c r="GI188" s="98"/>
      <c r="GJ188" s="467"/>
      <c r="GK188" s="52"/>
      <c r="GL188" s="296"/>
      <c r="GM188" s="464"/>
      <c r="GN188" s="467"/>
      <c r="GO188" s="52"/>
      <c r="GP188" s="296"/>
      <c r="GQ188" s="464"/>
      <c r="GR188" s="467"/>
      <c r="GS188" s="52"/>
      <c r="GT188" s="296"/>
      <c r="GU188" s="464"/>
      <c r="GV188" s="467"/>
      <c r="GW188" s="52"/>
      <c r="GX188" s="296"/>
      <c r="GY188" s="464"/>
      <c r="GZ188" s="467"/>
      <c r="HA188" s="52"/>
      <c r="HB188" s="296"/>
      <c r="HC188" s="3"/>
    </row>
    <row r="189" spans="1:211" s="86" customFormat="1">
      <c r="A189" s="487" t="s">
        <v>955</v>
      </c>
      <c r="B189" s="367" t="s">
        <v>982</v>
      </c>
      <c r="C189" s="302">
        <v>420431</v>
      </c>
      <c r="D189" s="340">
        <v>13</v>
      </c>
      <c r="E189" s="460">
        <v>586</v>
      </c>
      <c r="F189" s="277">
        <v>633</v>
      </c>
      <c r="G189" s="158">
        <v>19</v>
      </c>
      <c r="H189" s="277">
        <v>22</v>
      </c>
      <c r="I189" s="158">
        <v>31</v>
      </c>
      <c r="J189" s="277">
        <v>39</v>
      </c>
      <c r="K189" s="160">
        <f t="shared" si="71"/>
        <v>0</v>
      </c>
      <c r="L189" s="161">
        <f t="shared" si="64"/>
        <v>0</v>
      </c>
      <c r="M189" s="54"/>
      <c r="N189" s="55"/>
      <c r="O189" s="55"/>
      <c r="P189" s="55"/>
      <c r="Q189" s="162">
        <f t="shared" si="72"/>
        <v>0</v>
      </c>
      <c r="R189" s="277"/>
      <c r="S189" s="277"/>
      <c r="T189" s="277"/>
      <c r="U189" s="277"/>
      <c r="V189" s="97">
        <f t="shared" si="73"/>
        <v>0</v>
      </c>
      <c r="W189" s="279"/>
      <c r="X189" s="52"/>
      <c r="Y189" s="99"/>
      <c r="Z189" s="53"/>
      <c r="AA189" s="228"/>
      <c r="AB189" s="52"/>
      <c r="AC189" s="99"/>
      <c r="AD189" s="53"/>
      <c r="AE189" s="228"/>
      <c r="AF189" s="52"/>
      <c r="AG189" s="99"/>
      <c r="AH189" s="53"/>
      <c r="AI189" s="228"/>
      <c r="AJ189" s="52"/>
      <c r="AK189" s="99"/>
      <c r="AL189" s="53"/>
      <c r="AM189" s="228"/>
      <c r="AN189" s="52"/>
      <c r="AO189" s="99"/>
      <c r="AP189" s="53"/>
      <c r="AQ189" s="50">
        <f t="shared" si="65"/>
        <v>0</v>
      </c>
      <c r="AR189" s="163">
        <f t="shared" si="66"/>
        <v>0</v>
      </c>
      <c r="AS189" s="97">
        <f t="shared" si="67"/>
        <v>0</v>
      </c>
      <c r="AT189" s="278">
        <f t="shared" si="68"/>
        <v>0</v>
      </c>
      <c r="AU189" s="55"/>
      <c r="AV189" s="277"/>
      <c r="AW189" s="279"/>
      <c r="AX189" s="52"/>
      <c r="AY189" s="105"/>
      <c r="AZ189" s="98"/>
      <c r="BA189" s="279"/>
      <c r="BB189" s="52"/>
      <c r="BC189" s="105"/>
      <c r="BD189" s="98"/>
      <c r="BE189" s="279"/>
      <c r="BF189" s="52"/>
      <c r="BG189" s="105"/>
      <c r="BH189" s="98"/>
      <c r="BI189" s="279"/>
      <c r="BJ189" s="52"/>
      <c r="BK189" s="105"/>
      <c r="BL189" s="98"/>
      <c r="BM189" s="279"/>
      <c r="BN189" s="52"/>
      <c r="BO189" s="105"/>
      <c r="BP189" s="98"/>
      <c r="BQ189" s="279"/>
      <c r="BR189" s="52"/>
      <c r="BS189" s="105"/>
      <c r="BT189" s="98"/>
      <c r="BU189" s="279"/>
      <c r="BV189" s="52"/>
      <c r="BW189" s="105"/>
      <c r="BX189" s="98"/>
      <c r="BY189" s="279"/>
      <c r="BZ189" s="52"/>
      <c r="CA189" s="105"/>
      <c r="CB189" s="98"/>
      <c r="CC189" s="279"/>
      <c r="CD189" s="52"/>
      <c r="CE189" s="105"/>
      <c r="CF189" s="98"/>
      <c r="CG189" s="279"/>
      <c r="CH189" s="52"/>
      <c r="CI189" s="105"/>
      <c r="CJ189" s="98"/>
      <c r="CK189" s="281"/>
      <c r="CL189" s="277"/>
      <c r="CM189" s="159"/>
      <c r="CN189" s="277"/>
      <c r="CO189" s="50">
        <f t="shared" si="74"/>
        <v>0</v>
      </c>
      <c r="CP189" s="103">
        <f t="shared" si="75"/>
        <v>0</v>
      </c>
      <c r="CQ189" s="280">
        <f t="shared" si="76"/>
        <v>0</v>
      </c>
      <c r="CR189" s="63">
        <f t="shared" si="77"/>
        <v>0</v>
      </c>
      <c r="CS189" s="279"/>
      <c r="CT189" s="52"/>
      <c r="CU189" s="105"/>
      <c r="CV189" s="98"/>
      <c r="CW189" s="279"/>
      <c r="CX189" s="52"/>
      <c r="CY189" s="105"/>
      <c r="CZ189" s="98"/>
      <c r="DA189" s="279"/>
      <c r="DB189" s="52"/>
      <c r="DC189" s="105"/>
      <c r="DD189" s="98"/>
      <c r="DE189" s="279"/>
      <c r="DF189" s="52"/>
      <c r="DG189" s="105"/>
      <c r="DH189" s="98"/>
      <c r="DI189" s="279"/>
      <c r="DJ189" s="52"/>
      <c r="DK189" s="105"/>
      <c r="DL189" s="98"/>
      <c r="DM189" s="279"/>
      <c r="DN189" s="52"/>
      <c r="DO189" s="105"/>
      <c r="DP189" s="98"/>
      <c r="DQ189" s="279"/>
      <c r="DR189" s="52"/>
      <c r="DS189" s="105"/>
      <c r="DT189" s="98"/>
      <c r="DU189" s="279"/>
      <c r="DV189" s="52"/>
      <c r="DW189" s="105"/>
      <c r="DX189" s="98"/>
      <c r="DY189" s="279"/>
      <c r="DZ189" s="52"/>
      <c r="EA189" s="105"/>
      <c r="EB189" s="98"/>
      <c r="EC189" s="279"/>
      <c r="ED189" s="52"/>
      <c r="EE189" s="105"/>
      <c r="EF189" s="98"/>
      <c r="EG189" s="159"/>
      <c r="EH189" s="277"/>
      <c r="EI189" s="50">
        <f t="shared" si="78"/>
        <v>0</v>
      </c>
      <c r="EJ189" s="103">
        <f t="shared" si="79"/>
        <v>0</v>
      </c>
      <c r="EK189" s="164">
        <f t="shared" si="80"/>
        <v>0</v>
      </c>
      <c r="EL189" s="280">
        <f t="shared" si="81"/>
        <v>0</v>
      </c>
      <c r="EM189" s="63">
        <f t="shared" si="82"/>
        <v>0</v>
      </c>
      <c r="EN189" s="359">
        <f t="shared" si="83"/>
        <v>0</v>
      </c>
      <c r="EO189" s="51">
        <f t="shared" si="84"/>
        <v>0</v>
      </c>
      <c r="EP189" s="361">
        <f t="shared" si="85"/>
        <v>0</v>
      </c>
      <c r="EQ189" s="281"/>
      <c r="ER189" s="277"/>
      <c r="ES189" s="281"/>
      <c r="ET189" s="277"/>
      <c r="EU189" s="281"/>
      <c r="EV189" s="277"/>
      <c r="EW189" s="281"/>
      <c r="EX189" s="277"/>
      <c r="EY189" s="281"/>
      <c r="EZ189" s="277"/>
      <c r="FA189" s="281"/>
      <c r="FB189" s="277"/>
      <c r="FC189" s="281"/>
      <c r="FD189" s="277"/>
      <c r="FE189" s="281"/>
      <c r="FF189" s="277"/>
      <c r="FG189" s="281"/>
      <c r="FH189" s="277"/>
      <c r="FI189" s="281"/>
      <c r="FJ189" s="277"/>
      <c r="FK189" s="50">
        <f t="shared" si="86"/>
        <v>0</v>
      </c>
      <c r="FL189" s="63">
        <f t="shared" si="87"/>
        <v>0</v>
      </c>
      <c r="FM189" s="50">
        <f t="shared" si="69"/>
        <v>636</v>
      </c>
      <c r="FN189" s="360">
        <f t="shared" si="70"/>
        <v>694</v>
      </c>
      <c r="FO189" s="3"/>
      <c r="FP189" s="279"/>
      <c r="FQ189" s="52"/>
      <c r="FR189" s="296"/>
      <c r="FS189" s="98"/>
      <c r="FT189" s="467"/>
      <c r="FU189" s="52"/>
      <c r="FV189" s="296"/>
      <c r="FW189" s="98"/>
      <c r="FX189" s="467"/>
      <c r="FY189" s="52"/>
      <c r="FZ189" s="296"/>
      <c r="GA189" s="98"/>
      <c r="GB189" s="467"/>
      <c r="GC189" s="52"/>
      <c r="GD189" s="296"/>
      <c r="GE189" s="98"/>
      <c r="GF189" s="467"/>
      <c r="GG189" s="52"/>
      <c r="GH189" s="296"/>
      <c r="GI189" s="98"/>
      <c r="GJ189" s="467"/>
      <c r="GK189" s="52"/>
      <c r="GL189" s="296"/>
      <c r="GM189" s="464"/>
      <c r="GN189" s="467"/>
      <c r="GO189" s="52"/>
      <c r="GP189" s="296"/>
      <c r="GQ189" s="464"/>
      <c r="GR189" s="467"/>
      <c r="GS189" s="52"/>
      <c r="GT189" s="296"/>
      <c r="GU189" s="464"/>
      <c r="GV189" s="467"/>
      <c r="GW189" s="52"/>
      <c r="GX189" s="296"/>
      <c r="GY189" s="464"/>
      <c r="GZ189" s="467"/>
      <c r="HA189" s="52"/>
      <c r="HB189" s="296"/>
      <c r="HC189" s="3"/>
    </row>
    <row r="190" spans="1:211" s="86" customFormat="1">
      <c r="A190" s="489" t="s">
        <v>29</v>
      </c>
      <c r="B190" s="308" t="s">
        <v>558</v>
      </c>
      <c r="C190" s="307">
        <v>157085</v>
      </c>
      <c r="D190" s="341">
        <v>1</v>
      </c>
      <c r="E190" s="460"/>
      <c r="F190" s="277"/>
      <c r="G190" s="158"/>
      <c r="H190" s="277"/>
      <c r="I190" s="158"/>
      <c r="J190" s="277"/>
      <c r="K190" s="160">
        <f t="shared" si="71"/>
        <v>0</v>
      </c>
      <c r="L190" s="161">
        <f t="shared" si="64"/>
        <v>0</v>
      </c>
      <c r="M190" s="54">
        <v>3775</v>
      </c>
      <c r="N190" s="55"/>
      <c r="O190" s="55">
        <v>211</v>
      </c>
      <c r="P190" s="55"/>
      <c r="Q190" s="162">
        <f t="shared" si="72"/>
        <v>211</v>
      </c>
      <c r="R190" s="277">
        <v>3650</v>
      </c>
      <c r="S190" s="277"/>
      <c r="T190" s="277">
        <v>200</v>
      </c>
      <c r="U190" s="277"/>
      <c r="V190" s="97">
        <f t="shared" si="73"/>
        <v>200</v>
      </c>
      <c r="W190" s="279"/>
      <c r="X190" s="52"/>
      <c r="Y190" s="99"/>
      <c r="Z190" s="53"/>
      <c r="AA190" s="228"/>
      <c r="AB190" s="52"/>
      <c r="AC190" s="99"/>
      <c r="AD190" s="53"/>
      <c r="AE190" s="228"/>
      <c r="AF190" s="52"/>
      <c r="AG190" s="99"/>
      <c r="AH190" s="53"/>
      <c r="AI190" s="228"/>
      <c r="AJ190" s="52"/>
      <c r="AK190" s="99"/>
      <c r="AL190" s="53"/>
      <c r="AM190" s="228"/>
      <c r="AN190" s="52"/>
      <c r="AO190" s="99"/>
      <c r="AP190" s="53"/>
      <c r="AQ190" s="50">
        <f t="shared" si="65"/>
        <v>0</v>
      </c>
      <c r="AR190" s="163">
        <f t="shared" si="66"/>
        <v>0.65052559021195933</v>
      </c>
      <c r="AS190" s="97">
        <f t="shared" si="67"/>
        <v>0</v>
      </c>
      <c r="AT190" s="278">
        <f t="shared" si="68"/>
        <v>0.64001402770471683</v>
      </c>
      <c r="AU190" s="55"/>
      <c r="AV190" s="277"/>
      <c r="AW190" s="279">
        <v>51</v>
      </c>
      <c r="AX190" s="52">
        <v>293</v>
      </c>
      <c r="AY190" s="105">
        <v>51</v>
      </c>
      <c r="AZ190" s="98">
        <v>294</v>
      </c>
      <c r="BA190" s="279">
        <v>52</v>
      </c>
      <c r="BB190" s="52">
        <v>155</v>
      </c>
      <c r="BC190" s="105">
        <v>52</v>
      </c>
      <c r="BD190" s="98">
        <v>164</v>
      </c>
      <c r="BE190" s="279">
        <v>13</v>
      </c>
      <c r="BF190" s="52">
        <v>139</v>
      </c>
      <c r="BG190" s="105">
        <v>44</v>
      </c>
      <c r="BH190" s="98">
        <v>142</v>
      </c>
      <c r="BI190" s="279">
        <v>14</v>
      </c>
      <c r="BJ190" s="52">
        <v>116</v>
      </c>
      <c r="BK190" s="105">
        <v>13</v>
      </c>
      <c r="BL190" s="98">
        <v>137</v>
      </c>
      <c r="BM190" s="279">
        <v>44</v>
      </c>
      <c r="BN190" s="52">
        <v>113</v>
      </c>
      <c r="BO190" s="105">
        <v>14</v>
      </c>
      <c r="BP190" s="98">
        <v>132</v>
      </c>
      <c r="BQ190" s="279">
        <v>25</v>
      </c>
      <c r="BR190" s="52">
        <v>90</v>
      </c>
      <c r="BS190" s="105">
        <v>25</v>
      </c>
      <c r="BT190" s="98">
        <v>89</v>
      </c>
      <c r="BU190" s="279">
        <v>11</v>
      </c>
      <c r="BV190" s="52">
        <v>64</v>
      </c>
      <c r="BW190" s="105">
        <v>45</v>
      </c>
      <c r="BX190" s="98">
        <v>65</v>
      </c>
      <c r="BY190" s="279">
        <v>45</v>
      </c>
      <c r="BZ190" s="52">
        <v>64</v>
      </c>
      <c r="CA190" s="105">
        <v>31</v>
      </c>
      <c r="CB190" s="98">
        <v>41</v>
      </c>
      <c r="CC190" s="279">
        <v>27</v>
      </c>
      <c r="CD190" s="52">
        <v>33</v>
      </c>
      <c r="CE190" s="105">
        <v>11</v>
      </c>
      <c r="CF190" s="98">
        <v>40</v>
      </c>
      <c r="CG190" s="279">
        <v>31</v>
      </c>
      <c r="CH190" s="52">
        <v>31</v>
      </c>
      <c r="CI190" s="105">
        <v>42</v>
      </c>
      <c r="CJ190" s="98">
        <v>33</v>
      </c>
      <c r="CK190" s="281"/>
      <c r="CL190" s="277"/>
      <c r="CM190" s="159">
        <v>213</v>
      </c>
      <c r="CN190" s="277">
        <v>197</v>
      </c>
      <c r="CO190" s="50">
        <f t="shared" si="74"/>
        <v>1311</v>
      </c>
      <c r="CP190" s="103">
        <f t="shared" si="75"/>
        <v>10</v>
      </c>
      <c r="CQ190" s="280">
        <f t="shared" si="76"/>
        <v>1334</v>
      </c>
      <c r="CR190" s="63">
        <f t="shared" si="77"/>
        <v>10</v>
      </c>
      <c r="CS190" s="279">
        <v>51</v>
      </c>
      <c r="CT190" s="52">
        <v>67</v>
      </c>
      <c r="CU190" s="105">
        <v>51</v>
      </c>
      <c r="CV190" s="98">
        <v>61</v>
      </c>
      <c r="CW190" s="279">
        <v>14</v>
      </c>
      <c r="CX190" s="52">
        <v>39</v>
      </c>
      <c r="CY190" s="105">
        <v>26</v>
      </c>
      <c r="CZ190" s="98">
        <v>55</v>
      </c>
      <c r="DA190" s="279">
        <v>26</v>
      </c>
      <c r="DB190" s="52">
        <v>38</v>
      </c>
      <c r="DC190" s="105">
        <v>13</v>
      </c>
      <c r="DD190" s="98">
        <v>36</v>
      </c>
      <c r="DE190" s="279">
        <v>45</v>
      </c>
      <c r="DF190" s="52">
        <v>23</v>
      </c>
      <c r="DG190" s="105">
        <v>14</v>
      </c>
      <c r="DH190" s="98">
        <v>23</v>
      </c>
      <c r="DI190" s="279">
        <v>13</v>
      </c>
      <c r="DJ190" s="52">
        <v>22</v>
      </c>
      <c r="DK190" s="105">
        <v>45</v>
      </c>
      <c r="DL190" s="98">
        <v>17</v>
      </c>
      <c r="DM190" s="279">
        <v>40</v>
      </c>
      <c r="DN190" s="52">
        <v>19</v>
      </c>
      <c r="DO190" s="105">
        <v>50</v>
      </c>
      <c r="DP190" s="98">
        <v>17</v>
      </c>
      <c r="DQ190" s="279">
        <v>42</v>
      </c>
      <c r="DR190" s="52">
        <v>17</v>
      </c>
      <c r="DS190" s="105">
        <v>40</v>
      </c>
      <c r="DT190" s="98">
        <v>15</v>
      </c>
      <c r="DU190" s="279">
        <v>27</v>
      </c>
      <c r="DV190" s="52">
        <v>12</v>
      </c>
      <c r="DW190" s="105">
        <v>27</v>
      </c>
      <c r="DX190" s="98">
        <v>13</v>
      </c>
      <c r="DY190" s="279">
        <v>23</v>
      </c>
      <c r="DZ190" s="52">
        <v>10</v>
      </c>
      <c r="EA190" s="105">
        <v>42</v>
      </c>
      <c r="EB190" s="98">
        <v>11</v>
      </c>
      <c r="EC190" s="279">
        <v>30</v>
      </c>
      <c r="ED190" s="52">
        <v>10</v>
      </c>
      <c r="EE190" s="105">
        <v>1</v>
      </c>
      <c r="EF190" s="98">
        <v>10</v>
      </c>
      <c r="EG190" s="159">
        <v>51</v>
      </c>
      <c r="EH190" s="277">
        <v>54</v>
      </c>
      <c r="EI190" s="50">
        <f t="shared" si="78"/>
        <v>308</v>
      </c>
      <c r="EJ190" s="103">
        <f t="shared" si="79"/>
        <v>10</v>
      </c>
      <c r="EK190" s="164">
        <f t="shared" si="80"/>
        <v>0.21753246753246752</v>
      </c>
      <c r="EL190" s="280">
        <f t="shared" si="81"/>
        <v>312</v>
      </c>
      <c r="EM190" s="63">
        <f t="shared" si="82"/>
        <v>10</v>
      </c>
      <c r="EN190" s="359">
        <f t="shared" si="83"/>
        <v>0.19551282051282051</v>
      </c>
      <c r="EO190" s="51">
        <f t="shared" si="84"/>
        <v>1619</v>
      </c>
      <c r="EP190" s="361">
        <f t="shared" si="85"/>
        <v>1646</v>
      </c>
      <c r="EQ190" s="281">
        <v>161</v>
      </c>
      <c r="ER190" s="277">
        <v>134</v>
      </c>
      <c r="ES190" s="281">
        <v>94</v>
      </c>
      <c r="ET190" s="277">
        <v>94</v>
      </c>
      <c r="EU190" s="281">
        <v>51</v>
      </c>
      <c r="EV190" s="277">
        <v>58</v>
      </c>
      <c r="EW190" s="281">
        <v>103</v>
      </c>
      <c r="EX190" s="277">
        <v>121</v>
      </c>
      <c r="EY190" s="281"/>
      <c r="EZ190" s="277"/>
      <c r="FA190" s="281"/>
      <c r="FB190" s="277"/>
      <c r="FC190" s="281"/>
      <c r="FD190" s="277"/>
      <c r="FE190" s="281"/>
      <c r="FF190" s="277"/>
      <c r="FG190" s="281"/>
      <c r="FH190" s="277"/>
      <c r="FI190" s="281"/>
      <c r="FJ190" s="277"/>
      <c r="FK190" s="50">
        <f t="shared" si="86"/>
        <v>409</v>
      </c>
      <c r="FL190" s="63">
        <f t="shared" si="87"/>
        <v>407</v>
      </c>
      <c r="FM190" s="50">
        <f t="shared" si="69"/>
        <v>5803</v>
      </c>
      <c r="FN190" s="360">
        <f t="shared" si="70"/>
        <v>5703</v>
      </c>
      <c r="FO190" s="3"/>
      <c r="FP190" s="279"/>
      <c r="FQ190" s="52"/>
      <c r="FR190" s="571">
        <v>220101</v>
      </c>
      <c r="FS190" s="572">
        <v>134</v>
      </c>
      <c r="FT190" s="467"/>
      <c r="FU190" s="52"/>
      <c r="FV190" s="571">
        <v>510401</v>
      </c>
      <c r="FW190" s="572">
        <v>58</v>
      </c>
      <c r="FX190" s="467"/>
      <c r="FY190" s="52"/>
      <c r="FZ190" s="571">
        <v>511201</v>
      </c>
      <c r="GA190" s="572">
        <v>94</v>
      </c>
      <c r="GB190" s="467"/>
      <c r="GC190" s="52"/>
      <c r="GD190" s="571">
        <v>512001</v>
      </c>
      <c r="GE190" s="572">
        <v>121</v>
      </c>
      <c r="GF190" s="467"/>
      <c r="GG190" s="52"/>
      <c r="GH190" s="296"/>
      <c r="GI190" s="98"/>
      <c r="GJ190" s="467"/>
      <c r="GK190" s="52"/>
      <c r="GL190" s="296"/>
      <c r="GM190" s="464"/>
      <c r="GN190" s="467"/>
      <c r="GO190" s="52"/>
      <c r="GP190" s="296"/>
      <c r="GQ190" s="464"/>
      <c r="GR190" s="467"/>
      <c r="GS190" s="52"/>
      <c r="GT190" s="296"/>
      <c r="GU190" s="464"/>
      <c r="GV190" s="467"/>
      <c r="GW190" s="52"/>
      <c r="GX190" s="296"/>
      <c r="GY190" s="464"/>
      <c r="GZ190" s="467"/>
      <c r="HA190" s="52"/>
      <c r="HB190" s="296"/>
      <c r="HC190" s="3"/>
    </row>
    <row r="191" spans="1:211" s="86" customFormat="1">
      <c r="A191" s="489" t="s">
        <v>29</v>
      </c>
      <c r="B191" s="308" t="s">
        <v>559</v>
      </c>
      <c r="C191" s="307">
        <v>157289</v>
      </c>
      <c r="D191" s="341">
        <v>1</v>
      </c>
      <c r="E191" s="460">
        <v>31</v>
      </c>
      <c r="F191" s="277">
        <v>31</v>
      </c>
      <c r="G191" s="158"/>
      <c r="H191" s="277"/>
      <c r="I191" s="158">
        <v>19</v>
      </c>
      <c r="J191" s="277">
        <v>20</v>
      </c>
      <c r="K191" s="160">
        <f t="shared" si="71"/>
        <v>8.2680591818973023E-3</v>
      </c>
      <c r="L191" s="161">
        <f t="shared" si="64"/>
        <v>8.0580177276390001E-3</v>
      </c>
      <c r="M191" s="54">
        <v>2298</v>
      </c>
      <c r="N191" s="55"/>
      <c r="O191" s="55">
        <v>72</v>
      </c>
      <c r="P191" s="55"/>
      <c r="Q191" s="162">
        <f t="shared" si="72"/>
        <v>72</v>
      </c>
      <c r="R191" s="277">
        <v>2482</v>
      </c>
      <c r="S191" s="277"/>
      <c r="T191" s="277">
        <v>81</v>
      </c>
      <c r="U191" s="277"/>
      <c r="V191" s="97">
        <f t="shared" si="73"/>
        <v>81</v>
      </c>
      <c r="W191" s="279"/>
      <c r="X191" s="52"/>
      <c r="Y191" s="99"/>
      <c r="Z191" s="53"/>
      <c r="AA191" s="228"/>
      <c r="AB191" s="52"/>
      <c r="AC191" s="99"/>
      <c r="AD191" s="53"/>
      <c r="AE191" s="228"/>
      <c r="AF191" s="52"/>
      <c r="AG191" s="99"/>
      <c r="AH191" s="53"/>
      <c r="AI191" s="228"/>
      <c r="AJ191" s="52"/>
      <c r="AK191" s="99"/>
      <c r="AL191" s="53"/>
      <c r="AM191" s="228"/>
      <c r="AN191" s="52"/>
      <c r="AO191" s="99"/>
      <c r="AP191" s="53"/>
      <c r="AQ191" s="50">
        <f t="shared" si="65"/>
        <v>0</v>
      </c>
      <c r="AR191" s="163">
        <f t="shared" si="66"/>
        <v>0.53145235892691955</v>
      </c>
      <c r="AS191" s="97">
        <f t="shared" si="67"/>
        <v>0</v>
      </c>
      <c r="AT191" s="278">
        <f t="shared" si="68"/>
        <v>0.55143301488558094</v>
      </c>
      <c r="AU191" s="55">
        <v>109</v>
      </c>
      <c r="AV191" s="277">
        <v>100</v>
      </c>
      <c r="AW191" s="279">
        <v>13</v>
      </c>
      <c r="AX191" s="52">
        <v>454</v>
      </c>
      <c r="AY191" s="105">
        <v>13</v>
      </c>
      <c r="AZ191" s="98">
        <v>398</v>
      </c>
      <c r="BA191" s="279">
        <v>52</v>
      </c>
      <c r="BB191" s="52">
        <v>193</v>
      </c>
      <c r="BC191" s="105">
        <v>52</v>
      </c>
      <c r="BD191" s="98">
        <v>225</v>
      </c>
      <c r="BE191" s="279">
        <v>44</v>
      </c>
      <c r="BF191" s="52">
        <v>172</v>
      </c>
      <c r="BG191" s="105">
        <v>14</v>
      </c>
      <c r="BH191" s="98">
        <v>168</v>
      </c>
      <c r="BI191" s="279">
        <v>14</v>
      </c>
      <c r="BJ191" s="52">
        <v>155</v>
      </c>
      <c r="BK191" s="105">
        <v>44</v>
      </c>
      <c r="BL191" s="98">
        <v>161</v>
      </c>
      <c r="BM191" s="279">
        <v>51</v>
      </c>
      <c r="BN191" s="52">
        <v>73</v>
      </c>
      <c r="BO191" s="105">
        <v>51</v>
      </c>
      <c r="BP191" s="98">
        <v>107</v>
      </c>
      <c r="BQ191" s="279">
        <v>26</v>
      </c>
      <c r="BR191" s="52">
        <v>64</v>
      </c>
      <c r="BS191" s="105">
        <v>26</v>
      </c>
      <c r="BT191" s="98">
        <v>73</v>
      </c>
      <c r="BU191" s="279">
        <v>15</v>
      </c>
      <c r="BV191" s="52">
        <v>45</v>
      </c>
      <c r="BW191" s="105">
        <v>50</v>
      </c>
      <c r="BX191" s="98">
        <v>40</v>
      </c>
      <c r="BY191" s="279">
        <v>50</v>
      </c>
      <c r="BZ191" s="52">
        <v>41</v>
      </c>
      <c r="CA191" s="105">
        <v>31</v>
      </c>
      <c r="CB191" s="98">
        <v>38</v>
      </c>
      <c r="CC191" s="279">
        <v>31</v>
      </c>
      <c r="CD191" s="52">
        <v>36</v>
      </c>
      <c r="CE191" s="105">
        <v>43</v>
      </c>
      <c r="CF191" s="98">
        <v>25</v>
      </c>
      <c r="CG191" s="279">
        <v>43</v>
      </c>
      <c r="CH191" s="52">
        <v>23</v>
      </c>
      <c r="CI191" s="105">
        <v>23</v>
      </c>
      <c r="CJ191" s="98">
        <v>24</v>
      </c>
      <c r="CK191" s="281"/>
      <c r="CL191" s="277"/>
      <c r="CM191" s="159">
        <v>117</v>
      </c>
      <c r="CN191" s="277">
        <v>135</v>
      </c>
      <c r="CO191" s="50">
        <f t="shared" si="74"/>
        <v>1373</v>
      </c>
      <c r="CP191" s="103">
        <f t="shared" si="75"/>
        <v>10</v>
      </c>
      <c r="CQ191" s="280">
        <f t="shared" si="76"/>
        <v>1394</v>
      </c>
      <c r="CR191" s="63">
        <f t="shared" si="77"/>
        <v>10</v>
      </c>
      <c r="CS191" s="279">
        <v>13</v>
      </c>
      <c r="CT191" s="52">
        <v>41</v>
      </c>
      <c r="CU191" s="105">
        <v>13</v>
      </c>
      <c r="CV191" s="98">
        <v>38</v>
      </c>
      <c r="CW191" s="279">
        <v>26</v>
      </c>
      <c r="CX191" s="52">
        <v>39</v>
      </c>
      <c r="CY191" s="105">
        <v>14</v>
      </c>
      <c r="CZ191" s="98">
        <v>32</v>
      </c>
      <c r="DA191" s="279">
        <v>14</v>
      </c>
      <c r="DB191" s="52">
        <v>24</v>
      </c>
      <c r="DC191" s="105">
        <v>26</v>
      </c>
      <c r="DD191" s="98">
        <v>30</v>
      </c>
      <c r="DE191" s="279">
        <v>42</v>
      </c>
      <c r="DF191" s="52">
        <v>13</v>
      </c>
      <c r="DG191" s="105">
        <v>23</v>
      </c>
      <c r="DH191" s="98">
        <v>10</v>
      </c>
      <c r="DI191" s="279">
        <v>51</v>
      </c>
      <c r="DJ191" s="52">
        <v>10</v>
      </c>
      <c r="DK191" s="105">
        <v>51</v>
      </c>
      <c r="DL191" s="98">
        <v>8</v>
      </c>
      <c r="DM191" s="279">
        <v>40</v>
      </c>
      <c r="DN191" s="52">
        <v>5</v>
      </c>
      <c r="DO191" s="105">
        <v>45</v>
      </c>
      <c r="DP191" s="98">
        <v>7</v>
      </c>
      <c r="DQ191" s="279">
        <v>44</v>
      </c>
      <c r="DR191" s="52">
        <v>5</v>
      </c>
      <c r="DS191" s="105">
        <v>42</v>
      </c>
      <c r="DT191" s="98">
        <v>6</v>
      </c>
      <c r="DU191" s="279">
        <v>23</v>
      </c>
      <c r="DV191" s="52">
        <v>4</v>
      </c>
      <c r="DW191" s="105">
        <v>40</v>
      </c>
      <c r="DX191" s="98">
        <v>4</v>
      </c>
      <c r="DY191" s="279">
        <v>27</v>
      </c>
      <c r="DZ191" s="52">
        <v>4</v>
      </c>
      <c r="EA191" s="105">
        <v>27</v>
      </c>
      <c r="EB191" s="98">
        <v>3</v>
      </c>
      <c r="EC191" s="279">
        <v>45</v>
      </c>
      <c r="ED191" s="52">
        <v>3</v>
      </c>
      <c r="EE191" s="105">
        <v>24</v>
      </c>
      <c r="EF191" s="98">
        <v>2</v>
      </c>
      <c r="EG191" s="159">
        <v>3</v>
      </c>
      <c r="EH191" s="277">
        <v>2</v>
      </c>
      <c r="EI191" s="50">
        <f t="shared" si="78"/>
        <v>151</v>
      </c>
      <c r="EJ191" s="103">
        <f t="shared" si="79"/>
        <v>10</v>
      </c>
      <c r="EK191" s="164">
        <f t="shared" si="80"/>
        <v>0.27152317880794702</v>
      </c>
      <c r="EL191" s="280">
        <f t="shared" si="81"/>
        <v>142</v>
      </c>
      <c r="EM191" s="63">
        <f t="shared" si="82"/>
        <v>10</v>
      </c>
      <c r="EN191" s="359">
        <f t="shared" si="83"/>
        <v>0.26760563380281688</v>
      </c>
      <c r="EO191" s="51">
        <f t="shared" si="84"/>
        <v>1524</v>
      </c>
      <c r="EP191" s="361">
        <f t="shared" si="85"/>
        <v>1536</v>
      </c>
      <c r="EQ191" s="281">
        <v>126</v>
      </c>
      <c r="ER191" s="277">
        <v>118</v>
      </c>
      <c r="ES191" s="281">
        <v>146</v>
      </c>
      <c r="ET191" s="277">
        <v>136</v>
      </c>
      <c r="EU191" s="281">
        <v>71</v>
      </c>
      <c r="EV191" s="277">
        <v>78</v>
      </c>
      <c r="EW191" s="281"/>
      <c r="EX191" s="277"/>
      <c r="EY191" s="281"/>
      <c r="EZ191" s="277"/>
      <c r="FA191" s="281"/>
      <c r="FB191" s="277"/>
      <c r="FC191" s="281"/>
      <c r="FD191" s="277"/>
      <c r="FE191" s="281"/>
      <c r="FF191" s="277"/>
      <c r="FG191" s="281"/>
      <c r="FH191" s="277"/>
      <c r="FI191" s="281"/>
      <c r="FJ191" s="277"/>
      <c r="FK191" s="50">
        <f t="shared" si="86"/>
        <v>343</v>
      </c>
      <c r="FL191" s="63">
        <f t="shared" si="87"/>
        <v>332</v>
      </c>
      <c r="FM191" s="50">
        <f t="shared" si="69"/>
        <v>4324</v>
      </c>
      <c r="FN191" s="360">
        <f t="shared" si="70"/>
        <v>4501</v>
      </c>
      <c r="FO191" s="3"/>
      <c r="FP191" s="279"/>
      <c r="FQ191" s="52"/>
      <c r="FR191" s="571">
        <v>220101</v>
      </c>
      <c r="FS191" s="572">
        <v>118</v>
      </c>
      <c r="FT191" s="467"/>
      <c r="FU191" s="52"/>
      <c r="FV191" s="571">
        <v>510401</v>
      </c>
      <c r="FW191" s="572">
        <v>136</v>
      </c>
      <c r="FX191" s="467"/>
      <c r="FY191" s="52"/>
      <c r="FZ191" s="571">
        <v>511201</v>
      </c>
      <c r="GA191" s="572">
        <v>136</v>
      </c>
      <c r="GB191" s="467"/>
      <c r="GC191" s="52"/>
      <c r="GD191" s="296"/>
      <c r="GE191" s="98"/>
      <c r="GF191" s="467"/>
      <c r="GG191" s="52"/>
      <c r="GH191" s="296"/>
      <c r="GI191" s="98"/>
      <c r="GJ191" s="467"/>
      <c r="GK191" s="52"/>
      <c r="GL191" s="296"/>
      <c r="GM191" s="464"/>
      <c r="GN191" s="467"/>
      <c r="GO191" s="52"/>
      <c r="GP191" s="296"/>
      <c r="GQ191" s="464"/>
      <c r="GR191" s="467"/>
      <c r="GS191" s="52"/>
      <c r="GT191" s="296"/>
      <c r="GU191" s="464"/>
      <c r="GV191" s="467"/>
      <c r="GW191" s="52"/>
      <c r="GX191" s="296"/>
      <c r="GY191" s="464"/>
      <c r="GZ191" s="467"/>
      <c r="HA191" s="52"/>
      <c r="HB191" s="296"/>
      <c r="HC191" s="3"/>
    </row>
    <row r="192" spans="1:211" s="86" customFormat="1">
      <c r="A192" s="489" t="s">
        <v>29</v>
      </c>
      <c r="B192" s="308" t="s">
        <v>560</v>
      </c>
      <c r="C192" s="307">
        <v>156620</v>
      </c>
      <c r="D192" s="341">
        <v>3</v>
      </c>
      <c r="E192" s="460"/>
      <c r="F192" s="277">
        <v>2</v>
      </c>
      <c r="G192" s="158"/>
      <c r="H192" s="277"/>
      <c r="I192" s="158">
        <v>189</v>
      </c>
      <c r="J192" s="277">
        <v>195</v>
      </c>
      <c r="K192" s="160">
        <f t="shared" si="71"/>
        <v>9.3103448275862075E-2</v>
      </c>
      <c r="L192" s="161">
        <f t="shared" si="64"/>
        <v>9.1635338345864667E-2</v>
      </c>
      <c r="M192" s="54">
        <v>2030</v>
      </c>
      <c r="N192" s="55"/>
      <c r="O192" s="55">
        <v>304</v>
      </c>
      <c r="P192" s="55"/>
      <c r="Q192" s="162">
        <f t="shared" si="72"/>
        <v>304</v>
      </c>
      <c r="R192" s="277">
        <v>2128</v>
      </c>
      <c r="S192" s="277"/>
      <c r="T192" s="277">
        <v>346</v>
      </c>
      <c r="U192" s="277"/>
      <c r="V192" s="97">
        <f t="shared" si="73"/>
        <v>346</v>
      </c>
      <c r="W192" s="279"/>
      <c r="X192" s="52"/>
      <c r="Y192" s="99"/>
      <c r="Z192" s="53"/>
      <c r="AA192" s="228"/>
      <c r="AB192" s="52"/>
      <c r="AC192" s="99"/>
      <c r="AD192" s="53"/>
      <c r="AE192" s="228"/>
      <c r="AF192" s="52"/>
      <c r="AG192" s="99"/>
      <c r="AH192" s="53"/>
      <c r="AI192" s="228"/>
      <c r="AJ192" s="52"/>
      <c r="AK192" s="99"/>
      <c r="AL192" s="53"/>
      <c r="AM192" s="228"/>
      <c r="AN192" s="52"/>
      <c r="AO192" s="99"/>
      <c r="AP192" s="53"/>
      <c r="AQ192" s="50">
        <f t="shared" si="65"/>
        <v>0</v>
      </c>
      <c r="AR192" s="163">
        <f t="shared" si="66"/>
        <v>0.71478873239436624</v>
      </c>
      <c r="AS192" s="97">
        <f t="shared" si="67"/>
        <v>0</v>
      </c>
      <c r="AT192" s="278">
        <f t="shared" si="68"/>
        <v>0.69383762634496249</v>
      </c>
      <c r="AU192" s="55"/>
      <c r="AV192" s="277">
        <v>8</v>
      </c>
      <c r="AW192" s="279">
        <v>13</v>
      </c>
      <c r="AX192" s="52">
        <v>404</v>
      </c>
      <c r="AY192" s="105">
        <v>13</v>
      </c>
      <c r="AZ192" s="98">
        <v>388</v>
      </c>
      <c r="BA192" s="279">
        <v>43</v>
      </c>
      <c r="BB192" s="52">
        <v>47</v>
      </c>
      <c r="BC192" s="105">
        <v>51</v>
      </c>
      <c r="BD192" s="98">
        <v>119</v>
      </c>
      <c r="BE192" s="279">
        <v>51</v>
      </c>
      <c r="BF192" s="52">
        <v>45</v>
      </c>
      <c r="BG192" s="105">
        <v>43</v>
      </c>
      <c r="BH192" s="98">
        <v>78</v>
      </c>
      <c r="BI192" s="279">
        <v>42</v>
      </c>
      <c r="BJ192" s="52">
        <v>33</v>
      </c>
      <c r="BK192" s="105">
        <v>42</v>
      </c>
      <c r="BL192" s="98">
        <v>36</v>
      </c>
      <c r="BM192" s="279">
        <v>52</v>
      </c>
      <c r="BN192" s="52">
        <v>16</v>
      </c>
      <c r="BO192" s="105">
        <v>52</v>
      </c>
      <c r="BP192" s="98">
        <v>29</v>
      </c>
      <c r="BQ192" s="279">
        <v>11</v>
      </c>
      <c r="BR192" s="52">
        <v>12</v>
      </c>
      <c r="BS192" s="105">
        <v>44</v>
      </c>
      <c r="BT192" s="98">
        <v>14</v>
      </c>
      <c r="BU192" s="279">
        <v>23</v>
      </c>
      <c r="BV192" s="52">
        <v>12</v>
      </c>
      <c r="BW192" s="105">
        <v>50</v>
      </c>
      <c r="BX192" s="98">
        <v>13</v>
      </c>
      <c r="BY192" s="279">
        <v>40</v>
      </c>
      <c r="BZ192" s="52">
        <v>9</v>
      </c>
      <c r="CA192" s="105">
        <v>26</v>
      </c>
      <c r="CB192" s="98">
        <v>11</v>
      </c>
      <c r="CC192" s="279">
        <v>44</v>
      </c>
      <c r="CD192" s="52">
        <v>9</v>
      </c>
      <c r="CE192" s="105">
        <v>23</v>
      </c>
      <c r="CF192" s="98">
        <v>11</v>
      </c>
      <c r="CG192" s="279">
        <v>26</v>
      </c>
      <c r="CH192" s="52">
        <v>8</v>
      </c>
      <c r="CI192" s="105">
        <v>11</v>
      </c>
      <c r="CJ192" s="98">
        <v>10</v>
      </c>
      <c r="CK192" s="281"/>
      <c r="CL192" s="277"/>
      <c r="CM192" s="159">
        <v>26</v>
      </c>
      <c r="CN192" s="277">
        <v>25</v>
      </c>
      <c r="CO192" s="50">
        <f t="shared" si="74"/>
        <v>621</v>
      </c>
      <c r="CP192" s="103">
        <f t="shared" si="75"/>
        <v>10</v>
      </c>
      <c r="CQ192" s="280">
        <f t="shared" si="76"/>
        <v>734</v>
      </c>
      <c r="CR192" s="63">
        <f t="shared" si="77"/>
        <v>10</v>
      </c>
      <c r="CS192" s="279"/>
      <c r="CT192" s="52"/>
      <c r="CU192" s="105"/>
      <c r="CV192" s="98"/>
      <c r="CW192" s="279"/>
      <c r="CX192" s="52"/>
      <c r="CY192" s="105"/>
      <c r="CZ192" s="98"/>
      <c r="DA192" s="279"/>
      <c r="DB192" s="52"/>
      <c r="DC192" s="105"/>
      <c r="DD192" s="98"/>
      <c r="DE192" s="279"/>
      <c r="DF192" s="52"/>
      <c r="DG192" s="105"/>
      <c r="DH192" s="98"/>
      <c r="DI192" s="279"/>
      <c r="DJ192" s="52"/>
      <c r="DK192" s="105"/>
      <c r="DL192" s="98"/>
      <c r="DM192" s="279"/>
      <c r="DN192" s="52"/>
      <c r="DO192" s="105"/>
      <c r="DP192" s="98"/>
      <c r="DQ192" s="279"/>
      <c r="DR192" s="52"/>
      <c r="DS192" s="105"/>
      <c r="DT192" s="98"/>
      <c r="DU192" s="279"/>
      <c r="DV192" s="52"/>
      <c r="DW192" s="105"/>
      <c r="DX192" s="98"/>
      <c r="DY192" s="279"/>
      <c r="DZ192" s="52"/>
      <c r="EA192" s="105"/>
      <c r="EB192" s="98"/>
      <c r="EC192" s="279"/>
      <c r="ED192" s="52"/>
      <c r="EE192" s="105"/>
      <c r="EF192" s="98"/>
      <c r="EG192" s="159"/>
      <c r="EH192" s="277"/>
      <c r="EI192" s="50">
        <f t="shared" si="78"/>
        <v>0</v>
      </c>
      <c r="EJ192" s="103">
        <f t="shared" si="79"/>
        <v>0</v>
      </c>
      <c r="EK192" s="164">
        <f t="shared" si="80"/>
        <v>0</v>
      </c>
      <c r="EL192" s="280">
        <f t="shared" si="81"/>
        <v>0</v>
      </c>
      <c r="EM192" s="63">
        <f t="shared" si="82"/>
        <v>0</v>
      </c>
      <c r="EN192" s="359">
        <f t="shared" si="83"/>
        <v>0</v>
      </c>
      <c r="EO192" s="51">
        <f t="shared" si="84"/>
        <v>621</v>
      </c>
      <c r="EP192" s="361">
        <f t="shared" si="85"/>
        <v>734</v>
      </c>
      <c r="EQ192" s="281"/>
      <c r="ER192" s="277"/>
      <c r="ES192" s="281"/>
      <c r="ET192" s="277"/>
      <c r="EU192" s="281"/>
      <c r="EV192" s="277"/>
      <c r="EW192" s="281"/>
      <c r="EX192" s="277"/>
      <c r="EY192" s="281"/>
      <c r="EZ192" s="277"/>
      <c r="FA192" s="281"/>
      <c r="FB192" s="277"/>
      <c r="FC192" s="281"/>
      <c r="FD192" s="277"/>
      <c r="FE192" s="281"/>
      <c r="FF192" s="277"/>
      <c r="FG192" s="281"/>
      <c r="FH192" s="277"/>
      <c r="FI192" s="281"/>
      <c r="FJ192" s="277"/>
      <c r="FK192" s="50">
        <f t="shared" si="86"/>
        <v>0</v>
      </c>
      <c r="FL192" s="63">
        <f t="shared" si="87"/>
        <v>0</v>
      </c>
      <c r="FM192" s="50">
        <f t="shared" si="69"/>
        <v>2840</v>
      </c>
      <c r="FN192" s="360">
        <f t="shared" si="70"/>
        <v>3067</v>
      </c>
      <c r="FO192" s="3"/>
      <c r="FP192" s="279"/>
      <c r="FQ192" s="52"/>
      <c r="FR192" s="571"/>
      <c r="FS192" s="572"/>
      <c r="FT192" s="467"/>
      <c r="FU192" s="52"/>
      <c r="FV192" s="296"/>
      <c r="FW192" s="98"/>
      <c r="FX192" s="467"/>
      <c r="FY192" s="52"/>
      <c r="FZ192" s="296"/>
      <c r="GA192" s="98"/>
      <c r="GB192" s="467"/>
      <c r="GC192" s="52"/>
      <c r="GD192" s="296"/>
      <c r="GE192" s="98"/>
      <c r="GF192" s="467"/>
      <c r="GG192" s="52"/>
      <c r="GH192" s="296"/>
      <c r="GI192" s="98"/>
      <c r="GJ192" s="467"/>
      <c r="GK192" s="52"/>
      <c r="GL192" s="296"/>
      <c r="GM192" s="464"/>
      <c r="GN192" s="467"/>
      <c r="GO192" s="52"/>
      <c r="GP192" s="296"/>
      <c r="GQ192" s="464"/>
      <c r="GR192" s="467"/>
      <c r="GS192" s="52"/>
      <c r="GT192" s="296"/>
      <c r="GU192" s="464"/>
      <c r="GV192" s="467"/>
      <c r="GW192" s="52"/>
      <c r="GX192" s="296"/>
      <c r="GY192" s="464"/>
      <c r="GZ192" s="467"/>
      <c r="HA192" s="52"/>
      <c r="HB192" s="296"/>
      <c r="HC192" s="3"/>
    </row>
    <row r="193" spans="1:211" s="86" customFormat="1">
      <c r="A193" s="489" t="s">
        <v>29</v>
      </c>
      <c r="B193" s="308" t="s">
        <v>561</v>
      </c>
      <c r="C193" s="307">
        <v>157401</v>
      </c>
      <c r="D193" s="341">
        <v>3</v>
      </c>
      <c r="E193" s="460"/>
      <c r="F193" s="277"/>
      <c r="G193" s="158"/>
      <c r="H193" s="277"/>
      <c r="I193" s="158">
        <v>17</v>
      </c>
      <c r="J193" s="277">
        <v>10</v>
      </c>
      <c r="K193" s="160">
        <f t="shared" si="71"/>
        <v>1.0416666666666666E-2</v>
      </c>
      <c r="L193" s="161">
        <f t="shared" si="64"/>
        <v>6.4850843060959796E-3</v>
      </c>
      <c r="M193" s="54">
        <v>1632</v>
      </c>
      <c r="N193" s="55"/>
      <c r="O193" s="55">
        <v>309</v>
      </c>
      <c r="P193" s="55"/>
      <c r="Q193" s="162">
        <f t="shared" si="72"/>
        <v>309</v>
      </c>
      <c r="R193" s="277">
        <v>1542</v>
      </c>
      <c r="S193" s="277"/>
      <c r="T193" s="277">
        <v>283</v>
      </c>
      <c r="U193" s="277"/>
      <c r="V193" s="97">
        <f t="shared" si="73"/>
        <v>283</v>
      </c>
      <c r="W193" s="279"/>
      <c r="X193" s="52"/>
      <c r="Y193" s="99"/>
      <c r="Z193" s="53"/>
      <c r="AA193" s="228"/>
      <c r="AB193" s="52"/>
      <c r="AC193" s="99"/>
      <c r="AD193" s="53"/>
      <c r="AE193" s="228"/>
      <c r="AF193" s="52"/>
      <c r="AG193" s="99"/>
      <c r="AH193" s="53"/>
      <c r="AI193" s="228"/>
      <c r="AJ193" s="52"/>
      <c r="AK193" s="99"/>
      <c r="AL193" s="53"/>
      <c r="AM193" s="228"/>
      <c r="AN193" s="52"/>
      <c r="AO193" s="99"/>
      <c r="AP193" s="53"/>
      <c r="AQ193" s="50">
        <f t="shared" si="65"/>
        <v>0</v>
      </c>
      <c r="AR193" s="163">
        <f t="shared" si="66"/>
        <v>0.7455459113750571</v>
      </c>
      <c r="AS193" s="97">
        <f t="shared" si="67"/>
        <v>0</v>
      </c>
      <c r="AT193" s="278">
        <f t="shared" si="68"/>
        <v>0.70410958904109588</v>
      </c>
      <c r="AU193" s="55"/>
      <c r="AV193" s="277"/>
      <c r="AW193" s="279">
        <v>13</v>
      </c>
      <c r="AX193" s="52">
        <v>217</v>
      </c>
      <c r="AY193" s="105">
        <v>13</v>
      </c>
      <c r="AZ193" s="98">
        <v>251</v>
      </c>
      <c r="BA193" s="279">
        <v>52</v>
      </c>
      <c r="BB193" s="52">
        <v>68</v>
      </c>
      <c r="BC193" s="105">
        <v>52</v>
      </c>
      <c r="BD193" s="98">
        <v>91</v>
      </c>
      <c r="BE193" s="279">
        <v>15</v>
      </c>
      <c r="BF193" s="52">
        <v>42</v>
      </c>
      <c r="BG193" s="105">
        <v>9</v>
      </c>
      <c r="BH193" s="98">
        <v>67</v>
      </c>
      <c r="BI193" s="279">
        <v>51</v>
      </c>
      <c r="BJ193" s="52">
        <v>41</v>
      </c>
      <c r="BK193" s="105">
        <v>15</v>
      </c>
      <c r="BL193" s="98">
        <v>58</v>
      </c>
      <c r="BM193" s="279">
        <v>44</v>
      </c>
      <c r="BN193" s="52">
        <v>36</v>
      </c>
      <c r="BO193" s="105">
        <v>51</v>
      </c>
      <c r="BP193" s="98">
        <v>47</v>
      </c>
      <c r="BQ193" s="279">
        <v>9</v>
      </c>
      <c r="BR193" s="52">
        <v>34</v>
      </c>
      <c r="BS193" s="105">
        <v>44</v>
      </c>
      <c r="BT193" s="98">
        <v>44</v>
      </c>
      <c r="BU193" s="279">
        <v>1</v>
      </c>
      <c r="BV193" s="52">
        <v>30</v>
      </c>
      <c r="BW193" s="105">
        <v>1</v>
      </c>
      <c r="BX193" s="98">
        <v>19</v>
      </c>
      <c r="BY193" s="279">
        <v>23</v>
      </c>
      <c r="BZ193" s="52">
        <v>23</v>
      </c>
      <c r="CA193" s="105">
        <v>11</v>
      </c>
      <c r="CB193" s="98">
        <v>13</v>
      </c>
      <c r="CC193" s="279">
        <v>40</v>
      </c>
      <c r="CD193" s="52">
        <v>10</v>
      </c>
      <c r="CE193" s="105">
        <v>23</v>
      </c>
      <c r="CF193" s="98">
        <v>13</v>
      </c>
      <c r="CG193" s="279">
        <v>11</v>
      </c>
      <c r="CH193" s="52">
        <v>9</v>
      </c>
      <c r="CI193" s="105">
        <v>40</v>
      </c>
      <c r="CJ193" s="98">
        <v>10</v>
      </c>
      <c r="CK193" s="281"/>
      <c r="CL193" s="277"/>
      <c r="CM193" s="159">
        <v>30</v>
      </c>
      <c r="CN193" s="277">
        <v>25</v>
      </c>
      <c r="CO193" s="50">
        <f t="shared" si="74"/>
        <v>540</v>
      </c>
      <c r="CP193" s="103">
        <f t="shared" si="75"/>
        <v>10</v>
      </c>
      <c r="CQ193" s="280">
        <f t="shared" si="76"/>
        <v>638</v>
      </c>
      <c r="CR193" s="63">
        <f t="shared" si="77"/>
        <v>10</v>
      </c>
      <c r="CS193" s="279"/>
      <c r="CT193" s="52"/>
      <c r="CU193" s="105"/>
      <c r="CV193" s="98"/>
      <c r="CW193" s="279"/>
      <c r="CX193" s="52"/>
      <c r="CY193" s="105"/>
      <c r="CZ193" s="98"/>
      <c r="DA193" s="279"/>
      <c r="DB193" s="52"/>
      <c r="DC193" s="105"/>
      <c r="DD193" s="98"/>
      <c r="DE193" s="279"/>
      <c r="DF193" s="52"/>
      <c r="DG193" s="105"/>
      <c r="DH193" s="98"/>
      <c r="DI193" s="279"/>
      <c r="DJ193" s="52"/>
      <c r="DK193" s="105"/>
      <c r="DL193" s="98"/>
      <c r="DM193" s="279"/>
      <c r="DN193" s="52"/>
      <c r="DO193" s="105"/>
      <c r="DP193" s="98"/>
      <c r="DQ193" s="279"/>
      <c r="DR193" s="52"/>
      <c r="DS193" s="105"/>
      <c r="DT193" s="98"/>
      <c r="DU193" s="279"/>
      <c r="DV193" s="52"/>
      <c r="DW193" s="105"/>
      <c r="DX193" s="98"/>
      <c r="DY193" s="279"/>
      <c r="DZ193" s="52"/>
      <c r="EA193" s="105"/>
      <c r="EB193" s="98"/>
      <c r="EC193" s="279"/>
      <c r="ED193" s="52"/>
      <c r="EE193" s="105"/>
      <c r="EF193" s="98"/>
      <c r="EG193" s="159"/>
      <c r="EH193" s="277"/>
      <c r="EI193" s="50">
        <f t="shared" si="78"/>
        <v>0</v>
      </c>
      <c r="EJ193" s="103">
        <f t="shared" si="79"/>
        <v>0</v>
      </c>
      <c r="EK193" s="164">
        <f t="shared" si="80"/>
        <v>0</v>
      </c>
      <c r="EL193" s="280">
        <f t="shared" si="81"/>
        <v>0</v>
      </c>
      <c r="EM193" s="63">
        <f t="shared" si="82"/>
        <v>0</v>
      </c>
      <c r="EN193" s="359">
        <f t="shared" si="83"/>
        <v>0</v>
      </c>
      <c r="EO193" s="51">
        <f t="shared" si="84"/>
        <v>540</v>
      </c>
      <c r="EP193" s="361">
        <f t="shared" si="85"/>
        <v>638</v>
      </c>
      <c r="EQ193" s="281"/>
      <c r="ER193" s="277"/>
      <c r="ES193" s="281"/>
      <c r="ET193" s="277"/>
      <c r="EU193" s="281"/>
      <c r="EV193" s="277"/>
      <c r="EW193" s="281"/>
      <c r="EX193" s="277"/>
      <c r="EY193" s="281"/>
      <c r="EZ193" s="277"/>
      <c r="FA193" s="281"/>
      <c r="FB193" s="277"/>
      <c r="FC193" s="281"/>
      <c r="FD193" s="277"/>
      <c r="FE193" s="281"/>
      <c r="FF193" s="277"/>
      <c r="FG193" s="281"/>
      <c r="FH193" s="277"/>
      <c r="FI193" s="281"/>
      <c r="FJ193" s="277"/>
      <c r="FK193" s="50">
        <f t="shared" si="86"/>
        <v>0</v>
      </c>
      <c r="FL193" s="63">
        <f t="shared" si="87"/>
        <v>0</v>
      </c>
      <c r="FM193" s="50">
        <f t="shared" si="69"/>
        <v>2189</v>
      </c>
      <c r="FN193" s="360">
        <f t="shared" si="70"/>
        <v>2190</v>
      </c>
      <c r="FO193" s="3"/>
      <c r="FP193" s="279"/>
      <c r="FQ193" s="52"/>
      <c r="FR193" s="571"/>
      <c r="FS193" s="572"/>
      <c r="FT193" s="467"/>
      <c r="FU193" s="52"/>
      <c r="FV193" s="296"/>
      <c r="FW193" s="98"/>
      <c r="FX193" s="467"/>
      <c r="FY193" s="52"/>
      <c r="FZ193" s="296"/>
      <c r="GA193" s="98"/>
      <c r="GB193" s="467"/>
      <c r="GC193" s="52"/>
      <c r="GD193" s="296"/>
      <c r="GE193" s="98"/>
      <c r="GF193" s="467"/>
      <c r="GG193" s="52"/>
      <c r="GH193" s="296"/>
      <c r="GI193" s="98"/>
      <c r="GJ193" s="467"/>
      <c r="GK193" s="52"/>
      <c r="GL193" s="296"/>
      <c r="GM193" s="464"/>
      <c r="GN193" s="467"/>
      <c r="GO193" s="52"/>
      <c r="GP193" s="296"/>
      <c r="GQ193" s="464"/>
      <c r="GR193" s="467"/>
      <c r="GS193" s="52"/>
      <c r="GT193" s="296"/>
      <c r="GU193" s="464"/>
      <c r="GV193" s="467"/>
      <c r="GW193" s="52"/>
      <c r="GX193" s="296"/>
      <c r="GY193" s="464"/>
      <c r="GZ193" s="467"/>
      <c r="HA193" s="52"/>
      <c r="HB193" s="296"/>
      <c r="HC193" s="3"/>
    </row>
    <row r="194" spans="1:211" s="86" customFormat="1">
      <c r="A194" s="489" t="s">
        <v>29</v>
      </c>
      <c r="B194" s="308" t="s">
        <v>562</v>
      </c>
      <c r="C194" s="307">
        <v>157951</v>
      </c>
      <c r="D194" s="341">
        <v>3</v>
      </c>
      <c r="E194" s="460">
        <v>69</v>
      </c>
      <c r="F194" s="277">
        <v>62</v>
      </c>
      <c r="G194" s="158"/>
      <c r="H194" s="277"/>
      <c r="I194" s="158">
        <v>240</v>
      </c>
      <c r="J194" s="277">
        <v>217</v>
      </c>
      <c r="K194" s="160">
        <f t="shared" si="71"/>
        <v>0.10037641154328733</v>
      </c>
      <c r="L194" s="161">
        <f t="shared" si="64"/>
        <v>9.1099916036943743E-2</v>
      </c>
      <c r="M194" s="54">
        <v>2391</v>
      </c>
      <c r="N194" s="55"/>
      <c r="O194" s="55">
        <v>353</v>
      </c>
      <c r="P194" s="55"/>
      <c r="Q194" s="162">
        <f t="shared" si="72"/>
        <v>353</v>
      </c>
      <c r="R194" s="277">
        <v>2382</v>
      </c>
      <c r="S194" s="277"/>
      <c r="T194" s="277">
        <v>357</v>
      </c>
      <c r="U194" s="277"/>
      <c r="V194" s="97">
        <f t="shared" si="73"/>
        <v>357</v>
      </c>
      <c r="W194" s="279"/>
      <c r="X194" s="52"/>
      <c r="Y194" s="99"/>
      <c r="Z194" s="53"/>
      <c r="AA194" s="228"/>
      <c r="AB194" s="52"/>
      <c r="AC194" s="99"/>
      <c r="AD194" s="53"/>
      <c r="AE194" s="228"/>
      <c r="AF194" s="52"/>
      <c r="AG194" s="99"/>
      <c r="AH194" s="53"/>
      <c r="AI194" s="228"/>
      <c r="AJ194" s="52"/>
      <c r="AK194" s="99"/>
      <c r="AL194" s="53"/>
      <c r="AM194" s="228"/>
      <c r="AN194" s="52"/>
      <c r="AO194" s="99"/>
      <c r="AP194" s="53"/>
      <c r="AQ194" s="50">
        <f t="shared" si="65"/>
        <v>0</v>
      </c>
      <c r="AR194" s="163">
        <f t="shared" si="66"/>
        <v>0.66806370494551548</v>
      </c>
      <c r="AS194" s="97">
        <f t="shared" si="67"/>
        <v>0</v>
      </c>
      <c r="AT194" s="278">
        <f t="shared" si="68"/>
        <v>0.68983492615117292</v>
      </c>
      <c r="AU194" s="55">
        <v>44</v>
      </c>
      <c r="AV194" s="277">
        <v>35</v>
      </c>
      <c r="AW194" s="279">
        <v>13</v>
      </c>
      <c r="AX194" s="52">
        <v>250</v>
      </c>
      <c r="AY194" s="105">
        <v>13</v>
      </c>
      <c r="AZ194" s="98">
        <v>234</v>
      </c>
      <c r="BA194" s="279">
        <v>51</v>
      </c>
      <c r="BB194" s="52">
        <v>120</v>
      </c>
      <c r="BC194" s="105">
        <v>51</v>
      </c>
      <c r="BD194" s="98">
        <v>115</v>
      </c>
      <c r="BE194" s="279">
        <v>42</v>
      </c>
      <c r="BF194" s="52">
        <v>106</v>
      </c>
      <c r="BG194" s="105">
        <v>42</v>
      </c>
      <c r="BH194" s="98">
        <v>99</v>
      </c>
      <c r="BI194" s="279">
        <v>11</v>
      </c>
      <c r="BJ194" s="52">
        <v>78</v>
      </c>
      <c r="BK194" s="105">
        <v>25</v>
      </c>
      <c r="BL194" s="98">
        <v>78</v>
      </c>
      <c r="BM194" s="279">
        <v>25</v>
      </c>
      <c r="BN194" s="52">
        <v>69</v>
      </c>
      <c r="BO194" s="105">
        <v>44</v>
      </c>
      <c r="BP194" s="98">
        <v>56</v>
      </c>
      <c r="BQ194" s="279">
        <v>56</v>
      </c>
      <c r="BR194" s="52">
        <v>44</v>
      </c>
      <c r="BS194" s="105">
        <v>52</v>
      </c>
      <c r="BT194" s="98">
        <v>32</v>
      </c>
      <c r="BU194" s="279">
        <v>52</v>
      </c>
      <c r="BV194" s="52">
        <v>41</v>
      </c>
      <c r="BW194" s="105">
        <v>30</v>
      </c>
      <c r="BX194" s="98">
        <v>23</v>
      </c>
      <c r="BY194" s="279">
        <v>30</v>
      </c>
      <c r="BZ194" s="52">
        <v>33</v>
      </c>
      <c r="CA194" s="105">
        <v>11</v>
      </c>
      <c r="CB194" s="98">
        <v>23</v>
      </c>
      <c r="CC194" s="279">
        <v>31</v>
      </c>
      <c r="CD194" s="52">
        <v>24</v>
      </c>
      <c r="CE194" s="105">
        <v>45</v>
      </c>
      <c r="CF194" s="98">
        <v>20</v>
      </c>
      <c r="CG194" s="279">
        <v>9</v>
      </c>
      <c r="CH194" s="52">
        <v>15</v>
      </c>
      <c r="CI194" s="105">
        <v>9</v>
      </c>
      <c r="CJ194" s="98">
        <v>15</v>
      </c>
      <c r="CK194" s="281"/>
      <c r="CL194" s="277"/>
      <c r="CM194" s="159">
        <v>55</v>
      </c>
      <c r="CN194" s="277">
        <v>62</v>
      </c>
      <c r="CO194" s="50">
        <f t="shared" si="74"/>
        <v>835</v>
      </c>
      <c r="CP194" s="103">
        <f t="shared" si="75"/>
        <v>10</v>
      </c>
      <c r="CQ194" s="280">
        <f t="shared" si="76"/>
        <v>757</v>
      </c>
      <c r="CR194" s="63">
        <f t="shared" si="77"/>
        <v>10</v>
      </c>
      <c r="CS194" s="279"/>
      <c r="CT194" s="52"/>
      <c r="CU194" s="105"/>
      <c r="CV194" s="98"/>
      <c r="CW194" s="279"/>
      <c r="CX194" s="52"/>
      <c r="CY194" s="105"/>
      <c r="CZ194" s="98"/>
      <c r="DA194" s="279"/>
      <c r="DB194" s="52"/>
      <c r="DC194" s="105"/>
      <c r="DD194" s="98"/>
      <c r="DE194" s="279"/>
      <c r="DF194" s="52"/>
      <c r="DG194" s="105"/>
      <c r="DH194" s="98"/>
      <c r="DI194" s="279"/>
      <c r="DJ194" s="52"/>
      <c r="DK194" s="105"/>
      <c r="DL194" s="98"/>
      <c r="DM194" s="279"/>
      <c r="DN194" s="52"/>
      <c r="DO194" s="105"/>
      <c r="DP194" s="98"/>
      <c r="DQ194" s="279"/>
      <c r="DR194" s="52"/>
      <c r="DS194" s="105"/>
      <c r="DT194" s="98"/>
      <c r="DU194" s="279"/>
      <c r="DV194" s="52"/>
      <c r="DW194" s="105"/>
      <c r="DX194" s="98"/>
      <c r="DY194" s="279"/>
      <c r="DZ194" s="52"/>
      <c r="EA194" s="105"/>
      <c r="EB194" s="98"/>
      <c r="EC194" s="279"/>
      <c r="ED194" s="52"/>
      <c r="EE194" s="105"/>
      <c r="EF194" s="98"/>
      <c r="EG194" s="159"/>
      <c r="EH194" s="277"/>
      <c r="EI194" s="50">
        <f t="shared" si="78"/>
        <v>0</v>
      </c>
      <c r="EJ194" s="103">
        <f t="shared" si="79"/>
        <v>0</v>
      </c>
      <c r="EK194" s="164">
        <f t="shared" si="80"/>
        <v>0</v>
      </c>
      <c r="EL194" s="280">
        <f t="shared" si="81"/>
        <v>0</v>
      </c>
      <c r="EM194" s="63">
        <f t="shared" si="82"/>
        <v>0</v>
      </c>
      <c r="EN194" s="359">
        <f t="shared" si="83"/>
        <v>0</v>
      </c>
      <c r="EO194" s="51">
        <f t="shared" si="84"/>
        <v>835</v>
      </c>
      <c r="EP194" s="361">
        <f t="shared" si="85"/>
        <v>757</v>
      </c>
      <c r="EQ194" s="281"/>
      <c r="ER194" s="277"/>
      <c r="ES194" s="281"/>
      <c r="ET194" s="277"/>
      <c r="EU194" s="281"/>
      <c r="EV194" s="277"/>
      <c r="EW194" s="281"/>
      <c r="EX194" s="277"/>
      <c r="EY194" s="281"/>
      <c r="EZ194" s="277"/>
      <c r="FA194" s="281"/>
      <c r="FB194" s="277"/>
      <c r="FC194" s="281"/>
      <c r="FD194" s="277"/>
      <c r="FE194" s="281"/>
      <c r="FF194" s="277"/>
      <c r="FG194" s="281"/>
      <c r="FH194" s="277"/>
      <c r="FI194" s="281"/>
      <c r="FJ194" s="277"/>
      <c r="FK194" s="50">
        <f t="shared" si="86"/>
        <v>0</v>
      </c>
      <c r="FL194" s="63">
        <f t="shared" si="87"/>
        <v>0</v>
      </c>
      <c r="FM194" s="50">
        <f t="shared" si="69"/>
        <v>3579</v>
      </c>
      <c r="FN194" s="360">
        <f t="shared" si="70"/>
        <v>3453</v>
      </c>
      <c r="FO194" s="3"/>
      <c r="FP194" s="279"/>
      <c r="FQ194" s="52"/>
      <c r="FR194" s="571"/>
      <c r="FS194" s="572"/>
      <c r="FT194" s="467"/>
      <c r="FU194" s="52"/>
      <c r="FV194" s="296"/>
      <c r="FW194" s="98"/>
      <c r="FX194" s="467"/>
      <c r="FY194" s="52"/>
      <c r="FZ194" s="296"/>
      <c r="GA194" s="98"/>
      <c r="GB194" s="467"/>
      <c r="GC194" s="52"/>
      <c r="GD194" s="296"/>
      <c r="GE194" s="98"/>
      <c r="GF194" s="467"/>
      <c r="GG194" s="52"/>
      <c r="GH194" s="296"/>
      <c r="GI194" s="98"/>
      <c r="GJ194" s="467"/>
      <c r="GK194" s="52"/>
      <c r="GL194" s="296"/>
      <c r="GM194" s="464"/>
      <c r="GN194" s="467"/>
      <c r="GO194" s="52"/>
      <c r="GP194" s="296"/>
      <c r="GQ194" s="464"/>
      <c r="GR194" s="467"/>
      <c r="GS194" s="52"/>
      <c r="GT194" s="296"/>
      <c r="GU194" s="464"/>
      <c r="GV194" s="467"/>
      <c r="GW194" s="52"/>
      <c r="GX194" s="296"/>
      <c r="GY194" s="464"/>
      <c r="GZ194" s="467"/>
      <c r="HA194" s="52"/>
      <c r="HB194" s="296"/>
      <c r="HC194" s="3"/>
    </row>
    <row r="195" spans="1:211" s="86" customFormat="1">
      <c r="A195" s="489" t="s">
        <v>29</v>
      </c>
      <c r="B195" s="308" t="s">
        <v>563</v>
      </c>
      <c r="C195" s="307">
        <v>157386</v>
      </c>
      <c r="D195" s="341">
        <v>4</v>
      </c>
      <c r="E195" s="460"/>
      <c r="F195" s="277"/>
      <c r="G195" s="158"/>
      <c r="H195" s="277"/>
      <c r="I195" s="158">
        <v>149</v>
      </c>
      <c r="J195" s="277">
        <v>150</v>
      </c>
      <c r="K195" s="160">
        <f t="shared" si="71"/>
        <v>0.15313463514902365</v>
      </c>
      <c r="L195" s="161">
        <f t="shared" si="64"/>
        <v>0.16129032258064516</v>
      </c>
      <c r="M195" s="54">
        <v>973</v>
      </c>
      <c r="N195" s="55"/>
      <c r="O195" s="55">
        <v>205</v>
      </c>
      <c r="P195" s="55"/>
      <c r="Q195" s="162">
        <f t="shared" si="72"/>
        <v>205</v>
      </c>
      <c r="R195" s="277">
        <v>930</v>
      </c>
      <c r="S195" s="277"/>
      <c r="T195" s="277">
        <v>208</v>
      </c>
      <c r="U195" s="277"/>
      <c r="V195" s="97">
        <f t="shared" si="73"/>
        <v>208</v>
      </c>
      <c r="W195" s="279"/>
      <c r="X195" s="52"/>
      <c r="Y195" s="99"/>
      <c r="Z195" s="53"/>
      <c r="AA195" s="228"/>
      <c r="AB195" s="52"/>
      <c r="AC195" s="99"/>
      <c r="AD195" s="53"/>
      <c r="AE195" s="228"/>
      <c r="AF195" s="52"/>
      <c r="AG195" s="99"/>
      <c r="AH195" s="53"/>
      <c r="AI195" s="228"/>
      <c r="AJ195" s="52"/>
      <c r="AK195" s="99"/>
      <c r="AL195" s="53"/>
      <c r="AM195" s="228"/>
      <c r="AN195" s="52"/>
      <c r="AO195" s="99"/>
      <c r="AP195" s="53"/>
      <c r="AQ195" s="50">
        <f t="shared" si="65"/>
        <v>0</v>
      </c>
      <c r="AR195" s="163">
        <f t="shared" si="66"/>
        <v>0.64565361645653618</v>
      </c>
      <c r="AS195" s="97">
        <f t="shared" si="67"/>
        <v>0</v>
      </c>
      <c r="AT195" s="278">
        <f t="shared" si="68"/>
        <v>0.62416107382550334</v>
      </c>
      <c r="AU195" s="55"/>
      <c r="AV195" s="277"/>
      <c r="AW195" s="279">
        <v>13</v>
      </c>
      <c r="AX195" s="52">
        <v>270</v>
      </c>
      <c r="AY195" s="105">
        <v>13</v>
      </c>
      <c r="AZ195" s="98">
        <v>273</v>
      </c>
      <c r="BA195" s="279">
        <v>52</v>
      </c>
      <c r="BB195" s="52">
        <v>56</v>
      </c>
      <c r="BC195" s="105">
        <v>52</v>
      </c>
      <c r="BD195" s="98">
        <v>54</v>
      </c>
      <c r="BE195" s="279">
        <v>50</v>
      </c>
      <c r="BF195" s="52">
        <v>12</v>
      </c>
      <c r="BG195" s="105">
        <v>50</v>
      </c>
      <c r="BH195" s="98">
        <v>16</v>
      </c>
      <c r="BI195" s="279">
        <v>9</v>
      </c>
      <c r="BJ195" s="52">
        <v>10</v>
      </c>
      <c r="BK195" s="105">
        <v>9</v>
      </c>
      <c r="BL195" s="98">
        <v>16</v>
      </c>
      <c r="BM195" s="279">
        <v>42</v>
      </c>
      <c r="BN195" s="52">
        <v>10</v>
      </c>
      <c r="BO195" s="105">
        <v>15</v>
      </c>
      <c r="BP195" s="98">
        <v>14</v>
      </c>
      <c r="BQ195" s="279">
        <v>15</v>
      </c>
      <c r="BR195" s="52">
        <v>9</v>
      </c>
      <c r="BS195" s="105">
        <v>42</v>
      </c>
      <c r="BT195" s="98">
        <v>12</v>
      </c>
      <c r="BU195" s="279">
        <v>23</v>
      </c>
      <c r="BV195" s="52">
        <v>7</v>
      </c>
      <c r="BW195" s="105">
        <v>26</v>
      </c>
      <c r="BX195" s="98">
        <v>8</v>
      </c>
      <c r="BY195" s="279">
        <v>44</v>
      </c>
      <c r="BZ195" s="52">
        <v>6</v>
      </c>
      <c r="CA195" s="105">
        <v>23</v>
      </c>
      <c r="CB195" s="98">
        <v>6</v>
      </c>
      <c r="CC195" s="279">
        <v>45</v>
      </c>
      <c r="CD195" s="52">
        <v>4</v>
      </c>
      <c r="CE195" s="105">
        <v>44</v>
      </c>
      <c r="CF195" s="98">
        <v>6</v>
      </c>
      <c r="CG195" s="279">
        <v>26</v>
      </c>
      <c r="CH195" s="52">
        <v>1</v>
      </c>
      <c r="CI195" s="105">
        <v>45</v>
      </c>
      <c r="CJ195" s="98">
        <v>5</v>
      </c>
      <c r="CK195" s="281"/>
      <c r="CL195" s="277"/>
      <c r="CM195" s="159"/>
      <c r="CN195" s="277"/>
      <c r="CO195" s="50">
        <f t="shared" si="74"/>
        <v>385</v>
      </c>
      <c r="CP195" s="103">
        <f t="shared" si="75"/>
        <v>10</v>
      </c>
      <c r="CQ195" s="280">
        <f t="shared" si="76"/>
        <v>410</v>
      </c>
      <c r="CR195" s="63">
        <f t="shared" si="77"/>
        <v>10</v>
      </c>
      <c r="CS195" s="279"/>
      <c r="CT195" s="52"/>
      <c r="CU195" s="105"/>
      <c r="CV195" s="98"/>
      <c r="CW195" s="279"/>
      <c r="CX195" s="52"/>
      <c r="CY195" s="105"/>
      <c r="CZ195" s="98"/>
      <c r="DA195" s="279"/>
      <c r="DB195" s="52"/>
      <c r="DC195" s="105"/>
      <c r="DD195" s="98"/>
      <c r="DE195" s="279"/>
      <c r="DF195" s="52"/>
      <c r="DG195" s="105"/>
      <c r="DH195" s="98"/>
      <c r="DI195" s="279"/>
      <c r="DJ195" s="52"/>
      <c r="DK195" s="105"/>
      <c r="DL195" s="98"/>
      <c r="DM195" s="279"/>
      <c r="DN195" s="52"/>
      <c r="DO195" s="105"/>
      <c r="DP195" s="98"/>
      <c r="DQ195" s="279"/>
      <c r="DR195" s="52"/>
      <c r="DS195" s="105"/>
      <c r="DT195" s="98"/>
      <c r="DU195" s="279"/>
      <c r="DV195" s="52"/>
      <c r="DW195" s="105"/>
      <c r="DX195" s="98"/>
      <c r="DY195" s="279"/>
      <c r="DZ195" s="52"/>
      <c r="EA195" s="105"/>
      <c r="EB195" s="98"/>
      <c r="EC195" s="279"/>
      <c r="ED195" s="52"/>
      <c r="EE195" s="105"/>
      <c r="EF195" s="98"/>
      <c r="EG195" s="159"/>
      <c r="EH195" s="277"/>
      <c r="EI195" s="50">
        <f t="shared" si="78"/>
        <v>0</v>
      </c>
      <c r="EJ195" s="103">
        <f t="shared" si="79"/>
        <v>0</v>
      </c>
      <c r="EK195" s="164">
        <f t="shared" si="80"/>
        <v>0</v>
      </c>
      <c r="EL195" s="280">
        <f t="shared" si="81"/>
        <v>0</v>
      </c>
      <c r="EM195" s="63">
        <f t="shared" si="82"/>
        <v>0</v>
      </c>
      <c r="EN195" s="359">
        <f t="shared" si="83"/>
        <v>0</v>
      </c>
      <c r="EO195" s="51">
        <f t="shared" si="84"/>
        <v>385</v>
      </c>
      <c r="EP195" s="361">
        <f t="shared" si="85"/>
        <v>410</v>
      </c>
      <c r="EQ195" s="281"/>
      <c r="ER195" s="277"/>
      <c r="ES195" s="281"/>
      <c r="ET195" s="277"/>
      <c r="EU195" s="281"/>
      <c r="EV195" s="277"/>
      <c r="EW195" s="281"/>
      <c r="EX195" s="277"/>
      <c r="EY195" s="281"/>
      <c r="EZ195" s="277"/>
      <c r="FA195" s="281"/>
      <c r="FB195" s="277"/>
      <c r="FC195" s="281"/>
      <c r="FD195" s="277"/>
      <c r="FE195" s="281"/>
      <c r="FF195" s="277"/>
      <c r="FG195" s="281"/>
      <c r="FH195" s="277"/>
      <c r="FI195" s="281"/>
      <c r="FJ195" s="277"/>
      <c r="FK195" s="50">
        <f t="shared" si="86"/>
        <v>0</v>
      </c>
      <c r="FL195" s="63">
        <f t="shared" si="87"/>
        <v>0</v>
      </c>
      <c r="FM195" s="50">
        <f t="shared" si="69"/>
        <v>1507</v>
      </c>
      <c r="FN195" s="360">
        <f t="shared" si="70"/>
        <v>1490</v>
      </c>
      <c r="FO195" s="3"/>
      <c r="FP195" s="279"/>
      <c r="FQ195" s="52"/>
      <c r="FR195" s="571"/>
      <c r="FS195" s="572"/>
      <c r="FT195" s="467"/>
      <c r="FU195" s="52"/>
      <c r="FV195" s="296"/>
      <c r="FW195" s="98"/>
      <c r="FX195" s="467"/>
      <c r="FY195" s="52"/>
      <c r="FZ195" s="296"/>
      <c r="GA195" s="98"/>
      <c r="GB195" s="467"/>
      <c r="GC195" s="52"/>
      <c r="GD195" s="296"/>
      <c r="GE195" s="98"/>
      <c r="GF195" s="467"/>
      <c r="GG195" s="52"/>
      <c r="GH195" s="296"/>
      <c r="GI195" s="98"/>
      <c r="GJ195" s="467"/>
      <c r="GK195" s="52"/>
      <c r="GL195" s="296"/>
      <c r="GM195" s="464"/>
      <c r="GN195" s="467"/>
      <c r="GO195" s="52"/>
      <c r="GP195" s="296"/>
      <c r="GQ195" s="464"/>
      <c r="GR195" s="467"/>
      <c r="GS195" s="52"/>
      <c r="GT195" s="296"/>
      <c r="GU195" s="464"/>
      <c r="GV195" s="467"/>
      <c r="GW195" s="52"/>
      <c r="GX195" s="296"/>
      <c r="GY195" s="464"/>
      <c r="GZ195" s="467"/>
      <c r="HA195" s="52"/>
      <c r="HB195" s="296"/>
      <c r="HC195" s="3"/>
    </row>
    <row r="196" spans="1:211" s="86" customFormat="1">
      <c r="A196" s="489" t="s">
        <v>29</v>
      </c>
      <c r="B196" s="308" t="s">
        <v>564</v>
      </c>
      <c r="C196" s="307">
        <v>157447</v>
      </c>
      <c r="D196" s="341">
        <v>4</v>
      </c>
      <c r="E196" s="460"/>
      <c r="F196" s="277"/>
      <c r="G196" s="158">
        <v>4</v>
      </c>
      <c r="H196" s="277">
        <v>5</v>
      </c>
      <c r="I196" s="158">
        <v>226</v>
      </c>
      <c r="J196" s="277">
        <v>124</v>
      </c>
      <c r="K196" s="160">
        <f t="shared" si="71"/>
        <v>0.13247362250879249</v>
      </c>
      <c r="L196" s="161">
        <f t="shared" si="64"/>
        <v>6.7538126361655779E-2</v>
      </c>
      <c r="M196" s="54">
        <v>1706</v>
      </c>
      <c r="N196" s="55"/>
      <c r="O196" s="55">
        <v>193</v>
      </c>
      <c r="P196" s="55"/>
      <c r="Q196" s="162">
        <f t="shared" si="72"/>
        <v>193</v>
      </c>
      <c r="R196" s="277">
        <v>1836</v>
      </c>
      <c r="S196" s="277"/>
      <c r="T196" s="277">
        <v>235</v>
      </c>
      <c r="U196" s="277"/>
      <c r="V196" s="97">
        <f t="shared" si="73"/>
        <v>235</v>
      </c>
      <c r="W196" s="279"/>
      <c r="X196" s="52"/>
      <c r="Y196" s="99"/>
      <c r="Z196" s="53"/>
      <c r="AA196" s="228"/>
      <c r="AB196" s="52"/>
      <c r="AC196" s="99"/>
      <c r="AD196" s="53"/>
      <c r="AE196" s="228"/>
      <c r="AF196" s="52"/>
      <c r="AG196" s="99"/>
      <c r="AH196" s="53"/>
      <c r="AI196" s="228"/>
      <c r="AJ196" s="52"/>
      <c r="AK196" s="99"/>
      <c r="AL196" s="53"/>
      <c r="AM196" s="228"/>
      <c r="AN196" s="52"/>
      <c r="AO196" s="99"/>
      <c r="AP196" s="53"/>
      <c r="AQ196" s="50">
        <f t="shared" si="65"/>
        <v>0</v>
      </c>
      <c r="AR196" s="163">
        <f t="shared" si="66"/>
        <v>0.66510721247563354</v>
      </c>
      <c r="AS196" s="97">
        <f t="shared" si="67"/>
        <v>0</v>
      </c>
      <c r="AT196" s="278">
        <f t="shared" si="68"/>
        <v>0.69492808478425439</v>
      </c>
      <c r="AU196" s="55">
        <v>3</v>
      </c>
      <c r="AV196" s="277">
        <v>32</v>
      </c>
      <c r="AW196" s="279">
        <v>13</v>
      </c>
      <c r="AX196" s="52">
        <v>224</v>
      </c>
      <c r="AY196" s="105">
        <v>13</v>
      </c>
      <c r="AZ196" s="98">
        <v>236</v>
      </c>
      <c r="BA196" s="279">
        <v>52</v>
      </c>
      <c r="BB196" s="52">
        <v>124</v>
      </c>
      <c r="BC196" s="105">
        <v>52</v>
      </c>
      <c r="BD196" s="98">
        <v>130</v>
      </c>
      <c r="BE196" s="279">
        <v>51</v>
      </c>
      <c r="BF196" s="52">
        <v>46</v>
      </c>
      <c r="BG196" s="105">
        <v>51</v>
      </c>
      <c r="BH196" s="98">
        <v>71</v>
      </c>
      <c r="BI196" s="279">
        <v>44</v>
      </c>
      <c r="BJ196" s="52">
        <v>36</v>
      </c>
      <c r="BK196" s="105">
        <v>44</v>
      </c>
      <c r="BL196" s="98">
        <v>21</v>
      </c>
      <c r="BM196" s="279">
        <v>42</v>
      </c>
      <c r="BN196" s="52">
        <v>24</v>
      </c>
      <c r="BO196" s="105">
        <v>9</v>
      </c>
      <c r="BP196" s="98">
        <v>20</v>
      </c>
      <c r="BQ196" s="279">
        <v>24</v>
      </c>
      <c r="BR196" s="52">
        <v>10</v>
      </c>
      <c r="BS196" s="105">
        <v>42</v>
      </c>
      <c r="BT196" s="98">
        <v>14</v>
      </c>
      <c r="BU196" s="279">
        <v>11</v>
      </c>
      <c r="BV196" s="52">
        <v>7</v>
      </c>
      <c r="BW196" s="105">
        <v>24</v>
      </c>
      <c r="BX196" s="98">
        <v>10</v>
      </c>
      <c r="BY196" s="279">
        <v>9</v>
      </c>
      <c r="BZ196" s="52">
        <v>5</v>
      </c>
      <c r="CA196" s="105">
        <v>11</v>
      </c>
      <c r="CB196" s="98">
        <v>5</v>
      </c>
      <c r="CC196" s="279"/>
      <c r="CD196" s="52"/>
      <c r="CE196" s="105">
        <v>15</v>
      </c>
      <c r="CF196" s="98">
        <v>1</v>
      </c>
      <c r="CG196" s="279"/>
      <c r="CH196" s="52"/>
      <c r="CI196" s="105"/>
      <c r="CJ196" s="98"/>
      <c r="CK196" s="281"/>
      <c r="CL196" s="277"/>
      <c r="CM196" s="159"/>
      <c r="CN196" s="277"/>
      <c r="CO196" s="50">
        <f t="shared" si="74"/>
        <v>476</v>
      </c>
      <c r="CP196" s="103">
        <f t="shared" si="75"/>
        <v>8</v>
      </c>
      <c r="CQ196" s="280">
        <f t="shared" si="76"/>
        <v>508</v>
      </c>
      <c r="CR196" s="63">
        <f t="shared" si="77"/>
        <v>9</v>
      </c>
      <c r="CS196" s="279"/>
      <c r="CT196" s="52"/>
      <c r="CU196" s="105"/>
      <c r="CV196" s="98"/>
      <c r="CW196" s="279"/>
      <c r="CX196" s="52"/>
      <c r="CY196" s="105"/>
      <c r="CZ196" s="98"/>
      <c r="DA196" s="279"/>
      <c r="DB196" s="52"/>
      <c r="DC196" s="105"/>
      <c r="DD196" s="98"/>
      <c r="DE196" s="279"/>
      <c r="DF196" s="52"/>
      <c r="DG196" s="105"/>
      <c r="DH196" s="98"/>
      <c r="DI196" s="279"/>
      <c r="DJ196" s="52"/>
      <c r="DK196" s="105"/>
      <c r="DL196" s="98"/>
      <c r="DM196" s="279"/>
      <c r="DN196" s="52"/>
      <c r="DO196" s="105"/>
      <c r="DP196" s="98"/>
      <c r="DQ196" s="279"/>
      <c r="DR196" s="52"/>
      <c r="DS196" s="105"/>
      <c r="DT196" s="98"/>
      <c r="DU196" s="279"/>
      <c r="DV196" s="52"/>
      <c r="DW196" s="105"/>
      <c r="DX196" s="98"/>
      <c r="DY196" s="279"/>
      <c r="DZ196" s="52"/>
      <c r="EA196" s="105"/>
      <c r="EB196" s="98"/>
      <c r="EC196" s="279"/>
      <c r="ED196" s="52"/>
      <c r="EE196" s="105"/>
      <c r="EF196" s="98"/>
      <c r="EG196" s="159"/>
      <c r="EH196" s="277"/>
      <c r="EI196" s="50">
        <f t="shared" si="78"/>
        <v>0</v>
      </c>
      <c r="EJ196" s="103">
        <f t="shared" si="79"/>
        <v>0</v>
      </c>
      <c r="EK196" s="164">
        <f t="shared" si="80"/>
        <v>0</v>
      </c>
      <c r="EL196" s="280">
        <f t="shared" si="81"/>
        <v>0</v>
      </c>
      <c r="EM196" s="63">
        <f t="shared" si="82"/>
        <v>0</v>
      </c>
      <c r="EN196" s="359">
        <f t="shared" si="83"/>
        <v>0</v>
      </c>
      <c r="EO196" s="51">
        <f t="shared" si="84"/>
        <v>476</v>
      </c>
      <c r="EP196" s="361">
        <f t="shared" si="85"/>
        <v>508</v>
      </c>
      <c r="EQ196" s="281">
        <v>150</v>
      </c>
      <c r="ER196" s="277">
        <v>137</v>
      </c>
      <c r="ES196" s="281"/>
      <c r="ET196" s="277"/>
      <c r="EU196" s="281"/>
      <c r="EV196" s="277"/>
      <c r="EW196" s="281"/>
      <c r="EX196" s="277"/>
      <c r="EY196" s="281"/>
      <c r="EZ196" s="277"/>
      <c r="FA196" s="281"/>
      <c r="FB196" s="277"/>
      <c r="FC196" s="281"/>
      <c r="FD196" s="277"/>
      <c r="FE196" s="281"/>
      <c r="FF196" s="277"/>
      <c r="FG196" s="281"/>
      <c r="FH196" s="277"/>
      <c r="FI196" s="281"/>
      <c r="FJ196" s="277"/>
      <c r="FK196" s="50">
        <f t="shared" si="86"/>
        <v>150</v>
      </c>
      <c r="FL196" s="63">
        <f t="shared" si="87"/>
        <v>137</v>
      </c>
      <c r="FM196" s="50">
        <f t="shared" si="69"/>
        <v>2565</v>
      </c>
      <c r="FN196" s="360">
        <f t="shared" si="70"/>
        <v>2642</v>
      </c>
      <c r="FO196" s="3"/>
      <c r="FP196" s="279"/>
      <c r="FQ196" s="52"/>
      <c r="FR196" s="571">
        <v>220101</v>
      </c>
      <c r="FS196" s="572">
        <v>137</v>
      </c>
      <c r="FT196" s="467"/>
      <c r="FU196" s="52"/>
      <c r="FV196" s="296"/>
      <c r="FW196" s="98"/>
      <c r="FX196" s="467"/>
      <c r="FY196" s="52"/>
      <c r="FZ196" s="296"/>
      <c r="GA196" s="98"/>
      <c r="GB196" s="467"/>
      <c r="GC196" s="52"/>
      <c r="GD196" s="296"/>
      <c r="GE196" s="98"/>
      <c r="GF196" s="467"/>
      <c r="GG196" s="52"/>
      <c r="GH196" s="296"/>
      <c r="GI196" s="98"/>
      <c r="GJ196" s="467"/>
      <c r="GK196" s="52"/>
      <c r="GL196" s="296"/>
      <c r="GM196" s="464"/>
      <c r="GN196" s="467"/>
      <c r="GO196" s="52"/>
      <c r="GP196" s="296"/>
      <c r="GQ196" s="464"/>
      <c r="GR196" s="467"/>
      <c r="GS196" s="52"/>
      <c r="GT196" s="296"/>
      <c r="GU196" s="464"/>
      <c r="GV196" s="467"/>
      <c r="GW196" s="52"/>
      <c r="GX196" s="296"/>
      <c r="GY196" s="464"/>
      <c r="GZ196" s="467"/>
      <c r="HA196" s="52"/>
      <c r="HB196" s="296"/>
      <c r="HC196" s="3"/>
    </row>
    <row r="197" spans="1:211" s="86" customFormat="1">
      <c r="A197" s="489" t="s">
        <v>29</v>
      </c>
      <c r="B197" s="308" t="s">
        <v>565</v>
      </c>
      <c r="C197" s="307">
        <v>157058</v>
      </c>
      <c r="D197" s="341">
        <v>5</v>
      </c>
      <c r="E197" s="460"/>
      <c r="F197" s="277"/>
      <c r="G197" s="158"/>
      <c r="H197" s="277"/>
      <c r="I197" s="158">
        <v>37</v>
      </c>
      <c r="J197" s="277">
        <v>39</v>
      </c>
      <c r="K197" s="160">
        <f t="shared" si="71"/>
        <v>0.16017316017316016</v>
      </c>
      <c r="L197" s="161">
        <f t="shared" si="64"/>
        <v>0.21195652173913043</v>
      </c>
      <c r="M197" s="54">
        <v>231</v>
      </c>
      <c r="N197" s="55"/>
      <c r="O197" s="55">
        <v>15</v>
      </c>
      <c r="P197" s="55"/>
      <c r="Q197" s="162">
        <f t="shared" si="72"/>
        <v>15</v>
      </c>
      <c r="R197" s="277">
        <v>184</v>
      </c>
      <c r="S197" s="277"/>
      <c r="T197" s="277">
        <v>8</v>
      </c>
      <c r="U197" s="277"/>
      <c r="V197" s="97">
        <f t="shared" si="73"/>
        <v>8</v>
      </c>
      <c r="W197" s="279"/>
      <c r="X197" s="52"/>
      <c r="Y197" s="99"/>
      <c r="Z197" s="53"/>
      <c r="AA197" s="228"/>
      <c r="AB197" s="52"/>
      <c r="AC197" s="99"/>
      <c r="AD197" s="53"/>
      <c r="AE197" s="228"/>
      <c r="AF197" s="52"/>
      <c r="AG197" s="99"/>
      <c r="AH197" s="53"/>
      <c r="AI197" s="228"/>
      <c r="AJ197" s="52"/>
      <c r="AK197" s="99"/>
      <c r="AL197" s="53"/>
      <c r="AM197" s="228"/>
      <c r="AN197" s="52"/>
      <c r="AO197" s="99"/>
      <c r="AP197" s="53"/>
      <c r="AQ197" s="50">
        <f t="shared" si="65"/>
        <v>0</v>
      </c>
      <c r="AR197" s="163">
        <f t="shared" si="66"/>
        <v>0.73333333333333328</v>
      </c>
      <c r="AS197" s="97">
        <f t="shared" si="67"/>
        <v>0</v>
      </c>
      <c r="AT197" s="278">
        <f t="shared" si="68"/>
        <v>0.69961977186311786</v>
      </c>
      <c r="AU197" s="55"/>
      <c r="AV197" s="277"/>
      <c r="AW197" s="279">
        <v>44</v>
      </c>
      <c r="AX197" s="52">
        <v>26</v>
      </c>
      <c r="AY197" s="105">
        <v>13</v>
      </c>
      <c r="AZ197" s="98">
        <v>17</v>
      </c>
      <c r="BA197" s="279">
        <v>11</v>
      </c>
      <c r="BB197" s="52">
        <v>9</v>
      </c>
      <c r="BC197" s="105">
        <v>44</v>
      </c>
      <c r="BD197" s="98">
        <v>12</v>
      </c>
      <c r="BE197" s="279">
        <v>13</v>
      </c>
      <c r="BF197" s="52">
        <v>9</v>
      </c>
      <c r="BG197" s="105">
        <v>11</v>
      </c>
      <c r="BH197" s="98">
        <v>5</v>
      </c>
      <c r="BI197" s="279">
        <v>52</v>
      </c>
      <c r="BJ197" s="52">
        <v>2</v>
      </c>
      <c r="BK197" s="105">
        <v>52</v>
      </c>
      <c r="BL197" s="98">
        <v>3</v>
      </c>
      <c r="BM197" s="279">
        <v>3</v>
      </c>
      <c r="BN197" s="52">
        <v>1</v>
      </c>
      <c r="BO197" s="105">
        <v>3</v>
      </c>
      <c r="BP197" s="98">
        <v>3</v>
      </c>
      <c r="BQ197" s="279"/>
      <c r="BR197" s="52"/>
      <c r="BS197" s="105"/>
      <c r="BT197" s="98"/>
      <c r="BU197" s="279"/>
      <c r="BV197" s="52"/>
      <c r="BW197" s="105"/>
      <c r="BX197" s="98"/>
      <c r="BY197" s="279"/>
      <c r="BZ197" s="52"/>
      <c r="CA197" s="105"/>
      <c r="CB197" s="98"/>
      <c r="CC197" s="279"/>
      <c r="CD197" s="52"/>
      <c r="CE197" s="105"/>
      <c r="CF197" s="98"/>
      <c r="CG197" s="279"/>
      <c r="CH197" s="52"/>
      <c r="CI197" s="105"/>
      <c r="CJ197" s="98"/>
      <c r="CK197" s="281"/>
      <c r="CL197" s="277"/>
      <c r="CM197" s="159"/>
      <c r="CN197" s="277"/>
      <c r="CO197" s="50">
        <f t="shared" si="74"/>
        <v>47</v>
      </c>
      <c r="CP197" s="103">
        <f t="shared" si="75"/>
        <v>5</v>
      </c>
      <c r="CQ197" s="280">
        <f t="shared" si="76"/>
        <v>40</v>
      </c>
      <c r="CR197" s="63">
        <f t="shared" si="77"/>
        <v>5</v>
      </c>
      <c r="CS197" s="279"/>
      <c r="CT197" s="52"/>
      <c r="CU197" s="105"/>
      <c r="CV197" s="98"/>
      <c r="CW197" s="279"/>
      <c r="CX197" s="52"/>
      <c r="CY197" s="105"/>
      <c r="CZ197" s="98"/>
      <c r="DA197" s="279"/>
      <c r="DB197" s="52"/>
      <c r="DC197" s="105"/>
      <c r="DD197" s="98"/>
      <c r="DE197" s="279"/>
      <c r="DF197" s="52"/>
      <c r="DG197" s="105"/>
      <c r="DH197" s="98"/>
      <c r="DI197" s="279"/>
      <c r="DJ197" s="52"/>
      <c r="DK197" s="105"/>
      <c r="DL197" s="98"/>
      <c r="DM197" s="279"/>
      <c r="DN197" s="52"/>
      <c r="DO197" s="105"/>
      <c r="DP197" s="98"/>
      <c r="DQ197" s="279"/>
      <c r="DR197" s="52"/>
      <c r="DS197" s="105"/>
      <c r="DT197" s="98"/>
      <c r="DU197" s="279"/>
      <c r="DV197" s="52"/>
      <c r="DW197" s="105"/>
      <c r="DX197" s="98"/>
      <c r="DY197" s="279"/>
      <c r="DZ197" s="52"/>
      <c r="EA197" s="105"/>
      <c r="EB197" s="98"/>
      <c r="EC197" s="279"/>
      <c r="ED197" s="52"/>
      <c r="EE197" s="105"/>
      <c r="EF197" s="98"/>
      <c r="EG197" s="159"/>
      <c r="EH197" s="277"/>
      <c r="EI197" s="50">
        <f t="shared" si="78"/>
        <v>0</v>
      </c>
      <c r="EJ197" s="103">
        <f t="shared" si="79"/>
        <v>0</v>
      </c>
      <c r="EK197" s="164">
        <f t="shared" si="80"/>
        <v>0</v>
      </c>
      <c r="EL197" s="280">
        <f t="shared" si="81"/>
        <v>0</v>
      </c>
      <c r="EM197" s="63">
        <f t="shared" si="82"/>
        <v>0</v>
      </c>
      <c r="EN197" s="359">
        <f t="shared" si="83"/>
        <v>0</v>
      </c>
      <c r="EO197" s="51">
        <f t="shared" si="84"/>
        <v>47</v>
      </c>
      <c r="EP197" s="361">
        <f t="shared" si="85"/>
        <v>40</v>
      </c>
      <c r="EQ197" s="281"/>
      <c r="ER197" s="277"/>
      <c r="ES197" s="281"/>
      <c r="ET197" s="277"/>
      <c r="EU197" s="281"/>
      <c r="EV197" s="277"/>
      <c r="EW197" s="281"/>
      <c r="EX197" s="277"/>
      <c r="EY197" s="281"/>
      <c r="EZ197" s="277"/>
      <c r="FA197" s="281"/>
      <c r="FB197" s="277"/>
      <c r="FC197" s="281"/>
      <c r="FD197" s="277"/>
      <c r="FE197" s="281"/>
      <c r="FF197" s="277"/>
      <c r="FG197" s="281"/>
      <c r="FH197" s="277"/>
      <c r="FI197" s="281"/>
      <c r="FJ197" s="277"/>
      <c r="FK197" s="50">
        <f t="shared" si="86"/>
        <v>0</v>
      </c>
      <c r="FL197" s="63">
        <f t="shared" si="87"/>
        <v>0</v>
      </c>
      <c r="FM197" s="50">
        <f t="shared" si="69"/>
        <v>315</v>
      </c>
      <c r="FN197" s="360">
        <f t="shared" si="70"/>
        <v>263</v>
      </c>
      <c r="FO197" s="3"/>
      <c r="FP197" s="279"/>
      <c r="FQ197" s="52"/>
      <c r="FR197" s="296"/>
      <c r="FS197" s="98"/>
      <c r="FT197" s="467"/>
      <c r="FU197" s="52"/>
      <c r="FV197" s="296"/>
      <c r="FW197" s="98"/>
      <c r="FX197" s="467"/>
      <c r="FY197" s="52"/>
      <c r="FZ197" s="296"/>
      <c r="GA197" s="98"/>
      <c r="GB197" s="467"/>
      <c r="GC197" s="52"/>
      <c r="GD197" s="296"/>
      <c r="GE197" s="98"/>
      <c r="GF197" s="467"/>
      <c r="GG197" s="52"/>
      <c r="GH197" s="296"/>
      <c r="GI197" s="98"/>
      <c r="GJ197" s="467"/>
      <c r="GK197" s="52"/>
      <c r="GL197" s="296"/>
      <c r="GM197" s="464"/>
      <c r="GN197" s="467"/>
      <c r="GO197" s="52"/>
      <c r="GP197" s="296"/>
      <c r="GQ197" s="464"/>
      <c r="GR197" s="467"/>
      <c r="GS197" s="52"/>
      <c r="GT197" s="296"/>
      <c r="GU197" s="464"/>
      <c r="GV197" s="467"/>
      <c r="GW197" s="52"/>
      <c r="GX197" s="296"/>
      <c r="GY197" s="464"/>
      <c r="GZ197" s="467"/>
      <c r="HA197" s="52"/>
      <c r="HB197" s="296"/>
      <c r="HC197" s="3"/>
    </row>
    <row r="198" spans="1:211" s="86" customFormat="1">
      <c r="A198" s="489" t="s">
        <v>29</v>
      </c>
      <c r="B198" s="308" t="s">
        <v>566</v>
      </c>
      <c r="C198" s="307">
        <v>157173</v>
      </c>
      <c r="D198" s="341">
        <v>8</v>
      </c>
      <c r="E198" s="460">
        <v>1856</v>
      </c>
      <c r="F198" s="277">
        <v>2106</v>
      </c>
      <c r="G198" s="158"/>
      <c r="H198" s="277"/>
      <c r="I198" s="158">
        <v>899</v>
      </c>
      <c r="J198" s="277">
        <v>1055</v>
      </c>
      <c r="K198" s="160">
        <f t="shared" si="71"/>
        <v>0</v>
      </c>
      <c r="L198" s="161">
        <f t="shared" si="64"/>
        <v>0</v>
      </c>
      <c r="M198" s="54"/>
      <c r="N198" s="55"/>
      <c r="O198" s="55"/>
      <c r="P198" s="55"/>
      <c r="Q198" s="162">
        <f t="shared" si="72"/>
        <v>0</v>
      </c>
      <c r="R198" s="277"/>
      <c r="S198" s="277"/>
      <c r="T198" s="277"/>
      <c r="U198" s="277"/>
      <c r="V198" s="97">
        <f t="shared" si="73"/>
        <v>0</v>
      </c>
      <c r="W198" s="279"/>
      <c r="X198" s="52"/>
      <c r="Y198" s="99"/>
      <c r="Z198" s="53"/>
      <c r="AA198" s="228"/>
      <c r="AB198" s="52"/>
      <c r="AC198" s="99"/>
      <c r="AD198" s="53"/>
      <c r="AE198" s="228"/>
      <c r="AF198" s="52"/>
      <c r="AG198" s="99"/>
      <c r="AH198" s="53"/>
      <c r="AI198" s="228"/>
      <c r="AJ198" s="52"/>
      <c r="AK198" s="99"/>
      <c r="AL198" s="53"/>
      <c r="AM198" s="228"/>
      <c r="AN198" s="52"/>
      <c r="AO198" s="99"/>
      <c r="AP198" s="53"/>
      <c r="AQ198" s="50">
        <f t="shared" si="65"/>
        <v>0</v>
      </c>
      <c r="AR198" s="163">
        <f t="shared" si="66"/>
        <v>0</v>
      </c>
      <c r="AS198" s="97">
        <f t="shared" si="67"/>
        <v>0</v>
      </c>
      <c r="AT198" s="278">
        <f t="shared" si="68"/>
        <v>0</v>
      </c>
      <c r="AU198" s="55"/>
      <c r="AV198" s="277"/>
      <c r="AW198" s="279"/>
      <c r="AX198" s="52"/>
      <c r="AY198" s="105"/>
      <c r="AZ198" s="98"/>
      <c r="BA198" s="279"/>
      <c r="BB198" s="52"/>
      <c r="BC198" s="105"/>
      <c r="BD198" s="98"/>
      <c r="BE198" s="279"/>
      <c r="BF198" s="52"/>
      <c r="BG198" s="105"/>
      <c r="BH198" s="98"/>
      <c r="BI198" s="279"/>
      <c r="BJ198" s="52"/>
      <c r="BK198" s="105"/>
      <c r="BL198" s="98"/>
      <c r="BM198" s="279"/>
      <c r="BN198" s="52"/>
      <c r="BO198" s="105"/>
      <c r="BP198" s="98"/>
      <c r="BQ198" s="279"/>
      <c r="BR198" s="52"/>
      <c r="BS198" s="105"/>
      <c r="BT198" s="98"/>
      <c r="BU198" s="279"/>
      <c r="BV198" s="52"/>
      <c r="BW198" s="105"/>
      <c r="BX198" s="98"/>
      <c r="BY198" s="279"/>
      <c r="BZ198" s="52"/>
      <c r="CA198" s="105"/>
      <c r="CB198" s="98"/>
      <c r="CC198" s="279"/>
      <c r="CD198" s="52"/>
      <c r="CE198" s="105"/>
      <c r="CF198" s="98"/>
      <c r="CG198" s="279"/>
      <c r="CH198" s="52"/>
      <c r="CI198" s="105"/>
      <c r="CJ198" s="98"/>
      <c r="CK198" s="281"/>
      <c r="CL198" s="277"/>
      <c r="CM198" s="159"/>
      <c r="CN198" s="277"/>
      <c r="CO198" s="50">
        <f t="shared" si="74"/>
        <v>0</v>
      </c>
      <c r="CP198" s="103">
        <f t="shared" si="75"/>
        <v>0</v>
      </c>
      <c r="CQ198" s="280">
        <f t="shared" si="76"/>
        <v>0</v>
      </c>
      <c r="CR198" s="63">
        <f t="shared" si="77"/>
        <v>0</v>
      </c>
      <c r="CS198" s="279"/>
      <c r="CT198" s="52"/>
      <c r="CU198" s="105"/>
      <c r="CV198" s="98"/>
      <c r="CW198" s="279"/>
      <c r="CX198" s="52"/>
      <c r="CY198" s="105"/>
      <c r="CZ198" s="98"/>
      <c r="DA198" s="279"/>
      <c r="DB198" s="52"/>
      <c r="DC198" s="105"/>
      <c r="DD198" s="98"/>
      <c r="DE198" s="279"/>
      <c r="DF198" s="52"/>
      <c r="DG198" s="105"/>
      <c r="DH198" s="98"/>
      <c r="DI198" s="279"/>
      <c r="DJ198" s="52"/>
      <c r="DK198" s="105"/>
      <c r="DL198" s="98"/>
      <c r="DM198" s="279"/>
      <c r="DN198" s="52"/>
      <c r="DO198" s="105"/>
      <c r="DP198" s="98"/>
      <c r="DQ198" s="279"/>
      <c r="DR198" s="52"/>
      <c r="DS198" s="105"/>
      <c r="DT198" s="98"/>
      <c r="DU198" s="279"/>
      <c r="DV198" s="52"/>
      <c r="DW198" s="105"/>
      <c r="DX198" s="98"/>
      <c r="DY198" s="279"/>
      <c r="DZ198" s="52"/>
      <c r="EA198" s="105"/>
      <c r="EB198" s="98"/>
      <c r="EC198" s="279"/>
      <c r="ED198" s="52"/>
      <c r="EE198" s="105"/>
      <c r="EF198" s="98"/>
      <c r="EG198" s="159"/>
      <c r="EH198" s="277"/>
      <c r="EI198" s="50">
        <f t="shared" si="78"/>
        <v>0</v>
      </c>
      <c r="EJ198" s="103">
        <f t="shared" si="79"/>
        <v>0</v>
      </c>
      <c r="EK198" s="164">
        <f t="shared" si="80"/>
        <v>0</v>
      </c>
      <c r="EL198" s="280">
        <f t="shared" si="81"/>
        <v>0</v>
      </c>
      <c r="EM198" s="63">
        <f t="shared" si="82"/>
        <v>0</v>
      </c>
      <c r="EN198" s="359">
        <f t="shared" si="83"/>
        <v>0</v>
      </c>
      <c r="EO198" s="51">
        <f t="shared" si="84"/>
        <v>0</v>
      </c>
      <c r="EP198" s="361">
        <f t="shared" si="85"/>
        <v>0</v>
      </c>
      <c r="EQ198" s="281"/>
      <c r="ER198" s="277"/>
      <c r="ES198" s="281"/>
      <c r="ET198" s="277"/>
      <c r="EU198" s="281"/>
      <c r="EV198" s="277"/>
      <c r="EW198" s="281"/>
      <c r="EX198" s="277"/>
      <c r="EY198" s="281"/>
      <c r="EZ198" s="277"/>
      <c r="FA198" s="281"/>
      <c r="FB198" s="277"/>
      <c r="FC198" s="281"/>
      <c r="FD198" s="277"/>
      <c r="FE198" s="281"/>
      <c r="FF198" s="277"/>
      <c r="FG198" s="281"/>
      <c r="FH198" s="277"/>
      <c r="FI198" s="281"/>
      <c r="FJ198" s="277"/>
      <c r="FK198" s="50">
        <f t="shared" si="86"/>
        <v>0</v>
      </c>
      <c r="FL198" s="63">
        <f t="shared" si="87"/>
        <v>0</v>
      </c>
      <c r="FM198" s="50">
        <f t="shared" si="69"/>
        <v>2755</v>
      </c>
      <c r="FN198" s="360">
        <f t="shared" si="70"/>
        <v>3161</v>
      </c>
      <c r="FO198" s="3"/>
      <c r="FP198" s="279"/>
      <c r="FQ198" s="52"/>
      <c r="FR198" s="296"/>
      <c r="FS198" s="98"/>
      <c r="FT198" s="467"/>
      <c r="FU198" s="52"/>
      <c r="FV198" s="296"/>
      <c r="FW198" s="98"/>
      <c r="FX198" s="467"/>
      <c r="FY198" s="52"/>
      <c r="FZ198" s="296"/>
      <c r="GA198" s="98"/>
      <c r="GB198" s="467"/>
      <c r="GC198" s="52"/>
      <c r="GD198" s="296"/>
      <c r="GE198" s="98"/>
      <c r="GF198" s="467"/>
      <c r="GG198" s="52"/>
      <c r="GH198" s="296"/>
      <c r="GI198" s="98"/>
      <c r="GJ198" s="467"/>
      <c r="GK198" s="52"/>
      <c r="GL198" s="296"/>
      <c r="GM198" s="464"/>
      <c r="GN198" s="467"/>
      <c r="GO198" s="52"/>
      <c r="GP198" s="296"/>
      <c r="GQ198" s="464"/>
      <c r="GR198" s="467"/>
      <c r="GS198" s="52"/>
      <c r="GT198" s="296"/>
      <c r="GU198" s="464"/>
      <c r="GV198" s="467"/>
      <c r="GW198" s="52"/>
      <c r="GX198" s="296"/>
      <c r="GY198" s="464"/>
      <c r="GZ198" s="467"/>
      <c r="HA198" s="52"/>
      <c r="HB198" s="296"/>
      <c r="HC198" s="3"/>
    </row>
    <row r="199" spans="1:211" s="86" customFormat="1">
      <c r="A199" s="489" t="s">
        <v>29</v>
      </c>
      <c r="B199" s="308" t="s">
        <v>567</v>
      </c>
      <c r="C199" s="307">
        <v>156921</v>
      </c>
      <c r="D199" s="341">
        <v>8</v>
      </c>
      <c r="E199" s="460">
        <v>2322</v>
      </c>
      <c r="F199" s="277">
        <v>1884</v>
      </c>
      <c r="G199" s="158"/>
      <c r="H199" s="277"/>
      <c r="I199" s="158">
        <v>869</v>
      </c>
      <c r="J199" s="277">
        <v>933</v>
      </c>
      <c r="K199" s="160">
        <f t="shared" si="71"/>
        <v>0</v>
      </c>
      <c r="L199" s="161">
        <f t="shared" si="64"/>
        <v>0</v>
      </c>
      <c r="M199" s="54"/>
      <c r="N199" s="55"/>
      <c r="O199" s="55"/>
      <c r="P199" s="55"/>
      <c r="Q199" s="162">
        <f t="shared" si="72"/>
        <v>0</v>
      </c>
      <c r="R199" s="277"/>
      <c r="S199" s="277"/>
      <c r="T199" s="277"/>
      <c r="U199" s="277"/>
      <c r="V199" s="97">
        <f t="shared" si="73"/>
        <v>0</v>
      </c>
      <c r="W199" s="279"/>
      <c r="X199" s="52"/>
      <c r="Y199" s="99"/>
      <c r="Z199" s="53"/>
      <c r="AA199" s="228"/>
      <c r="AB199" s="52"/>
      <c r="AC199" s="99"/>
      <c r="AD199" s="53"/>
      <c r="AE199" s="228"/>
      <c r="AF199" s="52"/>
      <c r="AG199" s="99"/>
      <c r="AH199" s="53"/>
      <c r="AI199" s="228"/>
      <c r="AJ199" s="52"/>
      <c r="AK199" s="99"/>
      <c r="AL199" s="53"/>
      <c r="AM199" s="228"/>
      <c r="AN199" s="52"/>
      <c r="AO199" s="99"/>
      <c r="AP199" s="53"/>
      <c r="AQ199" s="50">
        <f t="shared" si="65"/>
        <v>0</v>
      </c>
      <c r="AR199" s="163">
        <f t="shared" si="66"/>
        <v>0</v>
      </c>
      <c r="AS199" s="97">
        <f t="shared" si="67"/>
        <v>0</v>
      </c>
      <c r="AT199" s="278">
        <f t="shared" si="68"/>
        <v>0</v>
      </c>
      <c r="AU199" s="55"/>
      <c r="AV199" s="277"/>
      <c r="AW199" s="279"/>
      <c r="AX199" s="52"/>
      <c r="AY199" s="105"/>
      <c r="AZ199" s="98"/>
      <c r="BA199" s="279"/>
      <c r="BB199" s="52"/>
      <c r="BC199" s="105"/>
      <c r="BD199" s="98"/>
      <c r="BE199" s="279"/>
      <c r="BF199" s="52"/>
      <c r="BG199" s="105"/>
      <c r="BH199" s="98"/>
      <c r="BI199" s="279"/>
      <c r="BJ199" s="52"/>
      <c r="BK199" s="105"/>
      <c r="BL199" s="98"/>
      <c r="BM199" s="279"/>
      <c r="BN199" s="52"/>
      <c r="BO199" s="105"/>
      <c r="BP199" s="98"/>
      <c r="BQ199" s="279"/>
      <c r="BR199" s="52"/>
      <c r="BS199" s="105"/>
      <c r="BT199" s="98"/>
      <c r="BU199" s="279"/>
      <c r="BV199" s="52"/>
      <c r="BW199" s="105"/>
      <c r="BX199" s="98"/>
      <c r="BY199" s="279"/>
      <c r="BZ199" s="52"/>
      <c r="CA199" s="105"/>
      <c r="CB199" s="98"/>
      <c r="CC199" s="279"/>
      <c r="CD199" s="52"/>
      <c r="CE199" s="105"/>
      <c r="CF199" s="98"/>
      <c r="CG199" s="279"/>
      <c r="CH199" s="52"/>
      <c r="CI199" s="105"/>
      <c r="CJ199" s="98"/>
      <c r="CK199" s="281"/>
      <c r="CL199" s="277"/>
      <c r="CM199" s="159"/>
      <c r="CN199" s="277"/>
      <c r="CO199" s="50">
        <f t="shared" si="74"/>
        <v>0</v>
      </c>
      <c r="CP199" s="103">
        <f t="shared" si="75"/>
        <v>0</v>
      </c>
      <c r="CQ199" s="280">
        <f t="shared" si="76"/>
        <v>0</v>
      </c>
      <c r="CR199" s="63">
        <f t="shared" si="77"/>
        <v>0</v>
      </c>
      <c r="CS199" s="279"/>
      <c r="CT199" s="52"/>
      <c r="CU199" s="105"/>
      <c r="CV199" s="98"/>
      <c r="CW199" s="279"/>
      <c r="CX199" s="52"/>
      <c r="CY199" s="105"/>
      <c r="CZ199" s="98"/>
      <c r="DA199" s="279"/>
      <c r="DB199" s="52"/>
      <c r="DC199" s="105"/>
      <c r="DD199" s="98"/>
      <c r="DE199" s="279"/>
      <c r="DF199" s="52"/>
      <c r="DG199" s="105"/>
      <c r="DH199" s="98"/>
      <c r="DI199" s="279"/>
      <c r="DJ199" s="52"/>
      <c r="DK199" s="105"/>
      <c r="DL199" s="98"/>
      <c r="DM199" s="279"/>
      <c r="DN199" s="52"/>
      <c r="DO199" s="105"/>
      <c r="DP199" s="98"/>
      <c r="DQ199" s="279"/>
      <c r="DR199" s="52"/>
      <c r="DS199" s="105"/>
      <c r="DT199" s="98"/>
      <c r="DU199" s="279"/>
      <c r="DV199" s="52"/>
      <c r="DW199" s="105"/>
      <c r="DX199" s="98"/>
      <c r="DY199" s="279"/>
      <c r="DZ199" s="52"/>
      <c r="EA199" s="105"/>
      <c r="EB199" s="98"/>
      <c r="EC199" s="279"/>
      <c r="ED199" s="52"/>
      <c r="EE199" s="105"/>
      <c r="EF199" s="98"/>
      <c r="EG199" s="159"/>
      <c r="EH199" s="277"/>
      <c r="EI199" s="50">
        <f t="shared" si="78"/>
        <v>0</v>
      </c>
      <c r="EJ199" s="103">
        <f t="shared" si="79"/>
        <v>0</v>
      </c>
      <c r="EK199" s="164">
        <f t="shared" si="80"/>
        <v>0</v>
      </c>
      <c r="EL199" s="280">
        <f t="shared" si="81"/>
        <v>0</v>
      </c>
      <c r="EM199" s="63">
        <f t="shared" si="82"/>
        <v>0</v>
      </c>
      <c r="EN199" s="359">
        <f t="shared" si="83"/>
        <v>0</v>
      </c>
      <c r="EO199" s="51">
        <f t="shared" si="84"/>
        <v>0</v>
      </c>
      <c r="EP199" s="361">
        <f t="shared" si="85"/>
        <v>0</v>
      </c>
      <c r="EQ199" s="281"/>
      <c r="ER199" s="277"/>
      <c r="ES199" s="281"/>
      <c r="ET199" s="277"/>
      <c r="EU199" s="281"/>
      <c r="EV199" s="277"/>
      <c r="EW199" s="281"/>
      <c r="EX199" s="277"/>
      <c r="EY199" s="281"/>
      <c r="EZ199" s="277"/>
      <c r="FA199" s="281"/>
      <c r="FB199" s="277"/>
      <c r="FC199" s="281"/>
      <c r="FD199" s="277"/>
      <c r="FE199" s="281"/>
      <c r="FF199" s="277"/>
      <c r="FG199" s="281"/>
      <c r="FH199" s="277"/>
      <c r="FI199" s="281"/>
      <c r="FJ199" s="277"/>
      <c r="FK199" s="50">
        <f t="shared" si="86"/>
        <v>0</v>
      </c>
      <c r="FL199" s="63">
        <f t="shared" si="87"/>
        <v>0</v>
      </c>
      <c r="FM199" s="50">
        <f t="shared" si="69"/>
        <v>3191</v>
      </c>
      <c r="FN199" s="360">
        <f t="shared" si="70"/>
        <v>2817</v>
      </c>
      <c r="FO199" s="3"/>
      <c r="FP199" s="279"/>
      <c r="FQ199" s="52"/>
      <c r="FR199" s="296"/>
      <c r="FS199" s="98"/>
      <c r="FT199" s="467"/>
      <c r="FU199" s="52"/>
      <c r="FV199" s="296"/>
      <c r="FW199" s="98"/>
      <c r="FX199" s="467"/>
      <c r="FY199" s="52"/>
      <c r="FZ199" s="296"/>
      <c r="GA199" s="98"/>
      <c r="GB199" s="467"/>
      <c r="GC199" s="52"/>
      <c r="GD199" s="296"/>
      <c r="GE199" s="98"/>
      <c r="GF199" s="467"/>
      <c r="GG199" s="52"/>
      <c r="GH199" s="296"/>
      <c r="GI199" s="98"/>
      <c r="GJ199" s="467"/>
      <c r="GK199" s="52"/>
      <c r="GL199" s="296"/>
      <c r="GM199" s="464"/>
      <c r="GN199" s="467"/>
      <c r="GO199" s="52"/>
      <c r="GP199" s="296"/>
      <c r="GQ199" s="464"/>
      <c r="GR199" s="467"/>
      <c r="GS199" s="52"/>
      <c r="GT199" s="296"/>
      <c r="GU199" s="464"/>
      <c r="GV199" s="467"/>
      <c r="GW199" s="52"/>
      <c r="GX199" s="296"/>
      <c r="GY199" s="464"/>
      <c r="GZ199" s="467"/>
      <c r="HA199" s="52"/>
      <c r="HB199" s="296"/>
      <c r="HC199" s="3"/>
    </row>
    <row r="200" spans="1:211" s="86" customFormat="1">
      <c r="A200" s="489" t="s">
        <v>29</v>
      </c>
      <c r="B200" s="308" t="s">
        <v>568</v>
      </c>
      <c r="C200" s="307">
        <v>156231</v>
      </c>
      <c r="D200" s="341">
        <v>9</v>
      </c>
      <c r="E200" s="460">
        <v>729</v>
      </c>
      <c r="F200" s="277">
        <v>694</v>
      </c>
      <c r="G200" s="158"/>
      <c r="H200" s="277"/>
      <c r="I200" s="158">
        <v>281</v>
      </c>
      <c r="J200" s="277">
        <v>336</v>
      </c>
      <c r="K200" s="160">
        <f t="shared" si="71"/>
        <v>0</v>
      </c>
      <c r="L200" s="161">
        <f t="shared" si="64"/>
        <v>0</v>
      </c>
      <c r="M200" s="54"/>
      <c r="N200" s="55"/>
      <c r="O200" s="55"/>
      <c r="P200" s="55"/>
      <c r="Q200" s="162">
        <f t="shared" si="72"/>
        <v>0</v>
      </c>
      <c r="R200" s="277"/>
      <c r="S200" s="277"/>
      <c r="T200" s="277"/>
      <c r="U200" s="277"/>
      <c r="V200" s="97">
        <f t="shared" si="73"/>
        <v>0</v>
      </c>
      <c r="W200" s="279"/>
      <c r="X200" s="52"/>
      <c r="Y200" s="99"/>
      <c r="Z200" s="53"/>
      <c r="AA200" s="228"/>
      <c r="AB200" s="52"/>
      <c r="AC200" s="99"/>
      <c r="AD200" s="53"/>
      <c r="AE200" s="228"/>
      <c r="AF200" s="52"/>
      <c r="AG200" s="99"/>
      <c r="AH200" s="53"/>
      <c r="AI200" s="228"/>
      <c r="AJ200" s="52"/>
      <c r="AK200" s="99"/>
      <c r="AL200" s="53"/>
      <c r="AM200" s="228"/>
      <c r="AN200" s="52"/>
      <c r="AO200" s="99"/>
      <c r="AP200" s="53"/>
      <c r="AQ200" s="50">
        <f t="shared" si="65"/>
        <v>0</v>
      </c>
      <c r="AR200" s="163">
        <f t="shared" si="66"/>
        <v>0</v>
      </c>
      <c r="AS200" s="97">
        <f t="shared" si="67"/>
        <v>0</v>
      </c>
      <c r="AT200" s="278">
        <f t="shared" si="68"/>
        <v>0</v>
      </c>
      <c r="AU200" s="55"/>
      <c r="AV200" s="277"/>
      <c r="AW200" s="279"/>
      <c r="AX200" s="52"/>
      <c r="AY200" s="105"/>
      <c r="AZ200" s="98"/>
      <c r="BA200" s="279"/>
      <c r="BB200" s="52"/>
      <c r="BC200" s="105"/>
      <c r="BD200" s="98"/>
      <c r="BE200" s="279"/>
      <c r="BF200" s="52"/>
      <c r="BG200" s="105"/>
      <c r="BH200" s="98"/>
      <c r="BI200" s="279"/>
      <c r="BJ200" s="52"/>
      <c r="BK200" s="105"/>
      <c r="BL200" s="98"/>
      <c r="BM200" s="279"/>
      <c r="BN200" s="52"/>
      <c r="BO200" s="105"/>
      <c r="BP200" s="98"/>
      <c r="BQ200" s="279"/>
      <c r="BR200" s="52"/>
      <c r="BS200" s="105"/>
      <c r="BT200" s="98"/>
      <c r="BU200" s="279"/>
      <c r="BV200" s="52"/>
      <c r="BW200" s="105"/>
      <c r="BX200" s="98"/>
      <c r="BY200" s="279"/>
      <c r="BZ200" s="52"/>
      <c r="CA200" s="105"/>
      <c r="CB200" s="98"/>
      <c r="CC200" s="279"/>
      <c r="CD200" s="52"/>
      <c r="CE200" s="105"/>
      <c r="CF200" s="98"/>
      <c r="CG200" s="279"/>
      <c r="CH200" s="52"/>
      <c r="CI200" s="105"/>
      <c r="CJ200" s="98"/>
      <c r="CK200" s="281"/>
      <c r="CL200" s="277"/>
      <c r="CM200" s="159"/>
      <c r="CN200" s="277"/>
      <c r="CO200" s="50">
        <f t="shared" si="74"/>
        <v>0</v>
      </c>
      <c r="CP200" s="103">
        <f t="shared" si="75"/>
        <v>0</v>
      </c>
      <c r="CQ200" s="280">
        <f t="shared" si="76"/>
        <v>0</v>
      </c>
      <c r="CR200" s="63">
        <f t="shared" si="77"/>
        <v>0</v>
      </c>
      <c r="CS200" s="279"/>
      <c r="CT200" s="52"/>
      <c r="CU200" s="105"/>
      <c r="CV200" s="98"/>
      <c r="CW200" s="279"/>
      <c r="CX200" s="52"/>
      <c r="CY200" s="105"/>
      <c r="CZ200" s="98"/>
      <c r="DA200" s="279"/>
      <c r="DB200" s="52"/>
      <c r="DC200" s="105"/>
      <c r="DD200" s="98"/>
      <c r="DE200" s="279"/>
      <c r="DF200" s="52"/>
      <c r="DG200" s="105"/>
      <c r="DH200" s="98"/>
      <c r="DI200" s="279"/>
      <c r="DJ200" s="52"/>
      <c r="DK200" s="105"/>
      <c r="DL200" s="98"/>
      <c r="DM200" s="279"/>
      <c r="DN200" s="52"/>
      <c r="DO200" s="105"/>
      <c r="DP200" s="98"/>
      <c r="DQ200" s="279"/>
      <c r="DR200" s="52"/>
      <c r="DS200" s="105"/>
      <c r="DT200" s="98"/>
      <c r="DU200" s="279"/>
      <c r="DV200" s="52"/>
      <c r="DW200" s="105"/>
      <c r="DX200" s="98"/>
      <c r="DY200" s="279"/>
      <c r="DZ200" s="52"/>
      <c r="EA200" s="105"/>
      <c r="EB200" s="98"/>
      <c r="EC200" s="279"/>
      <c r="ED200" s="52"/>
      <c r="EE200" s="105"/>
      <c r="EF200" s="98"/>
      <c r="EG200" s="159"/>
      <c r="EH200" s="277"/>
      <c r="EI200" s="50">
        <f t="shared" si="78"/>
        <v>0</v>
      </c>
      <c r="EJ200" s="103">
        <f t="shared" si="79"/>
        <v>0</v>
      </c>
      <c r="EK200" s="164">
        <f t="shared" si="80"/>
        <v>0</v>
      </c>
      <c r="EL200" s="280">
        <f t="shared" si="81"/>
        <v>0</v>
      </c>
      <c r="EM200" s="63">
        <f t="shared" si="82"/>
        <v>0</v>
      </c>
      <c r="EN200" s="359">
        <f t="shared" si="83"/>
        <v>0</v>
      </c>
      <c r="EO200" s="51">
        <f t="shared" si="84"/>
        <v>0</v>
      </c>
      <c r="EP200" s="361">
        <f t="shared" si="85"/>
        <v>0</v>
      </c>
      <c r="EQ200" s="281"/>
      <c r="ER200" s="277"/>
      <c r="ES200" s="281"/>
      <c r="ET200" s="277"/>
      <c r="EU200" s="281"/>
      <c r="EV200" s="277"/>
      <c r="EW200" s="281"/>
      <c r="EX200" s="277"/>
      <c r="EY200" s="281"/>
      <c r="EZ200" s="277"/>
      <c r="FA200" s="281"/>
      <c r="FB200" s="277"/>
      <c r="FC200" s="281"/>
      <c r="FD200" s="277"/>
      <c r="FE200" s="281"/>
      <c r="FF200" s="277"/>
      <c r="FG200" s="281"/>
      <c r="FH200" s="277"/>
      <c r="FI200" s="281"/>
      <c r="FJ200" s="277"/>
      <c r="FK200" s="50">
        <f t="shared" si="86"/>
        <v>0</v>
      </c>
      <c r="FL200" s="63">
        <f t="shared" si="87"/>
        <v>0</v>
      </c>
      <c r="FM200" s="50">
        <f t="shared" si="69"/>
        <v>1010</v>
      </c>
      <c r="FN200" s="360">
        <f t="shared" si="70"/>
        <v>1030</v>
      </c>
      <c r="FO200" s="3"/>
      <c r="FP200" s="279"/>
      <c r="FQ200" s="52"/>
      <c r="FR200" s="296"/>
      <c r="FS200" s="98"/>
      <c r="FT200" s="467"/>
      <c r="FU200" s="52"/>
      <c r="FV200" s="296"/>
      <c r="FW200" s="98"/>
      <c r="FX200" s="467"/>
      <c r="FY200" s="52"/>
      <c r="FZ200" s="296"/>
      <c r="GA200" s="98"/>
      <c r="GB200" s="467"/>
      <c r="GC200" s="52"/>
      <c r="GD200" s="296"/>
      <c r="GE200" s="98"/>
      <c r="GF200" s="467"/>
      <c r="GG200" s="52"/>
      <c r="GH200" s="296"/>
      <c r="GI200" s="98"/>
      <c r="GJ200" s="467"/>
      <c r="GK200" s="52"/>
      <c r="GL200" s="296"/>
      <c r="GM200" s="464"/>
      <c r="GN200" s="467"/>
      <c r="GO200" s="52"/>
      <c r="GP200" s="296"/>
      <c r="GQ200" s="464"/>
      <c r="GR200" s="467"/>
      <c r="GS200" s="52"/>
      <c r="GT200" s="296"/>
      <c r="GU200" s="464"/>
      <c r="GV200" s="467"/>
      <c r="GW200" s="52"/>
      <c r="GX200" s="296"/>
      <c r="GY200" s="464"/>
      <c r="GZ200" s="467"/>
      <c r="HA200" s="52"/>
      <c r="HB200" s="296"/>
      <c r="HC200" s="3"/>
    </row>
    <row r="201" spans="1:211" s="86" customFormat="1">
      <c r="A201" s="489" t="s">
        <v>29</v>
      </c>
      <c r="B201" s="308" t="s">
        <v>569</v>
      </c>
      <c r="C201" s="285">
        <v>157553</v>
      </c>
      <c r="D201" s="341">
        <v>9</v>
      </c>
      <c r="E201" s="460">
        <v>717</v>
      </c>
      <c r="F201" s="277">
        <v>410</v>
      </c>
      <c r="G201" s="158"/>
      <c r="H201" s="277"/>
      <c r="I201" s="158">
        <v>255</v>
      </c>
      <c r="J201" s="277">
        <v>267</v>
      </c>
      <c r="K201" s="160">
        <f t="shared" si="71"/>
        <v>0</v>
      </c>
      <c r="L201" s="161">
        <f t="shared" si="64"/>
        <v>0</v>
      </c>
      <c r="M201" s="54"/>
      <c r="N201" s="55"/>
      <c r="O201" s="55"/>
      <c r="P201" s="55"/>
      <c r="Q201" s="162">
        <f t="shared" si="72"/>
        <v>0</v>
      </c>
      <c r="R201" s="277"/>
      <c r="S201" s="277"/>
      <c r="T201" s="277"/>
      <c r="U201" s="277"/>
      <c r="V201" s="97">
        <f t="shared" si="73"/>
        <v>0</v>
      </c>
      <c r="W201" s="279"/>
      <c r="X201" s="52"/>
      <c r="Y201" s="99"/>
      <c r="Z201" s="53"/>
      <c r="AA201" s="228"/>
      <c r="AB201" s="52"/>
      <c r="AC201" s="99"/>
      <c r="AD201" s="53"/>
      <c r="AE201" s="228"/>
      <c r="AF201" s="52"/>
      <c r="AG201" s="99"/>
      <c r="AH201" s="53"/>
      <c r="AI201" s="228"/>
      <c r="AJ201" s="52"/>
      <c r="AK201" s="99"/>
      <c r="AL201" s="53"/>
      <c r="AM201" s="228"/>
      <c r="AN201" s="52"/>
      <c r="AO201" s="99"/>
      <c r="AP201" s="53"/>
      <c r="AQ201" s="50">
        <f t="shared" si="65"/>
        <v>0</v>
      </c>
      <c r="AR201" s="163">
        <f t="shared" si="66"/>
        <v>0</v>
      </c>
      <c r="AS201" s="97">
        <f t="shared" si="67"/>
        <v>0</v>
      </c>
      <c r="AT201" s="278">
        <f t="shared" si="68"/>
        <v>0</v>
      </c>
      <c r="AU201" s="55"/>
      <c r="AV201" s="277"/>
      <c r="AW201" s="279"/>
      <c r="AX201" s="52"/>
      <c r="AY201" s="105"/>
      <c r="AZ201" s="98"/>
      <c r="BA201" s="279"/>
      <c r="BB201" s="52"/>
      <c r="BC201" s="105"/>
      <c r="BD201" s="98"/>
      <c r="BE201" s="279"/>
      <c r="BF201" s="52"/>
      <c r="BG201" s="105"/>
      <c r="BH201" s="98"/>
      <c r="BI201" s="279"/>
      <c r="BJ201" s="52"/>
      <c r="BK201" s="105"/>
      <c r="BL201" s="98"/>
      <c r="BM201" s="279"/>
      <c r="BN201" s="52"/>
      <c r="BO201" s="105"/>
      <c r="BP201" s="98"/>
      <c r="BQ201" s="279"/>
      <c r="BR201" s="52"/>
      <c r="BS201" s="105"/>
      <c r="BT201" s="98"/>
      <c r="BU201" s="279"/>
      <c r="BV201" s="52"/>
      <c r="BW201" s="105"/>
      <c r="BX201" s="98"/>
      <c r="BY201" s="279"/>
      <c r="BZ201" s="52"/>
      <c r="CA201" s="105"/>
      <c r="CB201" s="98"/>
      <c r="CC201" s="279"/>
      <c r="CD201" s="52"/>
      <c r="CE201" s="105"/>
      <c r="CF201" s="98"/>
      <c r="CG201" s="279"/>
      <c r="CH201" s="52"/>
      <c r="CI201" s="105"/>
      <c r="CJ201" s="98"/>
      <c r="CK201" s="281"/>
      <c r="CL201" s="277"/>
      <c r="CM201" s="159"/>
      <c r="CN201" s="277"/>
      <c r="CO201" s="50">
        <f t="shared" si="74"/>
        <v>0</v>
      </c>
      <c r="CP201" s="103">
        <f t="shared" si="75"/>
        <v>0</v>
      </c>
      <c r="CQ201" s="280">
        <f t="shared" si="76"/>
        <v>0</v>
      </c>
      <c r="CR201" s="63">
        <f t="shared" si="77"/>
        <v>0</v>
      </c>
      <c r="CS201" s="279"/>
      <c r="CT201" s="52"/>
      <c r="CU201" s="105"/>
      <c r="CV201" s="98"/>
      <c r="CW201" s="279"/>
      <c r="CX201" s="52"/>
      <c r="CY201" s="105"/>
      <c r="CZ201" s="98"/>
      <c r="DA201" s="279"/>
      <c r="DB201" s="52"/>
      <c r="DC201" s="105"/>
      <c r="DD201" s="98"/>
      <c r="DE201" s="279"/>
      <c r="DF201" s="52"/>
      <c r="DG201" s="105"/>
      <c r="DH201" s="98"/>
      <c r="DI201" s="279"/>
      <c r="DJ201" s="52"/>
      <c r="DK201" s="105"/>
      <c r="DL201" s="98"/>
      <c r="DM201" s="279"/>
      <c r="DN201" s="52"/>
      <c r="DO201" s="105"/>
      <c r="DP201" s="98"/>
      <c r="DQ201" s="279"/>
      <c r="DR201" s="52"/>
      <c r="DS201" s="105"/>
      <c r="DT201" s="98"/>
      <c r="DU201" s="279"/>
      <c r="DV201" s="52"/>
      <c r="DW201" s="105"/>
      <c r="DX201" s="98"/>
      <c r="DY201" s="279"/>
      <c r="DZ201" s="52"/>
      <c r="EA201" s="105"/>
      <c r="EB201" s="98"/>
      <c r="EC201" s="279"/>
      <c r="ED201" s="52"/>
      <c r="EE201" s="105"/>
      <c r="EF201" s="98"/>
      <c r="EG201" s="159"/>
      <c r="EH201" s="277"/>
      <c r="EI201" s="50">
        <f t="shared" si="78"/>
        <v>0</v>
      </c>
      <c r="EJ201" s="103">
        <f t="shared" si="79"/>
        <v>0</v>
      </c>
      <c r="EK201" s="164">
        <f t="shared" si="80"/>
        <v>0</v>
      </c>
      <c r="EL201" s="280">
        <f t="shared" si="81"/>
        <v>0</v>
      </c>
      <c r="EM201" s="63">
        <f t="shared" si="82"/>
        <v>0</v>
      </c>
      <c r="EN201" s="359">
        <f t="shared" si="83"/>
        <v>0</v>
      </c>
      <c r="EO201" s="51">
        <f t="shared" si="84"/>
        <v>0</v>
      </c>
      <c r="EP201" s="361">
        <f t="shared" si="85"/>
        <v>0</v>
      </c>
      <c r="EQ201" s="281"/>
      <c r="ER201" s="277"/>
      <c r="ES201" s="281"/>
      <c r="ET201" s="277"/>
      <c r="EU201" s="281"/>
      <c r="EV201" s="277"/>
      <c r="EW201" s="281"/>
      <c r="EX201" s="277"/>
      <c r="EY201" s="281"/>
      <c r="EZ201" s="277"/>
      <c r="FA201" s="281"/>
      <c r="FB201" s="277"/>
      <c r="FC201" s="281"/>
      <c r="FD201" s="277"/>
      <c r="FE201" s="281"/>
      <c r="FF201" s="277"/>
      <c r="FG201" s="281"/>
      <c r="FH201" s="277"/>
      <c r="FI201" s="281"/>
      <c r="FJ201" s="277"/>
      <c r="FK201" s="50">
        <f t="shared" si="86"/>
        <v>0</v>
      </c>
      <c r="FL201" s="63">
        <f t="shared" si="87"/>
        <v>0</v>
      </c>
      <c r="FM201" s="50">
        <f t="shared" si="69"/>
        <v>972</v>
      </c>
      <c r="FN201" s="360">
        <f t="shared" si="70"/>
        <v>677</v>
      </c>
      <c r="FO201" s="3"/>
      <c r="FP201" s="279"/>
      <c r="FQ201" s="52"/>
      <c r="FR201" s="296"/>
      <c r="FS201" s="98"/>
      <c r="FT201" s="467"/>
      <c r="FU201" s="52"/>
      <c r="FV201" s="296"/>
      <c r="FW201" s="98"/>
      <c r="FX201" s="467"/>
      <c r="FY201" s="52"/>
      <c r="FZ201" s="296"/>
      <c r="GA201" s="98"/>
      <c r="GB201" s="467"/>
      <c r="GC201" s="52"/>
      <c r="GD201" s="296"/>
      <c r="GE201" s="98"/>
      <c r="GF201" s="467"/>
      <c r="GG201" s="52"/>
      <c r="GH201" s="296"/>
      <c r="GI201" s="98"/>
      <c r="GJ201" s="467"/>
      <c r="GK201" s="52"/>
      <c r="GL201" s="296"/>
      <c r="GM201" s="464"/>
      <c r="GN201" s="467"/>
      <c r="GO201" s="52"/>
      <c r="GP201" s="296"/>
      <c r="GQ201" s="464"/>
      <c r="GR201" s="467"/>
      <c r="GS201" s="52"/>
      <c r="GT201" s="296"/>
      <c r="GU201" s="464"/>
      <c r="GV201" s="467"/>
      <c r="GW201" s="52"/>
      <c r="GX201" s="296"/>
      <c r="GY201" s="464"/>
      <c r="GZ201" s="467"/>
      <c r="HA201" s="52"/>
      <c r="HB201" s="296"/>
      <c r="HC201" s="3"/>
    </row>
    <row r="202" spans="1:211" s="86" customFormat="1">
      <c r="A202" s="489" t="s">
        <v>29</v>
      </c>
      <c r="B202" s="308" t="s">
        <v>570</v>
      </c>
      <c r="C202" s="285">
        <v>156648</v>
      </c>
      <c r="D202" s="341">
        <v>9</v>
      </c>
      <c r="E202" s="460">
        <v>1779</v>
      </c>
      <c r="F202" s="277">
        <v>1592</v>
      </c>
      <c r="G202" s="158"/>
      <c r="H202" s="277"/>
      <c r="I202" s="158">
        <v>447</v>
      </c>
      <c r="J202" s="277">
        <v>518</v>
      </c>
      <c r="K202" s="160">
        <f t="shared" si="71"/>
        <v>0</v>
      </c>
      <c r="L202" s="161">
        <f t="shared" ref="L202:L265" si="88">IF(R202&gt;0,J202/R202, )</f>
        <v>0</v>
      </c>
      <c r="M202" s="54"/>
      <c r="N202" s="55"/>
      <c r="O202" s="55"/>
      <c r="P202" s="55"/>
      <c r="Q202" s="162">
        <f t="shared" si="72"/>
        <v>0</v>
      </c>
      <c r="R202" s="277"/>
      <c r="S202" s="277"/>
      <c r="T202" s="277"/>
      <c r="U202" s="277"/>
      <c r="V202" s="97">
        <f t="shared" si="73"/>
        <v>0</v>
      </c>
      <c r="W202" s="279"/>
      <c r="X202" s="52"/>
      <c r="Y202" s="99"/>
      <c r="Z202" s="53"/>
      <c r="AA202" s="228"/>
      <c r="AB202" s="52"/>
      <c r="AC202" s="99"/>
      <c r="AD202" s="53"/>
      <c r="AE202" s="228"/>
      <c r="AF202" s="52"/>
      <c r="AG202" s="99"/>
      <c r="AH202" s="53"/>
      <c r="AI202" s="228"/>
      <c r="AJ202" s="52"/>
      <c r="AK202" s="99"/>
      <c r="AL202" s="53"/>
      <c r="AM202" s="228"/>
      <c r="AN202" s="52"/>
      <c r="AO202" s="99"/>
      <c r="AP202" s="53"/>
      <c r="AQ202" s="50">
        <f t="shared" ref="AQ202:AQ265" si="89">COUNTA(W202,AA202,AE202,AI202,AM202)</f>
        <v>0</v>
      </c>
      <c r="AR202" s="163">
        <f t="shared" ref="AR202:AR265" si="90">IF(FM202&gt;0,M202/FM202,)</f>
        <v>0</v>
      </c>
      <c r="AS202" s="97">
        <f t="shared" ref="AS202:AS265" si="91">COUNTA(Y202,AC202,AG202,AK202,AO202)</f>
        <v>0</v>
      </c>
      <c r="AT202" s="278">
        <f t="shared" ref="AT202:AT265" si="92">IF(FN202&gt;0,R202/FN202,)</f>
        <v>0</v>
      </c>
      <c r="AU202" s="55"/>
      <c r="AV202" s="277"/>
      <c r="AW202" s="279"/>
      <c r="AX202" s="52"/>
      <c r="AY202" s="105"/>
      <c r="AZ202" s="98"/>
      <c r="BA202" s="279"/>
      <c r="BB202" s="52"/>
      <c r="BC202" s="105"/>
      <c r="BD202" s="98"/>
      <c r="BE202" s="279"/>
      <c r="BF202" s="52"/>
      <c r="BG202" s="105"/>
      <c r="BH202" s="98"/>
      <c r="BI202" s="279"/>
      <c r="BJ202" s="52"/>
      <c r="BK202" s="105"/>
      <c r="BL202" s="98"/>
      <c r="BM202" s="279"/>
      <c r="BN202" s="52"/>
      <c r="BO202" s="105"/>
      <c r="BP202" s="98"/>
      <c r="BQ202" s="279"/>
      <c r="BR202" s="52"/>
      <c r="BS202" s="105"/>
      <c r="BT202" s="98"/>
      <c r="BU202" s="279"/>
      <c r="BV202" s="52"/>
      <c r="BW202" s="105"/>
      <c r="BX202" s="98"/>
      <c r="BY202" s="279"/>
      <c r="BZ202" s="52"/>
      <c r="CA202" s="105"/>
      <c r="CB202" s="98"/>
      <c r="CC202" s="279"/>
      <c r="CD202" s="52"/>
      <c r="CE202" s="105"/>
      <c r="CF202" s="98"/>
      <c r="CG202" s="279"/>
      <c r="CH202" s="52"/>
      <c r="CI202" s="105"/>
      <c r="CJ202" s="98"/>
      <c r="CK202" s="281"/>
      <c r="CL202" s="277"/>
      <c r="CM202" s="159"/>
      <c r="CN202" s="277"/>
      <c r="CO202" s="50">
        <f t="shared" si="74"/>
        <v>0</v>
      </c>
      <c r="CP202" s="103">
        <f t="shared" si="75"/>
        <v>0</v>
      </c>
      <c r="CQ202" s="280">
        <f t="shared" si="76"/>
        <v>0</v>
      </c>
      <c r="CR202" s="63">
        <f t="shared" si="77"/>
        <v>0</v>
      </c>
      <c r="CS202" s="279"/>
      <c r="CT202" s="52"/>
      <c r="CU202" s="105"/>
      <c r="CV202" s="98"/>
      <c r="CW202" s="279"/>
      <c r="CX202" s="52"/>
      <c r="CY202" s="105"/>
      <c r="CZ202" s="98"/>
      <c r="DA202" s="279"/>
      <c r="DB202" s="52"/>
      <c r="DC202" s="105"/>
      <c r="DD202" s="98"/>
      <c r="DE202" s="279"/>
      <c r="DF202" s="52"/>
      <c r="DG202" s="105"/>
      <c r="DH202" s="98"/>
      <c r="DI202" s="279"/>
      <c r="DJ202" s="52"/>
      <c r="DK202" s="105"/>
      <c r="DL202" s="98"/>
      <c r="DM202" s="279"/>
      <c r="DN202" s="52"/>
      <c r="DO202" s="105"/>
      <c r="DP202" s="98"/>
      <c r="DQ202" s="279"/>
      <c r="DR202" s="52"/>
      <c r="DS202" s="105"/>
      <c r="DT202" s="98"/>
      <c r="DU202" s="279"/>
      <c r="DV202" s="52"/>
      <c r="DW202" s="105"/>
      <c r="DX202" s="98"/>
      <c r="DY202" s="279"/>
      <c r="DZ202" s="52"/>
      <c r="EA202" s="105"/>
      <c r="EB202" s="98"/>
      <c r="EC202" s="279"/>
      <c r="ED202" s="52"/>
      <c r="EE202" s="105"/>
      <c r="EF202" s="98"/>
      <c r="EG202" s="159"/>
      <c r="EH202" s="277"/>
      <c r="EI202" s="50">
        <f t="shared" si="78"/>
        <v>0</v>
      </c>
      <c r="EJ202" s="103">
        <f t="shared" si="79"/>
        <v>0</v>
      </c>
      <c r="EK202" s="164">
        <f t="shared" si="80"/>
        <v>0</v>
      </c>
      <c r="EL202" s="280">
        <f t="shared" si="81"/>
        <v>0</v>
      </c>
      <c r="EM202" s="63">
        <f t="shared" si="82"/>
        <v>0</v>
      </c>
      <c r="EN202" s="359">
        <f t="shared" si="83"/>
        <v>0</v>
      </c>
      <c r="EO202" s="51">
        <f t="shared" si="84"/>
        <v>0</v>
      </c>
      <c r="EP202" s="361">
        <f t="shared" si="85"/>
        <v>0</v>
      </c>
      <c r="EQ202" s="281"/>
      <c r="ER202" s="277"/>
      <c r="ES202" s="281"/>
      <c r="ET202" s="277"/>
      <c r="EU202" s="281"/>
      <c r="EV202" s="277"/>
      <c r="EW202" s="281"/>
      <c r="EX202" s="277"/>
      <c r="EY202" s="281"/>
      <c r="EZ202" s="277"/>
      <c r="FA202" s="281"/>
      <c r="FB202" s="277"/>
      <c r="FC202" s="281"/>
      <c r="FD202" s="277"/>
      <c r="FE202" s="281"/>
      <c r="FF202" s="277"/>
      <c r="FG202" s="281"/>
      <c r="FH202" s="277"/>
      <c r="FI202" s="281"/>
      <c r="FJ202" s="277"/>
      <c r="FK202" s="50">
        <f t="shared" si="86"/>
        <v>0</v>
      </c>
      <c r="FL202" s="63">
        <f t="shared" si="87"/>
        <v>0</v>
      </c>
      <c r="FM202" s="50">
        <f t="shared" ref="FM202:FM265" si="93">E202+G202+I202+M202+AU202+EO202+FK202</f>
        <v>2226</v>
      </c>
      <c r="FN202" s="360">
        <f t="shared" ref="FN202:FN265" si="94">F202+H202+J202+R202+AV202+EP202+FL202</f>
        <v>2110</v>
      </c>
      <c r="FO202" s="3"/>
      <c r="FP202" s="279"/>
      <c r="FQ202" s="52"/>
      <c r="FR202" s="296"/>
      <c r="FS202" s="98"/>
      <c r="FT202" s="467"/>
      <c r="FU202" s="52"/>
      <c r="FV202" s="296"/>
      <c r="FW202" s="98"/>
      <c r="FX202" s="467"/>
      <c r="FY202" s="52"/>
      <c r="FZ202" s="296"/>
      <c r="GA202" s="98"/>
      <c r="GB202" s="467"/>
      <c r="GC202" s="52"/>
      <c r="GD202" s="296"/>
      <c r="GE202" s="98"/>
      <c r="GF202" s="467"/>
      <c r="GG202" s="52"/>
      <c r="GH202" s="296"/>
      <c r="GI202" s="98"/>
      <c r="GJ202" s="467"/>
      <c r="GK202" s="52"/>
      <c r="GL202" s="296"/>
      <c r="GM202" s="464"/>
      <c r="GN202" s="467"/>
      <c r="GO202" s="52"/>
      <c r="GP202" s="296"/>
      <c r="GQ202" s="464"/>
      <c r="GR202" s="467"/>
      <c r="GS202" s="52"/>
      <c r="GT202" s="296"/>
      <c r="GU202" s="464"/>
      <c r="GV202" s="467"/>
      <c r="GW202" s="52"/>
      <c r="GX202" s="296"/>
      <c r="GY202" s="464"/>
      <c r="GZ202" s="467"/>
      <c r="HA202" s="52"/>
      <c r="HB202" s="296"/>
      <c r="HC202" s="3"/>
    </row>
    <row r="203" spans="1:211" s="86" customFormat="1">
      <c r="A203" s="490" t="s">
        <v>29</v>
      </c>
      <c r="B203" s="309" t="s">
        <v>572</v>
      </c>
      <c r="C203" s="285">
        <v>157304</v>
      </c>
      <c r="D203" s="342">
        <v>9</v>
      </c>
      <c r="E203" s="460">
        <v>573</v>
      </c>
      <c r="F203" s="277">
        <v>677</v>
      </c>
      <c r="G203" s="158"/>
      <c r="H203" s="277"/>
      <c r="I203" s="158">
        <v>404</v>
      </c>
      <c r="J203" s="277">
        <v>412</v>
      </c>
      <c r="K203" s="160">
        <f t="shared" ref="K203:K266" si="95">IF(M203&gt;0,I203/M203, )</f>
        <v>0</v>
      </c>
      <c r="L203" s="161">
        <f t="shared" si="88"/>
        <v>0</v>
      </c>
      <c r="M203" s="54"/>
      <c r="N203" s="55"/>
      <c r="O203" s="55"/>
      <c r="P203" s="55"/>
      <c r="Q203" s="162">
        <f t="shared" ref="Q203:Q266" si="96">SUM(N203:P203)</f>
        <v>0</v>
      </c>
      <c r="R203" s="277"/>
      <c r="S203" s="277"/>
      <c r="T203" s="277"/>
      <c r="U203" s="277"/>
      <c r="V203" s="97">
        <f t="shared" ref="V203:V266" si="97">SUM(S203:U203)</f>
        <v>0</v>
      </c>
      <c r="W203" s="279"/>
      <c r="X203" s="52"/>
      <c r="Y203" s="99"/>
      <c r="Z203" s="53"/>
      <c r="AA203" s="228"/>
      <c r="AB203" s="52"/>
      <c r="AC203" s="99"/>
      <c r="AD203" s="53"/>
      <c r="AE203" s="228"/>
      <c r="AF203" s="52"/>
      <c r="AG203" s="99"/>
      <c r="AH203" s="53"/>
      <c r="AI203" s="228"/>
      <c r="AJ203" s="52"/>
      <c r="AK203" s="99"/>
      <c r="AL203" s="53"/>
      <c r="AM203" s="228"/>
      <c r="AN203" s="52"/>
      <c r="AO203" s="99"/>
      <c r="AP203" s="53"/>
      <c r="AQ203" s="50">
        <f t="shared" si="89"/>
        <v>0</v>
      </c>
      <c r="AR203" s="163">
        <f t="shared" si="90"/>
        <v>0</v>
      </c>
      <c r="AS203" s="97">
        <f t="shared" si="91"/>
        <v>0</v>
      </c>
      <c r="AT203" s="278">
        <f t="shared" si="92"/>
        <v>0</v>
      </c>
      <c r="AU203" s="55"/>
      <c r="AV203" s="277"/>
      <c r="AW203" s="279"/>
      <c r="AX203" s="52"/>
      <c r="AY203" s="105"/>
      <c r="AZ203" s="98"/>
      <c r="BA203" s="279"/>
      <c r="BB203" s="52"/>
      <c r="BC203" s="105"/>
      <c r="BD203" s="98"/>
      <c r="BE203" s="279"/>
      <c r="BF203" s="52"/>
      <c r="BG203" s="105"/>
      <c r="BH203" s="98"/>
      <c r="BI203" s="279"/>
      <c r="BJ203" s="52"/>
      <c r="BK203" s="105"/>
      <c r="BL203" s="98"/>
      <c r="BM203" s="279"/>
      <c r="BN203" s="52"/>
      <c r="BO203" s="105"/>
      <c r="BP203" s="98"/>
      <c r="BQ203" s="279"/>
      <c r="BR203" s="52"/>
      <c r="BS203" s="105"/>
      <c r="BT203" s="98"/>
      <c r="BU203" s="279"/>
      <c r="BV203" s="52"/>
      <c r="BW203" s="105"/>
      <c r="BX203" s="98"/>
      <c r="BY203" s="279"/>
      <c r="BZ203" s="52"/>
      <c r="CA203" s="105"/>
      <c r="CB203" s="98"/>
      <c r="CC203" s="279"/>
      <c r="CD203" s="52"/>
      <c r="CE203" s="105"/>
      <c r="CF203" s="98"/>
      <c r="CG203" s="279"/>
      <c r="CH203" s="52"/>
      <c r="CI203" s="105"/>
      <c r="CJ203" s="98"/>
      <c r="CK203" s="281"/>
      <c r="CL203" s="277"/>
      <c r="CM203" s="159"/>
      <c r="CN203" s="277"/>
      <c r="CO203" s="50">
        <f t="shared" ref="CO203:CO266" si="98">AX203+BB203+BF203+BJ203+BN203+BR203+BV203+BZ203+CD203+CH203+CK203+CM203</f>
        <v>0</v>
      </c>
      <c r="CP203" s="103">
        <f t="shared" ref="CP203:CP266" si="99">COUNTA(AW203,BA203,BE203,BI203,BM203,BQ203,BU203,BY203,CC203,CG203)</f>
        <v>0</v>
      </c>
      <c r="CQ203" s="280">
        <f t="shared" ref="CQ203:CQ266" si="100">AZ203+BD203+BH203+BL203+BP203+BT203+BX203+CF203+CB203+CJ203+CL203+CN203</f>
        <v>0</v>
      </c>
      <c r="CR203" s="63">
        <f t="shared" ref="CR203:CR266" si="101">COUNTA(AY203,BC203,BG203,BK203,BO203,BS203,BW203,CE203,CA203,CI203)</f>
        <v>0</v>
      </c>
      <c r="CS203" s="279"/>
      <c r="CT203" s="52"/>
      <c r="CU203" s="105"/>
      <c r="CV203" s="98"/>
      <c r="CW203" s="279"/>
      <c r="CX203" s="52"/>
      <c r="CY203" s="105"/>
      <c r="CZ203" s="98"/>
      <c r="DA203" s="279"/>
      <c r="DB203" s="52"/>
      <c r="DC203" s="105"/>
      <c r="DD203" s="98"/>
      <c r="DE203" s="279"/>
      <c r="DF203" s="52"/>
      <c r="DG203" s="105"/>
      <c r="DH203" s="98"/>
      <c r="DI203" s="279"/>
      <c r="DJ203" s="52"/>
      <c r="DK203" s="105"/>
      <c r="DL203" s="98"/>
      <c r="DM203" s="279"/>
      <c r="DN203" s="52"/>
      <c r="DO203" s="105"/>
      <c r="DP203" s="98"/>
      <c r="DQ203" s="279"/>
      <c r="DR203" s="52"/>
      <c r="DS203" s="105"/>
      <c r="DT203" s="98"/>
      <c r="DU203" s="279"/>
      <c r="DV203" s="52"/>
      <c r="DW203" s="105"/>
      <c r="DX203" s="98"/>
      <c r="DY203" s="279"/>
      <c r="DZ203" s="52"/>
      <c r="EA203" s="105"/>
      <c r="EB203" s="98"/>
      <c r="EC203" s="279"/>
      <c r="ED203" s="52"/>
      <c r="EE203" s="105"/>
      <c r="EF203" s="98"/>
      <c r="EG203" s="159"/>
      <c r="EH203" s="277"/>
      <c r="EI203" s="50">
        <f t="shared" ref="EI203:EI266" si="102">CT203+CX203+DB203+DF203+DJ203+DN203+DR203+DV203+DZ203+ED203+EG203</f>
        <v>0</v>
      </c>
      <c r="EJ203" s="103">
        <f t="shared" ref="EJ203:EJ266" si="103">COUNTA(CS203,CW203,DA203,DE203,DI203,DM203,DQ203,DU203,DY203,EC203)</f>
        <v>0</v>
      </c>
      <c r="EK203" s="164">
        <f t="shared" ref="EK203:EK266" si="104">IF(EI203&gt;0,CT203/EI203,)</f>
        <v>0</v>
      </c>
      <c r="EL203" s="280">
        <f t="shared" ref="EL203:EL266" si="105">CV203+CZ203+DD203+DH203+DL203+DP203+DT203+DX203+EB203+EF203+EH203</f>
        <v>0</v>
      </c>
      <c r="EM203" s="63">
        <f t="shared" ref="EM203:EM266" si="106">COUNTA(CU203,CY203,DC203,DG203,DK203,DO203,DS203,DW203,EA203,EE203)</f>
        <v>0</v>
      </c>
      <c r="EN203" s="359">
        <f t="shared" ref="EN203:EN266" si="107">IF(EL203&gt;0,CV203/EL203,)</f>
        <v>0</v>
      </c>
      <c r="EO203" s="51">
        <f t="shared" ref="EO203:EO266" si="108">CO203+EI203</f>
        <v>0</v>
      </c>
      <c r="EP203" s="361">
        <f t="shared" ref="EP203:EP266" si="109">CQ203+EL203</f>
        <v>0</v>
      </c>
      <c r="EQ203" s="281"/>
      <c r="ER203" s="277"/>
      <c r="ES203" s="281"/>
      <c r="ET203" s="277"/>
      <c r="EU203" s="281"/>
      <c r="EV203" s="277"/>
      <c r="EW203" s="281"/>
      <c r="EX203" s="277"/>
      <c r="EY203" s="281"/>
      <c r="EZ203" s="277"/>
      <c r="FA203" s="281"/>
      <c r="FB203" s="277"/>
      <c r="FC203" s="281"/>
      <c r="FD203" s="277"/>
      <c r="FE203" s="281"/>
      <c r="FF203" s="277"/>
      <c r="FG203" s="281"/>
      <c r="FH203" s="277"/>
      <c r="FI203" s="281"/>
      <c r="FJ203" s="277"/>
      <c r="FK203" s="50">
        <f t="shared" ref="FK203:FK266" si="110">EQ203+ES203+EU203+EW203+EY203+FA203+FC203+FE203+FG203+FI203</f>
        <v>0</v>
      </c>
      <c r="FL203" s="63">
        <f t="shared" ref="FL203:FL266" si="111">ER203+ET203+EV203+EX203+EZ203+FB203+FD203+FF203+FH203+FJ203</f>
        <v>0</v>
      </c>
      <c r="FM203" s="50">
        <f t="shared" si="93"/>
        <v>977</v>
      </c>
      <c r="FN203" s="360">
        <f t="shared" si="94"/>
        <v>1089</v>
      </c>
      <c r="FO203" s="3"/>
      <c r="FP203" s="279"/>
      <c r="FQ203" s="52"/>
      <c r="FR203" s="296"/>
      <c r="FS203" s="98"/>
      <c r="FT203" s="467"/>
      <c r="FU203" s="52"/>
      <c r="FV203" s="296"/>
      <c r="FW203" s="98"/>
      <c r="FX203" s="467"/>
      <c r="FY203" s="52"/>
      <c r="FZ203" s="296"/>
      <c r="GA203" s="98"/>
      <c r="GB203" s="467"/>
      <c r="GC203" s="52"/>
      <c r="GD203" s="296"/>
      <c r="GE203" s="98"/>
      <c r="GF203" s="467"/>
      <c r="GG203" s="52"/>
      <c r="GH203" s="296"/>
      <c r="GI203" s="98"/>
      <c r="GJ203" s="467"/>
      <c r="GK203" s="52"/>
      <c r="GL203" s="296"/>
      <c r="GM203" s="464"/>
      <c r="GN203" s="467"/>
      <c r="GO203" s="52"/>
      <c r="GP203" s="296"/>
      <c r="GQ203" s="464"/>
      <c r="GR203" s="467"/>
      <c r="GS203" s="52"/>
      <c r="GT203" s="296"/>
      <c r="GU203" s="464"/>
      <c r="GV203" s="467"/>
      <c r="GW203" s="52"/>
      <c r="GX203" s="296"/>
      <c r="GY203" s="464"/>
      <c r="GZ203" s="467"/>
      <c r="HA203" s="52"/>
      <c r="HB203" s="296"/>
      <c r="HC203" s="3"/>
    </row>
    <row r="204" spans="1:211" s="86" customFormat="1">
      <c r="A204" s="490" t="s">
        <v>29</v>
      </c>
      <c r="B204" s="309" t="s">
        <v>579</v>
      </c>
      <c r="C204" s="285">
        <v>157331</v>
      </c>
      <c r="D204" s="342">
        <v>9</v>
      </c>
      <c r="E204" s="460">
        <v>1120</v>
      </c>
      <c r="F204" s="277">
        <v>1197</v>
      </c>
      <c r="G204" s="158"/>
      <c r="H204" s="277"/>
      <c r="I204" s="158">
        <v>184</v>
      </c>
      <c r="J204" s="277">
        <v>182</v>
      </c>
      <c r="K204" s="160">
        <f t="shared" si="95"/>
        <v>0</v>
      </c>
      <c r="L204" s="161">
        <f t="shared" si="88"/>
        <v>0</v>
      </c>
      <c r="M204" s="54"/>
      <c r="N204" s="55"/>
      <c r="O204" s="55"/>
      <c r="P204" s="55"/>
      <c r="Q204" s="162">
        <f t="shared" si="96"/>
        <v>0</v>
      </c>
      <c r="R204" s="277"/>
      <c r="S204" s="277"/>
      <c r="T204" s="277"/>
      <c r="U204" s="277"/>
      <c r="V204" s="97">
        <f t="shared" si="97"/>
        <v>0</v>
      </c>
      <c r="W204" s="279"/>
      <c r="X204" s="52"/>
      <c r="Y204" s="99"/>
      <c r="Z204" s="53"/>
      <c r="AA204" s="228"/>
      <c r="AB204" s="52"/>
      <c r="AC204" s="99"/>
      <c r="AD204" s="53"/>
      <c r="AE204" s="228"/>
      <c r="AF204" s="52"/>
      <c r="AG204" s="99"/>
      <c r="AH204" s="53"/>
      <c r="AI204" s="228"/>
      <c r="AJ204" s="52"/>
      <c r="AK204" s="99"/>
      <c r="AL204" s="53"/>
      <c r="AM204" s="228"/>
      <c r="AN204" s="52"/>
      <c r="AO204" s="99"/>
      <c r="AP204" s="53"/>
      <c r="AQ204" s="50">
        <f t="shared" si="89"/>
        <v>0</v>
      </c>
      <c r="AR204" s="163">
        <f t="shared" si="90"/>
        <v>0</v>
      </c>
      <c r="AS204" s="97">
        <f t="shared" si="91"/>
        <v>0</v>
      </c>
      <c r="AT204" s="278">
        <f t="shared" si="92"/>
        <v>0</v>
      </c>
      <c r="AU204" s="55"/>
      <c r="AV204" s="277"/>
      <c r="AW204" s="279"/>
      <c r="AX204" s="52"/>
      <c r="AY204" s="105"/>
      <c r="AZ204" s="98"/>
      <c r="BA204" s="279"/>
      <c r="BB204" s="52"/>
      <c r="BC204" s="105"/>
      <c r="BD204" s="98"/>
      <c r="BE204" s="279"/>
      <c r="BF204" s="52"/>
      <c r="BG204" s="105"/>
      <c r="BH204" s="98"/>
      <c r="BI204" s="279"/>
      <c r="BJ204" s="52"/>
      <c r="BK204" s="105"/>
      <c r="BL204" s="98"/>
      <c r="BM204" s="279"/>
      <c r="BN204" s="52"/>
      <c r="BO204" s="105"/>
      <c r="BP204" s="98"/>
      <c r="BQ204" s="279"/>
      <c r="BR204" s="52"/>
      <c r="BS204" s="105"/>
      <c r="BT204" s="98"/>
      <c r="BU204" s="279"/>
      <c r="BV204" s="52"/>
      <c r="BW204" s="105"/>
      <c r="BX204" s="98"/>
      <c r="BY204" s="279"/>
      <c r="BZ204" s="52"/>
      <c r="CA204" s="105"/>
      <c r="CB204" s="98"/>
      <c r="CC204" s="279"/>
      <c r="CD204" s="52"/>
      <c r="CE204" s="105"/>
      <c r="CF204" s="98"/>
      <c r="CG204" s="279"/>
      <c r="CH204" s="52"/>
      <c r="CI204" s="105"/>
      <c r="CJ204" s="98"/>
      <c r="CK204" s="281"/>
      <c r="CL204" s="277"/>
      <c r="CM204" s="159"/>
      <c r="CN204" s="277"/>
      <c r="CO204" s="50">
        <f t="shared" si="98"/>
        <v>0</v>
      </c>
      <c r="CP204" s="103">
        <f t="shared" si="99"/>
        <v>0</v>
      </c>
      <c r="CQ204" s="280">
        <f t="shared" si="100"/>
        <v>0</v>
      </c>
      <c r="CR204" s="63">
        <f t="shared" si="101"/>
        <v>0</v>
      </c>
      <c r="CS204" s="279"/>
      <c r="CT204" s="52"/>
      <c r="CU204" s="105"/>
      <c r="CV204" s="98"/>
      <c r="CW204" s="279"/>
      <c r="CX204" s="52"/>
      <c r="CY204" s="105"/>
      <c r="CZ204" s="98"/>
      <c r="DA204" s="279"/>
      <c r="DB204" s="52"/>
      <c r="DC204" s="105"/>
      <c r="DD204" s="98"/>
      <c r="DE204" s="279"/>
      <c r="DF204" s="52"/>
      <c r="DG204" s="105"/>
      <c r="DH204" s="98"/>
      <c r="DI204" s="279"/>
      <c r="DJ204" s="52"/>
      <c r="DK204" s="105"/>
      <c r="DL204" s="98"/>
      <c r="DM204" s="279"/>
      <c r="DN204" s="52"/>
      <c r="DO204" s="105"/>
      <c r="DP204" s="98"/>
      <c r="DQ204" s="279"/>
      <c r="DR204" s="52"/>
      <c r="DS204" s="105"/>
      <c r="DT204" s="98"/>
      <c r="DU204" s="279"/>
      <c r="DV204" s="52"/>
      <c r="DW204" s="105"/>
      <c r="DX204" s="98"/>
      <c r="DY204" s="279"/>
      <c r="DZ204" s="52"/>
      <c r="EA204" s="105"/>
      <c r="EB204" s="98"/>
      <c r="EC204" s="279"/>
      <c r="ED204" s="52"/>
      <c r="EE204" s="105"/>
      <c r="EF204" s="98"/>
      <c r="EG204" s="159"/>
      <c r="EH204" s="277"/>
      <c r="EI204" s="50">
        <f t="shared" si="102"/>
        <v>0</v>
      </c>
      <c r="EJ204" s="103">
        <f t="shared" si="103"/>
        <v>0</v>
      </c>
      <c r="EK204" s="164">
        <f t="shared" si="104"/>
        <v>0</v>
      </c>
      <c r="EL204" s="280">
        <f t="shared" si="105"/>
        <v>0</v>
      </c>
      <c r="EM204" s="63">
        <f t="shared" si="106"/>
        <v>0</v>
      </c>
      <c r="EN204" s="359">
        <f t="shared" si="107"/>
        <v>0</v>
      </c>
      <c r="EO204" s="51">
        <f t="shared" si="108"/>
        <v>0</v>
      </c>
      <c r="EP204" s="361">
        <f t="shared" si="109"/>
        <v>0</v>
      </c>
      <c r="EQ204" s="281"/>
      <c r="ER204" s="277"/>
      <c r="ES204" s="281"/>
      <c r="ET204" s="277"/>
      <c r="EU204" s="281"/>
      <c r="EV204" s="277"/>
      <c r="EW204" s="281"/>
      <c r="EX204" s="277"/>
      <c r="EY204" s="281"/>
      <c r="EZ204" s="277"/>
      <c r="FA204" s="281"/>
      <c r="FB204" s="277"/>
      <c r="FC204" s="281"/>
      <c r="FD204" s="277"/>
      <c r="FE204" s="281"/>
      <c r="FF204" s="277"/>
      <c r="FG204" s="281"/>
      <c r="FH204" s="277"/>
      <c r="FI204" s="281"/>
      <c r="FJ204" s="277"/>
      <c r="FK204" s="50">
        <f t="shared" si="110"/>
        <v>0</v>
      </c>
      <c r="FL204" s="63">
        <f t="shared" si="111"/>
        <v>0</v>
      </c>
      <c r="FM204" s="50">
        <f t="shared" si="93"/>
        <v>1304</v>
      </c>
      <c r="FN204" s="360">
        <f t="shared" si="94"/>
        <v>1379</v>
      </c>
      <c r="FO204" s="3"/>
      <c r="FP204" s="279"/>
      <c r="FQ204" s="52"/>
      <c r="FR204" s="296"/>
      <c r="FS204" s="98"/>
      <c r="FT204" s="467"/>
      <c r="FU204" s="52"/>
      <c r="FV204" s="296"/>
      <c r="FW204" s="98"/>
      <c r="FX204" s="467"/>
      <c r="FY204" s="52"/>
      <c r="FZ204" s="296"/>
      <c r="GA204" s="98"/>
      <c r="GB204" s="467"/>
      <c r="GC204" s="52"/>
      <c r="GD204" s="296"/>
      <c r="GE204" s="98"/>
      <c r="GF204" s="467"/>
      <c r="GG204" s="52"/>
      <c r="GH204" s="296"/>
      <c r="GI204" s="98"/>
      <c r="GJ204" s="467"/>
      <c r="GK204" s="52"/>
      <c r="GL204" s="296"/>
      <c r="GM204" s="464"/>
      <c r="GN204" s="467"/>
      <c r="GO204" s="52"/>
      <c r="GP204" s="296"/>
      <c r="GQ204" s="464"/>
      <c r="GR204" s="467"/>
      <c r="GS204" s="52"/>
      <c r="GT204" s="296"/>
      <c r="GU204" s="464"/>
      <c r="GV204" s="467"/>
      <c r="GW204" s="52"/>
      <c r="GX204" s="296"/>
      <c r="GY204" s="464"/>
      <c r="GZ204" s="467"/>
      <c r="HA204" s="52"/>
      <c r="HB204" s="296"/>
      <c r="HC204" s="3"/>
    </row>
    <row r="205" spans="1:211" s="86" customFormat="1">
      <c r="A205" s="489" t="s">
        <v>29</v>
      </c>
      <c r="B205" s="308" t="s">
        <v>573</v>
      </c>
      <c r="C205" s="285">
        <v>247940</v>
      </c>
      <c r="D205" s="341">
        <v>9</v>
      </c>
      <c r="E205" s="460">
        <v>786</v>
      </c>
      <c r="F205" s="277">
        <v>727</v>
      </c>
      <c r="G205" s="158"/>
      <c r="H205" s="277"/>
      <c r="I205" s="158">
        <v>419</v>
      </c>
      <c r="J205" s="277">
        <v>391</v>
      </c>
      <c r="K205" s="160">
        <f t="shared" si="95"/>
        <v>0</v>
      </c>
      <c r="L205" s="161">
        <f t="shared" si="88"/>
        <v>0</v>
      </c>
      <c r="M205" s="54"/>
      <c r="N205" s="55"/>
      <c r="O205" s="55"/>
      <c r="P205" s="55"/>
      <c r="Q205" s="162">
        <f t="shared" si="96"/>
        <v>0</v>
      </c>
      <c r="R205" s="277"/>
      <c r="S205" s="277"/>
      <c r="T205" s="277"/>
      <c r="U205" s="277"/>
      <c r="V205" s="97">
        <f t="shared" si="97"/>
        <v>0</v>
      </c>
      <c r="W205" s="279"/>
      <c r="X205" s="52"/>
      <c r="Y205" s="99"/>
      <c r="Z205" s="53"/>
      <c r="AA205" s="228"/>
      <c r="AB205" s="52"/>
      <c r="AC205" s="99"/>
      <c r="AD205" s="53"/>
      <c r="AE205" s="228"/>
      <c r="AF205" s="52"/>
      <c r="AG205" s="99"/>
      <c r="AH205" s="53"/>
      <c r="AI205" s="228"/>
      <c r="AJ205" s="52"/>
      <c r="AK205" s="99"/>
      <c r="AL205" s="53"/>
      <c r="AM205" s="228"/>
      <c r="AN205" s="52"/>
      <c r="AO205" s="99"/>
      <c r="AP205" s="53"/>
      <c r="AQ205" s="50">
        <f t="shared" si="89"/>
        <v>0</v>
      </c>
      <c r="AR205" s="163">
        <f t="shared" si="90"/>
        <v>0</v>
      </c>
      <c r="AS205" s="97">
        <f t="shared" si="91"/>
        <v>0</v>
      </c>
      <c r="AT205" s="278">
        <f t="shared" si="92"/>
        <v>0</v>
      </c>
      <c r="AU205" s="55"/>
      <c r="AV205" s="277"/>
      <c r="AW205" s="279"/>
      <c r="AX205" s="52"/>
      <c r="AY205" s="105"/>
      <c r="AZ205" s="98"/>
      <c r="BA205" s="279"/>
      <c r="BB205" s="52"/>
      <c r="BC205" s="105"/>
      <c r="BD205" s="98"/>
      <c r="BE205" s="279"/>
      <c r="BF205" s="52"/>
      <c r="BG205" s="105"/>
      <c r="BH205" s="98"/>
      <c r="BI205" s="279"/>
      <c r="BJ205" s="52"/>
      <c r="BK205" s="105"/>
      <c r="BL205" s="98"/>
      <c r="BM205" s="279"/>
      <c r="BN205" s="52"/>
      <c r="BO205" s="105"/>
      <c r="BP205" s="98"/>
      <c r="BQ205" s="279"/>
      <c r="BR205" s="52"/>
      <c r="BS205" s="105"/>
      <c r="BT205" s="98"/>
      <c r="BU205" s="279"/>
      <c r="BV205" s="52"/>
      <c r="BW205" s="105"/>
      <c r="BX205" s="98"/>
      <c r="BY205" s="279"/>
      <c r="BZ205" s="52"/>
      <c r="CA205" s="105"/>
      <c r="CB205" s="98"/>
      <c r="CC205" s="279"/>
      <c r="CD205" s="52"/>
      <c r="CE205" s="105"/>
      <c r="CF205" s="98"/>
      <c r="CG205" s="279"/>
      <c r="CH205" s="52"/>
      <c r="CI205" s="105"/>
      <c r="CJ205" s="98"/>
      <c r="CK205" s="281"/>
      <c r="CL205" s="277"/>
      <c r="CM205" s="159"/>
      <c r="CN205" s="277"/>
      <c r="CO205" s="50">
        <f t="shared" si="98"/>
        <v>0</v>
      </c>
      <c r="CP205" s="103">
        <f t="shared" si="99"/>
        <v>0</v>
      </c>
      <c r="CQ205" s="280">
        <f t="shared" si="100"/>
        <v>0</v>
      </c>
      <c r="CR205" s="63">
        <f t="shared" si="101"/>
        <v>0</v>
      </c>
      <c r="CS205" s="279"/>
      <c r="CT205" s="52"/>
      <c r="CU205" s="105"/>
      <c r="CV205" s="98"/>
      <c r="CW205" s="279"/>
      <c r="CX205" s="52"/>
      <c r="CY205" s="105"/>
      <c r="CZ205" s="98"/>
      <c r="DA205" s="279"/>
      <c r="DB205" s="52"/>
      <c r="DC205" s="105"/>
      <c r="DD205" s="98"/>
      <c r="DE205" s="279"/>
      <c r="DF205" s="52"/>
      <c r="DG205" s="105"/>
      <c r="DH205" s="98"/>
      <c r="DI205" s="279"/>
      <c r="DJ205" s="52"/>
      <c r="DK205" s="105"/>
      <c r="DL205" s="98"/>
      <c r="DM205" s="279"/>
      <c r="DN205" s="52"/>
      <c r="DO205" s="105"/>
      <c r="DP205" s="98"/>
      <c r="DQ205" s="279"/>
      <c r="DR205" s="52"/>
      <c r="DS205" s="105"/>
      <c r="DT205" s="98"/>
      <c r="DU205" s="279"/>
      <c r="DV205" s="52"/>
      <c r="DW205" s="105"/>
      <c r="DX205" s="98"/>
      <c r="DY205" s="279"/>
      <c r="DZ205" s="52"/>
      <c r="EA205" s="105"/>
      <c r="EB205" s="98"/>
      <c r="EC205" s="279"/>
      <c r="ED205" s="52"/>
      <c r="EE205" s="105"/>
      <c r="EF205" s="98"/>
      <c r="EG205" s="159"/>
      <c r="EH205" s="277"/>
      <c r="EI205" s="50">
        <f t="shared" si="102"/>
        <v>0</v>
      </c>
      <c r="EJ205" s="103">
        <f t="shared" si="103"/>
        <v>0</v>
      </c>
      <c r="EK205" s="164">
        <f t="shared" si="104"/>
        <v>0</v>
      </c>
      <c r="EL205" s="280">
        <f t="shared" si="105"/>
        <v>0</v>
      </c>
      <c r="EM205" s="63">
        <f t="shared" si="106"/>
        <v>0</v>
      </c>
      <c r="EN205" s="359">
        <f t="shared" si="107"/>
        <v>0</v>
      </c>
      <c r="EO205" s="51">
        <f t="shared" si="108"/>
        <v>0</v>
      </c>
      <c r="EP205" s="361">
        <f t="shared" si="109"/>
        <v>0</v>
      </c>
      <c r="EQ205" s="281"/>
      <c r="ER205" s="277"/>
      <c r="ES205" s="281"/>
      <c r="ET205" s="277"/>
      <c r="EU205" s="281"/>
      <c r="EV205" s="277"/>
      <c r="EW205" s="281"/>
      <c r="EX205" s="277"/>
      <c r="EY205" s="281"/>
      <c r="EZ205" s="277"/>
      <c r="FA205" s="281"/>
      <c r="FB205" s="277"/>
      <c r="FC205" s="281"/>
      <c r="FD205" s="277"/>
      <c r="FE205" s="281"/>
      <c r="FF205" s="277"/>
      <c r="FG205" s="281"/>
      <c r="FH205" s="277"/>
      <c r="FI205" s="281"/>
      <c r="FJ205" s="277"/>
      <c r="FK205" s="50">
        <f t="shared" si="110"/>
        <v>0</v>
      </c>
      <c r="FL205" s="63">
        <f t="shared" si="111"/>
        <v>0</v>
      </c>
      <c r="FM205" s="50">
        <f t="shared" si="93"/>
        <v>1205</v>
      </c>
      <c r="FN205" s="360">
        <f t="shared" si="94"/>
        <v>1118</v>
      </c>
      <c r="FO205" s="3"/>
      <c r="FP205" s="279"/>
      <c r="FQ205" s="52"/>
      <c r="FR205" s="296"/>
      <c r="FS205" s="98"/>
      <c r="FT205" s="467"/>
      <c r="FU205" s="52"/>
      <c r="FV205" s="296"/>
      <c r="FW205" s="98"/>
      <c r="FX205" s="467"/>
      <c r="FY205" s="52"/>
      <c r="FZ205" s="296"/>
      <c r="GA205" s="98"/>
      <c r="GB205" s="467"/>
      <c r="GC205" s="52"/>
      <c r="GD205" s="296"/>
      <c r="GE205" s="98"/>
      <c r="GF205" s="467"/>
      <c r="GG205" s="52"/>
      <c r="GH205" s="296"/>
      <c r="GI205" s="98"/>
      <c r="GJ205" s="467"/>
      <c r="GK205" s="52"/>
      <c r="GL205" s="296"/>
      <c r="GM205" s="464"/>
      <c r="GN205" s="467"/>
      <c r="GO205" s="52"/>
      <c r="GP205" s="296"/>
      <c r="GQ205" s="464"/>
      <c r="GR205" s="467"/>
      <c r="GS205" s="52"/>
      <c r="GT205" s="296"/>
      <c r="GU205" s="464"/>
      <c r="GV205" s="467"/>
      <c r="GW205" s="52"/>
      <c r="GX205" s="296"/>
      <c r="GY205" s="464"/>
      <c r="GZ205" s="467"/>
      <c r="HA205" s="52"/>
      <c r="HB205" s="296"/>
      <c r="HC205" s="3"/>
    </row>
    <row r="206" spans="1:211" s="86" customFormat="1">
      <c r="A206" s="489" t="s">
        <v>29</v>
      </c>
      <c r="B206" s="308" t="s">
        <v>574</v>
      </c>
      <c r="C206" s="285">
        <v>157711</v>
      </c>
      <c r="D206" s="341">
        <v>9</v>
      </c>
      <c r="E206" s="460">
        <v>1149</v>
      </c>
      <c r="F206" s="277">
        <v>1442</v>
      </c>
      <c r="G206" s="158"/>
      <c r="H206" s="277"/>
      <c r="I206" s="158">
        <v>575</v>
      </c>
      <c r="J206" s="277">
        <v>633</v>
      </c>
      <c r="K206" s="160">
        <f t="shared" si="95"/>
        <v>0</v>
      </c>
      <c r="L206" s="161">
        <f t="shared" si="88"/>
        <v>0</v>
      </c>
      <c r="M206" s="54"/>
      <c r="N206" s="55"/>
      <c r="O206" s="55"/>
      <c r="P206" s="55"/>
      <c r="Q206" s="162">
        <f t="shared" si="96"/>
        <v>0</v>
      </c>
      <c r="R206" s="277"/>
      <c r="S206" s="277"/>
      <c r="T206" s="277"/>
      <c r="U206" s="277"/>
      <c r="V206" s="97">
        <f t="shared" si="97"/>
        <v>0</v>
      </c>
      <c r="W206" s="279"/>
      <c r="X206" s="52"/>
      <c r="Y206" s="99"/>
      <c r="Z206" s="53"/>
      <c r="AA206" s="228"/>
      <c r="AB206" s="52"/>
      <c r="AC206" s="99"/>
      <c r="AD206" s="53"/>
      <c r="AE206" s="228"/>
      <c r="AF206" s="52"/>
      <c r="AG206" s="99"/>
      <c r="AH206" s="53"/>
      <c r="AI206" s="228"/>
      <c r="AJ206" s="52"/>
      <c r="AK206" s="99"/>
      <c r="AL206" s="53"/>
      <c r="AM206" s="228"/>
      <c r="AN206" s="52"/>
      <c r="AO206" s="99"/>
      <c r="AP206" s="53"/>
      <c r="AQ206" s="50">
        <f t="shared" si="89"/>
        <v>0</v>
      </c>
      <c r="AR206" s="163">
        <f t="shared" si="90"/>
        <v>0</v>
      </c>
      <c r="AS206" s="97">
        <f t="shared" si="91"/>
        <v>0</v>
      </c>
      <c r="AT206" s="278">
        <f t="shared" si="92"/>
        <v>0</v>
      </c>
      <c r="AU206" s="55"/>
      <c r="AV206" s="277"/>
      <c r="AW206" s="279"/>
      <c r="AX206" s="52"/>
      <c r="AY206" s="105"/>
      <c r="AZ206" s="98"/>
      <c r="BA206" s="279"/>
      <c r="BB206" s="52"/>
      <c r="BC206" s="105"/>
      <c r="BD206" s="98"/>
      <c r="BE206" s="279"/>
      <c r="BF206" s="52"/>
      <c r="BG206" s="105"/>
      <c r="BH206" s="98"/>
      <c r="BI206" s="279"/>
      <c r="BJ206" s="52"/>
      <c r="BK206" s="105"/>
      <c r="BL206" s="98"/>
      <c r="BM206" s="279"/>
      <c r="BN206" s="52"/>
      <c r="BO206" s="105"/>
      <c r="BP206" s="98"/>
      <c r="BQ206" s="279"/>
      <c r="BR206" s="52"/>
      <c r="BS206" s="105"/>
      <c r="BT206" s="98"/>
      <c r="BU206" s="279"/>
      <c r="BV206" s="52"/>
      <c r="BW206" s="105"/>
      <c r="BX206" s="98"/>
      <c r="BY206" s="279"/>
      <c r="BZ206" s="52"/>
      <c r="CA206" s="105"/>
      <c r="CB206" s="98"/>
      <c r="CC206" s="279"/>
      <c r="CD206" s="52"/>
      <c r="CE206" s="105"/>
      <c r="CF206" s="98"/>
      <c r="CG206" s="279"/>
      <c r="CH206" s="52"/>
      <c r="CI206" s="105"/>
      <c r="CJ206" s="98"/>
      <c r="CK206" s="281"/>
      <c r="CL206" s="277"/>
      <c r="CM206" s="159"/>
      <c r="CN206" s="277"/>
      <c r="CO206" s="50">
        <f t="shared" si="98"/>
        <v>0</v>
      </c>
      <c r="CP206" s="103">
        <f t="shared" si="99"/>
        <v>0</v>
      </c>
      <c r="CQ206" s="280">
        <f t="shared" si="100"/>
        <v>0</v>
      </c>
      <c r="CR206" s="63">
        <f t="shared" si="101"/>
        <v>0</v>
      </c>
      <c r="CS206" s="279"/>
      <c r="CT206" s="52"/>
      <c r="CU206" s="105"/>
      <c r="CV206" s="98"/>
      <c r="CW206" s="279"/>
      <c r="CX206" s="52"/>
      <c r="CY206" s="105"/>
      <c r="CZ206" s="98"/>
      <c r="DA206" s="279"/>
      <c r="DB206" s="52"/>
      <c r="DC206" s="105"/>
      <c r="DD206" s="98"/>
      <c r="DE206" s="279"/>
      <c r="DF206" s="52"/>
      <c r="DG206" s="105"/>
      <c r="DH206" s="98"/>
      <c r="DI206" s="279"/>
      <c r="DJ206" s="52"/>
      <c r="DK206" s="105"/>
      <c r="DL206" s="98"/>
      <c r="DM206" s="279"/>
      <c r="DN206" s="52"/>
      <c r="DO206" s="105"/>
      <c r="DP206" s="98"/>
      <c r="DQ206" s="279"/>
      <c r="DR206" s="52"/>
      <c r="DS206" s="105"/>
      <c r="DT206" s="98"/>
      <c r="DU206" s="279"/>
      <c r="DV206" s="52"/>
      <c r="DW206" s="105"/>
      <c r="DX206" s="98"/>
      <c r="DY206" s="279"/>
      <c r="DZ206" s="52"/>
      <c r="EA206" s="105"/>
      <c r="EB206" s="98"/>
      <c r="EC206" s="279"/>
      <c r="ED206" s="52"/>
      <c r="EE206" s="105"/>
      <c r="EF206" s="98"/>
      <c r="EG206" s="159"/>
      <c r="EH206" s="277"/>
      <c r="EI206" s="50">
        <f t="shared" si="102"/>
        <v>0</v>
      </c>
      <c r="EJ206" s="103">
        <f t="shared" si="103"/>
        <v>0</v>
      </c>
      <c r="EK206" s="164">
        <f t="shared" si="104"/>
        <v>0</v>
      </c>
      <c r="EL206" s="280">
        <f t="shared" si="105"/>
        <v>0</v>
      </c>
      <c r="EM206" s="63">
        <f t="shared" si="106"/>
        <v>0</v>
      </c>
      <c r="EN206" s="359">
        <f t="shared" si="107"/>
        <v>0</v>
      </c>
      <c r="EO206" s="51">
        <f t="shared" si="108"/>
        <v>0</v>
      </c>
      <c r="EP206" s="361">
        <f t="shared" si="109"/>
        <v>0</v>
      </c>
      <c r="EQ206" s="281"/>
      <c r="ER206" s="277"/>
      <c r="ES206" s="281"/>
      <c r="ET206" s="277"/>
      <c r="EU206" s="281"/>
      <c r="EV206" s="277"/>
      <c r="EW206" s="281"/>
      <c r="EX206" s="277"/>
      <c r="EY206" s="281"/>
      <c r="EZ206" s="277"/>
      <c r="FA206" s="281"/>
      <c r="FB206" s="277"/>
      <c r="FC206" s="281"/>
      <c r="FD206" s="277"/>
      <c r="FE206" s="281"/>
      <c r="FF206" s="277"/>
      <c r="FG206" s="281"/>
      <c r="FH206" s="277"/>
      <c r="FI206" s="281"/>
      <c r="FJ206" s="277"/>
      <c r="FK206" s="50">
        <f t="shared" si="110"/>
        <v>0</v>
      </c>
      <c r="FL206" s="63">
        <f t="shared" si="111"/>
        <v>0</v>
      </c>
      <c r="FM206" s="50">
        <f t="shared" si="93"/>
        <v>1724</v>
      </c>
      <c r="FN206" s="360">
        <f t="shared" si="94"/>
        <v>2075</v>
      </c>
      <c r="FO206" s="3"/>
      <c r="FP206" s="279"/>
      <c r="FQ206" s="52"/>
      <c r="FR206" s="296"/>
      <c r="FS206" s="98"/>
      <c r="FT206" s="467"/>
      <c r="FU206" s="52"/>
      <c r="FV206" s="296"/>
      <c r="FW206" s="98"/>
      <c r="FX206" s="467"/>
      <c r="FY206" s="52"/>
      <c r="FZ206" s="296"/>
      <c r="GA206" s="98"/>
      <c r="GB206" s="467"/>
      <c r="GC206" s="52"/>
      <c r="GD206" s="296"/>
      <c r="GE206" s="98"/>
      <c r="GF206" s="467"/>
      <c r="GG206" s="52"/>
      <c r="GH206" s="296"/>
      <c r="GI206" s="98"/>
      <c r="GJ206" s="467"/>
      <c r="GK206" s="52"/>
      <c r="GL206" s="296"/>
      <c r="GM206" s="464"/>
      <c r="GN206" s="467"/>
      <c r="GO206" s="52"/>
      <c r="GP206" s="296"/>
      <c r="GQ206" s="464"/>
      <c r="GR206" s="467"/>
      <c r="GS206" s="52"/>
      <c r="GT206" s="296"/>
      <c r="GU206" s="464"/>
      <c r="GV206" s="467"/>
      <c r="GW206" s="52"/>
      <c r="GX206" s="296"/>
      <c r="GY206" s="464"/>
      <c r="GZ206" s="467"/>
      <c r="HA206" s="52"/>
      <c r="HB206" s="296"/>
      <c r="HC206" s="3"/>
    </row>
    <row r="207" spans="1:211" s="86" customFormat="1">
      <c r="A207" s="489" t="s">
        <v>29</v>
      </c>
      <c r="B207" s="308" t="s">
        <v>575</v>
      </c>
      <c r="C207" s="285">
        <v>157739</v>
      </c>
      <c r="D207" s="341">
        <v>9</v>
      </c>
      <c r="E207" s="460">
        <v>477</v>
      </c>
      <c r="F207" s="277">
        <v>645</v>
      </c>
      <c r="G207" s="158"/>
      <c r="H207" s="277"/>
      <c r="I207" s="158">
        <v>394</v>
      </c>
      <c r="J207" s="277">
        <v>399</v>
      </c>
      <c r="K207" s="160">
        <f t="shared" si="95"/>
        <v>0</v>
      </c>
      <c r="L207" s="161">
        <f t="shared" si="88"/>
        <v>0</v>
      </c>
      <c r="M207" s="54"/>
      <c r="N207" s="55"/>
      <c r="O207" s="55"/>
      <c r="P207" s="55"/>
      <c r="Q207" s="162">
        <f t="shared" si="96"/>
        <v>0</v>
      </c>
      <c r="R207" s="277"/>
      <c r="S207" s="277"/>
      <c r="T207" s="277"/>
      <c r="U207" s="277"/>
      <c r="V207" s="97">
        <f t="shared" si="97"/>
        <v>0</v>
      </c>
      <c r="W207" s="279"/>
      <c r="X207" s="52"/>
      <c r="Y207" s="99"/>
      <c r="Z207" s="53"/>
      <c r="AA207" s="228"/>
      <c r="AB207" s="52"/>
      <c r="AC207" s="99"/>
      <c r="AD207" s="53"/>
      <c r="AE207" s="228"/>
      <c r="AF207" s="52"/>
      <c r="AG207" s="99"/>
      <c r="AH207" s="53"/>
      <c r="AI207" s="228"/>
      <c r="AJ207" s="52"/>
      <c r="AK207" s="99"/>
      <c r="AL207" s="53"/>
      <c r="AM207" s="228"/>
      <c r="AN207" s="52"/>
      <c r="AO207" s="99"/>
      <c r="AP207" s="53"/>
      <c r="AQ207" s="50">
        <f t="shared" si="89"/>
        <v>0</v>
      </c>
      <c r="AR207" s="163">
        <f t="shared" si="90"/>
        <v>0</v>
      </c>
      <c r="AS207" s="97">
        <f t="shared" si="91"/>
        <v>0</v>
      </c>
      <c r="AT207" s="278">
        <f t="shared" si="92"/>
        <v>0</v>
      </c>
      <c r="AU207" s="55"/>
      <c r="AV207" s="277"/>
      <c r="AW207" s="279"/>
      <c r="AX207" s="52"/>
      <c r="AY207" s="105"/>
      <c r="AZ207" s="98"/>
      <c r="BA207" s="279"/>
      <c r="BB207" s="52"/>
      <c r="BC207" s="105"/>
      <c r="BD207" s="98"/>
      <c r="BE207" s="279"/>
      <c r="BF207" s="52"/>
      <c r="BG207" s="105"/>
      <c r="BH207" s="98"/>
      <c r="BI207" s="279"/>
      <c r="BJ207" s="52"/>
      <c r="BK207" s="105"/>
      <c r="BL207" s="98"/>
      <c r="BM207" s="279"/>
      <c r="BN207" s="52"/>
      <c r="BO207" s="105"/>
      <c r="BP207" s="98"/>
      <c r="BQ207" s="279"/>
      <c r="BR207" s="52"/>
      <c r="BS207" s="105"/>
      <c r="BT207" s="98"/>
      <c r="BU207" s="279"/>
      <c r="BV207" s="52"/>
      <c r="BW207" s="105"/>
      <c r="BX207" s="98"/>
      <c r="BY207" s="279"/>
      <c r="BZ207" s="52"/>
      <c r="CA207" s="105"/>
      <c r="CB207" s="98"/>
      <c r="CC207" s="279"/>
      <c r="CD207" s="52"/>
      <c r="CE207" s="105"/>
      <c r="CF207" s="98"/>
      <c r="CG207" s="279"/>
      <c r="CH207" s="52"/>
      <c r="CI207" s="105"/>
      <c r="CJ207" s="98"/>
      <c r="CK207" s="281"/>
      <c r="CL207" s="277"/>
      <c r="CM207" s="159"/>
      <c r="CN207" s="277"/>
      <c r="CO207" s="50">
        <f t="shared" si="98"/>
        <v>0</v>
      </c>
      <c r="CP207" s="103">
        <f t="shared" si="99"/>
        <v>0</v>
      </c>
      <c r="CQ207" s="280">
        <f t="shared" si="100"/>
        <v>0</v>
      </c>
      <c r="CR207" s="63">
        <f t="shared" si="101"/>
        <v>0</v>
      </c>
      <c r="CS207" s="279"/>
      <c r="CT207" s="52"/>
      <c r="CU207" s="105"/>
      <c r="CV207" s="98"/>
      <c r="CW207" s="279"/>
      <c r="CX207" s="52"/>
      <c r="CY207" s="105"/>
      <c r="CZ207" s="98"/>
      <c r="DA207" s="279"/>
      <c r="DB207" s="52"/>
      <c r="DC207" s="105"/>
      <c r="DD207" s="98"/>
      <c r="DE207" s="279"/>
      <c r="DF207" s="52"/>
      <c r="DG207" s="105"/>
      <c r="DH207" s="98"/>
      <c r="DI207" s="279"/>
      <c r="DJ207" s="52"/>
      <c r="DK207" s="105"/>
      <c r="DL207" s="98"/>
      <c r="DM207" s="279"/>
      <c r="DN207" s="52"/>
      <c r="DO207" s="105"/>
      <c r="DP207" s="98"/>
      <c r="DQ207" s="279"/>
      <c r="DR207" s="52"/>
      <c r="DS207" s="105"/>
      <c r="DT207" s="98"/>
      <c r="DU207" s="279"/>
      <c r="DV207" s="52"/>
      <c r="DW207" s="105"/>
      <c r="DX207" s="98"/>
      <c r="DY207" s="279"/>
      <c r="DZ207" s="52"/>
      <c r="EA207" s="105"/>
      <c r="EB207" s="98"/>
      <c r="EC207" s="279"/>
      <c r="ED207" s="52"/>
      <c r="EE207" s="105"/>
      <c r="EF207" s="98"/>
      <c r="EG207" s="159"/>
      <c r="EH207" s="277"/>
      <c r="EI207" s="50">
        <f t="shared" si="102"/>
        <v>0</v>
      </c>
      <c r="EJ207" s="103">
        <f t="shared" si="103"/>
        <v>0</v>
      </c>
      <c r="EK207" s="164">
        <f t="shared" si="104"/>
        <v>0</v>
      </c>
      <c r="EL207" s="280">
        <f t="shared" si="105"/>
        <v>0</v>
      </c>
      <c r="EM207" s="63">
        <f t="shared" si="106"/>
        <v>0</v>
      </c>
      <c r="EN207" s="359">
        <f t="shared" si="107"/>
        <v>0</v>
      </c>
      <c r="EO207" s="51">
        <f t="shared" si="108"/>
        <v>0</v>
      </c>
      <c r="EP207" s="361">
        <f t="shared" si="109"/>
        <v>0</v>
      </c>
      <c r="EQ207" s="281"/>
      <c r="ER207" s="277"/>
      <c r="ES207" s="281"/>
      <c r="ET207" s="277"/>
      <c r="EU207" s="281"/>
      <c r="EV207" s="277"/>
      <c r="EW207" s="281"/>
      <c r="EX207" s="277"/>
      <c r="EY207" s="281"/>
      <c r="EZ207" s="277"/>
      <c r="FA207" s="281"/>
      <c r="FB207" s="277"/>
      <c r="FC207" s="281"/>
      <c r="FD207" s="277"/>
      <c r="FE207" s="281"/>
      <c r="FF207" s="277"/>
      <c r="FG207" s="281"/>
      <c r="FH207" s="277"/>
      <c r="FI207" s="281"/>
      <c r="FJ207" s="277"/>
      <c r="FK207" s="50">
        <f t="shared" si="110"/>
        <v>0</v>
      </c>
      <c r="FL207" s="63">
        <f t="shared" si="111"/>
        <v>0</v>
      </c>
      <c r="FM207" s="50">
        <f t="shared" si="93"/>
        <v>871</v>
      </c>
      <c r="FN207" s="360">
        <f t="shared" si="94"/>
        <v>1044</v>
      </c>
      <c r="FO207" s="3"/>
      <c r="FP207" s="279"/>
      <c r="FQ207" s="52"/>
      <c r="FR207" s="296"/>
      <c r="FS207" s="98"/>
      <c r="FT207" s="467"/>
      <c r="FU207" s="52"/>
      <c r="FV207" s="296"/>
      <c r="FW207" s="98"/>
      <c r="FX207" s="467"/>
      <c r="FY207" s="52"/>
      <c r="FZ207" s="296"/>
      <c r="GA207" s="98"/>
      <c r="GB207" s="467"/>
      <c r="GC207" s="52"/>
      <c r="GD207" s="296"/>
      <c r="GE207" s="98"/>
      <c r="GF207" s="467"/>
      <c r="GG207" s="52"/>
      <c r="GH207" s="296"/>
      <c r="GI207" s="98"/>
      <c r="GJ207" s="467"/>
      <c r="GK207" s="52"/>
      <c r="GL207" s="296"/>
      <c r="GM207" s="464"/>
      <c r="GN207" s="467"/>
      <c r="GO207" s="52"/>
      <c r="GP207" s="296"/>
      <c r="GQ207" s="464"/>
      <c r="GR207" s="467"/>
      <c r="GS207" s="52"/>
      <c r="GT207" s="296"/>
      <c r="GU207" s="464"/>
      <c r="GV207" s="467"/>
      <c r="GW207" s="52"/>
      <c r="GX207" s="296"/>
      <c r="GY207" s="464"/>
      <c r="GZ207" s="467"/>
      <c r="HA207" s="52"/>
      <c r="HB207" s="296"/>
      <c r="HC207" s="3"/>
    </row>
    <row r="208" spans="1:211" s="396" customFormat="1">
      <c r="A208" s="489" t="s">
        <v>29</v>
      </c>
      <c r="B208" s="308" t="s">
        <v>576</v>
      </c>
      <c r="C208" s="285">
        <v>157483</v>
      </c>
      <c r="D208" s="341">
        <v>9</v>
      </c>
      <c r="E208" s="460">
        <v>1945</v>
      </c>
      <c r="F208" s="277">
        <v>1548</v>
      </c>
      <c r="G208" s="158"/>
      <c r="H208" s="277"/>
      <c r="I208" s="158">
        <v>523</v>
      </c>
      <c r="J208" s="277">
        <v>489</v>
      </c>
      <c r="K208" s="160">
        <f t="shared" si="95"/>
        <v>0</v>
      </c>
      <c r="L208" s="161">
        <f t="shared" si="88"/>
        <v>0</v>
      </c>
      <c r="M208" s="54"/>
      <c r="N208" s="55"/>
      <c r="O208" s="55"/>
      <c r="P208" s="55"/>
      <c r="Q208" s="162">
        <f t="shared" si="96"/>
        <v>0</v>
      </c>
      <c r="R208" s="277"/>
      <c r="S208" s="277"/>
      <c r="T208" s="277"/>
      <c r="U208" s="277"/>
      <c r="V208" s="97">
        <f t="shared" si="97"/>
        <v>0</v>
      </c>
      <c r="W208" s="279"/>
      <c r="X208" s="52"/>
      <c r="Y208" s="99"/>
      <c r="Z208" s="53"/>
      <c r="AA208" s="228"/>
      <c r="AB208" s="52"/>
      <c r="AC208" s="99"/>
      <c r="AD208" s="53"/>
      <c r="AE208" s="228"/>
      <c r="AF208" s="52"/>
      <c r="AG208" s="99"/>
      <c r="AH208" s="53"/>
      <c r="AI208" s="228"/>
      <c r="AJ208" s="52"/>
      <c r="AK208" s="99"/>
      <c r="AL208" s="53"/>
      <c r="AM208" s="228"/>
      <c r="AN208" s="52"/>
      <c r="AO208" s="99"/>
      <c r="AP208" s="53"/>
      <c r="AQ208" s="50">
        <f t="shared" si="89"/>
        <v>0</v>
      </c>
      <c r="AR208" s="163">
        <f t="shared" si="90"/>
        <v>0</v>
      </c>
      <c r="AS208" s="97">
        <f t="shared" si="91"/>
        <v>0</v>
      </c>
      <c r="AT208" s="278">
        <f t="shared" si="92"/>
        <v>0</v>
      </c>
      <c r="AU208" s="55"/>
      <c r="AV208" s="277"/>
      <c r="AW208" s="279"/>
      <c r="AX208" s="52"/>
      <c r="AY208" s="105"/>
      <c r="AZ208" s="98"/>
      <c r="BA208" s="279"/>
      <c r="BB208" s="52"/>
      <c r="BC208" s="105"/>
      <c r="BD208" s="98"/>
      <c r="BE208" s="279"/>
      <c r="BF208" s="52"/>
      <c r="BG208" s="105"/>
      <c r="BH208" s="98"/>
      <c r="BI208" s="279"/>
      <c r="BJ208" s="52"/>
      <c r="BK208" s="105"/>
      <c r="BL208" s="98"/>
      <c r="BM208" s="279"/>
      <c r="BN208" s="52"/>
      <c r="BO208" s="105"/>
      <c r="BP208" s="98"/>
      <c r="BQ208" s="279"/>
      <c r="BR208" s="52"/>
      <c r="BS208" s="105"/>
      <c r="BT208" s="98"/>
      <c r="BU208" s="279"/>
      <c r="BV208" s="52"/>
      <c r="BW208" s="105"/>
      <c r="BX208" s="98"/>
      <c r="BY208" s="279"/>
      <c r="BZ208" s="52"/>
      <c r="CA208" s="105"/>
      <c r="CB208" s="98"/>
      <c r="CC208" s="279"/>
      <c r="CD208" s="52"/>
      <c r="CE208" s="105"/>
      <c r="CF208" s="98"/>
      <c r="CG208" s="279"/>
      <c r="CH208" s="52"/>
      <c r="CI208" s="105"/>
      <c r="CJ208" s="98"/>
      <c r="CK208" s="281"/>
      <c r="CL208" s="277"/>
      <c r="CM208" s="159"/>
      <c r="CN208" s="277"/>
      <c r="CO208" s="50">
        <f t="shared" si="98"/>
        <v>0</v>
      </c>
      <c r="CP208" s="103">
        <f t="shared" si="99"/>
        <v>0</v>
      </c>
      <c r="CQ208" s="280">
        <f t="shared" si="100"/>
        <v>0</v>
      </c>
      <c r="CR208" s="63">
        <f t="shared" si="101"/>
        <v>0</v>
      </c>
      <c r="CS208" s="279"/>
      <c r="CT208" s="52"/>
      <c r="CU208" s="105"/>
      <c r="CV208" s="98"/>
      <c r="CW208" s="279"/>
      <c r="CX208" s="52"/>
      <c r="CY208" s="105"/>
      <c r="CZ208" s="98"/>
      <c r="DA208" s="279"/>
      <c r="DB208" s="52"/>
      <c r="DC208" s="105"/>
      <c r="DD208" s="98"/>
      <c r="DE208" s="279"/>
      <c r="DF208" s="52"/>
      <c r="DG208" s="105"/>
      <c r="DH208" s="98"/>
      <c r="DI208" s="279"/>
      <c r="DJ208" s="52"/>
      <c r="DK208" s="105"/>
      <c r="DL208" s="98"/>
      <c r="DM208" s="279"/>
      <c r="DN208" s="52"/>
      <c r="DO208" s="105"/>
      <c r="DP208" s="98"/>
      <c r="DQ208" s="279"/>
      <c r="DR208" s="52"/>
      <c r="DS208" s="105"/>
      <c r="DT208" s="98"/>
      <c r="DU208" s="279"/>
      <c r="DV208" s="52"/>
      <c r="DW208" s="105"/>
      <c r="DX208" s="98"/>
      <c r="DY208" s="279"/>
      <c r="DZ208" s="52"/>
      <c r="EA208" s="105"/>
      <c r="EB208" s="98"/>
      <c r="EC208" s="279"/>
      <c r="ED208" s="52"/>
      <c r="EE208" s="105"/>
      <c r="EF208" s="98"/>
      <c r="EG208" s="159"/>
      <c r="EH208" s="277"/>
      <c r="EI208" s="50">
        <f t="shared" si="102"/>
        <v>0</v>
      </c>
      <c r="EJ208" s="103">
        <f t="shared" si="103"/>
        <v>0</v>
      </c>
      <c r="EK208" s="164">
        <f t="shared" si="104"/>
        <v>0</v>
      </c>
      <c r="EL208" s="280">
        <f t="shared" si="105"/>
        <v>0</v>
      </c>
      <c r="EM208" s="63">
        <f t="shared" si="106"/>
        <v>0</v>
      </c>
      <c r="EN208" s="359">
        <f t="shared" si="107"/>
        <v>0</v>
      </c>
      <c r="EO208" s="51">
        <f t="shared" si="108"/>
        <v>0</v>
      </c>
      <c r="EP208" s="361">
        <f t="shared" si="109"/>
        <v>0</v>
      </c>
      <c r="EQ208" s="281"/>
      <c r="ER208" s="277"/>
      <c r="ES208" s="281"/>
      <c r="ET208" s="277"/>
      <c r="EU208" s="281"/>
      <c r="EV208" s="277"/>
      <c r="EW208" s="281"/>
      <c r="EX208" s="277"/>
      <c r="EY208" s="281"/>
      <c r="EZ208" s="277"/>
      <c r="FA208" s="281"/>
      <c r="FB208" s="277"/>
      <c r="FC208" s="281"/>
      <c r="FD208" s="277"/>
      <c r="FE208" s="281"/>
      <c r="FF208" s="277"/>
      <c r="FG208" s="281"/>
      <c r="FH208" s="277"/>
      <c r="FI208" s="281"/>
      <c r="FJ208" s="277"/>
      <c r="FK208" s="50">
        <f t="shared" si="110"/>
        <v>0</v>
      </c>
      <c r="FL208" s="63">
        <f t="shared" si="111"/>
        <v>0</v>
      </c>
      <c r="FM208" s="50">
        <f t="shared" si="93"/>
        <v>2468</v>
      </c>
      <c r="FN208" s="360">
        <f t="shared" si="94"/>
        <v>2037</v>
      </c>
      <c r="FO208" s="3"/>
      <c r="FP208" s="279"/>
      <c r="FQ208" s="52"/>
      <c r="FR208" s="296"/>
      <c r="FS208" s="98"/>
      <c r="FT208" s="467"/>
      <c r="FU208" s="52"/>
      <c r="FV208" s="296"/>
      <c r="FW208" s="98"/>
      <c r="FX208" s="467"/>
      <c r="FY208" s="52"/>
      <c r="FZ208" s="296"/>
      <c r="GA208" s="98"/>
      <c r="GB208" s="467"/>
      <c r="GC208" s="52"/>
      <c r="GD208" s="296"/>
      <c r="GE208" s="98"/>
      <c r="GF208" s="467"/>
      <c r="GG208" s="52"/>
      <c r="GH208" s="296"/>
      <c r="GI208" s="98"/>
      <c r="GJ208" s="467"/>
      <c r="GK208" s="52"/>
      <c r="GL208" s="296"/>
      <c r="GM208" s="464"/>
      <c r="GN208" s="467"/>
      <c r="GO208" s="52"/>
      <c r="GP208" s="296"/>
      <c r="GQ208" s="464"/>
      <c r="GR208" s="467"/>
      <c r="GS208" s="52"/>
      <c r="GT208" s="296"/>
      <c r="GU208" s="464"/>
      <c r="GV208" s="467"/>
      <c r="GW208" s="52"/>
      <c r="GX208" s="296"/>
      <c r="GY208" s="464"/>
      <c r="GZ208" s="467"/>
      <c r="HA208" s="52"/>
      <c r="HB208" s="296"/>
      <c r="HC208" s="3"/>
    </row>
    <row r="209" spans="1:211" s="396" customFormat="1">
      <c r="A209" s="490" t="s">
        <v>29</v>
      </c>
      <c r="B209" s="308" t="s">
        <v>571</v>
      </c>
      <c r="C209" s="285">
        <v>156790</v>
      </c>
      <c r="D209" s="341">
        <v>10</v>
      </c>
      <c r="E209" s="460">
        <v>691</v>
      </c>
      <c r="F209" s="277">
        <v>746</v>
      </c>
      <c r="G209" s="158"/>
      <c r="H209" s="277"/>
      <c r="I209" s="158">
        <v>370</v>
      </c>
      <c r="J209" s="277">
        <v>345</v>
      </c>
      <c r="K209" s="160">
        <f t="shared" si="95"/>
        <v>0</v>
      </c>
      <c r="L209" s="161">
        <f t="shared" si="88"/>
        <v>0</v>
      </c>
      <c r="M209" s="54"/>
      <c r="N209" s="55"/>
      <c r="O209" s="55"/>
      <c r="P209" s="55"/>
      <c r="Q209" s="162">
        <f t="shared" si="96"/>
        <v>0</v>
      </c>
      <c r="R209" s="277"/>
      <c r="S209" s="277"/>
      <c r="T209" s="277"/>
      <c r="U209" s="277"/>
      <c r="V209" s="97">
        <f t="shared" si="97"/>
        <v>0</v>
      </c>
      <c r="W209" s="279"/>
      <c r="X209" s="52"/>
      <c r="Y209" s="99"/>
      <c r="Z209" s="53"/>
      <c r="AA209" s="228"/>
      <c r="AB209" s="52"/>
      <c r="AC209" s="99"/>
      <c r="AD209" s="53"/>
      <c r="AE209" s="228"/>
      <c r="AF209" s="52"/>
      <c r="AG209" s="99"/>
      <c r="AH209" s="53"/>
      <c r="AI209" s="228"/>
      <c r="AJ209" s="52"/>
      <c r="AK209" s="99"/>
      <c r="AL209" s="53"/>
      <c r="AM209" s="228"/>
      <c r="AN209" s="52"/>
      <c r="AO209" s="99"/>
      <c r="AP209" s="53"/>
      <c r="AQ209" s="50">
        <f t="shared" si="89"/>
        <v>0</v>
      </c>
      <c r="AR209" s="163">
        <f t="shared" si="90"/>
        <v>0</v>
      </c>
      <c r="AS209" s="97">
        <f t="shared" si="91"/>
        <v>0</v>
      </c>
      <c r="AT209" s="278">
        <f t="shared" si="92"/>
        <v>0</v>
      </c>
      <c r="AU209" s="55"/>
      <c r="AV209" s="277"/>
      <c r="AW209" s="279"/>
      <c r="AX209" s="52"/>
      <c r="AY209" s="105"/>
      <c r="AZ209" s="98"/>
      <c r="BA209" s="279"/>
      <c r="BB209" s="52"/>
      <c r="BC209" s="105"/>
      <c r="BD209" s="98"/>
      <c r="BE209" s="279"/>
      <c r="BF209" s="52"/>
      <c r="BG209" s="105"/>
      <c r="BH209" s="98"/>
      <c r="BI209" s="279"/>
      <c r="BJ209" s="52"/>
      <c r="BK209" s="105"/>
      <c r="BL209" s="98"/>
      <c r="BM209" s="279"/>
      <c r="BN209" s="52"/>
      <c r="BO209" s="105"/>
      <c r="BP209" s="98"/>
      <c r="BQ209" s="279"/>
      <c r="BR209" s="52"/>
      <c r="BS209" s="105"/>
      <c r="BT209" s="98"/>
      <c r="BU209" s="279"/>
      <c r="BV209" s="52"/>
      <c r="BW209" s="105"/>
      <c r="BX209" s="98"/>
      <c r="BY209" s="279"/>
      <c r="BZ209" s="52"/>
      <c r="CA209" s="105"/>
      <c r="CB209" s="98"/>
      <c r="CC209" s="279"/>
      <c r="CD209" s="52"/>
      <c r="CE209" s="105"/>
      <c r="CF209" s="98"/>
      <c r="CG209" s="279"/>
      <c r="CH209" s="52"/>
      <c r="CI209" s="105"/>
      <c r="CJ209" s="98"/>
      <c r="CK209" s="281"/>
      <c r="CL209" s="277"/>
      <c r="CM209" s="159"/>
      <c r="CN209" s="277"/>
      <c r="CO209" s="50">
        <f t="shared" si="98"/>
        <v>0</v>
      </c>
      <c r="CP209" s="103">
        <f t="shared" si="99"/>
        <v>0</v>
      </c>
      <c r="CQ209" s="280">
        <f t="shared" si="100"/>
        <v>0</v>
      </c>
      <c r="CR209" s="63">
        <f t="shared" si="101"/>
        <v>0</v>
      </c>
      <c r="CS209" s="279"/>
      <c r="CT209" s="52"/>
      <c r="CU209" s="105"/>
      <c r="CV209" s="98"/>
      <c r="CW209" s="279"/>
      <c r="CX209" s="52"/>
      <c r="CY209" s="105"/>
      <c r="CZ209" s="98"/>
      <c r="DA209" s="279"/>
      <c r="DB209" s="52"/>
      <c r="DC209" s="105"/>
      <c r="DD209" s="98"/>
      <c r="DE209" s="279"/>
      <c r="DF209" s="52"/>
      <c r="DG209" s="105"/>
      <c r="DH209" s="98"/>
      <c r="DI209" s="279"/>
      <c r="DJ209" s="52"/>
      <c r="DK209" s="105"/>
      <c r="DL209" s="98"/>
      <c r="DM209" s="279"/>
      <c r="DN209" s="52"/>
      <c r="DO209" s="105"/>
      <c r="DP209" s="98"/>
      <c r="DQ209" s="279"/>
      <c r="DR209" s="52"/>
      <c r="DS209" s="105"/>
      <c r="DT209" s="98"/>
      <c r="DU209" s="279"/>
      <c r="DV209" s="52"/>
      <c r="DW209" s="105"/>
      <c r="DX209" s="98"/>
      <c r="DY209" s="279"/>
      <c r="DZ209" s="52"/>
      <c r="EA209" s="105"/>
      <c r="EB209" s="98"/>
      <c r="EC209" s="279"/>
      <c r="ED209" s="52"/>
      <c r="EE209" s="105"/>
      <c r="EF209" s="98"/>
      <c r="EG209" s="159"/>
      <c r="EH209" s="277"/>
      <c r="EI209" s="50">
        <f t="shared" si="102"/>
        <v>0</v>
      </c>
      <c r="EJ209" s="103">
        <f t="shared" si="103"/>
        <v>0</v>
      </c>
      <c r="EK209" s="164">
        <f t="shared" si="104"/>
        <v>0</v>
      </c>
      <c r="EL209" s="280">
        <f t="shared" si="105"/>
        <v>0</v>
      </c>
      <c r="EM209" s="63">
        <f t="shared" si="106"/>
        <v>0</v>
      </c>
      <c r="EN209" s="359">
        <f t="shared" si="107"/>
        <v>0</v>
      </c>
      <c r="EO209" s="51">
        <f t="shared" si="108"/>
        <v>0</v>
      </c>
      <c r="EP209" s="361">
        <f t="shared" si="109"/>
        <v>0</v>
      </c>
      <c r="EQ209" s="281"/>
      <c r="ER209" s="277"/>
      <c r="ES209" s="281"/>
      <c r="ET209" s="277"/>
      <c r="EU209" s="281"/>
      <c r="EV209" s="277"/>
      <c r="EW209" s="281"/>
      <c r="EX209" s="277"/>
      <c r="EY209" s="281"/>
      <c r="EZ209" s="277"/>
      <c r="FA209" s="281"/>
      <c r="FB209" s="277"/>
      <c r="FC209" s="281"/>
      <c r="FD209" s="277"/>
      <c r="FE209" s="281"/>
      <c r="FF209" s="277"/>
      <c r="FG209" s="281"/>
      <c r="FH209" s="277"/>
      <c r="FI209" s="281"/>
      <c r="FJ209" s="277"/>
      <c r="FK209" s="50">
        <f t="shared" si="110"/>
        <v>0</v>
      </c>
      <c r="FL209" s="63">
        <f t="shared" si="111"/>
        <v>0</v>
      </c>
      <c r="FM209" s="50">
        <f t="shared" si="93"/>
        <v>1061</v>
      </c>
      <c r="FN209" s="360">
        <f t="shared" si="94"/>
        <v>1091</v>
      </c>
      <c r="FO209" s="3"/>
      <c r="FP209" s="279"/>
      <c r="FQ209" s="52"/>
      <c r="FR209" s="296"/>
      <c r="FS209" s="98"/>
      <c r="FT209" s="467"/>
      <c r="FU209" s="52"/>
      <c r="FV209" s="296"/>
      <c r="FW209" s="98"/>
      <c r="FX209" s="467"/>
      <c r="FY209" s="52"/>
      <c r="FZ209" s="296"/>
      <c r="GA209" s="98"/>
      <c r="GB209" s="467"/>
      <c r="GC209" s="52"/>
      <c r="GD209" s="296"/>
      <c r="GE209" s="98"/>
      <c r="GF209" s="467"/>
      <c r="GG209" s="52"/>
      <c r="GH209" s="296"/>
      <c r="GI209" s="98"/>
      <c r="GJ209" s="467"/>
      <c r="GK209" s="52"/>
      <c r="GL209" s="296"/>
      <c r="GM209" s="464"/>
      <c r="GN209" s="467"/>
      <c r="GO209" s="52"/>
      <c r="GP209" s="296"/>
      <c r="GQ209" s="464"/>
      <c r="GR209" s="467"/>
      <c r="GS209" s="52"/>
      <c r="GT209" s="296"/>
      <c r="GU209" s="464"/>
      <c r="GV209" s="467"/>
      <c r="GW209" s="52"/>
      <c r="GX209" s="296"/>
      <c r="GY209" s="464"/>
      <c r="GZ209" s="467"/>
      <c r="HA209" s="52"/>
      <c r="HB209" s="296"/>
      <c r="HC209" s="3"/>
    </row>
    <row r="210" spans="1:211" s="396" customFormat="1">
      <c r="A210" s="489" t="s">
        <v>29</v>
      </c>
      <c r="B210" s="308" t="s">
        <v>577</v>
      </c>
      <c r="C210" s="285">
        <v>156851</v>
      </c>
      <c r="D210" s="341">
        <v>10</v>
      </c>
      <c r="E210" s="460">
        <v>131</v>
      </c>
      <c r="F210" s="277">
        <v>268</v>
      </c>
      <c r="G210" s="158"/>
      <c r="H210" s="277"/>
      <c r="I210" s="158">
        <v>176</v>
      </c>
      <c r="J210" s="277">
        <v>145</v>
      </c>
      <c r="K210" s="160">
        <f t="shared" si="95"/>
        <v>0</v>
      </c>
      <c r="L210" s="161">
        <f t="shared" si="88"/>
        <v>0</v>
      </c>
      <c r="M210" s="54"/>
      <c r="N210" s="55"/>
      <c r="O210" s="55"/>
      <c r="P210" s="55"/>
      <c r="Q210" s="162">
        <f t="shared" si="96"/>
        <v>0</v>
      </c>
      <c r="R210" s="277"/>
      <c r="S210" s="277"/>
      <c r="T210" s="277"/>
      <c r="U210" s="277"/>
      <c r="V210" s="97">
        <f t="shared" si="97"/>
        <v>0</v>
      </c>
      <c r="W210" s="279"/>
      <c r="X210" s="52"/>
      <c r="Y210" s="99"/>
      <c r="Z210" s="53"/>
      <c r="AA210" s="228"/>
      <c r="AB210" s="52"/>
      <c r="AC210" s="99"/>
      <c r="AD210" s="53"/>
      <c r="AE210" s="228"/>
      <c r="AF210" s="52"/>
      <c r="AG210" s="99"/>
      <c r="AH210" s="53"/>
      <c r="AI210" s="228"/>
      <c r="AJ210" s="52"/>
      <c r="AK210" s="99"/>
      <c r="AL210" s="53"/>
      <c r="AM210" s="228"/>
      <c r="AN210" s="52"/>
      <c r="AO210" s="99"/>
      <c r="AP210" s="53"/>
      <c r="AQ210" s="50">
        <f t="shared" si="89"/>
        <v>0</v>
      </c>
      <c r="AR210" s="163">
        <f t="shared" si="90"/>
        <v>0</v>
      </c>
      <c r="AS210" s="97">
        <f t="shared" si="91"/>
        <v>0</v>
      </c>
      <c r="AT210" s="278">
        <f t="shared" si="92"/>
        <v>0</v>
      </c>
      <c r="AU210" s="55"/>
      <c r="AV210" s="277"/>
      <c r="AW210" s="279"/>
      <c r="AX210" s="52"/>
      <c r="AY210" s="105"/>
      <c r="AZ210" s="98"/>
      <c r="BA210" s="279"/>
      <c r="BB210" s="52"/>
      <c r="BC210" s="105"/>
      <c r="BD210" s="98"/>
      <c r="BE210" s="279"/>
      <c r="BF210" s="52"/>
      <c r="BG210" s="105"/>
      <c r="BH210" s="98"/>
      <c r="BI210" s="279"/>
      <c r="BJ210" s="52"/>
      <c r="BK210" s="105"/>
      <c r="BL210" s="98"/>
      <c r="BM210" s="279"/>
      <c r="BN210" s="52"/>
      <c r="BO210" s="105"/>
      <c r="BP210" s="98"/>
      <c r="BQ210" s="279"/>
      <c r="BR210" s="52"/>
      <c r="BS210" s="105"/>
      <c r="BT210" s="98"/>
      <c r="BU210" s="279"/>
      <c r="BV210" s="52"/>
      <c r="BW210" s="105"/>
      <c r="BX210" s="98"/>
      <c r="BY210" s="279"/>
      <c r="BZ210" s="52"/>
      <c r="CA210" s="105"/>
      <c r="CB210" s="98"/>
      <c r="CC210" s="279"/>
      <c r="CD210" s="52"/>
      <c r="CE210" s="105"/>
      <c r="CF210" s="98"/>
      <c r="CG210" s="279"/>
      <c r="CH210" s="52"/>
      <c r="CI210" s="105"/>
      <c r="CJ210" s="98"/>
      <c r="CK210" s="281"/>
      <c r="CL210" s="277"/>
      <c r="CM210" s="159"/>
      <c r="CN210" s="277"/>
      <c r="CO210" s="50">
        <f t="shared" si="98"/>
        <v>0</v>
      </c>
      <c r="CP210" s="103">
        <f t="shared" si="99"/>
        <v>0</v>
      </c>
      <c r="CQ210" s="280">
        <f t="shared" si="100"/>
        <v>0</v>
      </c>
      <c r="CR210" s="63">
        <f t="shared" si="101"/>
        <v>0</v>
      </c>
      <c r="CS210" s="279"/>
      <c r="CT210" s="52"/>
      <c r="CU210" s="105"/>
      <c r="CV210" s="98"/>
      <c r="CW210" s="279"/>
      <c r="CX210" s="52"/>
      <c r="CY210" s="105"/>
      <c r="CZ210" s="98"/>
      <c r="DA210" s="279"/>
      <c r="DB210" s="52"/>
      <c r="DC210" s="105"/>
      <c r="DD210" s="98"/>
      <c r="DE210" s="279"/>
      <c r="DF210" s="52"/>
      <c r="DG210" s="105"/>
      <c r="DH210" s="98"/>
      <c r="DI210" s="279"/>
      <c r="DJ210" s="52"/>
      <c r="DK210" s="105"/>
      <c r="DL210" s="98"/>
      <c r="DM210" s="279"/>
      <c r="DN210" s="52"/>
      <c r="DO210" s="105"/>
      <c r="DP210" s="98"/>
      <c r="DQ210" s="279"/>
      <c r="DR210" s="52"/>
      <c r="DS210" s="105"/>
      <c r="DT210" s="98"/>
      <c r="DU210" s="279"/>
      <c r="DV210" s="52"/>
      <c r="DW210" s="105"/>
      <c r="DX210" s="98"/>
      <c r="DY210" s="279"/>
      <c r="DZ210" s="52"/>
      <c r="EA210" s="105"/>
      <c r="EB210" s="98"/>
      <c r="EC210" s="279"/>
      <c r="ED210" s="52"/>
      <c r="EE210" s="105"/>
      <c r="EF210" s="98"/>
      <c r="EG210" s="159"/>
      <c r="EH210" s="277"/>
      <c r="EI210" s="50">
        <f t="shared" si="102"/>
        <v>0</v>
      </c>
      <c r="EJ210" s="103">
        <f t="shared" si="103"/>
        <v>0</v>
      </c>
      <c r="EK210" s="164">
        <f t="shared" si="104"/>
        <v>0</v>
      </c>
      <c r="EL210" s="280">
        <f t="shared" si="105"/>
        <v>0</v>
      </c>
      <c r="EM210" s="63">
        <f t="shared" si="106"/>
        <v>0</v>
      </c>
      <c r="EN210" s="359">
        <f t="shared" si="107"/>
        <v>0</v>
      </c>
      <c r="EO210" s="51">
        <f t="shared" si="108"/>
        <v>0</v>
      </c>
      <c r="EP210" s="361">
        <f t="shared" si="109"/>
        <v>0</v>
      </c>
      <c r="EQ210" s="281"/>
      <c r="ER210" s="277"/>
      <c r="ES210" s="281"/>
      <c r="ET210" s="277"/>
      <c r="EU210" s="281"/>
      <c r="EV210" s="277"/>
      <c r="EW210" s="281"/>
      <c r="EX210" s="277"/>
      <c r="EY210" s="281"/>
      <c r="EZ210" s="277"/>
      <c r="FA210" s="281"/>
      <c r="FB210" s="277"/>
      <c r="FC210" s="281"/>
      <c r="FD210" s="277"/>
      <c r="FE210" s="281"/>
      <c r="FF210" s="277"/>
      <c r="FG210" s="281"/>
      <c r="FH210" s="277"/>
      <c r="FI210" s="281"/>
      <c r="FJ210" s="277"/>
      <c r="FK210" s="50">
        <f t="shared" si="110"/>
        <v>0</v>
      </c>
      <c r="FL210" s="63">
        <f t="shared" si="111"/>
        <v>0</v>
      </c>
      <c r="FM210" s="50">
        <f t="shared" si="93"/>
        <v>307</v>
      </c>
      <c r="FN210" s="360">
        <f t="shared" si="94"/>
        <v>413</v>
      </c>
      <c r="FO210" s="3"/>
      <c r="FP210" s="279"/>
      <c r="FQ210" s="52"/>
      <c r="FR210" s="296"/>
      <c r="FS210" s="98"/>
      <c r="FT210" s="467"/>
      <c r="FU210" s="52"/>
      <c r="FV210" s="296"/>
      <c r="FW210" s="98"/>
      <c r="FX210" s="467"/>
      <c r="FY210" s="52"/>
      <c r="FZ210" s="296"/>
      <c r="GA210" s="98"/>
      <c r="GB210" s="467"/>
      <c r="GC210" s="52"/>
      <c r="GD210" s="296"/>
      <c r="GE210" s="98"/>
      <c r="GF210" s="467"/>
      <c r="GG210" s="52"/>
      <c r="GH210" s="296"/>
      <c r="GI210" s="98"/>
      <c r="GJ210" s="467"/>
      <c r="GK210" s="52"/>
      <c r="GL210" s="296"/>
      <c r="GM210" s="464"/>
      <c r="GN210" s="467"/>
      <c r="GO210" s="52"/>
      <c r="GP210" s="296"/>
      <c r="GQ210" s="464"/>
      <c r="GR210" s="467"/>
      <c r="GS210" s="52"/>
      <c r="GT210" s="296"/>
      <c r="GU210" s="464"/>
      <c r="GV210" s="467"/>
      <c r="GW210" s="52"/>
      <c r="GX210" s="296"/>
      <c r="GY210" s="464"/>
      <c r="GZ210" s="467"/>
      <c r="HA210" s="52"/>
      <c r="HB210" s="296"/>
      <c r="HC210" s="3"/>
    </row>
    <row r="211" spans="1:211" s="396" customFormat="1">
      <c r="A211" s="489" t="s">
        <v>29</v>
      </c>
      <c r="B211" s="308" t="s">
        <v>578</v>
      </c>
      <c r="C211" s="285">
        <v>156860</v>
      </c>
      <c r="D211" s="341">
        <v>10</v>
      </c>
      <c r="E211" s="460">
        <v>411</v>
      </c>
      <c r="F211" s="277">
        <v>279</v>
      </c>
      <c r="G211" s="158"/>
      <c r="H211" s="277"/>
      <c r="I211" s="158">
        <v>359</v>
      </c>
      <c r="J211" s="277">
        <v>345</v>
      </c>
      <c r="K211" s="160">
        <f t="shared" si="95"/>
        <v>0</v>
      </c>
      <c r="L211" s="161">
        <f t="shared" si="88"/>
        <v>0</v>
      </c>
      <c r="M211" s="54"/>
      <c r="N211" s="55"/>
      <c r="O211" s="55"/>
      <c r="P211" s="55"/>
      <c r="Q211" s="162">
        <f t="shared" si="96"/>
        <v>0</v>
      </c>
      <c r="R211" s="277"/>
      <c r="S211" s="277"/>
      <c r="T211" s="277"/>
      <c r="U211" s="277"/>
      <c r="V211" s="97">
        <f t="shared" si="97"/>
        <v>0</v>
      </c>
      <c r="W211" s="279"/>
      <c r="X211" s="52"/>
      <c r="Y211" s="99"/>
      <c r="Z211" s="53"/>
      <c r="AA211" s="228"/>
      <c r="AB211" s="52"/>
      <c r="AC211" s="99"/>
      <c r="AD211" s="53"/>
      <c r="AE211" s="228"/>
      <c r="AF211" s="52"/>
      <c r="AG211" s="99"/>
      <c r="AH211" s="53"/>
      <c r="AI211" s="228"/>
      <c r="AJ211" s="52"/>
      <c r="AK211" s="99"/>
      <c r="AL211" s="53"/>
      <c r="AM211" s="228"/>
      <c r="AN211" s="52"/>
      <c r="AO211" s="99"/>
      <c r="AP211" s="53"/>
      <c r="AQ211" s="50">
        <f t="shared" si="89"/>
        <v>0</v>
      </c>
      <c r="AR211" s="163">
        <f t="shared" si="90"/>
        <v>0</v>
      </c>
      <c r="AS211" s="97">
        <f t="shared" si="91"/>
        <v>0</v>
      </c>
      <c r="AT211" s="278">
        <f t="shared" si="92"/>
        <v>0</v>
      </c>
      <c r="AU211" s="55"/>
      <c r="AV211" s="277"/>
      <c r="AW211" s="279"/>
      <c r="AX211" s="52"/>
      <c r="AY211" s="105"/>
      <c r="AZ211" s="98"/>
      <c r="BA211" s="279"/>
      <c r="BB211" s="52"/>
      <c r="BC211" s="105"/>
      <c r="BD211" s="98"/>
      <c r="BE211" s="279"/>
      <c r="BF211" s="52"/>
      <c r="BG211" s="105"/>
      <c r="BH211" s="98"/>
      <c r="BI211" s="279"/>
      <c r="BJ211" s="52"/>
      <c r="BK211" s="105"/>
      <c r="BL211" s="98"/>
      <c r="BM211" s="279"/>
      <c r="BN211" s="52"/>
      <c r="BO211" s="105"/>
      <c r="BP211" s="98"/>
      <c r="BQ211" s="279"/>
      <c r="BR211" s="52"/>
      <c r="BS211" s="105"/>
      <c r="BT211" s="98"/>
      <c r="BU211" s="279"/>
      <c r="BV211" s="52"/>
      <c r="BW211" s="105"/>
      <c r="BX211" s="98"/>
      <c r="BY211" s="279"/>
      <c r="BZ211" s="52"/>
      <c r="CA211" s="105"/>
      <c r="CB211" s="98"/>
      <c r="CC211" s="279"/>
      <c r="CD211" s="52"/>
      <c r="CE211" s="105"/>
      <c r="CF211" s="98"/>
      <c r="CG211" s="279"/>
      <c r="CH211" s="52"/>
      <c r="CI211" s="105"/>
      <c r="CJ211" s="98"/>
      <c r="CK211" s="281"/>
      <c r="CL211" s="277"/>
      <c r="CM211" s="159"/>
      <c r="CN211" s="277"/>
      <c r="CO211" s="50">
        <f t="shared" si="98"/>
        <v>0</v>
      </c>
      <c r="CP211" s="103">
        <f t="shared" si="99"/>
        <v>0</v>
      </c>
      <c r="CQ211" s="280">
        <f t="shared" si="100"/>
        <v>0</v>
      </c>
      <c r="CR211" s="63">
        <f t="shared" si="101"/>
        <v>0</v>
      </c>
      <c r="CS211" s="279"/>
      <c r="CT211" s="52"/>
      <c r="CU211" s="105"/>
      <c r="CV211" s="98"/>
      <c r="CW211" s="279"/>
      <c r="CX211" s="52"/>
      <c r="CY211" s="105"/>
      <c r="CZ211" s="98"/>
      <c r="DA211" s="279"/>
      <c r="DB211" s="52"/>
      <c r="DC211" s="105"/>
      <c r="DD211" s="98"/>
      <c r="DE211" s="279"/>
      <c r="DF211" s="52"/>
      <c r="DG211" s="105"/>
      <c r="DH211" s="98"/>
      <c r="DI211" s="279"/>
      <c r="DJ211" s="52"/>
      <c r="DK211" s="105"/>
      <c r="DL211" s="98"/>
      <c r="DM211" s="279"/>
      <c r="DN211" s="52"/>
      <c r="DO211" s="105"/>
      <c r="DP211" s="98"/>
      <c r="DQ211" s="279"/>
      <c r="DR211" s="52"/>
      <c r="DS211" s="105"/>
      <c r="DT211" s="98"/>
      <c r="DU211" s="279"/>
      <c r="DV211" s="52"/>
      <c r="DW211" s="105"/>
      <c r="DX211" s="98"/>
      <c r="DY211" s="279"/>
      <c r="DZ211" s="52"/>
      <c r="EA211" s="105"/>
      <c r="EB211" s="98"/>
      <c r="EC211" s="279"/>
      <c r="ED211" s="52"/>
      <c r="EE211" s="105"/>
      <c r="EF211" s="98"/>
      <c r="EG211" s="159"/>
      <c r="EH211" s="277"/>
      <c r="EI211" s="50">
        <f t="shared" si="102"/>
        <v>0</v>
      </c>
      <c r="EJ211" s="103">
        <f t="shared" si="103"/>
        <v>0</v>
      </c>
      <c r="EK211" s="164">
        <f t="shared" si="104"/>
        <v>0</v>
      </c>
      <c r="EL211" s="280">
        <f t="shared" si="105"/>
        <v>0</v>
      </c>
      <c r="EM211" s="63">
        <f t="shared" si="106"/>
        <v>0</v>
      </c>
      <c r="EN211" s="359">
        <f t="shared" si="107"/>
        <v>0</v>
      </c>
      <c r="EO211" s="51">
        <f t="shared" si="108"/>
        <v>0</v>
      </c>
      <c r="EP211" s="361">
        <f t="shared" si="109"/>
        <v>0</v>
      </c>
      <c r="EQ211" s="281"/>
      <c r="ER211" s="277"/>
      <c r="ES211" s="281"/>
      <c r="ET211" s="277"/>
      <c r="EU211" s="281"/>
      <c r="EV211" s="277"/>
      <c r="EW211" s="281"/>
      <c r="EX211" s="277"/>
      <c r="EY211" s="281"/>
      <c r="EZ211" s="277"/>
      <c r="FA211" s="281"/>
      <c r="FB211" s="277"/>
      <c r="FC211" s="281"/>
      <c r="FD211" s="277"/>
      <c r="FE211" s="281"/>
      <c r="FF211" s="277"/>
      <c r="FG211" s="281"/>
      <c r="FH211" s="277"/>
      <c r="FI211" s="281"/>
      <c r="FJ211" s="277"/>
      <c r="FK211" s="50">
        <f t="shared" si="110"/>
        <v>0</v>
      </c>
      <c r="FL211" s="63">
        <f t="shared" si="111"/>
        <v>0</v>
      </c>
      <c r="FM211" s="50">
        <f t="shared" si="93"/>
        <v>770</v>
      </c>
      <c r="FN211" s="360">
        <f t="shared" si="94"/>
        <v>624</v>
      </c>
      <c r="FO211" s="3"/>
      <c r="FP211" s="279"/>
      <c r="FQ211" s="52"/>
      <c r="FR211" s="296"/>
      <c r="FS211" s="98"/>
      <c r="FT211" s="467"/>
      <c r="FU211" s="52"/>
      <c r="FV211" s="296"/>
      <c r="FW211" s="98"/>
      <c r="FX211" s="467"/>
      <c r="FY211" s="52"/>
      <c r="FZ211" s="296"/>
      <c r="GA211" s="98"/>
      <c r="GB211" s="467"/>
      <c r="GC211" s="52"/>
      <c r="GD211" s="296"/>
      <c r="GE211" s="98"/>
      <c r="GF211" s="467"/>
      <c r="GG211" s="52"/>
      <c r="GH211" s="296"/>
      <c r="GI211" s="98"/>
      <c r="GJ211" s="467"/>
      <c r="GK211" s="52"/>
      <c r="GL211" s="296"/>
      <c r="GM211" s="464"/>
      <c r="GN211" s="467"/>
      <c r="GO211" s="52"/>
      <c r="GP211" s="296"/>
      <c r="GQ211" s="464"/>
      <c r="GR211" s="467"/>
      <c r="GS211" s="52"/>
      <c r="GT211" s="296"/>
      <c r="GU211" s="464"/>
      <c r="GV211" s="467"/>
      <c r="GW211" s="52"/>
      <c r="GX211" s="296"/>
      <c r="GY211" s="464"/>
      <c r="GZ211" s="467"/>
      <c r="HA211" s="52"/>
      <c r="HB211" s="296"/>
      <c r="HC211" s="3"/>
    </row>
    <row r="212" spans="1:211" s="396" customFormat="1">
      <c r="A212" s="490" t="s">
        <v>29</v>
      </c>
      <c r="B212" s="308" t="s">
        <v>581</v>
      </c>
      <c r="C212" s="285">
        <v>156338</v>
      </c>
      <c r="D212" s="341">
        <v>12</v>
      </c>
      <c r="E212" s="460">
        <v>1157</v>
      </c>
      <c r="F212" s="277">
        <v>1117</v>
      </c>
      <c r="G212" s="158"/>
      <c r="H212" s="277"/>
      <c r="I212" s="158">
        <v>153</v>
      </c>
      <c r="J212" s="277">
        <v>177</v>
      </c>
      <c r="K212" s="160">
        <f t="shared" si="95"/>
        <v>0</v>
      </c>
      <c r="L212" s="161">
        <f t="shared" si="88"/>
        <v>0</v>
      </c>
      <c r="M212" s="54"/>
      <c r="N212" s="55"/>
      <c r="O212" s="55"/>
      <c r="P212" s="55"/>
      <c r="Q212" s="162">
        <f t="shared" si="96"/>
        <v>0</v>
      </c>
      <c r="R212" s="277"/>
      <c r="S212" s="277"/>
      <c r="T212" s="277"/>
      <c r="U212" s="277"/>
      <c r="V212" s="97">
        <f t="shared" si="97"/>
        <v>0</v>
      </c>
      <c r="W212" s="279"/>
      <c r="X212" s="52"/>
      <c r="Y212" s="99"/>
      <c r="Z212" s="53"/>
      <c r="AA212" s="228"/>
      <c r="AB212" s="52"/>
      <c r="AC212" s="99"/>
      <c r="AD212" s="53"/>
      <c r="AE212" s="228"/>
      <c r="AF212" s="52"/>
      <c r="AG212" s="99"/>
      <c r="AH212" s="53"/>
      <c r="AI212" s="228"/>
      <c r="AJ212" s="52"/>
      <c r="AK212" s="99"/>
      <c r="AL212" s="53"/>
      <c r="AM212" s="228"/>
      <c r="AN212" s="52"/>
      <c r="AO212" s="99"/>
      <c r="AP212" s="53"/>
      <c r="AQ212" s="50">
        <f t="shared" si="89"/>
        <v>0</v>
      </c>
      <c r="AR212" s="163">
        <f t="shared" si="90"/>
        <v>0</v>
      </c>
      <c r="AS212" s="97">
        <f t="shared" si="91"/>
        <v>0</v>
      </c>
      <c r="AT212" s="278">
        <f t="shared" si="92"/>
        <v>0</v>
      </c>
      <c r="AU212" s="55"/>
      <c r="AV212" s="277"/>
      <c r="AW212" s="279"/>
      <c r="AX212" s="52"/>
      <c r="AY212" s="105"/>
      <c r="AZ212" s="98"/>
      <c r="BA212" s="279"/>
      <c r="BB212" s="52"/>
      <c r="BC212" s="105"/>
      <c r="BD212" s="98"/>
      <c r="BE212" s="279"/>
      <c r="BF212" s="52"/>
      <c r="BG212" s="105"/>
      <c r="BH212" s="98"/>
      <c r="BI212" s="279"/>
      <c r="BJ212" s="52"/>
      <c r="BK212" s="105"/>
      <c r="BL212" s="98"/>
      <c r="BM212" s="279"/>
      <c r="BN212" s="52"/>
      <c r="BO212" s="105"/>
      <c r="BP212" s="98"/>
      <c r="BQ212" s="279"/>
      <c r="BR212" s="52"/>
      <c r="BS212" s="105"/>
      <c r="BT212" s="98"/>
      <c r="BU212" s="279"/>
      <c r="BV212" s="52"/>
      <c r="BW212" s="105"/>
      <c r="BX212" s="98"/>
      <c r="BY212" s="279"/>
      <c r="BZ212" s="52"/>
      <c r="CA212" s="105"/>
      <c r="CB212" s="98"/>
      <c r="CC212" s="279"/>
      <c r="CD212" s="52"/>
      <c r="CE212" s="105"/>
      <c r="CF212" s="98"/>
      <c r="CG212" s="279"/>
      <c r="CH212" s="52"/>
      <c r="CI212" s="105"/>
      <c r="CJ212" s="98"/>
      <c r="CK212" s="281"/>
      <c r="CL212" s="277"/>
      <c r="CM212" s="159"/>
      <c r="CN212" s="277"/>
      <c r="CO212" s="50">
        <f t="shared" si="98"/>
        <v>0</v>
      </c>
      <c r="CP212" s="103">
        <f t="shared" si="99"/>
        <v>0</v>
      </c>
      <c r="CQ212" s="280">
        <f t="shared" si="100"/>
        <v>0</v>
      </c>
      <c r="CR212" s="63">
        <f t="shared" si="101"/>
        <v>0</v>
      </c>
      <c r="CS212" s="279"/>
      <c r="CT212" s="52"/>
      <c r="CU212" s="105"/>
      <c r="CV212" s="98"/>
      <c r="CW212" s="279"/>
      <c r="CX212" s="52"/>
      <c r="CY212" s="105"/>
      <c r="CZ212" s="98"/>
      <c r="DA212" s="279"/>
      <c r="DB212" s="52"/>
      <c r="DC212" s="105"/>
      <c r="DD212" s="98"/>
      <c r="DE212" s="279"/>
      <c r="DF212" s="52"/>
      <c r="DG212" s="105"/>
      <c r="DH212" s="98"/>
      <c r="DI212" s="279"/>
      <c r="DJ212" s="52"/>
      <c r="DK212" s="105"/>
      <c r="DL212" s="98"/>
      <c r="DM212" s="279"/>
      <c r="DN212" s="52"/>
      <c r="DO212" s="105"/>
      <c r="DP212" s="98"/>
      <c r="DQ212" s="279"/>
      <c r="DR212" s="52"/>
      <c r="DS212" s="105"/>
      <c r="DT212" s="98"/>
      <c r="DU212" s="279"/>
      <c r="DV212" s="52"/>
      <c r="DW212" s="105"/>
      <c r="DX212" s="98"/>
      <c r="DY212" s="279"/>
      <c r="DZ212" s="52"/>
      <c r="EA212" s="105"/>
      <c r="EB212" s="98"/>
      <c r="EC212" s="279"/>
      <c r="ED212" s="52"/>
      <c r="EE212" s="105"/>
      <c r="EF212" s="98"/>
      <c r="EG212" s="159"/>
      <c r="EH212" s="277"/>
      <c r="EI212" s="50">
        <f t="shared" si="102"/>
        <v>0</v>
      </c>
      <c r="EJ212" s="103">
        <f t="shared" si="103"/>
        <v>0</v>
      </c>
      <c r="EK212" s="164">
        <f t="shared" si="104"/>
        <v>0</v>
      </c>
      <c r="EL212" s="280">
        <f t="shared" si="105"/>
        <v>0</v>
      </c>
      <c r="EM212" s="63">
        <f t="shared" si="106"/>
        <v>0</v>
      </c>
      <c r="EN212" s="359">
        <f t="shared" si="107"/>
        <v>0</v>
      </c>
      <c r="EO212" s="51">
        <f t="shared" si="108"/>
        <v>0</v>
      </c>
      <c r="EP212" s="361">
        <f t="shared" si="109"/>
        <v>0</v>
      </c>
      <c r="EQ212" s="281"/>
      <c r="ER212" s="277"/>
      <c r="ES212" s="281"/>
      <c r="ET212" s="277"/>
      <c r="EU212" s="281"/>
      <c r="EV212" s="277"/>
      <c r="EW212" s="281"/>
      <c r="EX212" s="277"/>
      <c r="EY212" s="281"/>
      <c r="EZ212" s="277"/>
      <c r="FA212" s="281"/>
      <c r="FB212" s="277"/>
      <c r="FC212" s="281"/>
      <c r="FD212" s="277"/>
      <c r="FE212" s="281"/>
      <c r="FF212" s="277"/>
      <c r="FG212" s="281"/>
      <c r="FH212" s="277"/>
      <c r="FI212" s="281"/>
      <c r="FJ212" s="277"/>
      <c r="FK212" s="50">
        <f t="shared" si="110"/>
        <v>0</v>
      </c>
      <c r="FL212" s="63">
        <f t="shared" si="111"/>
        <v>0</v>
      </c>
      <c r="FM212" s="50">
        <f t="shared" si="93"/>
        <v>1310</v>
      </c>
      <c r="FN212" s="360">
        <f t="shared" si="94"/>
        <v>1294</v>
      </c>
      <c r="FO212" s="3"/>
      <c r="FP212" s="279"/>
      <c r="FQ212" s="52"/>
      <c r="FR212" s="296"/>
      <c r="FS212" s="98"/>
      <c r="FT212" s="467"/>
      <c r="FU212" s="52"/>
      <c r="FV212" s="296"/>
      <c r="FW212" s="98"/>
      <c r="FX212" s="467"/>
      <c r="FY212" s="52"/>
      <c r="FZ212" s="296"/>
      <c r="GA212" s="98"/>
      <c r="GB212" s="467"/>
      <c r="GC212" s="52"/>
      <c r="GD212" s="296"/>
      <c r="GE212" s="98"/>
      <c r="GF212" s="467"/>
      <c r="GG212" s="52"/>
      <c r="GH212" s="296"/>
      <c r="GI212" s="98"/>
      <c r="GJ212" s="467"/>
      <c r="GK212" s="52"/>
      <c r="GL212" s="296"/>
      <c r="GM212" s="464"/>
      <c r="GN212" s="467"/>
      <c r="GO212" s="52"/>
      <c r="GP212" s="296"/>
      <c r="GQ212" s="464"/>
      <c r="GR212" s="467"/>
      <c r="GS212" s="52"/>
      <c r="GT212" s="296"/>
      <c r="GU212" s="464"/>
      <c r="GV212" s="467"/>
      <c r="GW212" s="52"/>
      <c r="GX212" s="296"/>
      <c r="GY212" s="464"/>
      <c r="GZ212" s="467"/>
      <c r="HA212" s="52"/>
      <c r="HB212" s="296"/>
      <c r="HC212" s="3"/>
    </row>
    <row r="213" spans="1:211" s="396" customFormat="1">
      <c r="A213" s="490" t="s">
        <v>29</v>
      </c>
      <c r="B213" s="309" t="s">
        <v>580</v>
      </c>
      <c r="C213" s="285">
        <v>157438</v>
      </c>
      <c r="D213" s="342">
        <v>12</v>
      </c>
      <c r="E213" s="460">
        <v>454</v>
      </c>
      <c r="F213" s="277">
        <v>551</v>
      </c>
      <c r="G213" s="158"/>
      <c r="H213" s="277"/>
      <c r="I213" s="158">
        <v>177</v>
      </c>
      <c r="J213" s="277">
        <v>234</v>
      </c>
      <c r="K213" s="160">
        <f t="shared" si="95"/>
        <v>0</v>
      </c>
      <c r="L213" s="161">
        <f t="shared" si="88"/>
        <v>0</v>
      </c>
      <c r="M213" s="54"/>
      <c r="N213" s="55"/>
      <c r="O213" s="55"/>
      <c r="P213" s="55"/>
      <c r="Q213" s="162">
        <f t="shared" si="96"/>
        <v>0</v>
      </c>
      <c r="R213" s="277"/>
      <c r="S213" s="277"/>
      <c r="T213" s="277"/>
      <c r="U213" s="277"/>
      <c r="V213" s="97">
        <f t="shared" si="97"/>
        <v>0</v>
      </c>
      <c r="W213" s="279"/>
      <c r="X213" s="52"/>
      <c r="Y213" s="99"/>
      <c r="Z213" s="53"/>
      <c r="AA213" s="228"/>
      <c r="AB213" s="52"/>
      <c r="AC213" s="99"/>
      <c r="AD213" s="53"/>
      <c r="AE213" s="228"/>
      <c r="AF213" s="52"/>
      <c r="AG213" s="99"/>
      <c r="AH213" s="53"/>
      <c r="AI213" s="228"/>
      <c r="AJ213" s="52"/>
      <c r="AK213" s="99"/>
      <c r="AL213" s="53"/>
      <c r="AM213" s="228"/>
      <c r="AN213" s="52"/>
      <c r="AO213" s="99"/>
      <c r="AP213" s="53"/>
      <c r="AQ213" s="50">
        <f t="shared" si="89"/>
        <v>0</v>
      </c>
      <c r="AR213" s="163">
        <f t="shared" si="90"/>
        <v>0</v>
      </c>
      <c r="AS213" s="97">
        <f t="shared" si="91"/>
        <v>0</v>
      </c>
      <c r="AT213" s="278">
        <f t="shared" si="92"/>
        <v>0</v>
      </c>
      <c r="AU213" s="55"/>
      <c r="AV213" s="277"/>
      <c r="AW213" s="279"/>
      <c r="AX213" s="52"/>
      <c r="AY213" s="105"/>
      <c r="AZ213" s="98"/>
      <c r="BA213" s="279"/>
      <c r="BB213" s="52"/>
      <c r="BC213" s="105"/>
      <c r="BD213" s="98"/>
      <c r="BE213" s="279"/>
      <c r="BF213" s="52"/>
      <c r="BG213" s="105"/>
      <c r="BH213" s="98"/>
      <c r="BI213" s="279"/>
      <c r="BJ213" s="52"/>
      <c r="BK213" s="105"/>
      <c r="BL213" s="98"/>
      <c r="BM213" s="279"/>
      <c r="BN213" s="52"/>
      <c r="BO213" s="105"/>
      <c r="BP213" s="98"/>
      <c r="BQ213" s="279"/>
      <c r="BR213" s="52"/>
      <c r="BS213" s="105"/>
      <c r="BT213" s="98"/>
      <c r="BU213" s="279"/>
      <c r="BV213" s="52"/>
      <c r="BW213" s="105"/>
      <c r="BX213" s="98"/>
      <c r="BY213" s="279"/>
      <c r="BZ213" s="52"/>
      <c r="CA213" s="105"/>
      <c r="CB213" s="98"/>
      <c r="CC213" s="279"/>
      <c r="CD213" s="52"/>
      <c r="CE213" s="105"/>
      <c r="CF213" s="98"/>
      <c r="CG213" s="279"/>
      <c r="CH213" s="52"/>
      <c r="CI213" s="105"/>
      <c r="CJ213" s="98"/>
      <c r="CK213" s="281"/>
      <c r="CL213" s="277"/>
      <c r="CM213" s="159"/>
      <c r="CN213" s="277"/>
      <c r="CO213" s="50">
        <f t="shared" si="98"/>
        <v>0</v>
      </c>
      <c r="CP213" s="103">
        <f t="shared" si="99"/>
        <v>0</v>
      </c>
      <c r="CQ213" s="280">
        <f t="shared" si="100"/>
        <v>0</v>
      </c>
      <c r="CR213" s="63">
        <f t="shared" si="101"/>
        <v>0</v>
      </c>
      <c r="CS213" s="279"/>
      <c r="CT213" s="52"/>
      <c r="CU213" s="105"/>
      <c r="CV213" s="98"/>
      <c r="CW213" s="279"/>
      <c r="CX213" s="52"/>
      <c r="CY213" s="105"/>
      <c r="CZ213" s="98"/>
      <c r="DA213" s="279"/>
      <c r="DB213" s="52"/>
      <c r="DC213" s="105"/>
      <c r="DD213" s="98"/>
      <c r="DE213" s="279"/>
      <c r="DF213" s="52"/>
      <c r="DG213" s="105"/>
      <c r="DH213" s="98"/>
      <c r="DI213" s="279"/>
      <c r="DJ213" s="52"/>
      <c r="DK213" s="105"/>
      <c r="DL213" s="98"/>
      <c r="DM213" s="279"/>
      <c r="DN213" s="52"/>
      <c r="DO213" s="105"/>
      <c r="DP213" s="98"/>
      <c r="DQ213" s="279"/>
      <c r="DR213" s="52"/>
      <c r="DS213" s="105"/>
      <c r="DT213" s="98"/>
      <c r="DU213" s="279"/>
      <c r="DV213" s="52"/>
      <c r="DW213" s="105"/>
      <c r="DX213" s="98"/>
      <c r="DY213" s="279"/>
      <c r="DZ213" s="52"/>
      <c r="EA213" s="105"/>
      <c r="EB213" s="98"/>
      <c r="EC213" s="279"/>
      <c r="ED213" s="52"/>
      <c r="EE213" s="105"/>
      <c r="EF213" s="98"/>
      <c r="EG213" s="159"/>
      <c r="EH213" s="277"/>
      <c r="EI213" s="50">
        <f t="shared" si="102"/>
        <v>0</v>
      </c>
      <c r="EJ213" s="103">
        <f t="shared" si="103"/>
        <v>0</v>
      </c>
      <c r="EK213" s="164">
        <f t="shared" si="104"/>
        <v>0</v>
      </c>
      <c r="EL213" s="280">
        <f t="shared" si="105"/>
        <v>0</v>
      </c>
      <c r="EM213" s="63">
        <f t="shared" si="106"/>
        <v>0</v>
      </c>
      <c r="EN213" s="359">
        <f t="shared" si="107"/>
        <v>0</v>
      </c>
      <c r="EO213" s="51">
        <f t="shared" si="108"/>
        <v>0</v>
      </c>
      <c r="EP213" s="361">
        <f t="shared" si="109"/>
        <v>0</v>
      </c>
      <c r="EQ213" s="281"/>
      <c r="ER213" s="277"/>
      <c r="ES213" s="281"/>
      <c r="ET213" s="277"/>
      <c r="EU213" s="281"/>
      <c r="EV213" s="277"/>
      <c r="EW213" s="281"/>
      <c r="EX213" s="277"/>
      <c r="EY213" s="281"/>
      <c r="EZ213" s="277"/>
      <c r="FA213" s="281"/>
      <c r="FB213" s="277"/>
      <c r="FC213" s="281"/>
      <c r="FD213" s="277"/>
      <c r="FE213" s="281"/>
      <c r="FF213" s="277"/>
      <c r="FG213" s="281"/>
      <c r="FH213" s="277"/>
      <c r="FI213" s="281"/>
      <c r="FJ213" s="277"/>
      <c r="FK213" s="50">
        <f t="shared" si="110"/>
        <v>0</v>
      </c>
      <c r="FL213" s="63">
        <f t="shared" si="111"/>
        <v>0</v>
      </c>
      <c r="FM213" s="50">
        <f t="shared" si="93"/>
        <v>631</v>
      </c>
      <c r="FN213" s="360">
        <f t="shared" si="94"/>
        <v>785</v>
      </c>
      <c r="FO213" s="3"/>
      <c r="FP213" s="279"/>
      <c r="FQ213" s="52"/>
      <c r="FR213" s="296"/>
      <c r="FS213" s="98"/>
      <c r="FT213" s="467"/>
      <c r="FU213" s="52"/>
      <c r="FV213" s="296"/>
      <c r="FW213" s="98"/>
      <c r="FX213" s="467"/>
      <c r="FY213" s="52"/>
      <c r="FZ213" s="296"/>
      <c r="GA213" s="98"/>
      <c r="GB213" s="467"/>
      <c r="GC213" s="52"/>
      <c r="GD213" s="296"/>
      <c r="GE213" s="98"/>
      <c r="GF213" s="467"/>
      <c r="GG213" s="52"/>
      <c r="GH213" s="296"/>
      <c r="GI213" s="98"/>
      <c r="GJ213" s="467"/>
      <c r="GK213" s="52"/>
      <c r="GL213" s="296"/>
      <c r="GM213" s="464"/>
      <c r="GN213" s="467"/>
      <c r="GO213" s="52"/>
      <c r="GP213" s="296"/>
      <c r="GQ213" s="464"/>
      <c r="GR213" s="467"/>
      <c r="GS213" s="52"/>
      <c r="GT213" s="296"/>
      <c r="GU213" s="464"/>
      <c r="GV213" s="467"/>
      <c r="GW213" s="52"/>
      <c r="GX213" s="296"/>
      <c r="GY213" s="464"/>
      <c r="GZ213" s="467"/>
      <c r="HA213" s="52"/>
      <c r="HB213" s="296"/>
      <c r="HC213" s="3"/>
    </row>
    <row r="214" spans="1:211" s="396" customFormat="1">
      <c r="A214" s="491" t="s">
        <v>759</v>
      </c>
      <c r="B214" s="326" t="s">
        <v>760</v>
      </c>
      <c r="C214" s="325">
        <v>159391</v>
      </c>
      <c r="D214" s="349">
        <v>1</v>
      </c>
      <c r="E214" s="460"/>
      <c r="F214" s="492"/>
      <c r="G214" s="158"/>
      <c r="H214" s="277"/>
      <c r="I214" s="158"/>
      <c r="J214" s="493"/>
      <c r="K214" s="160">
        <f t="shared" si="95"/>
        <v>0</v>
      </c>
      <c r="L214" s="161">
        <f t="shared" si="88"/>
        <v>0</v>
      </c>
      <c r="M214" s="54">
        <v>4600</v>
      </c>
      <c r="N214" s="55">
        <v>441</v>
      </c>
      <c r="O214" s="55"/>
      <c r="P214" s="55"/>
      <c r="Q214" s="162">
        <f t="shared" si="96"/>
        <v>441</v>
      </c>
      <c r="R214" s="494">
        <v>4734</v>
      </c>
      <c r="S214" s="590">
        <v>384</v>
      </c>
      <c r="T214" s="277"/>
      <c r="U214" s="277"/>
      <c r="V214" s="97">
        <f t="shared" si="97"/>
        <v>384</v>
      </c>
      <c r="W214" s="279"/>
      <c r="X214" s="52"/>
      <c r="Y214" s="99"/>
      <c r="Z214" s="53"/>
      <c r="AA214" s="228"/>
      <c r="AB214" s="52"/>
      <c r="AC214" s="99"/>
      <c r="AD214" s="53"/>
      <c r="AE214" s="228"/>
      <c r="AF214" s="52"/>
      <c r="AG214" s="99"/>
      <c r="AH214" s="53"/>
      <c r="AI214" s="228"/>
      <c r="AJ214" s="52"/>
      <c r="AK214" s="99"/>
      <c r="AL214" s="53"/>
      <c r="AM214" s="228"/>
      <c r="AN214" s="52"/>
      <c r="AO214" s="99"/>
      <c r="AP214" s="53"/>
      <c r="AQ214" s="50">
        <f t="shared" si="89"/>
        <v>0</v>
      </c>
      <c r="AR214" s="163">
        <f t="shared" si="90"/>
        <v>0.75311067452521285</v>
      </c>
      <c r="AS214" s="97">
        <f t="shared" si="91"/>
        <v>0</v>
      </c>
      <c r="AT214" s="278">
        <f t="shared" si="92"/>
        <v>0.76072633777920617</v>
      </c>
      <c r="AU214" s="55"/>
      <c r="AV214" s="277"/>
      <c r="AW214" s="279">
        <v>52</v>
      </c>
      <c r="AX214" s="52">
        <v>186</v>
      </c>
      <c r="AY214" s="591" t="s">
        <v>731</v>
      </c>
      <c r="AZ214" s="592">
        <v>198</v>
      </c>
      <c r="BA214" s="279">
        <v>13</v>
      </c>
      <c r="BB214" s="52">
        <v>145</v>
      </c>
      <c r="BC214" s="593" t="s">
        <v>343</v>
      </c>
      <c r="BD214" s="594">
        <v>172</v>
      </c>
      <c r="BE214" s="279">
        <v>44</v>
      </c>
      <c r="BF214" s="52">
        <v>120</v>
      </c>
      <c r="BG214" s="595" t="s">
        <v>729</v>
      </c>
      <c r="BH214" s="596">
        <v>126</v>
      </c>
      <c r="BI214" s="279">
        <v>14</v>
      </c>
      <c r="BJ214" s="52">
        <v>101</v>
      </c>
      <c r="BK214" s="597" t="s">
        <v>344</v>
      </c>
      <c r="BL214" s="598">
        <v>80</v>
      </c>
      <c r="BM214" s="279">
        <v>25</v>
      </c>
      <c r="BN214" s="52">
        <v>48</v>
      </c>
      <c r="BO214" s="599" t="s">
        <v>728</v>
      </c>
      <c r="BP214" s="600">
        <v>61</v>
      </c>
      <c r="BQ214" s="279">
        <v>50</v>
      </c>
      <c r="BR214" s="52">
        <v>43</v>
      </c>
      <c r="BS214" s="601">
        <v>50</v>
      </c>
      <c r="BT214" s="602">
        <v>61</v>
      </c>
      <c r="BU214" s="279">
        <v>45</v>
      </c>
      <c r="BV214" s="52">
        <v>36</v>
      </c>
      <c r="BW214" s="603" t="s">
        <v>733</v>
      </c>
      <c r="BX214" s="604">
        <v>35</v>
      </c>
      <c r="BY214" s="279">
        <v>3</v>
      </c>
      <c r="BZ214" s="52">
        <v>35</v>
      </c>
      <c r="CA214" s="605" t="s">
        <v>742</v>
      </c>
      <c r="CB214" s="606">
        <v>28</v>
      </c>
      <c r="CC214" s="279">
        <v>40</v>
      </c>
      <c r="CD214" s="52">
        <v>30</v>
      </c>
      <c r="CE214" s="607" t="s">
        <v>732</v>
      </c>
      <c r="CF214" s="608">
        <v>27</v>
      </c>
      <c r="CG214" s="279">
        <v>27</v>
      </c>
      <c r="CH214" s="52">
        <v>29</v>
      </c>
      <c r="CI214" s="609" t="s">
        <v>747</v>
      </c>
      <c r="CJ214" s="610">
        <v>23</v>
      </c>
      <c r="CK214" s="281"/>
      <c r="CL214" s="277"/>
      <c r="CM214" s="159">
        <f>1003-773</f>
        <v>230</v>
      </c>
      <c r="CN214" s="611">
        <v>178</v>
      </c>
      <c r="CO214" s="50">
        <f t="shared" si="98"/>
        <v>1003</v>
      </c>
      <c r="CP214" s="103">
        <f t="shared" si="99"/>
        <v>10</v>
      </c>
      <c r="CQ214" s="280">
        <f t="shared" si="100"/>
        <v>989</v>
      </c>
      <c r="CR214" s="63">
        <f t="shared" si="101"/>
        <v>10</v>
      </c>
      <c r="CS214" s="279">
        <v>14</v>
      </c>
      <c r="CT214" s="52">
        <v>34</v>
      </c>
      <c r="CU214" s="612" t="s">
        <v>735</v>
      </c>
      <c r="CV214" s="613">
        <v>42</v>
      </c>
      <c r="CW214" s="279">
        <v>40</v>
      </c>
      <c r="CX214" s="52">
        <v>34</v>
      </c>
      <c r="CY214" s="614" t="s">
        <v>344</v>
      </c>
      <c r="CZ214" s="615">
        <v>35</v>
      </c>
      <c r="DA214" s="279">
        <v>13</v>
      </c>
      <c r="DB214" s="52">
        <v>33</v>
      </c>
      <c r="DC214" s="616" t="s">
        <v>738</v>
      </c>
      <c r="DD214" s="617">
        <v>27</v>
      </c>
      <c r="DE214" s="279">
        <v>26</v>
      </c>
      <c r="DF214" s="52">
        <v>20</v>
      </c>
      <c r="DG214" s="618" t="s">
        <v>343</v>
      </c>
      <c r="DH214" s="619">
        <v>26</v>
      </c>
      <c r="DI214" s="279">
        <v>50</v>
      </c>
      <c r="DJ214" s="52">
        <v>19</v>
      </c>
      <c r="DK214" s="620" t="s">
        <v>732</v>
      </c>
      <c r="DL214" s="621">
        <v>17</v>
      </c>
      <c r="DM214" s="279">
        <v>42</v>
      </c>
      <c r="DN214" s="52">
        <v>17</v>
      </c>
      <c r="DO214" s="622" t="s">
        <v>736</v>
      </c>
      <c r="DP214" s="623">
        <v>15</v>
      </c>
      <c r="DQ214" s="279">
        <v>1</v>
      </c>
      <c r="DR214" s="52">
        <v>12</v>
      </c>
      <c r="DS214" s="624" t="s">
        <v>737</v>
      </c>
      <c r="DT214" s="625">
        <v>13</v>
      </c>
      <c r="DU214" s="279">
        <v>45</v>
      </c>
      <c r="DV214" s="52">
        <v>12</v>
      </c>
      <c r="DW214" s="626" t="s">
        <v>733</v>
      </c>
      <c r="DX214" s="627">
        <v>13</v>
      </c>
      <c r="DY214" s="279">
        <v>23</v>
      </c>
      <c r="DZ214" s="52">
        <v>11</v>
      </c>
      <c r="EA214" s="628" t="s">
        <v>742</v>
      </c>
      <c r="EB214" s="629">
        <v>10</v>
      </c>
      <c r="EC214" s="279">
        <v>51</v>
      </c>
      <c r="ED214" s="52">
        <v>8</v>
      </c>
      <c r="EE214" s="630" t="s">
        <v>730</v>
      </c>
      <c r="EF214" s="631">
        <v>8</v>
      </c>
      <c r="EG214" s="159">
        <v>31</v>
      </c>
      <c r="EH214" s="632">
        <v>34</v>
      </c>
      <c r="EI214" s="50">
        <f t="shared" si="102"/>
        <v>231</v>
      </c>
      <c r="EJ214" s="103">
        <f t="shared" si="103"/>
        <v>10</v>
      </c>
      <c r="EK214" s="164">
        <f t="shared" si="104"/>
        <v>0.1471861471861472</v>
      </c>
      <c r="EL214" s="280">
        <f t="shared" si="105"/>
        <v>240</v>
      </c>
      <c r="EM214" s="63">
        <f t="shared" si="106"/>
        <v>10</v>
      </c>
      <c r="EN214" s="359">
        <f t="shared" si="107"/>
        <v>0.17499999999999999</v>
      </c>
      <c r="EO214" s="51">
        <f t="shared" si="108"/>
        <v>1234</v>
      </c>
      <c r="EP214" s="361">
        <f t="shared" si="109"/>
        <v>1229</v>
      </c>
      <c r="EQ214" s="281">
        <v>191</v>
      </c>
      <c r="ER214" s="277">
        <v>179</v>
      </c>
      <c r="ES214" s="281"/>
      <c r="ET214" s="277"/>
      <c r="EU214" s="281"/>
      <c r="EV214" s="277"/>
      <c r="EW214" s="281"/>
      <c r="EX214" s="277"/>
      <c r="EY214" s="281"/>
      <c r="EZ214" s="277"/>
      <c r="FA214" s="281"/>
      <c r="FB214" s="277"/>
      <c r="FC214" s="281"/>
      <c r="FD214" s="277"/>
      <c r="FE214" s="281">
        <v>83</v>
      </c>
      <c r="FF214" s="277">
        <v>81</v>
      </c>
      <c r="FG214" s="281"/>
      <c r="FH214" s="277"/>
      <c r="FI214" s="281"/>
      <c r="FJ214" s="277"/>
      <c r="FK214" s="50">
        <f t="shared" si="110"/>
        <v>274</v>
      </c>
      <c r="FL214" s="63">
        <f t="shared" si="111"/>
        <v>260</v>
      </c>
      <c r="FM214" s="50">
        <f t="shared" si="93"/>
        <v>6108</v>
      </c>
      <c r="FN214" s="360">
        <f t="shared" si="94"/>
        <v>6223</v>
      </c>
      <c r="FO214" s="335"/>
      <c r="FP214" s="279"/>
      <c r="FQ214" s="52"/>
      <c r="FR214" s="296"/>
      <c r="FS214" s="98"/>
      <c r="FT214" s="467"/>
      <c r="FU214" s="52"/>
      <c r="FV214" s="296"/>
      <c r="FW214" s="98"/>
      <c r="FX214" s="467"/>
      <c r="FY214" s="52"/>
      <c r="FZ214" s="296"/>
      <c r="GA214" s="98"/>
      <c r="GB214" s="467"/>
      <c r="GC214" s="52"/>
      <c r="GD214" s="296"/>
      <c r="GE214" s="98"/>
      <c r="GF214" s="467"/>
      <c r="GG214" s="52"/>
      <c r="GH214" s="296"/>
      <c r="GI214" s="98"/>
      <c r="GJ214" s="467"/>
      <c r="GK214" s="52"/>
      <c r="GL214" s="296"/>
      <c r="GM214" s="464"/>
      <c r="GN214" s="467"/>
      <c r="GO214" s="52"/>
      <c r="GP214" s="296"/>
      <c r="GQ214" s="464"/>
      <c r="GR214" s="467"/>
      <c r="GS214" s="52"/>
      <c r="GT214" s="296"/>
      <c r="GU214" s="464"/>
      <c r="GV214" s="467"/>
      <c r="GW214" s="52"/>
      <c r="GX214" s="296"/>
      <c r="GY214" s="464"/>
      <c r="GZ214" s="467"/>
      <c r="HA214" s="52"/>
      <c r="HB214" s="296"/>
      <c r="HC214" s="335"/>
    </row>
    <row r="215" spans="1:211" s="396" customFormat="1">
      <c r="A215" s="491" t="s">
        <v>759</v>
      </c>
      <c r="B215" s="326" t="s">
        <v>761</v>
      </c>
      <c r="C215" s="325">
        <v>159647</v>
      </c>
      <c r="D215" s="349">
        <v>2</v>
      </c>
      <c r="E215" s="460"/>
      <c r="F215" s="492"/>
      <c r="G215" s="158"/>
      <c r="H215" s="277"/>
      <c r="I215" s="158">
        <v>90</v>
      </c>
      <c r="J215" s="493">
        <v>94</v>
      </c>
      <c r="K215" s="160">
        <f t="shared" si="95"/>
        <v>6.5123010130246017E-2</v>
      </c>
      <c r="L215" s="161">
        <f t="shared" si="88"/>
        <v>7.1104387291981846E-2</v>
      </c>
      <c r="M215" s="54">
        <v>1382</v>
      </c>
      <c r="N215" s="55">
        <v>82</v>
      </c>
      <c r="O215" s="55"/>
      <c r="P215" s="55"/>
      <c r="Q215" s="162">
        <f t="shared" si="96"/>
        <v>82</v>
      </c>
      <c r="R215" s="494">
        <v>1322</v>
      </c>
      <c r="S215" s="590">
        <v>108</v>
      </c>
      <c r="T215" s="277"/>
      <c r="U215" s="277"/>
      <c r="V215" s="97">
        <f t="shared" si="97"/>
        <v>108</v>
      </c>
      <c r="W215" s="279"/>
      <c r="X215" s="52"/>
      <c r="Y215" s="99"/>
      <c r="Z215" s="53"/>
      <c r="AA215" s="228"/>
      <c r="AB215" s="52"/>
      <c r="AC215" s="99"/>
      <c r="AD215" s="53"/>
      <c r="AE215" s="228"/>
      <c r="AF215" s="52"/>
      <c r="AG215" s="99"/>
      <c r="AH215" s="53"/>
      <c r="AI215" s="228"/>
      <c r="AJ215" s="52"/>
      <c r="AK215" s="99"/>
      <c r="AL215" s="53"/>
      <c r="AM215" s="228"/>
      <c r="AN215" s="52"/>
      <c r="AO215" s="99"/>
      <c r="AP215" s="53"/>
      <c r="AQ215" s="50">
        <f t="shared" si="89"/>
        <v>0</v>
      </c>
      <c r="AR215" s="163">
        <f t="shared" si="90"/>
        <v>0.70474247832738401</v>
      </c>
      <c r="AS215" s="97">
        <f t="shared" si="91"/>
        <v>0</v>
      </c>
      <c r="AT215" s="278">
        <f t="shared" si="92"/>
        <v>0.72398685651697703</v>
      </c>
      <c r="AU215" s="55">
        <v>11</v>
      </c>
      <c r="AV215" s="277">
        <v>19</v>
      </c>
      <c r="AW215" s="279">
        <v>13</v>
      </c>
      <c r="AX215" s="52">
        <v>155</v>
      </c>
      <c r="AY215" s="591" t="s">
        <v>343</v>
      </c>
      <c r="AZ215" s="592">
        <v>125</v>
      </c>
      <c r="BA215" s="279">
        <v>14</v>
      </c>
      <c r="BB215" s="52">
        <v>95</v>
      </c>
      <c r="BC215" s="593" t="s">
        <v>344</v>
      </c>
      <c r="BD215" s="594">
        <v>62</v>
      </c>
      <c r="BE215" s="279">
        <v>52</v>
      </c>
      <c r="BF215" s="52">
        <v>52</v>
      </c>
      <c r="BG215" s="595" t="s">
        <v>731</v>
      </c>
      <c r="BH215" s="596">
        <v>39</v>
      </c>
      <c r="BI215" s="279">
        <v>42</v>
      </c>
      <c r="BJ215" s="52">
        <v>38</v>
      </c>
      <c r="BK215" s="597" t="s">
        <v>737</v>
      </c>
      <c r="BL215" s="598">
        <v>24</v>
      </c>
      <c r="BM215" s="279">
        <v>51</v>
      </c>
      <c r="BN215" s="52">
        <v>27</v>
      </c>
      <c r="BO215" s="599" t="s">
        <v>733</v>
      </c>
      <c r="BP215" s="600">
        <v>22</v>
      </c>
      <c r="BQ215" s="279">
        <v>26</v>
      </c>
      <c r="BR215" s="52">
        <v>15</v>
      </c>
      <c r="BS215" s="601" t="s">
        <v>747</v>
      </c>
      <c r="BT215" s="602">
        <v>13</v>
      </c>
      <c r="BU215" s="279">
        <v>23</v>
      </c>
      <c r="BV215" s="52">
        <v>10</v>
      </c>
      <c r="BW215" s="603" t="s">
        <v>748</v>
      </c>
      <c r="BX215" s="604">
        <v>12</v>
      </c>
      <c r="BY215" s="279">
        <v>30</v>
      </c>
      <c r="BZ215" s="52">
        <v>10</v>
      </c>
      <c r="CA215" s="605" t="s">
        <v>739</v>
      </c>
      <c r="CB215" s="606">
        <v>11</v>
      </c>
      <c r="CC215" s="279">
        <v>11</v>
      </c>
      <c r="CD215" s="52">
        <v>7</v>
      </c>
      <c r="CE215" s="607" t="s">
        <v>738</v>
      </c>
      <c r="CF215" s="608">
        <v>9</v>
      </c>
      <c r="CG215" s="279">
        <v>27</v>
      </c>
      <c r="CH215" s="52">
        <v>7</v>
      </c>
      <c r="CI215" s="609" t="s">
        <v>736</v>
      </c>
      <c r="CJ215" s="610">
        <v>8</v>
      </c>
      <c r="CK215" s="281"/>
      <c r="CL215" s="277"/>
      <c r="CM215" s="159">
        <f>443-416</f>
        <v>27</v>
      </c>
      <c r="CN215" s="611">
        <v>29</v>
      </c>
      <c r="CO215" s="50">
        <f t="shared" si="98"/>
        <v>443</v>
      </c>
      <c r="CP215" s="103">
        <f t="shared" si="99"/>
        <v>10</v>
      </c>
      <c r="CQ215" s="280">
        <f t="shared" si="100"/>
        <v>354</v>
      </c>
      <c r="CR215" s="63">
        <f t="shared" si="101"/>
        <v>10</v>
      </c>
      <c r="CS215" s="279">
        <v>14</v>
      </c>
      <c r="CT215" s="52">
        <v>17</v>
      </c>
      <c r="CU215" s="612" t="s">
        <v>344</v>
      </c>
      <c r="CV215" s="613">
        <v>16</v>
      </c>
      <c r="CW215" s="279">
        <v>11</v>
      </c>
      <c r="CX215" s="52">
        <v>6</v>
      </c>
      <c r="CY215" s="614" t="s">
        <v>731</v>
      </c>
      <c r="CZ215" s="615">
        <v>9</v>
      </c>
      <c r="DA215" s="279">
        <v>52</v>
      </c>
      <c r="DB215" s="52">
        <v>4</v>
      </c>
      <c r="DC215" s="616" t="s">
        <v>747</v>
      </c>
      <c r="DD215" s="617">
        <v>6</v>
      </c>
      <c r="DE215" s="279">
        <v>42</v>
      </c>
      <c r="DF215" s="52">
        <v>3</v>
      </c>
      <c r="DG215" s="618" t="s">
        <v>737</v>
      </c>
      <c r="DH215" s="619">
        <v>2</v>
      </c>
      <c r="DI215" s="279">
        <v>51</v>
      </c>
      <c r="DJ215" s="52">
        <v>3</v>
      </c>
      <c r="DK215" s="620" t="s">
        <v>733</v>
      </c>
      <c r="DL215" s="621">
        <v>2</v>
      </c>
      <c r="DM215" s="279">
        <v>13</v>
      </c>
      <c r="DN215" s="52">
        <v>2</v>
      </c>
      <c r="DO215" s="622" t="s">
        <v>343</v>
      </c>
      <c r="DP215" s="623">
        <v>2</v>
      </c>
      <c r="DQ215" s="279"/>
      <c r="DR215" s="52"/>
      <c r="DS215" s="624"/>
      <c r="DT215" s="633"/>
      <c r="DU215" s="279"/>
      <c r="DV215" s="52"/>
      <c r="DW215" s="626"/>
      <c r="DX215" s="634"/>
      <c r="DY215" s="279"/>
      <c r="DZ215" s="52"/>
      <c r="EA215" s="105"/>
      <c r="EB215" s="98"/>
      <c r="EC215" s="279"/>
      <c r="ED215" s="52"/>
      <c r="EE215" s="105"/>
      <c r="EF215" s="98"/>
      <c r="EG215" s="159"/>
      <c r="EH215" s="277"/>
      <c r="EI215" s="50">
        <f t="shared" si="102"/>
        <v>35</v>
      </c>
      <c r="EJ215" s="103">
        <f t="shared" si="103"/>
        <v>6</v>
      </c>
      <c r="EK215" s="164">
        <f t="shared" si="104"/>
        <v>0.48571428571428571</v>
      </c>
      <c r="EL215" s="280">
        <f t="shared" si="105"/>
        <v>37</v>
      </c>
      <c r="EM215" s="63">
        <f t="shared" si="106"/>
        <v>6</v>
      </c>
      <c r="EN215" s="359">
        <f t="shared" si="107"/>
        <v>0.43243243243243246</v>
      </c>
      <c r="EO215" s="51">
        <f t="shared" si="108"/>
        <v>478</v>
      </c>
      <c r="EP215" s="361">
        <f t="shared" si="109"/>
        <v>391</v>
      </c>
      <c r="EQ215" s="281"/>
      <c r="ER215" s="277"/>
      <c r="ES215" s="281"/>
      <c r="ET215" s="277"/>
      <c r="EU215" s="281"/>
      <c r="EV215" s="277"/>
      <c r="EW215" s="281"/>
      <c r="EX215" s="277"/>
      <c r="EY215" s="281"/>
      <c r="EZ215" s="277"/>
      <c r="FA215" s="281"/>
      <c r="FB215" s="277"/>
      <c r="FC215" s="281"/>
      <c r="FD215" s="277"/>
      <c r="FE215" s="281"/>
      <c r="FF215" s="277"/>
      <c r="FG215" s="281"/>
      <c r="FH215" s="277"/>
      <c r="FI215" s="281"/>
      <c r="FJ215" s="277"/>
      <c r="FK215" s="50">
        <f t="shared" si="110"/>
        <v>0</v>
      </c>
      <c r="FL215" s="63">
        <f t="shared" si="111"/>
        <v>0</v>
      </c>
      <c r="FM215" s="50">
        <f t="shared" si="93"/>
        <v>1961</v>
      </c>
      <c r="FN215" s="360">
        <f t="shared" si="94"/>
        <v>1826</v>
      </c>
      <c r="FO215" s="335"/>
      <c r="FP215" s="279"/>
      <c r="FQ215" s="52"/>
      <c r="FR215" s="296"/>
      <c r="FS215" s="98"/>
      <c r="FT215" s="467"/>
      <c r="FU215" s="52"/>
      <c r="FV215" s="296"/>
      <c r="FW215" s="98"/>
      <c r="FX215" s="467"/>
      <c r="FY215" s="52"/>
      <c r="FZ215" s="296"/>
      <c r="GA215" s="98"/>
      <c r="GB215" s="467"/>
      <c r="GC215" s="52"/>
      <c r="GD215" s="296"/>
      <c r="GE215" s="98"/>
      <c r="GF215" s="467"/>
      <c r="GG215" s="52"/>
      <c r="GH215" s="296"/>
      <c r="GI215" s="98"/>
      <c r="GJ215" s="467"/>
      <c r="GK215" s="52"/>
      <c r="GL215" s="296"/>
      <c r="GM215" s="464"/>
      <c r="GN215" s="467"/>
      <c r="GO215" s="52"/>
      <c r="GP215" s="296"/>
      <c r="GQ215" s="464"/>
      <c r="GR215" s="467"/>
      <c r="GS215" s="52"/>
      <c r="GT215" s="296"/>
      <c r="GU215" s="464"/>
      <c r="GV215" s="467"/>
      <c r="GW215" s="52"/>
      <c r="GX215" s="296"/>
      <c r="GY215" s="464"/>
      <c r="GZ215" s="467"/>
      <c r="HA215" s="52"/>
      <c r="HB215" s="296"/>
      <c r="HC215" s="335"/>
    </row>
    <row r="216" spans="1:211" s="396" customFormat="1">
      <c r="A216" s="491" t="s">
        <v>759</v>
      </c>
      <c r="B216" s="326" t="s">
        <v>762</v>
      </c>
      <c r="C216" s="325">
        <v>160658</v>
      </c>
      <c r="D216" s="349">
        <v>2</v>
      </c>
      <c r="E216" s="460"/>
      <c r="F216" s="492"/>
      <c r="G216" s="158"/>
      <c r="H216" s="277"/>
      <c r="I216" s="158">
        <v>2</v>
      </c>
      <c r="J216" s="493"/>
      <c r="K216" s="160">
        <f t="shared" si="95"/>
        <v>9.3370681605975728E-4</v>
      </c>
      <c r="L216" s="161">
        <f t="shared" si="88"/>
        <v>0</v>
      </c>
      <c r="M216" s="54">
        <v>2142</v>
      </c>
      <c r="N216" s="55">
        <v>268</v>
      </c>
      <c r="O216" s="55"/>
      <c r="P216" s="55"/>
      <c r="Q216" s="162">
        <f t="shared" si="96"/>
        <v>268</v>
      </c>
      <c r="R216" s="494">
        <v>2124</v>
      </c>
      <c r="S216" s="590">
        <v>274</v>
      </c>
      <c r="T216" s="277"/>
      <c r="U216" s="277"/>
      <c r="V216" s="97">
        <f t="shared" si="97"/>
        <v>274</v>
      </c>
      <c r="W216" s="279"/>
      <c r="X216" s="52"/>
      <c r="Y216" s="99"/>
      <c r="Z216" s="53"/>
      <c r="AA216" s="228"/>
      <c r="AB216" s="52"/>
      <c r="AC216" s="99"/>
      <c r="AD216" s="53"/>
      <c r="AE216" s="228"/>
      <c r="AF216" s="52"/>
      <c r="AG216" s="99"/>
      <c r="AH216" s="53"/>
      <c r="AI216" s="228"/>
      <c r="AJ216" s="52"/>
      <c r="AK216" s="99"/>
      <c r="AL216" s="53"/>
      <c r="AM216" s="228"/>
      <c r="AN216" s="52"/>
      <c r="AO216" s="99"/>
      <c r="AP216" s="53"/>
      <c r="AQ216" s="50">
        <f t="shared" si="89"/>
        <v>0</v>
      </c>
      <c r="AR216" s="163">
        <f t="shared" si="90"/>
        <v>0.86826104580462105</v>
      </c>
      <c r="AS216" s="97">
        <f t="shared" si="91"/>
        <v>0</v>
      </c>
      <c r="AT216" s="278">
        <f t="shared" si="92"/>
        <v>0.8382004735595896</v>
      </c>
      <c r="AU216" s="55"/>
      <c r="AV216" s="277"/>
      <c r="AW216" s="279">
        <v>13</v>
      </c>
      <c r="AX216" s="52">
        <v>47</v>
      </c>
      <c r="AY216" s="591" t="s">
        <v>343</v>
      </c>
      <c r="AZ216" s="592">
        <v>63</v>
      </c>
      <c r="BA216" s="279">
        <v>52</v>
      </c>
      <c r="BB216" s="52">
        <v>46</v>
      </c>
      <c r="BC216" s="593" t="s">
        <v>344</v>
      </c>
      <c r="BD216" s="594">
        <v>62</v>
      </c>
      <c r="BE216" s="279">
        <v>51</v>
      </c>
      <c r="BF216" s="52">
        <v>39</v>
      </c>
      <c r="BG216" s="595" t="s">
        <v>731</v>
      </c>
      <c r="BH216" s="596">
        <v>61</v>
      </c>
      <c r="BI216" s="279">
        <v>11</v>
      </c>
      <c r="BJ216" s="52">
        <v>37</v>
      </c>
      <c r="BK216" s="597" t="s">
        <v>733</v>
      </c>
      <c r="BL216" s="598">
        <v>59</v>
      </c>
      <c r="BM216" s="279">
        <v>14</v>
      </c>
      <c r="BN216" s="52">
        <v>32</v>
      </c>
      <c r="BO216" s="599" t="s">
        <v>747</v>
      </c>
      <c r="BP216" s="600">
        <v>48</v>
      </c>
      <c r="BQ216" s="279">
        <v>27</v>
      </c>
      <c r="BR216" s="52">
        <v>9</v>
      </c>
      <c r="BS216" s="601" t="s">
        <v>744</v>
      </c>
      <c r="BT216" s="602">
        <v>19</v>
      </c>
      <c r="BU216" s="279">
        <v>42</v>
      </c>
      <c r="BV216" s="52">
        <v>9</v>
      </c>
      <c r="BW216" s="603" t="s">
        <v>734</v>
      </c>
      <c r="BX216" s="604">
        <v>11</v>
      </c>
      <c r="BY216" s="279">
        <v>9</v>
      </c>
      <c r="BZ216" s="52">
        <v>8</v>
      </c>
      <c r="CA216" s="605" t="s">
        <v>740</v>
      </c>
      <c r="CB216" s="606">
        <v>10</v>
      </c>
      <c r="CC216" s="279">
        <v>26</v>
      </c>
      <c r="CD216" s="52">
        <v>8</v>
      </c>
      <c r="CE216" s="607" t="s">
        <v>735</v>
      </c>
      <c r="CF216" s="608">
        <v>10</v>
      </c>
      <c r="CG216" s="279">
        <v>50</v>
      </c>
      <c r="CH216" s="52">
        <v>8</v>
      </c>
      <c r="CI216" s="609" t="s">
        <v>108</v>
      </c>
      <c r="CJ216" s="610">
        <v>7</v>
      </c>
      <c r="CK216" s="281"/>
      <c r="CL216" s="277"/>
      <c r="CM216" s="159">
        <f>284-243</f>
        <v>41</v>
      </c>
      <c r="CN216" s="611">
        <v>28</v>
      </c>
      <c r="CO216" s="50">
        <f t="shared" si="98"/>
        <v>284</v>
      </c>
      <c r="CP216" s="103">
        <f t="shared" si="99"/>
        <v>10</v>
      </c>
      <c r="CQ216" s="280">
        <f t="shared" si="100"/>
        <v>378</v>
      </c>
      <c r="CR216" s="63">
        <f t="shared" si="101"/>
        <v>10</v>
      </c>
      <c r="CS216" s="279">
        <v>23</v>
      </c>
      <c r="CT216" s="52">
        <v>12</v>
      </c>
      <c r="CU216" s="612" t="s">
        <v>736</v>
      </c>
      <c r="CV216" s="613">
        <v>6</v>
      </c>
      <c r="CW216" s="279">
        <v>26</v>
      </c>
      <c r="CX216" s="52">
        <v>8</v>
      </c>
      <c r="CY216" s="614" t="s">
        <v>738</v>
      </c>
      <c r="CZ216" s="615">
        <v>6</v>
      </c>
      <c r="DA216" s="279">
        <v>5</v>
      </c>
      <c r="DB216" s="52">
        <v>4</v>
      </c>
      <c r="DC216" s="616" t="s">
        <v>747</v>
      </c>
      <c r="DD216" s="617">
        <v>5</v>
      </c>
      <c r="DE216" s="279">
        <v>27</v>
      </c>
      <c r="DF216" s="52">
        <v>4</v>
      </c>
      <c r="DG216" s="618" t="s">
        <v>1226</v>
      </c>
      <c r="DH216" s="619">
        <v>4</v>
      </c>
      <c r="DI216" s="279">
        <v>51</v>
      </c>
      <c r="DJ216" s="52">
        <v>4</v>
      </c>
      <c r="DK216" s="620" t="s">
        <v>344</v>
      </c>
      <c r="DL216" s="621">
        <v>4</v>
      </c>
      <c r="DM216" s="279">
        <v>11</v>
      </c>
      <c r="DN216" s="52">
        <v>3</v>
      </c>
      <c r="DO216" s="622" t="s">
        <v>740</v>
      </c>
      <c r="DP216" s="623">
        <v>4</v>
      </c>
      <c r="DQ216" s="279">
        <v>14</v>
      </c>
      <c r="DR216" s="52">
        <v>3</v>
      </c>
      <c r="DS216" s="624" t="s">
        <v>733</v>
      </c>
      <c r="DT216" s="625">
        <v>2</v>
      </c>
      <c r="DU216" s="279">
        <v>30</v>
      </c>
      <c r="DV216" s="52">
        <v>1</v>
      </c>
      <c r="DW216" s="626" t="s">
        <v>748</v>
      </c>
      <c r="DX216" s="627">
        <v>1</v>
      </c>
      <c r="DY216" s="279"/>
      <c r="DZ216" s="52"/>
      <c r="EA216" s="105"/>
      <c r="EB216" s="98"/>
      <c r="EC216" s="279"/>
      <c r="ED216" s="52"/>
      <c r="EE216" s="105"/>
      <c r="EF216" s="98"/>
      <c r="EG216" s="159"/>
      <c r="EH216" s="277"/>
      <c r="EI216" s="50">
        <f t="shared" si="102"/>
        <v>39</v>
      </c>
      <c r="EJ216" s="103">
        <f t="shared" si="103"/>
        <v>8</v>
      </c>
      <c r="EK216" s="164">
        <f t="shared" si="104"/>
        <v>0.30769230769230771</v>
      </c>
      <c r="EL216" s="280">
        <f t="shared" si="105"/>
        <v>32</v>
      </c>
      <c r="EM216" s="63">
        <f t="shared" si="106"/>
        <v>8</v>
      </c>
      <c r="EN216" s="359">
        <f t="shared" si="107"/>
        <v>0.1875</v>
      </c>
      <c r="EO216" s="51">
        <f t="shared" si="108"/>
        <v>323</v>
      </c>
      <c r="EP216" s="361">
        <f t="shared" si="109"/>
        <v>410</v>
      </c>
      <c r="EQ216" s="281"/>
      <c r="ER216" s="277"/>
      <c r="ES216" s="281"/>
      <c r="ET216" s="277"/>
      <c r="EU216" s="281"/>
      <c r="EV216" s="277"/>
      <c r="EW216" s="281"/>
      <c r="EX216" s="277"/>
      <c r="EY216" s="281"/>
      <c r="EZ216" s="277"/>
      <c r="FA216" s="281"/>
      <c r="FB216" s="277"/>
      <c r="FC216" s="281"/>
      <c r="FD216" s="277"/>
      <c r="FE216" s="281"/>
      <c r="FF216" s="277"/>
      <c r="FG216" s="281"/>
      <c r="FH216" s="277"/>
      <c r="FI216" s="281"/>
      <c r="FJ216" s="277"/>
      <c r="FK216" s="50">
        <f t="shared" si="110"/>
        <v>0</v>
      </c>
      <c r="FL216" s="63">
        <f t="shared" si="111"/>
        <v>0</v>
      </c>
      <c r="FM216" s="50">
        <f t="shared" si="93"/>
        <v>2467</v>
      </c>
      <c r="FN216" s="360">
        <f t="shared" si="94"/>
        <v>2534</v>
      </c>
      <c r="FO216" s="335"/>
      <c r="FP216" s="279"/>
      <c r="FQ216" s="52"/>
      <c r="FR216" s="296"/>
      <c r="FS216" s="98"/>
      <c r="FT216" s="467"/>
      <c r="FU216" s="52"/>
      <c r="FV216" s="296"/>
      <c r="FW216" s="98"/>
      <c r="FX216" s="467"/>
      <c r="FY216" s="52"/>
      <c r="FZ216" s="296"/>
      <c r="GA216" s="98"/>
      <c r="GB216" s="467"/>
      <c r="GC216" s="52"/>
      <c r="GD216" s="296"/>
      <c r="GE216" s="98"/>
      <c r="GF216" s="467"/>
      <c r="GG216" s="52"/>
      <c r="GH216" s="296"/>
      <c r="GI216" s="98"/>
      <c r="GJ216" s="467"/>
      <c r="GK216" s="52"/>
      <c r="GL216" s="296"/>
      <c r="GM216" s="464"/>
      <c r="GN216" s="467"/>
      <c r="GO216" s="52"/>
      <c r="GP216" s="296"/>
      <c r="GQ216" s="464"/>
      <c r="GR216" s="467"/>
      <c r="GS216" s="52"/>
      <c r="GT216" s="296"/>
      <c r="GU216" s="464"/>
      <c r="GV216" s="467"/>
      <c r="GW216" s="52"/>
      <c r="GX216" s="296"/>
      <c r="GY216" s="464"/>
      <c r="GZ216" s="467"/>
      <c r="HA216" s="52"/>
      <c r="HB216" s="296"/>
      <c r="HC216" s="335"/>
    </row>
    <row r="217" spans="1:211" s="396" customFormat="1">
      <c r="A217" s="491" t="s">
        <v>759</v>
      </c>
      <c r="B217" s="326" t="s">
        <v>763</v>
      </c>
      <c r="C217" s="325">
        <v>159939</v>
      </c>
      <c r="D217" s="349">
        <v>2</v>
      </c>
      <c r="E217" s="460"/>
      <c r="F217" s="492"/>
      <c r="G217" s="158"/>
      <c r="H217" s="277"/>
      <c r="I217" s="158"/>
      <c r="J217" s="493"/>
      <c r="K217" s="160">
        <f t="shared" si="95"/>
        <v>0</v>
      </c>
      <c r="L217" s="161">
        <f t="shared" si="88"/>
        <v>0</v>
      </c>
      <c r="M217" s="54">
        <v>1260</v>
      </c>
      <c r="N217" s="55">
        <v>50</v>
      </c>
      <c r="O217" s="55"/>
      <c r="P217" s="55"/>
      <c r="Q217" s="162">
        <f t="shared" si="96"/>
        <v>50</v>
      </c>
      <c r="R217" s="494">
        <v>1356</v>
      </c>
      <c r="S217" s="590">
        <v>46</v>
      </c>
      <c r="T217" s="277"/>
      <c r="U217" s="277"/>
      <c r="V217" s="97">
        <f t="shared" si="97"/>
        <v>46</v>
      </c>
      <c r="W217" s="279"/>
      <c r="X217" s="52"/>
      <c r="Y217" s="99"/>
      <c r="Z217" s="53"/>
      <c r="AA217" s="228"/>
      <c r="AB217" s="52"/>
      <c r="AC217" s="99"/>
      <c r="AD217" s="53"/>
      <c r="AE217" s="228"/>
      <c r="AF217" s="52"/>
      <c r="AG217" s="99"/>
      <c r="AH217" s="53"/>
      <c r="AI217" s="228"/>
      <c r="AJ217" s="52"/>
      <c r="AK217" s="99"/>
      <c r="AL217" s="53"/>
      <c r="AM217" s="228"/>
      <c r="AN217" s="52"/>
      <c r="AO217" s="99"/>
      <c r="AP217" s="53"/>
      <c r="AQ217" s="50">
        <f t="shared" si="89"/>
        <v>0</v>
      </c>
      <c r="AR217" s="163">
        <f t="shared" si="90"/>
        <v>0.66596194503171247</v>
      </c>
      <c r="AS217" s="97">
        <f t="shared" si="91"/>
        <v>0</v>
      </c>
      <c r="AT217" s="278">
        <f t="shared" si="92"/>
        <v>0.69042769857433806</v>
      </c>
      <c r="AU217" s="55"/>
      <c r="AV217" s="277">
        <v>1</v>
      </c>
      <c r="AW217" s="279">
        <v>52</v>
      </c>
      <c r="AX217" s="52">
        <v>263</v>
      </c>
      <c r="AY217" s="591" t="s">
        <v>731</v>
      </c>
      <c r="AZ217" s="592">
        <v>249</v>
      </c>
      <c r="BA217" s="279">
        <v>13</v>
      </c>
      <c r="BB217" s="52">
        <v>97</v>
      </c>
      <c r="BC217" s="593" t="s">
        <v>343</v>
      </c>
      <c r="BD217" s="594">
        <v>86</v>
      </c>
      <c r="BE217" s="279">
        <v>50</v>
      </c>
      <c r="BF217" s="52">
        <v>65</v>
      </c>
      <c r="BG217" s="595" t="s">
        <v>730</v>
      </c>
      <c r="BH217" s="596">
        <v>38</v>
      </c>
      <c r="BI217" s="279">
        <v>51</v>
      </c>
      <c r="BJ217" s="52">
        <v>27</v>
      </c>
      <c r="BK217" s="597" t="s">
        <v>733</v>
      </c>
      <c r="BL217" s="598">
        <v>38</v>
      </c>
      <c r="BM217" s="279">
        <v>45</v>
      </c>
      <c r="BN217" s="52">
        <v>23</v>
      </c>
      <c r="BO217" s="599" t="s">
        <v>344</v>
      </c>
      <c r="BP217" s="600">
        <v>30</v>
      </c>
      <c r="BQ217" s="279">
        <v>14</v>
      </c>
      <c r="BR217" s="52">
        <v>15</v>
      </c>
      <c r="BS217" s="601" t="s">
        <v>747</v>
      </c>
      <c r="BT217" s="602">
        <v>20</v>
      </c>
      <c r="BU217" s="279">
        <v>23</v>
      </c>
      <c r="BV217" s="52">
        <v>15</v>
      </c>
      <c r="BW217" s="603" t="s">
        <v>732</v>
      </c>
      <c r="BX217" s="604">
        <v>20</v>
      </c>
      <c r="BY217" s="279">
        <v>15</v>
      </c>
      <c r="BZ217" s="52">
        <v>12</v>
      </c>
      <c r="CA217" s="605" t="s">
        <v>740</v>
      </c>
      <c r="CB217" s="606">
        <v>13</v>
      </c>
      <c r="CC217" s="279">
        <v>4</v>
      </c>
      <c r="CD217" s="52">
        <v>9</v>
      </c>
      <c r="CE217" s="607" t="s">
        <v>72</v>
      </c>
      <c r="CF217" s="608">
        <v>12</v>
      </c>
      <c r="CG217" s="279">
        <v>44</v>
      </c>
      <c r="CH217" s="52">
        <v>8</v>
      </c>
      <c r="CI217" s="609" t="s">
        <v>108</v>
      </c>
      <c r="CJ217" s="610">
        <v>12</v>
      </c>
      <c r="CK217" s="281"/>
      <c r="CL217" s="277"/>
      <c r="CM217" s="159">
        <f>570-534</f>
        <v>36</v>
      </c>
      <c r="CN217" s="611">
        <v>44</v>
      </c>
      <c r="CO217" s="50">
        <f t="shared" si="98"/>
        <v>570</v>
      </c>
      <c r="CP217" s="103">
        <f t="shared" si="99"/>
        <v>10</v>
      </c>
      <c r="CQ217" s="280">
        <f t="shared" si="100"/>
        <v>562</v>
      </c>
      <c r="CR217" s="63">
        <f t="shared" si="101"/>
        <v>10</v>
      </c>
      <c r="CS217" s="279">
        <v>13</v>
      </c>
      <c r="CT217" s="52">
        <v>18</v>
      </c>
      <c r="CU217" s="612" t="s">
        <v>343</v>
      </c>
      <c r="CV217" s="613">
        <v>15</v>
      </c>
      <c r="CW217" s="279">
        <v>14</v>
      </c>
      <c r="CX217" s="52">
        <v>10</v>
      </c>
      <c r="CY217" s="614" t="s">
        <v>344</v>
      </c>
      <c r="CZ217" s="615">
        <v>12</v>
      </c>
      <c r="DA217" s="279">
        <v>40</v>
      </c>
      <c r="DB217" s="52">
        <v>10</v>
      </c>
      <c r="DC217" s="616" t="s">
        <v>735</v>
      </c>
      <c r="DD217" s="617">
        <v>6</v>
      </c>
      <c r="DE217" s="279">
        <v>45</v>
      </c>
      <c r="DF217" s="52">
        <v>9</v>
      </c>
      <c r="DG217" s="618" t="s">
        <v>732</v>
      </c>
      <c r="DH217" s="619">
        <v>6</v>
      </c>
      <c r="DI217" s="279">
        <v>26</v>
      </c>
      <c r="DJ217" s="52">
        <v>5</v>
      </c>
      <c r="DK217" s="620" t="s">
        <v>731</v>
      </c>
      <c r="DL217" s="621">
        <v>5</v>
      </c>
      <c r="DM217" s="279">
        <v>42</v>
      </c>
      <c r="DN217" s="52">
        <v>5</v>
      </c>
      <c r="DO217" s="622" t="s">
        <v>738</v>
      </c>
      <c r="DP217" s="623">
        <v>1</v>
      </c>
      <c r="DQ217" s="279">
        <v>52</v>
      </c>
      <c r="DR217" s="52">
        <v>5</v>
      </c>
      <c r="DS217" s="624"/>
      <c r="DT217" s="625"/>
      <c r="DU217" s="279"/>
      <c r="DV217" s="52"/>
      <c r="DW217" s="105"/>
      <c r="DX217" s="98"/>
      <c r="DY217" s="279"/>
      <c r="DZ217" s="52"/>
      <c r="EA217" s="105"/>
      <c r="EB217" s="98"/>
      <c r="EC217" s="279"/>
      <c r="ED217" s="52"/>
      <c r="EE217" s="105"/>
      <c r="EF217" s="98"/>
      <c r="EG217" s="159"/>
      <c r="EH217" s="277"/>
      <c r="EI217" s="50">
        <f t="shared" si="102"/>
        <v>62</v>
      </c>
      <c r="EJ217" s="103">
        <f t="shared" si="103"/>
        <v>7</v>
      </c>
      <c r="EK217" s="164">
        <f t="shared" si="104"/>
        <v>0.29032258064516131</v>
      </c>
      <c r="EL217" s="280">
        <f t="shared" si="105"/>
        <v>45</v>
      </c>
      <c r="EM217" s="63">
        <f t="shared" si="106"/>
        <v>6</v>
      </c>
      <c r="EN217" s="359">
        <f t="shared" si="107"/>
        <v>0.33333333333333331</v>
      </c>
      <c r="EO217" s="51">
        <f t="shared" si="108"/>
        <v>632</v>
      </c>
      <c r="EP217" s="361">
        <f t="shared" si="109"/>
        <v>607</v>
      </c>
      <c r="EQ217" s="281"/>
      <c r="ER217" s="277"/>
      <c r="ES217" s="281"/>
      <c r="ET217" s="277"/>
      <c r="EU217" s="281"/>
      <c r="EV217" s="277"/>
      <c r="EW217" s="281"/>
      <c r="EX217" s="277"/>
      <c r="EY217" s="281"/>
      <c r="EZ217" s="277"/>
      <c r="FA217" s="281"/>
      <c r="FB217" s="277"/>
      <c r="FC217" s="281"/>
      <c r="FD217" s="277"/>
      <c r="FE217" s="281"/>
      <c r="FF217" s="277"/>
      <c r="FG217" s="281"/>
      <c r="FH217" s="277"/>
      <c r="FI217" s="281"/>
      <c r="FJ217" s="277"/>
      <c r="FK217" s="50">
        <f t="shared" si="110"/>
        <v>0</v>
      </c>
      <c r="FL217" s="63">
        <f t="shared" si="111"/>
        <v>0</v>
      </c>
      <c r="FM217" s="50">
        <f t="shared" si="93"/>
        <v>1892</v>
      </c>
      <c r="FN217" s="360">
        <f t="shared" si="94"/>
        <v>1964</v>
      </c>
      <c r="FO217" s="335"/>
      <c r="FP217" s="279"/>
      <c r="FQ217" s="52"/>
      <c r="FR217" s="296"/>
      <c r="FS217" s="98"/>
      <c r="FT217" s="467"/>
      <c r="FU217" s="52"/>
      <c r="FV217" s="296"/>
      <c r="FW217" s="98"/>
      <c r="FX217" s="467"/>
      <c r="FY217" s="52"/>
      <c r="FZ217" s="296"/>
      <c r="GA217" s="98"/>
      <c r="GB217" s="467"/>
      <c r="GC217" s="52"/>
      <c r="GD217" s="296"/>
      <c r="GE217" s="98"/>
      <c r="GF217" s="467"/>
      <c r="GG217" s="52"/>
      <c r="GH217" s="296"/>
      <c r="GI217" s="98"/>
      <c r="GJ217" s="467"/>
      <c r="GK217" s="52"/>
      <c r="GL217" s="296"/>
      <c r="GM217" s="464"/>
      <c r="GN217" s="467"/>
      <c r="GO217" s="52"/>
      <c r="GP217" s="296"/>
      <c r="GQ217" s="464"/>
      <c r="GR217" s="467"/>
      <c r="GS217" s="52"/>
      <c r="GT217" s="296"/>
      <c r="GU217" s="464"/>
      <c r="GV217" s="467"/>
      <c r="GW217" s="52"/>
      <c r="GX217" s="296"/>
      <c r="GY217" s="464"/>
      <c r="GZ217" s="467"/>
      <c r="HA217" s="52"/>
      <c r="HB217" s="296"/>
      <c r="HC217" s="335"/>
    </row>
    <row r="218" spans="1:211" s="396" customFormat="1">
      <c r="A218" s="491" t="s">
        <v>759</v>
      </c>
      <c r="B218" s="326" t="s">
        <v>764</v>
      </c>
      <c r="C218" s="325">
        <v>160612</v>
      </c>
      <c r="D218" s="349">
        <v>3</v>
      </c>
      <c r="E218" s="460"/>
      <c r="F218" s="492"/>
      <c r="G218" s="158"/>
      <c r="H218" s="277"/>
      <c r="I218" s="158">
        <v>76</v>
      </c>
      <c r="J218" s="493">
        <v>67</v>
      </c>
      <c r="K218" s="160">
        <f t="shared" si="95"/>
        <v>4.3059490084985837E-2</v>
      </c>
      <c r="L218" s="161">
        <f t="shared" si="88"/>
        <v>3.5638297872340428E-2</v>
      </c>
      <c r="M218" s="54">
        <v>1765</v>
      </c>
      <c r="N218" s="55">
        <v>188</v>
      </c>
      <c r="O218" s="55"/>
      <c r="P218" s="55"/>
      <c r="Q218" s="162">
        <f t="shared" si="96"/>
        <v>188</v>
      </c>
      <c r="R218" s="494">
        <v>1880</v>
      </c>
      <c r="S218" s="590">
        <v>224</v>
      </c>
      <c r="T218" s="277"/>
      <c r="U218" s="277"/>
      <c r="V218" s="97">
        <f t="shared" si="97"/>
        <v>224</v>
      </c>
      <c r="W218" s="279"/>
      <c r="X218" s="52"/>
      <c r="Y218" s="99"/>
      <c r="Z218" s="53"/>
      <c r="AA218" s="228"/>
      <c r="AB218" s="52"/>
      <c r="AC218" s="99"/>
      <c r="AD218" s="53"/>
      <c r="AE218" s="228"/>
      <c r="AF218" s="52"/>
      <c r="AG218" s="99"/>
      <c r="AH218" s="53"/>
      <c r="AI218" s="228"/>
      <c r="AJ218" s="52"/>
      <c r="AK218" s="99"/>
      <c r="AL218" s="53"/>
      <c r="AM218" s="228"/>
      <c r="AN218" s="52"/>
      <c r="AO218" s="99"/>
      <c r="AP218" s="53"/>
      <c r="AQ218" s="50">
        <f t="shared" si="89"/>
        <v>0</v>
      </c>
      <c r="AR218" s="163">
        <f t="shared" si="90"/>
        <v>0.80373406193078323</v>
      </c>
      <c r="AS218" s="97">
        <f t="shared" si="91"/>
        <v>0</v>
      </c>
      <c r="AT218" s="278">
        <f t="shared" si="92"/>
        <v>0.81703607127335942</v>
      </c>
      <c r="AU218" s="55"/>
      <c r="AV218" s="277"/>
      <c r="AW218" s="279">
        <v>13</v>
      </c>
      <c r="AX218" s="52">
        <v>160</v>
      </c>
      <c r="AY218" s="591" t="s">
        <v>343</v>
      </c>
      <c r="AZ218" s="592">
        <v>163</v>
      </c>
      <c r="BA218" s="279">
        <v>52</v>
      </c>
      <c r="BB218" s="52">
        <v>108</v>
      </c>
      <c r="BC218" s="593" t="s">
        <v>731</v>
      </c>
      <c r="BD218" s="594">
        <v>88</v>
      </c>
      <c r="BE218" s="279">
        <v>51</v>
      </c>
      <c r="BF218" s="52">
        <v>22</v>
      </c>
      <c r="BG218" s="595" t="s">
        <v>733</v>
      </c>
      <c r="BH218" s="596">
        <v>44</v>
      </c>
      <c r="BI218" s="279">
        <v>23</v>
      </c>
      <c r="BJ218" s="52">
        <v>13</v>
      </c>
      <c r="BK218" s="597" t="s">
        <v>732</v>
      </c>
      <c r="BL218" s="598">
        <v>9</v>
      </c>
      <c r="BM218" s="279">
        <v>26</v>
      </c>
      <c r="BN218" s="52">
        <v>13</v>
      </c>
      <c r="BO218" s="599" t="s">
        <v>739</v>
      </c>
      <c r="BP218" s="600">
        <v>9</v>
      </c>
      <c r="BQ218" s="279">
        <v>45</v>
      </c>
      <c r="BR218" s="52">
        <v>10</v>
      </c>
      <c r="BS218" s="601" t="s">
        <v>736</v>
      </c>
      <c r="BT218" s="602">
        <v>8</v>
      </c>
      <c r="BU218" s="279">
        <v>50</v>
      </c>
      <c r="BV218" s="52">
        <v>9</v>
      </c>
      <c r="BW218" s="603" t="s">
        <v>734</v>
      </c>
      <c r="BX218" s="604">
        <v>7</v>
      </c>
      <c r="BY218" s="279">
        <v>9</v>
      </c>
      <c r="BZ218" s="52">
        <v>6</v>
      </c>
      <c r="CA218" s="605" t="s">
        <v>748</v>
      </c>
      <c r="CB218" s="606">
        <v>7</v>
      </c>
      <c r="CC218" s="279">
        <v>54</v>
      </c>
      <c r="CD218" s="52">
        <v>6</v>
      </c>
      <c r="CE218" s="607" t="s">
        <v>730</v>
      </c>
      <c r="CF218" s="608">
        <v>7</v>
      </c>
      <c r="CG218" s="279">
        <v>42</v>
      </c>
      <c r="CH218" s="52">
        <v>5</v>
      </c>
      <c r="CI218" s="609" t="s">
        <v>738</v>
      </c>
      <c r="CJ218" s="610">
        <v>6</v>
      </c>
      <c r="CK218" s="281"/>
      <c r="CL218" s="277"/>
      <c r="CM218" s="159">
        <v>3</v>
      </c>
      <c r="CN218" s="611">
        <v>3</v>
      </c>
      <c r="CO218" s="50">
        <f t="shared" si="98"/>
        <v>355</v>
      </c>
      <c r="CP218" s="103">
        <f t="shared" si="99"/>
        <v>10</v>
      </c>
      <c r="CQ218" s="280">
        <f t="shared" si="100"/>
        <v>351</v>
      </c>
      <c r="CR218" s="63">
        <f t="shared" si="101"/>
        <v>10</v>
      </c>
      <c r="CS218" s="279"/>
      <c r="CT218" s="52"/>
      <c r="CU218" s="612" t="s">
        <v>343</v>
      </c>
      <c r="CV218" s="613">
        <v>3</v>
      </c>
      <c r="CW218" s="279"/>
      <c r="CX218" s="52"/>
      <c r="CY218" s="614"/>
      <c r="CZ218" s="635"/>
      <c r="DA218" s="279"/>
      <c r="DB218" s="52"/>
      <c r="DC218" s="616"/>
      <c r="DD218" s="636"/>
      <c r="DE218" s="279"/>
      <c r="DF218" s="52"/>
      <c r="DG218" s="618"/>
      <c r="DH218" s="637"/>
      <c r="DI218" s="279"/>
      <c r="DJ218" s="52"/>
      <c r="DK218" s="105"/>
      <c r="DL218" s="98"/>
      <c r="DM218" s="279"/>
      <c r="DN218" s="52"/>
      <c r="DO218" s="105"/>
      <c r="DP218" s="98"/>
      <c r="DQ218" s="279"/>
      <c r="DR218" s="52"/>
      <c r="DS218" s="105"/>
      <c r="DT218" s="98"/>
      <c r="DU218" s="279"/>
      <c r="DV218" s="52"/>
      <c r="DW218" s="105"/>
      <c r="DX218" s="98"/>
      <c r="DY218" s="279"/>
      <c r="DZ218" s="52"/>
      <c r="EA218" s="105"/>
      <c r="EB218" s="98"/>
      <c r="EC218" s="279"/>
      <c r="ED218" s="52"/>
      <c r="EE218" s="105"/>
      <c r="EF218" s="98"/>
      <c r="EG218" s="159"/>
      <c r="EH218" s="277"/>
      <c r="EI218" s="50">
        <f t="shared" si="102"/>
        <v>0</v>
      </c>
      <c r="EJ218" s="103">
        <f t="shared" si="103"/>
        <v>0</v>
      </c>
      <c r="EK218" s="164">
        <f t="shared" si="104"/>
        <v>0</v>
      </c>
      <c r="EL218" s="280">
        <f t="shared" si="105"/>
        <v>3</v>
      </c>
      <c r="EM218" s="63">
        <f t="shared" si="106"/>
        <v>1</v>
      </c>
      <c r="EN218" s="359">
        <f t="shared" si="107"/>
        <v>1</v>
      </c>
      <c r="EO218" s="51">
        <f t="shared" si="108"/>
        <v>355</v>
      </c>
      <c r="EP218" s="361">
        <f t="shared" si="109"/>
        <v>354</v>
      </c>
      <c r="EQ218" s="281"/>
      <c r="ER218" s="277"/>
      <c r="ES218" s="281"/>
      <c r="ET218" s="277"/>
      <c r="EU218" s="281"/>
      <c r="EV218" s="277"/>
      <c r="EW218" s="281"/>
      <c r="EX218" s="277"/>
      <c r="EY218" s="281"/>
      <c r="EZ218" s="277"/>
      <c r="FA218" s="281"/>
      <c r="FB218" s="277"/>
      <c r="FC218" s="281"/>
      <c r="FD218" s="277"/>
      <c r="FE218" s="281"/>
      <c r="FF218" s="277"/>
      <c r="FG218" s="281"/>
      <c r="FH218" s="277"/>
      <c r="FI218" s="281"/>
      <c r="FJ218" s="277"/>
      <c r="FK218" s="50">
        <f t="shared" si="110"/>
        <v>0</v>
      </c>
      <c r="FL218" s="63">
        <f t="shared" si="111"/>
        <v>0</v>
      </c>
      <c r="FM218" s="50">
        <f t="shared" si="93"/>
        <v>2196</v>
      </c>
      <c r="FN218" s="360">
        <f t="shared" si="94"/>
        <v>2301</v>
      </c>
      <c r="FO218" s="335"/>
      <c r="FP218" s="279"/>
      <c r="FQ218" s="52"/>
      <c r="FR218" s="296"/>
      <c r="FS218" s="98"/>
      <c r="FT218" s="467"/>
      <c r="FU218" s="52"/>
      <c r="FV218" s="296"/>
      <c r="FW218" s="98"/>
      <c r="FX218" s="467"/>
      <c r="FY218" s="52"/>
      <c r="FZ218" s="296"/>
      <c r="GA218" s="98"/>
      <c r="GB218" s="467"/>
      <c r="GC218" s="52"/>
      <c r="GD218" s="296"/>
      <c r="GE218" s="98"/>
      <c r="GF218" s="467"/>
      <c r="GG218" s="52"/>
      <c r="GH218" s="296"/>
      <c r="GI218" s="98"/>
      <c r="GJ218" s="467"/>
      <c r="GK218" s="52"/>
      <c r="GL218" s="296"/>
      <c r="GM218" s="464"/>
      <c r="GN218" s="467"/>
      <c r="GO218" s="52"/>
      <c r="GP218" s="296"/>
      <c r="GQ218" s="464"/>
      <c r="GR218" s="467"/>
      <c r="GS218" s="52"/>
      <c r="GT218" s="296"/>
      <c r="GU218" s="464"/>
      <c r="GV218" s="467"/>
      <c r="GW218" s="52"/>
      <c r="GX218" s="296"/>
      <c r="GY218" s="464"/>
      <c r="GZ218" s="467"/>
      <c r="HA218" s="52"/>
      <c r="HB218" s="296"/>
      <c r="HC218" s="335"/>
    </row>
    <row r="219" spans="1:211" s="396" customFormat="1">
      <c r="A219" s="491" t="s">
        <v>759</v>
      </c>
      <c r="B219" s="326" t="s">
        <v>765</v>
      </c>
      <c r="C219" s="325">
        <v>160621</v>
      </c>
      <c r="D219" s="349">
        <v>3</v>
      </c>
      <c r="E219" s="460"/>
      <c r="F219" s="492"/>
      <c r="G219" s="158"/>
      <c r="H219" s="277"/>
      <c r="I219" s="158">
        <v>4</v>
      </c>
      <c r="J219" s="493">
        <v>2</v>
      </c>
      <c r="K219" s="160">
        <f t="shared" si="95"/>
        <v>4.2553191489361703E-3</v>
      </c>
      <c r="L219" s="161">
        <f t="shared" si="88"/>
        <v>2.232142857142857E-3</v>
      </c>
      <c r="M219" s="54">
        <v>940</v>
      </c>
      <c r="N219" s="55">
        <v>33</v>
      </c>
      <c r="O219" s="55"/>
      <c r="P219" s="55"/>
      <c r="Q219" s="162">
        <f t="shared" si="96"/>
        <v>33</v>
      </c>
      <c r="R219" s="494">
        <v>896</v>
      </c>
      <c r="S219" s="590">
        <v>41</v>
      </c>
      <c r="T219" s="277"/>
      <c r="U219" s="277"/>
      <c r="V219" s="97">
        <f t="shared" si="97"/>
        <v>41</v>
      </c>
      <c r="W219" s="279"/>
      <c r="X219" s="52"/>
      <c r="Y219" s="99"/>
      <c r="Z219" s="53"/>
      <c r="AA219" s="228"/>
      <c r="AB219" s="52"/>
      <c r="AC219" s="99"/>
      <c r="AD219" s="53"/>
      <c r="AE219" s="228"/>
      <c r="AF219" s="52"/>
      <c r="AG219" s="99"/>
      <c r="AH219" s="53"/>
      <c r="AI219" s="228"/>
      <c r="AJ219" s="52"/>
      <c r="AK219" s="99"/>
      <c r="AL219" s="53"/>
      <c r="AM219" s="228"/>
      <c r="AN219" s="52"/>
      <c r="AO219" s="99"/>
      <c r="AP219" s="53"/>
      <c r="AQ219" s="50">
        <f t="shared" si="89"/>
        <v>0</v>
      </c>
      <c r="AR219" s="163">
        <f t="shared" si="90"/>
        <v>0.68017366136034729</v>
      </c>
      <c r="AS219" s="97">
        <f t="shared" si="91"/>
        <v>0</v>
      </c>
      <c r="AT219" s="278">
        <f t="shared" si="92"/>
        <v>0.66076696165191739</v>
      </c>
      <c r="AU219" s="55"/>
      <c r="AV219" s="277"/>
      <c r="AW219" s="279">
        <v>13</v>
      </c>
      <c r="AX219" s="52">
        <v>112</v>
      </c>
      <c r="AY219" s="591" t="s">
        <v>343</v>
      </c>
      <c r="AZ219" s="592">
        <v>134</v>
      </c>
      <c r="BA219" s="279">
        <v>51</v>
      </c>
      <c r="BB219" s="52">
        <v>65</v>
      </c>
      <c r="BC219" s="593" t="s">
        <v>733</v>
      </c>
      <c r="BD219" s="594">
        <v>44</v>
      </c>
      <c r="BE219" s="279">
        <v>43</v>
      </c>
      <c r="BF219" s="52">
        <v>33</v>
      </c>
      <c r="BG219" s="595" t="s">
        <v>731</v>
      </c>
      <c r="BH219" s="596">
        <v>33</v>
      </c>
      <c r="BI219" s="279">
        <v>11</v>
      </c>
      <c r="BJ219" s="52">
        <v>21</v>
      </c>
      <c r="BK219" s="597" t="s">
        <v>750</v>
      </c>
      <c r="BL219" s="598">
        <v>31</v>
      </c>
      <c r="BM219" s="279">
        <v>44</v>
      </c>
      <c r="BN219" s="52">
        <v>21</v>
      </c>
      <c r="BO219" s="599" t="s">
        <v>729</v>
      </c>
      <c r="BP219" s="600">
        <v>18</v>
      </c>
      <c r="BQ219" s="279">
        <v>52</v>
      </c>
      <c r="BR219" s="52">
        <v>13</v>
      </c>
      <c r="BS219" s="601" t="s">
        <v>747</v>
      </c>
      <c r="BT219" s="602">
        <v>16</v>
      </c>
      <c r="BU219" s="279">
        <v>9</v>
      </c>
      <c r="BV219" s="52">
        <v>13</v>
      </c>
      <c r="BW219" s="603" t="s">
        <v>734</v>
      </c>
      <c r="BX219" s="604">
        <v>12</v>
      </c>
      <c r="BY219" s="279">
        <v>14</v>
      </c>
      <c r="BZ219" s="52">
        <v>7</v>
      </c>
      <c r="CA219" s="605" t="s">
        <v>740</v>
      </c>
      <c r="CB219" s="606">
        <v>8</v>
      </c>
      <c r="CC219" s="279">
        <v>45</v>
      </c>
      <c r="CD219" s="52">
        <v>6</v>
      </c>
      <c r="CE219" s="607" t="s">
        <v>732</v>
      </c>
      <c r="CF219" s="608">
        <v>5</v>
      </c>
      <c r="CG219" s="279">
        <v>27</v>
      </c>
      <c r="CH219" s="52">
        <v>5</v>
      </c>
      <c r="CI219" s="609" t="s">
        <v>751</v>
      </c>
      <c r="CJ219" s="610">
        <v>3</v>
      </c>
      <c r="CK219" s="281"/>
      <c r="CL219" s="277"/>
      <c r="CM219" s="159">
        <f>305-296</f>
        <v>9</v>
      </c>
      <c r="CN219" s="611">
        <v>8</v>
      </c>
      <c r="CO219" s="50">
        <f t="shared" si="98"/>
        <v>305</v>
      </c>
      <c r="CP219" s="103">
        <f t="shared" si="99"/>
        <v>10</v>
      </c>
      <c r="CQ219" s="280">
        <f t="shared" si="100"/>
        <v>312</v>
      </c>
      <c r="CR219" s="63">
        <f t="shared" si="101"/>
        <v>10</v>
      </c>
      <c r="CS219" s="279">
        <v>44</v>
      </c>
      <c r="CT219" s="52">
        <v>4</v>
      </c>
      <c r="CU219" s="612" t="s">
        <v>729</v>
      </c>
      <c r="CV219" s="613">
        <v>7</v>
      </c>
      <c r="CW219" s="279">
        <v>26</v>
      </c>
      <c r="CX219" s="52">
        <v>2</v>
      </c>
      <c r="CY219" s="614" t="s">
        <v>343</v>
      </c>
      <c r="CZ219" s="615">
        <v>5</v>
      </c>
      <c r="DA219" s="279">
        <v>51</v>
      </c>
      <c r="DB219" s="52">
        <v>2</v>
      </c>
      <c r="DC219" s="616" t="s">
        <v>733</v>
      </c>
      <c r="DD219" s="617">
        <v>4</v>
      </c>
      <c r="DE219" s="279">
        <v>13</v>
      </c>
      <c r="DF219" s="52">
        <v>1</v>
      </c>
      <c r="DG219" s="618" t="s">
        <v>738</v>
      </c>
      <c r="DH219" s="619">
        <v>2</v>
      </c>
      <c r="DI219" s="279"/>
      <c r="DJ219" s="52"/>
      <c r="DK219" s="105"/>
      <c r="DL219" s="98"/>
      <c r="DM219" s="279"/>
      <c r="DN219" s="52"/>
      <c r="DO219" s="105"/>
      <c r="DP219" s="98"/>
      <c r="DQ219" s="279"/>
      <c r="DR219" s="52"/>
      <c r="DS219" s="105"/>
      <c r="DT219" s="98"/>
      <c r="DU219" s="279"/>
      <c r="DV219" s="52"/>
      <c r="DW219" s="105"/>
      <c r="DX219" s="98"/>
      <c r="DY219" s="279"/>
      <c r="DZ219" s="52"/>
      <c r="EA219" s="105"/>
      <c r="EB219" s="98"/>
      <c r="EC219" s="279"/>
      <c r="ED219" s="52"/>
      <c r="EE219" s="105"/>
      <c r="EF219" s="98"/>
      <c r="EG219" s="159"/>
      <c r="EH219" s="277"/>
      <c r="EI219" s="50">
        <f t="shared" si="102"/>
        <v>9</v>
      </c>
      <c r="EJ219" s="103">
        <f t="shared" si="103"/>
        <v>4</v>
      </c>
      <c r="EK219" s="164">
        <f t="shared" si="104"/>
        <v>0.44444444444444442</v>
      </c>
      <c r="EL219" s="280">
        <f t="shared" si="105"/>
        <v>18</v>
      </c>
      <c r="EM219" s="63">
        <f t="shared" si="106"/>
        <v>4</v>
      </c>
      <c r="EN219" s="359">
        <f t="shared" si="107"/>
        <v>0.3888888888888889</v>
      </c>
      <c r="EO219" s="51">
        <f t="shared" si="108"/>
        <v>314</v>
      </c>
      <c r="EP219" s="361">
        <f t="shared" si="109"/>
        <v>330</v>
      </c>
      <c r="EQ219" s="281">
        <v>124</v>
      </c>
      <c r="ER219" s="277">
        <v>128</v>
      </c>
      <c r="ES219" s="281"/>
      <c r="ET219" s="277"/>
      <c r="EU219" s="281"/>
      <c r="EV219" s="277"/>
      <c r="EW219" s="281"/>
      <c r="EX219" s="277"/>
      <c r="EY219" s="281"/>
      <c r="EZ219" s="277"/>
      <c r="FA219" s="281"/>
      <c r="FB219" s="277"/>
      <c r="FC219" s="281"/>
      <c r="FD219" s="277"/>
      <c r="FE219" s="281"/>
      <c r="FF219" s="277"/>
      <c r="FG219" s="281"/>
      <c r="FH219" s="277"/>
      <c r="FI219" s="281"/>
      <c r="FJ219" s="277"/>
      <c r="FK219" s="50">
        <f t="shared" si="110"/>
        <v>124</v>
      </c>
      <c r="FL219" s="63">
        <f t="shared" si="111"/>
        <v>128</v>
      </c>
      <c r="FM219" s="50">
        <f t="shared" si="93"/>
        <v>1382</v>
      </c>
      <c r="FN219" s="360">
        <f t="shared" si="94"/>
        <v>1356</v>
      </c>
      <c r="FO219" s="335"/>
      <c r="FP219" s="279"/>
      <c r="FQ219" s="52"/>
      <c r="FR219" s="296"/>
      <c r="FS219" s="98"/>
      <c r="FT219" s="467"/>
      <c r="FU219" s="52"/>
      <c r="FV219" s="296"/>
      <c r="FW219" s="98"/>
      <c r="FX219" s="467"/>
      <c r="FY219" s="52"/>
      <c r="FZ219" s="296"/>
      <c r="GA219" s="98"/>
      <c r="GB219" s="467"/>
      <c r="GC219" s="52"/>
      <c r="GD219" s="296"/>
      <c r="GE219" s="98"/>
      <c r="GF219" s="467"/>
      <c r="GG219" s="52"/>
      <c r="GH219" s="296"/>
      <c r="GI219" s="98"/>
      <c r="GJ219" s="467"/>
      <c r="GK219" s="52"/>
      <c r="GL219" s="296"/>
      <c r="GM219" s="464"/>
      <c r="GN219" s="467"/>
      <c r="GO219" s="52"/>
      <c r="GP219" s="296"/>
      <c r="GQ219" s="464"/>
      <c r="GR219" s="467"/>
      <c r="GS219" s="52"/>
      <c r="GT219" s="296"/>
      <c r="GU219" s="464"/>
      <c r="GV219" s="467"/>
      <c r="GW219" s="52"/>
      <c r="GX219" s="296"/>
      <c r="GY219" s="464"/>
      <c r="GZ219" s="467"/>
      <c r="HA219" s="52"/>
      <c r="HB219" s="296"/>
      <c r="HC219" s="335"/>
    </row>
    <row r="220" spans="1:211" s="396" customFormat="1">
      <c r="A220" s="491" t="s">
        <v>759</v>
      </c>
      <c r="B220" s="326" t="s">
        <v>766</v>
      </c>
      <c r="C220" s="325">
        <v>159993</v>
      </c>
      <c r="D220" s="349">
        <v>3</v>
      </c>
      <c r="E220" s="460"/>
      <c r="F220" s="492"/>
      <c r="G220" s="158"/>
      <c r="H220" s="277"/>
      <c r="I220" s="158">
        <v>50</v>
      </c>
      <c r="J220" s="493">
        <v>33</v>
      </c>
      <c r="K220" s="160">
        <f t="shared" si="95"/>
        <v>5.3705692803437163E-2</v>
      </c>
      <c r="L220" s="161">
        <f t="shared" si="88"/>
        <v>3.707865168539326E-2</v>
      </c>
      <c r="M220" s="54">
        <v>931</v>
      </c>
      <c r="N220" s="55">
        <v>62</v>
      </c>
      <c r="O220" s="55"/>
      <c r="P220" s="55"/>
      <c r="Q220" s="162">
        <f t="shared" si="96"/>
        <v>62</v>
      </c>
      <c r="R220" s="494">
        <v>890</v>
      </c>
      <c r="S220" s="590">
        <v>55</v>
      </c>
      <c r="T220" s="277"/>
      <c r="U220" s="277"/>
      <c r="V220" s="97">
        <f t="shared" si="97"/>
        <v>55</v>
      </c>
      <c r="W220" s="279"/>
      <c r="X220" s="52"/>
      <c r="Y220" s="99"/>
      <c r="Z220" s="53"/>
      <c r="AA220" s="228"/>
      <c r="AB220" s="52"/>
      <c r="AC220" s="99"/>
      <c r="AD220" s="53"/>
      <c r="AE220" s="228"/>
      <c r="AF220" s="52"/>
      <c r="AG220" s="99"/>
      <c r="AH220" s="53"/>
      <c r="AI220" s="228"/>
      <c r="AJ220" s="52"/>
      <c r="AK220" s="99"/>
      <c r="AL220" s="53"/>
      <c r="AM220" s="228"/>
      <c r="AN220" s="52"/>
      <c r="AO220" s="99"/>
      <c r="AP220" s="53"/>
      <c r="AQ220" s="50">
        <f t="shared" si="89"/>
        <v>0</v>
      </c>
      <c r="AR220" s="163">
        <f t="shared" si="90"/>
        <v>0.69322412509307518</v>
      </c>
      <c r="AS220" s="97">
        <f t="shared" si="91"/>
        <v>0</v>
      </c>
      <c r="AT220" s="278">
        <f t="shared" si="92"/>
        <v>0.70467141726049087</v>
      </c>
      <c r="AU220" s="55"/>
      <c r="AV220" s="277">
        <v>1</v>
      </c>
      <c r="AW220" s="279">
        <v>13</v>
      </c>
      <c r="AX220" s="52">
        <v>116</v>
      </c>
      <c r="AY220" s="591" t="s">
        <v>343</v>
      </c>
      <c r="AZ220" s="592">
        <v>123</v>
      </c>
      <c r="BA220" s="279">
        <v>51</v>
      </c>
      <c r="BB220" s="52">
        <v>31</v>
      </c>
      <c r="BC220" s="593" t="s">
        <v>733</v>
      </c>
      <c r="BD220" s="594">
        <v>32</v>
      </c>
      <c r="BE220" s="279">
        <v>52</v>
      </c>
      <c r="BF220" s="52">
        <v>25</v>
      </c>
      <c r="BG220" s="595" t="s">
        <v>731</v>
      </c>
      <c r="BH220" s="596">
        <v>23</v>
      </c>
      <c r="BI220" s="279">
        <v>42</v>
      </c>
      <c r="BJ220" s="52">
        <v>17</v>
      </c>
      <c r="BK220" s="597" t="s">
        <v>743</v>
      </c>
      <c r="BL220" s="598">
        <v>16</v>
      </c>
      <c r="BM220" s="279">
        <v>43</v>
      </c>
      <c r="BN220" s="52">
        <v>12</v>
      </c>
      <c r="BO220" s="599" t="s">
        <v>748</v>
      </c>
      <c r="BP220" s="600">
        <v>8</v>
      </c>
      <c r="BQ220" s="279">
        <v>54</v>
      </c>
      <c r="BR220" s="52">
        <v>9</v>
      </c>
      <c r="BS220" s="601" t="s">
        <v>737</v>
      </c>
      <c r="BT220" s="602">
        <v>8</v>
      </c>
      <c r="BU220" s="279">
        <v>31</v>
      </c>
      <c r="BV220" s="52">
        <v>8</v>
      </c>
      <c r="BW220" s="603" t="s">
        <v>734</v>
      </c>
      <c r="BX220" s="604">
        <v>6</v>
      </c>
      <c r="BY220" s="279">
        <v>30</v>
      </c>
      <c r="BZ220" s="52">
        <v>7</v>
      </c>
      <c r="CA220" s="605" t="s">
        <v>750</v>
      </c>
      <c r="CB220" s="606">
        <v>6</v>
      </c>
      <c r="CC220" s="279">
        <v>26</v>
      </c>
      <c r="CD220" s="52">
        <v>6</v>
      </c>
      <c r="CE220" s="607" t="s">
        <v>738</v>
      </c>
      <c r="CF220" s="608">
        <v>5</v>
      </c>
      <c r="CG220" s="279">
        <v>23</v>
      </c>
      <c r="CH220" s="52">
        <v>4</v>
      </c>
      <c r="CI220" s="609" t="s">
        <v>739</v>
      </c>
      <c r="CJ220" s="610">
        <v>5</v>
      </c>
      <c r="CK220" s="281"/>
      <c r="CL220" s="277"/>
      <c r="CM220" s="159">
        <v>5</v>
      </c>
      <c r="CN220" s="611">
        <v>6</v>
      </c>
      <c r="CO220" s="50">
        <f t="shared" si="98"/>
        <v>240</v>
      </c>
      <c r="CP220" s="103">
        <f t="shared" si="99"/>
        <v>10</v>
      </c>
      <c r="CQ220" s="280">
        <f t="shared" si="100"/>
        <v>238</v>
      </c>
      <c r="CR220" s="63">
        <f t="shared" si="101"/>
        <v>10</v>
      </c>
      <c r="CS220" s="279">
        <v>51</v>
      </c>
      <c r="CT220" s="52">
        <v>12</v>
      </c>
      <c r="CU220" s="612" t="s">
        <v>733</v>
      </c>
      <c r="CV220" s="613">
        <v>7</v>
      </c>
      <c r="CW220" s="279">
        <v>13</v>
      </c>
      <c r="CX220" s="52">
        <v>3</v>
      </c>
      <c r="CY220" s="614" t="s">
        <v>343</v>
      </c>
      <c r="CZ220" s="615">
        <v>3</v>
      </c>
      <c r="DA220" s="279"/>
      <c r="DB220" s="52"/>
      <c r="DC220" s="616"/>
      <c r="DD220" s="636"/>
      <c r="DE220" s="279"/>
      <c r="DF220" s="52"/>
      <c r="DG220" s="618"/>
      <c r="DH220" s="637"/>
      <c r="DI220" s="279"/>
      <c r="DJ220" s="52"/>
      <c r="DK220" s="105"/>
      <c r="DL220" s="98"/>
      <c r="DM220" s="279"/>
      <c r="DN220" s="52"/>
      <c r="DO220" s="105"/>
      <c r="DP220" s="98"/>
      <c r="DQ220" s="279"/>
      <c r="DR220" s="52"/>
      <c r="DS220" s="105"/>
      <c r="DT220" s="98"/>
      <c r="DU220" s="279"/>
      <c r="DV220" s="52"/>
      <c r="DW220" s="105"/>
      <c r="DX220" s="98"/>
      <c r="DY220" s="279"/>
      <c r="DZ220" s="52"/>
      <c r="EA220" s="105"/>
      <c r="EB220" s="98"/>
      <c r="EC220" s="279"/>
      <c r="ED220" s="52"/>
      <c r="EE220" s="105"/>
      <c r="EF220" s="98"/>
      <c r="EG220" s="159"/>
      <c r="EH220" s="277"/>
      <c r="EI220" s="50">
        <f t="shared" si="102"/>
        <v>15</v>
      </c>
      <c r="EJ220" s="103">
        <f t="shared" si="103"/>
        <v>2</v>
      </c>
      <c r="EK220" s="164">
        <f t="shared" si="104"/>
        <v>0.8</v>
      </c>
      <c r="EL220" s="280">
        <f t="shared" si="105"/>
        <v>10</v>
      </c>
      <c r="EM220" s="63">
        <f t="shared" si="106"/>
        <v>2</v>
      </c>
      <c r="EN220" s="359">
        <f t="shared" si="107"/>
        <v>0.7</v>
      </c>
      <c r="EO220" s="51">
        <f t="shared" si="108"/>
        <v>255</v>
      </c>
      <c r="EP220" s="361">
        <f t="shared" si="109"/>
        <v>248</v>
      </c>
      <c r="EQ220" s="281"/>
      <c r="ER220" s="277"/>
      <c r="ES220" s="281"/>
      <c r="ET220" s="277"/>
      <c r="EU220" s="281"/>
      <c r="EV220" s="277"/>
      <c r="EW220" s="281">
        <v>107</v>
      </c>
      <c r="EX220" s="277">
        <v>91</v>
      </c>
      <c r="EY220" s="281"/>
      <c r="EZ220" s="277"/>
      <c r="FA220" s="281"/>
      <c r="FB220" s="277"/>
      <c r="FC220" s="281"/>
      <c r="FD220" s="277"/>
      <c r="FE220" s="281"/>
      <c r="FF220" s="277"/>
      <c r="FG220" s="281"/>
      <c r="FH220" s="277"/>
      <c r="FI220" s="281"/>
      <c r="FJ220" s="277"/>
      <c r="FK220" s="50">
        <f t="shared" si="110"/>
        <v>107</v>
      </c>
      <c r="FL220" s="63">
        <f t="shared" si="111"/>
        <v>91</v>
      </c>
      <c r="FM220" s="50">
        <f t="shared" si="93"/>
        <v>1343</v>
      </c>
      <c r="FN220" s="360">
        <f t="shared" si="94"/>
        <v>1263</v>
      </c>
      <c r="FO220" s="335"/>
      <c r="FP220" s="279"/>
      <c r="FQ220" s="52"/>
      <c r="FR220" s="296"/>
      <c r="FS220" s="98"/>
      <c r="FT220" s="467"/>
      <c r="FU220" s="52"/>
      <c r="FV220" s="296"/>
      <c r="FW220" s="98"/>
      <c r="FX220" s="467"/>
      <c r="FY220" s="52"/>
      <c r="FZ220" s="296"/>
      <c r="GA220" s="98"/>
      <c r="GB220" s="467"/>
      <c r="GC220" s="52"/>
      <c r="GD220" s="296"/>
      <c r="GE220" s="98"/>
      <c r="GF220" s="467"/>
      <c r="GG220" s="52"/>
      <c r="GH220" s="296"/>
      <c r="GI220" s="98"/>
      <c r="GJ220" s="467"/>
      <c r="GK220" s="52"/>
      <c r="GL220" s="296"/>
      <c r="GM220" s="464"/>
      <c r="GN220" s="467"/>
      <c r="GO220" s="52"/>
      <c r="GP220" s="296"/>
      <c r="GQ220" s="464"/>
      <c r="GR220" s="467"/>
      <c r="GS220" s="52"/>
      <c r="GT220" s="296"/>
      <c r="GU220" s="464"/>
      <c r="GV220" s="467"/>
      <c r="GW220" s="52"/>
      <c r="GX220" s="296"/>
      <c r="GY220" s="464"/>
      <c r="GZ220" s="467"/>
      <c r="HA220" s="52"/>
      <c r="HB220" s="296"/>
      <c r="HC220" s="335"/>
    </row>
    <row r="221" spans="1:211" s="396" customFormat="1">
      <c r="A221" s="491" t="s">
        <v>759</v>
      </c>
      <c r="B221" s="326" t="s">
        <v>767</v>
      </c>
      <c r="C221" s="325">
        <v>159009</v>
      </c>
      <c r="D221" s="349">
        <v>4</v>
      </c>
      <c r="E221" s="460"/>
      <c r="F221" s="492"/>
      <c r="G221" s="158"/>
      <c r="H221" s="277"/>
      <c r="I221" s="158">
        <v>36</v>
      </c>
      <c r="J221" s="493">
        <v>33</v>
      </c>
      <c r="K221" s="160">
        <f t="shared" si="95"/>
        <v>6.7039106145251395E-2</v>
      </c>
      <c r="L221" s="161">
        <f t="shared" si="88"/>
        <v>5.9674502712477394E-2</v>
      </c>
      <c r="M221" s="54">
        <v>537</v>
      </c>
      <c r="N221" s="55">
        <v>50</v>
      </c>
      <c r="O221" s="55"/>
      <c r="P221" s="55"/>
      <c r="Q221" s="162">
        <f t="shared" si="96"/>
        <v>50</v>
      </c>
      <c r="R221" s="494">
        <v>553</v>
      </c>
      <c r="S221" s="590">
        <v>38</v>
      </c>
      <c r="T221" s="277"/>
      <c r="U221" s="277"/>
      <c r="V221" s="97">
        <f t="shared" si="97"/>
        <v>38</v>
      </c>
      <c r="W221" s="279"/>
      <c r="X221" s="52"/>
      <c r="Y221" s="99"/>
      <c r="Z221" s="53"/>
      <c r="AA221" s="228"/>
      <c r="AB221" s="52"/>
      <c r="AC221" s="99"/>
      <c r="AD221" s="53"/>
      <c r="AE221" s="228"/>
      <c r="AF221" s="52"/>
      <c r="AG221" s="99"/>
      <c r="AH221" s="53"/>
      <c r="AI221" s="228"/>
      <c r="AJ221" s="52"/>
      <c r="AK221" s="99"/>
      <c r="AL221" s="53"/>
      <c r="AM221" s="228"/>
      <c r="AN221" s="52"/>
      <c r="AO221" s="99"/>
      <c r="AP221" s="53"/>
      <c r="AQ221" s="50">
        <f t="shared" si="89"/>
        <v>0</v>
      </c>
      <c r="AR221" s="163">
        <f t="shared" si="90"/>
        <v>0.80269058295964124</v>
      </c>
      <c r="AS221" s="97">
        <f t="shared" si="91"/>
        <v>0</v>
      </c>
      <c r="AT221" s="278">
        <f t="shared" si="92"/>
        <v>0.77887323943661968</v>
      </c>
      <c r="AU221" s="55"/>
      <c r="AV221" s="277"/>
      <c r="AW221" s="279">
        <v>44</v>
      </c>
      <c r="AX221" s="52">
        <v>39</v>
      </c>
      <c r="AY221" s="591" t="s">
        <v>729</v>
      </c>
      <c r="AZ221" s="592">
        <v>37</v>
      </c>
      <c r="BA221" s="279">
        <v>31</v>
      </c>
      <c r="BB221" s="52">
        <v>16</v>
      </c>
      <c r="BC221" s="593" t="s">
        <v>750</v>
      </c>
      <c r="BD221" s="594">
        <v>26</v>
      </c>
      <c r="BE221" s="279">
        <v>51</v>
      </c>
      <c r="BF221" s="52">
        <v>13</v>
      </c>
      <c r="BG221" s="595" t="s">
        <v>733</v>
      </c>
      <c r="BH221" s="596">
        <v>17</v>
      </c>
      <c r="BI221" s="279">
        <v>43</v>
      </c>
      <c r="BJ221" s="52">
        <v>12</v>
      </c>
      <c r="BK221" s="597" t="s">
        <v>743</v>
      </c>
      <c r="BL221" s="598">
        <v>15</v>
      </c>
      <c r="BM221" s="279">
        <v>9</v>
      </c>
      <c r="BN221" s="52">
        <v>7</v>
      </c>
      <c r="BO221" s="599" t="s">
        <v>343</v>
      </c>
      <c r="BP221" s="600">
        <v>12</v>
      </c>
      <c r="BQ221" s="279">
        <v>13</v>
      </c>
      <c r="BR221" s="52">
        <v>6</v>
      </c>
      <c r="BS221" s="601" t="s">
        <v>734</v>
      </c>
      <c r="BT221" s="602">
        <v>8</v>
      </c>
      <c r="BU221" s="279"/>
      <c r="BV221" s="52"/>
      <c r="BW221" s="603"/>
      <c r="BX221" s="638"/>
      <c r="BY221" s="279"/>
      <c r="BZ221" s="52"/>
      <c r="CA221" s="605"/>
      <c r="CB221" s="639"/>
      <c r="CC221" s="279"/>
      <c r="CD221" s="52"/>
      <c r="CE221" s="607"/>
      <c r="CF221" s="640"/>
      <c r="CG221" s="279"/>
      <c r="CH221" s="52"/>
      <c r="CI221" s="609"/>
      <c r="CJ221" s="641"/>
      <c r="CK221" s="281"/>
      <c r="CL221" s="277"/>
      <c r="CM221" s="159"/>
      <c r="CN221" s="277"/>
      <c r="CO221" s="50">
        <f t="shared" si="98"/>
        <v>93</v>
      </c>
      <c r="CP221" s="103">
        <f t="shared" si="99"/>
        <v>6</v>
      </c>
      <c r="CQ221" s="280">
        <f t="shared" si="100"/>
        <v>115</v>
      </c>
      <c r="CR221" s="63">
        <f t="shared" si="101"/>
        <v>6</v>
      </c>
      <c r="CS221" s="279">
        <v>13</v>
      </c>
      <c r="CT221" s="52">
        <v>3</v>
      </c>
      <c r="CU221" s="612" t="s">
        <v>343</v>
      </c>
      <c r="CV221" s="613">
        <v>9</v>
      </c>
      <c r="CW221" s="279"/>
      <c r="CX221" s="52"/>
      <c r="CY221" s="614"/>
      <c r="CZ221" s="635"/>
      <c r="DA221" s="279"/>
      <c r="DB221" s="52"/>
      <c r="DC221" s="616"/>
      <c r="DD221" s="636"/>
      <c r="DE221" s="279"/>
      <c r="DF221" s="52"/>
      <c r="DG221" s="618"/>
      <c r="DH221" s="637"/>
      <c r="DI221" s="279"/>
      <c r="DJ221" s="52"/>
      <c r="DK221" s="105"/>
      <c r="DL221" s="98"/>
      <c r="DM221" s="279"/>
      <c r="DN221" s="52"/>
      <c r="DO221" s="105"/>
      <c r="DP221" s="98"/>
      <c r="DQ221" s="279"/>
      <c r="DR221" s="52"/>
      <c r="DS221" s="105"/>
      <c r="DT221" s="98"/>
      <c r="DU221" s="279"/>
      <c r="DV221" s="52"/>
      <c r="DW221" s="105"/>
      <c r="DX221" s="98"/>
      <c r="DY221" s="279"/>
      <c r="DZ221" s="52"/>
      <c r="EA221" s="105"/>
      <c r="EB221" s="98"/>
      <c r="EC221" s="279"/>
      <c r="ED221" s="52"/>
      <c r="EE221" s="105"/>
      <c r="EF221" s="98"/>
      <c r="EG221" s="159"/>
      <c r="EH221" s="277"/>
      <c r="EI221" s="50">
        <f t="shared" si="102"/>
        <v>3</v>
      </c>
      <c r="EJ221" s="103">
        <f t="shared" si="103"/>
        <v>1</v>
      </c>
      <c r="EK221" s="164">
        <f t="shared" si="104"/>
        <v>1</v>
      </c>
      <c r="EL221" s="280">
        <f t="shared" si="105"/>
        <v>9</v>
      </c>
      <c r="EM221" s="63">
        <f t="shared" si="106"/>
        <v>1</v>
      </c>
      <c r="EN221" s="359">
        <f t="shared" si="107"/>
        <v>1</v>
      </c>
      <c r="EO221" s="51">
        <f t="shared" si="108"/>
        <v>96</v>
      </c>
      <c r="EP221" s="361">
        <f t="shared" si="109"/>
        <v>124</v>
      </c>
      <c r="EQ221" s="281"/>
      <c r="ER221" s="277"/>
      <c r="ES221" s="281"/>
      <c r="ET221" s="277"/>
      <c r="EU221" s="281"/>
      <c r="EV221" s="277"/>
      <c r="EW221" s="281"/>
      <c r="EX221" s="277"/>
      <c r="EY221" s="281"/>
      <c r="EZ221" s="277"/>
      <c r="FA221" s="281"/>
      <c r="FB221" s="277"/>
      <c r="FC221" s="281"/>
      <c r="FD221" s="277"/>
      <c r="FE221" s="281"/>
      <c r="FF221" s="277"/>
      <c r="FG221" s="281"/>
      <c r="FH221" s="277"/>
      <c r="FI221" s="281"/>
      <c r="FJ221" s="277"/>
      <c r="FK221" s="50">
        <f t="shared" si="110"/>
        <v>0</v>
      </c>
      <c r="FL221" s="63">
        <f t="shared" si="111"/>
        <v>0</v>
      </c>
      <c r="FM221" s="50">
        <f t="shared" si="93"/>
        <v>669</v>
      </c>
      <c r="FN221" s="360">
        <f t="shared" si="94"/>
        <v>710</v>
      </c>
      <c r="FO221" s="335"/>
      <c r="FP221" s="279"/>
      <c r="FQ221" s="52"/>
      <c r="FR221" s="296"/>
      <c r="FS221" s="98"/>
      <c r="FT221" s="467"/>
      <c r="FU221" s="52"/>
      <c r="FV221" s="296"/>
      <c r="FW221" s="98"/>
      <c r="FX221" s="467"/>
      <c r="FY221" s="52"/>
      <c r="FZ221" s="296"/>
      <c r="GA221" s="98"/>
      <c r="GB221" s="467"/>
      <c r="GC221" s="52"/>
      <c r="GD221" s="296"/>
      <c r="GE221" s="98"/>
      <c r="GF221" s="467"/>
      <c r="GG221" s="52"/>
      <c r="GH221" s="296"/>
      <c r="GI221" s="98"/>
      <c r="GJ221" s="467"/>
      <c r="GK221" s="52"/>
      <c r="GL221" s="296"/>
      <c r="GM221" s="464"/>
      <c r="GN221" s="467"/>
      <c r="GO221" s="52"/>
      <c r="GP221" s="296"/>
      <c r="GQ221" s="464"/>
      <c r="GR221" s="467"/>
      <c r="GS221" s="52"/>
      <c r="GT221" s="296"/>
      <c r="GU221" s="464"/>
      <c r="GV221" s="467"/>
      <c r="GW221" s="52"/>
      <c r="GX221" s="296"/>
      <c r="GY221" s="464"/>
      <c r="GZ221" s="467"/>
      <c r="HA221" s="52"/>
      <c r="HB221" s="296"/>
      <c r="HC221" s="335"/>
    </row>
    <row r="222" spans="1:211" s="396" customFormat="1">
      <c r="A222" s="491" t="s">
        <v>759</v>
      </c>
      <c r="B222" s="326" t="s">
        <v>768</v>
      </c>
      <c r="C222" s="325">
        <v>159416</v>
      </c>
      <c r="D222" s="349">
        <v>4</v>
      </c>
      <c r="E222" s="460"/>
      <c r="F222" s="492"/>
      <c r="G222" s="158"/>
      <c r="H222" s="277"/>
      <c r="I222" s="158"/>
      <c r="J222" s="493"/>
      <c r="K222" s="160">
        <f t="shared" si="95"/>
        <v>0</v>
      </c>
      <c r="L222" s="161">
        <f t="shared" si="88"/>
        <v>0</v>
      </c>
      <c r="M222" s="54">
        <v>521</v>
      </c>
      <c r="N222" s="55">
        <v>66</v>
      </c>
      <c r="O222" s="55"/>
      <c r="P222" s="55"/>
      <c r="Q222" s="162">
        <f t="shared" si="96"/>
        <v>66</v>
      </c>
      <c r="R222" s="494">
        <v>529</v>
      </c>
      <c r="S222" s="590">
        <v>71</v>
      </c>
      <c r="T222" s="277"/>
      <c r="U222" s="277"/>
      <c r="V222" s="97">
        <f t="shared" si="97"/>
        <v>71</v>
      </c>
      <c r="W222" s="279"/>
      <c r="X222" s="52"/>
      <c r="Y222" s="99"/>
      <c r="Z222" s="53"/>
      <c r="AA222" s="228"/>
      <c r="AB222" s="52"/>
      <c r="AC222" s="99"/>
      <c r="AD222" s="53"/>
      <c r="AE222" s="228"/>
      <c r="AF222" s="52"/>
      <c r="AG222" s="99"/>
      <c r="AH222" s="53"/>
      <c r="AI222" s="228"/>
      <c r="AJ222" s="52"/>
      <c r="AK222" s="99"/>
      <c r="AL222" s="53"/>
      <c r="AM222" s="228"/>
      <c r="AN222" s="52"/>
      <c r="AO222" s="99"/>
      <c r="AP222" s="53"/>
      <c r="AQ222" s="50">
        <f t="shared" si="89"/>
        <v>0</v>
      </c>
      <c r="AR222" s="163">
        <f t="shared" si="90"/>
        <v>0.83360000000000001</v>
      </c>
      <c r="AS222" s="97">
        <f t="shared" si="91"/>
        <v>0</v>
      </c>
      <c r="AT222" s="278">
        <f t="shared" si="92"/>
        <v>0.83307086614173231</v>
      </c>
      <c r="AU222" s="55"/>
      <c r="AV222" s="277"/>
      <c r="AW222" s="279">
        <v>13</v>
      </c>
      <c r="AX222" s="52">
        <v>34</v>
      </c>
      <c r="AY222" s="591" t="s">
        <v>731</v>
      </c>
      <c r="AZ222" s="592">
        <v>25</v>
      </c>
      <c r="BA222" s="279">
        <v>52</v>
      </c>
      <c r="BB222" s="52">
        <v>27</v>
      </c>
      <c r="BC222" s="593" t="s">
        <v>343</v>
      </c>
      <c r="BD222" s="594">
        <v>23</v>
      </c>
      <c r="BE222" s="279">
        <v>42</v>
      </c>
      <c r="BF222" s="52">
        <v>17</v>
      </c>
      <c r="BG222" s="595" t="s">
        <v>737</v>
      </c>
      <c r="BH222" s="596">
        <v>19</v>
      </c>
      <c r="BI222" s="279">
        <v>24</v>
      </c>
      <c r="BJ222" s="52">
        <v>8</v>
      </c>
      <c r="BK222" s="597" t="s">
        <v>733</v>
      </c>
      <c r="BL222" s="598">
        <v>14</v>
      </c>
      <c r="BM222" s="279">
        <v>44</v>
      </c>
      <c r="BN222" s="52">
        <v>8</v>
      </c>
      <c r="BO222" s="599" t="s">
        <v>729</v>
      </c>
      <c r="BP222" s="600">
        <v>12</v>
      </c>
      <c r="BQ222" s="279">
        <v>51</v>
      </c>
      <c r="BR222" s="52">
        <v>7</v>
      </c>
      <c r="BS222" s="601" t="s">
        <v>747</v>
      </c>
      <c r="BT222" s="602">
        <v>7</v>
      </c>
      <c r="BU222" s="279">
        <v>11</v>
      </c>
      <c r="BV222" s="52">
        <v>3</v>
      </c>
      <c r="BW222" s="603" t="s">
        <v>96</v>
      </c>
      <c r="BX222" s="604">
        <v>6</v>
      </c>
      <c r="BY222" s="279"/>
      <c r="BZ222" s="52"/>
      <c r="CA222" s="605"/>
      <c r="CB222" s="639"/>
      <c r="CC222" s="279"/>
      <c r="CD222" s="52"/>
      <c r="CE222" s="607"/>
      <c r="CF222" s="640"/>
      <c r="CG222" s="279"/>
      <c r="CH222" s="52"/>
      <c r="CI222" s="609"/>
      <c r="CJ222" s="641"/>
      <c r="CK222" s="281"/>
      <c r="CL222" s="277"/>
      <c r="CM222" s="159"/>
      <c r="CN222" s="277"/>
      <c r="CO222" s="50">
        <f t="shared" si="98"/>
        <v>104</v>
      </c>
      <c r="CP222" s="103">
        <f t="shared" si="99"/>
        <v>7</v>
      </c>
      <c r="CQ222" s="280">
        <f t="shared" si="100"/>
        <v>106</v>
      </c>
      <c r="CR222" s="63">
        <f t="shared" si="101"/>
        <v>7</v>
      </c>
      <c r="CS222" s="279"/>
      <c r="CT222" s="52"/>
      <c r="CU222" s="105"/>
      <c r="CV222" s="98"/>
      <c r="CW222" s="279"/>
      <c r="CX222" s="52"/>
      <c r="CY222" s="105"/>
      <c r="CZ222" s="98"/>
      <c r="DA222" s="279"/>
      <c r="DB222" s="52"/>
      <c r="DC222" s="105"/>
      <c r="DD222" s="98"/>
      <c r="DE222" s="279"/>
      <c r="DF222" s="52"/>
      <c r="DG222" s="105"/>
      <c r="DH222" s="98"/>
      <c r="DI222" s="279"/>
      <c r="DJ222" s="52"/>
      <c r="DK222" s="105"/>
      <c r="DL222" s="98"/>
      <c r="DM222" s="279"/>
      <c r="DN222" s="52"/>
      <c r="DO222" s="105"/>
      <c r="DP222" s="98"/>
      <c r="DQ222" s="279"/>
      <c r="DR222" s="52"/>
      <c r="DS222" s="105"/>
      <c r="DT222" s="98"/>
      <c r="DU222" s="279"/>
      <c r="DV222" s="52"/>
      <c r="DW222" s="105"/>
      <c r="DX222" s="98"/>
      <c r="DY222" s="279"/>
      <c r="DZ222" s="52"/>
      <c r="EA222" s="105"/>
      <c r="EB222" s="98"/>
      <c r="EC222" s="279"/>
      <c r="ED222" s="52"/>
      <c r="EE222" s="105"/>
      <c r="EF222" s="98"/>
      <c r="EG222" s="159"/>
      <c r="EH222" s="277"/>
      <c r="EI222" s="50">
        <f t="shared" si="102"/>
        <v>0</v>
      </c>
      <c r="EJ222" s="103">
        <f t="shared" si="103"/>
        <v>0</v>
      </c>
      <c r="EK222" s="164">
        <f t="shared" si="104"/>
        <v>0</v>
      </c>
      <c r="EL222" s="280">
        <f t="shared" si="105"/>
        <v>0</v>
      </c>
      <c r="EM222" s="63">
        <f t="shared" si="106"/>
        <v>0</v>
      </c>
      <c r="EN222" s="359">
        <f t="shared" si="107"/>
        <v>0</v>
      </c>
      <c r="EO222" s="51">
        <f t="shared" si="108"/>
        <v>104</v>
      </c>
      <c r="EP222" s="361">
        <f t="shared" si="109"/>
        <v>106</v>
      </c>
      <c r="EQ222" s="281"/>
      <c r="ER222" s="277"/>
      <c r="ES222" s="281"/>
      <c r="ET222" s="277"/>
      <c r="EU222" s="281"/>
      <c r="EV222" s="277"/>
      <c r="EW222" s="281"/>
      <c r="EX222" s="277"/>
      <c r="EY222" s="281"/>
      <c r="EZ222" s="277"/>
      <c r="FA222" s="281"/>
      <c r="FB222" s="277"/>
      <c r="FC222" s="281"/>
      <c r="FD222" s="277"/>
      <c r="FE222" s="281"/>
      <c r="FF222" s="277"/>
      <c r="FG222" s="281"/>
      <c r="FH222" s="277"/>
      <c r="FI222" s="281"/>
      <c r="FJ222" s="277"/>
      <c r="FK222" s="50">
        <f t="shared" si="110"/>
        <v>0</v>
      </c>
      <c r="FL222" s="63">
        <f t="shared" si="111"/>
        <v>0</v>
      </c>
      <c r="FM222" s="50">
        <f t="shared" si="93"/>
        <v>625</v>
      </c>
      <c r="FN222" s="360">
        <f t="shared" si="94"/>
        <v>635</v>
      </c>
      <c r="FO222" s="335"/>
      <c r="FP222" s="279"/>
      <c r="FQ222" s="52"/>
      <c r="FR222" s="296"/>
      <c r="FS222" s="98"/>
      <c r="FT222" s="467"/>
      <c r="FU222" s="52"/>
      <c r="FV222" s="296"/>
      <c r="FW222" s="98"/>
      <c r="FX222" s="467"/>
      <c r="FY222" s="52"/>
      <c r="FZ222" s="296"/>
      <c r="GA222" s="98"/>
      <c r="GB222" s="467"/>
      <c r="GC222" s="52"/>
      <c r="GD222" s="296"/>
      <c r="GE222" s="98"/>
      <c r="GF222" s="467"/>
      <c r="GG222" s="52"/>
      <c r="GH222" s="296"/>
      <c r="GI222" s="98"/>
      <c r="GJ222" s="467"/>
      <c r="GK222" s="52"/>
      <c r="GL222" s="296"/>
      <c r="GM222" s="464"/>
      <c r="GN222" s="467"/>
      <c r="GO222" s="52"/>
      <c r="GP222" s="296"/>
      <c r="GQ222" s="464"/>
      <c r="GR222" s="467"/>
      <c r="GS222" s="52"/>
      <c r="GT222" s="296"/>
      <c r="GU222" s="464"/>
      <c r="GV222" s="467"/>
      <c r="GW222" s="52"/>
      <c r="GX222" s="296"/>
      <c r="GY222" s="464"/>
      <c r="GZ222" s="467"/>
      <c r="HA222" s="52"/>
      <c r="HB222" s="296"/>
      <c r="HC222" s="335"/>
    </row>
    <row r="223" spans="1:211" s="396" customFormat="1">
      <c r="A223" s="491" t="s">
        <v>759</v>
      </c>
      <c r="B223" s="326" t="s">
        <v>769</v>
      </c>
      <c r="C223" s="325">
        <v>159717</v>
      </c>
      <c r="D223" s="349">
        <v>4</v>
      </c>
      <c r="E223" s="460"/>
      <c r="F223" s="492"/>
      <c r="G223" s="158"/>
      <c r="H223" s="277"/>
      <c r="I223" s="158">
        <v>148</v>
      </c>
      <c r="J223" s="493">
        <v>122</v>
      </c>
      <c r="K223" s="160">
        <f t="shared" si="95"/>
        <v>0.14028436018957346</v>
      </c>
      <c r="L223" s="161">
        <f t="shared" si="88"/>
        <v>0.11630123927550047</v>
      </c>
      <c r="M223" s="54">
        <v>1055</v>
      </c>
      <c r="N223" s="55">
        <v>129</v>
      </c>
      <c r="O223" s="55"/>
      <c r="P223" s="55"/>
      <c r="Q223" s="162">
        <f t="shared" si="96"/>
        <v>129</v>
      </c>
      <c r="R223" s="494">
        <v>1049</v>
      </c>
      <c r="S223" s="590">
        <v>108</v>
      </c>
      <c r="T223" s="277"/>
      <c r="U223" s="277"/>
      <c r="V223" s="97">
        <f t="shared" si="97"/>
        <v>108</v>
      </c>
      <c r="W223" s="279"/>
      <c r="X223" s="52"/>
      <c r="Y223" s="99"/>
      <c r="Z223" s="53"/>
      <c r="AA223" s="228"/>
      <c r="AB223" s="52"/>
      <c r="AC223" s="99"/>
      <c r="AD223" s="53"/>
      <c r="AE223" s="228"/>
      <c r="AF223" s="52"/>
      <c r="AG223" s="99"/>
      <c r="AH223" s="53"/>
      <c r="AI223" s="228"/>
      <c r="AJ223" s="52"/>
      <c r="AK223" s="99"/>
      <c r="AL223" s="53"/>
      <c r="AM223" s="228"/>
      <c r="AN223" s="52"/>
      <c r="AO223" s="99"/>
      <c r="AP223" s="53"/>
      <c r="AQ223" s="50">
        <f t="shared" si="89"/>
        <v>0</v>
      </c>
      <c r="AR223" s="163">
        <f t="shared" si="90"/>
        <v>0.71964529331514326</v>
      </c>
      <c r="AS223" s="97">
        <f t="shared" si="91"/>
        <v>0</v>
      </c>
      <c r="AT223" s="278">
        <f t="shared" si="92"/>
        <v>0.71457765667574935</v>
      </c>
      <c r="AU223" s="55"/>
      <c r="AV223" s="277"/>
      <c r="AW223" s="279">
        <v>19</v>
      </c>
      <c r="AX223" s="52">
        <v>98</v>
      </c>
      <c r="AY223" s="591" t="s">
        <v>343</v>
      </c>
      <c r="AZ223" s="592">
        <v>113</v>
      </c>
      <c r="BA223" s="279">
        <v>14</v>
      </c>
      <c r="BB223" s="52">
        <v>66</v>
      </c>
      <c r="BC223" s="593" t="s">
        <v>740</v>
      </c>
      <c r="BD223" s="594">
        <v>39</v>
      </c>
      <c r="BE223" s="279">
        <v>52</v>
      </c>
      <c r="BF223" s="52">
        <v>26</v>
      </c>
      <c r="BG223" s="595" t="s">
        <v>344</v>
      </c>
      <c r="BH223" s="596">
        <v>35</v>
      </c>
      <c r="BI223" s="279">
        <v>51</v>
      </c>
      <c r="BJ223" s="52">
        <v>22</v>
      </c>
      <c r="BK223" s="597" t="s">
        <v>731</v>
      </c>
      <c r="BL223" s="598">
        <v>30</v>
      </c>
      <c r="BM223" s="279">
        <v>23</v>
      </c>
      <c r="BN223" s="52">
        <v>13</v>
      </c>
      <c r="BO223" s="599" t="s">
        <v>733</v>
      </c>
      <c r="BP223" s="600">
        <v>29</v>
      </c>
      <c r="BQ223" s="279">
        <v>17</v>
      </c>
      <c r="BR223" s="52">
        <v>13</v>
      </c>
      <c r="BS223" s="601" t="s">
        <v>737</v>
      </c>
      <c r="BT223" s="602">
        <v>20</v>
      </c>
      <c r="BU223" s="279">
        <v>40</v>
      </c>
      <c r="BV223" s="52">
        <v>11</v>
      </c>
      <c r="BW223" s="603" t="s">
        <v>743</v>
      </c>
      <c r="BX223" s="604">
        <v>14</v>
      </c>
      <c r="BY223" s="279">
        <v>31</v>
      </c>
      <c r="BZ223" s="52">
        <v>9</v>
      </c>
      <c r="CA223" s="605" t="s">
        <v>735</v>
      </c>
      <c r="CB223" s="606">
        <v>10</v>
      </c>
      <c r="CC223" s="279">
        <v>42</v>
      </c>
      <c r="CD223" s="52">
        <v>5</v>
      </c>
      <c r="CE223" s="607" t="s">
        <v>736</v>
      </c>
      <c r="CF223" s="608">
        <v>7</v>
      </c>
      <c r="CG223" s="279"/>
      <c r="CH223" s="52"/>
      <c r="CI223" s="609"/>
      <c r="CJ223" s="641"/>
      <c r="CK223" s="281"/>
      <c r="CL223" s="277"/>
      <c r="CM223" s="159"/>
      <c r="CN223" s="277"/>
      <c r="CO223" s="50">
        <f t="shared" si="98"/>
        <v>263</v>
      </c>
      <c r="CP223" s="103">
        <f t="shared" si="99"/>
        <v>9</v>
      </c>
      <c r="CQ223" s="280">
        <f t="shared" si="100"/>
        <v>297</v>
      </c>
      <c r="CR223" s="63">
        <f t="shared" si="101"/>
        <v>9</v>
      </c>
      <c r="CS223" s="279"/>
      <c r="CT223" s="52"/>
      <c r="CU223" s="105"/>
      <c r="CV223" s="98"/>
      <c r="CW223" s="279"/>
      <c r="CX223" s="52"/>
      <c r="CY223" s="105"/>
      <c r="CZ223" s="98"/>
      <c r="DA223" s="279"/>
      <c r="DB223" s="52"/>
      <c r="DC223" s="105"/>
      <c r="DD223" s="98"/>
      <c r="DE223" s="279"/>
      <c r="DF223" s="52"/>
      <c r="DG223" s="105"/>
      <c r="DH223" s="98"/>
      <c r="DI223" s="279"/>
      <c r="DJ223" s="52"/>
      <c r="DK223" s="105"/>
      <c r="DL223" s="98"/>
      <c r="DM223" s="279"/>
      <c r="DN223" s="52"/>
      <c r="DO223" s="105"/>
      <c r="DP223" s="98"/>
      <c r="DQ223" s="279"/>
      <c r="DR223" s="52"/>
      <c r="DS223" s="105"/>
      <c r="DT223" s="98"/>
      <c r="DU223" s="279"/>
      <c r="DV223" s="52"/>
      <c r="DW223" s="105"/>
      <c r="DX223" s="98"/>
      <c r="DY223" s="279"/>
      <c r="DZ223" s="52"/>
      <c r="EA223" s="105"/>
      <c r="EB223" s="98"/>
      <c r="EC223" s="279"/>
      <c r="ED223" s="52"/>
      <c r="EE223" s="105"/>
      <c r="EF223" s="98"/>
      <c r="EG223" s="159"/>
      <c r="EH223" s="277"/>
      <c r="EI223" s="50">
        <f t="shared" si="102"/>
        <v>0</v>
      </c>
      <c r="EJ223" s="103">
        <f t="shared" si="103"/>
        <v>0</v>
      </c>
      <c r="EK223" s="164">
        <f t="shared" si="104"/>
        <v>0</v>
      </c>
      <c r="EL223" s="280">
        <f t="shared" si="105"/>
        <v>0</v>
      </c>
      <c r="EM223" s="63">
        <f t="shared" si="106"/>
        <v>0</v>
      </c>
      <c r="EN223" s="359">
        <f t="shared" si="107"/>
        <v>0</v>
      </c>
      <c r="EO223" s="51">
        <f t="shared" si="108"/>
        <v>263</v>
      </c>
      <c r="EP223" s="361">
        <f t="shared" si="109"/>
        <v>297</v>
      </c>
      <c r="EQ223" s="281"/>
      <c r="ER223" s="277"/>
      <c r="ES223" s="281"/>
      <c r="ET223" s="277"/>
      <c r="EU223" s="281"/>
      <c r="EV223" s="277"/>
      <c r="EW223" s="281"/>
      <c r="EX223" s="277"/>
      <c r="EY223" s="281"/>
      <c r="EZ223" s="277"/>
      <c r="FA223" s="281"/>
      <c r="FB223" s="277"/>
      <c r="FC223" s="281"/>
      <c r="FD223" s="277"/>
      <c r="FE223" s="281"/>
      <c r="FF223" s="277"/>
      <c r="FG223" s="281"/>
      <c r="FH223" s="277"/>
      <c r="FI223" s="281"/>
      <c r="FJ223" s="277"/>
      <c r="FK223" s="50">
        <f t="shared" si="110"/>
        <v>0</v>
      </c>
      <c r="FL223" s="63">
        <f t="shared" si="111"/>
        <v>0</v>
      </c>
      <c r="FM223" s="50">
        <f t="shared" si="93"/>
        <v>1466</v>
      </c>
      <c r="FN223" s="360">
        <f t="shared" si="94"/>
        <v>1468</v>
      </c>
      <c r="FO223" s="335"/>
      <c r="FP223" s="279"/>
      <c r="FQ223" s="52"/>
      <c r="FR223" s="296"/>
      <c r="FS223" s="98"/>
      <c r="FT223" s="467"/>
      <c r="FU223" s="52"/>
      <c r="FV223" s="296"/>
      <c r="FW223" s="98"/>
      <c r="FX223" s="467"/>
      <c r="FY223" s="52"/>
      <c r="FZ223" s="296"/>
      <c r="GA223" s="98"/>
      <c r="GB223" s="467"/>
      <c r="GC223" s="52"/>
      <c r="GD223" s="296"/>
      <c r="GE223" s="98"/>
      <c r="GF223" s="467"/>
      <c r="GG223" s="52"/>
      <c r="GH223" s="296"/>
      <c r="GI223" s="98"/>
      <c r="GJ223" s="467"/>
      <c r="GK223" s="52"/>
      <c r="GL223" s="296"/>
      <c r="GM223" s="464"/>
      <c r="GN223" s="467"/>
      <c r="GO223" s="52"/>
      <c r="GP223" s="296"/>
      <c r="GQ223" s="464"/>
      <c r="GR223" s="467"/>
      <c r="GS223" s="52"/>
      <c r="GT223" s="296"/>
      <c r="GU223" s="464"/>
      <c r="GV223" s="467"/>
      <c r="GW223" s="52"/>
      <c r="GX223" s="296"/>
      <c r="GY223" s="464"/>
      <c r="GZ223" s="467"/>
      <c r="HA223" s="52"/>
      <c r="HB223" s="296"/>
      <c r="HC223" s="335"/>
    </row>
    <row r="224" spans="1:211" s="396" customFormat="1">
      <c r="A224" s="491" t="s">
        <v>759</v>
      </c>
      <c r="B224" s="326" t="s">
        <v>770</v>
      </c>
      <c r="C224" s="325">
        <v>159966</v>
      </c>
      <c r="D224" s="349">
        <v>4</v>
      </c>
      <c r="E224" s="460"/>
      <c r="F224" s="492"/>
      <c r="G224" s="158"/>
      <c r="H224" s="277"/>
      <c r="I224" s="158">
        <v>146</v>
      </c>
      <c r="J224" s="493">
        <v>175</v>
      </c>
      <c r="K224" s="160">
        <f t="shared" si="95"/>
        <v>0.19783197831978319</v>
      </c>
      <c r="L224" s="161">
        <f t="shared" si="88"/>
        <v>0.2032520325203252</v>
      </c>
      <c r="M224" s="54">
        <v>738</v>
      </c>
      <c r="N224" s="55">
        <v>56</v>
      </c>
      <c r="O224" s="55"/>
      <c r="P224" s="55"/>
      <c r="Q224" s="162">
        <f t="shared" si="96"/>
        <v>56</v>
      </c>
      <c r="R224" s="494">
        <v>861</v>
      </c>
      <c r="S224" s="590">
        <v>73</v>
      </c>
      <c r="T224" s="277"/>
      <c r="U224" s="277"/>
      <c r="V224" s="97">
        <f t="shared" si="97"/>
        <v>73</v>
      </c>
      <c r="W224" s="279"/>
      <c r="X224" s="52"/>
      <c r="Y224" s="99"/>
      <c r="Z224" s="53"/>
      <c r="AA224" s="228"/>
      <c r="AB224" s="52"/>
      <c r="AC224" s="99"/>
      <c r="AD224" s="53"/>
      <c r="AE224" s="228"/>
      <c r="AF224" s="52"/>
      <c r="AG224" s="99"/>
      <c r="AH224" s="53"/>
      <c r="AI224" s="228"/>
      <c r="AJ224" s="52"/>
      <c r="AK224" s="99"/>
      <c r="AL224" s="53"/>
      <c r="AM224" s="228"/>
      <c r="AN224" s="52"/>
      <c r="AO224" s="99"/>
      <c r="AP224" s="53"/>
      <c r="AQ224" s="50">
        <f t="shared" si="89"/>
        <v>0</v>
      </c>
      <c r="AR224" s="163">
        <f t="shared" si="90"/>
        <v>0.69886363636363635</v>
      </c>
      <c r="AS224" s="97">
        <f t="shared" si="91"/>
        <v>0</v>
      </c>
      <c r="AT224" s="278">
        <f t="shared" si="92"/>
        <v>0.75</v>
      </c>
      <c r="AU224" s="55"/>
      <c r="AV224" s="277"/>
      <c r="AW224" s="279">
        <v>13</v>
      </c>
      <c r="AX224" s="52">
        <v>118</v>
      </c>
      <c r="AY224" s="591" t="s">
        <v>343</v>
      </c>
      <c r="AZ224" s="592">
        <v>51</v>
      </c>
      <c r="BA224" s="279">
        <v>52</v>
      </c>
      <c r="BB224" s="52">
        <v>29</v>
      </c>
      <c r="BC224" s="593" t="s">
        <v>731</v>
      </c>
      <c r="BD224" s="594">
        <v>38</v>
      </c>
      <c r="BE224" s="279">
        <v>42</v>
      </c>
      <c r="BF224" s="52">
        <v>16</v>
      </c>
      <c r="BG224" s="595" t="s">
        <v>737</v>
      </c>
      <c r="BH224" s="596">
        <v>17</v>
      </c>
      <c r="BI224" s="279">
        <v>26</v>
      </c>
      <c r="BJ224" s="52">
        <v>5</v>
      </c>
      <c r="BK224" s="597" t="s">
        <v>740</v>
      </c>
      <c r="BL224" s="598">
        <v>4</v>
      </c>
      <c r="BM224" s="279">
        <v>27</v>
      </c>
      <c r="BN224" s="52">
        <v>4</v>
      </c>
      <c r="BO224" s="599" t="s">
        <v>738</v>
      </c>
      <c r="BP224" s="600">
        <v>2</v>
      </c>
      <c r="BQ224" s="279"/>
      <c r="BR224" s="52"/>
      <c r="BS224" s="601"/>
      <c r="BT224" s="642"/>
      <c r="BU224" s="279"/>
      <c r="BV224" s="52"/>
      <c r="BW224" s="603"/>
      <c r="BX224" s="638"/>
      <c r="BY224" s="279"/>
      <c r="BZ224" s="52"/>
      <c r="CA224" s="605"/>
      <c r="CB224" s="639"/>
      <c r="CC224" s="279"/>
      <c r="CD224" s="52"/>
      <c r="CE224" s="607"/>
      <c r="CF224" s="640"/>
      <c r="CG224" s="279"/>
      <c r="CH224" s="52"/>
      <c r="CI224" s="609"/>
      <c r="CJ224" s="641"/>
      <c r="CK224" s="281"/>
      <c r="CL224" s="277"/>
      <c r="CM224" s="159"/>
      <c r="CN224" s="277"/>
      <c r="CO224" s="50">
        <f t="shared" si="98"/>
        <v>172</v>
      </c>
      <c r="CP224" s="103">
        <f t="shared" si="99"/>
        <v>5</v>
      </c>
      <c r="CQ224" s="280">
        <f t="shared" si="100"/>
        <v>112</v>
      </c>
      <c r="CR224" s="63">
        <f t="shared" si="101"/>
        <v>5</v>
      </c>
      <c r="CS224" s="279"/>
      <c r="CT224" s="52"/>
      <c r="CU224" s="105"/>
      <c r="CV224" s="98"/>
      <c r="CW224" s="279"/>
      <c r="CX224" s="52"/>
      <c r="CY224" s="105"/>
      <c r="CZ224" s="98"/>
      <c r="DA224" s="279"/>
      <c r="DB224" s="52"/>
      <c r="DC224" s="105"/>
      <c r="DD224" s="98"/>
      <c r="DE224" s="279"/>
      <c r="DF224" s="52"/>
      <c r="DG224" s="105"/>
      <c r="DH224" s="98"/>
      <c r="DI224" s="279"/>
      <c r="DJ224" s="52"/>
      <c r="DK224" s="105"/>
      <c r="DL224" s="98"/>
      <c r="DM224" s="279"/>
      <c r="DN224" s="52"/>
      <c r="DO224" s="105"/>
      <c r="DP224" s="98"/>
      <c r="DQ224" s="279"/>
      <c r="DR224" s="52"/>
      <c r="DS224" s="105"/>
      <c r="DT224" s="98"/>
      <c r="DU224" s="279"/>
      <c r="DV224" s="52"/>
      <c r="DW224" s="105"/>
      <c r="DX224" s="98"/>
      <c r="DY224" s="279"/>
      <c r="DZ224" s="52"/>
      <c r="EA224" s="105"/>
      <c r="EB224" s="98"/>
      <c r="EC224" s="279"/>
      <c r="ED224" s="52"/>
      <c r="EE224" s="105"/>
      <c r="EF224" s="98"/>
      <c r="EG224" s="159"/>
      <c r="EH224" s="277"/>
      <c r="EI224" s="50">
        <f t="shared" si="102"/>
        <v>0</v>
      </c>
      <c r="EJ224" s="103">
        <f t="shared" si="103"/>
        <v>0</v>
      </c>
      <c r="EK224" s="164">
        <f t="shared" si="104"/>
        <v>0</v>
      </c>
      <c r="EL224" s="280">
        <f t="shared" si="105"/>
        <v>0</v>
      </c>
      <c r="EM224" s="63">
        <f t="shared" si="106"/>
        <v>0</v>
      </c>
      <c r="EN224" s="359">
        <f t="shared" si="107"/>
        <v>0</v>
      </c>
      <c r="EO224" s="51">
        <f t="shared" si="108"/>
        <v>172</v>
      </c>
      <c r="EP224" s="361">
        <f t="shared" si="109"/>
        <v>112</v>
      </c>
      <c r="EQ224" s="281"/>
      <c r="ER224" s="277"/>
      <c r="ES224" s="281"/>
      <c r="ET224" s="277"/>
      <c r="EU224" s="281"/>
      <c r="EV224" s="277"/>
      <c r="EW224" s="281"/>
      <c r="EX224" s="277"/>
      <c r="EY224" s="281"/>
      <c r="EZ224" s="277"/>
      <c r="FA224" s="281"/>
      <c r="FB224" s="277"/>
      <c r="FC224" s="281"/>
      <c r="FD224" s="277"/>
      <c r="FE224" s="281"/>
      <c r="FF224" s="277"/>
      <c r="FG224" s="281"/>
      <c r="FH224" s="277"/>
      <c r="FI224" s="281"/>
      <c r="FJ224" s="277"/>
      <c r="FK224" s="50">
        <f t="shared" si="110"/>
        <v>0</v>
      </c>
      <c r="FL224" s="63">
        <f t="shared" si="111"/>
        <v>0</v>
      </c>
      <c r="FM224" s="50">
        <f t="shared" si="93"/>
        <v>1056</v>
      </c>
      <c r="FN224" s="360">
        <f t="shared" si="94"/>
        <v>1148</v>
      </c>
      <c r="FO224" s="335"/>
      <c r="FP224" s="279"/>
      <c r="FQ224" s="52"/>
      <c r="FR224" s="296"/>
      <c r="FS224" s="98"/>
      <c r="FT224" s="467"/>
      <c r="FU224" s="52"/>
      <c r="FV224" s="296"/>
      <c r="FW224" s="98"/>
      <c r="FX224" s="467"/>
      <c r="FY224" s="52"/>
      <c r="FZ224" s="296"/>
      <c r="GA224" s="98"/>
      <c r="GB224" s="467"/>
      <c r="GC224" s="52"/>
      <c r="GD224" s="296"/>
      <c r="GE224" s="98"/>
      <c r="GF224" s="467"/>
      <c r="GG224" s="52"/>
      <c r="GH224" s="296"/>
      <c r="GI224" s="98"/>
      <c r="GJ224" s="467"/>
      <c r="GK224" s="52"/>
      <c r="GL224" s="296"/>
      <c r="GM224" s="464"/>
      <c r="GN224" s="467"/>
      <c r="GO224" s="52"/>
      <c r="GP224" s="296"/>
      <c r="GQ224" s="464"/>
      <c r="GR224" s="467"/>
      <c r="GS224" s="52"/>
      <c r="GT224" s="296"/>
      <c r="GU224" s="464"/>
      <c r="GV224" s="467"/>
      <c r="GW224" s="52"/>
      <c r="GX224" s="296"/>
      <c r="GY224" s="464"/>
      <c r="GZ224" s="467"/>
      <c r="HA224" s="52"/>
      <c r="HB224" s="296"/>
      <c r="HC224" s="335"/>
    </row>
    <row r="225" spans="1:211" s="396" customFormat="1">
      <c r="A225" s="491" t="s">
        <v>759</v>
      </c>
      <c r="B225" s="326" t="s">
        <v>771</v>
      </c>
      <c r="C225" s="325">
        <v>160038</v>
      </c>
      <c r="D225" s="349">
        <v>4</v>
      </c>
      <c r="E225" s="460"/>
      <c r="F225" s="492"/>
      <c r="G225" s="158"/>
      <c r="H225" s="277"/>
      <c r="I225" s="158">
        <v>238</v>
      </c>
      <c r="J225" s="493">
        <v>289</v>
      </c>
      <c r="K225" s="160">
        <f t="shared" si="95"/>
        <v>0.21675774134790529</v>
      </c>
      <c r="L225" s="161">
        <f t="shared" si="88"/>
        <v>0.26883720930232557</v>
      </c>
      <c r="M225" s="54">
        <v>1098</v>
      </c>
      <c r="N225" s="55">
        <v>75</v>
      </c>
      <c r="O225" s="55"/>
      <c r="P225" s="55"/>
      <c r="Q225" s="162">
        <f t="shared" si="96"/>
        <v>75</v>
      </c>
      <c r="R225" s="494">
        <v>1075</v>
      </c>
      <c r="S225" s="590">
        <v>86</v>
      </c>
      <c r="T225" s="277"/>
      <c r="U225" s="277"/>
      <c r="V225" s="97">
        <f t="shared" si="97"/>
        <v>86</v>
      </c>
      <c r="W225" s="279"/>
      <c r="X225" s="52"/>
      <c r="Y225" s="99"/>
      <c r="Z225" s="53"/>
      <c r="AA225" s="228"/>
      <c r="AB225" s="52"/>
      <c r="AC225" s="99"/>
      <c r="AD225" s="53"/>
      <c r="AE225" s="228"/>
      <c r="AF225" s="52"/>
      <c r="AG225" s="99"/>
      <c r="AH225" s="53"/>
      <c r="AI225" s="228"/>
      <c r="AJ225" s="52"/>
      <c r="AK225" s="99"/>
      <c r="AL225" s="53"/>
      <c r="AM225" s="228"/>
      <c r="AN225" s="52"/>
      <c r="AO225" s="99"/>
      <c r="AP225" s="53"/>
      <c r="AQ225" s="50">
        <f t="shared" si="89"/>
        <v>0</v>
      </c>
      <c r="AR225" s="163">
        <f t="shared" si="90"/>
        <v>0.67694204685573367</v>
      </c>
      <c r="AS225" s="97">
        <f t="shared" si="91"/>
        <v>0</v>
      </c>
      <c r="AT225" s="278">
        <f t="shared" si="92"/>
        <v>0.66604708798017354</v>
      </c>
      <c r="AU225" s="55"/>
      <c r="AV225" s="277"/>
      <c r="AW225" s="279">
        <v>13</v>
      </c>
      <c r="AX225" s="52">
        <v>200</v>
      </c>
      <c r="AY225" s="591" t="s">
        <v>343</v>
      </c>
      <c r="AZ225" s="592">
        <v>153</v>
      </c>
      <c r="BA225" s="279">
        <v>51</v>
      </c>
      <c r="BB225" s="52">
        <v>39</v>
      </c>
      <c r="BC225" s="593" t="s">
        <v>733</v>
      </c>
      <c r="BD225" s="594">
        <v>46</v>
      </c>
      <c r="BE225" s="279">
        <v>50</v>
      </c>
      <c r="BF225" s="52">
        <v>14</v>
      </c>
      <c r="BG225" s="595" t="s">
        <v>730</v>
      </c>
      <c r="BH225" s="596">
        <v>16</v>
      </c>
      <c r="BI225" s="279">
        <v>23</v>
      </c>
      <c r="BJ225" s="52">
        <v>11</v>
      </c>
      <c r="BK225" s="597" t="s">
        <v>743</v>
      </c>
      <c r="BL225" s="598">
        <v>13</v>
      </c>
      <c r="BM225" s="279">
        <v>42</v>
      </c>
      <c r="BN225" s="52">
        <v>9</v>
      </c>
      <c r="BO225" s="599" t="s">
        <v>736</v>
      </c>
      <c r="BP225" s="600">
        <v>10</v>
      </c>
      <c r="BQ225" s="279">
        <v>31</v>
      </c>
      <c r="BR225" s="52">
        <v>8</v>
      </c>
      <c r="BS225" s="601" t="s">
        <v>737</v>
      </c>
      <c r="BT225" s="602">
        <v>7</v>
      </c>
      <c r="BU225" s="279">
        <v>30</v>
      </c>
      <c r="BV225" s="52">
        <v>5</v>
      </c>
      <c r="BW225" s="603" t="s">
        <v>748</v>
      </c>
      <c r="BX225" s="604">
        <v>5</v>
      </c>
      <c r="BY225" s="279"/>
      <c r="BZ225" s="52"/>
      <c r="CA225" s="605"/>
      <c r="CB225" s="639"/>
      <c r="CC225" s="279"/>
      <c r="CD225" s="52"/>
      <c r="CE225" s="607"/>
      <c r="CF225" s="640"/>
      <c r="CG225" s="279"/>
      <c r="CH225" s="52"/>
      <c r="CI225" s="609"/>
      <c r="CJ225" s="641"/>
      <c r="CK225" s="281"/>
      <c r="CL225" s="277"/>
      <c r="CM225" s="159"/>
      <c r="CN225" s="277"/>
      <c r="CO225" s="50">
        <f t="shared" si="98"/>
        <v>286</v>
      </c>
      <c r="CP225" s="103">
        <f t="shared" si="99"/>
        <v>7</v>
      </c>
      <c r="CQ225" s="280">
        <f t="shared" si="100"/>
        <v>250</v>
      </c>
      <c r="CR225" s="63">
        <f t="shared" si="101"/>
        <v>7</v>
      </c>
      <c r="CS225" s="279"/>
      <c r="CT225" s="52"/>
      <c r="CU225" s="105"/>
      <c r="CV225" s="98"/>
      <c r="CW225" s="279"/>
      <c r="CX225" s="52"/>
      <c r="CY225" s="105"/>
      <c r="CZ225" s="98"/>
      <c r="DA225" s="279"/>
      <c r="DB225" s="52"/>
      <c r="DC225" s="105"/>
      <c r="DD225" s="98"/>
      <c r="DE225" s="279"/>
      <c r="DF225" s="52"/>
      <c r="DG225" s="105"/>
      <c r="DH225" s="98"/>
      <c r="DI225" s="279"/>
      <c r="DJ225" s="52"/>
      <c r="DK225" s="105"/>
      <c r="DL225" s="98"/>
      <c r="DM225" s="279"/>
      <c r="DN225" s="52"/>
      <c r="DO225" s="105"/>
      <c r="DP225" s="98"/>
      <c r="DQ225" s="279"/>
      <c r="DR225" s="52"/>
      <c r="DS225" s="105"/>
      <c r="DT225" s="98"/>
      <c r="DU225" s="279"/>
      <c r="DV225" s="52"/>
      <c r="DW225" s="105"/>
      <c r="DX225" s="98"/>
      <c r="DY225" s="279"/>
      <c r="DZ225" s="52"/>
      <c r="EA225" s="105"/>
      <c r="EB225" s="98"/>
      <c r="EC225" s="279"/>
      <c r="ED225" s="52"/>
      <c r="EE225" s="105"/>
      <c r="EF225" s="98"/>
      <c r="EG225" s="159"/>
      <c r="EH225" s="277"/>
      <c r="EI225" s="50">
        <f t="shared" si="102"/>
        <v>0</v>
      </c>
      <c r="EJ225" s="103">
        <f t="shared" si="103"/>
        <v>0</v>
      </c>
      <c r="EK225" s="164">
        <f t="shared" si="104"/>
        <v>0</v>
      </c>
      <c r="EL225" s="280">
        <f t="shared" si="105"/>
        <v>0</v>
      </c>
      <c r="EM225" s="63">
        <f t="shared" si="106"/>
        <v>0</v>
      </c>
      <c r="EN225" s="359">
        <f t="shared" si="107"/>
        <v>0</v>
      </c>
      <c r="EO225" s="51">
        <f t="shared" si="108"/>
        <v>286</v>
      </c>
      <c r="EP225" s="361">
        <f t="shared" si="109"/>
        <v>250</v>
      </c>
      <c r="EQ225" s="281"/>
      <c r="ER225" s="277"/>
      <c r="ES225" s="281"/>
      <c r="ET225" s="277"/>
      <c r="EU225" s="281"/>
      <c r="EV225" s="277"/>
      <c r="EW225" s="281"/>
      <c r="EX225" s="277"/>
      <c r="EY225" s="281"/>
      <c r="EZ225" s="277"/>
      <c r="FA225" s="281"/>
      <c r="FB225" s="277"/>
      <c r="FC225" s="281"/>
      <c r="FD225" s="277"/>
      <c r="FE225" s="281"/>
      <c r="FF225" s="277"/>
      <c r="FG225" s="281"/>
      <c r="FH225" s="277"/>
      <c r="FI225" s="281"/>
      <c r="FJ225" s="277"/>
      <c r="FK225" s="50">
        <f t="shared" si="110"/>
        <v>0</v>
      </c>
      <c r="FL225" s="63">
        <f t="shared" si="111"/>
        <v>0</v>
      </c>
      <c r="FM225" s="50">
        <f t="shared" si="93"/>
        <v>1622</v>
      </c>
      <c r="FN225" s="360">
        <f t="shared" si="94"/>
        <v>1614</v>
      </c>
      <c r="FO225" s="335"/>
      <c r="FP225" s="279"/>
      <c r="FQ225" s="52"/>
      <c r="FR225" s="296"/>
      <c r="FS225" s="98"/>
      <c r="FT225" s="467"/>
      <c r="FU225" s="52"/>
      <c r="FV225" s="296"/>
      <c r="FW225" s="98"/>
      <c r="FX225" s="467"/>
      <c r="FY225" s="52"/>
      <c r="FZ225" s="296"/>
      <c r="GA225" s="98"/>
      <c r="GB225" s="467"/>
      <c r="GC225" s="52"/>
      <c r="GD225" s="296"/>
      <c r="GE225" s="98"/>
      <c r="GF225" s="467"/>
      <c r="GG225" s="52"/>
      <c r="GH225" s="296"/>
      <c r="GI225" s="98"/>
      <c r="GJ225" s="467"/>
      <c r="GK225" s="52"/>
      <c r="GL225" s="296"/>
      <c r="GM225" s="464"/>
      <c r="GN225" s="467"/>
      <c r="GO225" s="52"/>
      <c r="GP225" s="296"/>
      <c r="GQ225" s="464"/>
      <c r="GR225" s="467"/>
      <c r="GS225" s="52"/>
      <c r="GT225" s="296"/>
      <c r="GU225" s="464"/>
      <c r="GV225" s="467"/>
      <c r="GW225" s="52"/>
      <c r="GX225" s="296"/>
      <c r="GY225" s="464"/>
      <c r="GZ225" s="467"/>
      <c r="HA225" s="52"/>
      <c r="HB225" s="296"/>
      <c r="HC225" s="335"/>
    </row>
    <row r="226" spans="1:211" s="396" customFormat="1">
      <c r="A226" s="491" t="s">
        <v>759</v>
      </c>
      <c r="B226" s="495" t="s">
        <v>772</v>
      </c>
      <c r="C226" s="496">
        <v>160630</v>
      </c>
      <c r="D226" s="497">
        <v>4</v>
      </c>
      <c r="E226" s="460"/>
      <c r="F226" s="492"/>
      <c r="G226" s="158"/>
      <c r="H226" s="277"/>
      <c r="I226" s="158">
        <v>16</v>
      </c>
      <c r="J226" s="588">
        <v>11</v>
      </c>
      <c r="K226" s="160">
        <f t="shared" si="95"/>
        <v>6.9868995633187769E-2</v>
      </c>
      <c r="L226" s="161">
        <f t="shared" si="88"/>
        <v>4.8245614035087717E-2</v>
      </c>
      <c r="M226" s="54">
        <v>229</v>
      </c>
      <c r="N226" s="55">
        <v>5</v>
      </c>
      <c r="O226" s="55"/>
      <c r="P226" s="55"/>
      <c r="Q226" s="162">
        <f t="shared" si="96"/>
        <v>5</v>
      </c>
      <c r="R226" s="494">
        <v>228</v>
      </c>
      <c r="S226" s="590">
        <v>11</v>
      </c>
      <c r="T226" s="277"/>
      <c r="U226" s="277"/>
      <c r="V226" s="97">
        <f t="shared" si="97"/>
        <v>11</v>
      </c>
      <c r="W226" s="279"/>
      <c r="X226" s="52"/>
      <c r="Y226" s="99"/>
      <c r="Z226" s="53"/>
      <c r="AA226" s="228"/>
      <c r="AB226" s="52"/>
      <c r="AC226" s="99"/>
      <c r="AD226" s="53"/>
      <c r="AE226" s="228"/>
      <c r="AF226" s="52"/>
      <c r="AG226" s="99"/>
      <c r="AH226" s="53"/>
      <c r="AI226" s="228"/>
      <c r="AJ226" s="52"/>
      <c r="AK226" s="99"/>
      <c r="AL226" s="53"/>
      <c r="AM226" s="228"/>
      <c r="AN226" s="52"/>
      <c r="AO226" s="99"/>
      <c r="AP226" s="53"/>
      <c r="AQ226" s="50">
        <f t="shared" si="89"/>
        <v>0</v>
      </c>
      <c r="AR226" s="163">
        <f t="shared" si="90"/>
        <v>0.59020618556701032</v>
      </c>
      <c r="AS226" s="97">
        <f t="shared" si="91"/>
        <v>0</v>
      </c>
      <c r="AT226" s="278">
        <f t="shared" si="92"/>
        <v>0.58914728682170547</v>
      </c>
      <c r="AU226" s="55"/>
      <c r="AV226" s="277"/>
      <c r="AW226" s="279">
        <v>44</v>
      </c>
      <c r="AX226" s="52">
        <v>88</v>
      </c>
      <c r="AY226" s="591" t="s">
        <v>729</v>
      </c>
      <c r="AZ226" s="592">
        <v>90</v>
      </c>
      <c r="BA226" s="279">
        <v>43</v>
      </c>
      <c r="BB226" s="52">
        <v>33</v>
      </c>
      <c r="BC226" s="593" t="s">
        <v>750</v>
      </c>
      <c r="BD226" s="594">
        <v>30</v>
      </c>
      <c r="BE226" s="279">
        <v>13</v>
      </c>
      <c r="BF226" s="52">
        <v>14</v>
      </c>
      <c r="BG226" s="595" t="s">
        <v>343</v>
      </c>
      <c r="BH226" s="596">
        <v>10</v>
      </c>
      <c r="BI226" s="279">
        <v>30</v>
      </c>
      <c r="BJ226" s="52">
        <v>5</v>
      </c>
      <c r="BK226" s="597" t="s">
        <v>748</v>
      </c>
      <c r="BL226" s="598">
        <v>7</v>
      </c>
      <c r="BM226" s="279">
        <v>11</v>
      </c>
      <c r="BN226" s="52">
        <v>3</v>
      </c>
      <c r="BO226" s="599" t="s">
        <v>731</v>
      </c>
      <c r="BP226" s="600">
        <v>7</v>
      </c>
      <c r="BQ226" s="279"/>
      <c r="BR226" s="52"/>
      <c r="BS226" s="601" t="s">
        <v>747</v>
      </c>
      <c r="BT226" s="602">
        <v>4</v>
      </c>
      <c r="BU226" s="279"/>
      <c r="BV226" s="52"/>
      <c r="BW226" s="603"/>
      <c r="BX226" s="638"/>
      <c r="BY226" s="279"/>
      <c r="BZ226" s="52"/>
      <c r="CA226" s="605"/>
      <c r="CB226" s="639"/>
      <c r="CC226" s="279"/>
      <c r="CD226" s="52"/>
      <c r="CE226" s="607"/>
      <c r="CF226" s="640"/>
      <c r="CG226" s="279"/>
      <c r="CH226" s="52"/>
      <c r="CI226" s="609"/>
      <c r="CJ226" s="641"/>
      <c r="CK226" s="281"/>
      <c r="CL226" s="277"/>
      <c r="CM226" s="159"/>
      <c r="CN226" s="277"/>
      <c r="CO226" s="50">
        <f t="shared" si="98"/>
        <v>143</v>
      </c>
      <c r="CP226" s="103">
        <f t="shared" si="99"/>
        <v>5</v>
      </c>
      <c r="CQ226" s="280">
        <f t="shared" si="100"/>
        <v>148</v>
      </c>
      <c r="CR226" s="63">
        <f t="shared" si="101"/>
        <v>6</v>
      </c>
      <c r="CS226" s="279"/>
      <c r="CT226" s="52"/>
      <c r="CU226" s="105"/>
      <c r="CV226" s="98"/>
      <c r="CW226" s="279"/>
      <c r="CX226" s="52"/>
      <c r="CY226" s="105"/>
      <c r="CZ226" s="98"/>
      <c r="DA226" s="279"/>
      <c r="DB226" s="52"/>
      <c r="DC226" s="105"/>
      <c r="DD226" s="98"/>
      <c r="DE226" s="279"/>
      <c r="DF226" s="52"/>
      <c r="DG226" s="105"/>
      <c r="DH226" s="98"/>
      <c r="DI226" s="279"/>
      <c r="DJ226" s="52"/>
      <c r="DK226" s="105"/>
      <c r="DL226" s="98"/>
      <c r="DM226" s="279"/>
      <c r="DN226" s="52"/>
      <c r="DO226" s="105"/>
      <c r="DP226" s="98"/>
      <c r="DQ226" s="279"/>
      <c r="DR226" s="52"/>
      <c r="DS226" s="105"/>
      <c r="DT226" s="98"/>
      <c r="DU226" s="279"/>
      <c r="DV226" s="52"/>
      <c r="DW226" s="105"/>
      <c r="DX226" s="98"/>
      <c r="DY226" s="279"/>
      <c r="DZ226" s="52"/>
      <c r="EA226" s="105"/>
      <c r="EB226" s="98"/>
      <c r="EC226" s="279"/>
      <c r="ED226" s="52"/>
      <c r="EE226" s="105"/>
      <c r="EF226" s="98"/>
      <c r="EG226" s="159"/>
      <c r="EH226" s="277"/>
      <c r="EI226" s="50">
        <f t="shared" si="102"/>
        <v>0</v>
      </c>
      <c r="EJ226" s="103">
        <f t="shared" si="103"/>
        <v>0</v>
      </c>
      <c r="EK226" s="164">
        <f t="shared" si="104"/>
        <v>0</v>
      </c>
      <c r="EL226" s="280">
        <f t="shared" si="105"/>
        <v>0</v>
      </c>
      <c r="EM226" s="63">
        <f t="shared" si="106"/>
        <v>0</v>
      </c>
      <c r="EN226" s="359">
        <f t="shared" si="107"/>
        <v>0</v>
      </c>
      <c r="EO226" s="51">
        <f t="shared" si="108"/>
        <v>143</v>
      </c>
      <c r="EP226" s="361">
        <f t="shared" si="109"/>
        <v>148</v>
      </c>
      <c r="EQ226" s="281"/>
      <c r="ER226" s="277"/>
      <c r="ES226" s="281"/>
      <c r="ET226" s="277"/>
      <c r="EU226" s="281"/>
      <c r="EV226" s="277"/>
      <c r="EW226" s="281"/>
      <c r="EX226" s="277"/>
      <c r="EY226" s="281"/>
      <c r="EZ226" s="277"/>
      <c r="FA226" s="281"/>
      <c r="FB226" s="277"/>
      <c r="FC226" s="281"/>
      <c r="FD226" s="277"/>
      <c r="FE226" s="281"/>
      <c r="FF226" s="277"/>
      <c r="FG226" s="281"/>
      <c r="FH226" s="277"/>
      <c r="FI226" s="281"/>
      <c r="FJ226" s="277"/>
      <c r="FK226" s="50">
        <f t="shared" si="110"/>
        <v>0</v>
      </c>
      <c r="FL226" s="63">
        <f t="shared" si="111"/>
        <v>0</v>
      </c>
      <c r="FM226" s="50">
        <f t="shared" si="93"/>
        <v>388</v>
      </c>
      <c r="FN226" s="360">
        <f t="shared" si="94"/>
        <v>387</v>
      </c>
      <c r="FO226" s="335"/>
      <c r="FP226" s="279"/>
      <c r="FQ226" s="52"/>
      <c r="FR226" s="296"/>
      <c r="FS226" s="98"/>
      <c r="FT226" s="467"/>
      <c r="FU226" s="52"/>
      <c r="FV226" s="296"/>
      <c r="FW226" s="98"/>
      <c r="FX226" s="467"/>
      <c r="FY226" s="52"/>
      <c r="FZ226" s="296"/>
      <c r="GA226" s="98"/>
      <c r="GB226" s="467"/>
      <c r="GC226" s="52"/>
      <c r="GD226" s="296"/>
      <c r="GE226" s="98"/>
      <c r="GF226" s="467"/>
      <c r="GG226" s="52"/>
      <c r="GH226" s="296"/>
      <c r="GI226" s="98"/>
      <c r="GJ226" s="467"/>
      <c r="GK226" s="52"/>
      <c r="GL226" s="296"/>
      <c r="GM226" s="464"/>
      <c r="GN226" s="467"/>
      <c r="GO226" s="52"/>
      <c r="GP226" s="296"/>
      <c r="GQ226" s="464"/>
      <c r="GR226" s="467"/>
      <c r="GS226" s="52"/>
      <c r="GT226" s="296"/>
      <c r="GU226" s="464"/>
      <c r="GV226" s="467"/>
      <c r="GW226" s="52"/>
      <c r="GX226" s="296"/>
      <c r="GY226" s="464"/>
      <c r="GZ226" s="467"/>
      <c r="HA226" s="52"/>
      <c r="HB226" s="296"/>
      <c r="HC226" s="335"/>
    </row>
    <row r="227" spans="1:211" s="396" customFormat="1">
      <c r="A227" s="491" t="s">
        <v>759</v>
      </c>
      <c r="B227" s="326" t="s">
        <v>773</v>
      </c>
      <c r="C227" s="325">
        <v>159382</v>
      </c>
      <c r="D227" s="349">
        <v>7</v>
      </c>
      <c r="E227" s="460">
        <v>8</v>
      </c>
      <c r="F227" s="492">
        <v>11</v>
      </c>
      <c r="G227" s="158"/>
      <c r="H227" s="277"/>
      <c r="I227" s="158">
        <v>156</v>
      </c>
      <c r="J227" s="588">
        <v>151</v>
      </c>
      <c r="K227" s="160">
        <f t="shared" si="95"/>
        <v>1.1908396946564885</v>
      </c>
      <c r="L227" s="161">
        <f t="shared" si="88"/>
        <v>0.90963855421686746</v>
      </c>
      <c r="M227" s="54">
        <v>131</v>
      </c>
      <c r="N227" s="55">
        <v>22</v>
      </c>
      <c r="O227" s="55"/>
      <c r="P227" s="55"/>
      <c r="Q227" s="162">
        <f t="shared" si="96"/>
        <v>22</v>
      </c>
      <c r="R227" s="494">
        <v>166</v>
      </c>
      <c r="S227" s="590">
        <v>21</v>
      </c>
      <c r="T227" s="277"/>
      <c r="U227" s="277"/>
      <c r="V227" s="97">
        <f t="shared" si="97"/>
        <v>21</v>
      </c>
      <c r="W227" s="279" t="s">
        <v>96</v>
      </c>
      <c r="X227" s="52">
        <v>82</v>
      </c>
      <c r="Y227" s="643" t="s">
        <v>96</v>
      </c>
      <c r="Z227" s="644">
        <v>91</v>
      </c>
      <c r="AA227" s="228" t="s">
        <v>343</v>
      </c>
      <c r="AB227" s="52">
        <v>22</v>
      </c>
      <c r="AC227" s="645" t="s">
        <v>737</v>
      </c>
      <c r="AD227" s="646">
        <v>27</v>
      </c>
      <c r="AE227" s="228" t="s">
        <v>737</v>
      </c>
      <c r="AF227" s="52">
        <v>20</v>
      </c>
      <c r="AG227" s="647" t="s">
        <v>343</v>
      </c>
      <c r="AH227" s="648">
        <v>21</v>
      </c>
      <c r="AI227" s="228" t="s">
        <v>738</v>
      </c>
      <c r="AJ227" s="52">
        <v>7</v>
      </c>
      <c r="AK227" s="649" t="s">
        <v>731</v>
      </c>
      <c r="AL227" s="650">
        <v>7</v>
      </c>
      <c r="AM227" s="228"/>
      <c r="AN227" s="52"/>
      <c r="AO227" s="651" t="s">
        <v>739</v>
      </c>
      <c r="AP227" s="652">
        <v>6</v>
      </c>
      <c r="AQ227" s="50">
        <f t="shared" si="89"/>
        <v>4</v>
      </c>
      <c r="AR227" s="163">
        <f t="shared" si="90"/>
        <v>0.44406779661016949</v>
      </c>
      <c r="AS227" s="97">
        <f t="shared" si="91"/>
        <v>5</v>
      </c>
      <c r="AT227" s="278">
        <f t="shared" si="92"/>
        <v>0.50609756097560976</v>
      </c>
      <c r="AU227" s="55"/>
      <c r="AV227" s="277"/>
      <c r="AW227" s="279"/>
      <c r="AX227" s="52"/>
      <c r="AY227" s="105"/>
      <c r="AZ227" s="98"/>
      <c r="BA227" s="279"/>
      <c r="BB227" s="52"/>
      <c r="BC227" s="105"/>
      <c r="BD227" s="98"/>
      <c r="BE227" s="279"/>
      <c r="BF227" s="52"/>
      <c r="BG227" s="105"/>
      <c r="BH227" s="98"/>
      <c r="BI227" s="279"/>
      <c r="BJ227" s="52"/>
      <c r="BK227" s="105"/>
      <c r="BL227" s="98"/>
      <c r="BM227" s="279"/>
      <c r="BN227" s="52"/>
      <c r="BO227" s="105"/>
      <c r="BP227" s="98"/>
      <c r="BQ227" s="279"/>
      <c r="BR227" s="52"/>
      <c r="BS227" s="105"/>
      <c r="BT227" s="98"/>
      <c r="BU227" s="279"/>
      <c r="BV227" s="52"/>
      <c r="BW227" s="105"/>
      <c r="BX227" s="98"/>
      <c r="BY227" s="279"/>
      <c r="BZ227" s="52"/>
      <c r="CA227" s="105"/>
      <c r="CB227" s="98"/>
      <c r="CC227" s="279"/>
      <c r="CD227" s="52"/>
      <c r="CE227" s="105"/>
      <c r="CF227" s="98"/>
      <c r="CG227" s="279"/>
      <c r="CH227" s="52"/>
      <c r="CI227" s="105"/>
      <c r="CJ227" s="98"/>
      <c r="CK227" s="281"/>
      <c r="CL227" s="277"/>
      <c r="CM227" s="159"/>
      <c r="CN227" s="277"/>
      <c r="CO227" s="50">
        <f t="shared" si="98"/>
        <v>0</v>
      </c>
      <c r="CP227" s="103">
        <f t="shared" si="99"/>
        <v>0</v>
      </c>
      <c r="CQ227" s="280">
        <f t="shared" si="100"/>
        <v>0</v>
      </c>
      <c r="CR227" s="63">
        <f t="shared" si="101"/>
        <v>0</v>
      </c>
      <c r="CS227" s="279"/>
      <c r="CT227" s="52"/>
      <c r="CU227" s="105"/>
      <c r="CV227" s="98"/>
      <c r="CW227" s="279"/>
      <c r="CX227" s="52"/>
      <c r="CY227" s="105"/>
      <c r="CZ227" s="98"/>
      <c r="DA227" s="279"/>
      <c r="DB227" s="52"/>
      <c r="DC227" s="105"/>
      <c r="DD227" s="98"/>
      <c r="DE227" s="279"/>
      <c r="DF227" s="52"/>
      <c r="DG227" s="105"/>
      <c r="DH227" s="98"/>
      <c r="DI227" s="279"/>
      <c r="DJ227" s="52"/>
      <c r="DK227" s="105"/>
      <c r="DL227" s="98"/>
      <c r="DM227" s="279"/>
      <c r="DN227" s="52"/>
      <c r="DO227" s="105"/>
      <c r="DP227" s="98"/>
      <c r="DQ227" s="279"/>
      <c r="DR227" s="52"/>
      <c r="DS227" s="105"/>
      <c r="DT227" s="98"/>
      <c r="DU227" s="279"/>
      <c r="DV227" s="52"/>
      <c r="DW227" s="105"/>
      <c r="DX227" s="98"/>
      <c r="DY227" s="279"/>
      <c r="DZ227" s="52"/>
      <c r="EA227" s="105"/>
      <c r="EB227" s="98"/>
      <c r="EC227" s="279"/>
      <c r="ED227" s="52"/>
      <c r="EE227" s="105"/>
      <c r="EF227" s="98"/>
      <c r="EG227" s="159"/>
      <c r="EH227" s="277"/>
      <c r="EI227" s="50">
        <f t="shared" si="102"/>
        <v>0</v>
      </c>
      <c r="EJ227" s="103">
        <f t="shared" si="103"/>
        <v>0</v>
      </c>
      <c r="EK227" s="164">
        <f t="shared" si="104"/>
        <v>0</v>
      </c>
      <c r="EL227" s="280">
        <f t="shared" si="105"/>
        <v>0</v>
      </c>
      <c r="EM227" s="63">
        <f t="shared" si="106"/>
        <v>0</v>
      </c>
      <c r="EN227" s="359">
        <f t="shared" si="107"/>
        <v>0</v>
      </c>
      <c r="EO227" s="51">
        <f t="shared" si="108"/>
        <v>0</v>
      </c>
      <c r="EP227" s="361">
        <f t="shared" si="109"/>
        <v>0</v>
      </c>
      <c r="EQ227" s="281"/>
      <c r="ER227" s="277"/>
      <c r="ES227" s="281"/>
      <c r="ET227" s="277"/>
      <c r="EU227" s="281"/>
      <c r="EV227" s="277"/>
      <c r="EW227" s="281"/>
      <c r="EX227" s="277"/>
      <c r="EY227" s="281"/>
      <c r="EZ227" s="277"/>
      <c r="FA227" s="281"/>
      <c r="FB227" s="277"/>
      <c r="FC227" s="281"/>
      <c r="FD227" s="277"/>
      <c r="FE227" s="281"/>
      <c r="FF227" s="277"/>
      <c r="FG227" s="281"/>
      <c r="FH227" s="277"/>
      <c r="FI227" s="281"/>
      <c r="FJ227" s="277"/>
      <c r="FK227" s="50">
        <f t="shared" si="110"/>
        <v>0</v>
      </c>
      <c r="FL227" s="63">
        <f t="shared" si="111"/>
        <v>0</v>
      </c>
      <c r="FM227" s="50">
        <f t="shared" si="93"/>
        <v>295</v>
      </c>
      <c r="FN227" s="360">
        <f t="shared" si="94"/>
        <v>328</v>
      </c>
      <c r="FO227" s="335"/>
      <c r="FP227" s="279"/>
      <c r="FQ227" s="52"/>
      <c r="FR227" s="296"/>
      <c r="FS227" s="98"/>
      <c r="FT227" s="467"/>
      <c r="FU227" s="52"/>
      <c r="FV227" s="296"/>
      <c r="FW227" s="98"/>
      <c r="FX227" s="467"/>
      <c r="FY227" s="52"/>
      <c r="FZ227" s="296"/>
      <c r="GA227" s="98"/>
      <c r="GB227" s="467"/>
      <c r="GC227" s="52"/>
      <c r="GD227" s="296"/>
      <c r="GE227" s="98"/>
      <c r="GF227" s="467"/>
      <c r="GG227" s="52"/>
      <c r="GH227" s="296"/>
      <c r="GI227" s="98"/>
      <c r="GJ227" s="467"/>
      <c r="GK227" s="52"/>
      <c r="GL227" s="296"/>
      <c r="GM227" s="464"/>
      <c r="GN227" s="467"/>
      <c r="GO227" s="52"/>
      <c r="GP227" s="296"/>
      <c r="GQ227" s="464"/>
      <c r="GR227" s="467"/>
      <c r="GS227" s="52"/>
      <c r="GT227" s="296"/>
      <c r="GU227" s="464"/>
      <c r="GV227" s="467"/>
      <c r="GW227" s="52"/>
      <c r="GX227" s="296"/>
      <c r="GY227" s="464"/>
      <c r="GZ227" s="467"/>
      <c r="HA227" s="52"/>
      <c r="HB227" s="296"/>
      <c r="HC227" s="335"/>
    </row>
    <row r="228" spans="1:211" s="396" customFormat="1">
      <c r="A228" s="491" t="s">
        <v>759</v>
      </c>
      <c r="B228" s="326" t="s">
        <v>774</v>
      </c>
      <c r="C228" s="325">
        <v>158662</v>
      </c>
      <c r="D228" s="349">
        <v>8</v>
      </c>
      <c r="E228" s="460">
        <v>222</v>
      </c>
      <c r="F228" s="492">
        <v>251</v>
      </c>
      <c r="G228" s="158"/>
      <c r="H228" s="277"/>
      <c r="I228" s="158">
        <v>841</v>
      </c>
      <c r="J228" s="588">
        <v>881</v>
      </c>
      <c r="K228" s="160">
        <f t="shared" si="95"/>
        <v>0</v>
      </c>
      <c r="L228" s="161">
        <f t="shared" si="88"/>
        <v>0</v>
      </c>
      <c r="M228" s="54"/>
      <c r="N228" s="55"/>
      <c r="O228" s="55"/>
      <c r="P228" s="55"/>
      <c r="Q228" s="162">
        <f t="shared" si="96"/>
        <v>0</v>
      </c>
      <c r="R228" s="494"/>
      <c r="S228" s="277"/>
      <c r="T228" s="277"/>
      <c r="U228" s="277"/>
      <c r="V228" s="97">
        <f t="shared" si="97"/>
        <v>0</v>
      </c>
      <c r="W228" s="279"/>
      <c r="X228" s="52"/>
      <c r="Y228" s="99"/>
      <c r="Z228" s="53"/>
      <c r="AA228" s="228"/>
      <c r="AB228" s="52"/>
      <c r="AC228" s="99"/>
      <c r="AD228" s="53"/>
      <c r="AE228" s="228"/>
      <c r="AF228" s="52"/>
      <c r="AG228" s="99"/>
      <c r="AH228" s="53"/>
      <c r="AI228" s="228"/>
      <c r="AJ228" s="52"/>
      <c r="AK228" s="99"/>
      <c r="AL228" s="53"/>
      <c r="AM228" s="228"/>
      <c r="AN228" s="52"/>
      <c r="AO228" s="99"/>
      <c r="AP228" s="53"/>
      <c r="AQ228" s="50">
        <f t="shared" si="89"/>
        <v>0</v>
      </c>
      <c r="AR228" s="163">
        <f t="shared" si="90"/>
        <v>0</v>
      </c>
      <c r="AS228" s="97">
        <f t="shared" si="91"/>
        <v>0</v>
      </c>
      <c r="AT228" s="278">
        <f t="shared" si="92"/>
        <v>0</v>
      </c>
      <c r="AU228" s="55"/>
      <c r="AV228" s="277"/>
      <c r="AW228" s="279"/>
      <c r="AX228" s="52"/>
      <c r="AY228" s="105"/>
      <c r="AZ228" s="98"/>
      <c r="BA228" s="279"/>
      <c r="BB228" s="52"/>
      <c r="BC228" s="105"/>
      <c r="BD228" s="98"/>
      <c r="BE228" s="279"/>
      <c r="BF228" s="52"/>
      <c r="BG228" s="105"/>
      <c r="BH228" s="98"/>
      <c r="BI228" s="279"/>
      <c r="BJ228" s="52"/>
      <c r="BK228" s="105"/>
      <c r="BL228" s="98"/>
      <c r="BM228" s="279"/>
      <c r="BN228" s="52"/>
      <c r="BO228" s="105"/>
      <c r="BP228" s="98"/>
      <c r="BQ228" s="279"/>
      <c r="BR228" s="52"/>
      <c r="BS228" s="105"/>
      <c r="BT228" s="98"/>
      <c r="BU228" s="279"/>
      <c r="BV228" s="52"/>
      <c r="BW228" s="105"/>
      <c r="BX228" s="98"/>
      <c r="BY228" s="279"/>
      <c r="BZ228" s="52"/>
      <c r="CA228" s="105"/>
      <c r="CB228" s="98"/>
      <c r="CC228" s="279"/>
      <c r="CD228" s="52"/>
      <c r="CE228" s="105"/>
      <c r="CF228" s="98"/>
      <c r="CG228" s="279"/>
      <c r="CH228" s="52"/>
      <c r="CI228" s="105"/>
      <c r="CJ228" s="98"/>
      <c r="CK228" s="281"/>
      <c r="CL228" s="277"/>
      <c r="CM228" s="159"/>
      <c r="CN228" s="277"/>
      <c r="CO228" s="50">
        <f t="shared" si="98"/>
        <v>0</v>
      </c>
      <c r="CP228" s="103">
        <f t="shared" si="99"/>
        <v>0</v>
      </c>
      <c r="CQ228" s="280">
        <f t="shared" si="100"/>
        <v>0</v>
      </c>
      <c r="CR228" s="63">
        <f t="shared" si="101"/>
        <v>0</v>
      </c>
      <c r="CS228" s="279"/>
      <c r="CT228" s="52"/>
      <c r="CU228" s="105"/>
      <c r="CV228" s="98"/>
      <c r="CW228" s="279"/>
      <c r="CX228" s="52"/>
      <c r="CY228" s="105"/>
      <c r="CZ228" s="98"/>
      <c r="DA228" s="279"/>
      <c r="DB228" s="52"/>
      <c r="DC228" s="105"/>
      <c r="DD228" s="98"/>
      <c r="DE228" s="279"/>
      <c r="DF228" s="52"/>
      <c r="DG228" s="105"/>
      <c r="DH228" s="98"/>
      <c r="DI228" s="279"/>
      <c r="DJ228" s="52"/>
      <c r="DK228" s="105"/>
      <c r="DL228" s="98"/>
      <c r="DM228" s="279"/>
      <c r="DN228" s="52"/>
      <c r="DO228" s="105"/>
      <c r="DP228" s="98"/>
      <c r="DQ228" s="279"/>
      <c r="DR228" s="52"/>
      <c r="DS228" s="105"/>
      <c r="DT228" s="98"/>
      <c r="DU228" s="279"/>
      <c r="DV228" s="52"/>
      <c r="DW228" s="105"/>
      <c r="DX228" s="98"/>
      <c r="DY228" s="279"/>
      <c r="DZ228" s="52"/>
      <c r="EA228" s="105"/>
      <c r="EB228" s="98"/>
      <c r="EC228" s="279"/>
      <c r="ED228" s="52"/>
      <c r="EE228" s="105"/>
      <c r="EF228" s="98"/>
      <c r="EG228" s="159"/>
      <c r="EH228" s="277"/>
      <c r="EI228" s="50">
        <f t="shared" si="102"/>
        <v>0</v>
      </c>
      <c r="EJ228" s="103">
        <f t="shared" si="103"/>
        <v>0</v>
      </c>
      <c r="EK228" s="164">
        <f t="shared" si="104"/>
        <v>0</v>
      </c>
      <c r="EL228" s="280">
        <f t="shared" si="105"/>
        <v>0</v>
      </c>
      <c r="EM228" s="63">
        <f t="shared" si="106"/>
        <v>0</v>
      </c>
      <c r="EN228" s="359">
        <f t="shared" si="107"/>
        <v>0</v>
      </c>
      <c r="EO228" s="51">
        <f t="shared" si="108"/>
        <v>0</v>
      </c>
      <c r="EP228" s="361">
        <f t="shared" si="109"/>
        <v>0</v>
      </c>
      <c r="EQ228" s="281"/>
      <c r="ER228" s="277"/>
      <c r="ES228" s="281"/>
      <c r="ET228" s="277"/>
      <c r="EU228" s="281"/>
      <c r="EV228" s="277"/>
      <c r="EW228" s="281"/>
      <c r="EX228" s="277"/>
      <c r="EY228" s="281"/>
      <c r="EZ228" s="277"/>
      <c r="FA228" s="281"/>
      <c r="FB228" s="277"/>
      <c r="FC228" s="281"/>
      <c r="FD228" s="277"/>
      <c r="FE228" s="281"/>
      <c r="FF228" s="277"/>
      <c r="FG228" s="281"/>
      <c r="FH228" s="277"/>
      <c r="FI228" s="281"/>
      <c r="FJ228" s="277"/>
      <c r="FK228" s="50">
        <f t="shared" si="110"/>
        <v>0</v>
      </c>
      <c r="FL228" s="63">
        <f t="shared" si="111"/>
        <v>0</v>
      </c>
      <c r="FM228" s="50">
        <f t="shared" si="93"/>
        <v>1063</v>
      </c>
      <c r="FN228" s="360">
        <f t="shared" si="94"/>
        <v>1132</v>
      </c>
      <c r="FO228" s="335"/>
      <c r="FP228" s="279"/>
      <c r="FQ228" s="52"/>
      <c r="FR228" s="296"/>
      <c r="FS228" s="98"/>
      <c r="FT228" s="467"/>
      <c r="FU228" s="52"/>
      <c r="FV228" s="296"/>
      <c r="FW228" s="98"/>
      <c r="FX228" s="467"/>
      <c r="FY228" s="52"/>
      <c r="FZ228" s="296"/>
      <c r="GA228" s="98"/>
      <c r="GB228" s="467"/>
      <c r="GC228" s="52"/>
      <c r="GD228" s="296"/>
      <c r="GE228" s="98"/>
      <c r="GF228" s="467"/>
      <c r="GG228" s="52"/>
      <c r="GH228" s="296"/>
      <c r="GI228" s="98"/>
      <c r="GJ228" s="467"/>
      <c r="GK228" s="52"/>
      <c r="GL228" s="296"/>
      <c r="GM228" s="464"/>
      <c r="GN228" s="467"/>
      <c r="GO228" s="52"/>
      <c r="GP228" s="296"/>
      <c r="GQ228" s="464"/>
      <c r="GR228" s="467"/>
      <c r="GS228" s="52"/>
      <c r="GT228" s="296"/>
      <c r="GU228" s="464"/>
      <c r="GV228" s="467"/>
      <c r="GW228" s="52"/>
      <c r="GX228" s="296"/>
      <c r="GY228" s="464"/>
      <c r="GZ228" s="467"/>
      <c r="HA228" s="52"/>
      <c r="HB228" s="296"/>
      <c r="HC228" s="335"/>
    </row>
    <row r="229" spans="1:211" s="396" customFormat="1">
      <c r="A229" s="491" t="s">
        <v>759</v>
      </c>
      <c r="B229" s="368" t="s">
        <v>775</v>
      </c>
      <c r="C229" s="325">
        <v>437103</v>
      </c>
      <c r="D229" s="349">
        <v>9</v>
      </c>
      <c r="E229" s="460">
        <v>10</v>
      </c>
      <c r="F229" s="492">
        <v>9</v>
      </c>
      <c r="G229" s="158"/>
      <c r="H229" s="277"/>
      <c r="I229" s="158">
        <v>250</v>
      </c>
      <c r="J229" s="588">
        <v>305</v>
      </c>
      <c r="K229" s="160">
        <f t="shared" si="95"/>
        <v>0</v>
      </c>
      <c r="L229" s="161">
        <f t="shared" si="88"/>
        <v>0</v>
      </c>
      <c r="M229" s="54"/>
      <c r="N229" s="55"/>
      <c r="O229" s="55"/>
      <c r="P229" s="55"/>
      <c r="Q229" s="162">
        <f t="shared" si="96"/>
        <v>0</v>
      </c>
      <c r="R229" s="494"/>
      <c r="S229" s="277"/>
      <c r="T229" s="277"/>
      <c r="U229" s="277"/>
      <c r="V229" s="97">
        <f t="shared" si="97"/>
        <v>0</v>
      </c>
      <c r="W229" s="279"/>
      <c r="X229" s="52"/>
      <c r="Y229" s="99"/>
      <c r="Z229" s="53"/>
      <c r="AA229" s="228"/>
      <c r="AB229" s="52"/>
      <c r="AC229" s="99"/>
      <c r="AD229" s="53"/>
      <c r="AE229" s="228"/>
      <c r="AF229" s="52"/>
      <c r="AG229" s="99"/>
      <c r="AH229" s="53"/>
      <c r="AI229" s="228"/>
      <c r="AJ229" s="52"/>
      <c r="AK229" s="99"/>
      <c r="AL229" s="53"/>
      <c r="AM229" s="228"/>
      <c r="AN229" s="52"/>
      <c r="AO229" s="99"/>
      <c r="AP229" s="53"/>
      <c r="AQ229" s="50">
        <f t="shared" si="89"/>
        <v>0</v>
      </c>
      <c r="AR229" s="163">
        <f t="shared" si="90"/>
        <v>0</v>
      </c>
      <c r="AS229" s="97">
        <f t="shared" si="91"/>
        <v>0</v>
      </c>
      <c r="AT229" s="278">
        <f t="shared" si="92"/>
        <v>0</v>
      </c>
      <c r="AU229" s="55"/>
      <c r="AV229" s="277"/>
      <c r="AW229" s="279"/>
      <c r="AX229" s="52"/>
      <c r="AY229" s="105"/>
      <c r="AZ229" s="98"/>
      <c r="BA229" s="279"/>
      <c r="BB229" s="52"/>
      <c r="BC229" s="105"/>
      <c r="BD229" s="98"/>
      <c r="BE229" s="279"/>
      <c r="BF229" s="52"/>
      <c r="BG229" s="105"/>
      <c r="BH229" s="98"/>
      <c r="BI229" s="279"/>
      <c r="BJ229" s="52"/>
      <c r="BK229" s="105"/>
      <c r="BL229" s="98"/>
      <c r="BM229" s="279"/>
      <c r="BN229" s="52"/>
      <c r="BO229" s="105"/>
      <c r="BP229" s="98"/>
      <c r="BQ229" s="279"/>
      <c r="BR229" s="52"/>
      <c r="BS229" s="105"/>
      <c r="BT229" s="98"/>
      <c r="BU229" s="279"/>
      <c r="BV229" s="52"/>
      <c r="BW229" s="105"/>
      <c r="BX229" s="98"/>
      <c r="BY229" s="279"/>
      <c r="BZ229" s="52"/>
      <c r="CA229" s="105"/>
      <c r="CB229" s="98"/>
      <c r="CC229" s="279"/>
      <c r="CD229" s="52"/>
      <c r="CE229" s="105"/>
      <c r="CF229" s="98"/>
      <c r="CG229" s="279"/>
      <c r="CH229" s="52"/>
      <c r="CI229" s="105"/>
      <c r="CJ229" s="98"/>
      <c r="CK229" s="281"/>
      <c r="CL229" s="277"/>
      <c r="CM229" s="159"/>
      <c r="CN229" s="277"/>
      <c r="CO229" s="50">
        <f t="shared" si="98"/>
        <v>0</v>
      </c>
      <c r="CP229" s="103">
        <f t="shared" si="99"/>
        <v>0</v>
      </c>
      <c r="CQ229" s="280">
        <f t="shared" si="100"/>
        <v>0</v>
      </c>
      <c r="CR229" s="63">
        <f t="shared" si="101"/>
        <v>0</v>
      </c>
      <c r="CS229" s="279"/>
      <c r="CT229" s="52"/>
      <c r="CU229" s="105"/>
      <c r="CV229" s="98"/>
      <c r="CW229" s="279"/>
      <c r="CX229" s="52"/>
      <c r="CY229" s="105"/>
      <c r="CZ229" s="98"/>
      <c r="DA229" s="279"/>
      <c r="DB229" s="52"/>
      <c r="DC229" s="105"/>
      <c r="DD229" s="98"/>
      <c r="DE229" s="279"/>
      <c r="DF229" s="52"/>
      <c r="DG229" s="105"/>
      <c r="DH229" s="98"/>
      <c r="DI229" s="279"/>
      <c r="DJ229" s="52"/>
      <c r="DK229" s="105"/>
      <c r="DL229" s="98"/>
      <c r="DM229" s="279"/>
      <c r="DN229" s="52"/>
      <c r="DO229" s="105"/>
      <c r="DP229" s="98"/>
      <c r="DQ229" s="279"/>
      <c r="DR229" s="52"/>
      <c r="DS229" s="105"/>
      <c r="DT229" s="98"/>
      <c r="DU229" s="279"/>
      <c r="DV229" s="52"/>
      <c r="DW229" s="105"/>
      <c r="DX229" s="98"/>
      <c r="DY229" s="279"/>
      <c r="DZ229" s="52"/>
      <c r="EA229" s="105"/>
      <c r="EB229" s="98"/>
      <c r="EC229" s="279"/>
      <c r="ED229" s="52"/>
      <c r="EE229" s="105"/>
      <c r="EF229" s="98"/>
      <c r="EG229" s="159"/>
      <c r="EH229" s="277"/>
      <c r="EI229" s="50">
        <f t="shared" si="102"/>
        <v>0</v>
      </c>
      <c r="EJ229" s="103">
        <f t="shared" si="103"/>
        <v>0</v>
      </c>
      <c r="EK229" s="164">
        <f t="shared" si="104"/>
        <v>0</v>
      </c>
      <c r="EL229" s="280">
        <f t="shared" si="105"/>
        <v>0</v>
      </c>
      <c r="EM229" s="63">
        <f t="shared" si="106"/>
        <v>0</v>
      </c>
      <c r="EN229" s="359">
        <f t="shared" si="107"/>
        <v>0</v>
      </c>
      <c r="EO229" s="51">
        <f t="shared" si="108"/>
        <v>0</v>
      </c>
      <c r="EP229" s="361">
        <f t="shared" si="109"/>
        <v>0</v>
      </c>
      <c r="EQ229" s="281"/>
      <c r="ER229" s="277"/>
      <c r="ES229" s="281"/>
      <c r="ET229" s="277"/>
      <c r="EU229" s="281"/>
      <c r="EV229" s="277"/>
      <c r="EW229" s="281"/>
      <c r="EX229" s="277"/>
      <c r="EY229" s="281"/>
      <c r="EZ229" s="277"/>
      <c r="FA229" s="281"/>
      <c r="FB229" s="277"/>
      <c r="FC229" s="281"/>
      <c r="FD229" s="277"/>
      <c r="FE229" s="281"/>
      <c r="FF229" s="277"/>
      <c r="FG229" s="281"/>
      <c r="FH229" s="277"/>
      <c r="FI229" s="281"/>
      <c r="FJ229" s="277"/>
      <c r="FK229" s="50">
        <f t="shared" si="110"/>
        <v>0</v>
      </c>
      <c r="FL229" s="63">
        <f t="shared" si="111"/>
        <v>0</v>
      </c>
      <c r="FM229" s="50">
        <f t="shared" si="93"/>
        <v>260</v>
      </c>
      <c r="FN229" s="360">
        <f t="shared" si="94"/>
        <v>314</v>
      </c>
      <c r="FO229" s="335"/>
      <c r="FP229" s="279"/>
      <c r="FQ229" s="52"/>
      <c r="FR229" s="296"/>
      <c r="FS229" s="98"/>
      <c r="FT229" s="467"/>
      <c r="FU229" s="52"/>
      <c r="FV229" s="296"/>
      <c r="FW229" s="98"/>
      <c r="FX229" s="467"/>
      <c r="FY229" s="52"/>
      <c r="FZ229" s="296"/>
      <c r="GA229" s="98"/>
      <c r="GB229" s="467"/>
      <c r="GC229" s="52"/>
      <c r="GD229" s="296"/>
      <c r="GE229" s="98"/>
      <c r="GF229" s="467"/>
      <c r="GG229" s="52"/>
      <c r="GH229" s="296"/>
      <c r="GI229" s="98"/>
      <c r="GJ229" s="467"/>
      <c r="GK229" s="52"/>
      <c r="GL229" s="296"/>
      <c r="GM229" s="464"/>
      <c r="GN229" s="467"/>
      <c r="GO229" s="52"/>
      <c r="GP229" s="296"/>
      <c r="GQ229" s="464"/>
      <c r="GR229" s="467"/>
      <c r="GS229" s="52"/>
      <c r="GT229" s="296"/>
      <c r="GU229" s="464"/>
      <c r="GV229" s="467"/>
      <c r="GW229" s="52"/>
      <c r="GX229" s="296"/>
      <c r="GY229" s="464"/>
      <c r="GZ229" s="467"/>
      <c r="HA229" s="52"/>
      <c r="HB229" s="296"/>
      <c r="HC229" s="335"/>
    </row>
    <row r="230" spans="1:211" s="396" customFormat="1">
      <c r="A230" s="491" t="s">
        <v>759</v>
      </c>
      <c r="B230" s="326" t="s">
        <v>776</v>
      </c>
      <c r="C230" s="325">
        <v>158431</v>
      </c>
      <c r="D230" s="349">
        <v>9</v>
      </c>
      <c r="E230" s="460">
        <v>86</v>
      </c>
      <c r="F230" s="492">
        <v>110</v>
      </c>
      <c r="G230" s="158"/>
      <c r="H230" s="277"/>
      <c r="I230" s="158">
        <v>357</v>
      </c>
      <c r="J230" s="588">
        <v>459</v>
      </c>
      <c r="K230" s="160">
        <f t="shared" si="95"/>
        <v>0</v>
      </c>
      <c r="L230" s="161">
        <f t="shared" si="88"/>
        <v>0</v>
      </c>
      <c r="M230" s="54"/>
      <c r="N230" s="55"/>
      <c r="O230" s="55"/>
      <c r="P230" s="55"/>
      <c r="Q230" s="162">
        <f t="shared" si="96"/>
        <v>0</v>
      </c>
      <c r="R230" s="494"/>
      <c r="S230" s="277"/>
      <c r="T230" s="277"/>
      <c r="U230" s="277"/>
      <c r="V230" s="97">
        <f t="shared" si="97"/>
        <v>0</v>
      </c>
      <c r="W230" s="279"/>
      <c r="X230" s="52"/>
      <c r="Y230" s="99"/>
      <c r="Z230" s="53"/>
      <c r="AA230" s="228"/>
      <c r="AB230" s="52"/>
      <c r="AC230" s="99"/>
      <c r="AD230" s="53"/>
      <c r="AE230" s="228"/>
      <c r="AF230" s="52"/>
      <c r="AG230" s="99"/>
      <c r="AH230" s="53"/>
      <c r="AI230" s="228"/>
      <c r="AJ230" s="52"/>
      <c r="AK230" s="99"/>
      <c r="AL230" s="53"/>
      <c r="AM230" s="228"/>
      <c r="AN230" s="52"/>
      <c r="AO230" s="99"/>
      <c r="AP230" s="53"/>
      <c r="AQ230" s="50">
        <f t="shared" si="89"/>
        <v>0</v>
      </c>
      <c r="AR230" s="163">
        <f t="shared" si="90"/>
        <v>0</v>
      </c>
      <c r="AS230" s="97">
        <f t="shared" si="91"/>
        <v>0</v>
      </c>
      <c r="AT230" s="278">
        <f t="shared" si="92"/>
        <v>0</v>
      </c>
      <c r="AU230" s="55"/>
      <c r="AV230" s="277"/>
      <c r="AW230" s="279"/>
      <c r="AX230" s="52"/>
      <c r="AY230" s="105"/>
      <c r="AZ230" s="98"/>
      <c r="BA230" s="279"/>
      <c r="BB230" s="52"/>
      <c r="BC230" s="105"/>
      <c r="BD230" s="98"/>
      <c r="BE230" s="279"/>
      <c r="BF230" s="52"/>
      <c r="BG230" s="105"/>
      <c r="BH230" s="98"/>
      <c r="BI230" s="279"/>
      <c r="BJ230" s="52"/>
      <c r="BK230" s="105"/>
      <c r="BL230" s="98"/>
      <c r="BM230" s="279"/>
      <c r="BN230" s="52"/>
      <c r="BO230" s="105"/>
      <c r="BP230" s="98"/>
      <c r="BQ230" s="279"/>
      <c r="BR230" s="52"/>
      <c r="BS230" s="105"/>
      <c r="BT230" s="98"/>
      <c r="BU230" s="279"/>
      <c r="BV230" s="52"/>
      <c r="BW230" s="105"/>
      <c r="BX230" s="98"/>
      <c r="BY230" s="279"/>
      <c r="BZ230" s="52"/>
      <c r="CA230" s="105"/>
      <c r="CB230" s="98"/>
      <c r="CC230" s="279"/>
      <c r="CD230" s="52"/>
      <c r="CE230" s="105"/>
      <c r="CF230" s="98"/>
      <c r="CG230" s="279"/>
      <c r="CH230" s="52"/>
      <c r="CI230" s="105"/>
      <c r="CJ230" s="98"/>
      <c r="CK230" s="281"/>
      <c r="CL230" s="277"/>
      <c r="CM230" s="159"/>
      <c r="CN230" s="277"/>
      <c r="CO230" s="50">
        <f t="shared" si="98"/>
        <v>0</v>
      </c>
      <c r="CP230" s="103">
        <f t="shared" si="99"/>
        <v>0</v>
      </c>
      <c r="CQ230" s="280">
        <f t="shared" si="100"/>
        <v>0</v>
      </c>
      <c r="CR230" s="63">
        <f t="shared" si="101"/>
        <v>0</v>
      </c>
      <c r="CS230" s="279"/>
      <c r="CT230" s="52"/>
      <c r="CU230" s="105"/>
      <c r="CV230" s="98"/>
      <c r="CW230" s="279"/>
      <c r="CX230" s="52"/>
      <c r="CY230" s="105"/>
      <c r="CZ230" s="98"/>
      <c r="DA230" s="279"/>
      <c r="DB230" s="52"/>
      <c r="DC230" s="105"/>
      <c r="DD230" s="98"/>
      <c r="DE230" s="279"/>
      <c r="DF230" s="52"/>
      <c r="DG230" s="105"/>
      <c r="DH230" s="98"/>
      <c r="DI230" s="279"/>
      <c r="DJ230" s="52"/>
      <c r="DK230" s="105"/>
      <c r="DL230" s="98"/>
      <c r="DM230" s="279"/>
      <c r="DN230" s="52"/>
      <c r="DO230" s="105"/>
      <c r="DP230" s="98"/>
      <c r="DQ230" s="279"/>
      <c r="DR230" s="52"/>
      <c r="DS230" s="105"/>
      <c r="DT230" s="98"/>
      <c r="DU230" s="279"/>
      <c r="DV230" s="52"/>
      <c r="DW230" s="105"/>
      <c r="DX230" s="98"/>
      <c r="DY230" s="279"/>
      <c r="DZ230" s="52"/>
      <c r="EA230" s="105"/>
      <c r="EB230" s="98"/>
      <c r="EC230" s="279"/>
      <c r="ED230" s="52"/>
      <c r="EE230" s="105"/>
      <c r="EF230" s="98"/>
      <c r="EG230" s="159"/>
      <c r="EH230" s="277"/>
      <c r="EI230" s="50">
        <f t="shared" si="102"/>
        <v>0</v>
      </c>
      <c r="EJ230" s="103">
        <f t="shared" si="103"/>
        <v>0</v>
      </c>
      <c r="EK230" s="164">
        <f t="shared" si="104"/>
        <v>0</v>
      </c>
      <c r="EL230" s="280">
        <f t="shared" si="105"/>
        <v>0</v>
      </c>
      <c r="EM230" s="63">
        <f t="shared" si="106"/>
        <v>0</v>
      </c>
      <c r="EN230" s="359">
        <f t="shared" si="107"/>
        <v>0</v>
      </c>
      <c r="EO230" s="51">
        <f t="shared" si="108"/>
        <v>0</v>
      </c>
      <c r="EP230" s="361">
        <f t="shared" si="109"/>
        <v>0</v>
      </c>
      <c r="EQ230" s="281"/>
      <c r="ER230" s="277"/>
      <c r="ES230" s="281"/>
      <c r="ET230" s="277"/>
      <c r="EU230" s="281"/>
      <c r="EV230" s="277"/>
      <c r="EW230" s="281"/>
      <c r="EX230" s="277"/>
      <c r="EY230" s="281"/>
      <c r="EZ230" s="277"/>
      <c r="FA230" s="281"/>
      <c r="FB230" s="277"/>
      <c r="FC230" s="281"/>
      <c r="FD230" s="277"/>
      <c r="FE230" s="281"/>
      <c r="FF230" s="277"/>
      <c r="FG230" s="281"/>
      <c r="FH230" s="277"/>
      <c r="FI230" s="281"/>
      <c r="FJ230" s="277"/>
      <c r="FK230" s="50">
        <f t="shared" si="110"/>
        <v>0</v>
      </c>
      <c r="FL230" s="63">
        <f t="shared" si="111"/>
        <v>0</v>
      </c>
      <c r="FM230" s="50">
        <f t="shared" si="93"/>
        <v>443</v>
      </c>
      <c r="FN230" s="360">
        <f t="shared" si="94"/>
        <v>569</v>
      </c>
      <c r="FO230" s="335"/>
      <c r="FP230" s="279"/>
      <c r="FQ230" s="52"/>
      <c r="FR230" s="296"/>
      <c r="FS230" s="98"/>
      <c r="FT230" s="467"/>
      <c r="FU230" s="52"/>
      <c r="FV230" s="296"/>
      <c r="FW230" s="98"/>
      <c r="FX230" s="467"/>
      <c r="FY230" s="52"/>
      <c r="FZ230" s="296"/>
      <c r="GA230" s="98"/>
      <c r="GB230" s="467"/>
      <c r="GC230" s="52"/>
      <c r="GD230" s="296"/>
      <c r="GE230" s="98"/>
      <c r="GF230" s="467"/>
      <c r="GG230" s="52"/>
      <c r="GH230" s="296"/>
      <c r="GI230" s="98"/>
      <c r="GJ230" s="467"/>
      <c r="GK230" s="52"/>
      <c r="GL230" s="296"/>
      <c r="GM230" s="464"/>
      <c r="GN230" s="467"/>
      <c r="GO230" s="52"/>
      <c r="GP230" s="296"/>
      <c r="GQ230" s="464"/>
      <c r="GR230" s="467"/>
      <c r="GS230" s="52"/>
      <c r="GT230" s="296"/>
      <c r="GU230" s="464"/>
      <c r="GV230" s="467"/>
      <c r="GW230" s="52"/>
      <c r="GX230" s="296"/>
      <c r="GY230" s="464"/>
      <c r="GZ230" s="467"/>
      <c r="HA230" s="52"/>
      <c r="HB230" s="296"/>
      <c r="HC230" s="335"/>
    </row>
    <row r="231" spans="1:211" s="396" customFormat="1">
      <c r="A231" s="491" t="s">
        <v>759</v>
      </c>
      <c r="B231" s="327" t="s">
        <v>777</v>
      </c>
      <c r="C231" s="325">
        <v>159407</v>
      </c>
      <c r="D231" s="349">
        <v>9</v>
      </c>
      <c r="E231" s="460">
        <v>16</v>
      </c>
      <c r="F231" s="492">
        <v>14</v>
      </c>
      <c r="G231" s="158"/>
      <c r="H231" s="277"/>
      <c r="I231" s="158">
        <v>252</v>
      </c>
      <c r="J231" s="588">
        <v>244</v>
      </c>
      <c r="K231" s="160">
        <f t="shared" si="95"/>
        <v>0</v>
      </c>
      <c r="L231" s="161">
        <f t="shared" si="88"/>
        <v>0</v>
      </c>
      <c r="M231" s="54"/>
      <c r="N231" s="55"/>
      <c r="O231" s="55"/>
      <c r="P231" s="55"/>
      <c r="Q231" s="162">
        <f t="shared" si="96"/>
        <v>0</v>
      </c>
      <c r="R231" s="494"/>
      <c r="S231" s="277"/>
      <c r="T231" s="277"/>
      <c r="U231" s="277"/>
      <c r="V231" s="97">
        <f t="shared" si="97"/>
        <v>0</v>
      </c>
      <c r="W231" s="279"/>
      <c r="X231" s="52"/>
      <c r="Y231" s="99"/>
      <c r="Z231" s="53"/>
      <c r="AA231" s="228"/>
      <c r="AB231" s="52"/>
      <c r="AC231" s="99"/>
      <c r="AD231" s="53"/>
      <c r="AE231" s="228"/>
      <c r="AF231" s="52"/>
      <c r="AG231" s="99"/>
      <c r="AH231" s="53"/>
      <c r="AI231" s="228"/>
      <c r="AJ231" s="52"/>
      <c r="AK231" s="99"/>
      <c r="AL231" s="53"/>
      <c r="AM231" s="228"/>
      <c r="AN231" s="52"/>
      <c r="AO231" s="99"/>
      <c r="AP231" s="53"/>
      <c r="AQ231" s="50">
        <f t="shared" si="89"/>
        <v>0</v>
      </c>
      <c r="AR231" s="163">
        <f t="shared" si="90"/>
        <v>0</v>
      </c>
      <c r="AS231" s="97">
        <f t="shared" si="91"/>
        <v>0</v>
      </c>
      <c r="AT231" s="278">
        <f t="shared" si="92"/>
        <v>0</v>
      </c>
      <c r="AU231" s="55"/>
      <c r="AV231" s="277"/>
      <c r="AW231" s="279"/>
      <c r="AX231" s="52"/>
      <c r="AY231" s="105"/>
      <c r="AZ231" s="98"/>
      <c r="BA231" s="279"/>
      <c r="BB231" s="52"/>
      <c r="BC231" s="105"/>
      <c r="BD231" s="98"/>
      <c r="BE231" s="279"/>
      <c r="BF231" s="52"/>
      <c r="BG231" s="105"/>
      <c r="BH231" s="98"/>
      <c r="BI231" s="279"/>
      <c r="BJ231" s="52"/>
      <c r="BK231" s="105"/>
      <c r="BL231" s="98"/>
      <c r="BM231" s="279"/>
      <c r="BN231" s="52"/>
      <c r="BO231" s="105"/>
      <c r="BP231" s="98"/>
      <c r="BQ231" s="279"/>
      <c r="BR231" s="52"/>
      <c r="BS231" s="105"/>
      <c r="BT231" s="98"/>
      <c r="BU231" s="279"/>
      <c r="BV231" s="52"/>
      <c r="BW231" s="105"/>
      <c r="BX231" s="98"/>
      <c r="BY231" s="279"/>
      <c r="BZ231" s="52"/>
      <c r="CA231" s="105"/>
      <c r="CB231" s="98"/>
      <c r="CC231" s="279"/>
      <c r="CD231" s="52"/>
      <c r="CE231" s="105"/>
      <c r="CF231" s="98"/>
      <c r="CG231" s="279"/>
      <c r="CH231" s="52"/>
      <c r="CI231" s="105"/>
      <c r="CJ231" s="98"/>
      <c r="CK231" s="281"/>
      <c r="CL231" s="277"/>
      <c r="CM231" s="159"/>
      <c r="CN231" s="277"/>
      <c r="CO231" s="50">
        <f t="shared" si="98"/>
        <v>0</v>
      </c>
      <c r="CP231" s="103">
        <f t="shared" si="99"/>
        <v>0</v>
      </c>
      <c r="CQ231" s="280">
        <f t="shared" si="100"/>
        <v>0</v>
      </c>
      <c r="CR231" s="63">
        <f t="shared" si="101"/>
        <v>0</v>
      </c>
      <c r="CS231" s="279"/>
      <c r="CT231" s="52"/>
      <c r="CU231" s="105"/>
      <c r="CV231" s="98"/>
      <c r="CW231" s="279"/>
      <c r="CX231" s="52"/>
      <c r="CY231" s="105"/>
      <c r="CZ231" s="98"/>
      <c r="DA231" s="279"/>
      <c r="DB231" s="52"/>
      <c r="DC231" s="105"/>
      <c r="DD231" s="98"/>
      <c r="DE231" s="279"/>
      <c r="DF231" s="52"/>
      <c r="DG231" s="105"/>
      <c r="DH231" s="98"/>
      <c r="DI231" s="279"/>
      <c r="DJ231" s="52"/>
      <c r="DK231" s="105"/>
      <c r="DL231" s="98"/>
      <c r="DM231" s="279"/>
      <c r="DN231" s="52"/>
      <c r="DO231" s="105"/>
      <c r="DP231" s="98"/>
      <c r="DQ231" s="279"/>
      <c r="DR231" s="52"/>
      <c r="DS231" s="105"/>
      <c r="DT231" s="98"/>
      <c r="DU231" s="279"/>
      <c r="DV231" s="52"/>
      <c r="DW231" s="105"/>
      <c r="DX231" s="98"/>
      <c r="DY231" s="279"/>
      <c r="DZ231" s="52"/>
      <c r="EA231" s="105"/>
      <c r="EB231" s="98"/>
      <c r="EC231" s="279"/>
      <c r="ED231" s="52"/>
      <c r="EE231" s="105"/>
      <c r="EF231" s="98"/>
      <c r="EG231" s="159"/>
      <c r="EH231" s="277"/>
      <c r="EI231" s="50">
        <f t="shared" si="102"/>
        <v>0</v>
      </c>
      <c r="EJ231" s="103">
        <f t="shared" si="103"/>
        <v>0</v>
      </c>
      <c r="EK231" s="164">
        <f t="shared" si="104"/>
        <v>0</v>
      </c>
      <c r="EL231" s="280">
        <f t="shared" si="105"/>
        <v>0</v>
      </c>
      <c r="EM231" s="63">
        <f t="shared" si="106"/>
        <v>0</v>
      </c>
      <c r="EN231" s="359">
        <f t="shared" si="107"/>
        <v>0</v>
      </c>
      <c r="EO231" s="51">
        <f t="shared" si="108"/>
        <v>0</v>
      </c>
      <c r="EP231" s="361">
        <f t="shared" si="109"/>
        <v>0</v>
      </c>
      <c r="EQ231" s="281"/>
      <c r="ER231" s="277"/>
      <c r="ES231" s="281"/>
      <c r="ET231" s="277"/>
      <c r="EU231" s="281"/>
      <c r="EV231" s="277"/>
      <c r="EW231" s="281"/>
      <c r="EX231" s="277"/>
      <c r="EY231" s="281"/>
      <c r="EZ231" s="277"/>
      <c r="FA231" s="281"/>
      <c r="FB231" s="277"/>
      <c r="FC231" s="281"/>
      <c r="FD231" s="277"/>
      <c r="FE231" s="281"/>
      <c r="FF231" s="277"/>
      <c r="FG231" s="281"/>
      <c r="FH231" s="277"/>
      <c r="FI231" s="281"/>
      <c r="FJ231" s="277"/>
      <c r="FK231" s="50">
        <f t="shared" si="110"/>
        <v>0</v>
      </c>
      <c r="FL231" s="63">
        <f t="shared" si="111"/>
        <v>0</v>
      </c>
      <c r="FM231" s="50">
        <f t="shared" si="93"/>
        <v>268</v>
      </c>
      <c r="FN231" s="360">
        <f t="shared" si="94"/>
        <v>258</v>
      </c>
      <c r="FO231" s="335"/>
      <c r="FP231" s="279"/>
      <c r="FQ231" s="52"/>
      <c r="FR231" s="296"/>
      <c r="FS231" s="98"/>
      <c r="FT231" s="467"/>
      <c r="FU231" s="52"/>
      <c r="FV231" s="296"/>
      <c r="FW231" s="98"/>
      <c r="FX231" s="467"/>
      <c r="FY231" s="52"/>
      <c r="FZ231" s="296"/>
      <c r="GA231" s="98"/>
      <c r="GB231" s="467"/>
      <c r="GC231" s="52"/>
      <c r="GD231" s="296"/>
      <c r="GE231" s="98"/>
      <c r="GF231" s="467"/>
      <c r="GG231" s="52"/>
      <c r="GH231" s="296"/>
      <c r="GI231" s="98"/>
      <c r="GJ231" s="467"/>
      <c r="GK231" s="52"/>
      <c r="GL231" s="296"/>
      <c r="GM231" s="464"/>
      <c r="GN231" s="467"/>
      <c r="GO231" s="52"/>
      <c r="GP231" s="296"/>
      <c r="GQ231" s="464"/>
      <c r="GR231" s="467"/>
      <c r="GS231" s="52"/>
      <c r="GT231" s="296"/>
      <c r="GU231" s="464"/>
      <c r="GV231" s="467"/>
      <c r="GW231" s="52"/>
      <c r="GX231" s="296"/>
      <c r="GY231" s="464"/>
      <c r="GZ231" s="467"/>
      <c r="HA231" s="52"/>
      <c r="HB231" s="296"/>
      <c r="HC231" s="335"/>
    </row>
    <row r="232" spans="1:211" s="396" customFormat="1">
      <c r="A232" s="491" t="s">
        <v>759</v>
      </c>
      <c r="B232" s="326" t="s">
        <v>778</v>
      </c>
      <c r="C232" s="325">
        <v>440624</v>
      </c>
      <c r="D232" s="349">
        <v>10</v>
      </c>
      <c r="E232" s="460">
        <v>6</v>
      </c>
      <c r="F232" s="492">
        <v>1</v>
      </c>
      <c r="G232" s="158"/>
      <c r="H232" s="277"/>
      <c r="I232" s="158">
        <v>72</v>
      </c>
      <c r="J232" s="588">
        <v>92</v>
      </c>
      <c r="K232" s="160">
        <f t="shared" si="95"/>
        <v>0</v>
      </c>
      <c r="L232" s="161">
        <f t="shared" si="88"/>
        <v>0</v>
      </c>
      <c r="M232" s="54"/>
      <c r="N232" s="55"/>
      <c r="O232" s="55"/>
      <c r="P232" s="55"/>
      <c r="Q232" s="162">
        <f t="shared" si="96"/>
        <v>0</v>
      </c>
      <c r="R232" s="494"/>
      <c r="S232" s="277"/>
      <c r="T232" s="277"/>
      <c r="U232" s="277"/>
      <c r="V232" s="97">
        <f t="shared" si="97"/>
        <v>0</v>
      </c>
      <c r="W232" s="279"/>
      <c r="X232" s="52"/>
      <c r="Y232" s="99"/>
      <c r="Z232" s="53"/>
      <c r="AA232" s="228"/>
      <c r="AB232" s="52"/>
      <c r="AC232" s="99"/>
      <c r="AD232" s="53"/>
      <c r="AE232" s="228"/>
      <c r="AF232" s="52"/>
      <c r="AG232" s="99"/>
      <c r="AH232" s="53"/>
      <c r="AI232" s="228"/>
      <c r="AJ232" s="52"/>
      <c r="AK232" s="99"/>
      <c r="AL232" s="53"/>
      <c r="AM232" s="228"/>
      <c r="AN232" s="52"/>
      <c r="AO232" s="99"/>
      <c r="AP232" s="53"/>
      <c r="AQ232" s="50">
        <f t="shared" si="89"/>
        <v>0</v>
      </c>
      <c r="AR232" s="163">
        <f t="shared" si="90"/>
        <v>0</v>
      </c>
      <c r="AS232" s="97">
        <f t="shared" si="91"/>
        <v>0</v>
      </c>
      <c r="AT232" s="278">
        <f t="shared" si="92"/>
        <v>0</v>
      </c>
      <c r="AU232" s="55"/>
      <c r="AV232" s="277"/>
      <c r="AW232" s="279"/>
      <c r="AX232" s="52"/>
      <c r="AY232" s="105"/>
      <c r="AZ232" s="98"/>
      <c r="BA232" s="279"/>
      <c r="BB232" s="52"/>
      <c r="BC232" s="105"/>
      <c r="BD232" s="98"/>
      <c r="BE232" s="279"/>
      <c r="BF232" s="52"/>
      <c r="BG232" s="105"/>
      <c r="BH232" s="98"/>
      <c r="BI232" s="279"/>
      <c r="BJ232" s="52"/>
      <c r="BK232" s="105"/>
      <c r="BL232" s="98"/>
      <c r="BM232" s="279"/>
      <c r="BN232" s="52"/>
      <c r="BO232" s="105"/>
      <c r="BP232" s="98"/>
      <c r="BQ232" s="279"/>
      <c r="BR232" s="52"/>
      <c r="BS232" s="105"/>
      <c r="BT232" s="98"/>
      <c r="BU232" s="279"/>
      <c r="BV232" s="52"/>
      <c r="BW232" s="105"/>
      <c r="BX232" s="98"/>
      <c r="BY232" s="279"/>
      <c r="BZ232" s="52"/>
      <c r="CA232" s="105"/>
      <c r="CB232" s="98"/>
      <c r="CC232" s="279"/>
      <c r="CD232" s="52"/>
      <c r="CE232" s="105"/>
      <c r="CF232" s="98"/>
      <c r="CG232" s="279"/>
      <c r="CH232" s="52"/>
      <c r="CI232" s="105"/>
      <c r="CJ232" s="98"/>
      <c r="CK232" s="281"/>
      <c r="CL232" s="277"/>
      <c r="CM232" s="159"/>
      <c r="CN232" s="277"/>
      <c r="CO232" s="50">
        <f t="shared" si="98"/>
        <v>0</v>
      </c>
      <c r="CP232" s="103">
        <f t="shared" si="99"/>
        <v>0</v>
      </c>
      <c r="CQ232" s="280">
        <f t="shared" si="100"/>
        <v>0</v>
      </c>
      <c r="CR232" s="63">
        <f t="shared" si="101"/>
        <v>0</v>
      </c>
      <c r="CS232" s="279"/>
      <c r="CT232" s="52"/>
      <c r="CU232" s="105"/>
      <c r="CV232" s="98"/>
      <c r="CW232" s="279"/>
      <c r="CX232" s="52"/>
      <c r="CY232" s="105"/>
      <c r="CZ232" s="98"/>
      <c r="DA232" s="279"/>
      <c r="DB232" s="52"/>
      <c r="DC232" s="105"/>
      <c r="DD232" s="98"/>
      <c r="DE232" s="279"/>
      <c r="DF232" s="52"/>
      <c r="DG232" s="105"/>
      <c r="DH232" s="98"/>
      <c r="DI232" s="279"/>
      <c r="DJ232" s="52"/>
      <c r="DK232" s="105"/>
      <c r="DL232" s="98"/>
      <c r="DM232" s="279"/>
      <c r="DN232" s="52"/>
      <c r="DO232" s="105"/>
      <c r="DP232" s="98"/>
      <c r="DQ232" s="279"/>
      <c r="DR232" s="52"/>
      <c r="DS232" s="105"/>
      <c r="DT232" s="98"/>
      <c r="DU232" s="279"/>
      <c r="DV232" s="52"/>
      <c r="DW232" s="105"/>
      <c r="DX232" s="98"/>
      <c r="DY232" s="279"/>
      <c r="DZ232" s="52"/>
      <c r="EA232" s="105"/>
      <c r="EB232" s="98"/>
      <c r="EC232" s="279"/>
      <c r="ED232" s="52"/>
      <c r="EE232" s="105"/>
      <c r="EF232" s="98"/>
      <c r="EG232" s="159"/>
      <c r="EH232" s="277"/>
      <c r="EI232" s="50">
        <f t="shared" si="102"/>
        <v>0</v>
      </c>
      <c r="EJ232" s="103">
        <f t="shared" si="103"/>
        <v>0</v>
      </c>
      <c r="EK232" s="164">
        <f t="shared" si="104"/>
        <v>0</v>
      </c>
      <c r="EL232" s="280">
        <f t="shared" si="105"/>
        <v>0</v>
      </c>
      <c r="EM232" s="63">
        <f t="shared" si="106"/>
        <v>0</v>
      </c>
      <c r="EN232" s="359">
        <f t="shared" si="107"/>
        <v>0</v>
      </c>
      <c r="EO232" s="51">
        <f t="shared" si="108"/>
        <v>0</v>
      </c>
      <c r="EP232" s="361">
        <f t="shared" si="109"/>
        <v>0</v>
      </c>
      <c r="EQ232" s="281"/>
      <c r="ER232" s="277"/>
      <c r="ES232" s="281"/>
      <c r="ET232" s="277"/>
      <c r="EU232" s="281"/>
      <c r="EV232" s="277"/>
      <c r="EW232" s="281"/>
      <c r="EX232" s="277"/>
      <c r="EY232" s="281"/>
      <c r="EZ232" s="277"/>
      <c r="FA232" s="281"/>
      <c r="FB232" s="277"/>
      <c r="FC232" s="281"/>
      <c r="FD232" s="277"/>
      <c r="FE232" s="281"/>
      <c r="FF232" s="277"/>
      <c r="FG232" s="281"/>
      <c r="FH232" s="277"/>
      <c r="FI232" s="281"/>
      <c r="FJ232" s="277"/>
      <c r="FK232" s="50">
        <f t="shared" si="110"/>
        <v>0</v>
      </c>
      <c r="FL232" s="63">
        <f t="shared" si="111"/>
        <v>0</v>
      </c>
      <c r="FM232" s="50">
        <f t="shared" si="93"/>
        <v>78</v>
      </c>
      <c r="FN232" s="360">
        <f t="shared" si="94"/>
        <v>93</v>
      </c>
      <c r="FO232" s="335"/>
      <c r="FP232" s="279"/>
      <c r="FQ232" s="52"/>
      <c r="FR232" s="296"/>
      <c r="FS232" s="98"/>
      <c r="FT232" s="467"/>
      <c r="FU232" s="52"/>
      <c r="FV232" s="296"/>
      <c r="FW232" s="98"/>
      <c r="FX232" s="467"/>
      <c r="FY232" s="52"/>
      <c r="FZ232" s="296"/>
      <c r="GA232" s="98"/>
      <c r="GB232" s="467"/>
      <c r="GC232" s="52"/>
      <c r="GD232" s="296"/>
      <c r="GE232" s="98"/>
      <c r="GF232" s="467"/>
      <c r="GG232" s="52"/>
      <c r="GH232" s="296"/>
      <c r="GI232" s="98"/>
      <c r="GJ232" s="467"/>
      <c r="GK232" s="52"/>
      <c r="GL232" s="296"/>
      <c r="GM232" s="464"/>
      <c r="GN232" s="467"/>
      <c r="GO232" s="52"/>
      <c r="GP232" s="296"/>
      <c r="GQ232" s="464"/>
      <c r="GR232" s="467"/>
      <c r="GS232" s="52"/>
      <c r="GT232" s="296"/>
      <c r="GU232" s="464"/>
      <c r="GV232" s="467"/>
      <c r="GW232" s="52"/>
      <c r="GX232" s="296"/>
      <c r="GY232" s="464"/>
      <c r="GZ232" s="467"/>
      <c r="HA232" s="52"/>
      <c r="HB232" s="296"/>
      <c r="HC232" s="335"/>
    </row>
    <row r="233" spans="1:211" s="396" customFormat="1">
      <c r="A233" s="491" t="s">
        <v>759</v>
      </c>
      <c r="B233" s="326" t="s">
        <v>779</v>
      </c>
      <c r="C233" s="325">
        <v>158884</v>
      </c>
      <c r="D233" s="349">
        <v>10</v>
      </c>
      <c r="E233" s="460">
        <v>78</v>
      </c>
      <c r="F233" s="492">
        <v>87</v>
      </c>
      <c r="G233" s="158"/>
      <c r="H233" s="277"/>
      <c r="I233" s="158">
        <v>100</v>
      </c>
      <c r="J233" s="588">
        <v>125</v>
      </c>
      <c r="K233" s="160">
        <f t="shared" si="95"/>
        <v>0</v>
      </c>
      <c r="L233" s="161">
        <f t="shared" si="88"/>
        <v>0</v>
      </c>
      <c r="M233" s="54"/>
      <c r="N233" s="55"/>
      <c r="O233" s="55"/>
      <c r="P233" s="55"/>
      <c r="Q233" s="162">
        <f t="shared" si="96"/>
        <v>0</v>
      </c>
      <c r="R233" s="494"/>
      <c r="S233" s="277"/>
      <c r="T233" s="277"/>
      <c r="U233" s="277"/>
      <c r="V233" s="97">
        <f t="shared" si="97"/>
        <v>0</v>
      </c>
      <c r="W233" s="279"/>
      <c r="X233" s="52"/>
      <c r="Y233" s="99"/>
      <c r="Z233" s="53"/>
      <c r="AA233" s="228"/>
      <c r="AB233" s="52"/>
      <c r="AC233" s="99"/>
      <c r="AD233" s="53"/>
      <c r="AE233" s="228"/>
      <c r="AF233" s="52"/>
      <c r="AG233" s="99"/>
      <c r="AH233" s="53"/>
      <c r="AI233" s="228"/>
      <c r="AJ233" s="52"/>
      <c r="AK233" s="99"/>
      <c r="AL233" s="53"/>
      <c r="AM233" s="228"/>
      <c r="AN233" s="52"/>
      <c r="AO233" s="99"/>
      <c r="AP233" s="53"/>
      <c r="AQ233" s="50">
        <f t="shared" si="89"/>
        <v>0</v>
      </c>
      <c r="AR233" s="163">
        <f t="shared" si="90"/>
        <v>0</v>
      </c>
      <c r="AS233" s="97">
        <f t="shared" si="91"/>
        <v>0</v>
      </c>
      <c r="AT233" s="278">
        <f t="shared" si="92"/>
        <v>0</v>
      </c>
      <c r="AU233" s="55"/>
      <c r="AV233" s="277"/>
      <c r="AW233" s="279"/>
      <c r="AX233" s="52"/>
      <c r="AY233" s="105"/>
      <c r="AZ233" s="98"/>
      <c r="BA233" s="279"/>
      <c r="BB233" s="52"/>
      <c r="BC233" s="105"/>
      <c r="BD233" s="98"/>
      <c r="BE233" s="279"/>
      <c r="BF233" s="52"/>
      <c r="BG233" s="105"/>
      <c r="BH233" s="98"/>
      <c r="BI233" s="279"/>
      <c r="BJ233" s="52"/>
      <c r="BK233" s="105"/>
      <c r="BL233" s="98"/>
      <c r="BM233" s="279"/>
      <c r="BN233" s="52"/>
      <c r="BO233" s="105"/>
      <c r="BP233" s="98"/>
      <c r="BQ233" s="279"/>
      <c r="BR233" s="52"/>
      <c r="BS233" s="105"/>
      <c r="BT233" s="98"/>
      <c r="BU233" s="279"/>
      <c r="BV233" s="52"/>
      <c r="BW233" s="105"/>
      <c r="BX233" s="98"/>
      <c r="BY233" s="279"/>
      <c r="BZ233" s="52"/>
      <c r="CA233" s="105"/>
      <c r="CB233" s="98"/>
      <c r="CC233" s="279"/>
      <c r="CD233" s="52"/>
      <c r="CE233" s="105"/>
      <c r="CF233" s="98"/>
      <c r="CG233" s="279"/>
      <c r="CH233" s="52"/>
      <c r="CI233" s="105"/>
      <c r="CJ233" s="98"/>
      <c r="CK233" s="281"/>
      <c r="CL233" s="277"/>
      <c r="CM233" s="159"/>
      <c r="CN233" s="277"/>
      <c r="CO233" s="50">
        <f t="shared" si="98"/>
        <v>0</v>
      </c>
      <c r="CP233" s="103">
        <f t="shared" si="99"/>
        <v>0</v>
      </c>
      <c r="CQ233" s="280">
        <f t="shared" si="100"/>
        <v>0</v>
      </c>
      <c r="CR233" s="63">
        <f t="shared" si="101"/>
        <v>0</v>
      </c>
      <c r="CS233" s="279"/>
      <c r="CT233" s="52"/>
      <c r="CU233" s="105"/>
      <c r="CV233" s="98"/>
      <c r="CW233" s="279"/>
      <c r="CX233" s="52"/>
      <c r="CY233" s="105"/>
      <c r="CZ233" s="98"/>
      <c r="DA233" s="279"/>
      <c r="DB233" s="52"/>
      <c r="DC233" s="105"/>
      <c r="DD233" s="98"/>
      <c r="DE233" s="279"/>
      <c r="DF233" s="52"/>
      <c r="DG233" s="105"/>
      <c r="DH233" s="98"/>
      <c r="DI233" s="279"/>
      <c r="DJ233" s="52"/>
      <c r="DK233" s="105"/>
      <c r="DL233" s="98"/>
      <c r="DM233" s="279"/>
      <c r="DN233" s="52"/>
      <c r="DO233" s="105"/>
      <c r="DP233" s="98"/>
      <c r="DQ233" s="279"/>
      <c r="DR233" s="52"/>
      <c r="DS233" s="105"/>
      <c r="DT233" s="98"/>
      <c r="DU233" s="279"/>
      <c r="DV233" s="52"/>
      <c r="DW233" s="105"/>
      <c r="DX233" s="98"/>
      <c r="DY233" s="279"/>
      <c r="DZ233" s="52"/>
      <c r="EA233" s="105"/>
      <c r="EB233" s="98"/>
      <c r="EC233" s="279"/>
      <c r="ED233" s="52"/>
      <c r="EE233" s="105"/>
      <c r="EF233" s="98"/>
      <c r="EG233" s="159"/>
      <c r="EH233" s="277"/>
      <c r="EI233" s="50">
        <f t="shared" si="102"/>
        <v>0</v>
      </c>
      <c r="EJ233" s="103">
        <f t="shared" si="103"/>
        <v>0</v>
      </c>
      <c r="EK233" s="164">
        <f t="shared" si="104"/>
        <v>0</v>
      </c>
      <c r="EL233" s="280">
        <f t="shared" si="105"/>
        <v>0</v>
      </c>
      <c r="EM233" s="63">
        <f t="shared" si="106"/>
        <v>0</v>
      </c>
      <c r="EN233" s="359">
        <f t="shared" si="107"/>
        <v>0</v>
      </c>
      <c r="EO233" s="51">
        <f t="shared" si="108"/>
        <v>0</v>
      </c>
      <c r="EP233" s="361">
        <f t="shared" si="109"/>
        <v>0</v>
      </c>
      <c r="EQ233" s="281"/>
      <c r="ER233" s="277"/>
      <c r="ES233" s="281"/>
      <c r="ET233" s="277"/>
      <c r="EU233" s="281"/>
      <c r="EV233" s="277"/>
      <c r="EW233" s="281"/>
      <c r="EX233" s="277"/>
      <c r="EY233" s="281"/>
      <c r="EZ233" s="277"/>
      <c r="FA233" s="281"/>
      <c r="FB233" s="277"/>
      <c r="FC233" s="281"/>
      <c r="FD233" s="277"/>
      <c r="FE233" s="281"/>
      <c r="FF233" s="277"/>
      <c r="FG233" s="281"/>
      <c r="FH233" s="277"/>
      <c r="FI233" s="281"/>
      <c r="FJ233" s="277"/>
      <c r="FK233" s="50">
        <f t="shared" si="110"/>
        <v>0</v>
      </c>
      <c r="FL233" s="63">
        <f t="shared" si="111"/>
        <v>0</v>
      </c>
      <c r="FM233" s="50">
        <f t="shared" si="93"/>
        <v>178</v>
      </c>
      <c r="FN233" s="360">
        <f t="shared" si="94"/>
        <v>212</v>
      </c>
      <c r="FO233" s="335"/>
      <c r="FP233" s="279"/>
      <c r="FQ233" s="52"/>
      <c r="FR233" s="296"/>
      <c r="FS233" s="98"/>
      <c r="FT233" s="467"/>
      <c r="FU233" s="52"/>
      <c r="FV233" s="296"/>
      <c r="FW233" s="98"/>
      <c r="FX233" s="467"/>
      <c r="FY233" s="52"/>
      <c r="FZ233" s="296"/>
      <c r="GA233" s="98"/>
      <c r="GB233" s="467"/>
      <c r="GC233" s="52"/>
      <c r="GD233" s="296"/>
      <c r="GE233" s="98"/>
      <c r="GF233" s="467"/>
      <c r="GG233" s="52"/>
      <c r="GH233" s="296"/>
      <c r="GI233" s="98"/>
      <c r="GJ233" s="467"/>
      <c r="GK233" s="52"/>
      <c r="GL233" s="296"/>
      <c r="GM233" s="464"/>
      <c r="GN233" s="467"/>
      <c r="GO233" s="52"/>
      <c r="GP233" s="296"/>
      <c r="GQ233" s="464"/>
      <c r="GR233" s="467"/>
      <c r="GS233" s="52"/>
      <c r="GT233" s="296"/>
      <c r="GU233" s="464"/>
      <c r="GV233" s="467"/>
      <c r="GW233" s="52"/>
      <c r="GX233" s="296"/>
      <c r="GY233" s="464"/>
      <c r="GZ233" s="467"/>
      <c r="HA233" s="52"/>
      <c r="HB233" s="296"/>
      <c r="HC233" s="335"/>
    </row>
    <row r="234" spans="1:211" s="396" customFormat="1">
      <c r="A234" s="491" t="s">
        <v>759</v>
      </c>
      <c r="B234" s="326" t="s">
        <v>780</v>
      </c>
      <c r="C234" s="325">
        <v>436304</v>
      </c>
      <c r="D234" s="349">
        <v>10</v>
      </c>
      <c r="E234" s="460">
        <v>4</v>
      </c>
      <c r="F234" s="492">
        <v>33</v>
      </c>
      <c r="G234" s="158"/>
      <c r="H234" s="277"/>
      <c r="I234" s="158">
        <v>52</v>
      </c>
      <c r="J234" s="588">
        <v>41</v>
      </c>
      <c r="K234" s="160">
        <f t="shared" si="95"/>
        <v>0</v>
      </c>
      <c r="L234" s="161">
        <f t="shared" si="88"/>
        <v>0</v>
      </c>
      <c r="M234" s="54"/>
      <c r="N234" s="55"/>
      <c r="O234" s="55"/>
      <c r="P234" s="55"/>
      <c r="Q234" s="162">
        <f t="shared" si="96"/>
        <v>0</v>
      </c>
      <c r="R234" s="494"/>
      <c r="S234" s="277"/>
      <c r="T234" s="277"/>
      <c r="U234" s="277"/>
      <c r="V234" s="97">
        <f t="shared" si="97"/>
        <v>0</v>
      </c>
      <c r="W234" s="279"/>
      <c r="X234" s="52"/>
      <c r="Y234" s="99"/>
      <c r="Z234" s="53"/>
      <c r="AA234" s="228"/>
      <c r="AB234" s="52"/>
      <c r="AC234" s="99"/>
      <c r="AD234" s="53"/>
      <c r="AE234" s="228"/>
      <c r="AF234" s="52"/>
      <c r="AG234" s="99"/>
      <c r="AH234" s="53"/>
      <c r="AI234" s="228"/>
      <c r="AJ234" s="52"/>
      <c r="AK234" s="99"/>
      <c r="AL234" s="53"/>
      <c r="AM234" s="228"/>
      <c r="AN234" s="52"/>
      <c r="AO234" s="99"/>
      <c r="AP234" s="53"/>
      <c r="AQ234" s="50">
        <f t="shared" si="89"/>
        <v>0</v>
      </c>
      <c r="AR234" s="163">
        <f t="shared" si="90"/>
        <v>0</v>
      </c>
      <c r="AS234" s="97">
        <f t="shared" si="91"/>
        <v>0</v>
      </c>
      <c r="AT234" s="278">
        <f t="shared" si="92"/>
        <v>0</v>
      </c>
      <c r="AU234" s="55"/>
      <c r="AV234" s="277"/>
      <c r="AW234" s="279"/>
      <c r="AX234" s="52"/>
      <c r="AY234" s="105"/>
      <c r="AZ234" s="98"/>
      <c r="BA234" s="279"/>
      <c r="BB234" s="52"/>
      <c r="BC234" s="105"/>
      <c r="BD234" s="98"/>
      <c r="BE234" s="279"/>
      <c r="BF234" s="52"/>
      <c r="BG234" s="105"/>
      <c r="BH234" s="98"/>
      <c r="BI234" s="279"/>
      <c r="BJ234" s="52"/>
      <c r="BK234" s="105"/>
      <c r="BL234" s="98"/>
      <c r="BM234" s="279"/>
      <c r="BN234" s="52"/>
      <c r="BO234" s="105"/>
      <c r="BP234" s="98"/>
      <c r="BQ234" s="279"/>
      <c r="BR234" s="52"/>
      <c r="BS234" s="105"/>
      <c r="BT234" s="98"/>
      <c r="BU234" s="279"/>
      <c r="BV234" s="52"/>
      <c r="BW234" s="105"/>
      <c r="BX234" s="98"/>
      <c r="BY234" s="279"/>
      <c r="BZ234" s="52"/>
      <c r="CA234" s="105"/>
      <c r="CB234" s="98"/>
      <c r="CC234" s="279"/>
      <c r="CD234" s="52"/>
      <c r="CE234" s="105"/>
      <c r="CF234" s="98"/>
      <c r="CG234" s="279"/>
      <c r="CH234" s="52"/>
      <c r="CI234" s="105"/>
      <c r="CJ234" s="98"/>
      <c r="CK234" s="281"/>
      <c r="CL234" s="277"/>
      <c r="CM234" s="159"/>
      <c r="CN234" s="277"/>
      <c r="CO234" s="50">
        <f t="shared" si="98"/>
        <v>0</v>
      </c>
      <c r="CP234" s="103">
        <f t="shared" si="99"/>
        <v>0</v>
      </c>
      <c r="CQ234" s="280">
        <f t="shared" si="100"/>
        <v>0</v>
      </c>
      <c r="CR234" s="63">
        <f t="shared" si="101"/>
        <v>0</v>
      </c>
      <c r="CS234" s="279"/>
      <c r="CT234" s="52"/>
      <c r="CU234" s="105"/>
      <c r="CV234" s="98"/>
      <c r="CW234" s="279"/>
      <c r="CX234" s="52"/>
      <c r="CY234" s="105"/>
      <c r="CZ234" s="98"/>
      <c r="DA234" s="279"/>
      <c r="DB234" s="52"/>
      <c r="DC234" s="105"/>
      <c r="DD234" s="98"/>
      <c r="DE234" s="279"/>
      <c r="DF234" s="52"/>
      <c r="DG234" s="105"/>
      <c r="DH234" s="98"/>
      <c r="DI234" s="279"/>
      <c r="DJ234" s="52"/>
      <c r="DK234" s="105"/>
      <c r="DL234" s="98"/>
      <c r="DM234" s="279"/>
      <c r="DN234" s="52"/>
      <c r="DO234" s="105"/>
      <c r="DP234" s="98"/>
      <c r="DQ234" s="279"/>
      <c r="DR234" s="52"/>
      <c r="DS234" s="105"/>
      <c r="DT234" s="98"/>
      <c r="DU234" s="279"/>
      <c r="DV234" s="52"/>
      <c r="DW234" s="105"/>
      <c r="DX234" s="98"/>
      <c r="DY234" s="279"/>
      <c r="DZ234" s="52"/>
      <c r="EA234" s="105"/>
      <c r="EB234" s="98"/>
      <c r="EC234" s="279"/>
      <c r="ED234" s="52"/>
      <c r="EE234" s="105"/>
      <c r="EF234" s="98"/>
      <c r="EG234" s="159"/>
      <c r="EH234" s="277"/>
      <c r="EI234" s="50">
        <f t="shared" si="102"/>
        <v>0</v>
      </c>
      <c r="EJ234" s="103">
        <f t="shared" si="103"/>
        <v>0</v>
      </c>
      <c r="EK234" s="164">
        <f t="shared" si="104"/>
        <v>0</v>
      </c>
      <c r="EL234" s="280">
        <f t="shared" si="105"/>
        <v>0</v>
      </c>
      <c r="EM234" s="63">
        <f t="shared" si="106"/>
        <v>0</v>
      </c>
      <c r="EN234" s="359">
        <f t="shared" si="107"/>
        <v>0</v>
      </c>
      <c r="EO234" s="51">
        <f t="shared" si="108"/>
        <v>0</v>
      </c>
      <c r="EP234" s="361">
        <f t="shared" si="109"/>
        <v>0</v>
      </c>
      <c r="EQ234" s="281"/>
      <c r="ER234" s="277"/>
      <c r="ES234" s="281"/>
      <c r="ET234" s="277"/>
      <c r="EU234" s="281"/>
      <c r="EV234" s="277"/>
      <c r="EW234" s="281"/>
      <c r="EX234" s="277"/>
      <c r="EY234" s="281"/>
      <c r="EZ234" s="277"/>
      <c r="FA234" s="281"/>
      <c r="FB234" s="277"/>
      <c r="FC234" s="281"/>
      <c r="FD234" s="277"/>
      <c r="FE234" s="281"/>
      <c r="FF234" s="277"/>
      <c r="FG234" s="281"/>
      <c r="FH234" s="277"/>
      <c r="FI234" s="281"/>
      <c r="FJ234" s="277"/>
      <c r="FK234" s="50">
        <f t="shared" si="110"/>
        <v>0</v>
      </c>
      <c r="FL234" s="63">
        <f t="shared" si="111"/>
        <v>0</v>
      </c>
      <c r="FM234" s="50">
        <f t="shared" si="93"/>
        <v>56</v>
      </c>
      <c r="FN234" s="360">
        <f t="shared" si="94"/>
        <v>74</v>
      </c>
      <c r="FO234" s="335"/>
      <c r="FP234" s="279"/>
      <c r="FQ234" s="52"/>
      <c r="FR234" s="296"/>
      <c r="FS234" s="98"/>
      <c r="FT234" s="467"/>
      <c r="FU234" s="52"/>
      <c r="FV234" s="296"/>
      <c r="FW234" s="98"/>
      <c r="FX234" s="467"/>
      <c r="FY234" s="52"/>
      <c r="FZ234" s="296"/>
      <c r="GA234" s="98"/>
      <c r="GB234" s="467"/>
      <c r="GC234" s="52"/>
      <c r="GD234" s="296"/>
      <c r="GE234" s="98"/>
      <c r="GF234" s="467"/>
      <c r="GG234" s="52"/>
      <c r="GH234" s="296"/>
      <c r="GI234" s="98"/>
      <c r="GJ234" s="467"/>
      <c r="GK234" s="52"/>
      <c r="GL234" s="296"/>
      <c r="GM234" s="464"/>
      <c r="GN234" s="467"/>
      <c r="GO234" s="52"/>
      <c r="GP234" s="296"/>
      <c r="GQ234" s="464"/>
      <c r="GR234" s="467"/>
      <c r="GS234" s="52"/>
      <c r="GT234" s="296"/>
      <c r="GU234" s="464"/>
      <c r="GV234" s="467"/>
      <c r="GW234" s="52"/>
      <c r="GX234" s="296"/>
      <c r="GY234" s="464"/>
      <c r="GZ234" s="467"/>
      <c r="HA234" s="52"/>
      <c r="HB234" s="296"/>
      <c r="HC234" s="335"/>
    </row>
    <row r="235" spans="1:211" s="396" customFormat="1">
      <c r="A235" s="491" t="s">
        <v>759</v>
      </c>
      <c r="B235" s="368" t="s">
        <v>781</v>
      </c>
      <c r="C235" s="325">
        <v>434061</v>
      </c>
      <c r="D235" s="349">
        <v>10</v>
      </c>
      <c r="E235" s="460">
        <v>31</v>
      </c>
      <c r="F235" s="492">
        <v>244</v>
      </c>
      <c r="G235" s="158"/>
      <c r="H235" s="277"/>
      <c r="I235" s="158">
        <v>100</v>
      </c>
      <c r="J235" s="588">
        <v>157</v>
      </c>
      <c r="K235" s="160">
        <f t="shared" si="95"/>
        <v>0</v>
      </c>
      <c r="L235" s="161">
        <f t="shared" si="88"/>
        <v>0</v>
      </c>
      <c r="M235" s="54"/>
      <c r="N235" s="55"/>
      <c r="O235" s="55"/>
      <c r="P235" s="55"/>
      <c r="Q235" s="162">
        <f t="shared" si="96"/>
        <v>0</v>
      </c>
      <c r="R235" s="494"/>
      <c r="S235" s="277"/>
      <c r="T235" s="277"/>
      <c r="U235" s="277"/>
      <c r="V235" s="97">
        <f t="shared" si="97"/>
        <v>0</v>
      </c>
      <c r="W235" s="279"/>
      <c r="X235" s="52"/>
      <c r="Y235" s="99"/>
      <c r="Z235" s="53"/>
      <c r="AA235" s="228"/>
      <c r="AB235" s="52"/>
      <c r="AC235" s="99"/>
      <c r="AD235" s="53"/>
      <c r="AE235" s="228"/>
      <c r="AF235" s="52"/>
      <c r="AG235" s="99"/>
      <c r="AH235" s="53"/>
      <c r="AI235" s="228"/>
      <c r="AJ235" s="52"/>
      <c r="AK235" s="99"/>
      <c r="AL235" s="53"/>
      <c r="AM235" s="228"/>
      <c r="AN235" s="52"/>
      <c r="AO235" s="99"/>
      <c r="AP235" s="53"/>
      <c r="AQ235" s="50">
        <f t="shared" si="89"/>
        <v>0</v>
      </c>
      <c r="AR235" s="163">
        <f t="shared" si="90"/>
        <v>0</v>
      </c>
      <c r="AS235" s="97">
        <f t="shared" si="91"/>
        <v>0</v>
      </c>
      <c r="AT235" s="278">
        <f t="shared" si="92"/>
        <v>0</v>
      </c>
      <c r="AU235" s="55"/>
      <c r="AV235" s="277"/>
      <c r="AW235" s="279"/>
      <c r="AX235" s="52"/>
      <c r="AY235" s="105"/>
      <c r="AZ235" s="98"/>
      <c r="BA235" s="279"/>
      <c r="BB235" s="52"/>
      <c r="BC235" s="105"/>
      <c r="BD235" s="98"/>
      <c r="BE235" s="279"/>
      <c r="BF235" s="52"/>
      <c r="BG235" s="105"/>
      <c r="BH235" s="98"/>
      <c r="BI235" s="279"/>
      <c r="BJ235" s="52"/>
      <c r="BK235" s="105"/>
      <c r="BL235" s="98"/>
      <c r="BM235" s="279"/>
      <c r="BN235" s="52"/>
      <c r="BO235" s="105"/>
      <c r="BP235" s="98"/>
      <c r="BQ235" s="279"/>
      <c r="BR235" s="52"/>
      <c r="BS235" s="105"/>
      <c r="BT235" s="98"/>
      <c r="BU235" s="279"/>
      <c r="BV235" s="52"/>
      <c r="BW235" s="105"/>
      <c r="BX235" s="98"/>
      <c r="BY235" s="279"/>
      <c r="BZ235" s="52"/>
      <c r="CA235" s="105"/>
      <c r="CB235" s="98"/>
      <c r="CC235" s="279"/>
      <c r="CD235" s="52"/>
      <c r="CE235" s="105"/>
      <c r="CF235" s="98"/>
      <c r="CG235" s="279"/>
      <c r="CH235" s="52"/>
      <c r="CI235" s="105"/>
      <c r="CJ235" s="98"/>
      <c r="CK235" s="281"/>
      <c r="CL235" s="277"/>
      <c r="CM235" s="159"/>
      <c r="CN235" s="277"/>
      <c r="CO235" s="50">
        <f t="shared" si="98"/>
        <v>0</v>
      </c>
      <c r="CP235" s="103">
        <f t="shared" si="99"/>
        <v>0</v>
      </c>
      <c r="CQ235" s="280">
        <f t="shared" si="100"/>
        <v>0</v>
      </c>
      <c r="CR235" s="63">
        <f t="shared" si="101"/>
        <v>0</v>
      </c>
      <c r="CS235" s="279"/>
      <c r="CT235" s="52"/>
      <c r="CU235" s="105"/>
      <c r="CV235" s="98"/>
      <c r="CW235" s="279"/>
      <c r="CX235" s="52"/>
      <c r="CY235" s="105"/>
      <c r="CZ235" s="98"/>
      <c r="DA235" s="279"/>
      <c r="DB235" s="52"/>
      <c r="DC235" s="105"/>
      <c r="DD235" s="98"/>
      <c r="DE235" s="279"/>
      <c r="DF235" s="52"/>
      <c r="DG235" s="105"/>
      <c r="DH235" s="98"/>
      <c r="DI235" s="279"/>
      <c r="DJ235" s="52"/>
      <c r="DK235" s="105"/>
      <c r="DL235" s="98"/>
      <c r="DM235" s="279"/>
      <c r="DN235" s="52"/>
      <c r="DO235" s="105"/>
      <c r="DP235" s="98"/>
      <c r="DQ235" s="279"/>
      <c r="DR235" s="52"/>
      <c r="DS235" s="105"/>
      <c r="DT235" s="98"/>
      <c r="DU235" s="279"/>
      <c r="DV235" s="52"/>
      <c r="DW235" s="105"/>
      <c r="DX235" s="98"/>
      <c r="DY235" s="279"/>
      <c r="DZ235" s="52"/>
      <c r="EA235" s="105"/>
      <c r="EB235" s="98"/>
      <c r="EC235" s="279"/>
      <c r="ED235" s="52"/>
      <c r="EE235" s="105"/>
      <c r="EF235" s="98"/>
      <c r="EG235" s="159"/>
      <c r="EH235" s="277"/>
      <c r="EI235" s="50">
        <f t="shared" si="102"/>
        <v>0</v>
      </c>
      <c r="EJ235" s="103">
        <f t="shared" si="103"/>
        <v>0</v>
      </c>
      <c r="EK235" s="164">
        <f t="shared" si="104"/>
        <v>0</v>
      </c>
      <c r="EL235" s="280">
        <f t="shared" si="105"/>
        <v>0</v>
      </c>
      <c r="EM235" s="63">
        <f t="shared" si="106"/>
        <v>0</v>
      </c>
      <c r="EN235" s="359">
        <f t="shared" si="107"/>
        <v>0</v>
      </c>
      <c r="EO235" s="51">
        <f t="shared" si="108"/>
        <v>0</v>
      </c>
      <c r="EP235" s="361">
        <f t="shared" si="109"/>
        <v>0</v>
      </c>
      <c r="EQ235" s="281"/>
      <c r="ER235" s="277"/>
      <c r="ES235" s="281"/>
      <c r="ET235" s="277"/>
      <c r="EU235" s="281"/>
      <c r="EV235" s="277"/>
      <c r="EW235" s="281"/>
      <c r="EX235" s="277"/>
      <c r="EY235" s="281"/>
      <c r="EZ235" s="277"/>
      <c r="FA235" s="281"/>
      <c r="FB235" s="277"/>
      <c r="FC235" s="281"/>
      <c r="FD235" s="277"/>
      <c r="FE235" s="281"/>
      <c r="FF235" s="277"/>
      <c r="FG235" s="281"/>
      <c r="FH235" s="277"/>
      <c r="FI235" s="281"/>
      <c r="FJ235" s="277"/>
      <c r="FK235" s="50">
        <f t="shared" si="110"/>
        <v>0</v>
      </c>
      <c r="FL235" s="63">
        <f t="shared" si="111"/>
        <v>0</v>
      </c>
      <c r="FM235" s="50">
        <f t="shared" si="93"/>
        <v>131</v>
      </c>
      <c r="FN235" s="360">
        <f t="shared" si="94"/>
        <v>401</v>
      </c>
      <c r="FO235" s="335"/>
      <c r="FP235" s="279"/>
      <c r="FQ235" s="52"/>
      <c r="FR235" s="296"/>
      <c r="FS235" s="98"/>
      <c r="FT235" s="467"/>
      <c r="FU235" s="52"/>
      <c r="FV235" s="296"/>
      <c r="FW235" s="98"/>
      <c r="FX235" s="467"/>
      <c r="FY235" s="52"/>
      <c r="FZ235" s="296"/>
      <c r="GA235" s="98"/>
      <c r="GB235" s="467"/>
      <c r="GC235" s="52"/>
      <c r="GD235" s="296"/>
      <c r="GE235" s="98"/>
      <c r="GF235" s="467"/>
      <c r="GG235" s="52"/>
      <c r="GH235" s="296"/>
      <c r="GI235" s="98"/>
      <c r="GJ235" s="467"/>
      <c r="GK235" s="52"/>
      <c r="GL235" s="296"/>
      <c r="GM235" s="464"/>
      <c r="GN235" s="467"/>
      <c r="GO235" s="52"/>
      <c r="GP235" s="296"/>
      <c r="GQ235" s="464"/>
      <c r="GR235" s="467"/>
      <c r="GS235" s="52"/>
      <c r="GT235" s="296"/>
      <c r="GU235" s="464"/>
      <c r="GV235" s="467"/>
      <c r="GW235" s="52"/>
      <c r="GX235" s="296"/>
      <c r="GY235" s="464"/>
      <c r="GZ235" s="467"/>
      <c r="HA235" s="52"/>
      <c r="HB235" s="296"/>
      <c r="HC235" s="335"/>
    </row>
    <row r="236" spans="1:211" s="396" customFormat="1">
      <c r="A236" s="498" t="s">
        <v>759</v>
      </c>
      <c r="B236" s="327" t="s">
        <v>782</v>
      </c>
      <c r="C236" s="336">
        <v>160649</v>
      </c>
      <c r="D236" s="350">
        <v>10</v>
      </c>
      <c r="E236" s="460">
        <v>70</v>
      </c>
      <c r="F236" s="492">
        <v>71</v>
      </c>
      <c r="G236" s="158"/>
      <c r="H236" s="277"/>
      <c r="I236" s="158">
        <v>252</v>
      </c>
      <c r="J236" s="588">
        <v>242</v>
      </c>
      <c r="K236" s="160">
        <f t="shared" si="95"/>
        <v>0</v>
      </c>
      <c r="L236" s="161">
        <f t="shared" si="88"/>
        <v>0</v>
      </c>
      <c r="M236" s="54"/>
      <c r="N236" s="55"/>
      <c r="O236" s="55"/>
      <c r="P236" s="55"/>
      <c r="Q236" s="162">
        <f t="shared" si="96"/>
        <v>0</v>
      </c>
      <c r="R236" s="494"/>
      <c r="S236" s="277"/>
      <c r="T236" s="277"/>
      <c r="U236" s="277"/>
      <c r="V236" s="97">
        <f t="shared" si="97"/>
        <v>0</v>
      </c>
      <c r="W236" s="279"/>
      <c r="X236" s="52"/>
      <c r="Y236" s="99"/>
      <c r="Z236" s="53"/>
      <c r="AA236" s="228"/>
      <c r="AB236" s="52"/>
      <c r="AC236" s="99"/>
      <c r="AD236" s="53"/>
      <c r="AE236" s="228"/>
      <c r="AF236" s="52"/>
      <c r="AG236" s="99"/>
      <c r="AH236" s="53"/>
      <c r="AI236" s="228"/>
      <c r="AJ236" s="52"/>
      <c r="AK236" s="99"/>
      <c r="AL236" s="53"/>
      <c r="AM236" s="228"/>
      <c r="AN236" s="52"/>
      <c r="AO236" s="99"/>
      <c r="AP236" s="53"/>
      <c r="AQ236" s="50">
        <f t="shared" si="89"/>
        <v>0</v>
      </c>
      <c r="AR236" s="163">
        <f t="shared" si="90"/>
        <v>0</v>
      </c>
      <c r="AS236" s="97">
        <f t="shared" si="91"/>
        <v>0</v>
      </c>
      <c r="AT236" s="278">
        <f t="shared" si="92"/>
        <v>0</v>
      </c>
      <c r="AU236" s="55"/>
      <c r="AV236" s="277"/>
      <c r="AW236" s="279"/>
      <c r="AX236" s="52"/>
      <c r="AY236" s="105"/>
      <c r="AZ236" s="98"/>
      <c r="BA236" s="279"/>
      <c r="BB236" s="52"/>
      <c r="BC236" s="105"/>
      <c r="BD236" s="98"/>
      <c r="BE236" s="279"/>
      <c r="BF236" s="52"/>
      <c r="BG236" s="105"/>
      <c r="BH236" s="98"/>
      <c r="BI236" s="279"/>
      <c r="BJ236" s="52"/>
      <c r="BK236" s="105"/>
      <c r="BL236" s="98"/>
      <c r="BM236" s="279"/>
      <c r="BN236" s="52"/>
      <c r="BO236" s="105"/>
      <c r="BP236" s="98"/>
      <c r="BQ236" s="279"/>
      <c r="BR236" s="52"/>
      <c r="BS236" s="105"/>
      <c r="BT236" s="98"/>
      <c r="BU236" s="279"/>
      <c r="BV236" s="52"/>
      <c r="BW236" s="105"/>
      <c r="BX236" s="98"/>
      <c r="BY236" s="279"/>
      <c r="BZ236" s="52"/>
      <c r="CA236" s="105"/>
      <c r="CB236" s="98"/>
      <c r="CC236" s="279"/>
      <c r="CD236" s="52"/>
      <c r="CE236" s="105"/>
      <c r="CF236" s="98"/>
      <c r="CG236" s="279"/>
      <c r="CH236" s="52"/>
      <c r="CI236" s="105"/>
      <c r="CJ236" s="98"/>
      <c r="CK236" s="281"/>
      <c r="CL236" s="277"/>
      <c r="CM236" s="159"/>
      <c r="CN236" s="277"/>
      <c r="CO236" s="50">
        <f t="shared" si="98"/>
        <v>0</v>
      </c>
      <c r="CP236" s="103">
        <f t="shared" si="99"/>
        <v>0</v>
      </c>
      <c r="CQ236" s="280">
        <f t="shared" si="100"/>
        <v>0</v>
      </c>
      <c r="CR236" s="63">
        <f t="shared" si="101"/>
        <v>0</v>
      </c>
      <c r="CS236" s="279"/>
      <c r="CT236" s="52"/>
      <c r="CU236" s="105"/>
      <c r="CV236" s="98"/>
      <c r="CW236" s="279"/>
      <c r="CX236" s="52"/>
      <c r="CY236" s="105"/>
      <c r="CZ236" s="98"/>
      <c r="DA236" s="279"/>
      <c r="DB236" s="52"/>
      <c r="DC236" s="105"/>
      <c r="DD236" s="98"/>
      <c r="DE236" s="279"/>
      <c r="DF236" s="52"/>
      <c r="DG236" s="105"/>
      <c r="DH236" s="98"/>
      <c r="DI236" s="279"/>
      <c r="DJ236" s="52"/>
      <c r="DK236" s="105"/>
      <c r="DL236" s="98"/>
      <c r="DM236" s="279"/>
      <c r="DN236" s="52"/>
      <c r="DO236" s="105"/>
      <c r="DP236" s="98"/>
      <c r="DQ236" s="279"/>
      <c r="DR236" s="52"/>
      <c r="DS236" s="105"/>
      <c r="DT236" s="98"/>
      <c r="DU236" s="279"/>
      <c r="DV236" s="52"/>
      <c r="DW236" s="105"/>
      <c r="DX236" s="98"/>
      <c r="DY236" s="279"/>
      <c r="DZ236" s="52"/>
      <c r="EA236" s="105"/>
      <c r="EB236" s="98"/>
      <c r="EC236" s="279"/>
      <c r="ED236" s="52"/>
      <c r="EE236" s="105"/>
      <c r="EF236" s="98"/>
      <c r="EG236" s="159"/>
      <c r="EH236" s="277"/>
      <c r="EI236" s="50">
        <f t="shared" si="102"/>
        <v>0</v>
      </c>
      <c r="EJ236" s="103">
        <f t="shared" si="103"/>
        <v>0</v>
      </c>
      <c r="EK236" s="164">
        <f t="shared" si="104"/>
        <v>0</v>
      </c>
      <c r="EL236" s="280">
        <f t="shared" si="105"/>
        <v>0</v>
      </c>
      <c r="EM236" s="63">
        <f t="shared" si="106"/>
        <v>0</v>
      </c>
      <c r="EN236" s="359">
        <f t="shared" si="107"/>
        <v>0</v>
      </c>
      <c r="EO236" s="51">
        <f t="shared" si="108"/>
        <v>0</v>
      </c>
      <c r="EP236" s="361">
        <f t="shared" si="109"/>
        <v>0</v>
      </c>
      <c r="EQ236" s="281"/>
      <c r="ER236" s="277"/>
      <c r="ES236" s="281"/>
      <c r="ET236" s="277"/>
      <c r="EU236" s="281"/>
      <c r="EV236" s="277"/>
      <c r="EW236" s="281"/>
      <c r="EX236" s="277"/>
      <c r="EY236" s="281"/>
      <c r="EZ236" s="277"/>
      <c r="FA236" s="281"/>
      <c r="FB236" s="277"/>
      <c r="FC236" s="281"/>
      <c r="FD236" s="277"/>
      <c r="FE236" s="281"/>
      <c r="FF236" s="277"/>
      <c r="FG236" s="281"/>
      <c r="FH236" s="277"/>
      <c r="FI236" s="281"/>
      <c r="FJ236" s="277"/>
      <c r="FK236" s="50">
        <f t="shared" si="110"/>
        <v>0</v>
      </c>
      <c r="FL236" s="63">
        <f t="shared" si="111"/>
        <v>0</v>
      </c>
      <c r="FM236" s="50">
        <f t="shared" si="93"/>
        <v>322</v>
      </c>
      <c r="FN236" s="360">
        <f t="shared" si="94"/>
        <v>313</v>
      </c>
      <c r="FO236" s="335"/>
      <c r="FP236" s="279"/>
      <c r="FQ236" s="52"/>
      <c r="FR236" s="296"/>
      <c r="FS236" s="98"/>
      <c r="FT236" s="467"/>
      <c r="FU236" s="52"/>
      <c r="FV236" s="296"/>
      <c r="FW236" s="98"/>
      <c r="FX236" s="467"/>
      <c r="FY236" s="52"/>
      <c r="FZ236" s="296"/>
      <c r="GA236" s="98"/>
      <c r="GB236" s="467"/>
      <c r="GC236" s="52"/>
      <c r="GD236" s="296"/>
      <c r="GE236" s="98"/>
      <c r="GF236" s="467"/>
      <c r="GG236" s="52"/>
      <c r="GH236" s="296"/>
      <c r="GI236" s="98"/>
      <c r="GJ236" s="467"/>
      <c r="GK236" s="52"/>
      <c r="GL236" s="296"/>
      <c r="GM236" s="464"/>
      <c r="GN236" s="467"/>
      <c r="GO236" s="52"/>
      <c r="GP236" s="296"/>
      <c r="GQ236" s="464"/>
      <c r="GR236" s="467"/>
      <c r="GS236" s="52"/>
      <c r="GT236" s="296"/>
      <c r="GU236" s="464"/>
      <c r="GV236" s="467"/>
      <c r="GW236" s="52"/>
      <c r="GX236" s="296"/>
      <c r="GY236" s="464"/>
      <c r="GZ236" s="467"/>
      <c r="HA236" s="52"/>
      <c r="HB236" s="296"/>
      <c r="HC236" s="335"/>
    </row>
    <row r="237" spans="1:211" s="396" customFormat="1">
      <c r="A237" s="491" t="s">
        <v>759</v>
      </c>
      <c r="B237" s="326" t="s">
        <v>783</v>
      </c>
      <c r="C237" s="325">
        <v>160579</v>
      </c>
      <c r="D237" s="349">
        <v>12</v>
      </c>
      <c r="E237" s="460">
        <v>137</v>
      </c>
      <c r="F237" s="492">
        <v>143</v>
      </c>
      <c r="G237" s="158"/>
      <c r="H237" s="277"/>
      <c r="I237" s="158">
        <v>192</v>
      </c>
      <c r="J237" s="588">
        <v>214</v>
      </c>
      <c r="K237" s="160">
        <f t="shared" si="95"/>
        <v>0</v>
      </c>
      <c r="L237" s="161">
        <f t="shared" si="88"/>
        <v>0</v>
      </c>
      <c r="M237" s="54"/>
      <c r="N237" s="55"/>
      <c r="O237" s="55"/>
      <c r="P237" s="55"/>
      <c r="Q237" s="162">
        <f t="shared" si="96"/>
        <v>0</v>
      </c>
      <c r="R237" s="494"/>
      <c r="S237" s="277"/>
      <c r="T237" s="277"/>
      <c r="U237" s="277"/>
      <c r="V237" s="97">
        <f t="shared" si="97"/>
        <v>0</v>
      </c>
      <c r="W237" s="279"/>
      <c r="X237" s="52"/>
      <c r="Y237" s="99"/>
      <c r="Z237" s="53"/>
      <c r="AA237" s="228"/>
      <c r="AB237" s="52"/>
      <c r="AC237" s="99"/>
      <c r="AD237" s="53"/>
      <c r="AE237" s="228"/>
      <c r="AF237" s="52"/>
      <c r="AG237" s="99"/>
      <c r="AH237" s="53"/>
      <c r="AI237" s="228"/>
      <c r="AJ237" s="52"/>
      <c r="AK237" s="99"/>
      <c r="AL237" s="53"/>
      <c r="AM237" s="228"/>
      <c r="AN237" s="52"/>
      <c r="AO237" s="99"/>
      <c r="AP237" s="53"/>
      <c r="AQ237" s="50">
        <f t="shared" si="89"/>
        <v>0</v>
      </c>
      <c r="AR237" s="163">
        <f t="shared" si="90"/>
        <v>0</v>
      </c>
      <c r="AS237" s="97">
        <f t="shared" si="91"/>
        <v>0</v>
      </c>
      <c r="AT237" s="278">
        <f t="shared" si="92"/>
        <v>0</v>
      </c>
      <c r="AU237" s="55"/>
      <c r="AV237" s="277"/>
      <c r="AW237" s="279"/>
      <c r="AX237" s="52"/>
      <c r="AY237" s="105"/>
      <c r="AZ237" s="98"/>
      <c r="BA237" s="279"/>
      <c r="BB237" s="52"/>
      <c r="BC237" s="105"/>
      <c r="BD237" s="98"/>
      <c r="BE237" s="279"/>
      <c r="BF237" s="52"/>
      <c r="BG237" s="105"/>
      <c r="BH237" s="98"/>
      <c r="BI237" s="279"/>
      <c r="BJ237" s="52"/>
      <c r="BK237" s="105"/>
      <c r="BL237" s="98"/>
      <c r="BM237" s="279"/>
      <c r="BN237" s="52"/>
      <c r="BO237" s="105"/>
      <c r="BP237" s="98"/>
      <c r="BQ237" s="279"/>
      <c r="BR237" s="52"/>
      <c r="BS237" s="105"/>
      <c r="BT237" s="98"/>
      <c r="BU237" s="279"/>
      <c r="BV237" s="52"/>
      <c r="BW237" s="105"/>
      <c r="BX237" s="98"/>
      <c r="BY237" s="279"/>
      <c r="BZ237" s="52"/>
      <c r="CA237" s="105"/>
      <c r="CB237" s="98"/>
      <c r="CC237" s="279"/>
      <c r="CD237" s="52"/>
      <c r="CE237" s="105"/>
      <c r="CF237" s="98"/>
      <c r="CG237" s="279"/>
      <c r="CH237" s="52"/>
      <c r="CI237" s="105"/>
      <c r="CJ237" s="98"/>
      <c r="CK237" s="281"/>
      <c r="CL237" s="277"/>
      <c r="CM237" s="159"/>
      <c r="CN237" s="277"/>
      <c r="CO237" s="50">
        <f t="shared" si="98"/>
        <v>0</v>
      </c>
      <c r="CP237" s="103">
        <f t="shared" si="99"/>
        <v>0</v>
      </c>
      <c r="CQ237" s="280">
        <f t="shared" si="100"/>
        <v>0</v>
      </c>
      <c r="CR237" s="63">
        <f t="shared" si="101"/>
        <v>0</v>
      </c>
      <c r="CS237" s="279"/>
      <c r="CT237" s="52"/>
      <c r="CU237" s="105"/>
      <c r="CV237" s="98"/>
      <c r="CW237" s="279"/>
      <c r="CX237" s="52"/>
      <c r="CY237" s="105"/>
      <c r="CZ237" s="98"/>
      <c r="DA237" s="279"/>
      <c r="DB237" s="52"/>
      <c r="DC237" s="105"/>
      <c r="DD237" s="98"/>
      <c r="DE237" s="279"/>
      <c r="DF237" s="52"/>
      <c r="DG237" s="105"/>
      <c r="DH237" s="98"/>
      <c r="DI237" s="279"/>
      <c r="DJ237" s="52"/>
      <c r="DK237" s="105"/>
      <c r="DL237" s="98"/>
      <c r="DM237" s="279"/>
      <c r="DN237" s="52"/>
      <c r="DO237" s="105"/>
      <c r="DP237" s="98"/>
      <c r="DQ237" s="279"/>
      <c r="DR237" s="52"/>
      <c r="DS237" s="105"/>
      <c r="DT237" s="98"/>
      <c r="DU237" s="279"/>
      <c r="DV237" s="52"/>
      <c r="DW237" s="105"/>
      <c r="DX237" s="98"/>
      <c r="DY237" s="279"/>
      <c r="DZ237" s="52"/>
      <c r="EA237" s="105"/>
      <c r="EB237" s="98"/>
      <c r="EC237" s="279"/>
      <c r="ED237" s="52"/>
      <c r="EE237" s="105"/>
      <c r="EF237" s="98"/>
      <c r="EG237" s="159"/>
      <c r="EH237" s="277"/>
      <c r="EI237" s="50">
        <f t="shared" si="102"/>
        <v>0</v>
      </c>
      <c r="EJ237" s="103">
        <f t="shared" si="103"/>
        <v>0</v>
      </c>
      <c r="EK237" s="164">
        <f t="shared" si="104"/>
        <v>0</v>
      </c>
      <c r="EL237" s="280">
        <f t="shared" si="105"/>
        <v>0</v>
      </c>
      <c r="EM237" s="63">
        <f t="shared" si="106"/>
        <v>0</v>
      </c>
      <c r="EN237" s="359">
        <f t="shared" si="107"/>
        <v>0</v>
      </c>
      <c r="EO237" s="51">
        <f t="shared" si="108"/>
        <v>0</v>
      </c>
      <c r="EP237" s="361">
        <f t="shared" si="109"/>
        <v>0</v>
      </c>
      <c r="EQ237" s="281"/>
      <c r="ER237" s="277"/>
      <c r="ES237" s="281"/>
      <c r="ET237" s="277"/>
      <c r="EU237" s="281"/>
      <c r="EV237" s="277"/>
      <c r="EW237" s="281"/>
      <c r="EX237" s="277"/>
      <c r="EY237" s="281"/>
      <c r="EZ237" s="277"/>
      <c r="FA237" s="281"/>
      <c r="FB237" s="277"/>
      <c r="FC237" s="281"/>
      <c r="FD237" s="277"/>
      <c r="FE237" s="281"/>
      <c r="FF237" s="277"/>
      <c r="FG237" s="281"/>
      <c r="FH237" s="277"/>
      <c r="FI237" s="281"/>
      <c r="FJ237" s="277"/>
      <c r="FK237" s="50">
        <f t="shared" si="110"/>
        <v>0</v>
      </c>
      <c r="FL237" s="63">
        <f t="shared" si="111"/>
        <v>0</v>
      </c>
      <c r="FM237" s="50">
        <f t="shared" si="93"/>
        <v>329</v>
      </c>
      <c r="FN237" s="360">
        <f t="shared" si="94"/>
        <v>357</v>
      </c>
      <c r="FO237" s="335"/>
      <c r="FP237" s="279"/>
      <c r="FQ237" s="52"/>
      <c r="FR237" s="296"/>
      <c r="FS237" s="98"/>
      <c r="FT237" s="467"/>
      <c r="FU237" s="52"/>
      <c r="FV237" s="296"/>
      <c r="FW237" s="98"/>
      <c r="FX237" s="467"/>
      <c r="FY237" s="52"/>
      <c r="FZ237" s="296"/>
      <c r="GA237" s="98"/>
      <c r="GB237" s="467"/>
      <c r="GC237" s="52"/>
      <c r="GD237" s="296"/>
      <c r="GE237" s="98"/>
      <c r="GF237" s="467"/>
      <c r="GG237" s="52"/>
      <c r="GH237" s="296"/>
      <c r="GI237" s="98"/>
      <c r="GJ237" s="467"/>
      <c r="GK237" s="52"/>
      <c r="GL237" s="296"/>
      <c r="GM237" s="464"/>
      <c r="GN237" s="467"/>
      <c r="GO237" s="52"/>
      <c r="GP237" s="296"/>
      <c r="GQ237" s="464"/>
      <c r="GR237" s="467"/>
      <c r="GS237" s="52"/>
      <c r="GT237" s="296"/>
      <c r="GU237" s="464"/>
      <c r="GV237" s="467"/>
      <c r="GW237" s="52"/>
      <c r="GX237" s="296"/>
      <c r="GY237" s="464"/>
      <c r="GZ237" s="467"/>
      <c r="HA237" s="52"/>
      <c r="HB237" s="296"/>
      <c r="HC237" s="335"/>
    </row>
    <row r="238" spans="1:211" s="396" customFormat="1">
      <c r="A238" s="491" t="s">
        <v>759</v>
      </c>
      <c r="B238" s="326" t="s">
        <v>784</v>
      </c>
      <c r="C238" s="325">
        <v>160481</v>
      </c>
      <c r="D238" s="349">
        <v>13</v>
      </c>
      <c r="E238" s="460">
        <v>53</v>
      </c>
      <c r="F238" s="492">
        <v>84</v>
      </c>
      <c r="G238" s="158"/>
      <c r="H238" s="277"/>
      <c r="I238" s="158">
        <v>33</v>
      </c>
      <c r="J238" s="588">
        <v>38</v>
      </c>
      <c r="K238" s="160">
        <f t="shared" si="95"/>
        <v>0</v>
      </c>
      <c r="L238" s="161">
        <f t="shared" si="88"/>
        <v>0</v>
      </c>
      <c r="M238" s="54"/>
      <c r="N238" s="55"/>
      <c r="O238" s="55"/>
      <c r="P238" s="55"/>
      <c r="Q238" s="162">
        <f t="shared" si="96"/>
        <v>0</v>
      </c>
      <c r="R238" s="494"/>
      <c r="S238" s="277"/>
      <c r="T238" s="277"/>
      <c r="U238" s="277"/>
      <c r="V238" s="97">
        <f t="shared" si="97"/>
        <v>0</v>
      </c>
      <c r="W238" s="279"/>
      <c r="X238" s="52"/>
      <c r="Y238" s="99"/>
      <c r="Z238" s="53"/>
      <c r="AA238" s="228"/>
      <c r="AB238" s="52"/>
      <c r="AC238" s="99"/>
      <c r="AD238" s="53"/>
      <c r="AE238" s="228"/>
      <c r="AF238" s="52"/>
      <c r="AG238" s="99"/>
      <c r="AH238" s="53"/>
      <c r="AI238" s="228"/>
      <c r="AJ238" s="52"/>
      <c r="AK238" s="99"/>
      <c r="AL238" s="53"/>
      <c r="AM238" s="228"/>
      <c r="AN238" s="52"/>
      <c r="AO238" s="99"/>
      <c r="AP238" s="53"/>
      <c r="AQ238" s="50">
        <f t="shared" si="89"/>
        <v>0</v>
      </c>
      <c r="AR238" s="163">
        <f t="shared" si="90"/>
        <v>0</v>
      </c>
      <c r="AS238" s="97">
        <f t="shared" si="91"/>
        <v>0</v>
      </c>
      <c r="AT238" s="278">
        <f t="shared" si="92"/>
        <v>0</v>
      </c>
      <c r="AU238" s="55"/>
      <c r="AV238" s="277"/>
      <c r="AW238" s="279"/>
      <c r="AX238" s="52"/>
      <c r="AY238" s="105"/>
      <c r="AZ238" s="98"/>
      <c r="BA238" s="279"/>
      <c r="BB238" s="52"/>
      <c r="BC238" s="105"/>
      <c r="BD238" s="98"/>
      <c r="BE238" s="279"/>
      <c r="BF238" s="52"/>
      <c r="BG238" s="105"/>
      <c r="BH238" s="98"/>
      <c r="BI238" s="279"/>
      <c r="BJ238" s="52"/>
      <c r="BK238" s="105"/>
      <c r="BL238" s="98"/>
      <c r="BM238" s="279"/>
      <c r="BN238" s="52"/>
      <c r="BO238" s="105"/>
      <c r="BP238" s="98"/>
      <c r="BQ238" s="279"/>
      <c r="BR238" s="52"/>
      <c r="BS238" s="105"/>
      <c r="BT238" s="98"/>
      <c r="BU238" s="279"/>
      <c r="BV238" s="52"/>
      <c r="BW238" s="105"/>
      <c r="BX238" s="98"/>
      <c r="BY238" s="279"/>
      <c r="BZ238" s="52"/>
      <c r="CA238" s="105"/>
      <c r="CB238" s="98"/>
      <c r="CC238" s="279"/>
      <c r="CD238" s="52"/>
      <c r="CE238" s="105"/>
      <c r="CF238" s="98"/>
      <c r="CG238" s="279"/>
      <c r="CH238" s="52"/>
      <c r="CI238" s="105"/>
      <c r="CJ238" s="98"/>
      <c r="CK238" s="281"/>
      <c r="CL238" s="277"/>
      <c r="CM238" s="159"/>
      <c r="CN238" s="277"/>
      <c r="CO238" s="50">
        <f t="shared" si="98"/>
        <v>0</v>
      </c>
      <c r="CP238" s="103">
        <f t="shared" si="99"/>
        <v>0</v>
      </c>
      <c r="CQ238" s="280">
        <f t="shared" si="100"/>
        <v>0</v>
      </c>
      <c r="CR238" s="63">
        <f t="shared" si="101"/>
        <v>0</v>
      </c>
      <c r="CS238" s="279"/>
      <c r="CT238" s="52"/>
      <c r="CU238" s="105"/>
      <c r="CV238" s="98"/>
      <c r="CW238" s="279"/>
      <c r="CX238" s="52"/>
      <c r="CY238" s="105"/>
      <c r="CZ238" s="98"/>
      <c r="DA238" s="279"/>
      <c r="DB238" s="52"/>
      <c r="DC238" s="105"/>
      <c r="DD238" s="98"/>
      <c r="DE238" s="279"/>
      <c r="DF238" s="52"/>
      <c r="DG238" s="105"/>
      <c r="DH238" s="98"/>
      <c r="DI238" s="279"/>
      <c r="DJ238" s="52"/>
      <c r="DK238" s="105"/>
      <c r="DL238" s="98"/>
      <c r="DM238" s="279"/>
      <c r="DN238" s="52"/>
      <c r="DO238" s="105"/>
      <c r="DP238" s="98"/>
      <c r="DQ238" s="279"/>
      <c r="DR238" s="52"/>
      <c r="DS238" s="105"/>
      <c r="DT238" s="98"/>
      <c r="DU238" s="279"/>
      <c r="DV238" s="52"/>
      <c r="DW238" s="105"/>
      <c r="DX238" s="98"/>
      <c r="DY238" s="279"/>
      <c r="DZ238" s="52"/>
      <c r="EA238" s="105"/>
      <c r="EB238" s="98"/>
      <c r="EC238" s="279"/>
      <c r="ED238" s="52"/>
      <c r="EE238" s="105"/>
      <c r="EF238" s="98"/>
      <c r="EG238" s="159"/>
      <c r="EH238" s="277"/>
      <c r="EI238" s="50">
        <f t="shared" si="102"/>
        <v>0</v>
      </c>
      <c r="EJ238" s="103">
        <f t="shared" si="103"/>
        <v>0</v>
      </c>
      <c r="EK238" s="164">
        <f t="shared" si="104"/>
        <v>0</v>
      </c>
      <c r="EL238" s="280">
        <f t="shared" si="105"/>
        <v>0</v>
      </c>
      <c r="EM238" s="63">
        <f t="shared" si="106"/>
        <v>0</v>
      </c>
      <c r="EN238" s="359">
        <f t="shared" si="107"/>
        <v>0</v>
      </c>
      <c r="EO238" s="51">
        <f t="shared" si="108"/>
        <v>0</v>
      </c>
      <c r="EP238" s="361">
        <f t="shared" si="109"/>
        <v>0</v>
      </c>
      <c r="EQ238" s="281"/>
      <c r="ER238" s="277"/>
      <c r="ES238" s="281"/>
      <c r="ET238" s="277"/>
      <c r="EU238" s="281"/>
      <c r="EV238" s="277"/>
      <c r="EW238" s="281"/>
      <c r="EX238" s="277"/>
      <c r="EY238" s="281"/>
      <c r="EZ238" s="277"/>
      <c r="FA238" s="281"/>
      <c r="FB238" s="277"/>
      <c r="FC238" s="281"/>
      <c r="FD238" s="277"/>
      <c r="FE238" s="281"/>
      <c r="FF238" s="277"/>
      <c r="FG238" s="281"/>
      <c r="FH238" s="277"/>
      <c r="FI238" s="281"/>
      <c r="FJ238" s="277"/>
      <c r="FK238" s="50">
        <f t="shared" si="110"/>
        <v>0</v>
      </c>
      <c r="FL238" s="63">
        <f t="shared" si="111"/>
        <v>0</v>
      </c>
      <c r="FM238" s="50">
        <f t="shared" si="93"/>
        <v>86</v>
      </c>
      <c r="FN238" s="360">
        <f t="shared" si="94"/>
        <v>122</v>
      </c>
      <c r="FO238" s="335"/>
      <c r="FP238" s="279"/>
      <c r="FQ238" s="52"/>
      <c r="FR238" s="296"/>
      <c r="FS238" s="98"/>
      <c r="FT238" s="467"/>
      <c r="FU238" s="52"/>
      <c r="FV238" s="296"/>
      <c r="FW238" s="98"/>
      <c r="FX238" s="467"/>
      <c r="FY238" s="52"/>
      <c r="FZ238" s="296"/>
      <c r="GA238" s="98"/>
      <c r="GB238" s="467"/>
      <c r="GC238" s="52"/>
      <c r="GD238" s="296"/>
      <c r="GE238" s="98"/>
      <c r="GF238" s="467"/>
      <c r="GG238" s="52"/>
      <c r="GH238" s="296"/>
      <c r="GI238" s="98"/>
      <c r="GJ238" s="467"/>
      <c r="GK238" s="52"/>
      <c r="GL238" s="296"/>
      <c r="GM238" s="464"/>
      <c r="GN238" s="467"/>
      <c r="GO238" s="52"/>
      <c r="GP238" s="296"/>
      <c r="GQ238" s="464"/>
      <c r="GR238" s="467"/>
      <c r="GS238" s="52"/>
      <c r="GT238" s="296"/>
      <c r="GU238" s="464"/>
      <c r="GV238" s="467"/>
      <c r="GW238" s="52"/>
      <c r="GX238" s="296"/>
      <c r="GY238" s="464"/>
      <c r="GZ238" s="467"/>
      <c r="HA238" s="52"/>
      <c r="HB238" s="296"/>
      <c r="HC238" s="335"/>
    </row>
    <row r="239" spans="1:211" s="396" customFormat="1">
      <c r="A239" s="491" t="s">
        <v>759</v>
      </c>
      <c r="B239" s="326" t="s">
        <v>785</v>
      </c>
      <c r="C239" s="325">
        <v>160560</v>
      </c>
      <c r="D239" s="349">
        <v>14</v>
      </c>
      <c r="E239" s="460">
        <v>38</v>
      </c>
      <c r="F239" s="492">
        <v>65</v>
      </c>
      <c r="G239" s="158"/>
      <c r="H239" s="277"/>
      <c r="I239" s="158"/>
      <c r="J239" s="588"/>
      <c r="K239" s="160">
        <f t="shared" si="95"/>
        <v>0</v>
      </c>
      <c r="L239" s="161">
        <f t="shared" si="88"/>
        <v>0</v>
      </c>
      <c r="M239" s="54"/>
      <c r="N239" s="55"/>
      <c r="O239" s="55"/>
      <c r="P239" s="55"/>
      <c r="Q239" s="162">
        <f t="shared" si="96"/>
        <v>0</v>
      </c>
      <c r="R239" s="494"/>
      <c r="S239" s="277"/>
      <c r="T239" s="277"/>
      <c r="U239" s="277"/>
      <c r="V239" s="97">
        <f t="shared" si="97"/>
        <v>0</v>
      </c>
      <c r="W239" s="279"/>
      <c r="X239" s="52"/>
      <c r="Y239" s="99"/>
      <c r="Z239" s="53"/>
      <c r="AA239" s="228"/>
      <c r="AB239" s="52"/>
      <c r="AC239" s="99"/>
      <c r="AD239" s="53"/>
      <c r="AE239" s="228"/>
      <c r="AF239" s="52"/>
      <c r="AG239" s="99"/>
      <c r="AH239" s="53"/>
      <c r="AI239" s="228"/>
      <c r="AJ239" s="52"/>
      <c r="AK239" s="99"/>
      <c r="AL239" s="53"/>
      <c r="AM239" s="228"/>
      <c r="AN239" s="52"/>
      <c r="AO239" s="99"/>
      <c r="AP239" s="53"/>
      <c r="AQ239" s="50">
        <f t="shared" si="89"/>
        <v>0</v>
      </c>
      <c r="AR239" s="163">
        <f t="shared" si="90"/>
        <v>0</v>
      </c>
      <c r="AS239" s="97">
        <f t="shared" si="91"/>
        <v>0</v>
      </c>
      <c r="AT239" s="278">
        <f t="shared" si="92"/>
        <v>0</v>
      </c>
      <c r="AU239" s="55"/>
      <c r="AV239" s="277"/>
      <c r="AW239" s="279"/>
      <c r="AX239" s="52"/>
      <c r="AY239" s="105"/>
      <c r="AZ239" s="98"/>
      <c r="BA239" s="279"/>
      <c r="BB239" s="52"/>
      <c r="BC239" s="105"/>
      <c r="BD239" s="98"/>
      <c r="BE239" s="279"/>
      <c r="BF239" s="52"/>
      <c r="BG239" s="105"/>
      <c r="BH239" s="98"/>
      <c r="BI239" s="279"/>
      <c r="BJ239" s="52"/>
      <c r="BK239" s="105"/>
      <c r="BL239" s="98"/>
      <c r="BM239" s="279"/>
      <c r="BN239" s="52"/>
      <c r="BO239" s="105"/>
      <c r="BP239" s="98"/>
      <c r="BQ239" s="279"/>
      <c r="BR239" s="52"/>
      <c r="BS239" s="105"/>
      <c r="BT239" s="98"/>
      <c r="BU239" s="279"/>
      <c r="BV239" s="52"/>
      <c r="BW239" s="105"/>
      <c r="BX239" s="98"/>
      <c r="BY239" s="279"/>
      <c r="BZ239" s="52"/>
      <c r="CA239" s="105"/>
      <c r="CB239" s="98"/>
      <c r="CC239" s="279"/>
      <c r="CD239" s="52"/>
      <c r="CE239" s="105"/>
      <c r="CF239" s="98"/>
      <c r="CG239" s="279"/>
      <c r="CH239" s="52"/>
      <c r="CI239" s="105"/>
      <c r="CJ239" s="98"/>
      <c r="CK239" s="281"/>
      <c r="CL239" s="277"/>
      <c r="CM239" s="159"/>
      <c r="CN239" s="277"/>
      <c r="CO239" s="50">
        <f t="shared" si="98"/>
        <v>0</v>
      </c>
      <c r="CP239" s="103">
        <f t="shared" si="99"/>
        <v>0</v>
      </c>
      <c r="CQ239" s="280">
        <f t="shared" si="100"/>
        <v>0</v>
      </c>
      <c r="CR239" s="63">
        <f t="shared" si="101"/>
        <v>0</v>
      </c>
      <c r="CS239" s="279"/>
      <c r="CT239" s="52"/>
      <c r="CU239" s="105"/>
      <c r="CV239" s="98"/>
      <c r="CW239" s="279"/>
      <c r="CX239" s="52"/>
      <c r="CY239" s="105"/>
      <c r="CZ239" s="98"/>
      <c r="DA239" s="279"/>
      <c r="DB239" s="52"/>
      <c r="DC239" s="105"/>
      <c r="DD239" s="98"/>
      <c r="DE239" s="279"/>
      <c r="DF239" s="52"/>
      <c r="DG239" s="105"/>
      <c r="DH239" s="98"/>
      <c r="DI239" s="279"/>
      <c r="DJ239" s="52"/>
      <c r="DK239" s="105"/>
      <c r="DL239" s="98"/>
      <c r="DM239" s="279"/>
      <c r="DN239" s="52"/>
      <c r="DO239" s="105"/>
      <c r="DP239" s="98"/>
      <c r="DQ239" s="279"/>
      <c r="DR239" s="52"/>
      <c r="DS239" s="105"/>
      <c r="DT239" s="98"/>
      <c r="DU239" s="279"/>
      <c r="DV239" s="52"/>
      <c r="DW239" s="105"/>
      <c r="DX239" s="98"/>
      <c r="DY239" s="279"/>
      <c r="DZ239" s="52"/>
      <c r="EA239" s="105"/>
      <c r="EB239" s="98"/>
      <c r="EC239" s="279"/>
      <c r="ED239" s="52"/>
      <c r="EE239" s="105"/>
      <c r="EF239" s="98"/>
      <c r="EG239" s="159"/>
      <c r="EH239" s="277"/>
      <c r="EI239" s="50">
        <f t="shared" si="102"/>
        <v>0</v>
      </c>
      <c r="EJ239" s="103">
        <f t="shared" si="103"/>
        <v>0</v>
      </c>
      <c r="EK239" s="164">
        <f t="shared" si="104"/>
        <v>0</v>
      </c>
      <c r="EL239" s="280">
        <f t="shared" si="105"/>
        <v>0</v>
      </c>
      <c r="EM239" s="63">
        <f t="shared" si="106"/>
        <v>0</v>
      </c>
      <c r="EN239" s="359">
        <f t="shared" si="107"/>
        <v>0</v>
      </c>
      <c r="EO239" s="51">
        <f t="shared" si="108"/>
        <v>0</v>
      </c>
      <c r="EP239" s="361">
        <f t="shared" si="109"/>
        <v>0</v>
      </c>
      <c r="EQ239" s="281"/>
      <c r="ER239" s="277"/>
      <c r="ES239" s="281"/>
      <c r="ET239" s="277"/>
      <c r="EU239" s="281"/>
      <c r="EV239" s="277"/>
      <c r="EW239" s="281"/>
      <c r="EX239" s="277"/>
      <c r="EY239" s="281"/>
      <c r="EZ239" s="277"/>
      <c r="FA239" s="281"/>
      <c r="FB239" s="277"/>
      <c r="FC239" s="281"/>
      <c r="FD239" s="277"/>
      <c r="FE239" s="281"/>
      <c r="FF239" s="277"/>
      <c r="FG239" s="281"/>
      <c r="FH239" s="277"/>
      <c r="FI239" s="281"/>
      <c r="FJ239" s="277"/>
      <c r="FK239" s="50">
        <f t="shared" si="110"/>
        <v>0</v>
      </c>
      <c r="FL239" s="63">
        <f t="shared" si="111"/>
        <v>0</v>
      </c>
      <c r="FM239" s="50">
        <f t="shared" si="93"/>
        <v>38</v>
      </c>
      <c r="FN239" s="360">
        <f t="shared" si="94"/>
        <v>65</v>
      </c>
      <c r="FO239" s="335"/>
      <c r="FP239" s="279"/>
      <c r="FQ239" s="52"/>
      <c r="FR239" s="296"/>
      <c r="FS239" s="98"/>
      <c r="FT239" s="467"/>
      <c r="FU239" s="52"/>
      <c r="FV239" s="296"/>
      <c r="FW239" s="98"/>
      <c r="FX239" s="467"/>
      <c r="FY239" s="52"/>
      <c r="FZ239" s="296"/>
      <c r="GA239" s="98"/>
      <c r="GB239" s="467"/>
      <c r="GC239" s="52"/>
      <c r="GD239" s="296"/>
      <c r="GE239" s="98"/>
      <c r="GF239" s="467"/>
      <c r="GG239" s="52"/>
      <c r="GH239" s="296"/>
      <c r="GI239" s="98"/>
      <c r="GJ239" s="467"/>
      <c r="GK239" s="52"/>
      <c r="GL239" s="296"/>
      <c r="GM239" s="464"/>
      <c r="GN239" s="467"/>
      <c r="GO239" s="52"/>
      <c r="GP239" s="296"/>
      <c r="GQ239" s="464"/>
      <c r="GR239" s="467"/>
      <c r="GS239" s="52"/>
      <c r="GT239" s="296"/>
      <c r="GU239" s="464"/>
      <c r="GV239" s="467"/>
      <c r="GW239" s="52"/>
      <c r="GX239" s="296"/>
      <c r="GY239" s="464"/>
      <c r="GZ239" s="467"/>
      <c r="HA239" s="52"/>
      <c r="HB239" s="296"/>
      <c r="HC239" s="335"/>
    </row>
    <row r="240" spans="1:211" s="396" customFormat="1">
      <c r="A240" s="491" t="s">
        <v>759</v>
      </c>
      <c r="B240" s="326" t="s">
        <v>786</v>
      </c>
      <c r="C240" s="325">
        <v>158088</v>
      </c>
      <c r="D240" s="349">
        <v>14</v>
      </c>
      <c r="E240" s="460">
        <v>88</v>
      </c>
      <c r="F240" s="492">
        <v>87</v>
      </c>
      <c r="G240" s="158"/>
      <c r="H240" s="277"/>
      <c r="I240" s="158">
        <v>4</v>
      </c>
      <c r="J240" s="588"/>
      <c r="K240" s="160">
        <f t="shared" si="95"/>
        <v>0</v>
      </c>
      <c r="L240" s="161">
        <f t="shared" si="88"/>
        <v>0</v>
      </c>
      <c r="M240" s="54"/>
      <c r="N240" s="55"/>
      <c r="O240" s="55"/>
      <c r="P240" s="55"/>
      <c r="Q240" s="162">
        <f t="shared" si="96"/>
        <v>0</v>
      </c>
      <c r="R240" s="494"/>
      <c r="S240" s="277"/>
      <c r="T240" s="277"/>
      <c r="U240" s="277"/>
      <c r="V240" s="97">
        <f t="shared" si="97"/>
        <v>0</v>
      </c>
      <c r="W240" s="279"/>
      <c r="X240" s="52"/>
      <c r="Y240" s="99"/>
      <c r="Z240" s="53"/>
      <c r="AA240" s="228"/>
      <c r="AB240" s="52"/>
      <c r="AC240" s="99"/>
      <c r="AD240" s="53"/>
      <c r="AE240" s="228"/>
      <c r="AF240" s="52"/>
      <c r="AG240" s="99"/>
      <c r="AH240" s="53"/>
      <c r="AI240" s="228"/>
      <c r="AJ240" s="52"/>
      <c r="AK240" s="99"/>
      <c r="AL240" s="53"/>
      <c r="AM240" s="228"/>
      <c r="AN240" s="52"/>
      <c r="AO240" s="99"/>
      <c r="AP240" s="53"/>
      <c r="AQ240" s="50">
        <f t="shared" si="89"/>
        <v>0</v>
      </c>
      <c r="AR240" s="163">
        <f t="shared" si="90"/>
        <v>0</v>
      </c>
      <c r="AS240" s="97">
        <f t="shared" si="91"/>
        <v>0</v>
      </c>
      <c r="AT240" s="278">
        <f t="shared" si="92"/>
        <v>0</v>
      </c>
      <c r="AU240" s="55"/>
      <c r="AV240" s="277"/>
      <c r="AW240" s="279"/>
      <c r="AX240" s="52"/>
      <c r="AY240" s="105"/>
      <c r="AZ240" s="98"/>
      <c r="BA240" s="279"/>
      <c r="BB240" s="52"/>
      <c r="BC240" s="105"/>
      <c r="BD240" s="98"/>
      <c r="BE240" s="279"/>
      <c r="BF240" s="52"/>
      <c r="BG240" s="105"/>
      <c r="BH240" s="98"/>
      <c r="BI240" s="279"/>
      <c r="BJ240" s="52"/>
      <c r="BK240" s="105"/>
      <c r="BL240" s="98"/>
      <c r="BM240" s="279"/>
      <c r="BN240" s="52"/>
      <c r="BO240" s="105"/>
      <c r="BP240" s="98"/>
      <c r="BQ240" s="279"/>
      <c r="BR240" s="52"/>
      <c r="BS240" s="105"/>
      <c r="BT240" s="98"/>
      <c r="BU240" s="279"/>
      <c r="BV240" s="52"/>
      <c r="BW240" s="105"/>
      <c r="BX240" s="98"/>
      <c r="BY240" s="279"/>
      <c r="BZ240" s="52"/>
      <c r="CA240" s="105"/>
      <c r="CB240" s="98"/>
      <c r="CC240" s="279"/>
      <c r="CD240" s="52"/>
      <c r="CE240" s="105"/>
      <c r="CF240" s="98"/>
      <c r="CG240" s="279"/>
      <c r="CH240" s="52"/>
      <c r="CI240" s="105"/>
      <c r="CJ240" s="98"/>
      <c r="CK240" s="281"/>
      <c r="CL240" s="277"/>
      <c r="CM240" s="159"/>
      <c r="CN240" s="277"/>
      <c r="CO240" s="50">
        <f t="shared" si="98"/>
        <v>0</v>
      </c>
      <c r="CP240" s="103">
        <f t="shared" si="99"/>
        <v>0</v>
      </c>
      <c r="CQ240" s="280">
        <f t="shared" si="100"/>
        <v>0</v>
      </c>
      <c r="CR240" s="63">
        <f t="shared" si="101"/>
        <v>0</v>
      </c>
      <c r="CS240" s="279"/>
      <c r="CT240" s="52"/>
      <c r="CU240" s="105"/>
      <c r="CV240" s="98"/>
      <c r="CW240" s="279"/>
      <c r="CX240" s="52"/>
      <c r="CY240" s="105"/>
      <c r="CZ240" s="98"/>
      <c r="DA240" s="279"/>
      <c r="DB240" s="52"/>
      <c r="DC240" s="105"/>
      <c r="DD240" s="98"/>
      <c r="DE240" s="279"/>
      <c r="DF240" s="52"/>
      <c r="DG240" s="105"/>
      <c r="DH240" s="98"/>
      <c r="DI240" s="279"/>
      <c r="DJ240" s="52"/>
      <c r="DK240" s="105"/>
      <c r="DL240" s="98"/>
      <c r="DM240" s="279"/>
      <c r="DN240" s="52"/>
      <c r="DO240" s="105"/>
      <c r="DP240" s="98"/>
      <c r="DQ240" s="279"/>
      <c r="DR240" s="52"/>
      <c r="DS240" s="105"/>
      <c r="DT240" s="98"/>
      <c r="DU240" s="279"/>
      <c r="DV240" s="52"/>
      <c r="DW240" s="105"/>
      <c r="DX240" s="98"/>
      <c r="DY240" s="279"/>
      <c r="DZ240" s="52"/>
      <c r="EA240" s="105"/>
      <c r="EB240" s="98"/>
      <c r="EC240" s="279"/>
      <c r="ED240" s="52"/>
      <c r="EE240" s="105"/>
      <c r="EF240" s="98"/>
      <c r="EG240" s="159"/>
      <c r="EH240" s="277"/>
      <c r="EI240" s="50">
        <f t="shared" si="102"/>
        <v>0</v>
      </c>
      <c r="EJ240" s="103">
        <f t="shared" si="103"/>
        <v>0</v>
      </c>
      <c r="EK240" s="164">
        <f t="shared" si="104"/>
        <v>0</v>
      </c>
      <c r="EL240" s="280">
        <f t="shared" si="105"/>
        <v>0</v>
      </c>
      <c r="EM240" s="63">
        <f t="shared" si="106"/>
        <v>0</v>
      </c>
      <c r="EN240" s="359">
        <f t="shared" si="107"/>
        <v>0</v>
      </c>
      <c r="EO240" s="51">
        <f t="shared" si="108"/>
        <v>0</v>
      </c>
      <c r="EP240" s="361">
        <f t="shared" si="109"/>
        <v>0</v>
      </c>
      <c r="EQ240" s="281"/>
      <c r="ER240" s="277"/>
      <c r="ES240" s="281"/>
      <c r="ET240" s="277"/>
      <c r="EU240" s="281"/>
      <c r="EV240" s="277"/>
      <c r="EW240" s="281"/>
      <c r="EX240" s="277"/>
      <c r="EY240" s="281"/>
      <c r="EZ240" s="277"/>
      <c r="FA240" s="281"/>
      <c r="FB240" s="277"/>
      <c r="FC240" s="281"/>
      <c r="FD240" s="277"/>
      <c r="FE240" s="281"/>
      <c r="FF240" s="277"/>
      <c r="FG240" s="281"/>
      <c r="FH240" s="277"/>
      <c r="FI240" s="281"/>
      <c r="FJ240" s="277"/>
      <c r="FK240" s="50">
        <f t="shared" si="110"/>
        <v>0</v>
      </c>
      <c r="FL240" s="63">
        <f t="shared" si="111"/>
        <v>0</v>
      </c>
      <c r="FM240" s="50">
        <f t="shared" si="93"/>
        <v>92</v>
      </c>
      <c r="FN240" s="360">
        <f t="shared" si="94"/>
        <v>87</v>
      </c>
      <c r="FO240" s="335"/>
      <c r="FP240" s="279"/>
      <c r="FQ240" s="52"/>
      <c r="FR240" s="296"/>
      <c r="FS240" s="98"/>
      <c r="FT240" s="467"/>
      <c r="FU240" s="52"/>
      <c r="FV240" s="296"/>
      <c r="FW240" s="98"/>
      <c r="FX240" s="467"/>
      <c r="FY240" s="52"/>
      <c r="FZ240" s="296"/>
      <c r="GA240" s="98"/>
      <c r="GB240" s="467"/>
      <c r="GC240" s="52"/>
      <c r="GD240" s="296"/>
      <c r="GE240" s="98"/>
      <c r="GF240" s="467"/>
      <c r="GG240" s="52"/>
      <c r="GH240" s="296"/>
      <c r="GI240" s="98"/>
      <c r="GJ240" s="467"/>
      <c r="GK240" s="52"/>
      <c r="GL240" s="296"/>
      <c r="GM240" s="464"/>
      <c r="GN240" s="467"/>
      <c r="GO240" s="52"/>
      <c r="GP240" s="296"/>
      <c r="GQ240" s="464"/>
      <c r="GR240" s="467"/>
      <c r="GS240" s="52"/>
      <c r="GT240" s="296"/>
      <c r="GU240" s="464"/>
      <c r="GV240" s="467"/>
      <c r="GW240" s="52"/>
      <c r="GX240" s="296"/>
      <c r="GY240" s="464"/>
      <c r="GZ240" s="467"/>
      <c r="HA240" s="52"/>
      <c r="HB240" s="296"/>
      <c r="HC240" s="335"/>
    </row>
    <row r="241" spans="1:211" s="396" customFormat="1">
      <c r="A241" s="491" t="s">
        <v>759</v>
      </c>
      <c r="B241" s="326" t="s">
        <v>787</v>
      </c>
      <c r="C241" s="325">
        <v>158219</v>
      </c>
      <c r="D241" s="349">
        <v>14</v>
      </c>
      <c r="E241" s="460">
        <v>16</v>
      </c>
      <c r="F241" s="492">
        <v>14</v>
      </c>
      <c r="G241" s="158"/>
      <c r="H241" s="277"/>
      <c r="I241" s="158">
        <v>34</v>
      </c>
      <c r="J241" s="588">
        <v>38</v>
      </c>
      <c r="K241" s="160">
        <f t="shared" si="95"/>
        <v>0</v>
      </c>
      <c r="L241" s="161">
        <f t="shared" si="88"/>
        <v>0</v>
      </c>
      <c r="M241" s="54"/>
      <c r="N241" s="55"/>
      <c r="O241" s="55"/>
      <c r="P241" s="55"/>
      <c r="Q241" s="162">
        <f t="shared" si="96"/>
        <v>0</v>
      </c>
      <c r="R241" s="494"/>
      <c r="S241" s="277"/>
      <c r="T241" s="277"/>
      <c r="U241" s="277"/>
      <c r="V241" s="97">
        <f t="shared" si="97"/>
        <v>0</v>
      </c>
      <c r="W241" s="279"/>
      <c r="X241" s="52"/>
      <c r="Y241" s="99"/>
      <c r="Z241" s="53"/>
      <c r="AA241" s="228"/>
      <c r="AB241" s="52"/>
      <c r="AC241" s="99"/>
      <c r="AD241" s="53"/>
      <c r="AE241" s="228"/>
      <c r="AF241" s="52"/>
      <c r="AG241" s="99"/>
      <c r="AH241" s="53"/>
      <c r="AI241" s="228"/>
      <c r="AJ241" s="52"/>
      <c r="AK241" s="99"/>
      <c r="AL241" s="53"/>
      <c r="AM241" s="228"/>
      <c r="AN241" s="52"/>
      <c r="AO241" s="99"/>
      <c r="AP241" s="53"/>
      <c r="AQ241" s="50">
        <f t="shared" si="89"/>
        <v>0</v>
      </c>
      <c r="AR241" s="163">
        <f t="shared" si="90"/>
        <v>0</v>
      </c>
      <c r="AS241" s="97">
        <f t="shared" si="91"/>
        <v>0</v>
      </c>
      <c r="AT241" s="278">
        <f t="shared" si="92"/>
        <v>0</v>
      </c>
      <c r="AU241" s="55"/>
      <c r="AV241" s="277"/>
      <c r="AW241" s="279"/>
      <c r="AX241" s="52"/>
      <c r="AY241" s="105"/>
      <c r="AZ241" s="98"/>
      <c r="BA241" s="279"/>
      <c r="BB241" s="52"/>
      <c r="BC241" s="105"/>
      <c r="BD241" s="98"/>
      <c r="BE241" s="279"/>
      <c r="BF241" s="52"/>
      <c r="BG241" s="105"/>
      <c r="BH241" s="98"/>
      <c r="BI241" s="279"/>
      <c r="BJ241" s="52"/>
      <c r="BK241" s="105"/>
      <c r="BL241" s="98"/>
      <c r="BM241" s="279"/>
      <c r="BN241" s="52"/>
      <c r="BO241" s="105"/>
      <c r="BP241" s="98"/>
      <c r="BQ241" s="279"/>
      <c r="BR241" s="52"/>
      <c r="BS241" s="105"/>
      <c r="BT241" s="98"/>
      <c r="BU241" s="279"/>
      <c r="BV241" s="52"/>
      <c r="BW241" s="105"/>
      <c r="BX241" s="98"/>
      <c r="BY241" s="279"/>
      <c r="BZ241" s="52"/>
      <c r="CA241" s="105"/>
      <c r="CB241" s="98"/>
      <c r="CC241" s="279"/>
      <c r="CD241" s="52"/>
      <c r="CE241" s="105"/>
      <c r="CF241" s="98"/>
      <c r="CG241" s="279"/>
      <c r="CH241" s="52"/>
      <c r="CI241" s="105"/>
      <c r="CJ241" s="98"/>
      <c r="CK241" s="281"/>
      <c r="CL241" s="277"/>
      <c r="CM241" s="159"/>
      <c r="CN241" s="277"/>
      <c r="CO241" s="50">
        <f t="shared" si="98"/>
        <v>0</v>
      </c>
      <c r="CP241" s="103">
        <f t="shared" si="99"/>
        <v>0</v>
      </c>
      <c r="CQ241" s="280">
        <f t="shared" si="100"/>
        <v>0</v>
      </c>
      <c r="CR241" s="63">
        <f t="shared" si="101"/>
        <v>0</v>
      </c>
      <c r="CS241" s="279"/>
      <c r="CT241" s="52"/>
      <c r="CU241" s="105"/>
      <c r="CV241" s="98"/>
      <c r="CW241" s="279"/>
      <c r="CX241" s="52"/>
      <c r="CY241" s="105"/>
      <c r="CZ241" s="98"/>
      <c r="DA241" s="279"/>
      <c r="DB241" s="52"/>
      <c r="DC241" s="105"/>
      <c r="DD241" s="98"/>
      <c r="DE241" s="279"/>
      <c r="DF241" s="52"/>
      <c r="DG241" s="105"/>
      <c r="DH241" s="98"/>
      <c r="DI241" s="279"/>
      <c r="DJ241" s="52"/>
      <c r="DK241" s="105"/>
      <c r="DL241" s="98"/>
      <c r="DM241" s="279"/>
      <c r="DN241" s="52"/>
      <c r="DO241" s="105"/>
      <c r="DP241" s="98"/>
      <c r="DQ241" s="279"/>
      <c r="DR241" s="52"/>
      <c r="DS241" s="105"/>
      <c r="DT241" s="98"/>
      <c r="DU241" s="279"/>
      <c r="DV241" s="52"/>
      <c r="DW241" s="105"/>
      <c r="DX241" s="98"/>
      <c r="DY241" s="279"/>
      <c r="DZ241" s="52"/>
      <c r="EA241" s="105"/>
      <c r="EB241" s="98"/>
      <c r="EC241" s="279"/>
      <c r="ED241" s="52"/>
      <c r="EE241" s="105"/>
      <c r="EF241" s="98"/>
      <c r="EG241" s="159"/>
      <c r="EH241" s="277"/>
      <c r="EI241" s="50">
        <f t="shared" si="102"/>
        <v>0</v>
      </c>
      <c r="EJ241" s="103">
        <f t="shared" si="103"/>
        <v>0</v>
      </c>
      <c r="EK241" s="164">
        <f t="shared" si="104"/>
        <v>0</v>
      </c>
      <c r="EL241" s="280">
        <f t="shared" si="105"/>
        <v>0</v>
      </c>
      <c r="EM241" s="63">
        <f t="shared" si="106"/>
        <v>0</v>
      </c>
      <c r="EN241" s="359">
        <f t="shared" si="107"/>
        <v>0</v>
      </c>
      <c r="EO241" s="51">
        <f t="shared" si="108"/>
        <v>0</v>
      </c>
      <c r="EP241" s="361">
        <f t="shared" si="109"/>
        <v>0</v>
      </c>
      <c r="EQ241" s="281"/>
      <c r="ER241" s="277"/>
      <c r="ES241" s="281"/>
      <c r="ET241" s="277"/>
      <c r="EU241" s="281"/>
      <c r="EV241" s="277"/>
      <c r="EW241" s="281"/>
      <c r="EX241" s="277"/>
      <c r="EY241" s="281"/>
      <c r="EZ241" s="277"/>
      <c r="FA241" s="281"/>
      <c r="FB241" s="277"/>
      <c r="FC241" s="281"/>
      <c r="FD241" s="277"/>
      <c r="FE241" s="281"/>
      <c r="FF241" s="277"/>
      <c r="FG241" s="281"/>
      <c r="FH241" s="277"/>
      <c r="FI241" s="281"/>
      <c r="FJ241" s="277"/>
      <c r="FK241" s="50">
        <f t="shared" si="110"/>
        <v>0</v>
      </c>
      <c r="FL241" s="63">
        <f t="shared" si="111"/>
        <v>0</v>
      </c>
      <c r="FM241" s="50">
        <f t="shared" si="93"/>
        <v>50</v>
      </c>
      <c r="FN241" s="360">
        <f t="shared" si="94"/>
        <v>52</v>
      </c>
      <c r="FO241" s="335"/>
      <c r="FP241" s="279"/>
      <c r="FQ241" s="52"/>
      <c r="FR241" s="296"/>
      <c r="FS241" s="98"/>
      <c r="FT241" s="467"/>
      <c r="FU241" s="52"/>
      <c r="FV241" s="296"/>
      <c r="FW241" s="98"/>
      <c r="FX241" s="467"/>
      <c r="FY241" s="52"/>
      <c r="FZ241" s="296"/>
      <c r="GA241" s="98"/>
      <c r="GB241" s="467"/>
      <c r="GC241" s="52"/>
      <c r="GD241" s="296"/>
      <c r="GE241" s="98"/>
      <c r="GF241" s="467"/>
      <c r="GG241" s="52"/>
      <c r="GH241" s="296"/>
      <c r="GI241" s="98"/>
      <c r="GJ241" s="467"/>
      <c r="GK241" s="52"/>
      <c r="GL241" s="296"/>
      <c r="GM241" s="464"/>
      <c r="GN241" s="467"/>
      <c r="GO241" s="52"/>
      <c r="GP241" s="296"/>
      <c r="GQ241" s="464"/>
      <c r="GR241" s="467"/>
      <c r="GS241" s="52"/>
      <c r="GT241" s="296"/>
      <c r="GU241" s="464"/>
      <c r="GV241" s="467"/>
      <c r="GW241" s="52"/>
      <c r="GX241" s="296"/>
      <c r="GY241" s="464"/>
      <c r="GZ241" s="467"/>
      <c r="HA241" s="52"/>
      <c r="HB241" s="296"/>
      <c r="HC241" s="335"/>
    </row>
    <row r="242" spans="1:211" s="396" customFormat="1">
      <c r="A242" s="491" t="s">
        <v>759</v>
      </c>
      <c r="B242" s="326" t="s">
        <v>788</v>
      </c>
      <c r="C242" s="325">
        <v>158237</v>
      </c>
      <c r="D242" s="349">
        <v>14</v>
      </c>
      <c r="E242" s="460">
        <v>57</v>
      </c>
      <c r="F242" s="492">
        <v>98</v>
      </c>
      <c r="G242" s="158"/>
      <c r="H242" s="277"/>
      <c r="I242" s="158"/>
      <c r="J242" s="588"/>
      <c r="K242" s="160">
        <f t="shared" si="95"/>
        <v>0</v>
      </c>
      <c r="L242" s="161">
        <f t="shared" si="88"/>
        <v>0</v>
      </c>
      <c r="M242" s="54"/>
      <c r="N242" s="55"/>
      <c r="O242" s="55"/>
      <c r="P242" s="55"/>
      <c r="Q242" s="162">
        <f t="shared" si="96"/>
        <v>0</v>
      </c>
      <c r="R242" s="494"/>
      <c r="S242" s="277"/>
      <c r="T242" s="277"/>
      <c r="U242" s="277"/>
      <c r="V242" s="97">
        <f t="shared" si="97"/>
        <v>0</v>
      </c>
      <c r="W242" s="279"/>
      <c r="X242" s="52"/>
      <c r="Y242" s="99"/>
      <c r="Z242" s="53"/>
      <c r="AA242" s="228"/>
      <c r="AB242" s="52"/>
      <c r="AC242" s="99"/>
      <c r="AD242" s="53"/>
      <c r="AE242" s="228"/>
      <c r="AF242" s="52"/>
      <c r="AG242" s="99"/>
      <c r="AH242" s="53"/>
      <c r="AI242" s="228"/>
      <c r="AJ242" s="52"/>
      <c r="AK242" s="99"/>
      <c r="AL242" s="53"/>
      <c r="AM242" s="228"/>
      <c r="AN242" s="52"/>
      <c r="AO242" s="99"/>
      <c r="AP242" s="53"/>
      <c r="AQ242" s="50">
        <f t="shared" si="89"/>
        <v>0</v>
      </c>
      <c r="AR242" s="163">
        <f t="shared" si="90"/>
        <v>0</v>
      </c>
      <c r="AS242" s="97">
        <f t="shared" si="91"/>
        <v>0</v>
      </c>
      <c r="AT242" s="278">
        <f t="shared" si="92"/>
        <v>0</v>
      </c>
      <c r="AU242" s="55"/>
      <c r="AV242" s="277"/>
      <c r="AW242" s="279"/>
      <c r="AX242" s="52"/>
      <c r="AY242" s="105"/>
      <c r="AZ242" s="98"/>
      <c r="BA242" s="279"/>
      <c r="BB242" s="52"/>
      <c r="BC242" s="105"/>
      <c r="BD242" s="98"/>
      <c r="BE242" s="279"/>
      <c r="BF242" s="52"/>
      <c r="BG242" s="105"/>
      <c r="BH242" s="98"/>
      <c r="BI242" s="279"/>
      <c r="BJ242" s="52"/>
      <c r="BK242" s="105"/>
      <c r="BL242" s="98"/>
      <c r="BM242" s="279"/>
      <c r="BN242" s="52"/>
      <c r="BO242" s="105"/>
      <c r="BP242" s="98"/>
      <c r="BQ242" s="279"/>
      <c r="BR242" s="52"/>
      <c r="BS242" s="105"/>
      <c r="BT242" s="98"/>
      <c r="BU242" s="279"/>
      <c r="BV242" s="52"/>
      <c r="BW242" s="105"/>
      <c r="BX242" s="98"/>
      <c r="BY242" s="279"/>
      <c r="BZ242" s="52"/>
      <c r="CA242" s="105"/>
      <c r="CB242" s="98"/>
      <c r="CC242" s="279"/>
      <c r="CD242" s="52"/>
      <c r="CE242" s="105"/>
      <c r="CF242" s="98"/>
      <c r="CG242" s="279"/>
      <c r="CH242" s="52"/>
      <c r="CI242" s="105"/>
      <c r="CJ242" s="98"/>
      <c r="CK242" s="281"/>
      <c r="CL242" s="277"/>
      <c r="CM242" s="159"/>
      <c r="CN242" s="277"/>
      <c r="CO242" s="50">
        <f t="shared" si="98"/>
        <v>0</v>
      </c>
      <c r="CP242" s="103">
        <f t="shared" si="99"/>
        <v>0</v>
      </c>
      <c r="CQ242" s="280">
        <f t="shared" si="100"/>
        <v>0</v>
      </c>
      <c r="CR242" s="63">
        <f t="shared" si="101"/>
        <v>0</v>
      </c>
      <c r="CS242" s="279"/>
      <c r="CT242" s="52"/>
      <c r="CU242" s="105"/>
      <c r="CV242" s="98"/>
      <c r="CW242" s="279"/>
      <c r="CX242" s="52"/>
      <c r="CY242" s="105"/>
      <c r="CZ242" s="98"/>
      <c r="DA242" s="279"/>
      <c r="DB242" s="52"/>
      <c r="DC242" s="105"/>
      <c r="DD242" s="98"/>
      <c r="DE242" s="279"/>
      <c r="DF242" s="52"/>
      <c r="DG242" s="105"/>
      <c r="DH242" s="98"/>
      <c r="DI242" s="279"/>
      <c r="DJ242" s="52"/>
      <c r="DK242" s="105"/>
      <c r="DL242" s="98"/>
      <c r="DM242" s="279"/>
      <c r="DN242" s="52"/>
      <c r="DO242" s="105"/>
      <c r="DP242" s="98"/>
      <c r="DQ242" s="279"/>
      <c r="DR242" s="52"/>
      <c r="DS242" s="105"/>
      <c r="DT242" s="98"/>
      <c r="DU242" s="279"/>
      <c r="DV242" s="52"/>
      <c r="DW242" s="105"/>
      <c r="DX242" s="98"/>
      <c r="DY242" s="279"/>
      <c r="DZ242" s="52"/>
      <c r="EA242" s="105"/>
      <c r="EB242" s="98"/>
      <c r="EC242" s="279"/>
      <c r="ED242" s="52"/>
      <c r="EE242" s="105"/>
      <c r="EF242" s="98"/>
      <c r="EG242" s="159"/>
      <c r="EH242" s="277"/>
      <c r="EI242" s="50">
        <f t="shared" si="102"/>
        <v>0</v>
      </c>
      <c r="EJ242" s="103">
        <f t="shared" si="103"/>
        <v>0</v>
      </c>
      <c r="EK242" s="164">
        <f t="shared" si="104"/>
        <v>0</v>
      </c>
      <c r="EL242" s="280">
        <f t="shared" si="105"/>
        <v>0</v>
      </c>
      <c r="EM242" s="63">
        <f t="shared" si="106"/>
        <v>0</v>
      </c>
      <c r="EN242" s="359">
        <f t="shared" si="107"/>
        <v>0</v>
      </c>
      <c r="EO242" s="51">
        <f t="shared" si="108"/>
        <v>0</v>
      </c>
      <c r="EP242" s="361">
        <f t="shared" si="109"/>
        <v>0</v>
      </c>
      <c r="EQ242" s="281"/>
      <c r="ER242" s="277"/>
      <c r="ES242" s="281"/>
      <c r="ET242" s="277"/>
      <c r="EU242" s="281"/>
      <c r="EV242" s="277"/>
      <c r="EW242" s="281"/>
      <c r="EX242" s="277"/>
      <c r="EY242" s="281"/>
      <c r="EZ242" s="277"/>
      <c r="FA242" s="281"/>
      <c r="FB242" s="277"/>
      <c r="FC242" s="281"/>
      <c r="FD242" s="277"/>
      <c r="FE242" s="281"/>
      <c r="FF242" s="277"/>
      <c r="FG242" s="281"/>
      <c r="FH242" s="277"/>
      <c r="FI242" s="281"/>
      <c r="FJ242" s="277"/>
      <c r="FK242" s="50">
        <f t="shared" si="110"/>
        <v>0</v>
      </c>
      <c r="FL242" s="63">
        <f t="shared" si="111"/>
        <v>0</v>
      </c>
      <c r="FM242" s="50">
        <f t="shared" si="93"/>
        <v>57</v>
      </c>
      <c r="FN242" s="360">
        <f t="shared" si="94"/>
        <v>98</v>
      </c>
      <c r="FO242" s="335"/>
      <c r="FP242" s="279"/>
      <c r="FQ242" s="52"/>
      <c r="FR242" s="296"/>
      <c r="FS242" s="98"/>
      <c r="FT242" s="467"/>
      <c r="FU242" s="52"/>
      <c r="FV242" s="296"/>
      <c r="FW242" s="98"/>
      <c r="FX242" s="467"/>
      <c r="FY242" s="52"/>
      <c r="FZ242" s="296"/>
      <c r="GA242" s="98"/>
      <c r="GB242" s="467"/>
      <c r="GC242" s="52"/>
      <c r="GD242" s="296"/>
      <c r="GE242" s="98"/>
      <c r="GF242" s="467"/>
      <c r="GG242" s="52"/>
      <c r="GH242" s="296"/>
      <c r="GI242" s="98"/>
      <c r="GJ242" s="467"/>
      <c r="GK242" s="52"/>
      <c r="GL242" s="296"/>
      <c r="GM242" s="464"/>
      <c r="GN242" s="467"/>
      <c r="GO242" s="52"/>
      <c r="GP242" s="296"/>
      <c r="GQ242" s="464"/>
      <c r="GR242" s="467"/>
      <c r="GS242" s="52"/>
      <c r="GT242" s="296"/>
      <c r="GU242" s="464"/>
      <c r="GV242" s="467"/>
      <c r="GW242" s="52"/>
      <c r="GX242" s="296"/>
      <c r="GY242" s="464"/>
      <c r="GZ242" s="467"/>
      <c r="HA242" s="52"/>
      <c r="HB242" s="296"/>
      <c r="HC242" s="335"/>
    </row>
    <row r="243" spans="1:211" s="396" customFormat="1">
      <c r="A243" s="491" t="s">
        <v>759</v>
      </c>
      <c r="B243" s="326" t="s">
        <v>789</v>
      </c>
      <c r="C243" s="325">
        <v>158307</v>
      </c>
      <c r="D243" s="349">
        <v>14</v>
      </c>
      <c r="E243" s="460">
        <v>51</v>
      </c>
      <c r="F243" s="492">
        <v>36</v>
      </c>
      <c r="G243" s="158"/>
      <c r="H243" s="277"/>
      <c r="I243" s="158"/>
      <c r="J243" s="588"/>
      <c r="K243" s="160">
        <f t="shared" si="95"/>
        <v>0</v>
      </c>
      <c r="L243" s="161">
        <f t="shared" si="88"/>
        <v>0</v>
      </c>
      <c r="M243" s="54"/>
      <c r="N243" s="55"/>
      <c r="O243" s="55"/>
      <c r="P243" s="55"/>
      <c r="Q243" s="162">
        <f t="shared" si="96"/>
        <v>0</v>
      </c>
      <c r="R243" s="494"/>
      <c r="S243" s="277"/>
      <c r="T243" s="277"/>
      <c r="U243" s="277"/>
      <c r="V243" s="97">
        <f t="shared" si="97"/>
        <v>0</v>
      </c>
      <c r="W243" s="279"/>
      <c r="X243" s="52"/>
      <c r="Y243" s="99"/>
      <c r="Z243" s="53"/>
      <c r="AA243" s="228"/>
      <c r="AB243" s="52"/>
      <c r="AC243" s="99"/>
      <c r="AD243" s="53"/>
      <c r="AE243" s="228"/>
      <c r="AF243" s="52"/>
      <c r="AG243" s="99"/>
      <c r="AH243" s="53"/>
      <c r="AI243" s="228"/>
      <c r="AJ243" s="52"/>
      <c r="AK243" s="99"/>
      <c r="AL243" s="53"/>
      <c r="AM243" s="228"/>
      <c r="AN243" s="52"/>
      <c r="AO243" s="99"/>
      <c r="AP243" s="53"/>
      <c r="AQ243" s="50">
        <f t="shared" si="89"/>
        <v>0</v>
      </c>
      <c r="AR243" s="163">
        <f t="shared" si="90"/>
        <v>0</v>
      </c>
      <c r="AS243" s="97">
        <f t="shared" si="91"/>
        <v>0</v>
      </c>
      <c r="AT243" s="278">
        <f t="shared" si="92"/>
        <v>0</v>
      </c>
      <c r="AU243" s="55"/>
      <c r="AV243" s="277"/>
      <c r="AW243" s="279"/>
      <c r="AX243" s="52"/>
      <c r="AY243" s="105"/>
      <c r="AZ243" s="98"/>
      <c r="BA243" s="279"/>
      <c r="BB243" s="52"/>
      <c r="BC243" s="105"/>
      <c r="BD243" s="98"/>
      <c r="BE243" s="279"/>
      <c r="BF243" s="52"/>
      <c r="BG243" s="105"/>
      <c r="BH243" s="98"/>
      <c r="BI243" s="279"/>
      <c r="BJ243" s="52"/>
      <c r="BK243" s="105"/>
      <c r="BL243" s="98"/>
      <c r="BM243" s="279"/>
      <c r="BN243" s="52"/>
      <c r="BO243" s="105"/>
      <c r="BP243" s="98"/>
      <c r="BQ243" s="279"/>
      <c r="BR243" s="52"/>
      <c r="BS243" s="105"/>
      <c r="BT243" s="98"/>
      <c r="BU243" s="279"/>
      <c r="BV243" s="52"/>
      <c r="BW243" s="105"/>
      <c r="BX243" s="98"/>
      <c r="BY243" s="279"/>
      <c r="BZ243" s="52"/>
      <c r="CA243" s="105"/>
      <c r="CB243" s="98"/>
      <c r="CC243" s="279"/>
      <c r="CD243" s="52"/>
      <c r="CE243" s="105"/>
      <c r="CF243" s="98"/>
      <c r="CG243" s="279"/>
      <c r="CH243" s="52"/>
      <c r="CI243" s="105"/>
      <c r="CJ243" s="98"/>
      <c r="CK243" s="281"/>
      <c r="CL243" s="277"/>
      <c r="CM243" s="159"/>
      <c r="CN243" s="277"/>
      <c r="CO243" s="50">
        <f t="shared" si="98"/>
        <v>0</v>
      </c>
      <c r="CP243" s="103">
        <f t="shared" si="99"/>
        <v>0</v>
      </c>
      <c r="CQ243" s="280">
        <f t="shared" si="100"/>
        <v>0</v>
      </c>
      <c r="CR243" s="63">
        <f t="shared" si="101"/>
        <v>0</v>
      </c>
      <c r="CS243" s="279"/>
      <c r="CT243" s="52"/>
      <c r="CU243" s="105"/>
      <c r="CV243" s="98"/>
      <c r="CW243" s="279"/>
      <c r="CX243" s="52"/>
      <c r="CY243" s="105"/>
      <c r="CZ243" s="98"/>
      <c r="DA243" s="279"/>
      <c r="DB243" s="52"/>
      <c r="DC243" s="105"/>
      <c r="DD243" s="98"/>
      <c r="DE243" s="279"/>
      <c r="DF243" s="52"/>
      <c r="DG243" s="105"/>
      <c r="DH243" s="98"/>
      <c r="DI243" s="279"/>
      <c r="DJ243" s="52"/>
      <c r="DK243" s="105"/>
      <c r="DL243" s="98"/>
      <c r="DM243" s="279"/>
      <c r="DN243" s="52"/>
      <c r="DO243" s="105"/>
      <c r="DP243" s="98"/>
      <c r="DQ243" s="279"/>
      <c r="DR243" s="52"/>
      <c r="DS243" s="105"/>
      <c r="DT243" s="98"/>
      <c r="DU243" s="279"/>
      <c r="DV243" s="52"/>
      <c r="DW243" s="105"/>
      <c r="DX243" s="98"/>
      <c r="DY243" s="279"/>
      <c r="DZ243" s="52"/>
      <c r="EA243" s="105"/>
      <c r="EB243" s="98"/>
      <c r="EC243" s="279"/>
      <c r="ED243" s="52"/>
      <c r="EE243" s="105"/>
      <c r="EF243" s="98"/>
      <c r="EG243" s="159"/>
      <c r="EH243" s="277"/>
      <c r="EI243" s="50">
        <f t="shared" si="102"/>
        <v>0</v>
      </c>
      <c r="EJ243" s="103">
        <f t="shared" si="103"/>
        <v>0</v>
      </c>
      <c r="EK243" s="164">
        <f t="shared" si="104"/>
        <v>0</v>
      </c>
      <c r="EL243" s="280">
        <f t="shared" si="105"/>
        <v>0</v>
      </c>
      <c r="EM243" s="63">
        <f t="shared" si="106"/>
        <v>0</v>
      </c>
      <c r="EN243" s="359">
        <f t="shared" si="107"/>
        <v>0</v>
      </c>
      <c r="EO243" s="51">
        <f t="shared" si="108"/>
        <v>0</v>
      </c>
      <c r="EP243" s="361">
        <f t="shared" si="109"/>
        <v>0</v>
      </c>
      <c r="EQ243" s="281"/>
      <c r="ER243" s="277"/>
      <c r="ES243" s="281"/>
      <c r="ET243" s="277"/>
      <c r="EU243" s="281"/>
      <c r="EV243" s="277"/>
      <c r="EW243" s="281"/>
      <c r="EX243" s="277"/>
      <c r="EY243" s="281"/>
      <c r="EZ243" s="277"/>
      <c r="FA243" s="281"/>
      <c r="FB243" s="277"/>
      <c r="FC243" s="281"/>
      <c r="FD243" s="277"/>
      <c r="FE243" s="281"/>
      <c r="FF243" s="277"/>
      <c r="FG243" s="281"/>
      <c r="FH243" s="277"/>
      <c r="FI243" s="281"/>
      <c r="FJ243" s="277"/>
      <c r="FK243" s="50">
        <f t="shared" si="110"/>
        <v>0</v>
      </c>
      <c r="FL243" s="63">
        <f t="shared" si="111"/>
        <v>0</v>
      </c>
      <c r="FM243" s="50">
        <f t="shared" si="93"/>
        <v>51</v>
      </c>
      <c r="FN243" s="360">
        <f t="shared" si="94"/>
        <v>36</v>
      </c>
      <c r="FO243" s="335"/>
      <c r="FP243" s="279"/>
      <c r="FQ243" s="52"/>
      <c r="FR243" s="296"/>
      <c r="FS243" s="98"/>
      <c r="FT243" s="467"/>
      <c r="FU243" s="52"/>
      <c r="FV243" s="296"/>
      <c r="FW243" s="98"/>
      <c r="FX243" s="467"/>
      <c r="FY243" s="52"/>
      <c r="FZ243" s="296"/>
      <c r="GA243" s="98"/>
      <c r="GB243" s="467"/>
      <c r="GC243" s="52"/>
      <c r="GD243" s="296"/>
      <c r="GE243" s="98"/>
      <c r="GF243" s="467"/>
      <c r="GG243" s="52"/>
      <c r="GH243" s="296"/>
      <c r="GI243" s="98"/>
      <c r="GJ243" s="467"/>
      <c r="GK243" s="52"/>
      <c r="GL243" s="296"/>
      <c r="GM243" s="464"/>
      <c r="GN243" s="467"/>
      <c r="GO243" s="52"/>
      <c r="GP243" s="296"/>
      <c r="GQ243" s="464"/>
      <c r="GR243" s="467"/>
      <c r="GS243" s="52"/>
      <c r="GT243" s="296"/>
      <c r="GU243" s="464"/>
      <c r="GV243" s="467"/>
      <c r="GW243" s="52"/>
      <c r="GX243" s="296"/>
      <c r="GY243" s="464"/>
      <c r="GZ243" s="467"/>
      <c r="HA243" s="52"/>
      <c r="HB243" s="296"/>
      <c r="HC243" s="335"/>
    </row>
    <row r="244" spans="1:211" s="396" customFormat="1">
      <c r="A244" s="491" t="s">
        <v>759</v>
      </c>
      <c r="B244" s="326" t="s">
        <v>790</v>
      </c>
      <c r="C244" s="325">
        <v>158352</v>
      </c>
      <c r="D244" s="349">
        <v>14</v>
      </c>
      <c r="E244" s="460">
        <v>149</v>
      </c>
      <c r="F244" s="492">
        <v>365</v>
      </c>
      <c r="G244" s="158"/>
      <c r="H244" s="277"/>
      <c r="I244" s="158">
        <v>22</v>
      </c>
      <c r="J244" s="588">
        <v>13</v>
      </c>
      <c r="K244" s="160">
        <f t="shared" si="95"/>
        <v>0</v>
      </c>
      <c r="L244" s="161">
        <f t="shared" si="88"/>
        <v>0</v>
      </c>
      <c r="M244" s="54"/>
      <c r="N244" s="55"/>
      <c r="O244" s="55"/>
      <c r="P244" s="55"/>
      <c r="Q244" s="162">
        <f t="shared" si="96"/>
        <v>0</v>
      </c>
      <c r="R244" s="494"/>
      <c r="S244" s="277"/>
      <c r="T244" s="277"/>
      <c r="U244" s="277"/>
      <c r="V244" s="97">
        <f t="shared" si="97"/>
        <v>0</v>
      </c>
      <c r="W244" s="279"/>
      <c r="X244" s="52"/>
      <c r="Y244" s="99"/>
      <c r="Z244" s="53"/>
      <c r="AA244" s="228"/>
      <c r="AB244" s="52"/>
      <c r="AC244" s="99"/>
      <c r="AD244" s="53"/>
      <c r="AE244" s="228"/>
      <c r="AF244" s="52"/>
      <c r="AG244" s="99"/>
      <c r="AH244" s="53"/>
      <c r="AI244" s="228"/>
      <c r="AJ244" s="52"/>
      <c r="AK244" s="99"/>
      <c r="AL244" s="53"/>
      <c r="AM244" s="228"/>
      <c r="AN244" s="52"/>
      <c r="AO244" s="99"/>
      <c r="AP244" s="53"/>
      <c r="AQ244" s="50">
        <f t="shared" si="89"/>
        <v>0</v>
      </c>
      <c r="AR244" s="163">
        <f t="shared" si="90"/>
        <v>0</v>
      </c>
      <c r="AS244" s="97">
        <f t="shared" si="91"/>
        <v>0</v>
      </c>
      <c r="AT244" s="278">
        <f t="shared" si="92"/>
        <v>0</v>
      </c>
      <c r="AU244" s="55"/>
      <c r="AV244" s="277"/>
      <c r="AW244" s="279"/>
      <c r="AX244" s="52"/>
      <c r="AY244" s="105"/>
      <c r="AZ244" s="98"/>
      <c r="BA244" s="279"/>
      <c r="BB244" s="52"/>
      <c r="BC244" s="105"/>
      <c r="BD244" s="98"/>
      <c r="BE244" s="279"/>
      <c r="BF244" s="52"/>
      <c r="BG244" s="105"/>
      <c r="BH244" s="98"/>
      <c r="BI244" s="279"/>
      <c r="BJ244" s="52"/>
      <c r="BK244" s="105"/>
      <c r="BL244" s="98"/>
      <c r="BM244" s="279"/>
      <c r="BN244" s="52"/>
      <c r="BO244" s="105"/>
      <c r="BP244" s="98"/>
      <c r="BQ244" s="279"/>
      <c r="BR244" s="52"/>
      <c r="BS244" s="105"/>
      <c r="BT244" s="98"/>
      <c r="BU244" s="279"/>
      <c r="BV244" s="52"/>
      <c r="BW244" s="105"/>
      <c r="BX244" s="98"/>
      <c r="BY244" s="279"/>
      <c r="BZ244" s="52"/>
      <c r="CA244" s="105"/>
      <c r="CB244" s="98"/>
      <c r="CC244" s="279"/>
      <c r="CD244" s="52"/>
      <c r="CE244" s="105"/>
      <c r="CF244" s="98"/>
      <c r="CG244" s="279"/>
      <c r="CH244" s="52"/>
      <c r="CI244" s="105"/>
      <c r="CJ244" s="98"/>
      <c r="CK244" s="281"/>
      <c r="CL244" s="277"/>
      <c r="CM244" s="159"/>
      <c r="CN244" s="277"/>
      <c r="CO244" s="50">
        <f t="shared" si="98"/>
        <v>0</v>
      </c>
      <c r="CP244" s="103">
        <f t="shared" si="99"/>
        <v>0</v>
      </c>
      <c r="CQ244" s="280">
        <f t="shared" si="100"/>
        <v>0</v>
      </c>
      <c r="CR244" s="63">
        <f t="shared" si="101"/>
        <v>0</v>
      </c>
      <c r="CS244" s="279"/>
      <c r="CT244" s="52"/>
      <c r="CU244" s="105"/>
      <c r="CV244" s="98"/>
      <c r="CW244" s="279"/>
      <c r="CX244" s="52"/>
      <c r="CY244" s="105"/>
      <c r="CZ244" s="98"/>
      <c r="DA244" s="279"/>
      <c r="DB244" s="52"/>
      <c r="DC244" s="105"/>
      <c r="DD244" s="98"/>
      <c r="DE244" s="279"/>
      <c r="DF244" s="52"/>
      <c r="DG244" s="105"/>
      <c r="DH244" s="98"/>
      <c r="DI244" s="279"/>
      <c r="DJ244" s="52"/>
      <c r="DK244" s="105"/>
      <c r="DL244" s="98"/>
      <c r="DM244" s="279"/>
      <c r="DN244" s="52"/>
      <c r="DO244" s="105"/>
      <c r="DP244" s="98"/>
      <c r="DQ244" s="279"/>
      <c r="DR244" s="52"/>
      <c r="DS244" s="105"/>
      <c r="DT244" s="98"/>
      <c r="DU244" s="279"/>
      <c r="DV244" s="52"/>
      <c r="DW244" s="105"/>
      <c r="DX244" s="98"/>
      <c r="DY244" s="279"/>
      <c r="DZ244" s="52"/>
      <c r="EA244" s="105"/>
      <c r="EB244" s="98"/>
      <c r="EC244" s="279"/>
      <c r="ED244" s="52"/>
      <c r="EE244" s="105"/>
      <c r="EF244" s="98"/>
      <c r="EG244" s="159"/>
      <c r="EH244" s="277"/>
      <c r="EI244" s="50">
        <f t="shared" si="102"/>
        <v>0</v>
      </c>
      <c r="EJ244" s="103">
        <f t="shared" si="103"/>
        <v>0</v>
      </c>
      <c r="EK244" s="164">
        <f t="shared" si="104"/>
        <v>0</v>
      </c>
      <c r="EL244" s="280">
        <f t="shared" si="105"/>
        <v>0</v>
      </c>
      <c r="EM244" s="63">
        <f t="shared" si="106"/>
        <v>0</v>
      </c>
      <c r="EN244" s="359">
        <f t="shared" si="107"/>
        <v>0</v>
      </c>
      <c r="EO244" s="51">
        <f t="shared" si="108"/>
        <v>0</v>
      </c>
      <c r="EP244" s="361">
        <f t="shared" si="109"/>
        <v>0</v>
      </c>
      <c r="EQ244" s="281"/>
      <c r="ER244" s="277"/>
      <c r="ES244" s="281"/>
      <c r="ET244" s="277"/>
      <c r="EU244" s="281"/>
      <c r="EV244" s="277"/>
      <c r="EW244" s="281"/>
      <c r="EX244" s="277"/>
      <c r="EY244" s="281"/>
      <c r="EZ244" s="277"/>
      <c r="FA244" s="281"/>
      <c r="FB244" s="277"/>
      <c r="FC244" s="281"/>
      <c r="FD244" s="277"/>
      <c r="FE244" s="281"/>
      <c r="FF244" s="277"/>
      <c r="FG244" s="281"/>
      <c r="FH244" s="277"/>
      <c r="FI244" s="281"/>
      <c r="FJ244" s="277"/>
      <c r="FK244" s="50">
        <f t="shared" si="110"/>
        <v>0</v>
      </c>
      <c r="FL244" s="63">
        <f t="shared" si="111"/>
        <v>0</v>
      </c>
      <c r="FM244" s="50">
        <f t="shared" si="93"/>
        <v>171</v>
      </c>
      <c r="FN244" s="360">
        <f t="shared" si="94"/>
        <v>378</v>
      </c>
      <c r="FO244" s="335"/>
      <c r="FP244" s="279"/>
      <c r="FQ244" s="52"/>
      <c r="FR244" s="296"/>
      <c r="FS244" s="98"/>
      <c r="FT244" s="467"/>
      <c r="FU244" s="52"/>
      <c r="FV244" s="296"/>
      <c r="FW244" s="98"/>
      <c r="FX244" s="467"/>
      <c r="FY244" s="52"/>
      <c r="FZ244" s="296"/>
      <c r="GA244" s="98"/>
      <c r="GB244" s="467"/>
      <c r="GC244" s="52"/>
      <c r="GD244" s="296"/>
      <c r="GE244" s="98"/>
      <c r="GF244" s="467"/>
      <c r="GG244" s="52"/>
      <c r="GH244" s="296"/>
      <c r="GI244" s="98"/>
      <c r="GJ244" s="467"/>
      <c r="GK244" s="52"/>
      <c r="GL244" s="296"/>
      <c r="GM244" s="464"/>
      <c r="GN244" s="467"/>
      <c r="GO244" s="52"/>
      <c r="GP244" s="296"/>
      <c r="GQ244" s="464"/>
      <c r="GR244" s="467"/>
      <c r="GS244" s="52"/>
      <c r="GT244" s="296"/>
      <c r="GU244" s="464"/>
      <c r="GV244" s="467"/>
      <c r="GW244" s="52"/>
      <c r="GX244" s="296"/>
      <c r="GY244" s="464"/>
      <c r="GZ244" s="467"/>
      <c r="HA244" s="52"/>
      <c r="HB244" s="296"/>
      <c r="HC244" s="335"/>
    </row>
    <row r="245" spans="1:211" s="396" customFormat="1">
      <c r="A245" s="491" t="s">
        <v>759</v>
      </c>
      <c r="B245" s="326" t="s">
        <v>899</v>
      </c>
      <c r="C245" s="325">
        <v>160816</v>
      </c>
      <c r="D245" s="349">
        <v>14</v>
      </c>
      <c r="E245" s="460">
        <v>49</v>
      </c>
      <c r="F245" s="492">
        <v>76</v>
      </c>
      <c r="G245" s="158"/>
      <c r="H245" s="277"/>
      <c r="I245" s="158"/>
      <c r="J245" s="588"/>
      <c r="K245" s="160">
        <f t="shared" si="95"/>
        <v>0</v>
      </c>
      <c r="L245" s="161">
        <f t="shared" si="88"/>
        <v>0</v>
      </c>
      <c r="M245" s="54"/>
      <c r="N245" s="55"/>
      <c r="O245" s="55"/>
      <c r="P245" s="55"/>
      <c r="Q245" s="162">
        <f t="shared" si="96"/>
        <v>0</v>
      </c>
      <c r="R245" s="494"/>
      <c r="S245" s="277"/>
      <c r="T245" s="277"/>
      <c r="U245" s="277"/>
      <c r="V245" s="97">
        <f t="shared" si="97"/>
        <v>0</v>
      </c>
      <c r="W245" s="279"/>
      <c r="X245" s="52"/>
      <c r="Y245" s="99"/>
      <c r="Z245" s="53"/>
      <c r="AA245" s="228"/>
      <c r="AB245" s="52"/>
      <c r="AC245" s="99"/>
      <c r="AD245" s="53"/>
      <c r="AE245" s="228"/>
      <c r="AF245" s="52"/>
      <c r="AG245" s="99"/>
      <c r="AH245" s="53"/>
      <c r="AI245" s="228"/>
      <c r="AJ245" s="52"/>
      <c r="AK245" s="99"/>
      <c r="AL245" s="53"/>
      <c r="AM245" s="228"/>
      <c r="AN245" s="52"/>
      <c r="AO245" s="99"/>
      <c r="AP245" s="53"/>
      <c r="AQ245" s="50">
        <f t="shared" si="89"/>
        <v>0</v>
      </c>
      <c r="AR245" s="163">
        <f t="shared" si="90"/>
        <v>0</v>
      </c>
      <c r="AS245" s="97">
        <f t="shared" si="91"/>
        <v>0</v>
      </c>
      <c r="AT245" s="278">
        <f t="shared" si="92"/>
        <v>0</v>
      </c>
      <c r="AU245" s="55"/>
      <c r="AV245" s="277"/>
      <c r="AW245" s="279"/>
      <c r="AX245" s="52"/>
      <c r="AY245" s="105"/>
      <c r="AZ245" s="98"/>
      <c r="BA245" s="279"/>
      <c r="BB245" s="52"/>
      <c r="BC245" s="105"/>
      <c r="BD245" s="98"/>
      <c r="BE245" s="279"/>
      <c r="BF245" s="52"/>
      <c r="BG245" s="105"/>
      <c r="BH245" s="98"/>
      <c r="BI245" s="279"/>
      <c r="BJ245" s="52"/>
      <c r="BK245" s="105"/>
      <c r="BL245" s="98"/>
      <c r="BM245" s="279"/>
      <c r="BN245" s="52"/>
      <c r="BO245" s="105"/>
      <c r="BP245" s="98"/>
      <c r="BQ245" s="279"/>
      <c r="BR245" s="52"/>
      <c r="BS245" s="105"/>
      <c r="BT245" s="98"/>
      <c r="BU245" s="279"/>
      <c r="BV245" s="52"/>
      <c r="BW245" s="105"/>
      <c r="BX245" s="98"/>
      <c r="BY245" s="279"/>
      <c r="BZ245" s="52"/>
      <c r="CA245" s="105"/>
      <c r="CB245" s="98"/>
      <c r="CC245" s="279"/>
      <c r="CD245" s="52"/>
      <c r="CE245" s="105"/>
      <c r="CF245" s="98"/>
      <c r="CG245" s="279"/>
      <c r="CH245" s="52"/>
      <c r="CI245" s="105"/>
      <c r="CJ245" s="98"/>
      <c r="CK245" s="281"/>
      <c r="CL245" s="277"/>
      <c r="CM245" s="159"/>
      <c r="CN245" s="277"/>
      <c r="CO245" s="50">
        <f t="shared" si="98"/>
        <v>0</v>
      </c>
      <c r="CP245" s="103">
        <f t="shared" si="99"/>
        <v>0</v>
      </c>
      <c r="CQ245" s="280">
        <f t="shared" si="100"/>
        <v>0</v>
      </c>
      <c r="CR245" s="63">
        <f t="shared" si="101"/>
        <v>0</v>
      </c>
      <c r="CS245" s="279"/>
      <c r="CT245" s="52"/>
      <c r="CU245" s="105"/>
      <c r="CV245" s="98"/>
      <c r="CW245" s="279"/>
      <c r="CX245" s="52"/>
      <c r="CY245" s="105"/>
      <c r="CZ245" s="98"/>
      <c r="DA245" s="279"/>
      <c r="DB245" s="52"/>
      <c r="DC245" s="105"/>
      <c r="DD245" s="98"/>
      <c r="DE245" s="279"/>
      <c r="DF245" s="52"/>
      <c r="DG245" s="105"/>
      <c r="DH245" s="98"/>
      <c r="DI245" s="279"/>
      <c r="DJ245" s="52"/>
      <c r="DK245" s="105"/>
      <c r="DL245" s="98"/>
      <c r="DM245" s="279"/>
      <c r="DN245" s="52"/>
      <c r="DO245" s="105"/>
      <c r="DP245" s="98"/>
      <c r="DQ245" s="279"/>
      <c r="DR245" s="52"/>
      <c r="DS245" s="105"/>
      <c r="DT245" s="98"/>
      <c r="DU245" s="279"/>
      <c r="DV245" s="52"/>
      <c r="DW245" s="105"/>
      <c r="DX245" s="98"/>
      <c r="DY245" s="279"/>
      <c r="DZ245" s="52"/>
      <c r="EA245" s="105"/>
      <c r="EB245" s="98"/>
      <c r="EC245" s="279"/>
      <c r="ED245" s="52"/>
      <c r="EE245" s="105"/>
      <c r="EF245" s="98"/>
      <c r="EG245" s="159"/>
      <c r="EH245" s="277"/>
      <c r="EI245" s="50">
        <f t="shared" si="102"/>
        <v>0</v>
      </c>
      <c r="EJ245" s="103">
        <f t="shared" si="103"/>
        <v>0</v>
      </c>
      <c r="EK245" s="164">
        <f t="shared" si="104"/>
        <v>0</v>
      </c>
      <c r="EL245" s="280">
        <f t="shared" si="105"/>
        <v>0</v>
      </c>
      <c r="EM245" s="63">
        <f t="shared" si="106"/>
        <v>0</v>
      </c>
      <c r="EN245" s="359">
        <f t="shared" si="107"/>
        <v>0</v>
      </c>
      <c r="EO245" s="51">
        <f t="shared" si="108"/>
        <v>0</v>
      </c>
      <c r="EP245" s="361">
        <f t="shared" si="109"/>
        <v>0</v>
      </c>
      <c r="EQ245" s="281"/>
      <c r="ER245" s="277"/>
      <c r="ES245" s="281"/>
      <c r="ET245" s="277"/>
      <c r="EU245" s="281"/>
      <c r="EV245" s="277"/>
      <c r="EW245" s="281"/>
      <c r="EX245" s="277"/>
      <c r="EY245" s="281"/>
      <c r="EZ245" s="277"/>
      <c r="FA245" s="281"/>
      <c r="FB245" s="277"/>
      <c r="FC245" s="281"/>
      <c r="FD245" s="277"/>
      <c r="FE245" s="281"/>
      <c r="FF245" s="277"/>
      <c r="FG245" s="281"/>
      <c r="FH245" s="277"/>
      <c r="FI245" s="281"/>
      <c r="FJ245" s="277"/>
      <c r="FK245" s="50">
        <f t="shared" si="110"/>
        <v>0</v>
      </c>
      <c r="FL245" s="63">
        <f t="shared" si="111"/>
        <v>0</v>
      </c>
      <c r="FM245" s="50">
        <f t="shared" si="93"/>
        <v>49</v>
      </c>
      <c r="FN245" s="360">
        <f t="shared" si="94"/>
        <v>76</v>
      </c>
      <c r="FO245" s="335"/>
      <c r="FP245" s="279"/>
      <c r="FQ245" s="52"/>
      <c r="FR245" s="296"/>
      <c r="FS245" s="98"/>
      <c r="FT245" s="467"/>
      <c r="FU245" s="52"/>
      <c r="FV245" s="296"/>
      <c r="FW245" s="98"/>
      <c r="FX245" s="467"/>
      <c r="FY245" s="52"/>
      <c r="FZ245" s="296"/>
      <c r="GA245" s="98"/>
      <c r="GB245" s="467"/>
      <c r="GC245" s="52"/>
      <c r="GD245" s="296"/>
      <c r="GE245" s="98"/>
      <c r="GF245" s="467"/>
      <c r="GG245" s="52"/>
      <c r="GH245" s="296"/>
      <c r="GI245" s="98"/>
      <c r="GJ245" s="467"/>
      <c r="GK245" s="52"/>
      <c r="GL245" s="296"/>
      <c r="GM245" s="464"/>
      <c r="GN245" s="467"/>
      <c r="GO245" s="52"/>
      <c r="GP245" s="296"/>
      <c r="GQ245" s="464"/>
      <c r="GR245" s="467"/>
      <c r="GS245" s="52"/>
      <c r="GT245" s="296"/>
      <c r="GU245" s="464"/>
      <c r="GV245" s="467"/>
      <c r="GW245" s="52"/>
      <c r="GX245" s="296"/>
      <c r="GY245" s="464"/>
      <c r="GZ245" s="467"/>
      <c r="HA245" s="52"/>
      <c r="HB245" s="296"/>
      <c r="HC245" s="335"/>
    </row>
    <row r="246" spans="1:211" s="396" customFormat="1">
      <c r="A246" s="491" t="s">
        <v>759</v>
      </c>
      <c r="B246" s="326" t="s">
        <v>900</v>
      </c>
      <c r="C246" s="325">
        <v>158769</v>
      </c>
      <c r="D246" s="349">
        <v>14</v>
      </c>
      <c r="E246" s="460">
        <v>148</v>
      </c>
      <c r="F246" s="492">
        <v>243</v>
      </c>
      <c r="G246" s="158"/>
      <c r="H246" s="277"/>
      <c r="I246" s="158">
        <v>6</v>
      </c>
      <c r="J246" s="588">
        <v>13</v>
      </c>
      <c r="K246" s="160">
        <f t="shared" si="95"/>
        <v>0</v>
      </c>
      <c r="L246" s="161">
        <f t="shared" si="88"/>
        <v>0</v>
      </c>
      <c r="M246" s="54"/>
      <c r="N246" s="55"/>
      <c r="O246" s="55"/>
      <c r="P246" s="55"/>
      <c r="Q246" s="162">
        <f t="shared" si="96"/>
        <v>0</v>
      </c>
      <c r="R246" s="494"/>
      <c r="S246" s="277"/>
      <c r="T246" s="277"/>
      <c r="U246" s="277"/>
      <c r="V246" s="97">
        <f t="shared" si="97"/>
        <v>0</v>
      </c>
      <c r="W246" s="279"/>
      <c r="X246" s="52"/>
      <c r="Y246" s="99"/>
      <c r="Z246" s="53"/>
      <c r="AA246" s="228"/>
      <c r="AB246" s="52"/>
      <c r="AC246" s="99"/>
      <c r="AD246" s="53"/>
      <c r="AE246" s="228"/>
      <c r="AF246" s="52"/>
      <c r="AG246" s="99"/>
      <c r="AH246" s="53"/>
      <c r="AI246" s="228"/>
      <c r="AJ246" s="52"/>
      <c r="AK246" s="99"/>
      <c r="AL246" s="53"/>
      <c r="AM246" s="228"/>
      <c r="AN246" s="52"/>
      <c r="AO246" s="99"/>
      <c r="AP246" s="53"/>
      <c r="AQ246" s="50">
        <f t="shared" si="89"/>
        <v>0</v>
      </c>
      <c r="AR246" s="163">
        <f t="shared" si="90"/>
        <v>0</v>
      </c>
      <c r="AS246" s="97">
        <f t="shared" si="91"/>
        <v>0</v>
      </c>
      <c r="AT246" s="278">
        <f t="shared" si="92"/>
        <v>0</v>
      </c>
      <c r="AU246" s="55"/>
      <c r="AV246" s="277"/>
      <c r="AW246" s="279"/>
      <c r="AX246" s="52"/>
      <c r="AY246" s="105"/>
      <c r="AZ246" s="98"/>
      <c r="BA246" s="279"/>
      <c r="BB246" s="52"/>
      <c r="BC246" s="105"/>
      <c r="BD246" s="98"/>
      <c r="BE246" s="279"/>
      <c r="BF246" s="52"/>
      <c r="BG246" s="105"/>
      <c r="BH246" s="98"/>
      <c r="BI246" s="279"/>
      <c r="BJ246" s="52"/>
      <c r="BK246" s="105"/>
      <c r="BL246" s="98"/>
      <c r="BM246" s="279"/>
      <c r="BN246" s="52"/>
      <c r="BO246" s="105"/>
      <c r="BP246" s="98"/>
      <c r="BQ246" s="279"/>
      <c r="BR246" s="52"/>
      <c r="BS246" s="105"/>
      <c r="BT246" s="98"/>
      <c r="BU246" s="279"/>
      <c r="BV246" s="52"/>
      <c r="BW246" s="105"/>
      <c r="BX246" s="98"/>
      <c r="BY246" s="279"/>
      <c r="BZ246" s="52"/>
      <c r="CA246" s="105"/>
      <c r="CB246" s="98"/>
      <c r="CC246" s="279"/>
      <c r="CD246" s="52"/>
      <c r="CE246" s="105"/>
      <c r="CF246" s="98"/>
      <c r="CG246" s="279"/>
      <c r="CH246" s="52"/>
      <c r="CI246" s="105"/>
      <c r="CJ246" s="98"/>
      <c r="CK246" s="281"/>
      <c r="CL246" s="277"/>
      <c r="CM246" s="159"/>
      <c r="CN246" s="277"/>
      <c r="CO246" s="50">
        <f t="shared" si="98"/>
        <v>0</v>
      </c>
      <c r="CP246" s="103">
        <f t="shared" si="99"/>
        <v>0</v>
      </c>
      <c r="CQ246" s="280">
        <f t="shared" si="100"/>
        <v>0</v>
      </c>
      <c r="CR246" s="63">
        <f t="shared" si="101"/>
        <v>0</v>
      </c>
      <c r="CS246" s="279"/>
      <c r="CT246" s="52"/>
      <c r="CU246" s="105"/>
      <c r="CV246" s="98"/>
      <c r="CW246" s="279"/>
      <c r="CX246" s="52"/>
      <c r="CY246" s="105"/>
      <c r="CZ246" s="98"/>
      <c r="DA246" s="279"/>
      <c r="DB246" s="52"/>
      <c r="DC246" s="105"/>
      <c r="DD246" s="98"/>
      <c r="DE246" s="279"/>
      <c r="DF246" s="52"/>
      <c r="DG246" s="105"/>
      <c r="DH246" s="98"/>
      <c r="DI246" s="279"/>
      <c r="DJ246" s="52"/>
      <c r="DK246" s="105"/>
      <c r="DL246" s="98"/>
      <c r="DM246" s="279"/>
      <c r="DN246" s="52"/>
      <c r="DO246" s="105"/>
      <c r="DP246" s="98"/>
      <c r="DQ246" s="279"/>
      <c r="DR246" s="52"/>
      <c r="DS246" s="105"/>
      <c r="DT246" s="98"/>
      <c r="DU246" s="279"/>
      <c r="DV246" s="52"/>
      <c r="DW246" s="105"/>
      <c r="DX246" s="98"/>
      <c r="DY246" s="279"/>
      <c r="DZ246" s="52"/>
      <c r="EA246" s="105"/>
      <c r="EB246" s="98"/>
      <c r="EC246" s="279"/>
      <c r="ED246" s="52"/>
      <c r="EE246" s="105"/>
      <c r="EF246" s="98"/>
      <c r="EG246" s="159"/>
      <c r="EH246" s="277"/>
      <c r="EI246" s="50">
        <f t="shared" si="102"/>
        <v>0</v>
      </c>
      <c r="EJ246" s="103">
        <f t="shared" si="103"/>
        <v>0</v>
      </c>
      <c r="EK246" s="164">
        <f t="shared" si="104"/>
        <v>0</v>
      </c>
      <c r="EL246" s="280">
        <f t="shared" si="105"/>
        <v>0</v>
      </c>
      <c r="EM246" s="63">
        <f t="shared" si="106"/>
        <v>0</v>
      </c>
      <c r="EN246" s="359">
        <f t="shared" si="107"/>
        <v>0</v>
      </c>
      <c r="EO246" s="51">
        <f t="shared" si="108"/>
        <v>0</v>
      </c>
      <c r="EP246" s="361">
        <f t="shared" si="109"/>
        <v>0</v>
      </c>
      <c r="EQ246" s="281"/>
      <c r="ER246" s="277"/>
      <c r="ES246" s="281"/>
      <c r="ET246" s="277"/>
      <c r="EU246" s="281"/>
      <c r="EV246" s="277"/>
      <c r="EW246" s="281"/>
      <c r="EX246" s="277"/>
      <c r="EY246" s="281"/>
      <c r="EZ246" s="277"/>
      <c r="FA246" s="281"/>
      <c r="FB246" s="277"/>
      <c r="FC246" s="281"/>
      <c r="FD246" s="277"/>
      <c r="FE246" s="281"/>
      <c r="FF246" s="277"/>
      <c r="FG246" s="281"/>
      <c r="FH246" s="277"/>
      <c r="FI246" s="281"/>
      <c r="FJ246" s="277"/>
      <c r="FK246" s="50">
        <f t="shared" si="110"/>
        <v>0</v>
      </c>
      <c r="FL246" s="63">
        <f t="shared" si="111"/>
        <v>0</v>
      </c>
      <c r="FM246" s="50">
        <f t="shared" si="93"/>
        <v>154</v>
      </c>
      <c r="FN246" s="360">
        <f t="shared" si="94"/>
        <v>256</v>
      </c>
      <c r="FO246" s="335"/>
      <c r="FP246" s="279"/>
      <c r="FQ246" s="52"/>
      <c r="FR246" s="296"/>
      <c r="FS246" s="98"/>
      <c r="FT246" s="467"/>
      <c r="FU246" s="52"/>
      <c r="FV246" s="296"/>
      <c r="FW246" s="98"/>
      <c r="FX246" s="467"/>
      <c r="FY246" s="52"/>
      <c r="FZ246" s="296"/>
      <c r="GA246" s="98"/>
      <c r="GB246" s="467"/>
      <c r="GC246" s="52"/>
      <c r="GD246" s="296"/>
      <c r="GE246" s="98"/>
      <c r="GF246" s="467"/>
      <c r="GG246" s="52"/>
      <c r="GH246" s="296"/>
      <c r="GI246" s="98"/>
      <c r="GJ246" s="467"/>
      <c r="GK246" s="52"/>
      <c r="GL246" s="296"/>
      <c r="GM246" s="464"/>
      <c r="GN246" s="467"/>
      <c r="GO246" s="52"/>
      <c r="GP246" s="296"/>
      <c r="GQ246" s="464"/>
      <c r="GR246" s="467"/>
      <c r="GS246" s="52"/>
      <c r="GT246" s="296"/>
      <c r="GU246" s="464"/>
      <c r="GV246" s="467"/>
      <c r="GW246" s="52"/>
      <c r="GX246" s="296"/>
      <c r="GY246" s="464"/>
      <c r="GZ246" s="467"/>
      <c r="HA246" s="52"/>
      <c r="HB246" s="296"/>
      <c r="HC246" s="335"/>
    </row>
    <row r="247" spans="1:211" s="396" customFormat="1">
      <c r="A247" s="491" t="s">
        <v>759</v>
      </c>
      <c r="B247" s="326" t="s">
        <v>901</v>
      </c>
      <c r="C247" s="325">
        <v>158893</v>
      </c>
      <c r="D247" s="349">
        <v>14</v>
      </c>
      <c r="E247" s="460">
        <v>43</v>
      </c>
      <c r="F247" s="492">
        <v>56</v>
      </c>
      <c r="G247" s="158"/>
      <c r="H247" s="277"/>
      <c r="I247" s="158"/>
      <c r="J247" s="588"/>
      <c r="K247" s="160">
        <f t="shared" si="95"/>
        <v>0</v>
      </c>
      <c r="L247" s="161">
        <f t="shared" si="88"/>
        <v>0</v>
      </c>
      <c r="M247" s="54"/>
      <c r="N247" s="55"/>
      <c r="O247" s="55"/>
      <c r="P247" s="55"/>
      <c r="Q247" s="162">
        <f t="shared" si="96"/>
        <v>0</v>
      </c>
      <c r="R247" s="494"/>
      <c r="S247" s="277"/>
      <c r="T247" s="277"/>
      <c r="U247" s="277"/>
      <c r="V247" s="97">
        <f t="shared" si="97"/>
        <v>0</v>
      </c>
      <c r="W247" s="279"/>
      <c r="X247" s="52"/>
      <c r="Y247" s="99"/>
      <c r="Z247" s="53"/>
      <c r="AA247" s="228"/>
      <c r="AB247" s="52"/>
      <c r="AC247" s="99"/>
      <c r="AD247" s="53"/>
      <c r="AE247" s="228"/>
      <c r="AF247" s="52"/>
      <c r="AG247" s="99"/>
      <c r="AH247" s="53"/>
      <c r="AI247" s="228"/>
      <c r="AJ247" s="52"/>
      <c r="AK247" s="99"/>
      <c r="AL247" s="53"/>
      <c r="AM247" s="228"/>
      <c r="AN247" s="52"/>
      <c r="AO247" s="99"/>
      <c r="AP247" s="53"/>
      <c r="AQ247" s="50">
        <f t="shared" si="89"/>
        <v>0</v>
      </c>
      <c r="AR247" s="163">
        <f t="shared" si="90"/>
        <v>0</v>
      </c>
      <c r="AS247" s="97">
        <f t="shared" si="91"/>
        <v>0</v>
      </c>
      <c r="AT247" s="278">
        <f t="shared" si="92"/>
        <v>0</v>
      </c>
      <c r="AU247" s="55"/>
      <c r="AV247" s="277"/>
      <c r="AW247" s="279"/>
      <c r="AX247" s="52"/>
      <c r="AY247" s="105"/>
      <c r="AZ247" s="98"/>
      <c r="BA247" s="279"/>
      <c r="BB247" s="52"/>
      <c r="BC247" s="105"/>
      <c r="BD247" s="98"/>
      <c r="BE247" s="279"/>
      <c r="BF247" s="52"/>
      <c r="BG247" s="105"/>
      <c r="BH247" s="98"/>
      <c r="BI247" s="279"/>
      <c r="BJ247" s="52"/>
      <c r="BK247" s="105"/>
      <c r="BL247" s="98"/>
      <c r="BM247" s="279"/>
      <c r="BN247" s="52"/>
      <c r="BO247" s="105"/>
      <c r="BP247" s="98"/>
      <c r="BQ247" s="279"/>
      <c r="BR247" s="52"/>
      <c r="BS247" s="105"/>
      <c r="BT247" s="98"/>
      <c r="BU247" s="279"/>
      <c r="BV247" s="52"/>
      <c r="BW247" s="105"/>
      <c r="BX247" s="98"/>
      <c r="BY247" s="279"/>
      <c r="BZ247" s="52"/>
      <c r="CA247" s="105"/>
      <c r="CB247" s="98"/>
      <c r="CC247" s="279"/>
      <c r="CD247" s="52"/>
      <c r="CE247" s="105"/>
      <c r="CF247" s="98"/>
      <c r="CG247" s="279"/>
      <c r="CH247" s="52"/>
      <c r="CI247" s="105"/>
      <c r="CJ247" s="98"/>
      <c r="CK247" s="281"/>
      <c r="CL247" s="277"/>
      <c r="CM247" s="159"/>
      <c r="CN247" s="277"/>
      <c r="CO247" s="50">
        <f t="shared" si="98"/>
        <v>0</v>
      </c>
      <c r="CP247" s="103">
        <f t="shared" si="99"/>
        <v>0</v>
      </c>
      <c r="CQ247" s="280">
        <f t="shared" si="100"/>
        <v>0</v>
      </c>
      <c r="CR247" s="63">
        <f t="shared" si="101"/>
        <v>0</v>
      </c>
      <c r="CS247" s="279"/>
      <c r="CT247" s="52"/>
      <c r="CU247" s="105"/>
      <c r="CV247" s="98"/>
      <c r="CW247" s="279"/>
      <c r="CX247" s="52"/>
      <c r="CY247" s="105"/>
      <c r="CZ247" s="98"/>
      <c r="DA247" s="279"/>
      <c r="DB247" s="52"/>
      <c r="DC247" s="105"/>
      <c r="DD247" s="98"/>
      <c r="DE247" s="279"/>
      <c r="DF247" s="52"/>
      <c r="DG247" s="105"/>
      <c r="DH247" s="98"/>
      <c r="DI247" s="279"/>
      <c r="DJ247" s="52"/>
      <c r="DK247" s="105"/>
      <c r="DL247" s="98"/>
      <c r="DM247" s="279"/>
      <c r="DN247" s="52"/>
      <c r="DO247" s="105"/>
      <c r="DP247" s="98"/>
      <c r="DQ247" s="279"/>
      <c r="DR247" s="52"/>
      <c r="DS247" s="105"/>
      <c r="DT247" s="98"/>
      <c r="DU247" s="279"/>
      <c r="DV247" s="52"/>
      <c r="DW247" s="105"/>
      <c r="DX247" s="98"/>
      <c r="DY247" s="279"/>
      <c r="DZ247" s="52"/>
      <c r="EA247" s="105"/>
      <c r="EB247" s="98"/>
      <c r="EC247" s="279"/>
      <c r="ED247" s="52"/>
      <c r="EE247" s="105"/>
      <c r="EF247" s="98"/>
      <c r="EG247" s="159"/>
      <c r="EH247" s="277"/>
      <c r="EI247" s="50">
        <f t="shared" si="102"/>
        <v>0</v>
      </c>
      <c r="EJ247" s="103">
        <f t="shared" si="103"/>
        <v>0</v>
      </c>
      <c r="EK247" s="164">
        <f t="shared" si="104"/>
        <v>0</v>
      </c>
      <c r="EL247" s="280">
        <f t="shared" si="105"/>
        <v>0</v>
      </c>
      <c r="EM247" s="63">
        <f t="shared" si="106"/>
        <v>0</v>
      </c>
      <c r="EN247" s="359">
        <f t="shared" si="107"/>
        <v>0</v>
      </c>
      <c r="EO247" s="51">
        <f t="shared" si="108"/>
        <v>0</v>
      </c>
      <c r="EP247" s="361">
        <f t="shared" si="109"/>
        <v>0</v>
      </c>
      <c r="EQ247" s="281"/>
      <c r="ER247" s="277"/>
      <c r="ES247" s="281"/>
      <c r="ET247" s="277"/>
      <c r="EU247" s="281"/>
      <c r="EV247" s="277"/>
      <c r="EW247" s="281"/>
      <c r="EX247" s="277"/>
      <c r="EY247" s="281"/>
      <c r="EZ247" s="277"/>
      <c r="FA247" s="281"/>
      <c r="FB247" s="277"/>
      <c r="FC247" s="281"/>
      <c r="FD247" s="277"/>
      <c r="FE247" s="281"/>
      <c r="FF247" s="277"/>
      <c r="FG247" s="281"/>
      <c r="FH247" s="277"/>
      <c r="FI247" s="281"/>
      <c r="FJ247" s="277"/>
      <c r="FK247" s="50">
        <f t="shared" si="110"/>
        <v>0</v>
      </c>
      <c r="FL247" s="63">
        <f t="shared" si="111"/>
        <v>0</v>
      </c>
      <c r="FM247" s="50">
        <f t="shared" si="93"/>
        <v>43</v>
      </c>
      <c r="FN247" s="360">
        <f t="shared" si="94"/>
        <v>56</v>
      </c>
      <c r="FO247" s="335"/>
      <c r="FP247" s="279"/>
      <c r="FQ247" s="52"/>
      <c r="FR247" s="296"/>
      <c r="FS247" s="98"/>
      <c r="FT247" s="467"/>
      <c r="FU247" s="52"/>
      <c r="FV247" s="296"/>
      <c r="FW247" s="98"/>
      <c r="FX247" s="467"/>
      <c r="FY247" s="52"/>
      <c r="FZ247" s="296"/>
      <c r="GA247" s="98"/>
      <c r="GB247" s="467"/>
      <c r="GC247" s="52"/>
      <c r="GD247" s="296"/>
      <c r="GE247" s="98"/>
      <c r="GF247" s="467"/>
      <c r="GG247" s="52"/>
      <c r="GH247" s="296"/>
      <c r="GI247" s="98"/>
      <c r="GJ247" s="467"/>
      <c r="GK247" s="52"/>
      <c r="GL247" s="296"/>
      <c r="GM247" s="464"/>
      <c r="GN247" s="467"/>
      <c r="GO247" s="52"/>
      <c r="GP247" s="296"/>
      <c r="GQ247" s="464"/>
      <c r="GR247" s="467"/>
      <c r="GS247" s="52"/>
      <c r="GT247" s="296"/>
      <c r="GU247" s="464"/>
      <c r="GV247" s="467"/>
      <c r="GW247" s="52"/>
      <c r="GX247" s="296"/>
      <c r="GY247" s="464"/>
      <c r="GZ247" s="467"/>
      <c r="HA247" s="52"/>
      <c r="HB247" s="296"/>
      <c r="HC247" s="335"/>
    </row>
    <row r="248" spans="1:211" s="396" customFormat="1">
      <c r="A248" s="491" t="s">
        <v>759</v>
      </c>
      <c r="B248" s="326" t="s">
        <v>902</v>
      </c>
      <c r="C248" s="325">
        <v>158936</v>
      </c>
      <c r="D248" s="349">
        <v>14</v>
      </c>
      <c r="E248" s="460">
        <v>35</v>
      </c>
      <c r="F248" s="492">
        <v>14</v>
      </c>
      <c r="G248" s="158"/>
      <c r="H248" s="277"/>
      <c r="I248" s="158"/>
      <c r="J248" s="588"/>
      <c r="K248" s="160">
        <f t="shared" si="95"/>
        <v>0</v>
      </c>
      <c r="L248" s="161">
        <f t="shared" si="88"/>
        <v>0</v>
      </c>
      <c r="M248" s="54"/>
      <c r="N248" s="55"/>
      <c r="O248" s="55"/>
      <c r="P248" s="55"/>
      <c r="Q248" s="162">
        <f t="shared" si="96"/>
        <v>0</v>
      </c>
      <c r="R248" s="494"/>
      <c r="S248" s="277"/>
      <c r="T248" s="277"/>
      <c r="U248" s="277"/>
      <c r="V248" s="97">
        <f t="shared" si="97"/>
        <v>0</v>
      </c>
      <c r="W248" s="279"/>
      <c r="X248" s="52"/>
      <c r="Y248" s="99"/>
      <c r="Z248" s="53"/>
      <c r="AA248" s="228"/>
      <c r="AB248" s="52"/>
      <c r="AC248" s="99"/>
      <c r="AD248" s="53"/>
      <c r="AE248" s="228"/>
      <c r="AF248" s="52"/>
      <c r="AG248" s="99"/>
      <c r="AH248" s="53"/>
      <c r="AI248" s="228"/>
      <c r="AJ248" s="52"/>
      <c r="AK248" s="99"/>
      <c r="AL248" s="53"/>
      <c r="AM248" s="228"/>
      <c r="AN248" s="52"/>
      <c r="AO248" s="99"/>
      <c r="AP248" s="53"/>
      <c r="AQ248" s="50">
        <f t="shared" si="89"/>
        <v>0</v>
      </c>
      <c r="AR248" s="163">
        <f t="shared" si="90"/>
        <v>0</v>
      </c>
      <c r="AS248" s="97">
        <f t="shared" si="91"/>
        <v>0</v>
      </c>
      <c r="AT248" s="278">
        <f t="shared" si="92"/>
        <v>0</v>
      </c>
      <c r="AU248" s="55"/>
      <c r="AV248" s="277"/>
      <c r="AW248" s="279"/>
      <c r="AX248" s="52"/>
      <c r="AY248" s="105"/>
      <c r="AZ248" s="98"/>
      <c r="BA248" s="279"/>
      <c r="BB248" s="52"/>
      <c r="BC248" s="105"/>
      <c r="BD248" s="98"/>
      <c r="BE248" s="279"/>
      <c r="BF248" s="52"/>
      <c r="BG248" s="105"/>
      <c r="BH248" s="98"/>
      <c r="BI248" s="279"/>
      <c r="BJ248" s="52"/>
      <c r="BK248" s="105"/>
      <c r="BL248" s="98"/>
      <c r="BM248" s="279"/>
      <c r="BN248" s="52"/>
      <c r="BO248" s="105"/>
      <c r="BP248" s="98"/>
      <c r="BQ248" s="279"/>
      <c r="BR248" s="52"/>
      <c r="BS248" s="105"/>
      <c r="BT248" s="98"/>
      <c r="BU248" s="279"/>
      <c r="BV248" s="52"/>
      <c r="BW248" s="105"/>
      <c r="BX248" s="98"/>
      <c r="BY248" s="279"/>
      <c r="BZ248" s="52"/>
      <c r="CA248" s="105"/>
      <c r="CB248" s="98"/>
      <c r="CC248" s="279"/>
      <c r="CD248" s="52"/>
      <c r="CE248" s="105"/>
      <c r="CF248" s="98"/>
      <c r="CG248" s="279"/>
      <c r="CH248" s="52"/>
      <c r="CI248" s="105"/>
      <c r="CJ248" s="98"/>
      <c r="CK248" s="281"/>
      <c r="CL248" s="277"/>
      <c r="CM248" s="159"/>
      <c r="CN248" s="277"/>
      <c r="CO248" s="50">
        <f t="shared" si="98"/>
        <v>0</v>
      </c>
      <c r="CP248" s="103">
        <f t="shared" si="99"/>
        <v>0</v>
      </c>
      <c r="CQ248" s="280">
        <f t="shared" si="100"/>
        <v>0</v>
      </c>
      <c r="CR248" s="63">
        <f t="shared" si="101"/>
        <v>0</v>
      </c>
      <c r="CS248" s="279"/>
      <c r="CT248" s="52"/>
      <c r="CU248" s="105"/>
      <c r="CV248" s="98"/>
      <c r="CW248" s="279"/>
      <c r="CX248" s="52"/>
      <c r="CY248" s="105"/>
      <c r="CZ248" s="98"/>
      <c r="DA248" s="279"/>
      <c r="DB248" s="52"/>
      <c r="DC248" s="105"/>
      <c r="DD248" s="98"/>
      <c r="DE248" s="279"/>
      <c r="DF248" s="52"/>
      <c r="DG248" s="105"/>
      <c r="DH248" s="98"/>
      <c r="DI248" s="279"/>
      <c r="DJ248" s="52"/>
      <c r="DK248" s="105"/>
      <c r="DL248" s="98"/>
      <c r="DM248" s="279"/>
      <c r="DN248" s="52"/>
      <c r="DO248" s="105"/>
      <c r="DP248" s="98"/>
      <c r="DQ248" s="279"/>
      <c r="DR248" s="52"/>
      <c r="DS248" s="105"/>
      <c r="DT248" s="98"/>
      <c r="DU248" s="279"/>
      <c r="DV248" s="52"/>
      <c r="DW248" s="105"/>
      <c r="DX248" s="98"/>
      <c r="DY248" s="279"/>
      <c r="DZ248" s="52"/>
      <c r="EA248" s="105"/>
      <c r="EB248" s="98"/>
      <c r="EC248" s="279"/>
      <c r="ED248" s="52"/>
      <c r="EE248" s="105"/>
      <c r="EF248" s="98"/>
      <c r="EG248" s="159"/>
      <c r="EH248" s="277"/>
      <c r="EI248" s="50">
        <f t="shared" si="102"/>
        <v>0</v>
      </c>
      <c r="EJ248" s="103">
        <f t="shared" si="103"/>
        <v>0</v>
      </c>
      <c r="EK248" s="164">
        <f t="shared" si="104"/>
        <v>0</v>
      </c>
      <c r="EL248" s="280">
        <f t="shared" si="105"/>
        <v>0</v>
      </c>
      <c r="EM248" s="63">
        <f t="shared" si="106"/>
        <v>0</v>
      </c>
      <c r="EN248" s="359">
        <f t="shared" si="107"/>
        <v>0</v>
      </c>
      <c r="EO248" s="51">
        <f t="shared" si="108"/>
        <v>0</v>
      </c>
      <c r="EP248" s="361">
        <f t="shared" si="109"/>
        <v>0</v>
      </c>
      <c r="EQ248" s="281"/>
      <c r="ER248" s="277"/>
      <c r="ES248" s="281"/>
      <c r="ET248" s="277"/>
      <c r="EU248" s="281"/>
      <c r="EV248" s="277"/>
      <c r="EW248" s="281"/>
      <c r="EX248" s="277"/>
      <c r="EY248" s="281"/>
      <c r="EZ248" s="277"/>
      <c r="FA248" s="281"/>
      <c r="FB248" s="277"/>
      <c r="FC248" s="281"/>
      <c r="FD248" s="277"/>
      <c r="FE248" s="281"/>
      <c r="FF248" s="277"/>
      <c r="FG248" s="281"/>
      <c r="FH248" s="277"/>
      <c r="FI248" s="281"/>
      <c r="FJ248" s="277"/>
      <c r="FK248" s="50">
        <f t="shared" si="110"/>
        <v>0</v>
      </c>
      <c r="FL248" s="63">
        <f t="shared" si="111"/>
        <v>0</v>
      </c>
      <c r="FM248" s="50">
        <f t="shared" si="93"/>
        <v>35</v>
      </c>
      <c r="FN248" s="360">
        <f t="shared" si="94"/>
        <v>14</v>
      </c>
      <c r="FO248" s="335"/>
      <c r="FP248" s="279"/>
      <c r="FQ248" s="52"/>
      <c r="FR248" s="296"/>
      <c r="FS248" s="98"/>
      <c r="FT248" s="467"/>
      <c r="FU248" s="52"/>
      <c r="FV248" s="296"/>
      <c r="FW248" s="98"/>
      <c r="FX248" s="467"/>
      <c r="FY248" s="52"/>
      <c r="FZ248" s="296"/>
      <c r="GA248" s="98"/>
      <c r="GB248" s="467"/>
      <c r="GC248" s="52"/>
      <c r="GD248" s="296"/>
      <c r="GE248" s="98"/>
      <c r="GF248" s="467"/>
      <c r="GG248" s="52"/>
      <c r="GH248" s="296"/>
      <c r="GI248" s="98"/>
      <c r="GJ248" s="467"/>
      <c r="GK248" s="52"/>
      <c r="GL248" s="296"/>
      <c r="GM248" s="464"/>
      <c r="GN248" s="467"/>
      <c r="GO248" s="52"/>
      <c r="GP248" s="296"/>
      <c r="GQ248" s="464"/>
      <c r="GR248" s="467"/>
      <c r="GS248" s="52"/>
      <c r="GT248" s="296"/>
      <c r="GU248" s="464"/>
      <c r="GV248" s="467"/>
      <c r="GW248" s="52"/>
      <c r="GX248" s="296"/>
      <c r="GY248" s="464"/>
      <c r="GZ248" s="467"/>
      <c r="HA248" s="52"/>
      <c r="HB248" s="296"/>
      <c r="HC248" s="335"/>
    </row>
    <row r="249" spans="1:211" s="396" customFormat="1">
      <c r="A249" s="491" t="s">
        <v>759</v>
      </c>
      <c r="B249" s="326" t="s">
        <v>903</v>
      </c>
      <c r="C249" s="325">
        <v>158945</v>
      </c>
      <c r="D249" s="349">
        <v>14</v>
      </c>
      <c r="E249" s="460">
        <v>305</v>
      </c>
      <c r="F249" s="492">
        <v>407</v>
      </c>
      <c r="G249" s="158"/>
      <c r="H249" s="277"/>
      <c r="I249" s="158"/>
      <c r="J249" s="588"/>
      <c r="K249" s="160">
        <f t="shared" si="95"/>
        <v>0</v>
      </c>
      <c r="L249" s="161">
        <f t="shared" si="88"/>
        <v>0</v>
      </c>
      <c r="M249" s="54"/>
      <c r="N249" s="55"/>
      <c r="O249" s="55"/>
      <c r="P249" s="55"/>
      <c r="Q249" s="162">
        <f t="shared" si="96"/>
        <v>0</v>
      </c>
      <c r="R249" s="494"/>
      <c r="S249" s="277"/>
      <c r="T249" s="277"/>
      <c r="U249" s="277"/>
      <c r="V249" s="97">
        <f t="shared" si="97"/>
        <v>0</v>
      </c>
      <c r="W249" s="279"/>
      <c r="X249" s="52"/>
      <c r="Y249" s="99"/>
      <c r="Z249" s="53"/>
      <c r="AA249" s="228"/>
      <c r="AB249" s="52"/>
      <c r="AC249" s="99"/>
      <c r="AD249" s="53"/>
      <c r="AE249" s="228"/>
      <c r="AF249" s="52"/>
      <c r="AG249" s="99"/>
      <c r="AH249" s="53"/>
      <c r="AI249" s="228"/>
      <c r="AJ249" s="52"/>
      <c r="AK249" s="99"/>
      <c r="AL249" s="53"/>
      <c r="AM249" s="228"/>
      <c r="AN249" s="52"/>
      <c r="AO249" s="99"/>
      <c r="AP249" s="53"/>
      <c r="AQ249" s="50">
        <f t="shared" si="89"/>
        <v>0</v>
      </c>
      <c r="AR249" s="163">
        <f t="shared" si="90"/>
        <v>0</v>
      </c>
      <c r="AS249" s="97">
        <f t="shared" si="91"/>
        <v>0</v>
      </c>
      <c r="AT249" s="278">
        <f t="shared" si="92"/>
        <v>0</v>
      </c>
      <c r="AU249" s="55"/>
      <c r="AV249" s="277"/>
      <c r="AW249" s="279"/>
      <c r="AX249" s="52"/>
      <c r="AY249" s="105"/>
      <c r="AZ249" s="98"/>
      <c r="BA249" s="279"/>
      <c r="BB249" s="52"/>
      <c r="BC249" s="105"/>
      <c r="BD249" s="98"/>
      <c r="BE249" s="279"/>
      <c r="BF249" s="52"/>
      <c r="BG249" s="105"/>
      <c r="BH249" s="98"/>
      <c r="BI249" s="279"/>
      <c r="BJ249" s="52"/>
      <c r="BK249" s="105"/>
      <c r="BL249" s="98"/>
      <c r="BM249" s="279"/>
      <c r="BN249" s="52"/>
      <c r="BO249" s="105"/>
      <c r="BP249" s="98"/>
      <c r="BQ249" s="279"/>
      <c r="BR249" s="52"/>
      <c r="BS249" s="105"/>
      <c r="BT249" s="98"/>
      <c r="BU249" s="279"/>
      <c r="BV249" s="52"/>
      <c r="BW249" s="105"/>
      <c r="BX249" s="98"/>
      <c r="BY249" s="279"/>
      <c r="BZ249" s="52"/>
      <c r="CA249" s="105"/>
      <c r="CB249" s="98"/>
      <c r="CC249" s="279"/>
      <c r="CD249" s="52"/>
      <c r="CE249" s="105"/>
      <c r="CF249" s="98"/>
      <c r="CG249" s="279"/>
      <c r="CH249" s="52"/>
      <c r="CI249" s="105"/>
      <c r="CJ249" s="98"/>
      <c r="CK249" s="281"/>
      <c r="CL249" s="277"/>
      <c r="CM249" s="159"/>
      <c r="CN249" s="277"/>
      <c r="CO249" s="50">
        <f t="shared" si="98"/>
        <v>0</v>
      </c>
      <c r="CP249" s="103">
        <f t="shared" si="99"/>
        <v>0</v>
      </c>
      <c r="CQ249" s="280">
        <f t="shared" si="100"/>
        <v>0</v>
      </c>
      <c r="CR249" s="63">
        <f t="shared" si="101"/>
        <v>0</v>
      </c>
      <c r="CS249" s="279"/>
      <c r="CT249" s="52"/>
      <c r="CU249" s="105"/>
      <c r="CV249" s="98"/>
      <c r="CW249" s="279"/>
      <c r="CX249" s="52"/>
      <c r="CY249" s="105"/>
      <c r="CZ249" s="98"/>
      <c r="DA249" s="279"/>
      <c r="DB249" s="52"/>
      <c r="DC249" s="105"/>
      <c r="DD249" s="98"/>
      <c r="DE249" s="279"/>
      <c r="DF249" s="52"/>
      <c r="DG249" s="105"/>
      <c r="DH249" s="98"/>
      <c r="DI249" s="279"/>
      <c r="DJ249" s="52"/>
      <c r="DK249" s="105"/>
      <c r="DL249" s="98"/>
      <c r="DM249" s="279"/>
      <c r="DN249" s="52"/>
      <c r="DO249" s="105"/>
      <c r="DP249" s="98"/>
      <c r="DQ249" s="279"/>
      <c r="DR249" s="52"/>
      <c r="DS249" s="105"/>
      <c r="DT249" s="98"/>
      <c r="DU249" s="279"/>
      <c r="DV249" s="52"/>
      <c r="DW249" s="105"/>
      <c r="DX249" s="98"/>
      <c r="DY249" s="279"/>
      <c r="DZ249" s="52"/>
      <c r="EA249" s="105"/>
      <c r="EB249" s="98"/>
      <c r="EC249" s="279"/>
      <c r="ED249" s="52"/>
      <c r="EE249" s="105"/>
      <c r="EF249" s="98"/>
      <c r="EG249" s="159"/>
      <c r="EH249" s="277"/>
      <c r="EI249" s="50">
        <f t="shared" si="102"/>
        <v>0</v>
      </c>
      <c r="EJ249" s="103">
        <f t="shared" si="103"/>
        <v>0</v>
      </c>
      <c r="EK249" s="164">
        <f t="shared" si="104"/>
        <v>0</v>
      </c>
      <c r="EL249" s="280">
        <f t="shared" si="105"/>
        <v>0</v>
      </c>
      <c r="EM249" s="63">
        <f t="shared" si="106"/>
        <v>0</v>
      </c>
      <c r="EN249" s="359">
        <f t="shared" si="107"/>
        <v>0</v>
      </c>
      <c r="EO249" s="51">
        <f t="shared" si="108"/>
        <v>0</v>
      </c>
      <c r="EP249" s="361">
        <f t="shared" si="109"/>
        <v>0</v>
      </c>
      <c r="EQ249" s="281"/>
      <c r="ER249" s="277"/>
      <c r="ES249" s="281"/>
      <c r="ET249" s="277"/>
      <c r="EU249" s="281"/>
      <c r="EV249" s="277"/>
      <c r="EW249" s="281"/>
      <c r="EX249" s="277"/>
      <c r="EY249" s="281"/>
      <c r="EZ249" s="277"/>
      <c r="FA249" s="281"/>
      <c r="FB249" s="277"/>
      <c r="FC249" s="281"/>
      <c r="FD249" s="277"/>
      <c r="FE249" s="281"/>
      <c r="FF249" s="277"/>
      <c r="FG249" s="281"/>
      <c r="FH249" s="277"/>
      <c r="FI249" s="281"/>
      <c r="FJ249" s="277"/>
      <c r="FK249" s="50">
        <f t="shared" si="110"/>
        <v>0</v>
      </c>
      <c r="FL249" s="63">
        <f t="shared" si="111"/>
        <v>0</v>
      </c>
      <c r="FM249" s="50">
        <f t="shared" si="93"/>
        <v>305</v>
      </c>
      <c r="FN249" s="360">
        <f t="shared" si="94"/>
        <v>407</v>
      </c>
      <c r="FO249" s="335"/>
      <c r="FP249" s="279"/>
      <c r="FQ249" s="52"/>
      <c r="FR249" s="296"/>
      <c r="FS249" s="98"/>
      <c r="FT249" s="467"/>
      <c r="FU249" s="52"/>
      <c r="FV249" s="296"/>
      <c r="FW249" s="98"/>
      <c r="FX249" s="467"/>
      <c r="FY249" s="52"/>
      <c r="FZ249" s="296"/>
      <c r="GA249" s="98"/>
      <c r="GB249" s="467"/>
      <c r="GC249" s="52"/>
      <c r="GD249" s="296"/>
      <c r="GE249" s="98"/>
      <c r="GF249" s="467"/>
      <c r="GG249" s="52"/>
      <c r="GH249" s="296"/>
      <c r="GI249" s="98"/>
      <c r="GJ249" s="467"/>
      <c r="GK249" s="52"/>
      <c r="GL249" s="296"/>
      <c r="GM249" s="464"/>
      <c r="GN249" s="467"/>
      <c r="GO249" s="52"/>
      <c r="GP249" s="296"/>
      <c r="GQ249" s="464"/>
      <c r="GR249" s="467"/>
      <c r="GS249" s="52"/>
      <c r="GT249" s="296"/>
      <c r="GU249" s="464"/>
      <c r="GV249" s="467"/>
      <c r="GW249" s="52"/>
      <c r="GX249" s="296"/>
      <c r="GY249" s="464"/>
      <c r="GZ249" s="467"/>
      <c r="HA249" s="52"/>
      <c r="HB249" s="296"/>
      <c r="HC249" s="335"/>
    </row>
    <row r="250" spans="1:211" s="396" customFormat="1">
      <c r="A250" s="491" t="s">
        <v>759</v>
      </c>
      <c r="B250" s="326" t="s">
        <v>904</v>
      </c>
      <c r="C250" s="325">
        <v>159018</v>
      </c>
      <c r="D250" s="349">
        <v>14</v>
      </c>
      <c r="E250" s="460">
        <v>70</v>
      </c>
      <c r="F250" s="492">
        <v>110</v>
      </c>
      <c r="G250" s="158"/>
      <c r="H250" s="277"/>
      <c r="I250" s="158"/>
      <c r="J250" s="588">
        <v>1</v>
      </c>
      <c r="K250" s="160">
        <f t="shared" si="95"/>
        <v>0</v>
      </c>
      <c r="L250" s="161">
        <f t="shared" si="88"/>
        <v>0</v>
      </c>
      <c r="M250" s="54"/>
      <c r="N250" s="55"/>
      <c r="O250" s="55"/>
      <c r="P250" s="55"/>
      <c r="Q250" s="162">
        <f t="shared" si="96"/>
        <v>0</v>
      </c>
      <c r="R250" s="494"/>
      <c r="S250" s="277"/>
      <c r="T250" s="277"/>
      <c r="U250" s="277"/>
      <c r="V250" s="97">
        <f t="shared" si="97"/>
        <v>0</v>
      </c>
      <c r="W250" s="279"/>
      <c r="X250" s="52"/>
      <c r="Y250" s="99"/>
      <c r="Z250" s="53"/>
      <c r="AA250" s="228"/>
      <c r="AB250" s="52"/>
      <c r="AC250" s="99"/>
      <c r="AD250" s="53"/>
      <c r="AE250" s="228"/>
      <c r="AF250" s="52"/>
      <c r="AG250" s="99"/>
      <c r="AH250" s="53"/>
      <c r="AI250" s="228"/>
      <c r="AJ250" s="52"/>
      <c r="AK250" s="99"/>
      <c r="AL250" s="53"/>
      <c r="AM250" s="228"/>
      <c r="AN250" s="52"/>
      <c r="AO250" s="99"/>
      <c r="AP250" s="53"/>
      <c r="AQ250" s="50">
        <f t="shared" si="89"/>
        <v>0</v>
      </c>
      <c r="AR250" s="163">
        <f t="shared" si="90"/>
        <v>0</v>
      </c>
      <c r="AS250" s="97">
        <f t="shared" si="91"/>
        <v>0</v>
      </c>
      <c r="AT250" s="278">
        <f t="shared" si="92"/>
        <v>0</v>
      </c>
      <c r="AU250" s="55"/>
      <c r="AV250" s="277"/>
      <c r="AW250" s="279"/>
      <c r="AX250" s="52"/>
      <c r="AY250" s="105"/>
      <c r="AZ250" s="98"/>
      <c r="BA250" s="279"/>
      <c r="BB250" s="52"/>
      <c r="BC250" s="105"/>
      <c r="BD250" s="98"/>
      <c r="BE250" s="279"/>
      <c r="BF250" s="52"/>
      <c r="BG250" s="105"/>
      <c r="BH250" s="98"/>
      <c r="BI250" s="279"/>
      <c r="BJ250" s="52"/>
      <c r="BK250" s="105"/>
      <c r="BL250" s="98"/>
      <c r="BM250" s="279"/>
      <c r="BN250" s="52"/>
      <c r="BO250" s="105"/>
      <c r="BP250" s="98"/>
      <c r="BQ250" s="279"/>
      <c r="BR250" s="52"/>
      <c r="BS250" s="105"/>
      <c r="BT250" s="98"/>
      <c r="BU250" s="279"/>
      <c r="BV250" s="52"/>
      <c r="BW250" s="105"/>
      <c r="BX250" s="98"/>
      <c r="BY250" s="279"/>
      <c r="BZ250" s="52"/>
      <c r="CA250" s="105"/>
      <c r="CB250" s="98"/>
      <c r="CC250" s="279"/>
      <c r="CD250" s="52"/>
      <c r="CE250" s="105"/>
      <c r="CF250" s="98"/>
      <c r="CG250" s="279"/>
      <c r="CH250" s="52"/>
      <c r="CI250" s="105"/>
      <c r="CJ250" s="98"/>
      <c r="CK250" s="281"/>
      <c r="CL250" s="277"/>
      <c r="CM250" s="159"/>
      <c r="CN250" s="277"/>
      <c r="CO250" s="50">
        <f t="shared" si="98"/>
        <v>0</v>
      </c>
      <c r="CP250" s="103">
        <f t="shared" si="99"/>
        <v>0</v>
      </c>
      <c r="CQ250" s="280">
        <f t="shared" si="100"/>
        <v>0</v>
      </c>
      <c r="CR250" s="63">
        <f t="shared" si="101"/>
        <v>0</v>
      </c>
      <c r="CS250" s="279"/>
      <c r="CT250" s="52"/>
      <c r="CU250" s="105"/>
      <c r="CV250" s="98"/>
      <c r="CW250" s="279"/>
      <c r="CX250" s="52"/>
      <c r="CY250" s="105"/>
      <c r="CZ250" s="98"/>
      <c r="DA250" s="279"/>
      <c r="DB250" s="52"/>
      <c r="DC250" s="105"/>
      <c r="DD250" s="98"/>
      <c r="DE250" s="279"/>
      <c r="DF250" s="52"/>
      <c r="DG250" s="105"/>
      <c r="DH250" s="98"/>
      <c r="DI250" s="279"/>
      <c r="DJ250" s="52"/>
      <c r="DK250" s="105"/>
      <c r="DL250" s="98"/>
      <c r="DM250" s="279"/>
      <c r="DN250" s="52"/>
      <c r="DO250" s="105"/>
      <c r="DP250" s="98"/>
      <c r="DQ250" s="279"/>
      <c r="DR250" s="52"/>
      <c r="DS250" s="105"/>
      <c r="DT250" s="98"/>
      <c r="DU250" s="279"/>
      <c r="DV250" s="52"/>
      <c r="DW250" s="105"/>
      <c r="DX250" s="98"/>
      <c r="DY250" s="279"/>
      <c r="DZ250" s="52"/>
      <c r="EA250" s="105"/>
      <c r="EB250" s="98"/>
      <c r="EC250" s="279"/>
      <c r="ED250" s="52"/>
      <c r="EE250" s="105"/>
      <c r="EF250" s="98"/>
      <c r="EG250" s="159"/>
      <c r="EH250" s="277"/>
      <c r="EI250" s="50">
        <f t="shared" si="102"/>
        <v>0</v>
      </c>
      <c r="EJ250" s="103">
        <f t="shared" si="103"/>
        <v>0</v>
      </c>
      <c r="EK250" s="164">
        <f t="shared" si="104"/>
        <v>0</v>
      </c>
      <c r="EL250" s="280">
        <f t="shared" si="105"/>
        <v>0</v>
      </c>
      <c r="EM250" s="63">
        <f t="shared" si="106"/>
        <v>0</v>
      </c>
      <c r="EN250" s="359">
        <f t="shared" si="107"/>
        <v>0</v>
      </c>
      <c r="EO250" s="51">
        <f t="shared" si="108"/>
        <v>0</v>
      </c>
      <c r="EP250" s="361">
        <f t="shared" si="109"/>
        <v>0</v>
      </c>
      <c r="EQ250" s="281"/>
      <c r="ER250" s="277"/>
      <c r="ES250" s="281"/>
      <c r="ET250" s="277"/>
      <c r="EU250" s="281"/>
      <c r="EV250" s="277"/>
      <c r="EW250" s="281"/>
      <c r="EX250" s="277"/>
      <c r="EY250" s="281"/>
      <c r="EZ250" s="277"/>
      <c r="FA250" s="281"/>
      <c r="FB250" s="277"/>
      <c r="FC250" s="281"/>
      <c r="FD250" s="277"/>
      <c r="FE250" s="281"/>
      <c r="FF250" s="277"/>
      <c r="FG250" s="281"/>
      <c r="FH250" s="277"/>
      <c r="FI250" s="281"/>
      <c r="FJ250" s="277"/>
      <c r="FK250" s="50">
        <f t="shared" si="110"/>
        <v>0</v>
      </c>
      <c r="FL250" s="63">
        <f t="shared" si="111"/>
        <v>0</v>
      </c>
      <c r="FM250" s="50">
        <f t="shared" si="93"/>
        <v>70</v>
      </c>
      <c r="FN250" s="360">
        <f t="shared" si="94"/>
        <v>111</v>
      </c>
      <c r="FO250" s="335"/>
      <c r="FP250" s="279"/>
      <c r="FQ250" s="52"/>
      <c r="FR250" s="296"/>
      <c r="FS250" s="98"/>
      <c r="FT250" s="467"/>
      <c r="FU250" s="52"/>
      <c r="FV250" s="296"/>
      <c r="FW250" s="98"/>
      <c r="FX250" s="467"/>
      <c r="FY250" s="52"/>
      <c r="FZ250" s="296"/>
      <c r="GA250" s="98"/>
      <c r="GB250" s="467"/>
      <c r="GC250" s="52"/>
      <c r="GD250" s="296"/>
      <c r="GE250" s="98"/>
      <c r="GF250" s="467"/>
      <c r="GG250" s="52"/>
      <c r="GH250" s="296"/>
      <c r="GI250" s="98"/>
      <c r="GJ250" s="467"/>
      <c r="GK250" s="52"/>
      <c r="GL250" s="296"/>
      <c r="GM250" s="464"/>
      <c r="GN250" s="467"/>
      <c r="GO250" s="52"/>
      <c r="GP250" s="296"/>
      <c r="GQ250" s="464"/>
      <c r="GR250" s="467"/>
      <c r="GS250" s="52"/>
      <c r="GT250" s="296"/>
      <c r="GU250" s="464"/>
      <c r="GV250" s="467"/>
      <c r="GW250" s="52"/>
      <c r="GX250" s="296"/>
      <c r="GY250" s="464"/>
      <c r="GZ250" s="467"/>
      <c r="HA250" s="52"/>
      <c r="HB250" s="296"/>
      <c r="HC250" s="335"/>
    </row>
    <row r="251" spans="1:211" s="396" customFormat="1">
      <c r="A251" s="491" t="s">
        <v>759</v>
      </c>
      <c r="B251" s="326" t="s">
        <v>905</v>
      </c>
      <c r="C251" s="325">
        <v>159045</v>
      </c>
      <c r="D251" s="349">
        <v>14</v>
      </c>
      <c r="E251" s="460">
        <v>70</v>
      </c>
      <c r="F251" s="492">
        <v>156</v>
      </c>
      <c r="G251" s="158"/>
      <c r="H251" s="277"/>
      <c r="I251" s="158"/>
      <c r="J251" s="588">
        <v>1</v>
      </c>
      <c r="K251" s="160">
        <f t="shared" si="95"/>
        <v>0</v>
      </c>
      <c r="L251" s="161">
        <f t="shared" si="88"/>
        <v>0</v>
      </c>
      <c r="M251" s="54"/>
      <c r="N251" s="55"/>
      <c r="O251" s="55"/>
      <c r="P251" s="55"/>
      <c r="Q251" s="162">
        <f t="shared" si="96"/>
        <v>0</v>
      </c>
      <c r="R251" s="494"/>
      <c r="S251" s="277"/>
      <c r="T251" s="277"/>
      <c r="U251" s="277"/>
      <c r="V251" s="97">
        <f t="shared" si="97"/>
        <v>0</v>
      </c>
      <c r="W251" s="279"/>
      <c r="X251" s="52"/>
      <c r="Y251" s="99"/>
      <c r="Z251" s="53"/>
      <c r="AA251" s="228"/>
      <c r="AB251" s="52"/>
      <c r="AC251" s="99"/>
      <c r="AD251" s="53"/>
      <c r="AE251" s="228"/>
      <c r="AF251" s="52"/>
      <c r="AG251" s="99"/>
      <c r="AH251" s="53"/>
      <c r="AI251" s="228"/>
      <c r="AJ251" s="52"/>
      <c r="AK251" s="99"/>
      <c r="AL251" s="53"/>
      <c r="AM251" s="228"/>
      <c r="AN251" s="52"/>
      <c r="AO251" s="99"/>
      <c r="AP251" s="53"/>
      <c r="AQ251" s="50">
        <f t="shared" si="89"/>
        <v>0</v>
      </c>
      <c r="AR251" s="163">
        <f t="shared" si="90"/>
        <v>0</v>
      </c>
      <c r="AS251" s="97">
        <f t="shared" si="91"/>
        <v>0</v>
      </c>
      <c r="AT251" s="278">
        <f t="shared" si="92"/>
        <v>0</v>
      </c>
      <c r="AU251" s="55"/>
      <c r="AV251" s="277"/>
      <c r="AW251" s="279"/>
      <c r="AX251" s="52"/>
      <c r="AY251" s="105"/>
      <c r="AZ251" s="98"/>
      <c r="BA251" s="279"/>
      <c r="BB251" s="52"/>
      <c r="BC251" s="105"/>
      <c r="BD251" s="98"/>
      <c r="BE251" s="279"/>
      <c r="BF251" s="52"/>
      <c r="BG251" s="105"/>
      <c r="BH251" s="98"/>
      <c r="BI251" s="279"/>
      <c r="BJ251" s="52"/>
      <c r="BK251" s="105"/>
      <c r="BL251" s="98"/>
      <c r="BM251" s="279"/>
      <c r="BN251" s="52"/>
      <c r="BO251" s="105"/>
      <c r="BP251" s="98"/>
      <c r="BQ251" s="279"/>
      <c r="BR251" s="52"/>
      <c r="BS251" s="105"/>
      <c r="BT251" s="98"/>
      <c r="BU251" s="279"/>
      <c r="BV251" s="52"/>
      <c r="BW251" s="105"/>
      <c r="BX251" s="98"/>
      <c r="BY251" s="279"/>
      <c r="BZ251" s="52"/>
      <c r="CA251" s="105"/>
      <c r="CB251" s="98"/>
      <c r="CC251" s="279"/>
      <c r="CD251" s="52"/>
      <c r="CE251" s="105"/>
      <c r="CF251" s="98"/>
      <c r="CG251" s="279"/>
      <c r="CH251" s="52"/>
      <c r="CI251" s="105"/>
      <c r="CJ251" s="98"/>
      <c r="CK251" s="281"/>
      <c r="CL251" s="277"/>
      <c r="CM251" s="159"/>
      <c r="CN251" s="277"/>
      <c r="CO251" s="50">
        <f t="shared" si="98"/>
        <v>0</v>
      </c>
      <c r="CP251" s="103">
        <f t="shared" si="99"/>
        <v>0</v>
      </c>
      <c r="CQ251" s="280">
        <f t="shared" si="100"/>
        <v>0</v>
      </c>
      <c r="CR251" s="63">
        <f t="shared" si="101"/>
        <v>0</v>
      </c>
      <c r="CS251" s="279"/>
      <c r="CT251" s="52"/>
      <c r="CU251" s="105"/>
      <c r="CV251" s="98"/>
      <c r="CW251" s="279"/>
      <c r="CX251" s="52"/>
      <c r="CY251" s="105"/>
      <c r="CZ251" s="98"/>
      <c r="DA251" s="279"/>
      <c r="DB251" s="52"/>
      <c r="DC251" s="105"/>
      <c r="DD251" s="98"/>
      <c r="DE251" s="279"/>
      <c r="DF251" s="52"/>
      <c r="DG251" s="105"/>
      <c r="DH251" s="98"/>
      <c r="DI251" s="279"/>
      <c r="DJ251" s="52"/>
      <c r="DK251" s="105"/>
      <c r="DL251" s="98"/>
      <c r="DM251" s="279"/>
      <c r="DN251" s="52"/>
      <c r="DO251" s="105"/>
      <c r="DP251" s="98"/>
      <c r="DQ251" s="279"/>
      <c r="DR251" s="52"/>
      <c r="DS251" s="105"/>
      <c r="DT251" s="98"/>
      <c r="DU251" s="279"/>
      <c r="DV251" s="52"/>
      <c r="DW251" s="105"/>
      <c r="DX251" s="98"/>
      <c r="DY251" s="279"/>
      <c r="DZ251" s="52"/>
      <c r="EA251" s="105"/>
      <c r="EB251" s="98"/>
      <c r="EC251" s="279"/>
      <c r="ED251" s="52"/>
      <c r="EE251" s="105"/>
      <c r="EF251" s="98"/>
      <c r="EG251" s="159"/>
      <c r="EH251" s="277"/>
      <c r="EI251" s="50">
        <f t="shared" si="102"/>
        <v>0</v>
      </c>
      <c r="EJ251" s="103">
        <f t="shared" si="103"/>
        <v>0</v>
      </c>
      <c r="EK251" s="164">
        <f t="shared" si="104"/>
        <v>0</v>
      </c>
      <c r="EL251" s="280">
        <f t="shared" si="105"/>
        <v>0</v>
      </c>
      <c r="EM251" s="63">
        <f t="shared" si="106"/>
        <v>0</v>
      </c>
      <c r="EN251" s="359">
        <f t="shared" si="107"/>
        <v>0</v>
      </c>
      <c r="EO251" s="51">
        <f t="shared" si="108"/>
        <v>0</v>
      </c>
      <c r="EP251" s="361">
        <f t="shared" si="109"/>
        <v>0</v>
      </c>
      <c r="EQ251" s="281"/>
      <c r="ER251" s="277"/>
      <c r="ES251" s="281"/>
      <c r="ET251" s="277"/>
      <c r="EU251" s="281"/>
      <c r="EV251" s="277"/>
      <c r="EW251" s="281"/>
      <c r="EX251" s="277"/>
      <c r="EY251" s="281"/>
      <c r="EZ251" s="277"/>
      <c r="FA251" s="281"/>
      <c r="FB251" s="277"/>
      <c r="FC251" s="281"/>
      <c r="FD251" s="277"/>
      <c r="FE251" s="281"/>
      <c r="FF251" s="277"/>
      <c r="FG251" s="281"/>
      <c r="FH251" s="277"/>
      <c r="FI251" s="281"/>
      <c r="FJ251" s="277"/>
      <c r="FK251" s="50">
        <f t="shared" si="110"/>
        <v>0</v>
      </c>
      <c r="FL251" s="63">
        <f t="shared" si="111"/>
        <v>0</v>
      </c>
      <c r="FM251" s="50">
        <f t="shared" si="93"/>
        <v>70</v>
      </c>
      <c r="FN251" s="360">
        <f t="shared" si="94"/>
        <v>157</v>
      </c>
      <c r="FO251" s="335"/>
      <c r="FP251" s="279"/>
      <c r="FQ251" s="52"/>
      <c r="FR251" s="296"/>
      <c r="FS251" s="98"/>
      <c r="FT251" s="467"/>
      <c r="FU251" s="52"/>
      <c r="FV251" s="296"/>
      <c r="FW251" s="98"/>
      <c r="FX251" s="467"/>
      <c r="FY251" s="52"/>
      <c r="FZ251" s="296"/>
      <c r="GA251" s="98"/>
      <c r="GB251" s="467"/>
      <c r="GC251" s="52"/>
      <c r="GD251" s="296"/>
      <c r="GE251" s="98"/>
      <c r="GF251" s="467"/>
      <c r="GG251" s="52"/>
      <c r="GH251" s="296"/>
      <c r="GI251" s="98"/>
      <c r="GJ251" s="467"/>
      <c r="GK251" s="52"/>
      <c r="GL251" s="296"/>
      <c r="GM251" s="464"/>
      <c r="GN251" s="467"/>
      <c r="GO251" s="52"/>
      <c r="GP251" s="296"/>
      <c r="GQ251" s="464"/>
      <c r="GR251" s="467"/>
      <c r="GS251" s="52"/>
      <c r="GT251" s="296"/>
      <c r="GU251" s="464"/>
      <c r="GV251" s="467"/>
      <c r="GW251" s="52"/>
      <c r="GX251" s="296"/>
      <c r="GY251" s="464"/>
      <c r="GZ251" s="467"/>
      <c r="HA251" s="52"/>
      <c r="HB251" s="296"/>
      <c r="HC251" s="335"/>
    </row>
    <row r="252" spans="1:211" s="396" customFormat="1">
      <c r="A252" s="491" t="s">
        <v>759</v>
      </c>
      <c r="B252" s="326" t="s">
        <v>906</v>
      </c>
      <c r="C252" s="325">
        <v>159090</v>
      </c>
      <c r="D252" s="349">
        <v>14</v>
      </c>
      <c r="E252" s="460">
        <v>42</v>
      </c>
      <c r="F252" s="492">
        <v>74</v>
      </c>
      <c r="G252" s="158"/>
      <c r="H252" s="277"/>
      <c r="I252" s="158"/>
      <c r="J252" s="588"/>
      <c r="K252" s="160">
        <f t="shared" si="95"/>
        <v>0</v>
      </c>
      <c r="L252" s="161">
        <f t="shared" si="88"/>
        <v>0</v>
      </c>
      <c r="M252" s="54"/>
      <c r="N252" s="55"/>
      <c r="O252" s="55"/>
      <c r="P252" s="55"/>
      <c r="Q252" s="162">
        <f t="shared" si="96"/>
        <v>0</v>
      </c>
      <c r="R252" s="494"/>
      <c r="S252" s="277"/>
      <c r="T252" s="277"/>
      <c r="U252" s="277"/>
      <c r="V252" s="97">
        <f t="shared" si="97"/>
        <v>0</v>
      </c>
      <c r="W252" s="279"/>
      <c r="X252" s="52"/>
      <c r="Y252" s="99"/>
      <c r="Z252" s="53"/>
      <c r="AA252" s="228"/>
      <c r="AB252" s="52"/>
      <c r="AC252" s="99"/>
      <c r="AD252" s="53"/>
      <c r="AE252" s="228"/>
      <c r="AF252" s="52"/>
      <c r="AG252" s="99"/>
      <c r="AH252" s="53"/>
      <c r="AI252" s="228"/>
      <c r="AJ252" s="52"/>
      <c r="AK252" s="99"/>
      <c r="AL252" s="53"/>
      <c r="AM252" s="228"/>
      <c r="AN252" s="52"/>
      <c r="AO252" s="99"/>
      <c r="AP252" s="53"/>
      <c r="AQ252" s="50">
        <f t="shared" si="89"/>
        <v>0</v>
      </c>
      <c r="AR252" s="163">
        <f t="shared" si="90"/>
        <v>0</v>
      </c>
      <c r="AS252" s="97">
        <f t="shared" si="91"/>
        <v>0</v>
      </c>
      <c r="AT252" s="278">
        <f t="shared" si="92"/>
        <v>0</v>
      </c>
      <c r="AU252" s="55"/>
      <c r="AV252" s="277"/>
      <c r="AW252" s="279"/>
      <c r="AX252" s="52"/>
      <c r="AY252" s="105"/>
      <c r="AZ252" s="98"/>
      <c r="BA252" s="279"/>
      <c r="BB252" s="52"/>
      <c r="BC252" s="105"/>
      <c r="BD252" s="98"/>
      <c r="BE252" s="279"/>
      <c r="BF252" s="52"/>
      <c r="BG252" s="105"/>
      <c r="BH252" s="98"/>
      <c r="BI252" s="279"/>
      <c r="BJ252" s="52"/>
      <c r="BK252" s="105"/>
      <c r="BL252" s="98"/>
      <c r="BM252" s="279"/>
      <c r="BN252" s="52"/>
      <c r="BO252" s="105"/>
      <c r="BP252" s="98"/>
      <c r="BQ252" s="279"/>
      <c r="BR252" s="52"/>
      <c r="BS252" s="105"/>
      <c r="BT252" s="98"/>
      <c r="BU252" s="279"/>
      <c r="BV252" s="52"/>
      <c r="BW252" s="105"/>
      <c r="BX252" s="98"/>
      <c r="BY252" s="279"/>
      <c r="BZ252" s="52"/>
      <c r="CA252" s="105"/>
      <c r="CB252" s="98"/>
      <c r="CC252" s="279"/>
      <c r="CD252" s="52"/>
      <c r="CE252" s="105"/>
      <c r="CF252" s="98"/>
      <c r="CG252" s="279"/>
      <c r="CH252" s="52"/>
      <c r="CI252" s="105"/>
      <c r="CJ252" s="98"/>
      <c r="CK252" s="281"/>
      <c r="CL252" s="277"/>
      <c r="CM252" s="159"/>
      <c r="CN252" s="277"/>
      <c r="CO252" s="50">
        <f t="shared" si="98"/>
        <v>0</v>
      </c>
      <c r="CP252" s="103">
        <f t="shared" si="99"/>
        <v>0</v>
      </c>
      <c r="CQ252" s="280">
        <f t="shared" si="100"/>
        <v>0</v>
      </c>
      <c r="CR252" s="63">
        <f t="shared" si="101"/>
        <v>0</v>
      </c>
      <c r="CS252" s="279"/>
      <c r="CT252" s="52"/>
      <c r="CU252" s="105"/>
      <c r="CV252" s="98"/>
      <c r="CW252" s="279"/>
      <c r="CX252" s="52"/>
      <c r="CY252" s="105"/>
      <c r="CZ252" s="98"/>
      <c r="DA252" s="279"/>
      <c r="DB252" s="52"/>
      <c r="DC252" s="105"/>
      <c r="DD252" s="98"/>
      <c r="DE252" s="279"/>
      <c r="DF252" s="52"/>
      <c r="DG252" s="105"/>
      <c r="DH252" s="98"/>
      <c r="DI252" s="279"/>
      <c r="DJ252" s="52"/>
      <c r="DK252" s="105"/>
      <c r="DL252" s="98"/>
      <c r="DM252" s="279"/>
      <c r="DN252" s="52"/>
      <c r="DO252" s="105"/>
      <c r="DP252" s="98"/>
      <c r="DQ252" s="279"/>
      <c r="DR252" s="52"/>
      <c r="DS252" s="105"/>
      <c r="DT252" s="98"/>
      <c r="DU252" s="279"/>
      <c r="DV252" s="52"/>
      <c r="DW252" s="105"/>
      <c r="DX252" s="98"/>
      <c r="DY252" s="279"/>
      <c r="DZ252" s="52"/>
      <c r="EA252" s="105"/>
      <c r="EB252" s="98"/>
      <c r="EC252" s="279"/>
      <c r="ED252" s="52"/>
      <c r="EE252" s="105"/>
      <c r="EF252" s="98"/>
      <c r="EG252" s="159"/>
      <c r="EH252" s="277"/>
      <c r="EI252" s="50">
        <f t="shared" si="102"/>
        <v>0</v>
      </c>
      <c r="EJ252" s="103">
        <f t="shared" si="103"/>
        <v>0</v>
      </c>
      <c r="EK252" s="164">
        <f t="shared" si="104"/>
        <v>0</v>
      </c>
      <c r="EL252" s="280">
        <f t="shared" si="105"/>
        <v>0</v>
      </c>
      <c r="EM252" s="63">
        <f t="shared" si="106"/>
        <v>0</v>
      </c>
      <c r="EN252" s="359">
        <f t="shared" si="107"/>
        <v>0</v>
      </c>
      <c r="EO252" s="51">
        <f t="shared" si="108"/>
        <v>0</v>
      </c>
      <c r="EP252" s="361">
        <f t="shared" si="109"/>
        <v>0</v>
      </c>
      <c r="EQ252" s="281"/>
      <c r="ER252" s="277"/>
      <c r="ES252" s="281"/>
      <c r="ET252" s="277"/>
      <c r="EU252" s="281"/>
      <c r="EV252" s="277"/>
      <c r="EW252" s="281"/>
      <c r="EX252" s="277"/>
      <c r="EY252" s="281"/>
      <c r="EZ252" s="277"/>
      <c r="FA252" s="281"/>
      <c r="FB252" s="277"/>
      <c r="FC252" s="281"/>
      <c r="FD252" s="277"/>
      <c r="FE252" s="281"/>
      <c r="FF252" s="277"/>
      <c r="FG252" s="281"/>
      <c r="FH252" s="277"/>
      <c r="FI252" s="281"/>
      <c r="FJ252" s="277"/>
      <c r="FK252" s="50">
        <f t="shared" si="110"/>
        <v>0</v>
      </c>
      <c r="FL252" s="63">
        <f t="shared" si="111"/>
        <v>0</v>
      </c>
      <c r="FM252" s="50">
        <f t="shared" si="93"/>
        <v>42</v>
      </c>
      <c r="FN252" s="360">
        <f t="shared" si="94"/>
        <v>74</v>
      </c>
      <c r="FO252" s="335"/>
      <c r="FP252" s="279"/>
      <c r="FQ252" s="52"/>
      <c r="FR252" s="296"/>
      <c r="FS252" s="98"/>
      <c r="FT252" s="467"/>
      <c r="FU252" s="52"/>
      <c r="FV252" s="296"/>
      <c r="FW252" s="98"/>
      <c r="FX252" s="467"/>
      <c r="FY252" s="52"/>
      <c r="FZ252" s="296"/>
      <c r="GA252" s="98"/>
      <c r="GB252" s="467"/>
      <c r="GC252" s="52"/>
      <c r="GD252" s="296"/>
      <c r="GE252" s="98"/>
      <c r="GF252" s="467"/>
      <c r="GG252" s="52"/>
      <c r="GH252" s="296"/>
      <c r="GI252" s="98"/>
      <c r="GJ252" s="467"/>
      <c r="GK252" s="52"/>
      <c r="GL252" s="296"/>
      <c r="GM252" s="464"/>
      <c r="GN252" s="467"/>
      <c r="GO252" s="52"/>
      <c r="GP252" s="296"/>
      <c r="GQ252" s="464"/>
      <c r="GR252" s="467"/>
      <c r="GS252" s="52"/>
      <c r="GT252" s="296"/>
      <c r="GU252" s="464"/>
      <c r="GV252" s="467"/>
      <c r="GW252" s="52"/>
      <c r="GX252" s="296"/>
      <c r="GY252" s="464"/>
      <c r="GZ252" s="467"/>
      <c r="HA252" s="52"/>
      <c r="HB252" s="296"/>
      <c r="HC252" s="335"/>
    </row>
    <row r="253" spans="1:211" s="396" customFormat="1">
      <c r="A253" s="491" t="s">
        <v>759</v>
      </c>
      <c r="B253" s="326" t="s">
        <v>907</v>
      </c>
      <c r="C253" s="325">
        <v>159258</v>
      </c>
      <c r="D253" s="349">
        <v>14</v>
      </c>
      <c r="E253" s="460">
        <v>8</v>
      </c>
      <c r="F253" s="492">
        <v>25</v>
      </c>
      <c r="G253" s="158"/>
      <c r="H253" s="277"/>
      <c r="I253" s="158"/>
      <c r="J253" s="588"/>
      <c r="K253" s="160">
        <f t="shared" si="95"/>
        <v>0</v>
      </c>
      <c r="L253" s="161">
        <f t="shared" si="88"/>
        <v>0</v>
      </c>
      <c r="M253" s="54"/>
      <c r="N253" s="55"/>
      <c r="O253" s="55"/>
      <c r="P253" s="55"/>
      <c r="Q253" s="162">
        <f t="shared" si="96"/>
        <v>0</v>
      </c>
      <c r="R253" s="494"/>
      <c r="S253" s="277"/>
      <c r="T253" s="277"/>
      <c r="U253" s="277"/>
      <c r="V253" s="97">
        <f t="shared" si="97"/>
        <v>0</v>
      </c>
      <c r="W253" s="279"/>
      <c r="X253" s="52"/>
      <c r="Y253" s="99"/>
      <c r="Z253" s="53"/>
      <c r="AA253" s="228"/>
      <c r="AB253" s="52"/>
      <c r="AC253" s="99"/>
      <c r="AD253" s="53"/>
      <c r="AE253" s="228"/>
      <c r="AF253" s="52"/>
      <c r="AG253" s="99"/>
      <c r="AH253" s="53"/>
      <c r="AI253" s="228"/>
      <c r="AJ253" s="52"/>
      <c r="AK253" s="99"/>
      <c r="AL253" s="53"/>
      <c r="AM253" s="228"/>
      <c r="AN253" s="52"/>
      <c r="AO253" s="99"/>
      <c r="AP253" s="53"/>
      <c r="AQ253" s="50">
        <f t="shared" si="89"/>
        <v>0</v>
      </c>
      <c r="AR253" s="163">
        <f t="shared" si="90"/>
        <v>0</v>
      </c>
      <c r="AS253" s="97">
        <f t="shared" si="91"/>
        <v>0</v>
      </c>
      <c r="AT253" s="278">
        <f t="shared" si="92"/>
        <v>0</v>
      </c>
      <c r="AU253" s="55"/>
      <c r="AV253" s="277"/>
      <c r="AW253" s="279"/>
      <c r="AX253" s="52"/>
      <c r="AY253" s="105"/>
      <c r="AZ253" s="98"/>
      <c r="BA253" s="279"/>
      <c r="BB253" s="52"/>
      <c r="BC253" s="105"/>
      <c r="BD253" s="98"/>
      <c r="BE253" s="279"/>
      <c r="BF253" s="52"/>
      <c r="BG253" s="105"/>
      <c r="BH253" s="98"/>
      <c r="BI253" s="279"/>
      <c r="BJ253" s="52"/>
      <c r="BK253" s="105"/>
      <c r="BL253" s="98"/>
      <c r="BM253" s="279"/>
      <c r="BN253" s="52"/>
      <c r="BO253" s="105"/>
      <c r="BP253" s="98"/>
      <c r="BQ253" s="279"/>
      <c r="BR253" s="52"/>
      <c r="BS253" s="105"/>
      <c r="BT253" s="98"/>
      <c r="BU253" s="279"/>
      <c r="BV253" s="52"/>
      <c r="BW253" s="105"/>
      <c r="BX253" s="98"/>
      <c r="BY253" s="279"/>
      <c r="BZ253" s="52"/>
      <c r="CA253" s="105"/>
      <c r="CB253" s="98"/>
      <c r="CC253" s="279"/>
      <c r="CD253" s="52"/>
      <c r="CE253" s="105"/>
      <c r="CF253" s="98"/>
      <c r="CG253" s="279"/>
      <c r="CH253" s="52"/>
      <c r="CI253" s="105"/>
      <c r="CJ253" s="98"/>
      <c r="CK253" s="281"/>
      <c r="CL253" s="277"/>
      <c r="CM253" s="159"/>
      <c r="CN253" s="277"/>
      <c r="CO253" s="50">
        <f t="shared" si="98"/>
        <v>0</v>
      </c>
      <c r="CP253" s="103">
        <f t="shared" si="99"/>
        <v>0</v>
      </c>
      <c r="CQ253" s="280">
        <f t="shared" si="100"/>
        <v>0</v>
      </c>
      <c r="CR253" s="63">
        <f t="shared" si="101"/>
        <v>0</v>
      </c>
      <c r="CS253" s="279"/>
      <c r="CT253" s="52"/>
      <c r="CU253" s="105"/>
      <c r="CV253" s="98"/>
      <c r="CW253" s="279"/>
      <c r="CX253" s="52"/>
      <c r="CY253" s="105"/>
      <c r="CZ253" s="98"/>
      <c r="DA253" s="279"/>
      <c r="DB253" s="52"/>
      <c r="DC253" s="105"/>
      <c r="DD253" s="98"/>
      <c r="DE253" s="279"/>
      <c r="DF253" s="52"/>
      <c r="DG253" s="105"/>
      <c r="DH253" s="98"/>
      <c r="DI253" s="279"/>
      <c r="DJ253" s="52"/>
      <c r="DK253" s="105"/>
      <c r="DL253" s="98"/>
      <c r="DM253" s="279"/>
      <c r="DN253" s="52"/>
      <c r="DO253" s="105"/>
      <c r="DP253" s="98"/>
      <c r="DQ253" s="279"/>
      <c r="DR253" s="52"/>
      <c r="DS253" s="105"/>
      <c r="DT253" s="98"/>
      <c r="DU253" s="279"/>
      <c r="DV253" s="52"/>
      <c r="DW253" s="105"/>
      <c r="DX253" s="98"/>
      <c r="DY253" s="279"/>
      <c r="DZ253" s="52"/>
      <c r="EA253" s="105"/>
      <c r="EB253" s="98"/>
      <c r="EC253" s="279"/>
      <c r="ED253" s="52"/>
      <c r="EE253" s="105"/>
      <c r="EF253" s="98"/>
      <c r="EG253" s="159"/>
      <c r="EH253" s="277"/>
      <c r="EI253" s="50">
        <f t="shared" si="102"/>
        <v>0</v>
      </c>
      <c r="EJ253" s="103">
        <f t="shared" si="103"/>
        <v>0</v>
      </c>
      <c r="EK253" s="164">
        <f t="shared" si="104"/>
        <v>0</v>
      </c>
      <c r="EL253" s="280">
        <f t="shared" si="105"/>
        <v>0</v>
      </c>
      <c r="EM253" s="63">
        <f t="shared" si="106"/>
        <v>0</v>
      </c>
      <c r="EN253" s="359">
        <f t="shared" si="107"/>
        <v>0</v>
      </c>
      <c r="EO253" s="51">
        <f t="shared" si="108"/>
        <v>0</v>
      </c>
      <c r="EP253" s="361">
        <f t="shared" si="109"/>
        <v>0</v>
      </c>
      <c r="EQ253" s="281"/>
      <c r="ER253" s="277"/>
      <c r="ES253" s="281"/>
      <c r="ET253" s="277"/>
      <c r="EU253" s="281"/>
      <c r="EV253" s="277"/>
      <c r="EW253" s="281"/>
      <c r="EX253" s="277"/>
      <c r="EY253" s="281"/>
      <c r="EZ253" s="277"/>
      <c r="FA253" s="281"/>
      <c r="FB253" s="277"/>
      <c r="FC253" s="281"/>
      <c r="FD253" s="277"/>
      <c r="FE253" s="281"/>
      <c r="FF253" s="277"/>
      <c r="FG253" s="281"/>
      <c r="FH253" s="277"/>
      <c r="FI253" s="281"/>
      <c r="FJ253" s="277"/>
      <c r="FK253" s="50">
        <f t="shared" si="110"/>
        <v>0</v>
      </c>
      <c r="FL253" s="63">
        <f t="shared" si="111"/>
        <v>0</v>
      </c>
      <c r="FM253" s="50">
        <f t="shared" si="93"/>
        <v>8</v>
      </c>
      <c r="FN253" s="360">
        <f t="shared" si="94"/>
        <v>25</v>
      </c>
      <c r="FO253" s="335"/>
      <c r="FP253" s="279"/>
      <c r="FQ253" s="52"/>
      <c r="FR253" s="296"/>
      <c r="FS253" s="98"/>
      <c r="FT253" s="467"/>
      <c r="FU253" s="52"/>
      <c r="FV253" s="296"/>
      <c r="FW253" s="98"/>
      <c r="FX253" s="467"/>
      <c r="FY253" s="52"/>
      <c r="FZ253" s="296"/>
      <c r="GA253" s="98"/>
      <c r="GB253" s="467"/>
      <c r="GC253" s="52"/>
      <c r="GD253" s="296"/>
      <c r="GE253" s="98"/>
      <c r="GF253" s="467"/>
      <c r="GG253" s="52"/>
      <c r="GH253" s="296"/>
      <c r="GI253" s="98"/>
      <c r="GJ253" s="467"/>
      <c r="GK253" s="52"/>
      <c r="GL253" s="296"/>
      <c r="GM253" s="464"/>
      <c r="GN253" s="467"/>
      <c r="GO253" s="52"/>
      <c r="GP253" s="296"/>
      <c r="GQ253" s="464"/>
      <c r="GR253" s="467"/>
      <c r="GS253" s="52"/>
      <c r="GT253" s="296"/>
      <c r="GU253" s="464"/>
      <c r="GV253" s="467"/>
      <c r="GW253" s="52"/>
      <c r="GX253" s="296"/>
      <c r="GY253" s="464"/>
      <c r="GZ253" s="467"/>
      <c r="HA253" s="52"/>
      <c r="HB253" s="296"/>
      <c r="HC253" s="335"/>
    </row>
    <row r="254" spans="1:211" s="396" customFormat="1">
      <c r="A254" s="491" t="s">
        <v>759</v>
      </c>
      <c r="B254" s="326" t="s">
        <v>908</v>
      </c>
      <c r="C254" s="325">
        <v>160214</v>
      </c>
      <c r="D254" s="349">
        <v>14</v>
      </c>
      <c r="E254" s="460">
        <v>38</v>
      </c>
      <c r="F254" s="492">
        <v>22</v>
      </c>
      <c r="G254" s="158"/>
      <c r="H254" s="277"/>
      <c r="I254" s="158"/>
      <c r="J254" s="588"/>
      <c r="K254" s="160">
        <f t="shared" si="95"/>
        <v>0</v>
      </c>
      <c r="L254" s="161">
        <f t="shared" si="88"/>
        <v>0</v>
      </c>
      <c r="M254" s="54"/>
      <c r="N254" s="55"/>
      <c r="O254" s="55"/>
      <c r="P254" s="55"/>
      <c r="Q254" s="162">
        <f t="shared" si="96"/>
        <v>0</v>
      </c>
      <c r="R254" s="494"/>
      <c r="S254" s="277"/>
      <c r="T254" s="277"/>
      <c r="U254" s="277"/>
      <c r="V254" s="97">
        <f t="shared" si="97"/>
        <v>0</v>
      </c>
      <c r="W254" s="279"/>
      <c r="X254" s="52"/>
      <c r="Y254" s="99"/>
      <c r="Z254" s="53"/>
      <c r="AA254" s="228"/>
      <c r="AB254" s="52"/>
      <c r="AC254" s="99"/>
      <c r="AD254" s="53"/>
      <c r="AE254" s="228"/>
      <c r="AF254" s="52"/>
      <c r="AG254" s="99"/>
      <c r="AH254" s="53"/>
      <c r="AI254" s="228"/>
      <c r="AJ254" s="52"/>
      <c r="AK254" s="99"/>
      <c r="AL254" s="53"/>
      <c r="AM254" s="228"/>
      <c r="AN254" s="52"/>
      <c r="AO254" s="99"/>
      <c r="AP254" s="53"/>
      <c r="AQ254" s="50">
        <f t="shared" si="89"/>
        <v>0</v>
      </c>
      <c r="AR254" s="163">
        <f t="shared" si="90"/>
        <v>0</v>
      </c>
      <c r="AS254" s="97">
        <f t="shared" si="91"/>
        <v>0</v>
      </c>
      <c r="AT254" s="278">
        <f t="shared" si="92"/>
        <v>0</v>
      </c>
      <c r="AU254" s="55"/>
      <c r="AV254" s="277"/>
      <c r="AW254" s="279"/>
      <c r="AX254" s="52"/>
      <c r="AY254" s="105"/>
      <c r="AZ254" s="98"/>
      <c r="BA254" s="279"/>
      <c r="BB254" s="52"/>
      <c r="BC254" s="105"/>
      <c r="BD254" s="98"/>
      <c r="BE254" s="279"/>
      <c r="BF254" s="52"/>
      <c r="BG254" s="105"/>
      <c r="BH254" s="98"/>
      <c r="BI254" s="279"/>
      <c r="BJ254" s="52"/>
      <c r="BK254" s="105"/>
      <c r="BL254" s="98"/>
      <c r="BM254" s="279"/>
      <c r="BN254" s="52"/>
      <c r="BO254" s="105"/>
      <c r="BP254" s="98"/>
      <c r="BQ254" s="279"/>
      <c r="BR254" s="52"/>
      <c r="BS254" s="105"/>
      <c r="BT254" s="98"/>
      <c r="BU254" s="279"/>
      <c r="BV254" s="52"/>
      <c r="BW254" s="105"/>
      <c r="BX254" s="98"/>
      <c r="BY254" s="279"/>
      <c r="BZ254" s="52"/>
      <c r="CA254" s="105"/>
      <c r="CB254" s="98"/>
      <c r="CC254" s="279"/>
      <c r="CD254" s="52"/>
      <c r="CE254" s="105"/>
      <c r="CF254" s="98"/>
      <c r="CG254" s="279"/>
      <c r="CH254" s="52"/>
      <c r="CI254" s="105"/>
      <c r="CJ254" s="98"/>
      <c r="CK254" s="281"/>
      <c r="CL254" s="277"/>
      <c r="CM254" s="159"/>
      <c r="CN254" s="277"/>
      <c r="CO254" s="50">
        <f t="shared" si="98"/>
        <v>0</v>
      </c>
      <c r="CP254" s="103">
        <f t="shared" si="99"/>
        <v>0</v>
      </c>
      <c r="CQ254" s="280">
        <f t="shared" si="100"/>
        <v>0</v>
      </c>
      <c r="CR254" s="63">
        <f t="shared" si="101"/>
        <v>0</v>
      </c>
      <c r="CS254" s="279"/>
      <c r="CT254" s="52"/>
      <c r="CU254" s="105"/>
      <c r="CV254" s="98"/>
      <c r="CW254" s="279"/>
      <c r="CX254" s="52"/>
      <c r="CY254" s="105"/>
      <c r="CZ254" s="98"/>
      <c r="DA254" s="279"/>
      <c r="DB254" s="52"/>
      <c r="DC254" s="105"/>
      <c r="DD254" s="98"/>
      <c r="DE254" s="279"/>
      <c r="DF254" s="52"/>
      <c r="DG254" s="105"/>
      <c r="DH254" s="98"/>
      <c r="DI254" s="279"/>
      <c r="DJ254" s="52"/>
      <c r="DK254" s="105"/>
      <c r="DL254" s="98"/>
      <c r="DM254" s="279"/>
      <c r="DN254" s="52"/>
      <c r="DO254" s="105"/>
      <c r="DP254" s="98"/>
      <c r="DQ254" s="279"/>
      <c r="DR254" s="52"/>
      <c r="DS254" s="105"/>
      <c r="DT254" s="98"/>
      <c r="DU254" s="279"/>
      <c r="DV254" s="52"/>
      <c r="DW254" s="105"/>
      <c r="DX254" s="98"/>
      <c r="DY254" s="279"/>
      <c r="DZ254" s="52"/>
      <c r="EA254" s="105"/>
      <c r="EB254" s="98"/>
      <c r="EC254" s="279"/>
      <c r="ED254" s="52"/>
      <c r="EE254" s="105"/>
      <c r="EF254" s="98"/>
      <c r="EG254" s="159"/>
      <c r="EH254" s="277"/>
      <c r="EI254" s="50">
        <f t="shared" si="102"/>
        <v>0</v>
      </c>
      <c r="EJ254" s="103">
        <f t="shared" si="103"/>
        <v>0</v>
      </c>
      <c r="EK254" s="164">
        <f t="shared" si="104"/>
        <v>0</v>
      </c>
      <c r="EL254" s="280">
        <f t="shared" si="105"/>
        <v>0</v>
      </c>
      <c r="EM254" s="63">
        <f t="shared" si="106"/>
        <v>0</v>
      </c>
      <c r="EN254" s="359">
        <f t="shared" si="107"/>
        <v>0</v>
      </c>
      <c r="EO254" s="51">
        <f t="shared" si="108"/>
        <v>0</v>
      </c>
      <c r="EP254" s="361">
        <f t="shared" si="109"/>
        <v>0</v>
      </c>
      <c r="EQ254" s="281"/>
      <c r="ER254" s="277"/>
      <c r="ES254" s="281"/>
      <c r="ET254" s="277"/>
      <c r="EU254" s="281"/>
      <c r="EV254" s="277"/>
      <c r="EW254" s="281"/>
      <c r="EX254" s="277"/>
      <c r="EY254" s="281"/>
      <c r="EZ254" s="277"/>
      <c r="FA254" s="281"/>
      <c r="FB254" s="277"/>
      <c r="FC254" s="281"/>
      <c r="FD254" s="277"/>
      <c r="FE254" s="281"/>
      <c r="FF254" s="277"/>
      <c r="FG254" s="281"/>
      <c r="FH254" s="277"/>
      <c r="FI254" s="281"/>
      <c r="FJ254" s="277"/>
      <c r="FK254" s="50">
        <f t="shared" si="110"/>
        <v>0</v>
      </c>
      <c r="FL254" s="63">
        <f t="shared" si="111"/>
        <v>0</v>
      </c>
      <c r="FM254" s="50">
        <f t="shared" si="93"/>
        <v>38</v>
      </c>
      <c r="FN254" s="360">
        <f t="shared" si="94"/>
        <v>22</v>
      </c>
      <c r="FO254" s="335"/>
      <c r="FP254" s="279"/>
      <c r="FQ254" s="52"/>
      <c r="FR254" s="296"/>
      <c r="FS254" s="98"/>
      <c r="FT254" s="467"/>
      <c r="FU254" s="52"/>
      <c r="FV254" s="296"/>
      <c r="FW254" s="98"/>
      <c r="FX254" s="467"/>
      <c r="FY254" s="52"/>
      <c r="FZ254" s="296"/>
      <c r="GA254" s="98"/>
      <c r="GB254" s="467"/>
      <c r="GC254" s="52"/>
      <c r="GD254" s="296"/>
      <c r="GE254" s="98"/>
      <c r="GF254" s="467"/>
      <c r="GG254" s="52"/>
      <c r="GH254" s="296"/>
      <c r="GI254" s="98"/>
      <c r="GJ254" s="467"/>
      <c r="GK254" s="52"/>
      <c r="GL254" s="296"/>
      <c r="GM254" s="464"/>
      <c r="GN254" s="467"/>
      <c r="GO254" s="52"/>
      <c r="GP254" s="296"/>
      <c r="GQ254" s="464"/>
      <c r="GR254" s="467"/>
      <c r="GS254" s="52"/>
      <c r="GT254" s="296"/>
      <c r="GU254" s="464"/>
      <c r="GV254" s="467"/>
      <c r="GW254" s="52"/>
      <c r="GX254" s="296"/>
      <c r="GY254" s="464"/>
      <c r="GZ254" s="467"/>
      <c r="HA254" s="52"/>
      <c r="HB254" s="296"/>
      <c r="HC254" s="335"/>
    </row>
    <row r="255" spans="1:211" s="396" customFormat="1">
      <c r="A255" s="491" t="s">
        <v>759</v>
      </c>
      <c r="B255" s="326" t="s">
        <v>909</v>
      </c>
      <c r="C255" s="325">
        <v>159443</v>
      </c>
      <c r="D255" s="349">
        <v>14</v>
      </c>
      <c r="E255" s="460">
        <v>168</v>
      </c>
      <c r="F255" s="492">
        <v>320</v>
      </c>
      <c r="G255" s="158"/>
      <c r="H255" s="277"/>
      <c r="I255" s="158">
        <v>72</v>
      </c>
      <c r="J255" s="588">
        <v>58</v>
      </c>
      <c r="K255" s="160">
        <f t="shared" si="95"/>
        <v>0</v>
      </c>
      <c r="L255" s="161">
        <f t="shared" si="88"/>
        <v>0</v>
      </c>
      <c r="M255" s="54"/>
      <c r="N255" s="55"/>
      <c r="O255" s="55"/>
      <c r="P255" s="55"/>
      <c r="Q255" s="162">
        <f t="shared" si="96"/>
        <v>0</v>
      </c>
      <c r="R255" s="494"/>
      <c r="S255" s="277"/>
      <c r="T255" s="277"/>
      <c r="U255" s="277"/>
      <c r="V255" s="97">
        <f t="shared" si="97"/>
        <v>0</v>
      </c>
      <c r="W255" s="279"/>
      <c r="X255" s="52"/>
      <c r="Y255" s="99"/>
      <c r="Z255" s="53"/>
      <c r="AA255" s="228"/>
      <c r="AB255" s="52"/>
      <c r="AC255" s="99"/>
      <c r="AD255" s="53"/>
      <c r="AE255" s="228"/>
      <c r="AF255" s="52"/>
      <c r="AG255" s="99"/>
      <c r="AH255" s="53"/>
      <c r="AI255" s="228"/>
      <c r="AJ255" s="52"/>
      <c r="AK255" s="99"/>
      <c r="AL255" s="53"/>
      <c r="AM255" s="228"/>
      <c r="AN255" s="52"/>
      <c r="AO255" s="99"/>
      <c r="AP255" s="53"/>
      <c r="AQ255" s="50">
        <f t="shared" si="89"/>
        <v>0</v>
      </c>
      <c r="AR255" s="163">
        <f t="shared" si="90"/>
        <v>0</v>
      </c>
      <c r="AS255" s="97">
        <f t="shared" si="91"/>
        <v>0</v>
      </c>
      <c r="AT255" s="278">
        <f t="shared" si="92"/>
        <v>0</v>
      </c>
      <c r="AU255" s="55"/>
      <c r="AV255" s="277"/>
      <c r="AW255" s="279"/>
      <c r="AX255" s="52"/>
      <c r="AY255" s="105"/>
      <c r="AZ255" s="98"/>
      <c r="BA255" s="279"/>
      <c r="BB255" s="52"/>
      <c r="BC255" s="105"/>
      <c r="BD255" s="98"/>
      <c r="BE255" s="279"/>
      <c r="BF255" s="52"/>
      <c r="BG255" s="105"/>
      <c r="BH255" s="98"/>
      <c r="BI255" s="279"/>
      <c r="BJ255" s="52"/>
      <c r="BK255" s="105"/>
      <c r="BL255" s="98"/>
      <c r="BM255" s="279"/>
      <c r="BN255" s="52"/>
      <c r="BO255" s="105"/>
      <c r="BP255" s="98"/>
      <c r="BQ255" s="279"/>
      <c r="BR255" s="52"/>
      <c r="BS255" s="105"/>
      <c r="BT255" s="98"/>
      <c r="BU255" s="279"/>
      <c r="BV255" s="52"/>
      <c r="BW255" s="105"/>
      <c r="BX255" s="98"/>
      <c r="BY255" s="279"/>
      <c r="BZ255" s="52"/>
      <c r="CA255" s="105"/>
      <c r="CB255" s="98"/>
      <c r="CC255" s="279"/>
      <c r="CD255" s="52"/>
      <c r="CE255" s="105"/>
      <c r="CF255" s="98"/>
      <c r="CG255" s="279"/>
      <c r="CH255" s="52"/>
      <c r="CI255" s="105"/>
      <c r="CJ255" s="98"/>
      <c r="CK255" s="281"/>
      <c r="CL255" s="277"/>
      <c r="CM255" s="159"/>
      <c r="CN255" s="277"/>
      <c r="CO255" s="50">
        <f t="shared" si="98"/>
        <v>0</v>
      </c>
      <c r="CP255" s="103">
        <f t="shared" si="99"/>
        <v>0</v>
      </c>
      <c r="CQ255" s="280">
        <f t="shared" si="100"/>
        <v>0</v>
      </c>
      <c r="CR255" s="63">
        <f t="shared" si="101"/>
        <v>0</v>
      </c>
      <c r="CS255" s="279"/>
      <c r="CT255" s="52"/>
      <c r="CU255" s="105"/>
      <c r="CV255" s="98"/>
      <c r="CW255" s="279"/>
      <c r="CX255" s="52"/>
      <c r="CY255" s="105"/>
      <c r="CZ255" s="98"/>
      <c r="DA255" s="279"/>
      <c r="DB255" s="52"/>
      <c r="DC255" s="105"/>
      <c r="DD255" s="98"/>
      <c r="DE255" s="279"/>
      <c r="DF255" s="52"/>
      <c r="DG255" s="105"/>
      <c r="DH255" s="98"/>
      <c r="DI255" s="279"/>
      <c r="DJ255" s="52"/>
      <c r="DK255" s="105"/>
      <c r="DL255" s="98"/>
      <c r="DM255" s="279"/>
      <c r="DN255" s="52"/>
      <c r="DO255" s="105"/>
      <c r="DP255" s="98"/>
      <c r="DQ255" s="279"/>
      <c r="DR255" s="52"/>
      <c r="DS255" s="105"/>
      <c r="DT255" s="98"/>
      <c r="DU255" s="279"/>
      <c r="DV255" s="52"/>
      <c r="DW255" s="105"/>
      <c r="DX255" s="98"/>
      <c r="DY255" s="279"/>
      <c r="DZ255" s="52"/>
      <c r="EA255" s="105"/>
      <c r="EB255" s="98"/>
      <c r="EC255" s="279"/>
      <c r="ED255" s="52"/>
      <c r="EE255" s="105"/>
      <c r="EF255" s="98"/>
      <c r="EG255" s="159"/>
      <c r="EH255" s="277"/>
      <c r="EI255" s="50">
        <f t="shared" si="102"/>
        <v>0</v>
      </c>
      <c r="EJ255" s="103">
        <f t="shared" si="103"/>
        <v>0</v>
      </c>
      <c r="EK255" s="164">
        <f t="shared" si="104"/>
        <v>0</v>
      </c>
      <c r="EL255" s="280">
        <f t="shared" si="105"/>
        <v>0</v>
      </c>
      <c r="EM255" s="63">
        <f t="shared" si="106"/>
        <v>0</v>
      </c>
      <c r="EN255" s="359">
        <f t="shared" si="107"/>
        <v>0</v>
      </c>
      <c r="EO255" s="51">
        <f t="shared" si="108"/>
        <v>0</v>
      </c>
      <c r="EP255" s="361">
        <f t="shared" si="109"/>
        <v>0</v>
      </c>
      <c r="EQ255" s="281"/>
      <c r="ER255" s="277"/>
      <c r="ES255" s="281"/>
      <c r="ET255" s="277"/>
      <c r="EU255" s="281"/>
      <c r="EV255" s="277"/>
      <c r="EW255" s="281"/>
      <c r="EX255" s="277"/>
      <c r="EY255" s="281"/>
      <c r="EZ255" s="277"/>
      <c r="FA255" s="281"/>
      <c r="FB255" s="277"/>
      <c r="FC255" s="281"/>
      <c r="FD255" s="277"/>
      <c r="FE255" s="281"/>
      <c r="FF255" s="277"/>
      <c r="FG255" s="281"/>
      <c r="FH255" s="277"/>
      <c r="FI255" s="281"/>
      <c r="FJ255" s="277"/>
      <c r="FK255" s="50">
        <f t="shared" si="110"/>
        <v>0</v>
      </c>
      <c r="FL255" s="63">
        <f t="shared" si="111"/>
        <v>0</v>
      </c>
      <c r="FM255" s="50">
        <f t="shared" si="93"/>
        <v>240</v>
      </c>
      <c r="FN255" s="360">
        <f t="shared" si="94"/>
        <v>378</v>
      </c>
      <c r="FO255" s="335"/>
      <c r="FP255" s="279"/>
      <c r="FQ255" s="52"/>
      <c r="FR255" s="296"/>
      <c r="FS255" s="98"/>
      <c r="FT255" s="467"/>
      <c r="FU255" s="52"/>
      <c r="FV255" s="296"/>
      <c r="FW255" s="98"/>
      <c r="FX255" s="467"/>
      <c r="FY255" s="52"/>
      <c r="FZ255" s="296"/>
      <c r="GA255" s="98"/>
      <c r="GB255" s="467"/>
      <c r="GC255" s="52"/>
      <c r="GD255" s="296"/>
      <c r="GE255" s="98"/>
      <c r="GF255" s="467"/>
      <c r="GG255" s="52"/>
      <c r="GH255" s="296"/>
      <c r="GI255" s="98"/>
      <c r="GJ255" s="467"/>
      <c r="GK255" s="52"/>
      <c r="GL255" s="296"/>
      <c r="GM255" s="464"/>
      <c r="GN255" s="467"/>
      <c r="GO255" s="52"/>
      <c r="GP255" s="296"/>
      <c r="GQ255" s="464"/>
      <c r="GR255" s="467"/>
      <c r="GS255" s="52"/>
      <c r="GT255" s="296"/>
      <c r="GU255" s="464"/>
      <c r="GV255" s="467"/>
      <c r="GW255" s="52"/>
      <c r="GX255" s="296"/>
      <c r="GY255" s="464"/>
      <c r="GZ255" s="467"/>
      <c r="HA255" s="52"/>
      <c r="HB255" s="296"/>
      <c r="HC255" s="335"/>
    </row>
    <row r="256" spans="1:211" s="396" customFormat="1">
      <c r="A256" s="491" t="s">
        <v>759</v>
      </c>
      <c r="B256" s="326" t="s">
        <v>910</v>
      </c>
      <c r="C256" s="325">
        <v>160719</v>
      </c>
      <c r="D256" s="349">
        <v>14</v>
      </c>
      <c r="E256" s="460">
        <v>36</v>
      </c>
      <c r="F256" s="492">
        <v>73</v>
      </c>
      <c r="G256" s="158"/>
      <c r="H256" s="277"/>
      <c r="I256" s="158">
        <v>25</v>
      </c>
      <c r="J256" s="588">
        <v>10</v>
      </c>
      <c r="K256" s="160">
        <f t="shared" si="95"/>
        <v>0</v>
      </c>
      <c r="L256" s="161">
        <f t="shared" si="88"/>
        <v>0</v>
      </c>
      <c r="M256" s="54"/>
      <c r="N256" s="55"/>
      <c r="O256" s="55"/>
      <c r="P256" s="55"/>
      <c r="Q256" s="162">
        <f t="shared" si="96"/>
        <v>0</v>
      </c>
      <c r="R256" s="494"/>
      <c r="S256" s="277"/>
      <c r="T256" s="277"/>
      <c r="U256" s="277"/>
      <c r="V256" s="97">
        <f t="shared" si="97"/>
        <v>0</v>
      </c>
      <c r="W256" s="279"/>
      <c r="X256" s="52"/>
      <c r="Y256" s="99"/>
      <c r="Z256" s="53"/>
      <c r="AA256" s="228"/>
      <c r="AB256" s="52"/>
      <c r="AC256" s="99"/>
      <c r="AD256" s="53"/>
      <c r="AE256" s="228"/>
      <c r="AF256" s="52"/>
      <c r="AG256" s="99"/>
      <c r="AH256" s="53"/>
      <c r="AI256" s="228"/>
      <c r="AJ256" s="52"/>
      <c r="AK256" s="99"/>
      <c r="AL256" s="53"/>
      <c r="AM256" s="228"/>
      <c r="AN256" s="52"/>
      <c r="AO256" s="99"/>
      <c r="AP256" s="53"/>
      <c r="AQ256" s="50">
        <f t="shared" si="89"/>
        <v>0</v>
      </c>
      <c r="AR256" s="163">
        <f t="shared" si="90"/>
        <v>0</v>
      </c>
      <c r="AS256" s="97">
        <f t="shared" si="91"/>
        <v>0</v>
      </c>
      <c r="AT256" s="278">
        <f t="shared" si="92"/>
        <v>0</v>
      </c>
      <c r="AU256" s="55"/>
      <c r="AV256" s="277"/>
      <c r="AW256" s="279"/>
      <c r="AX256" s="52"/>
      <c r="AY256" s="105"/>
      <c r="AZ256" s="98"/>
      <c r="BA256" s="279"/>
      <c r="BB256" s="52"/>
      <c r="BC256" s="105"/>
      <c r="BD256" s="98"/>
      <c r="BE256" s="279"/>
      <c r="BF256" s="52"/>
      <c r="BG256" s="105"/>
      <c r="BH256" s="98"/>
      <c r="BI256" s="279"/>
      <c r="BJ256" s="52"/>
      <c r="BK256" s="105"/>
      <c r="BL256" s="98"/>
      <c r="BM256" s="279"/>
      <c r="BN256" s="52"/>
      <c r="BO256" s="105"/>
      <c r="BP256" s="98"/>
      <c r="BQ256" s="279"/>
      <c r="BR256" s="52"/>
      <c r="BS256" s="105"/>
      <c r="BT256" s="98"/>
      <c r="BU256" s="279"/>
      <c r="BV256" s="52"/>
      <c r="BW256" s="105"/>
      <c r="BX256" s="98"/>
      <c r="BY256" s="279"/>
      <c r="BZ256" s="52"/>
      <c r="CA256" s="105"/>
      <c r="CB256" s="98"/>
      <c r="CC256" s="279"/>
      <c r="CD256" s="52"/>
      <c r="CE256" s="105"/>
      <c r="CF256" s="98"/>
      <c r="CG256" s="279"/>
      <c r="CH256" s="52"/>
      <c r="CI256" s="105"/>
      <c r="CJ256" s="98"/>
      <c r="CK256" s="281"/>
      <c r="CL256" s="277"/>
      <c r="CM256" s="159"/>
      <c r="CN256" s="277"/>
      <c r="CO256" s="50">
        <f t="shared" si="98"/>
        <v>0</v>
      </c>
      <c r="CP256" s="103">
        <f t="shared" si="99"/>
        <v>0</v>
      </c>
      <c r="CQ256" s="280">
        <f t="shared" si="100"/>
        <v>0</v>
      </c>
      <c r="CR256" s="63">
        <f t="shared" si="101"/>
        <v>0</v>
      </c>
      <c r="CS256" s="279"/>
      <c r="CT256" s="52"/>
      <c r="CU256" s="105"/>
      <c r="CV256" s="98"/>
      <c r="CW256" s="279"/>
      <c r="CX256" s="52"/>
      <c r="CY256" s="105"/>
      <c r="CZ256" s="98"/>
      <c r="DA256" s="279"/>
      <c r="DB256" s="52"/>
      <c r="DC256" s="105"/>
      <c r="DD256" s="98"/>
      <c r="DE256" s="279"/>
      <c r="DF256" s="52"/>
      <c r="DG256" s="105"/>
      <c r="DH256" s="98"/>
      <c r="DI256" s="279"/>
      <c r="DJ256" s="52"/>
      <c r="DK256" s="105"/>
      <c r="DL256" s="98"/>
      <c r="DM256" s="279"/>
      <c r="DN256" s="52"/>
      <c r="DO256" s="105"/>
      <c r="DP256" s="98"/>
      <c r="DQ256" s="279"/>
      <c r="DR256" s="52"/>
      <c r="DS256" s="105"/>
      <c r="DT256" s="98"/>
      <c r="DU256" s="279"/>
      <c r="DV256" s="52"/>
      <c r="DW256" s="105"/>
      <c r="DX256" s="98"/>
      <c r="DY256" s="279"/>
      <c r="DZ256" s="52"/>
      <c r="EA256" s="105"/>
      <c r="EB256" s="98"/>
      <c r="EC256" s="279"/>
      <c r="ED256" s="52"/>
      <c r="EE256" s="105"/>
      <c r="EF256" s="98"/>
      <c r="EG256" s="159"/>
      <c r="EH256" s="277"/>
      <c r="EI256" s="50">
        <f t="shared" si="102"/>
        <v>0</v>
      </c>
      <c r="EJ256" s="103">
        <f t="shared" si="103"/>
        <v>0</v>
      </c>
      <c r="EK256" s="164">
        <f t="shared" si="104"/>
        <v>0</v>
      </c>
      <c r="EL256" s="280">
        <f t="shared" si="105"/>
        <v>0</v>
      </c>
      <c r="EM256" s="63">
        <f t="shared" si="106"/>
        <v>0</v>
      </c>
      <c r="EN256" s="359">
        <f t="shared" si="107"/>
        <v>0</v>
      </c>
      <c r="EO256" s="51">
        <f t="shared" si="108"/>
        <v>0</v>
      </c>
      <c r="EP256" s="361">
        <f t="shared" si="109"/>
        <v>0</v>
      </c>
      <c r="EQ256" s="281"/>
      <c r="ER256" s="277"/>
      <c r="ES256" s="281"/>
      <c r="ET256" s="277"/>
      <c r="EU256" s="281"/>
      <c r="EV256" s="277"/>
      <c r="EW256" s="281"/>
      <c r="EX256" s="277"/>
      <c r="EY256" s="281"/>
      <c r="EZ256" s="277"/>
      <c r="FA256" s="281"/>
      <c r="FB256" s="277"/>
      <c r="FC256" s="281"/>
      <c r="FD256" s="277"/>
      <c r="FE256" s="281"/>
      <c r="FF256" s="277"/>
      <c r="FG256" s="281"/>
      <c r="FH256" s="277"/>
      <c r="FI256" s="281"/>
      <c r="FJ256" s="277"/>
      <c r="FK256" s="50">
        <f t="shared" si="110"/>
        <v>0</v>
      </c>
      <c r="FL256" s="63">
        <f t="shared" si="111"/>
        <v>0</v>
      </c>
      <c r="FM256" s="50">
        <f t="shared" si="93"/>
        <v>61</v>
      </c>
      <c r="FN256" s="360">
        <f t="shared" si="94"/>
        <v>83</v>
      </c>
      <c r="FO256" s="335"/>
      <c r="FP256" s="279"/>
      <c r="FQ256" s="52"/>
      <c r="FR256" s="296"/>
      <c r="FS256" s="98"/>
      <c r="FT256" s="467"/>
      <c r="FU256" s="52"/>
      <c r="FV256" s="296"/>
      <c r="FW256" s="98"/>
      <c r="FX256" s="467"/>
      <c r="FY256" s="52"/>
      <c r="FZ256" s="296"/>
      <c r="GA256" s="98"/>
      <c r="GB256" s="467"/>
      <c r="GC256" s="52"/>
      <c r="GD256" s="296"/>
      <c r="GE256" s="98"/>
      <c r="GF256" s="467"/>
      <c r="GG256" s="52"/>
      <c r="GH256" s="296"/>
      <c r="GI256" s="98"/>
      <c r="GJ256" s="467"/>
      <c r="GK256" s="52"/>
      <c r="GL256" s="296"/>
      <c r="GM256" s="464"/>
      <c r="GN256" s="467"/>
      <c r="GO256" s="52"/>
      <c r="GP256" s="296"/>
      <c r="GQ256" s="464"/>
      <c r="GR256" s="467"/>
      <c r="GS256" s="52"/>
      <c r="GT256" s="296"/>
      <c r="GU256" s="464"/>
      <c r="GV256" s="467"/>
      <c r="GW256" s="52"/>
      <c r="GX256" s="296"/>
      <c r="GY256" s="464"/>
      <c r="GZ256" s="467"/>
      <c r="HA256" s="52"/>
      <c r="HB256" s="296"/>
      <c r="HC256" s="335"/>
    </row>
    <row r="257" spans="1:211" s="396" customFormat="1">
      <c r="A257" s="491" t="s">
        <v>759</v>
      </c>
      <c r="B257" s="326" t="s">
        <v>911</v>
      </c>
      <c r="C257" s="325">
        <v>160843</v>
      </c>
      <c r="D257" s="349">
        <v>14</v>
      </c>
      <c r="E257" s="460">
        <v>51</v>
      </c>
      <c r="F257" s="492">
        <v>93</v>
      </c>
      <c r="G257" s="158"/>
      <c r="H257" s="277"/>
      <c r="I257" s="158"/>
      <c r="J257" s="588"/>
      <c r="K257" s="160">
        <f t="shared" si="95"/>
        <v>0</v>
      </c>
      <c r="L257" s="161">
        <f t="shared" si="88"/>
        <v>0</v>
      </c>
      <c r="M257" s="54"/>
      <c r="N257" s="55"/>
      <c r="O257" s="55"/>
      <c r="P257" s="55"/>
      <c r="Q257" s="162">
        <f t="shared" si="96"/>
        <v>0</v>
      </c>
      <c r="R257" s="494"/>
      <c r="S257" s="277"/>
      <c r="T257" s="277"/>
      <c r="U257" s="277"/>
      <c r="V257" s="97">
        <f t="shared" si="97"/>
        <v>0</v>
      </c>
      <c r="W257" s="279"/>
      <c r="X257" s="52"/>
      <c r="Y257" s="99"/>
      <c r="Z257" s="53"/>
      <c r="AA257" s="228"/>
      <c r="AB257" s="52"/>
      <c r="AC257" s="99"/>
      <c r="AD257" s="53"/>
      <c r="AE257" s="228"/>
      <c r="AF257" s="52"/>
      <c r="AG257" s="99"/>
      <c r="AH257" s="53"/>
      <c r="AI257" s="228"/>
      <c r="AJ257" s="52"/>
      <c r="AK257" s="99"/>
      <c r="AL257" s="53"/>
      <c r="AM257" s="228"/>
      <c r="AN257" s="52"/>
      <c r="AO257" s="99"/>
      <c r="AP257" s="53"/>
      <c r="AQ257" s="50">
        <f t="shared" si="89"/>
        <v>0</v>
      </c>
      <c r="AR257" s="163">
        <f t="shared" si="90"/>
        <v>0</v>
      </c>
      <c r="AS257" s="97">
        <f t="shared" si="91"/>
        <v>0</v>
      </c>
      <c r="AT257" s="278">
        <f t="shared" si="92"/>
        <v>0</v>
      </c>
      <c r="AU257" s="55"/>
      <c r="AV257" s="277"/>
      <c r="AW257" s="279"/>
      <c r="AX257" s="52"/>
      <c r="AY257" s="105"/>
      <c r="AZ257" s="98"/>
      <c r="BA257" s="279"/>
      <c r="BB257" s="52"/>
      <c r="BC257" s="105"/>
      <c r="BD257" s="98"/>
      <c r="BE257" s="279"/>
      <c r="BF257" s="52"/>
      <c r="BG257" s="105"/>
      <c r="BH257" s="98"/>
      <c r="BI257" s="279"/>
      <c r="BJ257" s="52"/>
      <c r="BK257" s="105"/>
      <c r="BL257" s="98"/>
      <c r="BM257" s="279"/>
      <c r="BN257" s="52"/>
      <c r="BO257" s="105"/>
      <c r="BP257" s="98"/>
      <c r="BQ257" s="279"/>
      <c r="BR257" s="52"/>
      <c r="BS257" s="105"/>
      <c r="BT257" s="98"/>
      <c r="BU257" s="279"/>
      <c r="BV257" s="52"/>
      <c r="BW257" s="105"/>
      <c r="BX257" s="98"/>
      <c r="BY257" s="279"/>
      <c r="BZ257" s="52"/>
      <c r="CA257" s="105"/>
      <c r="CB257" s="98"/>
      <c r="CC257" s="279"/>
      <c r="CD257" s="52"/>
      <c r="CE257" s="105"/>
      <c r="CF257" s="98"/>
      <c r="CG257" s="279"/>
      <c r="CH257" s="52"/>
      <c r="CI257" s="105"/>
      <c r="CJ257" s="98"/>
      <c r="CK257" s="281"/>
      <c r="CL257" s="277"/>
      <c r="CM257" s="159"/>
      <c r="CN257" s="277"/>
      <c r="CO257" s="50">
        <f t="shared" si="98"/>
        <v>0</v>
      </c>
      <c r="CP257" s="103">
        <f t="shared" si="99"/>
        <v>0</v>
      </c>
      <c r="CQ257" s="280">
        <f t="shared" si="100"/>
        <v>0</v>
      </c>
      <c r="CR257" s="63">
        <f t="shared" si="101"/>
        <v>0</v>
      </c>
      <c r="CS257" s="279"/>
      <c r="CT257" s="52"/>
      <c r="CU257" s="105"/>
      <c r="CV257" s="98"/>
      <c r="CW257" s="279"/>
      <c r="CX257" s="52"/>
      <c r="CY257" s="105"/>
      <c r="CZ257" s="98"/>
      <c r="DA257" s="279"/>
      <c r="DB257" s="52"/>
      <c r="DC257" s="105"/>
      <c r="DD257" s="98"/>
      <c r="DE257" s="279"/>
      <c r="DF257" s="52"/>
      <c r="DG257" s="105"/>
      <c r="DH257" s="98"/>
      <c r="DI257" s="279"/>
      <c r="DJ257" s="52"/>
      <c r="DK257" s="105"/>
      <c r="DL257" s="98"/>
      <c r="DM257" s="279"/>
      <c r="DN257" s="52"/>
      <c r="DO257" s="105"/>
      <c r="DP257" s="98"/>
      <c r="DQ257" s="279"/>
      <c r="DR257" s="52"/>
      <c r="DS257" s="105"/>
      <c r="DT257" s="98"/>
      <c r="DU257" s="279"/>
      <c r="DV257" s="52"/>
      <c r="DW257" s="105"/>
      <c r="DX257" s="98"/>
      <c r="DY257" s="279"/>
      <c r="DZ257" s="52"/>
      <c r="EA257" s="105"/>
      <c r="EB257" s="98"/>
      <c r="EC257" s="279"/>
      <c r="ED257" s="52"/>
      <c r="EE257" s="105"/>
      <c r="EF257" s="98"/>
      <c r="EG257" s="159"/>
      <c r="EH257" s="277"/>
      <c r="EI257" s="50">
        <f t="shared" si="102"/>
        <v>0</v>
      </c>
      <c r="EJ257" s="103">
        <f t="shared" si="103"/>
        <v>0</v>
      </c>
      <c r="EK257" s="164">
        <f t="shared" si="104"/>
        <v>0</v>
      </c>
      <c r="EL257" s="280">
        <f t="shared" si="105"/>
        <v>0</v>
      </c>
      <c r="EM257" s="63">
        <f t="shared" si="106"/>
        <v>0</v>
      </c>
      <c r="EN257" s="359">
        <f t="shared" si="107"/>
        <v>0</v>
      </c>
      <c r="EO257" s="51">
        <f t="shared" si="108"/>
        <v>0</v>
      </c>
      <c r="EP257" s="361">
        <f t="shared" si="109"/>
        <v>0</v>
      </c>
      <c r="EQ257" s="281"/>
      <c r="ER257" s="277"/>
      <c r="ES257" s="281"/>
      <c r="ET257" s="277"/>
      <c r="EU257" s="281"/>
      <c r="EV257" s="277"/>
      <c r="EW257" s="281"/>
      <c r="EX257" s="277"/>
      <c r="EY257" s="281"/>
      <c r="EZ257" s="277"/>
      <c r="FA257" s="281"/>
      <c r="FB257" s="277"/>
      <c r="FC257" s="281"/>
      <c r="FD257" s="277"/>
      <c r="FE257" s="281"/>
      <c r="FF257" s="277"/>
      <c r="FG257" s="281"/>
      <c r="FH257" s="277"/>
      <c r="FI257" s="281"/>
      <c r="FJ257" s="277"/>
      <c r="FK257" s="50">
        <f t="shared" si="110"/>
        <v>0</v>
      </c>
      <c r="FL257" s="63">
        <f t="shared" si="111"/>
        <v>0</v>
      </c>
      <c r="FM257" s="50">
        <f t="shared" si="93"/>
        <v>51</v>
      </c>
      <c r="FN257" s="360">
        <f t="shared" si="94"/>
        <v>93</v>
      </c>
      <c r="FO257" s="335"/>
      <c r="FP257" s="279"/>
      <c r="FQ257" s="52"/>
      <c r="FR257" s="296"/>
      <c r="FS257" s="98"/>
      <c r="FT257" s="467"/>
      <c r="FU257" s="52"/>
      <c r="FV257" s="296"/>
      <c r="FW257" s="98"/>
      <c r="FX257" s="467"/>
      <c r="FY257" s="52"/>
      <c r="FZ257" s="296"/>
      <c r="GA257" s="98"/>
      <c r="GB257" s="467"/>
      <c r="GC257" s="52"/>
      <c r="GD257" s="296"/>
      <c r="GE257" s="98"/>
      <c r="GF257" s="467"/>
      <c r="GG257" s="52"/>
      <c r="GH257" s="296"/>
      <c r="GI257" s="98"/>
      <c r="GJ257" s="467"/>
      <c r="GK257" s="52"/>
      <c r="GL257" s="296"/>
      <c r="GM257" s="464"/>
      <c r="GN257" s="467"/>
      <c r="GO257" s="52"/>
      <c r="GP257" s="296"/>
      <c r="GQ257" s="464"/>
      <c r="GR257" s="467"/>
      <c r="GS257" s="52"/>
      <c r="GT257" s="296"/>
      <c r="GU257" s="464"/>
      <c r="GV257" s="467"/>
      <c r="GW257" s="52"/>
      <c r="GX257" s="296"/>
      <c r="GY257" s="464"/>
      <c r="GZ257" s="467"/>
      <c r="HA257" s="52"/>
      <c r="HB257" s="296"/>
      <c r="HC257" s="335"/>
    </row>
    <row r="258" spans="1:211" s="396" customFormat="1">
      <c r="A258" s="491" t="s">
        <v>759</v>
      </c>
      <c r="B258" s="326" t="s">
        <v>912</v>
      </c>
      <c r="C258" s="325">
        <v>159692</v>
      </c>
      <c r="D258" s="349">
        <v>14</v>
      </c>
      <c r="E258" s="460">
        <v>55</v>
      </c>
      <c r="F258" s="492">
        <v>56</v>
      </c>
      <c r="G258" s="158"/>
      <c r="H258" s="277"/>
      <c r="I258" s="158"/>
      <c r="J258" s="588"/>
      <c r="K258" s="160">
        <f t="shared" si="95"/>
        <v>0</v>
      </c>
      <c r="L258" s="161">
        <f t="shared" si="88"/>
        <v>0</v>
      </c>
      <c r="M258" s="54"/>
      <c r="N258" s="55"/>
      <c r="O258" s="55"/>
      <c r="P258" s="55"/>
      <c r="Q258" s="162">
        <f t="shared" si="96"/>
        <v>0</v>
      </c>
      <c r="R258" s="494"/>
      <c r="S258" s="277"/>
      <c r="T258" s="277"/>
      <c r="U258" s="277"/>
      <c r="V258" s="97">
        <f t="shared" si="97"/>
        <v>0</v>
      </c>
      <c r="W258" s="279"/>
      <c r="X258" s="52"/>
      <c r="Y258" s="99"/>
      <c r="Z258" s="53"/>
      <c r="AA258" s="228"/>
      <c r="AB258" s="52"/>
      <c r="AC258" s="99"/>
      <c r="AD258" s="53"/>
      <c r="AE258" s="228"/>
      <c r="AF258" s="52"/>
      <c r="AG258" s="99"/>
      <c r="AH258" s="53"/>
      <c r="AI258" s="228"/>
      <c r="AJ258" s="52"/>
      <c r="AK258" s="99"/>
      <c r="AL258" s="53"/>
      <c r="AM258" s="228"/>
      <c r="AN258" s="52"/>
      <c r="AO258" s="99"/>
      <c r="AP258" s="53"/>
      <c r="AQ258" s="50">
        <f t="shared" si="89"/>
        <v>0</v>
      </c>
      <c r="AR258" s="163">
        <f t="shared" si="90"/>
        <v>0</v>
      </c>
      <c r="AS258" s="97">
        <f t="shared" si="91"/>
        <v>0</v>
      </c>
      <c r="AT258" s="278">
        <f t="shared" si="92"/>
        <v>0</v>
      </c>
      <c r="AU258" s="55"/>
      <c r="AV258" s="277"/>
      <c r="AW258" s="279"/>
      <c r="AX258" s="52"/>
      <c r="AY258" s="105"/>
      <c r="AZ258" s="98"/>
      <c r="BA258" s="279"/>
      <c r="BB258" s="52"/>
      <c r="BC258" s="105"/>
      <c r="BD258" s="98"/>
      <c r="BE258" s="279"/>
      <c r="BF258" s="52"/>
      <c r="BG258" s="105"/>
      <c r="BH258" s="98"/>
      <c r="BI258" s="279"/>
      <c r="BJ258" s="52"/>
      <c r="BK258" s="105"/>
      <c r="BL258" s="98"/>
      <c r="BM258" s="279"/>
      <c r="BN258" s="52"/>
      <c r="BO258" s="105"/>
      <c r="BP258" s="98"/>
      <c r="BQ258" s="279"/>
      <c r="BR258" s="52"/>
      <c r="BS258" s="105"/>
      <c r="BT258" s="98"/>
      <c r="BU258" s="279"/>
      <c r="BV258" s="52"/>
      <c r="BW258" s="105"/>
      <c r="BX258" s="98"/>
      <c r="BY258" s="279"/>
      <c r="BZ258" s="52"/>
      <c r="CA258" s="105"/>
      <c r="CB258" s="98"/>
      <c r="CC258" s="279"/>
      <c r="CD258" s="52"/>
      <c r="CE258" s="105"/>
      <c r="CF258" s="98"/>
      <c r="CG258" s="279"/>
      <c r="CH258" s="52"/>
      <c r="CI258" s="105"/>
      <c r="CJ258" s="98"/>
      <c r="CK258" s="281"/>
      <c r="CL258" s="277"/>
      <c r="CM258" s="159"/>
      <c r="CN258" s="277"/>
      <c r="CO258" s="50">
        <f t="shared" si="98"/>
        <v>0</v>
      </c>
      <c r="CP258" s="103">
        <f t="shared" si="99"/>
        <v>0</v>
      </c>
      <c r="CQ258" s="280">
        <f t="shared" si="100"/>
        <v>0</v>
      </c>
      <c r="CR258" s="63">
        <f t="shared" si="101"/>
        <v>0</v>
      </c>
      <c r="CS258" s="279"/>
      <c r="CT258" s="52"/>
      <c r="CU258" s="105"/>
      <c r="CV258" s="98"/>
      <c r="CW258" s="279"/>
      <c r="CX258" s="52"/>
      <c r="CY258" s="105"/>
      <c r="CZ258" s="98"/>
      <c r="DA258" s="279"/>
      <c r="DB258" s="52"/>
      <c r="DC258" s="105"/>
      <c r="DD258" s="98"/>
      <c r="DE258" s="279"/>
      <c r="DF258" s="52"/>
      <c r="DG258" s="105"/>
      <c r="DH258" s="98"/>
      <c r="DI258" s="279"/>
      <c r="DJ258" s="52"/>
      <c r="DK258" s="105"/>
      <c r="DL258" s="98"/>
      <c r="DM258" s="279"/>
      <c r="DN258" s="52"/>
      <c r="DO258" s="105"/>
      <c r="DP258" s="98"/>
      <c r="DQ258" s="279"/>
      <c r="DR258" s="52"/>
      <c r="DS258" s="105"/>
      <c r="DT258" s="98"/>
      <c r="DU258" s="279"/>
      <c r="DV258" s="52"/>
      <c r="DW258" s="105"/>
      <c r="DX258" s="98"/>
      <c r="DY258" s="279"/>
      <c r="DZ258" s="52"/>
      <c r="EA258" s="105"/>
      <c r="EB258" s="98"/>
      <c r="EC258" s="279"/>
      <c r="ED258" s="52"/>
      <c r="EE258" s="105"/>
      <c r="EF258" s="98"/>
      <c r="EG258" s="159"/>
      <c r="EH258" s="277"/>
      <c r="EI258" s="50">
        <f t="shared" si="102"/>
        <v>0</v>
      </c>
      <c r="EJ258" s="103">
        <f t="shared" si="103"/>
        <v>0</v>
      </c>
      <c r="EK258" s="164">
        <f t="shared" si="104"/>
        <v>0</v>
      </c>
      <c r="EL258" s="280">
        <f t="shared" si="105"/>
        <v>0</v>
      </c>
      <c r="EM258" s="63">
        <f t="shared" si="106"/>
        <v>0</v>
      </c>
      <c r="EN258" s="359">
        <f t="shared" si="107"/>
        <v>0</v>
      </c>
      <c r="EO258" s="51">
        <f t="shared" si="108"/>
        <v>0</v>
      </c>
      <c r="EP258" s="361">
        <f t="shared" si="109"/>
        <v>0</v>
      </c>
      <c r="EQ258" s="281"/>
      <c r="ER258" s="277"/>
      <c r="ES258" s="281"/>
      <c r="ET258" s="277"/>
      <c r="EU258" s="281"/>
      <c r="EV258" s="277"/>
      <c r="EW258" s="281"/>
      <c r="EX258" s="277"/>
      <c r="EY258" s="281"/>
      <c r="EZ258" s="277"/>
      <c r="FA258" s="281"/>
      <c r="FB258" s="277"/>
      <c r="FC258" s="281"/>
      <c r="FD258" s="277"/>
      <c r="FE258" s="281"/>
      <c r="FF258" s="277"/>
      <c r="FG258" s="281"/>
      <c r="FH258" s="277"/>
      <c r="FI258" s="281"/>
      <c r="FJ258" s="277"/>
      <c r="FK258" s="50">
        <f t="shared" si="110"/>
        <v>0</v>
      </c>
      <c r="FL258" s="63">
        <f t="shared" si="111"/>
        <v>0</v>
      </c>
      <c r="FM258" s="50">
        <f t="shared" si="93"/>
        <v>55</v>
      </c>
      <c r="FN258" s="360">
        <f t="shared" si="94"/>
        <v>56</v>
      </c>
      <c r="FO258" s="335"/>
      <c r="FP258" s="279"/>
      <c r="FQ258" s="52"/>
      <c r="FR258" s="296"/>
      <c r="FS258" s="98"/>
      <c r="FT258" s="467"/>
      <c r="FU258" s="52"/>
      <c r="FV258" s="296"/>
      <c r="FW258" s="98"/>
      <c r="FX258" s="467"/>
      <c r="FY258" s="52"/>
      <c r="FZ258" s="296"/>
      <c r="GA258" s="98"/>
      <c r="GB258" s="467"/>
      <c r="GC258" s="52"/>
      <c r="GD258" s="296"/>
      <c r="GE258" s="98"/>
      <c r="GF258" s="467"/>
      <c r="GG258" s="52"/>
      <c r="GH258" s="296"/>
      <c r="GI258" s="98"/>
      <c r="GJ258" s="467"/>
      <c r="GK258" s="52"/>
      <c r="GL258" s="296"/>
      <c r="GM258" s="464"/>
      <c r="GN258" s="467"/>
      <c r="GO258" s="52"/>
      <c r="GP258" s="296"/>
      <c r="GQ258" s="464"/>
      <c r="GR258" s="467"/>
      <c r="GS258" s="52"/>
      <c r="GT258" s="296"/>
      <c r="GU258" s="464"/>
      <c r="GV258" s="467"/>
      <c r="GW258" s="52"/>
      <c r="GX258" s="296"/>
      <c r="GY258" s="464"/>
      <c r="GZ258" s="467"/>
      <c r="HA258" s="52"/>
      <c r="HB258" s="296"/>
      <c r="HC258" s="335"/>
    </row>
    <row r="259" spans="1:211" s="396" customFormat="1">
      <c r="A259" s="491" t="s">
        <v>759</v>
      </c>
      <c r="B259" s="326" t="s">
        <v>913</v>
      </c>
      <c r="C259" s="325">
        <v>159249</v>
      </c>
      <c r="D259" s="349">
        <v>14</v>
      </c>
      <c r="E259" s="460">
        <v>28</v>
      </c>
      <c r="F259" s="492">
        <v>42</v>
      </c>
      <c r="G259" s="158"/>
      <c r="H259" s="277"/>
      <c r="I259" s="158"/>
      <c r="J259" s="588"/>
      <c r="K259" s="160">
        <f t="shared" si="95"/>
        <v>0</v>
      </c>
      <c r="L259" s="161">
        <f t="shared" si="88"/>
        <v>0</v>
      </c>
      <c r="M259" s="54"/>
      <c r="N259" s="55"/>
      <c r="O259" s="55"/>
      <c r="P259" s="55"/>
      <c r="Q259" s="162">
        <f t="shared" si="96"/>
        <v>0</v>
      </c>
      <c r="R259" s="494"/>
      <c r="S259" s="277"/>
      <c r="T259" s="277"/>
      <c r="U259" s="277"/>
      <c r="V259" s="97">
        <f t="shared" si="97"/>
        <v>0</v>
      </c>
      <c r="W259" s="279"/>
      <c r="X259" s="52"/>
      <c r="Y259" s="99"/>
      <c r="Z259" s="53"/>
      <c r="AA259" s="228"/>
      <c r="AB259" s="52"/>
      <c r="AC259" s="99"/>
      <c r="AD259" s="53"/>
      <c r="AE259" s="228"/>
      <c r="AF259" s="52"/>
      <c r="AG259" s="99"/>
      <c r="AH259" s="53"/>
      <c r="AI259" s="228"/>
      <c r="AJ259" s="52"/>
      <c r="AK259" s="99"/>
      <c r="AL259" s="53"/>
      <c r="AM259" s="228"/>
      <c r="AN259" s="52"/>
      <c r="AO259" s="99"/>
      <c r="AP259" s="53"/>
      <c r="AQ259" s="50">
        <f t="shared" si="89"/>
        <v>0</v>
      </c>
      <c r="AR259" s="163">
        <f t="shared" si="90"/>
        <v>0</v>
      </c>
      <c r="AS259" s="97">
        <f t="shared" si="91"/>
        <v>0</v>
      </c>
      <c r="AT259" s="278">
        <f t="shared" si="92"/>
        <v>0</v>
      </c>
      <c r="AU259" s="55"/>
      <c r="AV259" s="277"/>
      <c r="AW259" s="279"/>
      <c r="AX259" s="52"/>
      <c r="AY259" s="105"/>
      <c r="AZ259" s="98"/>
      <c r="BA259" s="279"/>
      <c r="BB259" s="52"/>
      <c r="BC259" s="105"/>
      <c r="BD259" s="98"/>
      <c r="BE259" s="279"/>
      <c r="BF259" s="52"/>
      <c r="BG259" s="105"/>
      <c r="BH259" s="98"/>
      <c r="BI259" s="279"/>
      <c r="BJ259" s="52"/>
      <c r="BK259" s="105"/>
      <c r="BL259" s="98"/>
      <c r="BM259" s="279"/>
      <c r="BN259" s="52"/>
      <c r="BO259" s="105"/>
      <c r="BP259" s="98"/>
      <c r="BQ259" s="279"/>
      <c r="BR259" s="52"/>
      <c r="BS259" s="105"/>
      <c r="BT259" s="98"/>
      <c r="BU259" s="279"/>
      <c r="BV259" s="52"/>
      <c r="BW259" s="105"/>
      <c r="BX259" s="98"/>
      <c r="BY259" s="279"/>
      <c r="BZ259" s="52"/>
      <c r="CA259" s="105"/>
      <c r="CB259" s="98"/>
      <c r="CC259" s="279"/>
      <c r="CD259" s="52"/>
      <c r="CE259" s="105"/>
      <c r="CF259" s="98"/>
      <c r="CG259" s="279"/>
      <c r="CH259" s="52"/>
      <c r="CI259" s="105"/>
      <c r="CJ259" s="98"/>
      <c r="CK259" s="281"/>
      <c r="CL259" s="277"/>
      <c r="CM259" s="159"/>
      <c r="CN259" s="277"/>
      <c r="CO259" s="50">
        <f t="shared" si="98"/>
        <v>0</v>
      </c>
      <c r="CP259" s="103">
        <f t="shared" si="99"/>
        <v>0</v>
      </c>
      <c r="CQ259" s="280">
        <f t="shared" si="100"/>
        <v>0</v>
      </c>
      <c r="CR259" s="63">
        <f t="shared" si="101"/>
        <v>0</v>
      </c>
      <c r="CS259" s="279"/>
      <c r="CT259" s="52"/>
      <c r="CU259" s="105"/>
      <c r="CV259" s="98"/>
      <c r="CW259" s="279"/>
      <c r="CX259" s="52"/>
      <c r="CY259" s="105"/>
      <c r="CZ259" s="98"/>
      <c r="DA259" s="279"/>
      <c r="DB259" s="52"/>
      <c r="DC259" s="105"/>
      <c r="DD259" s="98"/>
      <c r="DE259" s="279"/>
      <c r="DF259" s="52"/>
      <c r="DG259" s="105"/>
      <c r="DH259" s="98"/>
      <c r="DI259" s="279"/>
      <c r="DJ259" s="52"/>
      <c r="DK259" s="105"/>
      <c r="DL259" s="98"/>
      <c r="DM259" s="279"/>
      <c r="DN259" s="52"/>
      <c r="DO259" s="105"/>
      <c r="DP259" s="98"/>
      <c r="DQ259" s="279"/>
      <c r="DR259" s="52"/>
      <c r="DS259" s="105"/>
      <c r="DT259" s="98"/>
      <c r="DU259" s="279"/>
      <c r="DV259" s="52"/>
      <c r="DW259" s="105"/>
      <c r="DX259" s="98"/>
      <c r="DY259" s="279"/>
      <c r="DZ259" s="52"/>
      <c r="EA259" s="105"/>
      <c r="EB259" s="98"/>
      <c r="EC259" s="279"/>
      <c r="ED259" s="52"/>
      <c r="EE259" s="105"/>
      <c r="EF259" s="98"/>
      <c r="EG259" s="159"/>
      <c r="EH259" s="277"/>
      <c r="EI259" s="50">
        <f t="shared" si="102"/>
        <v>0</v>
      </c>
      <c r="EJ259" s="103">
        <f t="shared" si="103"/>
        <v>0</v>
      </c>
      <c r="EK259" s="164">
        <f t="shared" si="104"/>
        <v>0</v>
      </c>
      <c r="EL259" s="280">
        <f t="shared" si="105"/>
        <v>0</v>
      </c>
      <c r="EM259" s="63">
        <f t="shared" si="106"/>
        <v>0</v>
      </c>
      <c r="EN259" s="359">
        <f t="shared" si="107"/>
        <v>0</v>
      </c>
      <c r="EO259" s="51">
        <f t="shared" si="108"/>
        <v>0</v>
      </c>
      <c r="EP259" s="361">
        <f t="shared" si="109"/>
        <v>0</v>
      </c>
      <c r="EQ259" s="281"/>
      <c r="ER259" s="277"/>
      <c r="ES259" s="281"/>
      <c r="ET259" s="277"/>
      <c r="EU259" s="281"/>
      <c r="EV259" s="277"/>
      <c r="EW259" s="281"/>
      <c r="EX259" s="277"/>
      <c r="EY259" s="281"/>
      <c r="EZ259" s="277"/>
      <c r="FA259" s="281"/>
      <c r="FB259" s="277"/>
      <c r="FC259" s="281"/>
      <c r="FD259" s="277"/>
      <c r="FE259" s="281"/>
      <c r="FF259" s="277"/>
      <c r="FG259" s="281"/>
      <c r="FH259" s="277"/>
      <c r="FI259" s="281"/>
      <c r="FJ259" s="277"/>
      <c r="FK259" s="50">
        <f t="shared" si="110"/>
        <v>0</v>
      </c>
      <c r="FL259" s="63">
        <f t="shared" si="111"/>
        <v>0</v>
      </c>
      <c r="FM259" s="50">
        <f t="shared" si="93"/>
        <v>28</v>
      </c>
      <c r="FN259" s="360">
        <f t="shared" si="94"/>
        <v>42</v>
      </c>
      <c r="FO259" s="335"/>
      <c r="FP259" s="279"/>
      <c r="FQ259" s="52"/>
      <c r="FR259" s="296"/>
      <c r="FS259" s="98"/>
      <c r="FT259" s="467"/>
      <c r="FU259" s="52"/>
      <c r="FV259" s="296"/>
      <c r="FW259" s="98"/>
      <c r="FX259" s="467"/>
      <c r="FY259" s="52"/>
      <c r="FZ259" s="296"/>
      <c r="GA259" s="98"/>
      <c r="GB259" s="467"/>
      <c r="GC259" s="52"/>
      <c r="GD259" s="296"/>
      <c r="GE259" s="98"/>
      <c r="GF259" s="467"/>
      <c r="GG259" s="52"/>
      <c r="GH259" s="296"/>
      <c r="GI259" s="98"/>
      <c r="GJ259" s="467"/>
      <c r="GK259" s="52"/>
      <c r="GL259" s="296"/>
      <c r="GM259" s="464"/>
      <c r="GN259" s="467"/>
      <c r="GO259" s="52"/>
      <c r="GP259" s="296"/>
      <c r="GQ259" s="464"/>
      <c r="GR259" s="467"/>
      <c r="GS259" s="52"/>
      <c r="GT259" s="296"/>
      <c r="GU259" s="464"/>
      <c r="GV259" s="467"/>
      <c r="GW259" s="52"/>
      <c r="GX259" s="296"/>
      <c r="GY259" s="464"/>
      <c r="GZ259" s="467"/>
      <c r="HA259" s="52"/>
      <c r="HB259" s="296"/>
      <c r="HC259" s="335"/>
    </row>
    <row r="260" spans="1:211" s="396" customFormat="1">
      <c r="A260" s="491" t="s">
        <v>759</v>
      </c>
      <c r="B260" s="326" t="s">
        <v>914</v>
      </c>
      <c r="C260" s="325">
        <v>159823</v>
      </c>
      <c r="D260" s="349">
        <v>14</v>
      </c>
      <c r="E260" s="460">
        <v>33</v>
      </c>
      <c r="F260" s="492">
        <v>84</v>
      </c>
      <c r="G260" s="158"/>
      <c r="H260" s="277"/>
      <c r="I260" s="158">
        <v>11</v>
      </c>
      <c r="J260" s="588">
        <v>13</v>
      </c>
      <c r="K260" s="160">
        <f t="shared" si="95"/>
        <v>0</v>
      </c>
      <c r="L260" s="161">
        <f t="shared" si="88"/>
        <v>0</v>
      </c>
      <c r="M260" s="54"/>
      <c r="N260" s="55"/>
      <c r="O260" s="55"/>
      <c r="P260" s="55"/>
      <c r="Q260" s="162">
        <f t="shared" si="96"/>
        <v>0</v>
      </c>
      <c r="R260" s="494"/>
      <c r="S260" s="277"/>
      <c r="T260" s="277"/>
      <c r="U260" s="277"/>
      <c r="V260" s="97">
        <f t="shared" si="97"/>
        <v>0</v>
      </c>
      <c r="W260" s="279"/>
      <c r="X260" s="52"/>
      <c r="Y260" s="99"/>
      <c r="Z260" s="53"/>
      <c r="AA260" s="228"/>
      <c r="AB260" s="52"/>
      <c r="AC260" s="99"/>
      <c r="AD260" s="53"/>
      <c r="AE260" s="228"/>
      <c r="AF260" s="52"/>
      <c r="AG260" s="99"/>
      <c r="AH260" s="53"/>
      <c r="AI260" s="228"/>
      <c r="AJ260" s="52"/>
      <c r="AK260" s="99"/>
      <c r="AL260" s="53"/>
      <c r="AM260" s="228"/>
      <c r="AN260" s="52"/>
      <c r="AO260" s="99"/>
      <c r="AP260" s="53"/>
      <c r="AQ260" s="50">
        <f t="shared" si="89"/>
        <v>0</v>
      </c>
      <c r="AR260" s="163">
        <f t="shared" si="90"/>
        <v>0</v>
      </c>
      <c r="AS260" s="97">
        <f t="shared" si="91"/>
        <v>0</v>
      </c>
      <c r="AT260" s="278">
        <f t="shared" si="92"/>
        <v>0</v>
      </c>
      <c r="AU260" s="55"/>
      <c r="AV260" s="277"/>
      <c r="AW260" s="279"/>
      <c r="AX260" s="52"/>
      <c r="AY260" s="105"/>
      <c r="AZ260" s="98"/>
      <c r="BA260" s="279"/>
      <c r="BB260" s="52"/>
      <c r="BC260" s="105"/>
      <c r="BD260" s="98"/>
      <c r="BE260" s="279"/>
      <c r="BF260" s="52"/>
      <c r="BG260" s="105"/>
      <c r="BH260" s="98"/>
      <c r="BI260" s="279"/>
      <c r="BJ260" s="52"/>
      <c r="BK260" s="105"/>
      <c r="BL260" s="98"/>
      <c r="BM260" s="279"/>
      <c r="BN260" s="52"/>
      <c r="BO260" s="105"/>
      <c r="BP260" s="98"/>
      <c r="BQ260" s="279"/>
      <c r="BR260" s="52"/>
      <c r="BS260" s="105"/>
      <c r="BT260" s="98"/>
      <c r="BU260" s="279"/>
      <c r="BV260" s="52"/>
      <c r="BW260" s="105"/>
      <c r="BX260" s="98"/>
      <c r="BY260" s="279"/>
      <c r="BZ260" s="52"/>
      <c r="CA260" s="105"/>
      <c r="CB260" s="98"/>
      <c r="CC260" s="279"/>
      <c r="CD260" s="52"/>
      <c r="CE260" s="105"/>
      <c r="CF260" s="98"/>
      <c r="CG260" s="279"/>
      <c r="CH260" s="52"/>
      <c r="CI260" s="105"/>
      <c r="CJ260" s="98"/>
      <c r="CK260" s="281"/>
      <c r="CL260" s="277"/>
      <c r="CM260" s="159"/>
      <c r="CN260" s="277"/>
      <c r="CO260" s="50">
        <f t="shared" si="98"/>
        <v>0</v>
      </c>
      <c r="CP260" s="103">
        <f t="shared" si="99"/>
        <v>0</v>
      </c>
      <c r="CQ260" s="280">
        <f t="shared" si="100"/>
        <v>0</v>
      </c>
      <c r="CR260" s="63">
        <f t="shared" si="101"/>
        <v>0</v>
      </c>
      <c r="CS260" s="279"/>
      <c r="CT260" s="52"/>
      <c r="CU260" s="105"/>
      <c r="CV260" s="98"/>
      <c r="CW260" s="279"/>
      <c r="CX260" s="52"/>
      <c r="CY260" s="105"/>
      <c r="CZ260" s="98"/>
      <c r="DA260" s="279"/>
      <c r="DB260" s="52"/>
      <c r="DC260" s="105"/>
      <c r="DD260" s="98"/>
      <c r="DE260" s="279"/>
      <c r="DF260" s="52"/>
      <c r="DG260" s="105"/>
      <c r="DH260" s="98"/>
      <c r="DI260" s="279"/>
      <c r="DJ260" s="52"/>
      <c r="DK260" s="105"/>
      <c r="DL260" s="98"/>
      <c r="DM260" s="279"/>
      <c r="DN260" s="52"/>
      <c r="DO260" s="105"/>
      <c r="DP260" s="98"/>
      <c r="DQ260" s="279"/>
      <c r="DR260" s="52"/>
      <c r="DS260" s="105"/>
      <c r="DT260" s="98"/>
      <c r="DU260" s="279"/>
      <c r="DV260" s="52"/>
      <c r="DW260" s="105"/>
      <c r="DX260" s="98"/>
      <c r="DY260" s="279"/>
      <c r="DZ260" s="52"/>
      <c r="EA260" s="105"/>
      <c r="EB260" s="98"/>
      <c r="EC260" s="279"/>
      <c r="ED260" s="52"/>
      <c r="EE260" s="105"/>
      <c r="EF260" s="98"/>
      <c r="EG260" s="159"/>
      <c r="EH260" s="277"/>
      <c r="EI260" s="50">
        <f t="shared" si="102"/>
        <v>0</v>
      </c>
      <c r="EJ260" s="103">
        <f t="shared" si="103"/>
        <v>0</v>
      </c>
      <c r="EK260" s="164">
        <f t="shared" si="104"/>
        <v>0</v>
      </c>
      <c r="EL260" s="280">
        <f t="shared" si="105"/>
        <v>0</v>
      </c>
      <c r="EM260" s="63">
        <f t="shared" si="106"/>
        <v>0</v>
      </c>
      <c r="EN260" s="359">
        <f t="shared" si="107"/>
        <v>0</v>
      </c>
      <c r="EO260" s="51">
        <f t="shared" si="108"/>
        <v>0</v>
      </c>
      <c r="EP260" s="361">
        <f t="shared" si="109"/>
        <v>0</v>
      </c>
      <c r="EQ260" s="281"/>
      <c r="ER260" s="277"/>
      <c r="ES260" s="281"/>
      <c r="ET260" s="277"/>
      <c r="EU260" s="281"/>
      <c r="EV260" s="277"/>
      <c r="EW260" s="281"/>
      <c r="EX260" s="277"/>
      <c r="EY260" s="281"/>
      <c r="EZ260" s="277"/>
      <c r="FA260" s="281"/>
      <c r="FB260" s="277"/>
      <c r="FC260" s="281"/>
      <c r="FD260" s="277"/>
      <c r="FE260" s="281"/>
      <c r="FF260" s="277"/>
      <c r="FG260" s="281"/>
      <c r="FH260" s="277"/>
      <c r="FI260" s="281"/>
      <c r="FJ260" s="277"/>
      <c r="FK260" s="50">
        <f t="shared" si="110"/>
        <v>0</v>
      </c>
      <c r="FL260" s="63">
        <f t="shared" si="111"/>
        <v>0</v>
      </c>
      <c r="FM260" s="50">
        <f t="shared" si="93"/>
        <v>44</v>
      </c>
      <c r="FN260" s="360">
        <f t="shared" si="94"/>
        <v>97</v>
      </c>
      <c r="FO260" s="335"/>
      <c r="FP260" s="279"/>
      <c r="FQ260" s="52"/>
      <c r="FR260" s="296"/>
      <c r="FS260" s="98"/>
      <c r="FT260" s="467"/>
      <c r="FU260" s="52"/>
      <c r="FV260" s="296"/>
      <c r="FW260" s="98"/>
      <c r="FX260" s="467"/>
      <c r="FY260" s="52"/>
      <c r="FZ260" s="296"/>
      <c r="GA260" s="98"/>
      <c r="GB260" s="467"/>
      <c r="GC260" s="52"/>
      <c r="GD260" s="296"/>
      <c r="GE260" s="98"/>
      <c r="GF260" s="467"/>
      <c r="GG260" s="52"/>
      <c r="GH260" s="296"/>
      <c r="GI260" s="98"/>
      <c r="GJ260" s="467"/>
      <c r="GK260" s="52"/>
      <c r="GL260" s="296"/>
      <c r="GM260" s="464"/>
      <c r="GN260" s="467"/>
      <c r="GO260" s="52"/>
      <c r="GP260" s="296"/>
      <c r="GQ260" s="464"/>
      <c r="GR260" s="467"/>
      <c r="GS260" s="52"/>
      <c r="GT260" s="296"/>
      <c r="GU260" s="464"/>
      <c r="GV260" s="467"/>
      <c r="GW260" s="52"/>
      <c r="GX260" s="296"/>
      <c r="GY260" s="464"/>
      <c r="GZ260" s="467"/>
      <c r="HA260" s="52"/>
      <c r="HB260" s="296"/>
      <c r="HC260" s="335"/>
    </row>
    <row r="261" spans="1:211" s="396" customFormat="1">
      <c r="A261" s="491" t="s">
        <v>759</v>
      </c>
      <c r="B261" s="326" t="s">
        <v>915</v>
      </c>
      <c r="C261" s="325">
        <v>159984</v>
      </c>
      <c r="D261" s="349">
        <v>14</v>
      </c>
      <c r="E261" s="460">
        <v>34</v>
      </c>
      <c r="F261" s="492">
        <v>17</v>
      </c>
      <c r="G261" s="158"/>
      <c r="H261" s="277"/>
      <c r="I261" s="158"/>
      <c r="J261" s="588"/>
      <c r="K261" s="160">
        <f t="shared" si="95"/>
        <v>0</v>
      </c>
      <c r="L261" s="161">
        <f t="shared" si="88"/>
        <v>0</v>
      </c>
      <c r="M261" s="54"/>
      <c r="N261" s="55"/>
      <c r="O261" s="55"/>
      <c r="P261" s="55"/>
      <c r="Q261" s="162">
        <f t="shared" si="96"/>
        <v>0</v>
      </c>
      <c r="R261" s="494"/>
      <c r="S261" s="277"/>
      <c r="T261" s="277"/>
      <c r="U261" s="277"/>
      <c r="V261" s="97">
        <f t="shared" si="97"/>
        <v>0</v>
      </c>
      <c r="W261" s="279"/>
      <c r="X261" s="52"/>
      <c r="Y261" s="99"/>
      <c r="Z261" s="53"/>
      <c r="AA261" s="228"/>
      <c r="AB261" s="52"/>
      <c r="AC261" s="99"/>
      <c r="AD261" s="53"/>
      <c r="AE261" s="228"/>
      <c r="AF261" s="52"/>
      <c r="AG261" s="99"/>
      <c r="AH261" s="53"/>
      <c r="AI261" s="228"/>
      <c r="AJ261" s="52"/>
      <c r="AK261" s="99"/>
      <c r="AL261" s="53"/>
      <c r="AM261" s="228"/>
      <c r="AN261" s="52"/>
      <c r="AO261" s="99"/>
      <c r="AP261" s="53"/>
      <c r="AQ261" s="50">
        <f t="shared" si="89"/>
        <v>0</v>
      </c>
      <c r="AR261" s="163">
        <f t="shared" si="90"/>
        <v>0</v>
      </c>
      <c r="AS261" s="97">
        <f t="shared" si="91"/>
        <v>0</v>
      </c>
      <c r="AT261" s="278">
        <f t="shared" si="92"/>
        <v>0</v>
      </c>
      <c r="AU261" s="55"/>
      <c r="AV261" s="277"/>
      <c r="AW261" s="279"/>
      <c r="AX261" s="52"/>
      <c r="AY261" s="105"/>
      <c r="AZ261" s="98"/>
      <c r="BA261" s="279"/>
      <c r="BB261" s="52"/>
      <c r="BC261" s="105"/>
      <c r="BD261" s="98"/>
      <c r="BE261" s="279"/>
      <c r="BF261" s="52"/>
      <c r="BG261" s="105"/>
      <c r="BH261" s="98"/>
      <c r="BI261" s="279"/>
      <c r="BJ261" s="52"/>
      <c r="BK261" s="105"/>
      <c r="BL261" s="98"/>
      <c r="BM261" s="279"/>
      <c r="BN261" s="52"/>
      <c r="BO261" s="105"/>
      <c r="BP261" s="98"/>
      <c r="BQ261" s="279"/>
      <c r="BR261" s="52"/>
      <c r="BS261" s="105"/>
      <c r="BT261" s="98"/>
      <c r="BU261" s="279"/>
      <c r="BV261" s="52"/>
      <c r="BW261" s="105"/>
      <c r="BX261" s="98"/>
      <c r="BY261" s="279"/>
      <c r="BZ261" s="52"/>
      <c r="CA261" s="105"/>
      <c r="CB261" s="98"/>
      <c r="CC261" s="279"/>
      <c r="CD261" s="52"/>
      <c r="CE261" s="105"/>
      <c r="CF261" s="98"/>
      <c r="CG261" s="279"/>
      <c r="CH261" s="52"/>
      <c r="CI261" s="105"/>
      <c r="CJ261" s="98"/>
      <c r="CK261" s="281"/>
      <c r="CL261" s="277"/>
      <c r="CM261" s="159"/>
      <c r="CN261" s="277"/>
      <c r="CO261" s="50">
        <f t="shared" si="98"/>
        <v>0</v>
      </c>
      <c r="CP261" s="103">
        <f t="shared" si="99"/>
        <v>0</v>
      </c>
      <c r="CQ261" s="280">
        <f t="shared" si="100"/>
        <v>0</v>
      </c>
      <c r="CR261" s="63">
        <f t="shared" si="101"/>
        <v>0</v>
      </c>
      <c r="CS261" s="279"/>
      <c r="CT261" s="52"/>
      <c r="CU261" s="105"/>
      <c r="CV261" s="98"/>
      <c r="CW261" s="279"/>
      <c r="CX261" s="52"/>
      <c r="CY261" s="105"/>
      <c r="CZ261" s="98"/>
      <c r="DA261" s="279"/>
      <c r="DB261" s="52"/>
      <c r="DC261" s="105"/>
      <c r="DD261" s="98"/>
      <c r="DE261" s="279"/>
      <c r="DF261" s="52"/>
      <c r="DG261" s="105"/>
      <c r="DH261" s="98"/>
      <c r="DI261" s="279"/>
      <c r="DJ261" s="52"/>
      <c r="DK261" s="105"/>
      <c r="DL261" s="98"/>
      <c r="DM261" s="279"/>
      <c r="DN261" s="52"/>
      <c r="DO261" s="105"/>
      <c r="DP261" s="98"/>
      <c r="DQ261" s="279"/>
      <c r="DR261" s="52"/>
      <c r="DS261" s="105"/>
      <c r="DT261" s="98"/>
      <c r="DU261" s="279"/>
      <c r="DV261" s="52"/>
      <c r="DW261" s="105"/>
      <c r="DX261" s="98"/>
      <c r="DY261" s="279"/>
      <c r="DZ261" s="52"/>
      <c r="EA261" s="105"/>
      <c r="EB261" s="98"/>
      <c r="EC261" s="279"/>
      <c r="ED261" s="52"/>
      <c r="EE261" s="105"/>
      <c r="EF261" s="98"/>
      <c r="EG261" s="159"/>
      <c r="EH261" s="277"/>
      <c r="EI261" s="50">
        <f t="shared" si="102"/>
        <v>0</v>
      </c>
      <c r="EJ261" s="103">
        <f t="shared" si="103"/>
        <v>0</v>
      </c>
      <c r="EK261" s="164">
        <f t="shared" si="104"/>
        <v>0</v>
      </c>
      <c r="EL261" s="280">
        <f t="shared" si="105"/>
        <v>0</v>
      </c>
      <c r="EM261" s="63">
        <f t="shared" si="106"/>
        <v>0</v>
      </c>
      <c r="EN261" s="359">
        <f t="shared" si="107"/>
        <v>0</v>
      </c>
      <c r="EO261" s="51">
        <f t="shared" si="108"/>
        <v>0</v>
      </c>
      <c r="EP261" s="361">
        <f t="shared" si="109"/>
        <v>0</v>
      </c>
      <c r="EQ261" s="281"/>
      <c r="ER261" s="277"/>
      <c r="ES261" s="281"/>
      <c r="ET261" s="277"/>
      <c r="EU261" s="281"/>
      <c r="EV261" s="277"/>
      <c r="EW261" s="281"/>
      <c r="EX261" s="277"/>
      <c r="EY261" s="281"/>
      <c r="EZ261" s="277"/>
      <c r="FA261" s="281"/>
      <c r="FB261" s="277"/>
      <c r="FC261" s="281"/>
      <c r="FD261" s="277"/>
      <c r="FE261" s="281"/>
      <c r="FF261" s="277"/>
      <c r="FG261" s="281"/>
      <c r="FH261" s="277"/>
      <c r="FI261" s="281"/>
      <c r="FJ261" s="277"/>
      <c r="FK261" s="50">
        <f t="shared" si="110"/>
        <v>0</v>
      </c>
      <c r="FL261" s="63">
        <f t="shared" si="111"/>
        <v>0</v>
      </c>
      <c r="FM261" s="50">
        <f t="shared" si="93"/>
        <v>34</v>
      </c>
      <c r="FN261" s="360">
        <f t="shared" si="94"/>
        <v>17</v>
      </c>
      <c r="FO261" s="335"/>
      <c r="FP261" s="279"/>
      <c r="FQ261" s="52"/>
      <c r="FR261" s="296"/>
      <c r="FS261" s="98"/>
      <c r="FT261" s="467"/>
      <c r="FU261" s="52"/>
      <c r="FV261" s="296"/>
      <c r="FW261" s="98"/>
      <c r="FX261" s="467"/>
      <c r="FY261" s="52"/>
      <c r="FZ261" s="296"/>
      <c r="GA261" s="98"/>
      <c r="GB261" s="467"/>
      <c r="GC261" s="52"/>
      <c r="GD261" s="296"/>
      <c r="GE261" s="98"/>
      <c r="GF261" s="467"/>
      <c r="GG261" s="52"/>
      <c r="GH261" s="296"/>
      <c r="GI261" s="98"/>
      <c r="GJ261" s="467"/>
      <c r="GK261" s="52"/>
      <c r="GL261" s="296"/>
      <c r="GM261" s="464"/>
      <c r="GN261" s="467"/>
      <c r="GO261" s="52"/>
      <c r="GP261" s="296"/>
      <c r="GQ261" s="464"/>
      <c r="GR261" s="467"/>
      <c r="GS261" s="52"/>
      <c r="GT261" s="296"/>
      <c r="GU261" s="464"/>
      <c r="GV261" s="467"/>
      <c r="GW261" s="52"/>
      <c r="GX261" s="296"/>
      <c r="GY261" s="464"/>
      <c r="GZ261" s="467"/>
      <c r="HA261" s="52"/>
      <c r="HB261" s="296"/>
      <c r="HC261" s="335"/>
    </row>
    <row r="262" spans="1:211" s="396" customFormat="1">
      <c r="A262" s="491" t="s">
        <v>759</v>
      </c>
      <c r="B262" s="326" t="s">
        <v>916</v>
      </c>
      <c r="C262" s="325">
        <v>160001</v>
      </c>
      <c r="D262" s="349">
        <v>14</v>
      </c>
      <c r="E262" s="460">
        <v>37</v>
      </c>
      <c r="F262" s="492">
        <v>49</v>
      </c>
      <c r="G262" s="158"/>
      <c r="H262" s="277"/>
      <c r="I262" s="158"/>
      <c r="J262" s="588">
        <v>3</v>
      </c>
      <c r="K262" s="160">
        <f t="shared" si="95"/>
        <v>0</v>
      </c>
      <c r="L262" s="161">
        <f t="shared" si="88"/>
        <v>0</v>
      </c>
      <c r="M262" s="54"/>
      <c r="N262" s="55"/>
      <c r="O262" s="55"/>
      <c r="P262" s="55"/>
      <c r="Q262" s="162">
        <f t="shared" si="96"/>
        <v>0</v>
      </c>
      <c r="R262" s="494"/>
      <c r="S262" s="277"/>
      <c r="T262" s="277"/>
      <c r="U262" s="277"/>
      <c r="V262" s="97">
        <f t="shared" si="97"/>
        <v>0</v>
      </c>
      <c r="W262" s="279"/>
      <c r="X262" s="52"/>
      <c r="Y262" s="99"/>
      <c r="Z262" s="53"/>
      <c r="AA262" s="228"/>
      <c r="AB262" s="52"/>
      <c r="AC262" s="99"/>
      <c r="AD262" s="53"/>
      <c r="AE262" s="228"/>
      <c r="AF262" s="52"/>
      <c r="AG262" s="99"/>
      <c r="AH262" s="53"/>
      <c r="AI262" s="228"/>
      <c r="AJ262" s="52"/>
      <c r="AK262" s="99"/>
      <c r="AL262" s="53"/>
      <c r="AM262" s="228"/>
      <c r="AN262" s="52"/>
      <c r="AO262" s="99"/>
      <c r="AP262" s="53"/>
      <c r="AQ262" s="50">
        <f t="shared" si="89"/>
        <v>0</v>
      </c>
      <c r="AR262" s="163">
        <f t="shared" si="90"/>
        <v>0</v>
      </c>
      <c r="AS262" s="97">
        <f t="shared" si="91"/>
        <v>0</v>
      </c>
      <c r="AT262" s="278">
        <f t="shared" si="92"/>
        <v>0</v>
      </c>
      <c r="AU262" s="55"/>
      <c r="AV262" s="277"/>
      <c r="AW262" s="279"/>
      <c r="AX262" s="52"/>
      <c r="AY262" s="105"/>
      <c r="AZ262" s="98"/>
      <c r="BA262" s="279"/>
      <c r="BB262" s="52"/>
      <c r="BC262" s="105"/>
      <c r="BD262" s="98"/>
      <c r="BE262" s="279"/>
      <c r="BF262" s="52"/>
      <c r="BG262" s="105"/>
      <c r="BH262" s="98"/>
      <c r="BI262" s="279"/>
      <c r="BJ262" s="52"/>
      <c r="BK262" s="105"/>
      <c r="BL262" s="98"/>
      <c r="BM262" s="279"/>
      <c r="BN262" s="52"/>
      <c r="BO262" s="105"/>
      <c r="BP262" s="98"/>
      <c r="BQ262" s="279"/>
      <c r="BR262" s="52"/>
      <c r="BS262" s="105"/>
      <c r="BT262" s="98"/>
      <c r="BU262" s="279"/>
      <c r="BV262" s="52"/>
      <c r="BW262" s="105"/>
      <c r="BX262" s="98"/>
      <c r="BY262" s="279"/>
      <c r="BZ262" s="52"/>
      <c r="CA262" s="105"/>
      <c r="CB262" s="98"/>
      <c r="CC262" s="279"/>
      <c r="CD262" s="52"/>
      <c r="CE262" s="105"/>
      <c r="CF262" s="98"/>
      <c r="CG262" s="279"/>
      <c r="CH262" s="52"/>
      <c r="CI262" s="105"/>
      <c r="CJ262" s="98"/>
      <c r="CK262" s="281"/>
      <c r="CL262" s="277"/>
      <c r="CM262" s="159"/>
      <c r="CN262" s="277"/>
      <c r="CO262" s="50">
        <f t="shared" si="98"/>
        <v>0</v>
      </c>
      <c r="CP262" s="103">
        <f t="shared" si="99"/>
        <v>0</v>
      </c>
      <c r="CQ262" s="280">
        <f t="shared" si="100"/>
        <v>0</v>
      </c>
      <c r="CR262" s="63">
        <f t="shared" si="101"/>
        <v>0</v>
      </c>
      <c r="CS262" s="279"/>
      <c r="CT262" s="52"/>
      <c r="CU262" s="105"/>
      <c r="CV262" s="98"/>
      <c r="CW262" s="279"/>
      <c r="CX262" s="52"/>
      <c r="CY262" s="105"/>
      <c r="CZ262" s="98"/>
      <c r="DA262" s="279"/>
      <c r="DB262" s="52"/>
      <c r="DC262" s="105"/>
      <c r="DD262" s="98"/>
      <c r="DE262" s="279"/>
      <c r="DF262" s="52"/>
      <c r="DG262" s="105"/>
      <c r="DH262" s="98"/>
      <c r="DI262" s="279"/>
      <c r="DJ262" s="52"/>
      <c r="DK262" s="105"/>
      <c r="DL262" s="98"/>
      <c r="DM262" s="279"/>
      <c r="DN262" s="52"/>
      <c r="DO262" s="105"/>
      <c r="DP262" s="98"/>
      <c r="DQ262" s="279"/>
      <c r="DR262" s="52"/>
      <c r="DS262" s="105"/>
      <c r="DT262" s="98"/>
      <c r="DU262" s="279"/>
      <c r="DV262" s="52"/>
      <c r="DW262" s="105"/>
      <c r="DX262" s="98"/>
      <c r="DY262" s="279"/>
      <c r="DZ262" s="52"/>
      <c r="EA262" s="105"/>
      <c r="EB262" s="98"/>
      <c r="EC262" s="279"/>
      <c r="ED262" s="52"/>
      <c r="EE262" s="105"/>
      <c r="EF262" s="98"/>
      <c r="EG262" s="159"/>
      <c r="EH262" s="277"/>
      <c r="EI262" s="50">
        <f t="shared" si="102"/>
        <v>0</v>
      </c>
      <c r="EJ262" s="103">
        <f t="shared" si="103"/>
        <v>0</v>
      </c>
      <c r="EK262" s="164">
        <f t="shared" si="104"/>
        <v>0</v>
      </c>
      <c r="EL262" s="280">
        <f t="shared" si="105"/>
        <v>0</v>
      </c>
      <c r="EM262" s="63">
        <f t="shared" si="106"/>
        <v>0</v>
      </c>
      <c r="EN262" s="359">
        <f t="shared" si="107"/>
        <v>0</v>
      </c>
      <c r="EO262" s="51">
        <f t="shared" si="108"/>
        <v>0</v>
      </c>
      <c r="EP262" s="361">
        <f t="shared" si="109"/>
        <v>0</v>
      </c>
      <c r="EQ262" s="281"/>
      <c r="ER262" s="277"/>
      <c r="ES262" s="281"/>
      <c r="ET262" s="277"/>
      <c r="EU262" s="281"/>
      <c r="EV262" s="277"/>
      <c r="EW262" s="281"/>
      <c r="EX262" s="277"/>
      <c r="EY262" s="281"/>
      <c r="EZ262" s="277"/>
      <c r="FA262" s="281"/>
      <c r="FB262" s="277"/>
      <c r="FC262" s="281"/>
      <c r="FD262" s="277"/>
      <c r="FE262" s="281"/>
      <c r="FF262" s="277"/>
      <c r="FG262" s="281"/>
      <c r="FH262" s="277"/>
      <c r="FI262" s="281"/>
      <c r="FJ262" s="277"/>
      <c r="FK262" s="50">
        <f t="shared" si="110"/>
        <v>0</v>
      </c>
      <c r="FL262" s="63">
        <f t="shared" si="111"/>
        <v>0</v>
      </c>
      <c r="FM262" s="50">
        <f t="shared" si="93"/>
        <v>37</v>
      </c>
      <c r="FN262" s="360">
        <f t="shared" si="94"/>
        <v>52</v>
      </c>
      <c r="FO262" s="335"/>
      <c r="FP262" s="279"/>
      <c r="FQ262" s="52"/>
      <c r="FR262" s="296"/>
      <c r="FS262" s="98"/>
      <c r="FT262" s="467"/>
      <c r="FU262" s="52"/>
      <c r="FV262" s="296"/>
      <c r="FW262" s="98"/>
      <c r="FX262" s="467"/>
      <c r="FY262" s="52"/>
      <c r="FZ262" s="296"/>
      <c r="GA262" s="98"/>
      <c r="GB262" s="467"/>
      <c r="GC262" s="52"/>
      <c r="GD262" s="296"/>
      <c r="GE262" s="98"/>
      <c r="GF262" s="467"/>
      <c r="GG262" s="52"/>
      <c r="GH262" s="296"/>
      <c r="GI262" s="98"/>
      <c r="GJ262" s="467"/>
      <c r="GK262" s="52"/>
      <c r="GL262" s="296"/>
      <c r="GM262" s="464"/>
      <c r="GN262" s="467"/>
      <c r="GO262" s="52"/>
      <c r="GP262" s="296"/>
      <c r="GQ262" s="464"/>
      <c r="GR262" s="467"/>
      <c r="GS262" s="52"/>
      <c r="GT262" s="296"/>
      <c r="GU262" s="464"/>
      <c r="GV262" s="467"/>
      <c r="GW262" s="52"/>
      <c r="GX262" s="296"/>
      <c r="GY262" s="464"/>
      <c r="GZ262" s="467"/>
      <c r="HA262" s="52"/>
      <c r="HB262" s="296"/>
      <c r="HC262" s="335"/>
    </row>
    <row r="263" spans="1:211" s="396" customFormat="1">
      <c r="A263" s="491" t="s">
        <v>759</v>
      </c>
      <c r="B263" s="326" t="s">
        <v>917</v>
      </c>
      <c r="C263" s="325">
        <v>160010</v>
      </c>
      <c r="D263" s="349">
        <v>14</v>
      </c>
      <c r="E263" s="460">
        <v>163</v>
      </c>
      <c r="F263" s="492">
        <v>327</v>
      </c>
      <c r="G263" s="158"/>
      <c r="H263" s="277"/>
      <c r="I263" s="158">
        <v>9</v>
      </c>
      <c r="J263" s="588">
        <v>14</v>
      </c>
      <c r="K263" s="160">
        <f t="shared" si="95"/>
        <v>0</v>
      </c>
      <c r="L263" s="161">
        <f t="shared" si="88"/>
        <v>0</v>
      </c>
      <c r="M263" s="54"/>
      <c r="N263" s="55"/>
      <c r="O263" s="55"/>
      <c r="P263" s="55"/>
      <c r="Q263" s="162">
        <f t="shared" si="96"/>
        <v>0</v>
      </c>
      <c r="R263" s="494"/>
      <c r="S263" s="277"/>
      <c r="T263" s="277"/>
      <c r="U263" s="277"/>
      <c r="V263" s="97">
        <f t="shared" si="97"/>
        <v>0</v>
      </c>
      <c r="W263" s="279"/>
      <c r="X263" s="52"/>
      <c r="Y263" s="99"/>
      <c r="Z263" s="53"/>
      <c r="AA263" s="228"/>
      <c r="AB263" s="52"/>
      <c r="AC263" s="99"/>
      <c r="AD263" s="53"/>
      <c r="AE263" s="228"/>
      <c r="AF263" s="52"/>
      <c r="AG263" s="99"/>
      <c r="AH263" s="53"/>
      <c r="AI263" s="228"/>
      <c r="AJ263" s="52"/>
      <c r="AK263" s="99"/>
      <c r="AL263" s="53"/>
      <c r="AM263" s="228"/>
      <c r="AN263" s="52"/>
      <c r="AO263" s="99"/>
      <c r="AP263" s="53"/>
      <c r="AQ263" s="50">
        <f t="shared" si="89"/>
        <v>0</v>
      </c>
      <c r="AR263" s="163">
        <f t="shared" si="90"/>
        <v>0</v>
      </c>
      <c r="AS263" s="97">
        <f t="shared" si="91"/>
        <v>0</v>
      </c>
      <c r="AT263" s="278">
        <f t="shared" si="92"/>
        <v>0</v>
      </c>
      <c r="AU263" s="55"/>
      <c r="AV263" s="277"/>
      <c r="AW263" s="279"/>
      <c r="AX263" s="52"/>
      <c r="AY263" s="105"/>
      <c r="AZ263" s="98"/>
      <c r="BA263" s="279"/>
      <c r="BB263" s="52"/>
      <c r="BC263" s="105"/>
      <c r="BD263" s="98"/>
      <c r="BE263" s="279"/>
      <c r="BF263" s="52"/>
      <c r="BG263" s="105"/>
      <c r="BH263" s="98"/>
      <c r="BI263" s="279"/>
      <c r="BJ263" s="52"/>
      <c r="BK263" s="105"/>
      <c r="BL263" s="98"/>
      <c r="BM263" s="279"/>
      <c r="BN263" s="52"/>
      <c r="BO263" s="105"/>
      <c r="BP263" s="98"/>
      <c r="BQ263" s="279"/>
      <c r="BR263" s="52"/>
      <c r="BS263" s="105"/>
      <c r="BT263" s="98"/>
      <c r="BU263" s="279"/>
      <c r="BV263" s="52"/>
      <c r="BW263" s="105"/>
      <c r="BX263" s="98"/>
      <c r="BY263" s="279"/>
      <c r="BZ263" s="52"/>
      <c r="CA263" s="105"/>
      <c r="CB263" s="98"/>
      <c r="CC263" s="279"/>
      <c r="CD263" s="52"/>
      <c r="CE263" s="105"/>
      <c r="CF263" s="98"/>
      <c r="CG263" s="279"/>
      <c r="CH263" s="52"/>
      <c r="CI263" s="105"/>
      <c r="CJ263" s="98"/>
      <c r="CK263" s="281"/>
      <c r="CL263" s="277"/>
      <c r="CM263" s="159"/>
      <c r="CN263" s="277"/>
      <c r="CO263" s="50">
        <f t="shared" si="98"/>
        <v>0</v>
      </c>
      <c r="CP263" s="103">
        <f t="shared" si="99"/>
        <v>0</v>
      </c>
      <c r="CQ263" s="280">
        <f t="shared" si="100"/>
        <v>0</v>
      </c>
      <c r="CR263" s="63">
        <f t="shared" si="101"/>
        <v>0</v>
      </c>
      <c r="CS263" s="279"/>
      <c r="CT263" s="52"/>
      <c r="CU263" s="105"/>
      <c r="CV263" s="98"/>
      <c r="CW263" s="279"/>
      <c r="CX263" s="52"/>
      <c r="CY263" s="105"/>
      <c r="CZ263" s="98"/>
      <c r="DA263" s="279"/>
      <c r="DB263" s="52"/>
      <c r="DC263" s="105"/>
      <c r="DD263" s="98"/>
      <c r="DE263" s="279"/>
      <c r="DF263" s="52"/>
      <c r="DG263" s="105"/>
      <c r="DH263" s="98"/>
      <c r="DI263" s="279"/>
      <c r="DJ263" s="52"/>
      <c r="DK263" s="105"/>
      <c r="DL263" s="98"/>
      <c r="DM263" s="279"/>
      <c r="DN263" s="52"/>
      <c r="DO263" s="105"/>
      <c r="DP263" s="98"/>
      <c r="DQ263" s="279"/>
      <c r="DR263" s="52"/>
      <c r="DS263" s="105"/>
      <c r="DT263" s="98"/>
      <c r="DU263" s="279"/>
      <c r="DV263" s="52"/>
      <c r="DW263" s="105"/>
      <c r="DX263" s="98"/>
      <c r="DY263" s="279"/>
      <c r="DZ263" s="52"/>
      <c r="EA263" s="105"/>
      <c r="EB263" s="98"/>
      <c r="EC263" s="279"/>
      <c r="ED263" s="52"/>
      <c r="EE263" s="105"/>
      <c r="EF263" s="98"/>
      <c r="EG263" s="159"/>
      <c r="EH263" s="277"/>
      <c r="EI263" s="50">
        <f t="shared" si="102"/>
        <v>0</v>
      </c>
      <c r="EJ263" s="103">
        <f t="shared" si="103"/>
        <v>0</v>
      </c>
      <c r="EK263" s="164">
        <f t="shared" si="104"/>
        <v>0</v>
      </c>
      <c r="EL263" s="280">
        <f t="shared" si="105"/>
        <v>0</v>
      </c>
      <c r="EM263" s="63">
        <f t="shared" si="106"/>
        <v>0</v>
      </c>
      <c r="EN263" s="359">
        <f t="shared" si="107"/>
        <v>0</v>
      </c>
      <c r="EO263" s="51">
        <f t="shared" si="108"/>
        <v>0</v>
      </c>
      <c r="EP263" s="361">
        <f t="shared" si="109"/>
        <v>0</v>
      </c>
      <c r="EQ263" s="281"/>
      <c r="ER263" s="277"/>
      <c r="ES263" s="281"/>
      <c r="ET263" s="277"/>
      <c r="EU263" s="281"/>
      <c r="EV263" s="277"/>
      <c r="EW263" s="281"/>
      <c r="EX263" s="277"/>
      <c r="EY263" s="281"/>
      <c r="EZ263" s="277"/>
      <c r="FA263" s="281"/>
      <c r="FB263" s="277"/>
      <c r="FC263" s="281"/>
      <c r="FD263" s="277"/>
      <c r="FE263" s="281"/>
      <c r="FF263" s="277"/>
      <c r="FG263" s="281"/>
      <c r="FH263" s="277"/>
      <c r="FI263" s="281"/>
      <c r="FJ263" s="277"/>
      <c r="FK263" s="50">
        <f t="shared" si="110"/>
        <v>0</v>
      </c>
      <c r="FL263" s="63">
        <f t="shared" si="111"/>
        <v>0</v>
      </c>
      <c r="FM263" s="50">
        <f t="shared" si="93"/>
        <v>172</v>
      </c>
      <c r="FN263" s="360">
        <f t="shared" si="94"/>
        <v>341</v>
      </c>
      <c r="FO263" s="335"/>
      <c r="FP263" s="279"/>
      <c r="FQ263" s="52"/>
      <c r="FR263" s="296"/>
      <c r="FS263" s="98"/>
      <c r="FT263" s="467"/>
      <c r="FU263" s="52"/>
      <c r="FV263" s="296"/>
      <c r="FW263" s="98"/>
      <c r="FX263" s="467"/>
      <c r="FY263" s="52"/>
      <c r="FZ263" s="296"/>
      <c r="GA263" s="98"/>
      <c r="GB263" s="467"/>
      <c r="GC263" s="52"/>
      <c r="GD263" s="296"/>
      <c r="GE263" s="98"/>
      <c r="GF263" s="467"/>
      <c r="GG263" s="52"/>
      <c r="GH263" s="296"/>
      <c r="GI263" s="98"/>
      <c r="GJ263" s="467"/>
      <c r="GK263" s="52"/>
      <c r="GL263" s="296"/>
      <c r="GM263" s="464"/>
      <c r="GN263" s="467"/>
      <c r="GO263" s="52"/>
      <c r="GP263" s="296"/>
      <c r="GQ263" s="464"/>
      <c r="GR263" s="467"/>
      <c r="GS263" s="52"/>
      <c r="GT263" s="296"/>
      <c r="GU263" s="464"/>
      <c r="GV263" s="467"/>
      <c r="GW263" s="52"/>
      <c r="GX263" s="296"/>
      <c r="GY263" s="464"/>
      <c r="GZ263" s="467"/>
      <c r="HA263" s="52"/>
      <c r="HB263" s="296"/>
      <c r="HC263" s="335"/>
    </row>
    <row r="264" spans="1:211" s="396" customFormat="1">
      <c r="A264" s="491" t="s">
        <v>759</v>
      </c>
      <c r="B264" s="326" t="s">
        <v>918</v>
      </c>
      <c r="C264" s="325">
        <v>160047</v>
      </c>
      <c r="D264" s="349">
        <v>14</v>
      </c>
      <c r="E264" s="460">
        <v>52</v>
      </c>
      <c r="F264" s="492">
        <v>110</v>
      </c>
      <c r="G264" s="158"/>
      <c r="H264" s="277"/>
      <c r="I264" s="158">
        <v>11</v>
      </c>
      <c r="J264" s="588">
        <v>10</v>
      </c>
      <c r="K264" s="160">
        <f t="shared" si="95"/>
        <v>0</v>
      </c>
      <c r="L264" s="161">
        <f t="shared" si="88"/>
        <v>0</v>
      </c>
      <c r="M264" s="54"/>
      <c r="N264" s="55"/>
      <c r="O264" s="55"/>
      <c r="P264" s="55"/>
      <c r="Q264" s="162">
        <f t="shared" si="96"/>
        <v>0</v>
      </c>
      <c r="R264" s="494"/>
      <c r="S264" s="277"/>
      <c r="T264" s="277"/>
      <c r="U264" s="277"/>
      <c r="V264" s="97">
        <f t="shared" si="97"/>
        <v>0</v>
      </c>
      <c r="W264" s="279"/>
      <c r="X264" s="52"/>
      <c r="Y264" s="99"/>
      <c r="Z264" s="53"/>
      <c r="AA264" s="228"/>
      <c r="AB264" s="52"/>
      <c r="AC264" s="99"/>
      <c r="AD264" s="53"/>
      <c r="AE264" s="228"/>
      <c r="AF264" s="52"/>
      <c r="AG264" s="99"/>
      <c r="AH264" s="53"/>
      <c r="AI264" s="228"/>
      <c r="AJ264" s="52"/>
      <c r="AK264" s="99"/>
      <c r="AL264" s="53"/>
      <c r="AM264" s="228"/>
      <c r="AN264" s="52"/>
      <c r="AO264" s="99"/>
      <c r="AP264" s="53"/>
      <c r="AQ264" s="50">
        <f t="shared" si="89"/>
        <v>0</v>
      </c>
      <c r="AR264" s="163">
        <f t="shared" si="90"/>
        <v>0</v>
      </c>
      <c r="AS264" s="97">
        <f t="shared" si="91"/>
        <v>0</v>
      </c>
      <c r="AT264" s="278">
        <f t="shared" si="92"/>
        <v>0</v>
      </c>
      <c r="AU264" s="55"/>
      <c r="AV264" s="277"/>
      <c r="AW264" s="279"/>
      <c r="AX264" s="52"/>
      <c r="AY264" s="105"/>
      <c r="AZ264" s="98"/>
      <c r="BA264" s="279"/>
      <c r="BB264" s="52"/>
      <c r="BC264" s="105"/>
      <c r="BD264" s="98"/>
      <c r="BE264" s="279"/>
      <c r="BF264" s="52"/>
      <c r="BG264" s="105"/>
      <c r="BH264" s="98"/>
      <c r="BI264" s="279"/>
      <c r="BJ264" s="52"/>
      <c r="BK264" s="105"/>
      <c r="BL264" s="98"/>
      <c r="BM264" s="279"/>
      <c r="BN264" s="52"/>
      <c r="BO264" s="105"/>
      <c r="BP264" s="98"/>
      <c r="BQ264" s="279"/>
      <c r="BR264" s="52"/>
      <c r="BS264" s="105"/>
      <c r="BT264" s="98"/>
      <c r="BU264" s="279"/>
      <c r="BV264" s="52"/>
      <c r="BW264" s="105"/>
      <c r="BX264" s="98"/>
      <c r="BY264" s="279"/>
      <c r="BZ264" s="52"/>
      <c r="CA264" s="105"/>
      <c r="CB264" s="98"/>
      <c r="CC264" s="279"/>
      <c r="CD264" s="52"/>
      <c r="CE264" s="105"/>
      <c r="CF264" s="98"/>
      <c r="CG264" s="279"/>
      <c r="CH264" s="52"/>
      <c r="CI264" s="105"/>
      <c r="CJ264" s="98"/>
      <c r="CK264" s="281"/>
      <c r="CL264" s="277"/>
      <c r="CM264" s="159"/>
      <c r="CN264" s="277"/>
      <c r="CO264" s="50">
        <f t="shared" si="98"/>
        <v>0</v>
      </c>
      <c r="CP264" s="103">
        <f t="shared" si="99"/>
        <v>0</v>
      </c>
      <c r="CQ264" s="280">
        <f t="shared" si="100"/>
        <v>0</v>
      </c>
      <c r="CR264" s="63">
        <f t="shared" si="101"/>
        <v>0</v>
      </c>
      <c r="CS264" s="279"/>
      <c r="CT264" s="52"/>
      <c r="CU264" s="105"/>
      <c r="CV264" s="98"/>
      <c r="CW264" s="279"/>
      <c r="CX264" s="52"/>
      <c r="CY264" s="105"/>
      <c r="CZ264" s="98"/>
      <c r="DA264" s="279"/>
      <c r="DB264" s="52"/>
      <c r="DC264" s="105"/>
      <c r="DD264" s="98"/>
      <c r="DE264" s="279"/>
      <c r="DF264" s="52"/>
      <c r="DG264" s="105"/>
      <c r="DH264" s="98"/>
      <c r="DI264" s="279"/>
      <c r="DJ264" s="52"/>
      <c r="DK264" s="105"/>
      <c r="DL264" s="98"/>
      <c r="DM264" s="279"/>
      <c r="DN264" s="52"/>
      <c r="DO264" s="105"/>
      <c r="DP264" s="98"/>
      <c r="DQ264" s="279"/>
      <c r="DR264" s="52"/>
      <c r="DS264" s="105"/>
      <c r="DT264" s="98"/>
      <c r="DU264" s="279"/>
      <c r="DV264" s="52"/>
      <c r="DW264" s="105"/>
      <c r="DX264" s="98"/>
      <c r="DY264" s="279"/>
      <c r="DZ264" s="52"/>
      <c r="EA264" s="105"/>
      <c r="EB264" s="98"/>
      <c r="EC264" s="279"/>
      <c r="ED264" s="52"/>
      <c r="EE264" s="105"/>
      <c r="EF264" s="98"/>
      <c r="EG264" s="159"/>
      <c r="EH264" s="277"/>
      <c r="EI264" s="50">
        <f t="shared" si="102"/>
        <v>0</v>
      </c>
      <c r="EJ264" s="103">
        <f t="shared" si="103"/>
        <v>0</v>
      </c>
      <c r="EK264" s="164">
        <f t="shared" si="104"/>
        <v>0</v>
      </c>
      <c r="EL264" s="280">
        <f t="shared" si="105"/>
        <v>0</v>
      </c>
      <c r="EM264" s="63">
        <f t="shared" si="106"/>
        <v>0</v>
      </c>
      <c r="EN264" s="359">
        <f t="shared" si="107"/>
        <v>0</v>
      </c>
      <c r="EO264" s="51">
        <f t="shared" si="108"/>
        <v>0</v>
      </c>
      <c r="EP264" s="361">
        <f t="shared" si="109"/>
        <v>0</v>
      </c>
      <c r="EQ264" s="281"/>
      <c r="ER264" s="277"/>
      <c r="ES264" s="281"/>
      <c r="ET264" s="277"/>
      <c r="EU264" s="281"/>
      <c r="EV264" s="277"/>
      <c r="EW264" s="281"/>
      <c r="EX264" s="277"/>
      <c r="EY264" s="281"/>
      <c r="EZ264" s="277"/>
      <c r="FA264" s="281"/>
      <c r="FB264" s="277"/>
      <c r="FC264" s="281"/>
      <c r="FD264" s="277"/>
      <c r="FE264" s="281"/>
      <c r="FF264" s="277"/>
      <c r="FG264" s="281"/>
      <c r="FH264" s="277"/>
      <c r="FI264" s="281"/>
      <c r="FJ264" s="277"/>
      <c r="FK264" s="50">
        <f t="shared" si="110"/>
        <v>0</v>
      </c>
      <c r="FL264" s="63">
        <f t="shared" si="111"/>
        <v>0</v>
      </c>
      <c r="FM264" s="50">
        <f t="shared" si="93"/>
        <v>63</v>
      </c>
      <c r="FN264" s="360">
        <f t="shared" si="94"/>
        <v>120</v>
      </c>
      <c r="FO264" s="335"/>
      <c r="FP264" s="279"/>
      <c r="FQ264" s="52"/>
      <c r="FR264" s="296"/>
      <c r="FS264" s="98"/>
      <c r="FT264" s="467"/>
      <c r="FU264" s="52"/>
      <c r="FV264" s="296"/>
      <c r="FW264" s="98"/>
      <c r="FX264" s="467"/>
      <c r="FY264" s="52"/>
      <c r="FZ264" s="296"/>
      <c r="GA264" s="98"/>
      <c r="GB264" s="467"/>
      <c r="GC264" s="52"/>
      <c r="GD264" s="296"/>
      <c r="GE264" s="98"/>
      <c r="GF264" s="467"/>
      <c r="GG264" s="52"/>
      <c r="GH264" s="296"/>
      <c r="GI264" s="98"/>
      <c r="GJ264" s="467"/>
      <c r="GK264" s="52"/>
      <c r="GL264" s="296"/>
      <c r="GM264" s="464"/>
      <c r="GN264" s="467"/>
      <c r="GO264" s="52"/>
      <c r="GP264" s="296"/>
      <c r="GQ264" s="464"/>
      <c r="GR264" s="467"/>
      <c r="GS264" s="52"/>
      <c r="GT264" s="296"/>
      <c r="GU264" s="464"/>
      <c r="GV264" s="467"/>
      <c r="GW264" s="52"/>
      <c r="GX264" s="296"/>
      <c r="GY264" s="464"/>
      <c r="GZ264" s="467"/>
      <c r="HA264" s="52"/>
      <c r="HB264" s="296"/>
      <c r="HC264" s="335"/>
    </row>
    <row r="265" spans="1:211" s="396" customFormat="1">
      <c r="A265" s="491" t="s">
        <v>759</v>
      </c>
      <c r="B265" s="326" t="s">
        <v>919</v>
      </c>
      <c r="C265" s="325">
        <v>160311</v>
      </c>
      <c r="D265" s="349">
        <v>14</v>
      </c>
      <c r="E265" s="460">
        <v>73</v>
      </c>
      <c r="F265" s="492">
        <v>99</v>
      </c>
      <c r="G265" s="158"/>
      <c r="H265" s="277"/>
      <c r="I265" s="158">
        <v>47</v>
      </c>
      <c r="J265" s="588">
        <v>80</v>
      </c>
      <c r="K265" s="160">
        <f t="shared" si="95"/>
        <v>0</v>
      </c>
      <c r="L265" s="161">
        <f t="shared" si="88"/>
        <v>0</v>
      </c>
      <c r="M265" s="54"/>
      <c r="N265" s="55"/>
      <c r="O265" s="55"/>
      <c r="P265" s="55"/>
      <c r="Q265" s="162">
        <f t="shared" si="96"/>
        <v>0</v>
      </c>
      <c r="R265" s="494"/>
      <c r="S265" s="277"/>
      <c r="T265" s="277"/>
      <c r="U265" s="277"/>
      <c r="V265" s="97">
        <f t="shared" si="97"/>
        <v>0</v>
      </c>
      <c r="W265" s="279"/>
      <c r="X265" s="52"/>
      <c r="Y265" s="99"/>
      <c r="Z265" s="53"/>
      <c r="AA265" s="228"/>
      <c r="AB265" s="52"/>
      <c r="AC265" s="99"/>
      <c r="AD265" s="53"/>
      <c r="AE265" s="228"/>
      <c r="AF265" s="52"/>
      <c r="AG265" s="99"/>
      <c r="AH265" s="53"/>
      <c r="AI265" s="228"/>
      <c r="AJ265" s="52"/>
      <c r="AK265" s="99"/>
      <c r="AL265" s="53"/>
      <c r="AM265" s="228"/>
      <c r="AN265" s="52"/>
      <c r="AO265" s="99"/>
      <c r="AP265" s="53"/>
      <c r="AQ265" s="50">
        <f t="shared" si="89"/>
        <v>0</v>
      </c>
      <c r="AR265" s="163">
        <f t="shared" si="90"/>
        <v>0</v>
      </c>
      <c r="AS265" s="97">
        <f t="shared" si="91"/>
        <v>0</v>
      </c>
      <c r="AT265" s="278">
        <f t="shared" si="92"/>
        <v>0</v>
      </c>
      <c r="AU265" s="55"/>
      <c r="AV265" s="277"/>
      <c r="AW265" s="279"/>
      <c r="AX265" s="52"/>
      <c r="AY265" s="105"/>
      <c r="AZ265" s="98"/>
      <c r="BA265" s="279"/>
      <c r="BB265" s="52"/>
      <c r="BC265" s="105"/>
      <c r="BD265" s="98"/>
      <c r="BE265" s="279"/>
      <c r="BF265" s="52"/>
      <c r="BG265" s="105"/>
      <c r="BH265" s="98"/>
      <c r="BI265" s="279"/>
      <c r="BJ265" s="52"/>
      <c r="BK265" s="105"/>
      <c r="BL265" s="98"/>
      <c r="BM265" s="279"/>
      <c r="BN265" s="52"/>
      <c r="BO265" s="105"/>
      <c r="BP265" s="98"/>
      <c r="BQ265" s="279"/>
      <c r="BR265" s="52"/>
      <c r="BS265" s="105"/>
      <c r="BT265" s="98"/>
      <c r="BU265" s="279"/>
      <c r="BV265" s="52"/>
      <c r="BW265" s="105"/>
      <c r="BX265" s="98"/>
      <c r="BY265" s="279"/>
      <c r="BZ265" s="52"/>
      <c r="CA265" s="105"/>
      <c r="CB265" s="98"/>
      <c r="CC265" s="279"/>
      <c r="CD265" s="52"/>
      <c r="CE265" s="105"/>
      <c r="CF265" s="98"/>
      <c r="CG265" s="279"/>
      <c r="CH265" s="52"/>
      <c r="CI265" s="105"/>
      <c r="CJ265" s="98"/>
      <c r="CK265" s="281"/>
      <c r="CL265" s="277"/>
      <c r="CM265" s="159"/>
      <c r="CN265" s="277"/>
      <c r="CO265" s="50">
        <f t="shared" si="98"/>
        <v>0</v>
      </c>
      <c r="CP265" s="103">
        <f t="shared" si="99"/>
        <v>0</v>
      </c>
      <c r="CQ265" s="280">
        <f t="shared" si="100"/>
        <v>0</v>
      </c>
      <c r="CR265" s="63">
        <f t="shared" si="101"/>
        <v>0</v>
      </c>
      <c r="CS265" s="279"/>
      <c r="CT265" s="52"/>
      <c r="CU265" s="105"/>
      <c r="CV265" s="98"/>
      <c r="CW265" s="279"/>
      <c r="CX265" s="52"/>
      <c r="CY265" s="105"/>
      <c r="CZ265" s="98"/>
      <c r="DA265" s="279"/>
      <c r="DB265" s="52"/>
      <c r="DC265" s="105"/>
      <c r="DD265" s="98"/>
      <c r="DE265" s="279"/>
      <c r="DF265" s="52"/>
      <c r="DG265" s="105"/>
      <c r="DH265" s="98"/>
      <c r="DI265" s="279"/>
      <c r="DJ265" s="52"/>
      <c r="DK265" s="105"/>
      <c r="DL265" s="98"/>
      <c r="DM265" s="279"/>
      <c r="DN265" s="52"/>
      <c r="DO265" s="105"/>
      <c r="DP265" s="98"/>
      <c r="DQ265" s="279"/>
      <c r="DR265" s="52"/>
      <c r="DS265" s="105"/>
      <c r="DT265" s="98"/>
      <c r="DU265" s="279"/>
      <c r="DV265" s="52"/>
      <c r="DW265" s="105"/>
      <c r="DX265" s="98"/>
      <c r="DY265" s="279"/>
      <c r="DZ265" s="52"/>
      <c r="EA265" s="105"/>
      <c r="EB265" s="98"/>
      <c r="EC265" s="279"/>
      <c r="ED265" s="52"/>
      <c r="EE265" s="105"/>
      <c r="EF265" s="98"/>
      <c r="EG265" s="159"/>
      <c r="EH265" s="277"/>
      <c r="EI265" s="50">
        <f t="shared" si="102"/>
        <v>0</v>
      </c>
      <c r="EJ265" s="103">
        <f t="shared" si="103"/>
        <v>0</v>
      </c>
      <c r="EK265" s="164">
        <f t="shared" si="104"/>
        <v>0</v>
      </c>
      <c r="EL265" s="280">
        <f t="shared" si="105"/>
        <v>0</v>
      </c>
      <c r="EM265" s="63">
        <f t="shared" si="106"/>
        <v>0</v>
      </c>
      <c r="EN265" s="359">
        <f t="shared" si="107"/>
        <v>0</v>
      </c>
      <c r="EO265" s="51">
        <f t="shared" si="108"/>
        <v>0</v>
      </c>
      <c r="EP265" s="361">
        <f t="shared" si="109"/>
        <v>0</v>
      </c>
      <c r="EQ265" s="281"/>
      <c r="ER265" s="277"/>
      <c r="ES265" s="281"/>
      <c r="ET265" s="277"/>
      <c r="EU265" s="281"/>
      <c r="EV265" s="277"/>
      <c r="EW265" s="281"/>
      <c r="EX265" s="277"/>
      <c r="EY265" s="281"/>
      <c r="EZ265" s="277"/>
      <c r="FA265" s="281"/>
      <c r="FB265" s="277"/>
      <c r="FC265" s="281"/>
      <c r="FD265" s="277"/>
      <c r="FE265" s="281"/>
      <c r="FF265" s="277"/>
      <c r="FG265" s="281"/>
      <c r="FH265" s="277"/>
      <c r="FI265" s="281"/>
      <c r="FJ265" s="277"/>
      <c r="FK265" s="50">
        <f t="shared" si="110"/>
        <v>0</v>
      </c>
      <c r="FL265" s="63">
        <f t="shared" si="111"/>
        <v>0</v>
      </c>
      <c r="FM265" s="50">
        <f t="shared" si="93"/>
        <v>120</v>
      </c>
      <c r="FN265" s="360">
        <f t="shared" si="94"/>
        <v>179</v>
      </c>
      <c r="FO265" s="335"/>
      <c r="FP265" s="279"/>
      <c r="FQ265" s="52"/>
      <c r="FR265" s="296"/>
      <c r="FS265" s="98"/>
      <c r="FT265" s="467"/>
      <c r="FU265" s="52"/>
      <c r="FV265" s="296"/>
      <c r="FW265" s="98"/>
      <c r="FX265" s="467"/>
      <c r="FY265" s="52"/>
      <c r="FZ265" s="296"/>
      <c r="GA265" s="98"/>
      <c r="GB265" s="467"/>
      <c r="GC265" s="52"/>
      <c r="GD265" s="296"/>
      <c r="GE265" s="98"/>
      <c r="GF265" s="467"/>
      <c r="GG265" s="52"/>
      <c r="GH265" s="296"/>
      <c r="GI265" s="98"/>
      <c r="GJ265" s="467"/>
      <c r="GK265" s="52"/>
      <c r="GL265" s="296"/>
      <c r="GM265" s="464"/>
      <c r="GN265" s="467"/>
      <c r="GO265" s="52"/>
      <c r="GP265" s="296"/>
      <c r="GQ265" s="464"/>
      <c r="GR265" s="467"/>
      <c r="GS265" s="52"/>
      <c r="GT265" s="296"/>
      <c r="GU265" s="464"/>
      <c r="GV265" s="467"/>
      <c r="GW265" s="52"/>
      <c r="GX265" s="296"/>
      <c r="GY265" s="464"/>
      <c r="GZ265" s="467"/>
      <c r="HA265" s="52"/>
      <c r="HB265" s="296"/>
      <c r="HC265" s="335"/>
    </row>
    <row r="266" spans="1:211" s="396" customFormat="1">
      <c r="A266" s="491" t="s">
        <v>759</v>
      </c>
      <c r="B266" s="326" t="s">
        <v>920</v>
      </c>
      <c r="C266" s="325">
        <v>160366</v>
      </c>
      <c r="D266" s="349">
        <v>14</v>
      </c>
      <c r="E266" s="460">
        <v>37</v>
      </c>
      <c r="F266" s="492">
        <v>46</v>
      </c>
      <c r="G266" s="158"/>
      <c r="H266" s="277"/>
      <c r="I266" s="158"/>
      <c r="J266" s="588">
        <v>1</v>
      </c>
      <c r="K266" s="160">
        <f t="shared" si="95"/>
        <v>0</v>
      </c>
      <c r="L266" s="161">
        <f t="shared" ref="L266:L329" si="112">IF(R266&gt;0,J266/R266, )</f>
        <v>0</v>
      </c>
      <c r="M266" s="54"/>
      <c r="N266" s="55"/>
      <c r="O266" s="55"/>
      <c r="P266" s="55"/>
      <c r="Q266" s="162">
        <f t="shared" si="96"/>
        <v>0</v>
      </c>
      <c r="R266" s="494"/>
      <c r="S266" s="277"/>
      <c r="T266" s="277"/>
      <c r="U266" s="277"/>
      <c r="V266" s="97">
        <f t="shared" si="97"/>
        <v>0</v>
      </c>
      <c r="W266" s="279"/>
      <c r="X266" s="52"/>
      <c r="Y266" s="99"/>
      <c r="Z266" s="53"/>
      <c r="AA266" s="228"/>
      <c r="AB266" s="52"/>
      <c r="AC266" s="99"/>
      <c r="AD266" s="53"/>
      <c r="AE266" s="228"/>
      <c r="AF266" s="52"/>
      <c r="AG266" s="99"/>
      <c r="AH266" s="53"/>
      <c r="AI266" s="228"/>
      <c r="AJ266" s="52"/>
      <c r="AK266" s="99"/>
      <c r="AL266" s="53"/>
      <c r="AM266" s="228"/>
      <c r="AN266" s="52"/>
      <c r="AO266" s="99"/>
      <c r="AP266" s="53"/>
      <c r="AQ266" s="50">
        <f t="shared" ref="AQ266:AQ329" si="113">COUNTA(W266,AA266,AE266,AI266,AM266)</f>
        <v>0</v>
      </c>
      <c r="AR266" s="163">
        <f t="shared" ref="AR266:AR329" si="114">IF(FM266&gt;0,M266/FM266,)</f>
        <v>0</v>
      </c>
      <c r="AS266" s="97">
        <f t="shared" ref="AS266:AS329" si="115">COUNTA(Y266,AC266,AG266,AK266,AO266)</f>
        <v>0</v>
      </c>
      <c r="AT266" s="278">
        <f t="shared" ref="AT266:AT329" si="116">IF(FN266&gt;0,R266/FN266,)</f>
        <v>0</v>
      </c>
      <c r="AU266" s="55"/>
      <c r="AV266" s="277"/>
      <c r="AW266" s="279"/>
      <c r="AX266" s="52"/>
      <c r="AY266" s="105"/>
      <c r="AZ266" s="98"/>
      <c r="BA266" s="279"/>
      <c r="BB266" s="52"/>
      <c r="BC266" s="105"/>
      <c r="BD266" s="98"/>
      <c r="BE266" s="279"/>
      <c r="BF266" s="52"/>
      <c r="BG266" s="105"/>
      <c r="BH266" s="98"/>
      <c r="BI266" s="279"/>
      <c r="BJ266" s="52"/>
      <c r="BK266" s="105"/>
      <c r="BL266" s="98"/>
      <c r="BM266" s="279"/>
      <c r="BN266" s="52"/>
      <c r="BO266" s="105"/>
      <c r="BP266" s="98"/>
      <c r="BQ266" s="279"/>
      <c r="BR266" s="52"/>
      <c r="BS266" s="105"/>
      <c r="BT266" s="98"/>
      <c r="BU266" s="279"/>
      <c r="BV266" s="52"/>
      <c r="BW266" s="105"/>
      <c r="BX266" s="98"/>
      <c r="BY266" s="279"/>
      <c r="BZ266" s="52"/>
      <c r="CA266" s="105"/>
      <c r="CB266" s="98"/>
      <c r="CC266" s="279"/>
      <c r="CD266" s="52"/>
      <c r="CE266" s="105"/>
      <c r="CF266" s="98"/>
      <c r="CG266" s="279"/>
      <c r="CH266" s="52"/>
      <c r="CI266" s="105"/>
      <c r="CJ266" s="98"/>
      <c r="CK266" s="281"/>
      <c r="CL266" s="277"/>
      <c r="CM266" s="159"/>
      <c r="CN266" s="277"/>
      <c r="CO266" s="50">
        <f t="shared" si="98"/>
        <v>0</v>
      </c>
      <c r="CP266" s="103">
        <f t="shared" si="99"/>
        <v>0</v>
      </c>
      <c r="CQ266" s="280">
        <f t="shared" si="100"/>
        <v>0</v>
      </c>
      <c r="CR266" s="63">
        <f t="shared" si="101"/>
        <v>0</v>
      </c>
      <c r="CS266" s="279"/>
      <c r="CT266" s="52"/>
      <c r="CU266" s="105"/>
      <c r="CV266" s="98"/>
      <c r="CW266" s="279"/>
      <c r="CX266" s="52"/>
      <c r="CY266" s="105"/>
      <c r="CZ266" s="98"/>
      <c r="DA266" s="279"/>
      <c r="DB266" s="52"/>
      <c r="DC266" s="105"/>
      <c r="DD266" s="98"/>
      <c r="DE266" s="279"/>
      <c r="DF266" s="52"/>
      <c r="DG266" s="105"/>
      <c r="DH266" s="98"/>
      <c r="DI266" s="279"/>
      <c r="DJ266" s="52"/>
      <c r="DK266" s="105"/>
      <c r="DL266" s="98"/>
      <c r="DM266" s="279"/>
      <c r="DN266" s="52"/>
      <c r="DO266" s="105"/>
      <c r="DP266" s="98"/>
      <c r="DQ266" s="279"/>
      <c r="DR266" s="52"/>
      <c r="DS266" s="105"/>
      <c r="DT266" s="98"/>
      <c r="DU266" s="279"/>
      <c r="DV266" s="52"/>
      <c r="DW266" s="105"/>
      <c r="DX266" s="98"/>
      <c r="DY266" s="279"/>
      <c r="DZ266" s="52"/>
      <c r="EA266" s="105"/>
      <c r="EB266" s="98"/>
      <c r="EC266" s="279"/>
      <c r="ED266" s="52"/>
      <c r="EE266" s="105"/>
      <c r="EF266" s="98"/>
      <c r="EG266" s="159"/>
      <c r="EH266" s="277"/>
      <c r="EI266" s="50">
        <f t="shared" si="102"/>
        <v>0</v>
      </c>
      <c r="EJ266" s="103">
        <f t="shared" si="103"/>
        <v>0</v>
      </c>
      <c r="EK266" s="164">
        <f t="shared" si="104"/>
        <v>0</v>
      </c>
      <c r="EL266" s="280">
        <f t="shared" si="105"/>
        <v>0</v>
      </c>
      <c r="EM266" s="63">
        <f t="shared" si="106"/>
        <v>0</v>
      </c>
      <c r="EN266" s="359">
        <f t="shared" si="107"/>
        <v>0</v>
      </c>
      <c r="EO266" s="51">
        <f t="shared" si="108"/>
        <v>0</v>
      </c>
      <c r="EP266" s="361">
        <f t="shared" si="109"/>
        <v>0</v>
      </c>
      <c r="EQ266" s="281"/>
      <c r="ER266" s="277"/>
      <c r="ES266" s="281"/>
      <c r="ET266" s="277"/>
      <c r="EU266" s="281"/>
      <c r="EV266" s="277"/>
      <c r="EW266" s="281"/>
      <c r="EX266" s="277"/>
      <c r="EY266" s="281"/>
      <c r="EZ266" s="277"/>
      <c r="FA266" s="281"/>
      <c r="FB266" s="277"/>
      <c r="FC266" s="281"/>
      <c r="FD266" s="277"/>
      <c r="FE266" s="281"/>
      <c r="FF266" s="277"/>
      <c r="FG266" s="281"/>
      <c r="FH266" s="277"/>
      <c r="FI266" s="281"/>
      <c r="FJ266" s="277"/>
      <c r="FK266" s="50">
        <f t="shared" si="110"/>
        <v>0</v>
      </c>
      <c r="FL266" s="63">
        <f t="shared" si="111"/>
        <v>0</v>
      </c>
      <c r="FM266" s="50">
        <f t="shared" ref="FM266:FM329" si="117">E266+G266+I266+M266+AU266+EO266+FK266</f>
        <v>37</v>
      </c>
      <c r="FN266" s="360">
        <f t="shared" ref="FN266:FN329" si="118">F266+H266+J266+R266+AV266+EP266+FL266</f>
        <v>47</v>
      </c>
      <c r="FO266" s="335"/>
      <c r="FP266" s="279"/>
      <c r="FQ266" s="52"/>
      <c r="FR266" s="296"/>
      <c r="FS266" s="98"/>
      <c r="FT266" s="467"/>
      <c r="FU266" s="52"/>
      <c r="FV266" s="296"/>
      <c r="FW266" s="98"/>
      <c r="FX266" s="467"/>
      <c r="FY266" s="52"/>
      <c r="FZ266" s="296"/>
      <c r="GA266" s="98"/>
      <c r="GB266" s="467"/>
      <c r="GC266" s="52"/>
      <c r="GD266" s="296"/>
      <c r="GE266" s="98"/>
      <c r="GF266" s="467"/>
      <c r="GG266" s="52"/>
      <c r="GH266" s="296"/>
      <c r="GI266" s="98"/>
      <c r="GJ266" s="467"/>
      <c r="GK266" s="52"/>
      <c r="GL266" s="296"/>
      <c r="GM266" s="464"/>
      <c r="GN266" s="467"/>
      <c r="GO266" s="52"/>
      <c r="GP266" s="296"/>
      <c r="GQ266" s="464"/>
      <c r="GR266" s="467"/>
      <c r="GS266" s="52"/>
      <c r="GT266" s="296"/>
      <c r="GU266" s="464"/>
      <c r="GV266" s="467"/>
      <c r="GW266" s="52"/>
      <c r="GX266" s="296"/>
      <c r="GY266" s="464"/>
      <c r="GZ266" s="467"/>
      <c r="HA266" s="52"/>
      <c r="HB266" s="296"/>
      <c r="HC266" s="335"/>
    </row>
    <row r="267" spans="1:211" s="396" customFormat="1">
      <c r="A267" s="491" t="s">
        <v>759</v>
      </c>
      <c r="B267" s="326" t="s">
        <v>921</v>
      </c>
      <c r="C267" s="325">
        <v>160384</v>
      </c>
      <c r="D267" s="349">
        <v>14</v>
      </c>
      <c r="E267" s="460">
        <v>22</v>
      </c>
      <c r="F267" s="492">
        <v>39</v>
      </c>
      <c r="G267" s="158"/>
      <c r="H267" s="277"/>
      <c r="I267" s="158"/>
      <c r="J267" s="588"/>
      <c r="K267" s="160">
        <f t="shared" ref="K267:K330" si="119">IF(M267&gt;0,I267/M267, )</f>
        <v>0</v>
      </c>
      <c r="L267" s="161">
        <f t="shared" si="112"/>
        <v>0</v>
      </c>
      <c r="M267" s="54"/>
      <c r="N267" s="55"/>
      <c r="O267" s="55"/>
      <c r="P267" s="55"/>
      <c r="Q267" s="162">
        <f t="shared" ref="Q267:Q330" si="120">SUM(N267:P267)</f>
        <v>0</v>
      </c>
      <c r="R267" s="494"/>
      <c r="S267" s="277"/>
      <c r="T267" s="277"/>
      <c r="U267" s="277"/>
      <c r="V267" s="97">
        <f t="shared" ref="V267:V330" si="121">SUM(S267:U267)</f>
        <v>0</v>
      </c>
      <c r="W267" s="279"/>
      <c r="X267" s="52"/>
      <c r="Y267" s="99"/>
      <c r="Z267" s="53"/>
      <c r="AA267" s="228"/>
      <c r="AB267" s="52"/>
      <c r="AC267" s="99"/>
      <c r="AD267" s="53"/>
      <c r="AE267" s="228"/>
      <c r="AF267" s="52"/>
      <c r="AG267" s="99"/>
      <c r="AH267" s="53"/>
      <c r="AI267" s="228"/>
      <c r="AJ267" s="52"/>
      <c r="AK267" s="99"/>
      <c r="AL267" s="53"/>
      <c r="AM267" s="228"/>
      <c r="AN267" s="52"/>
      <c r="AO267" s="99"/>
      <c r="AP267" s="53"/>
      <c r="AQ267" s="50">
        <f t="shared" si="113"/>
        <v>0</v>
      </c>
      <c r="AR267" s="163">
        <f t="shared" si="114"/>
        <v>0</v>
      </c>
      <c r="AS267" s="97">
        <f t="shared" si="115"/>
        <v>0</v>
      </c>
      <c r="AT267" s="278">
        <f t="shared" si="116"/>
        <v>0</v>
      </c>
      <c r="AU267" s="55"/>
      <c r="AV267" s="277"/>
      <c r="AW267" s="279"/>
      <c r="AX267" s="52"/>
      <c r="AY267" s="105"/>
      <c r="AZ267" s="98"/>
      <c r="BA267" s="279"/>
      <c r="BB267" s="52"/>
      <c r="BC267" s="105"/>
      <c r="BD267" s="98"/>
      <c r="BE267" s="279"/>
      <c r="BF267" s="52"/>
      <c r="BG267" s="105"/>
      <c r="BH267" s="98"/>
      <c r="BI267" s="279"/>
      <c r="BJ267" s="52"/>
      <c r="BK267" s="105"/>
      <c r="BL267" s="98"/>
      <c r="BM267" s="279"/>
      <c r="BN267" s="52"/>
      <c r="BO267" s="105"/>
      <c r="BP267" s="98"/>
      <c r="BQ267" s="279"/>
      <c r="BR267" s="52"/>
      <c r="BS267" s="105"/>
      <c r="BT267" s="98"/>
      <c r="BU267" s="279"/>
      <c r="BV267" s="52"/>
      <c r="BW267" s="105"/>
      <c r="BX267" s="98"/>
      <c r="BY267" s="279"/>
      <c r="BZ267" s="52"/>
      <c r="CA267" s="105"/>
      <c r="CB267" s="98"/>
      <c r="CC267" s="279"/>
      <c r="CD267" s="52"/>
      <c r="CE267" s="105"/>
      <c r="CF267" s="98"/>
      <c r="CG267" s="279"/>
      <c r="CH267" s="52"/>
      <c r="CI267" s="105"/>
      <c r="CJ267" s="98"/>
      <c r="CK267" s="281"/>
      <c r="CL267" s="277"/>
      <c r="CM267" s="159"/>
      <c r="CN267" s="277"/>
      <c r="CO267" s="50">
        <f t="shared" ref="CO267:CO330" si="122">AX267+BB267+BF267+BJ267+BN267+BR267+BV267+BZ267+CD267+CH267+CK267+CM267</f>
        <v>0</v>
      </c>
      <c r="CP267" s="103">
        <f t="shared" ref="CP267:CP330" si="123">COUNTA(AW267,BA267,BE267,BI267,BM267,BQ267,BU267,BY267,CC267,CG267)</f>
        <v>0</v>
      </c>
      <c r="CQ267" s="280">
        <f t="shared" ref="CQ267:CQ330" si="124">AZ267+BD267+BH267+BL267+BP267+BT267+BX267+CF267+CB267+CJ267+CL267+CN267</f>
        <v>0</v>
      </c>
      <c r="CR267" s="63">
        <f t="shared" ref="CR267:CR330" si="125">COUNTA(AY267,BC267,BG267,BK267,BO267,BS267,BW267,CE267,CA267,CI267)</f>
        <v>0</v>
      </c>
      <c r="CS267" s="279"/>
      <c r="CT267" s="52"/>
      <c r="CU267" s="105"/>
      <c r="CV267" s="98"/>
      <c r="CW267" s="279"/>
      <c r="CX267" s="52"/>
      <c r="CY267" s="105"/>
      <c r="CZ267" s="98"/>
      <c r="DA267" s="279"/>
      <c r="DB267" s="52"/>
      <c r="DC267" s="105"/>
      <c r="DD267" s="98"/>
      <c r="DE267" s="279"/>
      <c r="DF267" s="52"/>
      <c r="DG267" s="105"/>
      <c r="DH267" s="98"/>
      <c r="DI267" s="279"/>
      <c r="DJ267" s="52"/>
      <c r="DK267" s="105"/>
      <c r="DL267" s="98"/>
      <c r="DM267" s="279"/>
      <c r="DN267" s="52"/>
      <c r="DO267" s="105"/>
      <c r="DP267" s="98"/>
      <c r="DQ267" s="279"/>
      <c r="DR267" s="52"/>
      <c r="DS267" s="105"/>
      <c r="DT267" s="98"/>
      <c r="DU267" s="279"/>
      <c r="DV267" s="52"/>
      <c r="DW267" s="105"/>
      <c r="DX267" s="98"/>
      <c r="DY267" s="279"/>
      <c r="DZ267" s="52"/>
      <c r="EA267" s="105"/>
      <c r="EB267" s="98"/>
      <c r="EC267" s="279"/>
      <c r="ED267" s="52"/>
      <c r="EE267" s="105"/>
      <c r="EF267" s="98"/>
      <c r="EG267" s="159"/>
      <c r="EH267" s="277"/>
      <c r="EI267" s="50">
        <f t="shared" ref="EI267:EI330" si="126">CT267+CX267+DB267+DF267+DJ267+DN267+DR267+DV267+DZ267+ED267+EG267</f>
        <v>0</v>
      </c>
      <c r="EJ267" s="103">
        <f t="shared" ref="EJ267:EJ330" si="127">COUNTA(CS267,CW267,DA267,DE267,DI267,DM267,DQ267,DU267,DY267,EC267)</f>
        <v>0</v>
      </c>
      <c r="EK267" s="164">
        <f t="shared" ref="EK267:EK330" si="128">IF(EI267&gt;0,CT267/EI267,)</f>
        <v>0</v>
      </c>
      <c r="EL267" s="280">
        <f t="shared" ref="EL267:EL330" si="129">CV267+CZ267+DD267+DH267+DL267+DP267+DT267+DX267+EB267+EF267+EH267</f>
        <v>0</v>
      </c>
      <c r="EM267" s="63">
        <f t="shared" ref="EM267:EM330" si="130">COUNTA(CU267,CY267,DC267,DG267,DK267,DO267,DS267,DW267,EA267,EE267)</f>
        <v>0</v>
      </c>
      <c r="EN267" s="359">
        <f t="shared" ref="EN267:EN330" si="131">IF(EL267&gt;0,CV267/EL267,)</f>
        <v>0</v>
      </c>
      <c r="EO267" s="51">
        <f t="shared" ref="EO267:EO330" si="132">CO267+EI267</f>
        <v>0</v>
      </c>
      <c r="EP267" s="361">
        <f t="shared" ref="EP267:EP330" si="133">CQ267+EL267</f>
        <v>0</v>
      </c>
      <c r="EQ267" s="281"/>
      <c r="ER267" s="277"/>
      <c r="ES267" s="281"/>
      <c r="ET267" s="277"/>
      <c r="EU267" s="281"/>
      <c r="EV267" s="277"/>
      <c r="EW267" s="281"/>
      <c r="EX267" s="277"/>
      <c r="EY267" s="281"/>
      <c r="EZ267" s="277"/>
      <c r="FA267" s="281"/>
      <c r="FB267" s="277"/>
      <c r="FC267" s="281"/>
      <c r="FD267" s="277"/>
      <c r="FE267" s="281"/>
      <c r="FF267" s="277"/>
      <c r="FG267" s="281"/>
      <c r="FH267" s="277"/>
      <c r="FI267" s="281"/>
      <c r="FJ267" s="277"/>
      <c r="FK267" s="50">
        <f t="shared" ref="FK267:FK330" si="134">EQ267+ES267+EU267+EW267+EY267+FA267+FC267+FE267+FG267+FI267</f>
        <v>0</v>
      </c>
      <c r="FL267" s="63">
        <f t="shared" ref="FL267:FL330" si="135">ER267+ET267+EV267+EX267+EZ267+FB267+FD267+FF267+FH267+FJ267</f>
        <v>0</v>
      </c>
      <c r="FM267" s="50">
        <f t="shared" si="117"/>
        <v>22</v>
      </c>
      <c r="FN267" s="360">
        <f t="shared" si="118"/>
        <v>39</v>
      </c>
      <c r="FO267" s="335"/>
      <c r="FP267" s="279"/>
      <c r="FQ267" s="52"/>
      <c r="FR267" s="296"/>
      <c r="FS267" s="98"/>
      <c r="FT267" s="467"/>
      <c r="FU267" s="52"/>
      <c r="FV267" s="296"/>
      <c r="FW267" s="98"/>
      <c r="FX267" s="467"/>
      <c r="FY267" s="52"/>
      <c r="FZ267" s="296"/>
      <c r="GA267" s="98"/>
      <c r="GB267" s="467"/>
      <c r="GC267" s="52"/>
      <c r="GD267" s="296"/>
      <c r="GE267" s="98"/>
      <c r="GF267" s="467"/>
      <c r="GG267" s="52"/>
      <c r="GH267" s="296"/>
      <c r="GI267" s="98"/>
      <c r="GJ267" s="467"/>
      <c r="GK267" s="52"/>
      <c r="GL267" s="296"/>
      <c r="GM267" s="464"/>
      <c r="GN267" s="467"/>
      <c r="GO267" s="52"/>
      <c r="GP267" s="296"/>
      <c r="GQ267" s="464"/>
      <c r="GR267" s="467"/>
      <c r="GS267" s="52"/>
      <c r="GT267" s="296"/>
      <c r="GU267" s="464"/>
      <c r="GV267" s="467"/>
      <c r="GW267" s="52"/>
      <c r="GX267" s="296"/>
      <c r="GY267" s="464"/>
      <c r="GZ267" s="467"/>
      <c r="HA267" s="52"/>
      <c r="HB267" s="296"/>
      <c r="HC267" s="335"/>
    </row>
    <row r="268" spans="1:211" s="396" customFormat="1">
      <c r="A268" s="491" t="s">
        <v>759</v>
      </c>
      <c r="B268" s="326" t="s">
        <v>922</v>
      </c>
      <c r="C268" s="325">
        <v>158583</v>
      </c>
      <c r="D268" s="349">
        <v>14</v>
      </c>
      <c r="E268" s="460">
        <v>33</v>
      </c>
      <c r="F268" s="492">
        <v>58</v>
      </c>
      <c r="G268" s="158"/>
      <c r="H268" s="277"/>
      <c r="I268" s="158"/>
      <c r="J268" s="588"/>
      <c r="K268" s="160">
        <f t="shared" si="119"/>
        <v>0</v>
      </c>
      <c r="L268" s="161">
        <f t="shared" si="112"/>
        <v>0</v>
      </c>
      <c r="M268" s="54"/>
      <c r="N268" s="55"/>
      <c r="O268" s="55"/>
      <c r="P268" s="55"/>
      <c r="Q268" s="162">
        <f t="shared" si="120"/>
        <v>0</v>
      </c>
      <c r="R268" s="494"/>
      <c r="S268" s="277"/>
      <c r="T268" s="277"/>
      <c r="U268" s="277"/>
      <c r="V268" s="97">
        <f t="shared" si="121"/>
        <v>0</v>
      </c>
      <c r="W268" s="279"/>
      <c r="X268" s="52"/>
      <c r="Y268" s="99"/>
      <c r="Z268" s="53"/>
      <c r="AA268" s="228"/>
      <c r="AB268" s="52"/>
      <c r="AC268" s="99"/>
      <c r="AD268" s="53"/>
      <c r="AE268" s="228"/>
      <c r="AF268" s="52"/>
      <c r="AG268" s="99"/>
      <c r="AH268" s="53"/>
      <c r="AI268" s="228"/>
      <c r="AJ268" s="52"/>
      <c r="AK268" s="99"/>
      <c r="AL268" s="53"/>
      <c r="AM268" s="228"/>
      <c r="AN268" s="52"/>
      <c r="AO268" s="99"/>
      <c r="AP268" s="53"/>
      <c r="AQ268" s="50">
        <f t="shared" si="113"/>
        <v>0</v>
      </c>
      <c r="AR268" s="163">
        <f t="shared" si="114"/>
        <v>0</v>
      </c>
      <c r="AS268" s="97">
        <f t="shared" si="115"/>
        <v>0</v>
      </c>
      <c r="AT268" s="278">
        <f t="shared" si="116"/>
        <v>0</v>
      </c>
      <c r="AU268" s="55"/>
      <c r="AV268" s="277"/>
      <c r="AW268" s="279"/>
      <c r="AX268" s="52"/>
      <c r="AY268" s="105"/>
      <c r="AZ268" s="98"/>
      <c r="BA268" s="279"/>
      <c r="BB268" s="52"/>
      <c r="BC268" s="105"/>
      <c r="BD268" s="98"/>
      <c r="BE268" s="279"/>
      <c r="BF268" s="52"/>
      <c r="BG268" s="105"/>
      <c r="BH268" s="98"/>
      <c r="BI268" s="279"/>
      <c r="BJ268" s="52"/>
      <c r="BK268" s="105"/>
      <c r="BL268" s="98"/>
      <c r="BM268" s="279"/>
      <c r="BN268" s="52"/>
      <c r="BO268" s="105"/>
      <c r="BP268" s="98"/>
      <c r="BQ268" s="279"/>
      <c r="BR268" s="52"/>
      <c r="BS268" s="105"/>
      <c r="BT268" s="98"/>
      <c r="BU268" s="279"/>
      <c r="BV268" s="52"/>
      <c r="BW268" s="105"/>
      <c r="BX268" s="98"/>
      <c r="BY268" s="279"/>
      <c r="BZ268" s="52"/>
      <c r="CA268" s="105"/>
      <c r="CB268" s="98"/>
      <c r="CC268" s="279"/>
      <c r="CD268" s="52"/>
      <c r="CE268" s="105"/>
      <c r="CF268" s="98"/>
      <c r="CG268" s="279"/>
      <c r="CH268" s="52"/>
      <c r="CI268" s="105"/>
      <c r="CJ268" s="98"/>
      <c r="CK268" s="281"/>
      <c r="CL268" s="277"/>
      <c r="CM268" s="159"/>
      <c r="CN268" s="277"/>
      <c r="CO268" s="50">
        <f t="shared" si="122"/>
        <v>0</v>
      </c>
      <c r="CP268" s="103">
        <f t="shared" si="123"/>
        <v>0</v>
      </c>
      <c r="CQ268" s="280">
        <f t="shared" si="124"/>
        <v>0</v>
      </c>
      <c r="CR268" s="63">
        <f t="shared" si="125"/>
        <v>0</v>
      </c>
      <c r="CS268" s="279"/>
      <c r="CT268" s="52"/>
      <c r="CU268" s="105"/>
      <c r="CV268" s="98"/>
      <c r="CW268" s="279"/>
      <c r="CX268" s="52"/>
      <c r="CY268" s="105"/>
      <c r="CZ268" s="98"/>
      <c r="DA268" s="279"/>
      <c r="DB268" s="52"/>
      <c r="DC268" s="105"/>
      <c r="DD268" s="98"/>
      <c r="DE268" s="279"/>
      <c r="DF268" s="52"/>
      <c r="DG268" s="105"/>
      <c r="DH268" s="98"/>
      <c r="DI268" s="279"/>
      <c r="DJ268" s="52"/>
      <c r="DK268" s="105"/>
      <c r="DL268" s="98"/>
      <c r="DM268" s="279"/>
      <c r="DN268" s="52"/>
      <c r="DO268" s="105"/>
      <c r="DP268" s="98"/>
      <c r="DQ268" s="279"/>
      <c r="DR268" s="52"/>
      <c r="DS268" s="105"/>
      <c r="DT268" s="98"/>
      <c r="DU268" s="279"/>
      <c r="DV268" s="52"/>
      <c r="DW268" s="105"/>
      <c r="DX268" s="98"/>
      <c r="DY268" s="279"/>
      <c r="DZ268" s="52"/>
      <c r="EA268" s="105"/>
      <c r="EB268" s="98"/>
      <c r="EC268" s="279"/>
      <c r="ED268" s="52"/>
      <c r="EE268" s="105"/>
      <c r="EF268" s="98"/>
      <c r="EG268" s="159"/>
      <c r="EH268" s="277"/>
      <c r="EI268" s="50">
        <f t="shared" si="126"/>
        <v>0</v>
      </c>
      <c r="EJ268" s="103">
        <f t="shared" si="127"/>
        <v>0</v>
      </c>
      <c r="EK268" s="164">
        <f t="shared" si="128"/>
        <v>0</v>
      </c>
      <c r="EL268" s="280">
        <f t="shared" si="129"/>
        <v>0</v>
      </c>
      <c r="EM268" s="63">
        <f t="shared" si="130"/>
        <v>0</v>
      </c>
      <c r="EN268" s="359">
        <f t="shared" si="131"/>
        <v>0</v>
      </c>
      <c r="EO268" s="51">
        <f t="shared" si="132"/>
        <v>0</v>
      </c>
      <c r="EP268" s="361">
        <f t="shared" si="133"/>
        <v>0</v>
      </c>
      <c r="EQ268" s="281"/>
      <c r="ER268" s="277"/>
      <c r="ES268" s="281"/>
      <c r="ET268" s="277"/>
      <c r="EU268" s="281"/>
      <c r="EV268" s="277"/>
      <c r="EW268" s="281"/>
      <c r="EX268" s="277"/>
      <c r="EY268" s="281"/>
      <c r="EZ268" s="277"/>
      <c r="FA268" s="281"/>
      <c r="FB268" s="277"/>
      <c r="FC268" s="281"/>
      <c r="FD268" s="277"/>
      <c r="FE268" s="281"/>
      <c r="FF268" s="277"/>
      <c r="FG268" s="281"/>
      <c r="FH268" s="277"/>
      <c r="FI268" s="281"/>
      <c r="FJ268" s="277"/>
      <c r="FK268" s="50">
        <f t="shared" si="134"/>
        <v>0</v>
      </c>
      <c r="FL268" s="63">
        <f t="shared" si="135"/>
        <v>0</v>
      </c>
      <c r="FM268" s="50">
        <f t="shared" si="117"/>
        <v>33</v>
      </c>
      <c r="FN268" s="360">
        <f t="shared" si="118"/>
        <v>58</v>
      </c>
      <c r="FO268" s="335"/>
      <c r="FP268" s="279"/>
      <c r="FQ268" s="52"/>
      <c r="FR268" s="296"/>
      <c r="FS268" s="98"/>
      <c r="FT268" s="467"/>
      <c r="FU268" s="52"/>
      <c r="FV268" s="296"/>
      <c r="FW268" s="98"/>
      <c r="FX268" s="467"/>
      <c r="FY268" s="52"/>
      <c r="FZ268" s="296"/>
      <c r="GA268" s="98"/>
      <c r="GB268" s="467"/>
      <c r="GC268" s="52"/>
      <c r="GD268" s="296"/>
      <c r="GE268" s="98"/>
      <c r="GF268" s="467"/>
      <c r="GG268" s="52"/>
      <c r="GH268" s="296"/>
      <c r="GI268" s="98"/>
      <c r="GJ268" s="467"/>
      <c r="GK268" s="52"/>
      <c r="GL268" s="296"/>
      <c r="GM268" s="464"/>
      <c r="GN268" s="467"/>
      <c r="GO268" s="52"/>
      <c r="GP268" s="296"/>
      <c r="GQ268" s="464"/>
      <c r="GR268" s="467"/>
      <c r="GS268" s="52"/>
      <c r="GT268" s="296"/>
      <c r="GU268" s="464"/>
      <c r="GV268" s="467"/>
      <c r="GW268" s="52"/>
      <c r="GX268" s="296"/>
      <c r="GY268" s="464"/>
      <c r="GZ268" s="467"/>
      <c r="HA268" s="52"/>
      <c r="HB268" s="296"/>
      <c r="HC268" s="335"/>
    </row>
    <row r="269" spans="1:211" s="396" customFormat="1">
      <c r="A269" s="491" t="s">
        <v>759</v>
      </c>
      <c r="B269" s="326" t="s">
        <v>923</v>
      </c>
      <c r="C269" s="325">
        <v>160427</v>
      </c>
      <c r="D269" s="349">
        <v>14</v>
      </c>
      <c r="E269" s="460">
        <v>157</v>
      </c>
      <c r="F269" s="492">
        <v>331</v>
      </c>
      <c r="G269" s="158"/>
      <c r="H269" s="277"/>
      <c r="I269" s="158">
        <v>6</v>
      </c>
      <c r="J269" s="588">
        <v>8</v>
      </c>
      <c r="K269" s="160">
        <f t="shared" si="119"/>
        <v>0</v>
      </c>
      <c r="L269" s="161">
        <f t="shared" si="112"/>
        <v>0</v>
      </c>
      <c r="M269" s="54"/>
      <c r="N269" s="55"/>
      <c r="O269" s="55"/>
      <c r="P269" s="55"/>
      <c r="Q269" s="162">
        <f t="shared" si="120"/>
        <v>0</v>
      </c>
      <c r="R269" s="494"/>
      <c r="S269" s="277"/>
      <c r="T269" s="277"/>
      <c r="U269" s="277"/>
      <c r="V269" s="97">
        <f t="shared" si="121"/>
        <v>0</v>
      </c>
      <c r="W269" s="279"/>
      <c r="X269" s="52"/>
      <c r="Y269" s="99"/>
      <c r="Z269" s="53"/>
      <c r="AA269" s="228"/>
      <c r="AB269" s="52"/>
      <c r="AC269" s="99"/>
      <c r="AD269" s="53"/>
      <c r="AE269" s="228"/>
      <c r="AF269" s="52"/>
      <c r="AG269" s="99"/>
      <c r="AH269" s="53"/>
      <c r="AI269" s="228"/>
      <c r="AJ269" s="52"/>
      <c r="AK269" s="99"/>
      <c r="AL269" s="53"/>
      <c r="AM269" s="228"/>
      <c r="AN269" s="52"/>
      <c r="AO269" s="99"/>
      <c r="AP269" s="53"/>
      <c r="AQ269" s="50">
        <f t="shared" si="113"/>
        <v>0</v>
      </c>
      <c r="AR269" s="163">
        <f t="shared" si="114"/>
        <v>0</v>
      </c>
      <c r="AS269" s="97">
        <f t="shared" si="115"/>
        <v>0</v>
      </c>
      <c r="AT269" s="278">
        <f t="shared" si="116"/>
        <v>0</v>
      </c>
      <c r="AU269" s="55"/>
      <c r="AV269" s="277"/>
      <c r="AW269" s="279"/>
      <c r="AX269" s="52"/>
      <c r="AY269" s="105"/>
      <c r="AZ269" s="98"/>
      <c r="BA269" s="279"/>
      <c r="BB269" s="52"/>
      <c r="BC269" s="105"/>
      <c r="BD269" s="98"/>
      <c r="BE269" s="279"/>
      <c r="BF269" s="52"/>
      <c r="BG269" s="105"/>
      <c r="BH269" s="98"/>
      <c r="BI269" s="279"/>
      <c r="BJ269" s="52"/>
      <c r="BK269" s="105"/>
      <c r="BL269" s="98"/>
      <c r="BM269" s="279"/>
      <c r="BN269" s="52"/>
      <c r="BO269" s="105"/>
      <c r="BP269" s="98"/>
      <c r="BQ269" s="279"/>
      <c r="BR269" s="52"/>
      <c r="BS269" s="105"/>
      <c r="BT269" s="98"/>
      <c r="BU269" s="279"/>
      <c r="BV269" s="52"/>
      <c r="BW269" s="105"/>
      <c r="BX269" s="98"/>
      <c r="BY269" s="279"/>
      <c r="BZ269" s="52"/>
      <c r="CA269" s="105"/>
      <c r="CB269" s="98"/>
      <c r="CC269" s="279"/>
      <c r="CD269" s="52"/>
      <c r="CE269" s="105"/>
      <c r="CF269" s="98"/>
      <c r="CG269" s="279"/>
      <c r="CH269" s="52"/>
      <c r="CI269" s="105"/>
      <c r="CJ269" s="98"/>
      <c r="CK269" s="281"/>
      <c r="CL269" s="277"/>
      <c r="CM269" s="159"/>
      <c r="CN269" s="277"/>
      <c r="CO269" s="50">
        <f t="shared" si="122"/>
        <v>0</v>
      </c>
      <c r="CP269" s="103">
        <f t="shared" si="123"/>
        <v>0</v>
      </c>
      <c r="CQ269" s="280">
        <f t="shared" si="124"/>
        <v>0</v>
      </c>
      <c r="CR269" s="63">
        <f t="shared" si="125"/>
        <v>0</v>
      </c>
      <c r="CS269" s="279"/>
      <c r="CT269" s="52"/>
      <c r="CU269" s="105"/>
      <c r="CV269" s="98"/>
      <c r="CW269" s="279"/>
      <c r="CX269" s="52"/>
      <c r="CY269" s="105"/>
      <c r="CZ269" s="98"/>
      <c r="DA269" s="279"/>
      <c r="DB269" s="52"/>
      <c r="DC269" s="105"/>
      <c r="DD269" s="98"/>
      <c r="DE269" s="279"/>
      <c r="DF269" s="52"/>
      <c r="DG269" s="105"/>
      <c r="DH269" s="98"/>
      <c r="DI269" s="279"/>
      <c r="DJ269" s="52"/>
      <c r="DK269" s="105"/>
      <c r="DL269" s="98"/>
      <c r="DM269" s="279"/>
      <c r="DN269" s="52"/>
      <c r="DO269" s="105"/>
      <c r="DP269" s="98"/>
      <c r="DQ269" s="279"/>
      <c r="DR269" s="52"/>
      <c r="DS269" s="105"/>
      <c r="DT269" s="98"/>
      <c r="DU269" s="279"/>
      <c r="DV269" s="52"/>
      <c r="DW269" s="105"/>
      <c r="DX269" s="98"/>
      <c r="DY269" s="279"/>
      <c r="DZ269" s="52"/>
      <c r="EA269" s="105"/>
      <c r="EB269" s="98"/>
      <c r="EC269" s="279"/>
      <c r="ED269" s="52"/>
      <c r="EE269" s="105"/>
      <c r="EF269" s="98"/>
      <c r="EG269" s="159"/>
      <c r="EH269" s="277"/>
      <c r="EI269" s="50">
        <f t="shared" si="126"/>
        <v>0</v>
      </c>
      <c r="EJ269" s="103">
        <f t="shared" si="127"/>
        <v>0</v>
      </c>
      <c r="EK269" s="164">
        <f t="shared" si="128"/>
        <v>0</v>
      </c>
      <c r="EL269" s="280">
        <f t="shared" si="129"/>
        <v>0</v>
      </c>
      <c r="EM269" s="63">
        <f t="shared" si="130"/>
        <v>0</v>
      </c>
      <c r="EN269" s="359">
        <f t="shared" si="131"/>
        <v>0</v>
      </c>
      <c r="EO269" s="51">
        <f t="shared" si="132"/>
        <v>0</v>
      </c>
      <c r="EP269" s="361">
        <f t="shared" si="133"/>
        <v>0</v>
      </c>
      <c r="EQ269" s="281"/>
      <c r="ER269" s="277"/>
      <c r="ES269" s="281"/>
      <c r="ET269" s="277"/>
      <c r="EU269" s="281"/>
      <c r="EV269" s="277"/>
      <c r="EW269" s="281"/>
      <c r="EX269" s="277"/>
      <c r="EY269" s="281"/>
      <c r="EZ269" s="277"/>
      <c r="FA269" s="281"/>
      <c r="FB269" s="277"/>
      <c r="FC269" s="281"/>
      <c r="FD269" s="277"/>
      <c r="FE269" s="281"/>
      <c r="FF269" s="277"/>
      <c r="FG269" s="281"/>
      <c r="FH269" s="277"/>
      <c r="FI269" s="281"/>
      <c r="FJ269" s="277"/>
      <c r="FK269" s="50">
        <f t="shared" si="134"/>
        <v>0</v>
      </c>
      <c r="FL269" s="63">
        <f t="shared" si="135"/>
        <v>0</v>
      </c>
      <c r="FM269" s="50">
        <f t="shared" si="117"/>
        <v>163</v>
      </c>
      <c r="FN269" s="360">
        <f t="shared" si="118"/>
        <v>339</v>
      </c>
      <c r="FO269" s="335"/>
      <c r="FP269" s="279"/>
      <c r="FQ269" s="52"/>
      <c r="FR269" s="296"/>
      <c r="FS269" s="98"/>
      <c r="FT269" s="467"/>
      <c r="FU269" s="52"/>
      <c r="FV269" s="296"/>
      <c r="FW269" s="98"/>
      <c r="FX269" s="467"/>
      <c r="FY269" s="52"/>
      <c r="FZ269" s="296"/>
      <c r="GA269" s="98"/>
      <c r="GB269" s="467"/>
      <c r="GC269" s="52"/>
      <c r="GD269" s="296"/>
      <c r="GE269" s="98"/>
      <c r="GF269" s="467"/>
      <c r="GG269" s="52"/>
      <c r="GH269" s="296"/>
      <c r="GI269" s="98"/>
      <c r="GJ269" s="467"/>
      <c r="GK269" s="52"/>
      <c r="GL269" s="296"/>
      <c r="GM269" s="464"/>
      <c r="GN269" s="467"/>
      <c r="GO269" s="52"/>
      <c r="GP269" s="296"/>
      <c r="GQ269" s="464"/>
      <c r="GR269" s="467"/>
      <c r="GS269" s="52"/>
      <c r="GT269" s="296"/>
      <c r="GU269" s="464"/>
      <c r="GV269" s="467"/>
      <c r="GW269" s="52"/>
      <c r="GX269" s="296"/>
      <c r="GY269" s="464"/>
      <c r="GZ269" s="467"/>
      <c r="HA269" s="52"/>
      <c r="HB269" s="296"/>
      <c r="HC269" s="335"/>
    </row>
    <row r="270" spans="1:211" s="396" customFormat="1">
      <c r="A270" s="491" t="s">
        <v>759</v>
      </c>
      <c r="B270" s="326" t="s">
        <v>924</v>
      </c>
      <c r="C270" s="325">
        <v>160436</v>
      </c>
      <c r="D270" s="349">
        <v>14</v>
      </c>
      <c r="E270" s="460"/>
      <c r="F270" s="492"/>
      <c r="G270" s="158"/>
      <c r="H270" s="277"/>
      <c r="I270" s="158"/>
      <c r="J270" s="588"/>
      <c r="K270" s="160">
        <f t="shared" si="119"/>
        <v>0</v>
      </c>
      <c r="L270" s="161">
        <f t="shared" si="112"/>
        <v>0</v>
      </c>
      <c r="M270" s="54"/>
      <c r="N270" s="55"/>
      <c r="O270" s="55"/>
      <c r="P270" s="55"/>
      <c r="Q270" s="162">
        <f t="shared" si="120"/>
        <v>0</v>
      </c>
      <c r="R270" s="494"/>
      <c r="S270" s="277"/>
      <c r="T270" s="277"/>
      <c r="U270" s="277"/>
      <c r="V270" s="97">
        <f t="shared" si="121"/>
        <v>0</v>
      </c>
      <c r="W270" s="279"/>
      <c r="X270" s="52"/>
      <c r="Y270" s="99"/>
      <c r="Z270" s="53"/>
      <c r="AA270" s="228"/>
      <c r="AB270" s="52"/>
      <c r="AC270" s="99"/>
      <c r="AD270" s="53"/>
      <c r="AE270" s="228"/>
      <c r="AF270" s="52"/>
      <c r="AG270" s="99"/>
      <c r="AH270" s="53"/>
      <c r="AI270" s="228"/>
      <c r="AJ270" s="52"/>
      <c r="AK270" s="99"/>
      <c r="AL270" s="53"/>
      <c r="AM270" s="228"/>
      <c r="AN270" s="52"/>
      <c r="AO270" s="99"/>
      <c r="AP270" s="53"/>
      <c r="AQ270" s="50">
        <f t="shared" si="113"/>
        <v>0</v>
      </c>
      <c r="AR270" s="163">
        <f t="shared" si="114"/>
        <v>0</v>
      </c>
      <c r="AS270" s="97">
        <f t="shared" si="115"/>
        <v>0</v>
      </c>
      <c r="AT270" s="278">
        <f t="shared" si="116"/>
        <v>0</v>
      </c>
      <c r="AU270" s="55"/>
      <c r="AV270" s="277"/>
      <c r="AW270" s="279"/>
      <c r="AX270" s="52"/>
      <c r="AY270" s="105"/>
      <c r="AZ270" s="98"/>
      <c r="BA270" s="279"/>
      <c r="BB270" s="52"/>
      <c r="BC270" s="105"/>
      <c r="BD270" s="98"/>
      <c r="BE270" s="279"/>
      <c r="BF270" s="52"/>
      <c r="BG270" s="105"/>
      <c r="BH270" s="98"/>
      <c r="BI270" s="279"/>
      <c r="BJ270" s="52"/>
      <c r="BK270" s="105"/>
      <c r="BL270" s="98"/>
      <c r="BM270" s="279"/>
      <c r="BN270" s="52"/>
      <c r="BO270" s="105"/>
      <c r="BP270" s="98"/>
      <c r="BQ270" s="279"/>
      <c r="BR270" s="52"/>
      <c r="BS270" s="105"/>
      <c r="BT270" s="98"/>
      <c r="BU270" s="279"/>
      <c r="BV270" s="52"/>
      <c r="BW270" s="105"/>
      <c r="BX270" s="98"/>
      <c r="BY270" s="279"/>
      <c r="BZ270" s="52"/>
      <c r="CA270" s="105"/>
      <c r="CB270" s="98"/>
      <c r="CC270" s="279"/>
      <c r="CD270" s="52"/>
      <c r="CE270" s="105"/>
      <c r="CF270" s="98"/>
      <c r="CG270" s="279"/>
      <c r="CH270" s="52"/>
      <c r="CI270" s="105"/>
      <c r="CJ270" s="98"/>
      <c r="CK270" s="281"/>
      <c r="CL270" s="277"/>
      <c r="CM270" s="159"/>
      <c r="CN270" s="277"/>
      <c r="CO270" s="50">
        <f t="shared" si="122"/>
        <v>0</v>
      </c>
      <c r="CP270" s="103">
        <f t="shared" si="123"/>
        <v>0</v>
      </c>
      <c r="CQ270" s="280">
        <f t="shared" si="124"/>
        <v>0</v>
      </c>
      <c r="CR270" s="63">
        <f t="shared" si="125"/>
        <v>0</v>
      </c>
      <c r="CS270" s="279"/>
      <c r="CT270" s="52"/>
      <c r="CU270" s="105"/>
      <c r="CV270" s="98"/>
      <c r="CW270" s="279"/>
      <c r="CX270" s="52"/>
      <c r="CY270" s="105"/>
      <c r="CZ270" s="98"/>
      <c r="DA270" s="279"/>
      <c r="DB270" s="52"/>
      <c r="DC270" s="105"/>
      <c r="DD270" s="98"/>
      <c r="DE270" s="279"/>
      <c r="DF270" s="52"/>
      <c r="DG270" s="105"/>
      <c r="DH270" s="98"/>
      <c r="DI270" s="279"/>
      <c r="DJ270" s="52"/>
      <c r="DK270" s="105"/>
      <c r="DL270" s="98"/>
      <c r="DM270" s="279"/>
      <c r="DN270" s="52"/>
      <c r="DO270" s="105"/>
      <c r="DP270" s="98"/>
      <c r="DQ270" s="279"/>
      <c r="DR270" s="52"/>
      <c r="DS270" s="105"/>
      <c r="DT270" s="98"/>
      <c r="DU270" s="279"/>
      <c r="DV270" s="52"/>
      <c r="DW270" s="105"/>
      <c r="DX270" s="98"/>
      <c r="DY270" s="279"/>
      <c r="DZ270" s="52"/>
      <c r="EA270" s="105"/>
      <c r="EB270" s="98"/>
      <c r="EC270" s="279"/>
      <c r="ED270" s="52"/>
      <c r="EE270" s="105"/>
      <c r="EF270" s="98"/>
      <c r="EG270" s="159"/>
      <c r="EH270" s="277"/>
      <c r="EI270" s="50">
        <f t="shared" si="126"/>
        <v>0</v>
      </c>
      <c r="EJ270" s="103">
        <f t="shared" si="127"/>
        <v>0</v>
      </c>
      <c r="EK270" s="164">
        <f t="shared" si="128"/>
        <v>0</v>
      </c>
      <c r="EL270" s="280">
        <f t="shared" si="129"/>
        <v>0</v>
      </c>
      <c r="EM270" s="63">
        <f t="shared" si="130"/>
        <v>0</v>
      </c>
      <c r="EN270" s="359">
        <f t="shared" si="131"/>
        <v>0</v>
      </c>
      <c r="EO270" s="51">
        <f t="shared" si="132"/>
        <v>0</v>
      </c>
      <c r="EP270" s="361">
        <f t="shared" si="133"/>
        <v>0</v>
      </c>
      <c r="EQ270" s="281"/>
      <c r="ER270" s="277"/>
      <c r="ES270" s="281"/>
      <c r="ET270" s="277"/>
      <c r="EU270" s="281"/>
      <c r="EV270" s="277"/>
      <c r="EW270" s="281"/>
      <c r="EX270" s="277"/>
      <c r="EY270" s="281"/>
      <c r="EZ270" s="277"/>
      <c r="FA270" s="281"/>
      <c r="FB270" s="277"/>
      <c r="FC270" s="281"/>
      <c r="FD270" s="277"/>
      <c r="FE270" s="281"/>
      <c r="FF270" s="277"/>
      <c r="FG270" s="281"/>
      <c r="FH270" s="277"/>
      <c r="FI270" s="281"/>
      <c r="FJ270" s="277"/>
      <c r="FK270" s="50">
        <f t="shared" si="134"/>
        <v>0</v>
      </c>
      <c r="FL270" s="63">
        <f t="shared" si="135"/>
        <v>0</v>
      </c>
      <c r="FM270" s="50">
        <f t="shared" si="117"/>
        <v>0</v>
      </c>
      <c r="FN270" s="360">
        <f t="shared" si="118"/>
        <v>0</v>
      </c>
      <c r="FO270" s="335"/>
      <c r="FP270" s="279"/>
      <c r="FQ270" s="52"/>
      <c r="FR270" s="296"/>
      <c r="FS270" s="98"/>
      <c r="FT270" s="467"/>
      <c r="FU270" s="52"/>
      <c r="FV270" s="296"/>
      <c r="FW270" s="98"/>
      <c r="FX270" s="467"/>
      <c r="FY270" s="52"/>
      <c r="FZ270" s="296"/>
      <c r="GA270" s="98"/>
      <c r="GB270" s="467"/>
      <c r="GC270" s="52"/>
      <c r="GD270" s="296"/>
      <c r="GE270" s="98"/>
      <c r="GF270" s="467"/>
      <c r="GG270" s="52"/>
      <c r="GH270" s="296"/>
      <c r="GI270" s="98"/>
      <c r="GJ270" s="467"/>
      <c r="GK270" s="52"/>
      <c r="GL270" s="296"/>
      <c r="GM270" s="464"/>
      <c r="GN270" s="467"/>
      <c r="GO270" s="52"/>
      <c r="GP270" s="296"/>
      <c r="GQ270" s="464"/>
      <c r="GR270" s="467"/>
      <c r="GS270" s="52"/>
      <c r="GT270" s="296"/>
      <c r="GU270" s="464"/>
      <c r="GV270" s="467"/>
      <c r="GW270" s="52"/>
      <c r="GX270" s="296"/>
      <c r="GY270" s="464"/>
      <c r="GZ270" s="467"/>
      <c r="HA270" s="52"/>
      <c r="HB270" s="296"/>
      <c r="HC270" s="335"/>
    </row>
    <row r="271" spans="1:211" s="396" customFormat="1">
      <c r="A271" s="491" t="s">
        <v>759</v>
      </c>
      <c r="B271" s="326" t="s">
        <v>925</v>
      </c>
      <c r="C271" s="325">
        <v>160454</v>
      </c>
      <c r="D271" s="349">
        <v>14</v>
      </c>
      <c r="E271" s="460"/>
      <c r="F271" s="492"/>
      <c r="G271" s="158"/>
      <c r="H271" s="277"/>
      <c r="I271" s="158"/>
      <c r="J271" s="588"/>
      <c r="K271" s="160">
        <f t="shared" si="119"/>
        <v>0</v>
      </c>
      <c r="L271" s="161">
        <f t="shared" si="112"/>
        <v>0</v>
      </c>
      <c r="M271" s="54"/>
      <c r="N271" s="55"/>
      <c r="O271" s="55"/>
      <c r="P271" s="55"/>
      <c r="Q271" s="162">
        <f t="shared" si="120"/>
        <v>0</v>
      </c>
      <c r="R271" s="494"/>
      <c r="S271" s="277"/>
      <c r="T271" s="277"/>
      <c r="U271" s="277"/>
      <c r="V271" s="97">
        <f t="shared" si="121"/>
        <v>0</v>
      </c>
      <c r="W271" s="279"/>
      <c r="X271" s="52"/>
      <c r="Y271" s="99"/>
      <c r="Z271" s="53"/>
      <c r="AA271" s="228"/>
      <c r="AB271" s="52"/>
      <c r="AC271" s="99"/>
      <c r="AD271" s="53"/>
      <c r="AE271" s="228"/>
      <c r="AF271" s="52"/>
      <c r="AG271" s="99"/>
      <c r="AH271" s="53"/>
      <c r="AI271" s="228"/>
      <c r="AJ271" s="52"/>
      <c r="AK271" s="99"/>
      <c r="AL271" s="53"/>
      <c r="AM271" s="228"/>
      <c r="AN271" s="52"/>
      <c r="AO271" s="99"/>
      <c r="AP271" s="53"/>
      <c r="AQ271" s="50">
        <f t="shared" si="113"/>
        <v>0</v>
      </c>
      <c r="AR271" s="163">
        <f t="shared" si="114"/>
        <v>0</v>
      </c>
      <c r="AS271" s="97">
        <f t="shared" si="115"/>
        <v>0</v>
      </c>
      <c r="AT271" s="278">
        <f t="shared" si="116"/>
        <v>0</v>
      </c>
      <c r="AU271" s="55"/>
      <c r="AV271" s="277"/>
      <c r="AW271" s="279"/>
      <c r="AX271" s="52"/>
      <c r="AY271" s="105"/>
      <c r="AZ271" s="98"/>
      <c r="BA271" s="279"/>
      <c r="BB271" s="52"/>
      <c r="BC271" s="105"/>
      <c r="BD271" s="98"/>
      <c r="BE271" s="279"/>
      <c r="BF271" s="52"/>
      <c r="BG271" s="105"/>
      <c r="BH271" s="98"/>
      <c r="BI271" s="279"/>
      <c r="BJ271" s="52"/>
      <c r="BK271" s="105"/>
      <c r="BL271" s="98"/>
      <c r="BM271" s="279"/>
      <c r="BN271" s="52"/>
      <c r="BO271" s="105"/>
      <c r="BP271" s="98"/>
      <c r="BQ271" s="279"/>
      <c r="BR271" s="52"/>
      <c r="BS271" s="105"/>
      <c r="BT271" s="98"/>
      <c r="BU271" s="279"/>
      <c r="BV271" s="52"/>
      <c r="BW271" s="105"/>
      <c r="BX271" s="98"/>
      <c r="BY271" s="279"/>
      <c r="BZ271" s="52"/>
      <c r="CA271" s="105"/>
      <c r="CB271" s="98"/>
      <c r="CC271" s="279"/>
      <c r="CD271" s="52"/>
      <c r="CE271" s="105"/>
      <c r="CF271" s="98"/>
      <c r="CG271" s="279"/>
      <c r="CH271" s="52"/>
      <c r="CI271" s="105"/>
      <c r="CJ271" s="98"/>
      <c r="CK271" s="281"/>
      <c r="CL271" s="277"/>
      <c r="CM271" s="159"/>
      <c r="CN271" s="277"/>
      <c r="CO271" s="50">
        <f t="shared" si="122"/>
        <v>0</v>
      </c>
      <c r="CP271" s="103">
        <f t="shared" si="123"/>
        <v>0</v>
      </c>
      <c r="CQ271" s="280">
        <f t="shared" si="124"/>
        <v>0</v>
      </c>
      <c r="CR271" s="63">
        <f t="shared" si="125"/>
        <v>0</v>
      </c>
      <c r="CS271" s="279"/>
      <c r="CT271" s="52"/>
      <c r="CU271" s="105"/>
      <c r="CV271" s="98"/>
      <c r="CW271" s="279"/>
      <c r="CX271" s="52"/>
      <c r="CY271" s="105"/>
      <c r="CZ271" s="98"/>
      <c r="DA271" s="279"/>
      <c r="DB271" s="52"/>
      <c r="DC271" s="105"/>
      <c r="DD271" s="98"/>
      <c r="DE271" s="279"/>
      <c r="DF271" s="52"/>
      <c r="DG271" s="105"/>
      <c r="DH271" s="98"/>
      <c r="DI271" s="279"/>
      <c r="DJ271" s="52"/>
      <c r="DK271" s="105"/>
      <c r="DL271" s="98"/>
      <c r="DM271" s="279"/>
      <c r="DN271" s="52"/>
      <c r="DO271" s="105"/>
      <c r="DP271" s="98"/>
      <c r="DQ271" s="279"/>
      <c r="DR271" s="52"/>
      <c r="DS271" s="105"/>
      <c r="DT271" s="98"/>
      <c r="DU271" s="279"/>
      <c r="DV271" s="52"/>
      <c r="DW271" s="105"/>
      <c r="DX271" s="98"/>
      <c r="DY271" s="279"/>
      <c r="DZ271" s="52"/>
      <c r="EA271" s="105"/>
      <c r="EB271" s="98"/>
      <c r="EC271" s="279"/>
      <c r="ED271" s="52"/>
      <c r="EE271" s="105"/>
      <c r="EF271" s="98"/>
      <c r="EG271" s="159"/>
      <c r="EH271" s="277"/>
      <c r="EI271" s="50">
        <f t="shared" si="126"/>
        <v>0</v>
      </c>
      <c r="EJ271" s="103">
        <f t="shared" si="127"/>
        <v>0</v>
      </c>
      <c r="EK271" s="164">
        <f t="shared" si="128"/>
        <v>0</v>
      </c>
      <c r="EL271" s="280">
        <f t="shared" si="129"/>
        <v>0</v>
      </c>
      <c r="EM271" s="63">
        <f t="shared" si="130"/>
        <v>0</v>
      </c>
      <c r="EN271" s="359">
        <f t="shared" si="131"/>
        <v>0</v>
      </c>
      <c r="EO271" s="51">
        <f t="shared" si="132"/>
        <v>0</v>
      </c>
      <c r="EP271" s="361">
        <f t="shared" si="133"/>
        <v>0</v>
      </c>
      <c r="EQ271" s="281"/>
      <c r="ER271" s="277"/>
      <c r="ES271" s="281"/>
      <c r="ET271" s="277"/>
      <c r="EU271" s="281"/>
      <c r="EV271" s="277"/>
      <c r="EW271" s="281"/>
      <c r="EX271" s="277"/>
      <c r="EY271" s="281"/>
      <c r="EZ271" s="277"/>
      <c r="FA271" s="281"/>
      <c r="FB271" s="277"/>
      <c r="FC271" s="281"/>
      <c r="FD271" s="277"/>
      <c r="FE271" s="281"/>
      <c r="FF271" s="277"/>
      <c r="FG271" s="281"/>
      <c r="FH271" s="277"/>
      <c r="FI271" s="281"/>
      <c r="FJ271" s="277"/>
      <c r="FK271" s="50">
        <f t="shared" si="134"/>
        <v>0</v>
      </c>
      <c r="FL271" s="63">
        <f t="shared" si="135"/>
        <v>0</v>
      </c>
      <c r="FM271" s="50">
        <f t="shared" si="117"/>
        <v>0</v>
      </c>
      <c r="FN271" s="360">
        <f t="shared" si="118"/>
        <v>0</v>
      </c>
      <c r="FO271" s="335"/>
      <c r="FP271" s="279"/>
      <c r="FQ271" s="52"/>
      <c r="FR271" s="296"/>
      <c r="FS271" s="98"/>
      <c r="FT271" s="467"/>
      <c r="FU271" s="52"/>
      <c r="FV271" s="296"/>
      <c r="FW271" s="98"/>
      <c r="FX271" s="467"/>
      <c r="FY271" s="52"/>
      <c r="FZ271" s="296"/>
      <c r="GA271" s="98"/>
      <c r="GB271" s="467"/>
      <c r="GC271" s="52"/>
      <c r="GD271" s="296"/>
      <c r="GE271" s="98"/>
      <c r="GF271" s="467"/>
      <c r="GG271" s="52"/>
      <c r="GH271" s="296"/>
      <c r="GI271" s="98"/>
      <c r="GJ271" s="467"/>
      <c r="GK271" s="52"/>
      <c r="GL271" s="296"/>
      <c r="GM271" s="464"/>
      <c r="GN271" s="467"/>
      <c r="GO271" s="52"/>
      <c r="GP271" s="296"/>
      <c r="GQ271" s="464"/>
      <c r="GR271" s="467"/>
      <c r="GS271" s="52"/>
      <c r="GT271" s="296"/>
      <c r="GU271" s="464"/>
      <c r="GV271" s="467"/>
      <c r="GW271" s="52"/>
      <c r="GX271" s="296"/>
      <c r="GY271" s="464"/>
      <c r="GZ271" s="467"/>
      <c r="HA271" s="52"/>
      <c r="HB271" s="296"/>
      <c r="HC271" s="335"/>
    </row>
    <row r="272" spans="1:211" s="396" customFormat="1">
      <c r="A272" s="491" t="s">
        <v>759</v>
      </c>
      <c r="B272" s="326" t="s">
        <v>926</v>
      </c>
      <c r="C272" s="325">
        <v>160667</v>
      </c>
      <c r="D272" s="349">
        <v>14</v>
      </c>
      <c r="E272" s="460">
        <v>93</v>
      </c>
      <c r="F272" s="492">
        <v>315</v>
      </c>
      <c r="G272" s="158"/>
      <c r="H272" s="277"/>
      <c r="I272" s="158">
        <v>2</v>
      </c>
      <c r="J272" s="588">
        <v>9</v>
      </c>
      <c r="K272" s="160">
        <f t="shared" si="119"/>
        <v>0</v>
      </c>
      <c r="L272" s="161">
        <f t="shared" si="112"/>
        <v>0</v>
      </c>
      <c r="M272" s="54"/>
      <c r="N272" s="55"/>
      <c r="O272" s="55"/>
      <c r="P272" s="55"/>
      <c r="Q272" s="162">
        <f t="shared" si="120"/>
        <v>0</v>
      </c>
      <c r="R272" s="494"/>
      <c r="S272" s="277"/>
      <c r="T272" s="277"/>
      <c r="U272" s="277"/>
      <c r="V272" s="97">
        <f t="shared" si="121"/>
        <v>0</v>
      </c>
      <c r="W272" s="279"/>
      <c r="X272" s="52"/>
      <c r="Y272" s="99"/>
      <c r="Z272" s="53"/>
      <c r="AA272" s="228"/>
      <c r="AB272" s="52"/>
      <c r="AC272" s="99"/>
      <c r="AD272" s="53"/>
      <c r="AE272" s="228"/>
      <c r="AF272" s="52"/>
      <c r="AG272" s="99"/>
      <c r="AH272" s="53"/>
      <c r="AI272" s="228"/>
      <c r="AJ272" s="52"/>
      <c r="AK272" s="99"/>
      <c r="AL272" s="53"/>
      <c r="AM272" s="228"/>
      <c r="AN272" s="52"/>
      <c r="AO272" s="99"/>
      <c r="AP272" s="53"/>
      <c r="AQ272" s="50">
        <f t="shared" si="113"/>
        <v>0</v>
      </c>
      <c r="AR272" s="163">
        <f t="shared" si="114"/>
        <v>0</v>
      </c>
      <c r="AS272" s="97">
        <f t="shared" si="115"/>
        <v>0</v>
      </c>
      <c r="AT272" s="278">
        <f t="shared" si="116"/>
        <v>0</v>
      </c>
      <c r="AU272" s="55"/>
      <c r="AV272" s="277"/>
      <c r="AW272" s="279"/>
      <c r="AX272" s="52"/>
      <c r="AY272" s="105"/>
      <c r="AZ272" s="98"/>
      <c r="BA272" s="279"/>
      <c r="BB272" s="52"/>
      <c r="BC272" s="105"/>
      <c r="BD272" s="98"/>
      <c r="BE272" s="279"/>
      <c r="BF272" s="52"/>
      <c r="BG272" s="105"/>
      <c r="BH272" s="98"/>
      <c r="BI272" s="279"/>
      <c r="BJ272" s="52"/>
      <c r="BK272" s="105"/>
      <c r="BL272" s="98"/>
      <c r="BM272" s="279"/>
      <c r="BN272" s="52"/>
      <c r="BO272" s="105"/>
      <c r="BP272" s="98"/>
      <c r="BQ272" s="279"/>
      <c r="BR272" s="52"/>
      <c r="BS272" s="105"/>
      <c r="BT272" s="98"/>
      <c r="BU272" s="279"/>
      <c r="BV272" s="52"/>
      <c r="BW272" s="105"/>
      <c r="BX272" s="98"/>
      <c r="BY272" s="279"/>
      <c r="BZ272" s="52"/>
      <c r="CA272" s="105"/>
      <c r="CB272" s="98"/>
      <c r="CC272" s="279"/>
      <c r="CD272" s="52"/>
      <c r="CE272" s="105"/>
      <c r="CF272" s="98"/>
      <c r="CG272" s="279"/>
      <c r="CH272" s="52"/>
      <c r="CI272" s="105"/>
      <c r="CJ272" s="98"/>
      <c r="CK272" s="281"/>
      <c r="CL272" s="277"/>
      <c r="CM272" s="159"/>
      <c r="CN272" s="277"/>
      <c r="CO272" s="50">
        <f t="shared" si="122"/>
        <v>0</v>
      </c>
      <c r="CP272" s="103">
        <f t="shared" si="123"/>
        <v>0</v>
      </c>
      <c r="CQ272" s="280">
        <f t="shared" si="124"/>
        <v>0</v>
      </c>
      <c r="CR272" s="63">
        <f t="shared" si="125"/>
        <v>0</v>
      </c>
      <c r="CS272" s="279"/>
      <c r="CT272" s="52"/>
      <c r="CU272" s="105"/>
      <c r="CV272" s="98"/>
      <c r="CW272" s="279"/>
      <c r="CX272" s="52"/>
      <c r="CY272" s="105"/>
      <c r="CZ272" s="98"/>
      <c r="DA272" s="279"/>
      <c r="DB272" s="52"/>
      <c r="DC272" s="105"/>
      <c r="DD272" s="98"/>
      <c r="DE272" s="279"/>
      <c r="DF272" s="52"/>
      <c r="DG272" s="105"/>
      <c r="DH272" s="98"/>
      <c r="DI272" s="279"/>
      <c r="DJ272" s="52"/>
      <c r="DK272" s="105"/>
      <c r="DL272" s="98"/>
      <c r="DM272" s="279"/>
      <c r="DN272" s="52"/>
      <c r="DO272" s="105"/>
      <c r="DP272" s="98"/>
      <c r="DQ272" s="279"/>
      <c r="DR272" s="52"/>
      <c r="DS272" s="105"/>
      <c r="DT272" s="98"/>
      <c r="DU272" s="279"/>
      <c r="DV272" s="52"/>
      <c r="DW272" s="105"/>
      <c r="DX272" s="98"/>
      <c r="DY272" s="279"/>
      <c r="DZ272" s="52"/>
      <c r="EA272" s="105"/>
      <c r="EB272" s="98"/>
      <c r="EC272" s="279"/>
      <c r="ED272" s="52"/>
      <c r="EE272" s="105"/>
      <c r="EF272" s="98"/>
      <c r="EG272" s="159"/>
      <c r="EH272" s="277"/>
      <c r="EI272" s="50">
        <f t="shared" si="126"/>
        <v>0</v>
      </c>
      <c r="EJ272" s="103">
        <f t="shared" si="127"/>
        <v>0</v>
      </c>
      <c r="EK272" s="164">
        <f t="shared" si="128"/>
        <v>0</v>
      </c>
      <c r="EL272" s="280">
        <f t="shared" si="129"/>
        <v>0</v>
      </c>
      <c r="EM272" s="63">
        <f t="shared" si="130"/>
        <v>0</v>
      </c>
      <c r="EN272" s="359">
        <f t="shared" si="131"/>
        <v>0</v>
      </c>
      <c r="EO272" s="51">
        <f t="shared" si="132"/>
        <v>0</v>
      </c>
      <c r="EP272" s="361">
        <f t="shared" si="133"/>
        <v>0</v>
      </c>
      <c r="EQ272" s="281"/>
      <c r="ER272" s="277"/>
      <c r="ES272" s="281"/>
      <c r="ET272" s="277"/>
      <c r="EU272" s="281"/>
      <c r="EV272" s="277"/>
      <c r="EW272" s="281"/>
      <c r="EX272" s="277"/>
      <c r="EY272" s="281"/>
      <c r="EZ272" s="277"/>
      <c r="FA272" s="281"/>
      <c r="FB272" s="277"/>
      <c r="FC272" s="281"/>
      <c r="FD272" s="277"/>
      <c r="FE272" s="281"/>
      <c r="FF272" s="277"/>
      <c r="FG272" s="281"/>
      <c r="FH272" s="277"/>
      <c r="FI272" s="281"/>
      <c r="FJ272" s="277"/>
      <c r="FK272" s="50">
        <f t="shared" si="134"/>
        <v>0</v>
      </c>
      <c r="FL272" s="63">
        <f t="shared" si="135"/>
        <v>0</v>
      </c>
      <c r="FM272" s="50">
        <f t="shared" si="117"/>
        <v>95</v>
      </c>
      <c r="FN272" s="360">
        <f t="shared" si="118"/>
        <v>324</v>
      </c>
      <c r="FO272" s="335"/>
      <c r="FP272" s="279"/>
      <c r="FQ272" s="52"/>
      <c r="FR272" s="296"/>
      <c r="FS272" s="98"/>
      <c r="FT272" s="467"/>
      <c r="FU272" s="52"/>
      <c r="FV272" s="296"/>
      <c r="FW272" s="98"/>
      <c r="FX272" s="467"/>
      <c r="FY272" s="52"/>
      <c r="FZ272" s="296"/>
      <c r="GA272" s="98"/>
      <c r="GB272" s="467"/>
      <c r="GC272" s="52"/>
      <c r="GD272" s="296"/>
      <c r="GE272" s="98"/>
      <c r="GF272" s="467"/>
      <c r="GG272" s="52"/>
      <c r="GH272" s="296"/>
      <c r="GI272" s="98"/>
      <c r="GJ272" s="467"/>
      <c r="GK272" s="52"/>
      <c r="GL272" s="296"/>
      <c r="GM272" s="464"/>
      <c r="GN272" s="467"/>
      <c r="GO272" s="52"/>
      <c r="GP272" s="296"/>
      <c r="GQ272" s="464"/>
      <c r="GR272" s="467"/>
      <c r="GS272" s="52"/>
      <c r="GT272" s="296"/>
      <c r="GU272" s="464"/>
      <c r="GV272" s="467"/>
      <c r="GW272" s="52"/>
      <c r="GX272" s="296"/>
      <c r="GY272" s="464"/>
      <c r="GZ272" s="467"/>
      <c r="HA272" s="52"/>
      <c r="HB272" s="296"/>
      <c r="HC272" s="335"/>
    </row>
    <row r="273" spans="1:211" s="396" customFormat="1">
      <c r="A273" s="491" t="s">
        <v>759</v>
      </c>
      <c r="B273" s="326" t="s">
        <v>927</v>
      </c>
      <c r="C273" s="325">
        <v>160676</v>
      </c>
      <c r="D273" s="349">
        <v>14</v>
      </c>
      <c r="E273" s="460">
        <v>130</v>
      </c>
      <c r="F273" s="492">
        <v>167</v>
      </c>
      <c r="G273" s="158"/>
      <c r="H273" s="277"/>
      <c r="I273" s="158">
        <v>3</v>
      </c>
      <c r="J273" s="588">
        <v>2</v>
      </c>
      <c r="K273" s="160">
        <f t="shared" si="119"/>
        <v>0</v>
      </c>
      <c r="L273" s="161">
        <f t="shared" si="112"/>
        <v>0</v>
      </c>
      <c r="M273" s="54"/>
      <c r="N273" s="55"/>
      <c r="O273" s="55"/>
      <c r="P273" s="55"/>
      <c r="Q273" s="162">
        <f t="shared" si="120"/>
        <v>0</v>
      </c>
      <c r="R273" s="494"/>
      <c r="S273" s="277"/>
      <c r="T273" s="277"/>
      <c r="U273" s="277"/>
      <c r="V273" s="97">
        <f t="shared" si="121"/>
        <v>0</v>
      </c>
      <c r="W273" s="279"/>
      <c r="X273" s="52"/>
      <c r="Y273" s="99"/>
      <c r="Z273" s="53"/>
      <c r="AA273" s="228"/>
      <c r="AB273" s="52"/>
      <c r="AC273" s="99"/>
      <c r="AD273" s="53"/>
      <c r="AE273" s="228"/>
      <c r="AF273" s="52"/>
      <c r="AG273" s="99"/>
      <c r="AH273" s="53"/>
      <c r="AI273" s="228"/>
      <c r="AJ273" s="52"/>
      <c r="AK273" s="99"/>
      <c r="AL273" s="53"/>
      <c r="AM273" s="228"/>
      <c r="AN273" s="52"/>
      <c r="AO273" s="99"/>
      <c r="AP273" s="53"/>
      <c r="AQ273" s="50">
        <f t="shared" si="113"/>
        <v>0</v>
      </c>
      <c r="AR273" s="163">
        <f t="shared" si="114"/>
        <v>0</v>
      </c>
      <c r="AS273" s="97">
        <f t="shared" si="115"/>
        <v>0</v>
      </c>
      <c r="AT273" s="278">
        <f t="shared" si="116"/>
        <v>0</v>
      </c>
      <c r="AU273" s="55"/>
      <c r="AV273" s="277"/>
      <c r="AW273" s="279"/>
      <c r="AX273" s="52"/>
      <c r="AY273" s="105"/>
      <c r="AZ273" s="98"/>
      <c r="BA273" s="279"/>
      <c r="BB273" s="52"/>
      <c r="BC273" s="105"/>
      <c r="BD273" s="98"/>
      <c r="BE273" s="279"/>
      <c r="BF273" s="52"/>
      <c r="BG273" s="105"/>
      <c r="BH273" s="98"/>
      <c r="BI273" s="279"/>
      <c r="BJ273" s="52"/>
      <c r="BK273" s="105"/>
      <c r="BL273" s="98"/>
      <c r="BM273" s="279"/>
      <c r="BN273" s="52"/>
      <c r="BO273" s="105"/>
      <c r="BP273" s="98"/>
      <c r="BQ273" s="279"/>
      <c r="BR273" s="52"/>
      <c r="BS273" s="105"/>
      <c r="BT273" s="98"/>
      <c r="BU273" s="279"/>
      <c r="BV273" s="52"/>
      <c r="BW273" s="105"/>
      <c r="BX273" s="98"/>
      <c r="BY273" s="279"/>
      <c r="BZ273" s="52"/>
      <c r="CA273" s="105"/>
      <c r="CB273" s="98"/>
      <c r="CC273" s="279"/>
      <c r="CD273" s="52"/>
      <c r="CE273" s="105"/>
      <c r="CF273" s="98"/>
      <c r="CG273" s="279"/>
      <c r="CH273" s="52"/>
      <c r="CI273" s="105"/>
      <c r="CJ273" s="98"/>
      <c r="CK273" s="281"/>
      <c r="CL273" s="277"/>
      <c r="CM273" s="159"/>
      <c r="CN273" s="277"/>
      <c r="CO273" s="50">
        <f t="shared" si="122"/>
        <v>0</v>
      </c>
      <c r="CP273" s="103">
        <f t="shared" si="123"/>
        <v>0</v>
      </c>
      <c r="CQ273" s="280">
        <f t="shared" si="124"/>
        <v>0</v>
      </c>
      <c r="CR273" s="63">
        <f t="shared" si="125"/>
        <v>0</v>
      </c>
      <c r="CS273" s="279"/>
      <c r="CT273" s="52"/>
      <c r="CU273" s="105"/>
      <c r="CV273" s="98"/>
      <c r="CW273" s="279"/>
      <c r="CX273" s="52"/>
      <c r="CY273" s="105"/>
      <c r="CZ273" s="98"/>
      <c r="DA273" s="279"/>
      <c r="DB273" s="52"/>
      <c r="DC273" s="105"/>
      <c r="DD273" s="98"/>
      <c r="DE273" s="279"/>
      <c r="DF273" s="52"/>
      <c r="DG273" s="105"/>
      <c r="DH273" s="98"/>
      <c r="DI273" s="279"/>
      <c r="DJ273" s="52"/>
      <c r="DK273" s="105"/>
      <c r="DL273" s="98"/>
      <c r="DM273" s="279"/>
      <c r="DN273" s="52"/>
      <c r="DO273" s="105"/>
      <c r="DP273" s="98"/>
      <c r="DQ273" s="279"/>
      <c r="DR273" s="52"/>
      <c r="DS273" s="105"/>
      <c r="DT273" s="98"/>
      <c r="DU273" s="279"/>
      <c r="DV273" s="52"/>
      <c r="DW273" s="105"/>
      <c r="DX273" s="98"/>
      <c r="DY273" s="279"/>
      <c r="DZ273" s="52"/>
      <c r="EA273" s="105"/>
      <c r="EB273" s="98"/>
      <c r="EC273" s="279"/>
      <c r="ED273" s="52"/>
      <c r="EE273" s="105"/>
      <c r="EF273" s="98"/>
      <c r="EG273" s="159"/>
      <c r="EH273" s="277"/>
      <c r="EI273" s="50">
        <f t="shared" si="126"/>
        <v>0</v>
      </c>
      <c r="EJ273" s="103">
        <f t="shared" si="127"/>
        <v>0</v>
      </c>
      <c r="EK273" s="164">
        <f t="shared" si="128"/>
        <v>0</v>
      </c>
      <c r="EL273" s="280">
        <f t="shared" si="129"/>
        <v>0</v>
      </c>
      <c r="EM273" s="63">
        <f t="shared" si="130"/>
        <v>0</v>
      </c>
      <c r="EN273" s="359">
        <f t="shared" si="131"/>
        <v>0</v>
      </c>
      <c r="EO273" s="51">
        <f t="shared" si="132"/>
        <v>0</v>
      </c>
      <c r="EP273" s="361">
        <f t="shared" si="133"/>
        <v>0</v>
      </c>
      <c r="EQ273" s="281"/>
      <c r="ER273" s="277"/>
      <c r="ES273" s="281"/>
      <c r="ET273" s="277"/>
      <c r="EU273" s="281"/>
      <c r="EV273" s="277"/>
      <c r="EW273" s="281"/>
      <c r="EX273" s="277"/>
      <c r="EY273" s="281"/>
      <c r="EZ273" s="277"/>
      <c r="FA273" s="281"/>
      <c r="FB273" s="277"/>
      <c r="FC273" s="281"/>
      <c r="FD273" s="277"/>
      <c r="FE273" s="281"/>
      <c r="FF273" s="277"/>
      <c r="FG273" s="281"/>
      <c r="FH273" s="277"/>
      <c r="FI273" s="281"/>
      <c r="FJ273" s="277"/>
      <c r="FK273" s="50">
        <f t="shared" si="134"/>
        <v>0</v>
      </c>
      <c r="FL273" s="63">
        <f t="shared" si="135"/>
        <v>0</v>
      </c>
      <c r="FM273" s="50">
        <f t="shared" si="117"/>
        <v>133</v>
      </c>
      <c r="FN273" s="360">
        <f t="shared" si="118"/>
        <v>169</v>
      </c>
      <c r="FO273" s="335"/>
      <c r="FP273" s="279"/>
      <c r="FQ273" s="52"/>
      <c r="FR273" s="296"/>
      <c r="FS273" s="98"/>
      <c r="FT273" s="467"/>
      <c r="FU273" s="52"/>
      <c r="FV273" s="296"/>
      <c r="FW273" s="98"/>
      <c r="FX273" s="467"/>
      <c r="FY273" s="52"/>
      <c r="FZ273" s="296"/>
      <c r="GA273" s="98"/>
      <c r="GB273" s="467"/>
      <c r="GC273" s="52"/>
      <c r="GD273" s="296"/>
      <c r="GE273" s="98"/>
      <c r="GF273" s="467"/>
      <c r="GG273" s="52"/>
      <c r="GH273" s="296"/>
      <c r="GI273" s="98"/>
      <c r="GJ273" s="467"/>
      <c r="GK273" s="52"/>
      <c r="GL273" s="296"/>
      <c r="GM273" s="464"/>
      <c r="GN273" s="467"/>
      <c r="GO273" s="52"/>
      <c r="GP273" s="296"/>
      <c r="GQ273" s="464"/>
      <c r="GR273" s="467"/>
      <c r="GS273" s="52"/>
      <c r="GT273" s="296"/>
      <c r="GU273" s="464"/>
      <c r="GV273" s="467"/>
      <c r="GW273" s="52"/>
      <c r="GX273" s="296"/>
      <c r="GY273" s="464"/>
      <c r="GZ273" s="467"/>
      <c r="HA273" s="52"/>
      <c r="HB273" s="296"/>
      <c r="HC273" s="335"/>
    </row>
    <row r="274" spans="1:211" s="396" customFormat="1">
      <c r="A274" s="491" t="s">
        <v>759</v>
      </c>
      <c r="B274" s="326" t="s">
        <v>928</v>
      </c>
      <c r="C274" s="325">
        <v>160685</v>
      </c>
      <c r="D274" s="349">
        <v>14</v>
      </c>
      <c r="E274" s="460">
        <v>30</v>
      </c>
      <c r="F274" s="492">
        <v>98</v>
      </c>
      <c r="G274" s="158"/>
      <c r="H274" s="277"/>
      <c r="I274" s="158">
        <v>3</v>
      </c>
      <c r="J274" s="588">
        <v>4</v>
      </c>
      <c r="K274" s="160">
        <f t="shared" si="119"/>
        <v>0</v>
      </c>
      <c r="L274" s="161">
        <f t="shared" si="112"/>
        <v>0</v>
      </c>
      <c r="M274" s="54"/>
      <c r="N274" s="55"/>
      <c r="O274" s="55"/>
      <c r="P274" s="55"/>
      <c r="Q274" s="162">
        <f t="shared" si="120"/>
        <v>0</v>
      </c>
      <c r="R274" s="494"/>
      <c r="S274" s="277"/>
      <c r="T274" s="277"/>
      <c r="U274" s="277"/>
      <c r="V274" s="97">
        <f t="shared" si="121"/>
        <v>0</v>
      </c>
      <c r="W274" s="279"/>
      <c r="X274" s="52"/>
      <c r="Y274" s="99"/>
      <c r="Z274" s="53"/>
      <c r="AA274" s="228"/>
      <c r="AB274" s="52"/>
      <c r="AC274" s="99"/>
      <c r="AD274" s="53"/>
      <c r="AE274" s="228"/>
      <c r="AF274" s="52"/>
      <c r="AG274" s="99"/>
      <c r="AH274" s="53"/>
      <c r="AI274" s="228"/>
      <c r="AJ274" s="52"/>
      <c r="AK274" s="99"/>
      <c r="AL274" s="53"/>
      <c r="AM274" s="228"/>
      <c r="AN274" s="52"/>
      <c r="AO274" s="99"/>
      <c r="AP274" s="53"/>
      <c r="AQ274" s="50">
        <f t="shared" si="113"/>
        <v>0</v>
      </c>
      <c r="AR274" s="163">
        <f t="shared" si="114"/>
        <v>0</v>
      </c>
      <c r="AS274" s="97">
        <f t="shared" si="115"/>
        <v>0</v>
      </c>
      <c r="AT274" s="278">
        <f t="shared" si="116"/>
        <v>0</v>
      </c>
      <c r="AU274" s="55"/>
      <c r="AV274" s="277"/>
      <c r="AW274" s="279"/>
      <c r="AX274" s="52"/>
      <c r="AY274" s="105"/>
      <c r="AZ274" s="98"/>
      <c r="BA274" s="279"/>
      <c r="BB274" s="52"/>
      <c r="BC274" s="105"/>
      <c r="BD274" s="98"/>
      <c r="BE274" s="279"/>
      <c r="BF274" s="52"/>
      <c r="BG274" s="105"/>
      <c r="BH274" s="98"/>
      <c r="BI274" s="279"/>
      <c r="BJ274" s="52"/>
      <c r="BK274" s="105"/>
      <c r="BL274" s="98"/>
      <c r="BM274" s="279"/>
      <c r="BN274" s="52"/>
      <c r="BO274" s="105"/>
      <c r="BP274" s="98"/>
      <c r="BQ274" s="279"/>
      <c r="BR274" s="52"/>
      <c r="BS274" s="105"/>
      <c r="BT274" s="98"/>
      <c r="BU274" s="279"/>
      <c r="BV274" s="52"/>
      <c r="BW274" s="105"/>
      <c r="BX274" s="98"/>
      <c r="BY274" s="279"/>
      <c r="BZ274" s="52"/>
      <c r="CA274" s="105"/>
      <c r="CB274" s="98"/>
      <c r="CC274" s="279"/>
      <c r="CD274" s="52"/>
      <c r="CE274" s="105"/>
      <c r="CF274" s="98"/>
      <c r="CG274" s="279"/>
      <c r="CH274" s="52"/>
      <c r="CI274" s="105"/>
      <c r="CJ274" s="98"/>
      <c r="CK274" s="281"/>
      <c r="CL274" s="277"/>
      <c r="CM274" s="159"/>
      <c r="CN274" s="277"/>
      <c r="CO274" s="50">
        <f t="shared" si="122"/>
        <v>0</v>
      </c>
      <c r="CP274" s="103">
        <f t="shared" si="123"/>
        <v>0</v>
      </c>
      <c r="CQ274" s="280">
        <f t="shared" si="124"/>
        <v>0</v>
      </c>
      <c r="CR274" s="63">
        <f t="shared" si="125"/>
        <v>0</v>
      </c>
      <c r="CS274" s="279"/>
      <c r="CT274" s="52"/>
      <c r="CU274" s="105"/>
      <c r="CV274" s="98"/>
      <c r="CW274" s="279"/>
      <c r="CX274" s="52"/>
      <c r="CY274" s="105"/>
      <c r="CZ274" s="98"/>
      <c r="DA274" s="279"/>
      <c r="DB274" s="52"/>
      <c r="DC274" s="105"/>
      <c r="DD274" s="98"/>
      <c r="DE274" s="279"/>
      <c r="DF274" s="52"/>
      <c r="DG274" s="105"/>
      <c r="DH274" s="98"/>
      <c r="DI274" s="279"/>
      <c r="DJ274" s="52"/>
      <c r="DK274" s="105"/>
      <c r="DL274" s="98"/>
      <c r="DM274" s="279"/>
      <c r="DN274" s="52"/>
      <c r="DO274" s="105"/>
      <c r="DP274" s="98"/>
      <c r="DQ274" s="279"/>
      <c r="DR274" s="52"/>
      <c r="DS274" s="105"/>
      <c r="DT274" s="98"/>
      <c r="DU274" s="279"/>
      <c r="DV274" s="52"/>
      <c r="DW274" s="105"/>
      <c r="DX274" s="98"/>
      <c r="DY274" s="279"/>
      <c r="DZ274" s="52"/>
      <c r="EA274" s="105"/>
      <c r="EB274" s="98"/>
      <c r="EC274" s="279"/>
      <c r="ED274" s="52"/>
      <c r="EE274" s="105"/>
      <c r="EF274" s="98"/>
      <c r="EG274" s="159"/>
      <c r="EH274" s="277"/>
      <c r="EI274" s="50">
        <f t="shared" si="126"/>
        <v>0</v>
      </c>
      <c r="EJ274" s="103">
        <f t="shared" si="127"/>
        <v>0</v>
      </c>
      <c r="EK274" s="164">
        <f t="shared" si="128"/>
        <v>0</v>
      </c>
      <c r="EL274" s="280">
        <f t="shared" si="129"/>
        <v>0</v>
      </c>
      <c r="EM274" s="63">
        <f t="shared" si="130"/>
        <v>0</v>
      </c>
      <c r="EN274" s="359">
        <f t="shared" si="131"/>
        <v>0</v>
      </c>
      <c r="EO274" s="51">
        <f t="shared" si="132"/>
        <v>0</v>
      </c>
      <c r="EP274" s="361">
        <f t="shared" si="133"/>
        <v>0</v>
      </c>
      <c r="EQ274" s="281"/>
      <c r="ER274" s="277"/>
      <c r="ES274" s="281"/>
      <c r="ET274" s="277"/>
      <c r="EU274" s="281"/>
      <c r="EV274" s="277"/>
      <c r="EW274" s="281"/>
      <c r="EX274" s="277"/>
      <c r="EY274" s="281"/>
      <c r="EZ274" s="277"/>
      <c r="FA274" s="281"/>
      <c r="FB274" s="277"/>
      <c r="FC274" s="281"/>
      <c r="FD274" s="277"/>
      <c r="FE274" s="281"/>
      <c r="FF274" s="277"/>
      <c r="FG274" s="281"/>
      <c r="FH274" s="277"/>
      <c r="FI274" s="281"/>
      <c r="FJ274" s="277"/>
      <c r="FK274" s="50">
        <f t="shared" si="134"/>
        <v>0</v>
      </c>
      <c r="FL274" s="63">
        <f t="shared" si="135"/>
        <v>0</v>
      </c>
      <c r="FM274" s="50">
        <f t="shared" si="117"/>
        <v>33</v>
      </c>
      <c r="FN274" s="360">
        <f t="shared" si="118"/>
        <v>102</v>
      </c>
      <c r="FO274" s="335"/>
      <c r="FP274" s="279"/>
      <c r="FQ274" s="52"/>
      <c r="FR274" s="296"/>
      <c r="FS274" s="98"/>
      <c r="FT274" s="467"/>
      <c r="FU274" s="52"/>
      <c r="FV274" s="296"/>
      <c r="FW274" s="98"/>
      <c r="FX274" s="467"/>
      <c r="FY274" s="52"/>
      <c r="FZ274" s="296"/>
      <c r="GA274" s="98"/>
      <c r="GB274" s="467"/>
      <c r="GC274" s="52"/>
      <c r="GD274" s="296"/>
      <c r="GE274" s="98"/>
      <c r="GF274" s="467"/>
      <c r="GG274" s="52"/>
      <c r="GH274" s="296"/>
      <c r="GI274" s="98"/>
      <c r="GJ274" s="467"/>
      <c r="GK274" s="52"/>
      <c r="GL274" s="296"/>
      <c r="GM274" s="464"/>
      <c r="GN274" s="467"/>
      <c r="GO274" s="52"/>
      <c r="GP274" s="296"/>
      <c r="GQ274" s="464"/>
      <c r="GR274" s="467"/>
      <c r="GS274" s="52"/>
      <c r="GT274" s="296"/>
      <c r="GU274" s="464"/>
      <c r="GV274" s="467"/>
      <c r="GW274" s="52"/>
      <c r="GX274" s="296"/>
      <c r="GY274" s="464"/>
      <c r="GZ274" s="467"/>
      <c r="HA274" s="52"/>
      <c r="HB274" s="296"/>
      <c r="HC274" s="335"/>
    </row>
    <row r="275" spans="1:211" s="86" customFormat="1">
      <c r="A275" s="491" t="s">
        <v>759</v>
      </c>
      <c r="B275" s="326" t="s">
        <v>929</v>
      </c>
      <c r="C275" s="325">
        <v>160694</v>
      </c>
      <c r="D275" s="349">
        <v>14</v>
      </c>
      <c r="E275" s="460">
        <v>134</v>
      </c>
      <c r="F275" s="492">
        <v>181</v>
      </c>
      <c r="G275" s="158"/>
      <c r="H275" s="277"/>
      <c r="I275" s="158">
        <v>4</v>
      </c>
      <c r="J275" s="588">
        <v>4</v>
      </c>
      <c r="K275" s="160">
        <f t="shared" si="119"/>
        <v>0</v>
      </c>
      <c r="L275" s="161">
        <f t="shared" si="112"/>
        <v>0</v>
      </c>
      <c r="M275" s="54"/>
      <c r="N275" s="55"/>
      <c r="O275" s="55"/>
      <c r="P275" s="55"/>
      <c r="Q275" s="162">
        <f t="shared" si="120"/>
        <v>0</v>
      </c>
      <c r="R275" s="494"/>
      <c r="S275" s="277"/>
      <c r="T275" s="277"/>
      <c r="U275" s="277"/>
      <c r="V275" s="97">
        <f t="shared" si="121"/>
        <v>0</v>
      </c>
      <c r="W275" s="279"/>
      <c r="X275" s="52"/>
      <c r="Y275" s="99"/>
      <c r="Z275" s="53"/>
      <c r="AA275" s="228"/>
      <c r="AB275" s="52"/>
      <c r="AC275" s="99"/>
      <c r="AD275" s="53"/>
      <c r="AE275" s="228"/>
      <c r="AF275" s="52"/>
      <c r="AG275" s="99"/>
      <c r="AH275" s="53"/>
      <c r="AI275" s="228"/>
      <c r="AJ275" s="52"/>
      <c r="AK275" s="99"/>
      <c r="AL275" s="53"/>
      <c r="AM275" s="228"/>
      <c r="AN275" s="52"/>
      <c r="AO275" s="99"/>
      <c r="AP275" s="53"/>
      <c r="AQ275" s="50">
        <f t="shared" si="113"/>
        <v>0</v>
      </c>
      <c r="AR275" s="163">
        <f t="shared" si="114"/>
        <v>0</v>
      </c>
      <c r="AS275" s="97">
        <f t="shared" si="115"/>
        <v>0</v>
      </c>
      <c r="AT275" s="278">
        <f t="shared" si="116"/>
        <v>0</v>
      </c>
      <c r="AU275" s="55"/>
      <c r="AV275" s="277"/>
      <c r="AW275" s="279"/>
      <c r="AX275" s="52"/>
      <c r="AY275" s="105"/>
      <c r="AZ275" s="98"/>
      <c r="BA275" s="279"/>
      <c r="BB275" s="52"/>
      <c r="BC275" s="105"/>
      <c r="BD275" s="98"/>
      <c r="BE275" s="279"/>
      <c r="BF275" s="52"/>
      <c r="BG275" s="105"/>
      <c r="BH275" s="98"/>
      <c r="BI275" s="279"/>
      <c r="BJ275" s="52"/>
      <c r="BK275" s="105"/>
      <c r="BL275" s="98"/>
      <c r="BM275" s="279"/>
      <c r="BN275" s="52"/>
      <c r="BO275" s="105"/>
      <c r="BP275" s="98"/>
      <c r="BQ275" s="279"/>
      <c r="BR275" s="52"/>
      <c r="BS275" s="105"/>
      <c r="BT275" s="98"/>
      <c r="BU275" s="279"/>
      <c r="BV275" s="52"/>
      <c r="BW275" s="105"/>
      <c r="BX275" s="98"/>
      <c r="BY275" s="279"/>
      <c r="BZ275" s="52"/>
      <c r="CA275" s="105"/>
      <c r="CB275" s="98"/>
      <c r="CC275" s="279"/>
      <c r="CD275" s="52"/>
      <c r="CE275" s="105"/>
      <c r="CF275" s="98"/>
      <c r="CG275" s="279"/>
      <c r="CH275" s="52"/>
      <c r="CI275" s="105"/>
      <c r="CJ275" s="98"/>
      <c r="CK275" s="281"/>
      <c r="CL275" s="277"/>
      <c r="CM275" s="159"/>
      <c r="CN275" s="277"/>
      <c r="CO275" s="50">
        <f t="shared" si="122"/>
        <v>0</v>
      </c>
      <c r="CP275" s="103">
        <f t="shared" si="123"/>
        <v>0</v>
      </c>
      <c r="CQ275" s="280">
        <f t="shared" si="124"/>
        <v>0</v>
      </c>
      <c r="CR275" s="63">
        <f t="shared" si="125"/>
        <v>0</v>
      </c>
      <c r="CS275" s="279"/>
      <c r="CT275" s="52"/>
      <c r="CU275" s="105"/>
      <c r="CV275" s="98"/>
      <c r="CW275" s="279"/>
      <c r="CX275" s="52"/>
      <c r="CY275" s="105"/>
      <c r="CZ275" s="98"/>
      <c r="DA275" s="279"/>
      <c r="DB275" s="52"/>
      <c r="DC275" s="105"/>
      <c r="DD275" s="98"/>
      <c r="DE275" s="279"/>
      <c r="DF275" s="52"/>
      <c r="DG275" s="105"/>
      <c r="DH275" s="98"/>
      <c r="DI275" s="279"/>
      <c r="DJ275" s="52"/>
      <c r="DK275" s="105"/>
      <c r="DL275" s="98"/>
      <c r="DM275" s="279"/>
      <c r="DN275" s="52"/>
      <c r="DO275" s="105"/>
      <c r="DP275" s="98"/>
      <c r="DQ275" s="279"/>
      <c r="DR275" s="52"/>
      <c r="DS275" s="105"/>
      <c r="DT275" s="98"/>
      <c r="DU275" s="279"/>
      <c r="DV275" s="52"/>
      <c r="DW275" s="105"/>
      <c r="DX275" s="98"/>
      <c r="DY275" s="279"/>
      <c r="DZ275" s="52"/>
      <c r="EA275" s="105"/>
      <c r="EB275" s="98"/>
      <c r="EC275" s="279"/>
      <c r="ED275" s="52"/>
      <c r="EE275" s="105"/>
      <c r="EF275" s="98"/>
      <c r="EG275" s="159"/>
      <c r="EH275" s="277"/>
      <c r="EI275" s="50">
        <f t="shared" si="126"/>
        <v>0</v>
      </c>
      <c r="EJ275" s="103">
        <f t="shared" si="127"/>
        <v>0</v>
      </c>
      <c r="EK275" s="164">
        <f t="shared" si="128"/>
        <v>0</v>
      </c>
      <c r="EL275" s="280">
        <f t="shared" si="129"/>
        <v>0</v>
      </c>
      <c r="EM275" s="63">
        <f t="shared" si="130"/>
        <v>0</v>
      </c>
      <c r="EN275" s="359">
        <f t="shared" si="131"/>
        <v>0</v>
      </c>
      <c r="EO275" s="51">
        <f t="shared" si="132"/>
        <v>0</v>
      </c>
      <c r="EP275" s="361">
        <f t="shared" si="133"/>
        <v>0</v>
      </c>
      <c r="EQ275" s="281"/>
      <c r="ER275" s="277"/>
      <c r="ES275" s="281"/>
      <c r="ET275" s="277"/>
      <c r="EU275" s="281"/>
      <c r="EV275" s="277"/>
      <c r="EW275" s="281"/>
      <c r="EX275" s="277"/>
      <c r="EY275" s="281"/>
      <c r="EZ275" s="277"/>
      <c r="FA275" s="281"/>
      <c r="FB275" s="277"/>
      <c r="FC275" s="281"/>
      <c r="FD275" s="277"/>
      <c r="FE275" s="281"/>
      <c r="FF275" s="277"/>
      <c r="FG275" s="281"/>
      <c r="FH275" s="277"/>
      <c r="FI275" s="281"/>
      <c r="FJ275" s="277"/>
      <c r="FK275" s="50">
        <f t="shared" si="134"/>
        <v>0</v>
      </c>
      <c r="FL275" s="63">
        <f t="shared" si="135"/>
        <v>0</v>
      </c>
      <c r="FM275" s="50">
        <f t="shared" si="117"/>
        <v>138</v>
      </c>
      <c r="FN275" s="360">
        <f t="shared" si="118"/>
        <v>185</v>
      </c>
      <c r="FO275" s="335"/>
      <c r="FP275" s="279"/>
      <c r="FQ275" s="52"/>
      <c r="FR275" s="296"/>
      <c r="FS275" s="98"/>
      <c r="FT275" s="467"/>
      <c r="FU275" s="52"/>
      <c r="FV275" s="296"/>
      <c r="FW275" s="98"/>
      <c r="FX275" s="467"/>
      <c r="FY275" s="52"/>
      <c r="FZ275" s="296"/>
      <c r="GA275" s="98"/>
      <c r="GB275" s="467"/>
      <c r="GC275" s="52"/>
      <c r="GD275" s="296"/>
      <c r="GE275" s="98"/>
      <c r="GF275" s="467"/>
      <c r="GG275" s="52"/>
      <c r="GH275" s="296"/>
      <c r="GI275" s="98"/>
      <c r="GJ275" s="467"/>
      <c r="GK275" s="52"/>
      <c r="GL275" s="296"/>
      <c r="GM275" s="464"/>
      <c r="GN275" s="467"/>
      <c r="GO275" s="52"/>
      <c r="GP275" s="296"/>
      <c r="GQ275" s="464"/>
      <c r="GR275" s="467"/>
      <c r="GS275" s="52"/>
      <c r="GT275" s="296"/>
      <c r="GU275" s="464"/>
      <c r="GV275" s="467"/>
      <c r="GW275" s="52"/>
      <c r="GX275" s="296"/>
      <c r="GY275" s="464"/>
      <c r="GZ275" s="467"/>
      <c r="HA275" s="52"/>
      <c r="HB275" s="296"/>
      <c r="HC275" s="335"/>
    </row>
    <row r="276" spans="1:211" s="86" customFormat="1">
      <c r="A276" s="491" t="s">
        <v>759</v>
      </c>
      <c r="B276" s="326" t="s">
        <v>930</v>
      </c>
      <c r="C276" s="325">
        <v>159267</v>
      </c>
      <c r="D276" s="349">
        <v>14</v>
      </c>
      <c r="E276" s="460">
        <v>14</v>
      </c>
      <c r="F276" s="492">
        <v>12</v>
      </c>
      <c r="G276" s="158"/>
      <c r="H276" s="277"/>
      <c r="I276" s="158"/>
      <c r="J276" s="588">
        <v>4</v>
      </c>
      <c r="K276" s="160">
        <f t="shared" si="119"/>
        <v>0</v>
      </c>
      <c r="L276" s="161">
        <f t="shared" si="112"/>
        <v>0</v>
      </c>
      <c r="M276" s="54"/>
      <c r="N276" s="55"/>
      <c r="O276" s="55"/>
      <c r="P276" s="55"/>
      <c r="Q276" s="162">
        <f t="shared" si="120"/>
        <v>0</v>
      </c>
      <c r="R276" s="494"/>
      <c r="S276" s="277"/>
      <c r="T276" s="277"/>
      <c r="U276" s="277"/>
      <c r="V276" s="97">
        <f t="shared" si="121"/>
        <v>0</v>
      </c>
      <c r="W276" s="279"/>
      <c r="X276" s="52"/>
      <c r="Y276" s="99"/>
      <c r="Z276" s="53"/>
      <c r="AA276" s="228"/>
      <c r="AB276" s="52"/>
      <c r="AC276" s="99"/>
      <c r="AD276" s="53"/>
      <c r="AE276" s="228"/>
      <c r="AF276" s="52"/>
      <c r="AG276" s="99"/>
      <c r="AH276" s="53"/>
      <c r="AI276" s="228"/>
      <c r="AJ276" s="52"/>
      <c r="AK276" s="99"/>
      <c r="AL276" s="53"/>
      <c r="AM276" s="228"/>
      <c r="AN276" s="52"/>
      <c r="AO276" s="99"/>
      <c r="AP276" s="53"/>
      <c r="AQ276" s="50">
        <f t="shared" si="113"/>
        <v>0</v>
      </c>
      <c r="AR276" s="163">
        <f t="shared" si="114"/>
        <v>0</v>
      </c>
      <c r="AS276" s="97">
        <f t="shared" si="115"/>
        <v>0</v>
      </c>
      <c r="AT276" s="278">
        <f t="shared" si="116"/>
        <v>0</v>
      </c>
      <c r="AU276" s="55"/>
      <c r="AV276" s="277"/>
      <c r="AW276" s="279"/>
      <c r="AX276" s="52"/>
      <c r="AY276" s="105"/>
      <c r="AZ276" s="98"/>
      <c r="BA276" s="279"/>
      <c r="BB276" s="52"/>
      <c r="BC276" s="105"/>
      <c r="BD276" s="98"/>
      <c r="BE276" s="279"/>
      <c r="BF276" s="52"/>
      <c r="BG276" s="105"/>
      <c r="BH276" s="98"/>
      <c r="BI276" s="279"/>
      <c r="BJ276" s="52"/>
      <c r="BK276" s="105"/>
      <c r="BL276" s="98"/>
      <c r="BM276" s="279"/>
      <c r="BN276" s="52"/>
      <c r="BO276" s="105"/>
      <c r="BP276" s="98"/>
      <c r="BQ276" s="279"/>
      <c r="BR276" s="52"/>
      <c r="BS276" s="105"/>
      <c r="BT276" s="98"/>
      <c r="BU276" s="279"/>
      <c r="BV276" s="52"/>
      <c r="BW276" s="105"/>
      <c r="BX276" s="98"/>
      <c r="BY276" s="279"/>
      <c r="BZ276" s="52"/>
      <c r="CA276" s="105"/>
      <c r="CB276" s="98"/>
      <c r="CC276" s="279"/>
      <c r="CD276" s="52"/>
      <c r="CE276" s="105"/>
      <c r="CF276" s="98"/>
      <c r="CG276" s="279"/>
      <c r="CH276" s="52"/>
      <c r="CI276" s="105"/>
      <c r="CJ276" s="98"/>
      <c r="CK276" s="281"/>
      <c r="CL276" s="277"/>
      <c r="CM276" s="159"/>
      <c r="CN276" s="277"/>
      <c r="CO276" s="50">
        <f t="shared" si="122"/>
        <v>0</v>
      </c>
      <c r="CP276" s="103">
        <f t="shared" si="123"/>
        <v>0</v>
      </c>
      <c r="CQ276" s="280">
        <f t="shared" si="124"/>
        <v>0</v>
      </c>
      <c r="CR276" s="63">
        <f t="shared" si="125"/>
        <v>0</v>
      </c>
      <c r="CS276" s="279"/>
      <c r="CT276" s="52"/>
      <c r="CU276" s="105"/>
      <c r="CV276" s="98"/>
      <c r="CW276" s="279"/>
      <c r="CX276" s="52"/>
      <c r="CY276" s="105"/>
      <c r="CZ276" s="98"/>
      <c r="DA276" s="279"/>
      <c r="DB276" s="52"/>
      <c r="DC276" s="105"/>
      <c r="DD276" s="98"/>
      <c r="DE276" s="279"/>
      <c r="DF276" s="52"/>
      <c r="DG276" s="105"/>
      <c r="DH276" s="98"/>
      <c r="DI276" s="279"/>
      <c r="DJ276" s="52"/>
      <c r="DK276" s="105"/>
      <c r="DL276" s="98"/>
      <c r="DM276" s="279"/>
      <c r="DN276" s="52"/>
      <c r="DO276" s="105"/>
      <c r="DP276" s="98"/>
      <c r="DQ276" s="279"/>
      <c r="DR276" s="52"/>
      <c r="DS276" s="105"/>
      <c r="DT276" s="98"/>
      <c r="DU276" s="279"/>
      <c r="DV276" s="52"/>
      <c r="DW276" s="105"/>
      <c r="DX276" s="98"/>
      <c r="DY276" s="279"/>
      <c r="DZ276" s="52"/>
      <c r="EA276" s="105"/>
      <c r="EB276" s="98"/>
      <c r="EC276" s="279"/>
      <c r="ED276" s="52"/>
      <c r="EE276" s="105"/>
      <c r="EF276" s="98"/>
      <c r="EG276" s="159"/>
      <c r="EH276" s="277"/>
      <c r="EI276" s="50">
        <f t="shared" si="126"/>
        <v>0</v>
      </c>
      <c r="EJ276" s="103">
        <f t="shared" si="127"/>
        <v>0</v>
      </c>
      <c r="EK276" s="164">
        <f t="shared" si="128"/>
        <v>0</v>
      </c>
      <c r="EL276" s="280">
        <f t="shared" si="129"/>
        <v>0</v>
      </c>
      <c r="EM276" s="63">
        <f t="shared" si="130"/>
        <v>0</v>
      </c>
      <c r="EN276" s="359">
        <f t="shared" si="131"/>
        <v>0</v>
      </c>
      <c r="EO276" s="51">
        <f t="shared" si="132"/>
        <v>0</v>
      </c>
      <c r="EP276" s="361">
        <f t="shared" si="133"/>
        <v>0</v>
      </c>
      <c r="EQ276" s="281"/>
      <c r="ER276" s="277"/>
      <c r="ES276" s="281"/>
      <c r="ET276" s="277"/>
      <c r="EU276" s="281"/>
      <c r="EV276" s="277"/>
      <c r="EW276" s="281"/>
      <c r="EX276" s="277"/>
      <c r="EY276" s="281"/>
      <c r="EZ276" s="277"/>
      <c r="FA276" s="281"/>
      <c r="FB276" s="277"/>
      <c r="FC276" s="281"/>
      <c r="FD276" s="277"/>
      <c r="FE276" s="281"/>
      <c r="FF276" s="277"/>
      <c r="FG276" s="281"/>
      <c r="FH276" s="277"/>
      <c r="FI276" s="281"/>
      <c r="FJ276" s="277"/>
      <c r="FK276" s="50">
        <f t="shared" si="134"/>
        <v>0</v>
      </c>
      <c r="FL276" s="63">
        <f t="shared" si="135"/>
        <v>0</v>
      </c>
      <c r="FM276" s="50">
        <f t="shared" si="117"/>
        <v>14</v>
      </c>
      <c r="FN276" s="360">
        <f t="shared" si="118"/>
        <v>16</v>
      </c>
      <c r="FO276" s="335"/>
      <c r="FP276" s="279"/>
      <c r="FQ276" s="52"/>
      <c r="FR276" s="296"/>
      <c r="FS276" s="98"/>
      <c r="FT276" s="467"/>
      <c r="FU276" s="52"/>
      <c r="FV276" s="296"/>
      <c r="FW276" s="98"/>
      <c r="FX276" s="467"/>
      <c r="FY276" s="52"/>
      <c r="FZ276" s="296"/>
      <c r="GA276" s="98"/>
      <c r="GB276" s="467"/>
      <c r="GC276" s="52"/>
      <c r="GD276" s="296"/>
      <c r="GE276" s="98"/>
      <c r="GF276" s="467"/>
      <c r="GG276" s="52"/>
      <c r="GH276" s="296"/>
      <c r="GI276" s="98"/>
      <c r="GJ276" s="467"/>
      <c r="GK276" s="52"/>
      <c r="GL276" s="296"/>
      <c r="GM276" s="464"/>
      <c r="GN276" s="467"/>
      <c r="GO276" s="52"/>
      <c r="GP276" s="296"/>
      <c r="GQ276" s="464"/>
      <c r="GR276" s="467"/>
      <c r="GS276" s="52"/>
      <c r="GT276" s="296"/>
      <c r="GU276" s="464"/>
      <c r="GV276" s="467"/>
      <c r="GW276" s="52"/>
      <c r="GX276" s="296"/>
      <c r="GY276" s="464"/>
      <c r="GZ276" s="467"/>
      <c r="HA276" s="52"/>
      <c r="HB276" s="296"/>
      <c r="HC276" s="335"/>
    </row>
    <row r="277" spans="1:211" s="86" customFormat="1">
      <c r="A277" s="491" t="s">
        <v>759</v>
      </c>
      <c r="B277" s="326" t="s">
        <v>931</v>
      </c>
      <c r="C277" s="325">
        <v>160870</v>
      </c>
      <c r="D277" s="349">
        <v>14</v>
      </c>
      <c r="E277" s="460">
        <v>5</v>
      </c>
      <c r="F277" s="492">
        <v>20</v>
      </c>
      <c r="G277" s="158"/>
      <c r="H277" s="277"/>
      <c r="I277" s="158"/>
      <c r="J277" s="588"/>
      <c r="K277" s="160">
        <f t="shared" si="119"/>
        <v>0</v>
      </c>
      <c r="L277" s="161">
        <f t="shared" si="112"/>
        <v>0</v>
      </c>
      <c r="M277" s="54"/>
      <c r="N277" s="55"/>
      <c r="O277" s="55"/>
      <c r="P277" s="55"/>
      <c r="Q277" s="162">
        <f t="shared" si="120"/>
        <v>0</v>
      </c>
      <c r="R277" s="494"/>
      <c r="S277" s="277"/>
      <c r="T277" s="277"/>
      <c r="U277" s="277"/>
      <c r="V277" s="97">
        <f t="shared" si="121"/>
        <v>0</v>
      </c>
      <c r="W277" s="279"/>
      <c r="X277" s="52"/>
      <c r="Y277" s="99"/>
      <c r="Z277" s="53"/>
      <c r="AA277" s="228"/>
      <c r="AB277" s="52"/>
      <c r="AC277" s="99"/>
      <c r="AD277" s="53"/>
      <c r="AE277" s="228"/>
      <c r="AF277" s="52"/>
      <c r="AG277" s="99"/>
      <c r="AH277" s="53"/>
      <c r="AI277" s="228"/>
      <c r="AJ277" s="52"/>
      <c r="AK277" s="99"/>
      <c r="AL277" s="53"/>
      <c r="AM277" s="228"/>
      <c r="AN277" s="52"/>
      <c r="AO277" s="99"/>
      <c r="AP277" s="53"/>
      <c r="AQ277" s="50">
        <f t="shared" si="113"/>
        <v>0</v>
      </c>
      <c r="AR277" s="163">
        <f t="shared" si="114"/>
        <v>0</v>
      </c>
      <c r="AS277" s="97">
        <f t="shared" si="115"/>
        <v>0</v>
      </c>
      <c r="AT277" s="278">
        <f t="shared" si="116"/>
        <v>0</v>
      </c>
      <c r="AU277" s="55"/>
      <c r="AV277" s="277"/>
      <c r="AW277" s="279"/>
      <c r="AX277" s="52"/>
      <c r="AY277" s="105"/>
      <c r="AZ277" s="98"/>
      <c r="BA277" s="279"/>
      <c r="BB277" s="52"/>
      <c r="BC277" s="105"/>
      <c r="BD277" s="98"/>
      <c r="BE277" s="279"/>
      <c r="BF277" s="52"/>
      <c r="BG277" s="105"/>
      <c r="BH277" s="98"/>
      <c r="BI277" s="279"/>
      <c r="BJ277" s="52"/>
      <c r="BK277" s="105"/>
      <c r="BL277" s="98"/>
      <c r="BM277" s="279"/>
      <c r="BN277" s="52"/>
      <c r="BO277" s="105"/>
      <c r="BP277" s="98"/>
      <c r="BQ277" s="279"/>
      <c r="BR277" s="52"/>
      <c r="BS277" s="105"/>
      <c r="BT277" s="98"/>
      <c r="BU277" s="279"/>
      <c r="BV277" s="52"/>
      <c r="BW277" s="105"/>
      <c r="BX277" s="98"/>
      <c r="BY277" s="279"/>
      <c r="BZ277" s="52"/>
      <c r="CA277" s="105"/>
      <c r="CB277" s="98"/>
      <c r="CC277" s="279"/>
      <c r="CD277" s="52"/>
      <c r="CE277" s="105"/>
      <c r="CF277" s="98"/>
      <c r="CG277" s="279"/>
      <c r="CH277" s="52"/>
      <c r="CI277" s="105"/>
      <c r="CJ277" s="98"/>
      <c r="CK277" s="281"/>
      <c r="CL277" s="277"/>
      <c r="CM277" s="159"/>
      <c r="CN277" s="277"/>
      <c r="CO277" s="50">
        <f t="shared" si="122"/>
        <v>0</v>
      </c>
      <c r="CP277" s="103">
        <f t="shared" si="123"/>
        <v>0</v>
      </c>
      <c r="CQ277" s="280">
        <f t="shared" si="124"/>
        <v>0</v>
      </c>
      <c r="CR277" s="63">
        <f t="shared" si="125"/>
        <v>0</v>
      </c>
      <c r="CS277" s="279"/>
      <c r="CT277" s="52"/>
      <c r="CU277" s="105"/>
      <c r="CV277" s="98"/>
      <c r="CW277" s="279"/>
      <c r="CX277" s="52"/>
      <c r="CY277" s="105"/>
      <c r="CZ277" s="98"/>
      <c r="DA277" s="279"/>
      <c r="DB277" s="52"/>
      <c r="DC277" s="105"/>
      <c r="DD277" s="98"/>
      <c r="DE277" s="279"/>
      <c r="DF277" s="52"/>
      <c r="DG277" s="105"/>
      <c r="DH277" s="98"/>
      <c r="DI277" s="279"/>
      <c r="DJ277" s="52"/>
      <c r="DK277" s="105"/>
      <c r="DL277" s="98"/>
      <c r="DM277" s="279"/>
      <c r="DN277" s="52"/>
      <c r="DO277" s="105"/>
      <c r="DP277" s="98"/>
      <c r="DQ277" s="279"/>
      <c r="DR277" s="52"/>
      <c r="DS277" s="105"/>
      <c r="DT277" s="98"/>
      <c r="DU277" s="279"/>
      <c r="DV277" s="52"/>
      <c r="DW277" s="105"/>
      <c r="DX277" s="98"/>
      <c r="DY277" s="279"/>
      <c r="DZ277" s="52"/>
      <c r="EA277" s="105"/>
      <c r="EB277" s="98"/>
      <c r="EC277" s="279"/>
      <c r="ED277" s="52"/>
      <c r="EE277" s="105"/>
      <c r="EF277" s="98"/>
      <c r="EG277" s="159"/>
      <c r="EH277" s="277"/>
      <c r="EI277" s="50">
        <f t="shared" si="126"/>
        <v>0</v>
      </c>
      <c r="EJ277" s="103">
        <f t="shared" si="127"/>
        <v>0</v>
      </c>
      <c r="EK277" s="164">
        <f t="shared" si="128"/>
        <v>0</v>
      </c>
      <c r="EL277" s="280">
        <f t="shared" si="129"/>
        <v>0</v>
      </c>
      <c r="EM277" s="63">
        <f t="shared" si="130"/>
        <v>0</v>
      </c>
      <c r="EN277" s="359">
        <f t="shared" si="131"/>
        <v>0</v>
      </c>
      <c r="EO277" s="51">
        <f t="shared" si="132"/>
        <v>0</v>
      </c>
      <c r="EP277" s="361">
        <f t="shared" si="133"/>
        <v>0</v>
      </c>
      <c r="EQ277" s="281"/>
      <c r="ER277" s="277"/>
      <c r="ES277" s="281"/>
      <c r="ET277" s="277"/>
      <c r="EU277" s="281"/>
      <c r="EV277" s="277"/>
      <c r="EW277" s="281"/>
      <c r="EX277" s="277"/>
      <c r="EY277" s="281"/>
      <c r="EZ277" s="277"/>
      <c r="FA277" s="281"/>
      <c r="FB277" s="277"/>
      <c r="FC277" s="281"/>
      <c r="FD277" s="277"/>
      <c r="FE277" s="281"/>
      <c r="FF277" s="277"/>
      <c r="FG277" s="281"/>
      <c r="FH277" s="277"/>
      <c r="FI277" s="281"/>
      <c r="FJ277" s="277"/>
      <c r="FK277" s="50">
        <f t="shared" si="134"/>
        <v>0</v>
      </c>
      <c r="FL277" s="63">
        <f t="shared" si="135"/>
        <v>0</v>
      </c>
      <c r="FM277" s="50">
        <f t="shared" si="117"/>
        <v>5</v>
      </c>
      <c r="FN277" s="360">
        <f t="shared" si="118"/>
        <v>20</v>
      </c>
      <c r="FO277" s="335"/>
      <c r="FP277" s="279"/>
      <c r="FQ277" s="52"/>
      <c r="FR277" s="296"/>
      <c r="FS277" s="98"/>
      <c r="FT277" s="467"/>
      <c r="FU277" s="52"/>
      <c r="FV277" s="296"/>
      <c r="FW277" s="98"/>
      <c r="FX277" s="467"/>
      <c r="FY277" s="52"/>
      <c r="FZ277" s="296"/>
      <c r="GA277" s="98"/>
      <c r="GB277" s="467"/>
      <c r="GC277" s="52"/>
      <c r="GD277" s="296"/>
      <c r="GE277" s="98"/>
      <c r="GF277" s="467"/>
      <c r="GG277" s="52"/>
      <c r="GH277" s="296"/>
      <c r="GI277" s="98"/>
      <c r="GJ277" s="467"/>
      <c r="GK277" s="52"/>
      <c r="GL277" s="296"/>
      <c r="GM277" s="464"/>
      <c r="GN277" s="467"/>
      <c r="GO277" s="52"/>
      <c r="GP277" s="296"/>
      <c r="GQ277" s="464"/>
      <c r="GR277" s="467"/>
      <c r="GS277" s="52"/>
      <c r="GT277" s="296"/>
      <c r="GU277" s="464"/>
      <c r="GV277" s="467"/>
      <c r="GW277" s="52"/>
      <c r="GX277" s="296"/>
      <c r="GY277" s="464"/>
      <c r="GZ277" s="467"/>
      <c r="HA277" s="52"/>
      <c r="HB277" s="296"/>
      <c r="HC277" s="335"/>
    </row>
    <row r="278" spans="1:211" s="86" customFormat="1">
      <c r="A278" s="491" t="s">
        <v>759</v>
      </c>
      <c r="B278" s="326" t="s">
        <v>932</v>
      </c>
      <c r="C278" s="325">
        <v>160913</v>
      </c>
      <c r="D278" s="349">
        <v>14</v>
      </c>
      <c r="E278" s="460">
        <v>83</v>
      </c>
      <c r="F278" s="492">
        <v>118</v>
      </c>
      <c r="G278" s="158"/>
      <c r="H278" s="277"/>
      <c r="I278" s="158">
        <v>16</v>
      </c>
      <c r="J278" s="588">
        <v>6</v>
      </c>
      <c r="K278" s="160">
        <f t="shared" si="119"/>
        <v>0</v>
      </c>
      <c r="L278" s="161">
        <f t="shared" si="112"/>
        <v>0</v>
      </c>
      <c r="M278" s="54"/>
      <c r="N278" s="55"/>
      <c r="O278" s="55"/>
      <c r="P278" s="55"/>
      <c r="Q278" s="162">
        <f t="shared" si="120"/>
        <v>0</v>
      </c>
      <c r="R278" s="494"/>
      <c r="S278" s="277"/>
      <c r="T278" s="277"/>
      <c r="U278" s="277"/>
      <c r="V278" s="97">
        <f t="shared" si="121"/>
        <v>0</v>
      </c>
      <c r="W278" s="279"/>
      <c r="X278" s="52"/>
      <c r="Y278" s="99"/>
      <c r="Z278" s="53"/>
      <c r="AA278" s="228"/>
      <c r="AB278" s="52"/>
      <c r="AC278" s="99"/>
      <c r="AD278" s="53"/>
      <c r="AE278" s="228"/>
      <c r="AF278" s="52"/>
      <c r="AG278" s="99"/>
      <c r="AH278" s="53"/>
      <c r="AI278" s="228"/>
      <c r="AJ278" s="52"/>
      <c r="AK278" s="99"/>
      <c r="AL278" s="53"/>
      <c r="AM278" s="228"/>
      <c r="AN278" s="52"/>
      <c r="AO278" s="99"/>
      <c r="AP278" s="53"/>
      <c r="AQ278" s="50">
        <f t="shared" si="113"/>
        <v>0</v>
      </c>
      <c r="AR278" s="163">
        <f t="shared" si="114"/>
        <v>0</v>
      </c>
      <c r="AS278" s="97">
        <f t="shared" si="115"/>
        <v>0</v>
      </c>
      <c r="AT278" s="278">
        <f t="shared" si="116"/>
        <v>0</v>
      </c>
      <c r="AU278" s="55"/>
      <c r="AV278" s="277"/>
      <c r="AW278" s="279"/>
      <c r="AX278" s="52"/>
      <c r="AY278" s="105"/>
      <c r="AZ278" s="98"/>
      <c r="BA278" s="279"/>
      <c r="BB278" s="52"/>
      <c r="BC278" s="105"/>
      <c r="BD278" s="98"/>
      <c r="BE278" s="279"/>
      <c r="BF278" s="52"/>
      <c r="BG278" s="105"/>
      <c r="BH278" s="98"/>
      <c r="BI278" s="279"/>
      <c r="BJ278" s="52"/>
      <c r="BK278" s="105"/>
      <c r="BL278" s="98"/>
      <c r="BM278" s="279"/>
      <c r="BN278" s="52"/>
      <c r="BO278" s="105"/>
      <c r="BP278" s="98"/>
      <c r="BQ278" s="279"/>
      <c r="BR278" s="52"/>
      <c r="BS278" s="105"/>
      <c r="BT278" s="98"/>
      <c r="BU278" s="279"/>
      <c r="BV278" s="52"/>
      <c r="BW278" s="105"/>
      <c r="BX278" s="98"/>
      <c r="BY278" s="279"/>
      <c r="BZ278" s="52"/>
      <c r="CA278" s="105"/>
      <c r="CB278" s="98"/>
      <c r="CC278" s="279"/>
      <c r="CD278" s="52"/>
      <c r="CE278" s="105"/>
      <c r="CF278" s="98"/>
      <c r="CG278" s="279"/>
      <c r="CH278" s="52"/>
      <c r="CI278" s="105"/>
      <c r="CJ278" s="98"/>
      <c r="CK278" s="281"/>
      <c r="CL278" s="277"/>
      <c r="CM278" s="159"/>
      <c r="CN278" s="277"/>
      <c r="CO278" s="50">
        <f t="shared" si="122"/>
        <v>0</v>
      </c>
      <c r="CP278" s="103">
        <f t="shared" si="123"/>
        <v>0</v>
      </c>
      <c r="CQ278" s="280">
        <f t="shared" si="124"/>
        <v>0</v>
      </c>
      <c r="CR278" s="63">
        <f t="shared" si="125"/>
        <v>0</v>
      </c>
      <c r="CS278" s="279"/>
      <c r="CT278" s="52"/>
      <c r="CU278" s="105"/>
      <c r="CV278" s="335"/>
      <c r="CW278" s="279"/>
      <c r="CX278" s="52"/>
      <c r="CY278" s="105"/>
      <c r="CZ278" s="98"/>
      <c r="DA278" s="279"/>
      <c r="DB278" s="52"/>
      <c r="DC278" s="105"/>
      <c r="DD278" s="98"/>
      <c r="DE278" s="279"/>
      <c r="DF278" s="52"/>
      <c r="DG278" s="105"/>
      <c r="DH278" s="98"/>
      <c r="DI278" s="279"/>
      <c r="DJ278" s="52"/>
      <c r="DK278" s="105"/>
      <c r="DL278" s="98"/>
      <c r="DM278" s="279"/>
      <c r="DN278" s="52"/>
      <c r="DO278" s="105"/>
      <c r="DP278" s="98"/>
      <c r="DQ278" s="279"/>
      <c r="DR278" s="52"/>
      <c r="DS278" s="105"/>
      <c r="DT278" s="98"/>
      <c r="DU278" s="279"/>
      <c r="DV278" s="52"/>
      <c r="DW278" s="105"/>
      <c r="DX278" s="98"/>
      <c r="DY278" s="279"/>
      <c r="DZ278" s="52"/>
      <c r="EA278" s="105"/>
      <c r="EB278" s="98"/>
      <c r="EC278" s="279"/>
      <c r="ED278" s="52"/>
      <c r="EE278" s="105"/>
      <c r="EF278" s="98"/>
      <c r="EG278" s="159"/>
      <c r="EH278" s="277"/>
      <c r="EI278" s="50">
        <f t="shared" si="126"/>
        <v>0</v>
      </c>
      <c r="EJ278" s="103">
        <f t="shared" si="127"/>
        <v>0</v>
      </c>
      <c r="EK278" s="164">
        <f t="shared" si="128"/>
        <v>0</v>
      </c>
      <c r="EL278" s="280">
        <f t="shared" si="129"/>
        <v>0</v>
      </c>
      <c r="EM278" s="63">
        <f t="shared" si="130"/>
        <v>0</v>
      </c>
      <c r="EN278" s="359">
        <f t="shared" si="131"/>
        <v>0</v>
      </c>
      <c r="EO278" s="51">
        <f t="shared" si="132"/>
        <v>0</v>
      </c>
      <c r="EP278" s="361">
        <f t="shared" si="133"/>
        <v>0</v>
      </c>
      <c r="EQ278" s="281"/>
      <c r="ER278" s="277"/>
      <c r="ES278" s="281"/>
      <c r="ET278" s="277"/>
      <c r="EU278" s="281"/>
      <c r="EV278" s="277"/>
      <c r="EW278" s="281"/>
      <c r="EX278" s="277"/>
      <c r="EY278" s="281"/>
      <c r="EZ278" s="277"/>
      <c r="FA278" s="281"/>
      <c r="FB278" s="277"/>
      <c r="FC278" s="281"/>
      <c r="FD278" s="277"/>
      <c r="FE278" s="281"/>
      <c r="FF278" s="277"/>
      <c r="FG278" s="281"/>
      <c r="FH278" s="277"/>
      <c r="FI278" s="281"/>
      <c r="FJ278" s="277"/>
      <c r="FK278" s="50">
        <f t="shared" si="134"/>
        <v>0</v>
      </c>
      <c r="FL278" s="63">
        <f t="shared" si="135"/>
        <v>0</v>
      </c>
      <c r="FM278" s="50">
        <f t="shared" si="117"/>
        <v>99</v>
      </c>
      <c r="FN278" s="360">
        <f t="shared" si="118"/>
        <v>124</v>
      </c>
      <c r="FO278" s="335"/>
      <c r="FP278" s="279"/>
      <c r="FQ278" s="52"/>
      <c r="FR278" s="296"/>
      <c r="FS278" s="98"/>
      <c r="FT278" s="467"/>
      <c r="FU278" s="52"/>
      <c r="FV278" s="296"/>
      <c r="FW278" s="98"/>
      <c r="FX278" s="467"/>
      <c r="FY278" s="52"/>
      <c r="FZ278" s="296"/>
      <c r="GA278" s="98"/>
      <c r="GB278" s="467"/>
      <c r="GC278" s="52"/>
      <c r="GD278" s="296"/>
      <c r="GE278" s="98"/>
      <c r="GF278" s="467"/>
      <c r="GG278" s="52"/>
      <c r="GH278" s="296"/>
      <c r="GI278" s="98"/>
      <c r="GJ278" s="467"/>
      <c r="GK278" s="52"/>
      <c r="GL278" s="296"/>
      <c r="GM278" s="464"/>
      <c r="GN278" s="467"/>
      <c r="GO278" s="52"/>
      <c r="GP278" s="296"/>
      <c r="GQ278" s="464"/>
      <c r="GR278" s="467"/>
      <c r="GS278" s="52"/>
      <c r="GT278" s="296"/>
      <c r="GU278" s="464"/>
      <c r="GV278" s="467"/>
      <c r="GW278" s="52"/>
      <c r="GX278" s="296"/>
      <c r="GY278" s="464"/>
      <c r="GZ278" s="467"/>
      <c r="HA278" s="52"/>
      <c r="HB278" s="296"/>
      <c r="HC278" s="335"/>
    </row>
    <row r="279" spans="1:211" s="86" customFormat="1">
      <c r="A279" s="491" t="s">
        <v>759</v>
      </c>
      <c r="B279" s="326" t="s">
        <v>933</v>
      </c>
      <c r="C279" s="325">
        <v>159373</v>
      </c>
      <c r="D279" s="349">
        <v>15</v>
      </c>
      <c r="E279" s="460"/>
      <c r="F279" s="492"/>
      <c r="G279" s="158"/>
      <c r="H279" s="277"/>
      <c r="I279" s="158">
        <v>5</v>
      </c>
      <c r="J279" s="588">
        <v>6</v>
      </c>
      <c r="K279" s="160">
        <f t="shared" si="119"/>
        <v>2.0491803278688523E-2</v>
      </c>
      <c r="L279" s="161">
        <f t="shared" si="112"/>
        <v>2.3529411764705882E-2</v>
      </c>
      <c r="M279" s="54">
        <v>244</v>
      </c>
      <c r="N279" s="55"/>
      <c r="O279" s="55"/>
      <c r="P279" s="55"/>
      <c r="Q279" s="162">
        <f t="shared" si="120"/>
        <v>0</v>
      </c>
      <c r="R279" s="494">
        <v>255</v>
      </c>
      <c r="S279" s="277"/>
      <c r="T279" s="277"/>
      <c r="U279" s="277"/>
      <c r="V279" s="97">
        <f t="shared" si="121"/>
        <v>0</v>
      </c>
      <c r="W279" s="279"/>
      <c r="X279" s="52"/>
      <c r="Y279" s="99"/>
      <c r="Z279" s="53"/>
      <c r="AA279" s="228"/>
      <c r="AB279" s="52"/>
      <c r="AC279" s="99"/>
      <c r="AD279" s="53"/>
      <c r="AE279" s="228"/>
      <c r="AF279" s="52"/>
      <c r="AG279" s="99"/>
      <c r="AH279" s="53"/>
      <c r="AI279" s="228"/>
      <c r="AJ279" s="52"/>
      <c r="AK279" s="99"/>
      <c r="AL279" s="53"/>
      <c r="AM279" s="228"/>
      <c r="AN279" s="52"/>
      <c r="AO279" s="99"/>
      <c r="AP279" s="53"/>
      <c r="AQ279" s="50">
        <f t="shared" si="113"/>
        <v>0</v>
      </c>
      <c r="AR279" s="163">
        <f t="shared" si="114"/>
        <v>0.36309523809523808</v>
      </c>
      <c r="AS279" s="97">
        <f t="shared" si="115"/>
        <v>0</v>
      </c>
      <c r="AT279" s="278">
        <f t="shared" si="116"/>
        <v>0.37555228276877761</v>
      </c>
      <c r="AU279" s="55"/>
      <c r="AV279" s="277"/>
      <c r="AW279" s="279">
        <v>51</v>
      </c>
      <c r="AX279" s="52">
        <v>168</v>
      </c>
      <c r="AY279" s="653" t="s">
        <v>733</v>
      </c>
      <c r="AZ279" s="654">
        <v>124</v>
      </c>
      <c r="BA279" s="279">
        <v>26</v>
      </c>
      <c r="BB279" s="52">
        <v>2</v>
      </c>
      <c r="BC279" s="655" t="s">
        <v>738</v>
      </c>
      <c r="BD279" s="656">
        <v>5</v>
      </c>
      <c r="BE279" s="279">
        <v>30</v>
      </c>
      <c r="BF279" s="52">
        <v>1</v>
      </c>
      <c r="BG279" s="105"/>
      <c r="BH279" s="98"/>
      <c r="BI279" s="279"/>
      <c r="BJ279" s="52"/>
      <c r="BK279" s="105"/>
      <c r="BL279" s="98"/>
      <c r="BM279" s="279"/>
      <c r="BN279" s="52"/>
      <c r="BO279" s="105"/>
      <c r="BP279" s="98"/>
      <c r="BQ279" s="279"/>
      <c r="BR279" s="52"/>
      <c r="BS279" s="105"/>
      <c r="BT279" s="98"/>
      <c r="BU279" s="279"/>
      <c r="BV279" s="52"/>
      <c r="BW279" s="105"/>
      <c r="BX279" s="98"/>
      <c r="BY279" s="279"/>
      <c r="BZ279" s="52"/>
      <c r="CA279" s="105"/>
      <c r="CB279" s="98"/>
      <c r="CC279" s="279"/>
      <c r="CD279" s="52"/>
      <c r="CE279" s="105"/>
      <c r="CF279" s="98"/>
      <c r="CG279" s="279"/>
      <c r="CH279" s="52"/>
      <c r="CI279" s="105"/>
      <c r="CJ279" s="98"/>
      <c r="CK279" s="281"/>
      <c r="CL279" s="277"/>
      <c r="CM279" s="281">
        <v>11</v>
      </c>
      <c r="CN279" s="277">
        <v>16</v>
      </c>
      <c r="CO279" s="50">
        <f t="shared" si="122"/>
        <v>182</v>
      </c>
      <c r="CP279" s="103">
        <f t="shared" si="123"/>
        <v>3</v>
      </c>
      <c r="CQ279" s="280">
        <f t="shared" si="124"/>
        <v>145</v>
      </c>
      <c r="CR279" s="63">
        <f t="shared" si="125"/>
        <v>2</v>
      </c>
      <c r="CS279" s="279">
        <v>51</v>
      </c>
      <c r="CT279" s="52">
        <v>16</v>
      </c>
      <c r="CU279" s="657" t="s">
        <v>733</v>
      </c>
      <c r="CV279" s="658">
        <v>25</v>
      </c>
      <c r="CW279" s="378">
        <v>26</v>
      </c>
      <c r="CX279" s="52">
        <v>11</v>
      </c>
      <c r="CY279" s="659" t="s">
        <v>738</v>
      </c>
      <c r="CZ279" s="660">
        <v>14</v>
      </c>
      <c r="DA279" s="279">
        <v>30</v>
      </c>
      <c r="DB279" s="52">
        <v>1</v>
      </c>
      <c r="DC279" s="661" t="s">
        <v>748</v>
      </c>
      <c r="DD279" s="662">
        <v>4</v>
      </c>
      <c r="DE279" s="279"/>
      <c r="DF279" s="52"/>
      <c r="DG279" s="105"/>
      <c r="DH279" s="98"/>
      <c r="DI279" s="279"/>
      <c r="DJ279" s="52"/>
      <c r="DK279" s="105"/>
      <c r="DL279" s="98"/>
      <c r="DM279" s="279"/>
      <c r="DN279" s="52"/>
      <c r="DO279" s="105"/>
      <c r="DP279" s="98"/>
      <c r="DQ279" s="279"/>
      <c r="DR279" s="52"/>
      <c r="DS279" s="105"/>
      <c r="DT279" s="98"/>
      <c r="DU279" s="279"/>
      <c r="DV279" s="52"/>
      <c r="DW279" s="105"/>
      <c r="DX279" s="98"/>
      <c r="DY279" s="279"/>
      <c r="DZ279" s="52"/>
      <c r="EA279" s="105"/>
      <c r="EB279" s="98"/>
      <c r="EC279" s="279"/>
      <c r="ED279" s="52"/>
      <c r="EE279" s="105"/>
      <c r="EF279" s="98"/>
      <c r="EG279" s="159"/>
      <c r="EH279" s="277"/>
      <c r="EI279" s="50">
        <f t="shared" si="126"/>
        <v>28</v>
      </c>
      <c r="EJ279" s="103">
        <f t="shared" si="127"/>
        <v>3</v>
      </c>
      <c r="EK279" s="164">
        <f t="shared" si="128"/>
        <v>0.5714285714285714</v>
      </c>
      <c r="EL279" s="280">
        <f t="shared" si="129"/>
        <v>43</v>
      </c>
      <c r="EM279" s="63">
        <f t="shared" si="130"/>
        <v>3</v>
      </c>
      <c r="EN279" s="359">
        <f t="shared" si="131"/>
        <v>0.58139534883720934</v>
      </c>
      <c r="EO279" s="51">
        <f t="shared" si="132"/>
        <v>210</v>
      </c>
      <c r="EP279" s="361">
        <f t="shared" si="133"/>
        <v>188</v>
      </c>
      <c r="EQ279" s="281"/>
      <c r="ER279" s="277"/>
      <c r="ES279" s="281">
        <v>155</v>
      </c>
      <c r="ET279" s="277">
        <v>170</v>
      </c>
      <c r="EU279" s="281">
        <v>58</v>
      </c>
      <c r="EV279" s="277">
        <v>60</v>
      </c>
      <c r="EW279" s="281"/>
      <c r="EX279" s="277"/>
      <c r="EY279" s="281"/>
      <c r="EZ279" s="277"/>
      <c r="FA279" s="281"/>
      <c r="FB279" s="277"/>
      <c r="FC279" s="281"/>
      <c r="FD279" s="277"/>
      <c r="FE279" s="281"/>
      <c r="FF279" s="277"/>
      <c r="FG279" s="281"/>
      <c r="FH279" s="277"/>
      <c r="FI279" s="281"/>
      <c r="FJ279" s="277"/>
      <c r="FK279" s="50">
        <f t="shared" si="134"/>
        <v>213</v>
      </c>
      <c r="FL279" s="63">
        <f t="shared" si="135"/>
        <v>230</v>
      </c>
      <c r="FM279" s="50">
        <f t="shared" si="117"/>
        <v>672</v>
      </c>
      <c r="FN279" s="360">
        <f t="shared" si="118"/>
        <v>679</v>
      </c>
      <c r="FO279" s="335"/>
      <c r="FP279" s="279"/>
      <c r="FQ279" s="52"/>
      <c r="FR279" s="296"/>
      <c r="FS279" s="98"/>
      <c r="FT279" s="467"/>
      <c r="FU279" s="52"/>
      <c r="FV279" s="296"/>
      <c r="FW279" s="98"/>
      <c r="FX279" s="467"/>
      <c r="FY279" s="52"/>
      <c r="FZ279" s="296"/>
      <c r="GA279" s="98"/>
      <c r="GB279" s="467"/>
      <c r="GC279" s="52"/>
      <c r="GD279" s="296"/>
      <c r="GE279" s="98"/>
      <c r="GF279" s="467"/>
      <c r="GG279" s="52"/>
      <c r="GH279" s="296"/>
      <c r="GI279" s="98"/>
      <c r="GJ279" s="467"/>
      <c r="GK279" s="52"/>
      <c r="GL279" s="296"/>
      <c r="GM279" s="464"/>
      <c r="GN279" s="467"/>
      <c r="GO279" s="52"/>
      <c r="GP279" s="296"/>
      <c r="GQ279" s="464"/>
      <c r="GR279" s="467"/>
      <c r="GS279" s="52"/>
      <c r="GT279" s="296"/>
      <c r="GU279" s="464"/>
      <c r="GV279" s="467"/>
      <c r="GW279" s="52"/>
      <c r="GX279" s="296"/>
      <c r="GY279" s="464"/>
      <c r="GZ279" s="467"/>
      <c r="HA279" s="52"/>
      <c r="HB279" s="296"/>
      <c r="HC279" s="335"/>
    </row>
    <row r="280" spans="1:211" s="86" customFormat="1">
      <c r="A280" s="491" t="s">
        <v>759</v>
      </c>
      <c r="B280" s="326" t="s">
        <v>934</v>
      </c>
      <c r="C280" s="325">
        <v>435000</v>
      </c>
      <c r="D280" s="349">
        <v>15</v>
      </c>
      <c r="E280" s="460"/>
      <c r="F280" s="492"/>
      <c r="G280" s="158"/>
      <c r="H280" s="277"/>
      <c r="I280" s="158"/>
      <c r="J280" s="588"/>
      <c r="K280" s="160">
        <f t="shared" si="119"/>
        <v>0</v>
      </c>
      <c r="L280" s="161">
        <f t="shared" si="112"/>
        <v>0</v>
      </c>
      <c r="M280" s="54">
        <v>58</v>
      </c>
      <c r="N280" s="55"/>
      <c r="O280" s="55"/>
      <c r="P280" s="55"/>
      <c r="Q280" s="162">
        <f t="shared" si="120"/>
        <v>0</v>
      </c>
      <c r="R280" s="494">
        <v>62</v>
      </c>
      <c r="S280" s="277"/>
      <c r="T280" s="277"/>
      <c r="U280" s="277"/>
      <c r="V280" s="97">
        <f t="shared" si="121"/>
        <v>0</v>
      </c>
      <c r="W280" s="279"/>
      <c r="X280" s="52"/>
      <c r="Y280" s="99"/>
      <c r="Z280" s="53"/>
      <c r="AA280" s="228"/>
      <c r="AB280" s="52"/>
      <c r="AC280" s="99"/>
      <c r="AD280" s="53"/>
      <c r="AE280" s="228"/>
      <c r="AF280" s="52"/>
      <c r="AG280" s="99"/>
      <c r="AH280" s="53"/>
      <c r="AI280" s="228"/>
      <c r="AJ280" s="52"/>
      <c r="AK280" s="99"/>
      <c r="AL280" s="53"/>
      <c r="AM280" s="228"/>
      <c r="AN280" s="52"/>
      <c r="AO280" s="99"/>
      <c r="AP280" s="53"/>
      <c r="AQ280" s="50">
        <f t="shared" si="113"/>
        <v>0</v>
      </c>
      <c r="AR280" s="163">
        <f t="shared" si="114"/>
        <v>0.25</v>
      </c>
      <c r="AS280" s="97">
        <f t="shared" si="115"/>
        <v>0</v>
      </c>
      <c r="AT280" s="278">
        <f t="shared" si="116"/>
        <v>0.22878228782287824</v>
      </c>
      <c r="AU280" s="55"/>
      <c r="AV280" s="277"/>
      <c r="AW280" s="279">
        <v>51</v>
      </c>
      <c r="AX280" s="52">
        <v>57</v>
      </c>
      <c r="AY280" s="653" t="s">
        <v>733</v>
      </c>
      <c r="AZ280" s="654">
        <v>27</v>
      </c>
      <c r="BA280" s="279">
        <v>26</v>
      </c>
      <c r="BB280" s="52">
        <v>7</v>
      </c>
      <c r="BC280" s="655" t="s">
        <v>738</v>
      </c>
      <c r="BD280" s="656">
        <v>1</v>
      </c>
      <c r="BE280" s="279"/>
      <c r="BF280" s="52"/>
      <c r="BG280" s="105"/>
      <c r="BH280" s="98"/>
      <c r="BI280" s="279"/>
      <c r="BJ280" s="52"/>
      <c r="BK280" s="105"/>
      <c r="BL280" s="98"/>
      <c r="BM280" s="279"/>
      <c r="BN280" s="52"/>
      <c r="BO280" s="105"/>
      <c r="BP280" s="98"/>
      <c r="BQ280" s="279"/>
      <c r="BR280" s="52"/>
      <c r="BS280" s="105"/>
      <c r="BT280" s="98"/>
      <c r="BU280" s="279"/>
      <c r="BV280" s="52"/>
      <c r="BW280" s="105"/>
      <c r="BX280" s="98"/>
      <c r="BY280" s="279"/>
      <c r="BZ280" s="52"/>
      <c r="CA280" s="105"/>
      <c r="CB280" s="98"/>
      <c r="CC280" s="279"/>
      <c r="CD280" s="52"/>
      <c r="CE280" s="105"/>
      <c r="CF280" s="98"/>
      <c r="CG280" s="279"/>
      <c r="CH280" s="52"/>
      <c r="CI280" s="105"/>
      <c r="CJ280" s="98"/>
      <c r="CK280" s="281"/>
      <c r="CL280" s="277"/>
      <c r="CM280" s="159"/>
      <c r="CN280" s="277"/>
      <c r="CO280" s="50">
        <f t="shared" si="122"/>
        <v>64</v>
      </c>
      <c r="CP280" s="103">
        <f t="shared" si="123"/>
        <v>2</v>
      </c>
      <c r="CQ280" s="280">
        <f t="shared" si="124"/>
        <v>28</v>
      </c>
      <c r="CR280" s="63">
        <f t="shared" si="125"/>
        <v>2</v>
      </c>
      <c r="CS280" s="279">
        <v>26</v>
      </c>
      <c r="CT280" s="52">
        <v>13</v>
      </c>
      <c r="CU280" s="657" t="s">
        <v>733</v>
      </c>
      <c r="CV280" s="658">
        <v>62</v>
      </c>
      <c r="CW280" s="279"/>
      <c r="CX280" s="52"/>
      <c r="CY280" s="659" t="s">
        <v>738</v>
      </c>
      <c r="CZ280" s="660">
        <v>9</v>
      </c>
      <c r="DA280" s="279"/>
      <c r="DB280" s="52"/>
      <c r="DC280" s="105"/>
      <c r="DD280" s="98"/>
      <c r="DE280" s="279"/>
      <c r="DF280" s="52"/>
      <c r="DG280" s="105"/>
      <c r="DH280" s="98"/>
      <c r="DI280" s="279"/>
      <c r="DJ280" s="52"/>
      <c r="DK280" s="105"/>
      <c r="DL280" s="98"/>
      <c r="DM280" s="279"/>
      <c r="DN280" s="52"/>
      <c r="DO280" s="105"/>
      <c r="DP280" s="98"/>
      <c r="DQ280" s="279"/>
      <c r="DR280" s="52"/>
      <c r="DS280" s="105"/>
      <c r="DT280" s="98"/>
      <c r="DU280" s="279"/>
      <c r="DV280" s="52"/>
      <c r="DW280" s="105"/>
      <c r="DX280" s="98"/>
      <c r="DY280" s="279"/>
      <c r="DZ280" s="52"/>
      <c r="EA280" s="105"/>
      <c r="EB280" s="98"/>
      <c r="EC280" s="279"/>
      <c r="ED280" s="52"/>
      <c r="EE280" s="105"/>
      <c r="EF280" s="98"/>
      <c r="EG280" s="159"/>
      <c r="EH280" s="277"/>
      <c r="EI280" s="50">
        <f t="shared" si="126"/>
        <v>13</v>
      </c>
      <c r="EJ280" s="103">
        <f t="shared" si="127"/>
        <v>1</v>
      </c>
      <c r="EK280" s="164">
        <f t="shared" si="128"/>
        <v>1</v>
      </c>
      <c r="EL280" s="280">
        <f t="shared" si="129"/>
        <v>71</v>
      </c>
      <c r="EM280" s="63">
        <f t="shared" si="130"/>
        <v>2</v>
      </c>
      <c r="EN280" s="359">
        <f t="shared" si="131"/>
        <v>0.87323943661971826</v>
      </c>
      <c r="EO280" s="51">
        <f t="shared" si="132"/>
        <v>77</v>
      </c>
      <c r="EP280" s="361">
        <f t="shared" si="133"/>
        <v>99</v>
      </c>
      <c r="EQ280" s="281"/>
      <c r="ER280" s="277"/>
      <c r="ES280" s="281">
        <v>97</v>
      </c>
      <c r="ET280" s="277">
        <v>110</v>
      </c>
      <c r="EU280" s="281"/>
      <c r="EV280" s="277"/>
      <c r="EW280" s="281"/>
      <c r="EX280" s="277"/>
      <c r="EY280" s="281"/>
      <c r="EZ280" s="277"/>
      <c r="FA280" s="281"/>
      <c r="FB280" s="277"/>
      <c r="FC280" s="281"/>
      <c r="FD280" s="277"/>
      <c r="FE280" s="281"/>
      <c r="FF280" s="277"/>
      <c r="FG280" s="281"/>
      <c r="FH280" s="277"/>
      <c r="FI280" s="281"/>
      <c r="FJ280" s="277"/>
      <c r="FK280" s="50">
        <f t="shared" si="134"/>
        <v>97</v>
      </c>
      <c r="FL280" s="63">
        <f t="shared" si="135"/>
        <v>110</v>
      </c>
      <c r="FM280" s="50">
        <f t="shared" si="117"/>
        <v>232</v>
      </c>
      <c r="FN280" s="360">
        <f t="shared" si="118"/>
        <v>271</v>
      </c>
      <c r="FO280" s="335"/>
      <c r="FP280" s="279"/>
      <c r="FQ280" s="52"/>
      <c r="FR280" s="296"/>
      <c r="FS280" s="98"/>
      <c r="FT280" s="467"/>
      <c r="FU280" s="52"/>
      <c r="FV280" s="296"/>
      <c r="FW280" s="98"/>
      <c r="FX280" s="467"/>
      <c r="FY280" s="52"/>
      <c r="FZ280" s="296"/>
      <c r="GA280" s="98"/>
      <c r="GB280" s="467"/>
      <c r="GC280" s="52"/>
      <c r="GD280" s="296"/>
      <c r="GE280" s="98"/>
      <c r="GF280" s="467"/>
      <c r="GG280" s="52"/>
      <c r="GH280" s="296"/>
      <c r="GI280" s="98"/>
      <c r="GJ280" s="467"/>
      <c r="GK280" s="52"/>
      <c r="GL280" s="296"/>
      <c r="GM280" s="464"/>
      <c r="GN280" s="467"/>
      <c r="GO280" s="52"/>
      <c r="GP280" s="296"/>
      <c r="GQ280" s="464"/>
      <c r="GR280" s="467"/>
      <c r="GS280" s="52"/>
      <c r="GT280" s="296"/>
      <c r="GU280" s="464"/>
      <c r="GV280" s="467"/>
      <c r="GW280" s="52"/>
      <c r="GX280" s="296"/>
      <c r="GY280" s="464"/>
      <c r="GZ280" s="467"/>
      <c r="HA280" s="52"/>
      <c r="HB280" s="296"/>
      <c r="HC280" s="335"/>
    </row>
    <row r="281" spans="1:211" s="86" customFormat="1">
      <c r="A281" s="499" t="s">
        <v>954</v>
      </c>
      <c r="B281" s="311" t="s">
        <v>582</v>
      </c>
      <c r="C281" s="310">
        <v>163286</v>
      </c>
      <c r="D281" s="351">
        <v>1</v>
      </c>
      <c r="E281" s="460">
        <v>14</v>
      </c>
      <c r="F281" s="277">
        <v>10</v>
      </c>
      <c r="G281" s="158">
        <v>55</v>
      </c>
      <c r="H281" s="277">
        <v>49</v>
      </c>
      <c r="I281" s="158"/>
      <c r="J281" s="535"/>
      <c r="K281" s="160">
        <f t="shared" si="119"/>
        <v>0</v>
      </c>
      <c r="L281" s="161">
        <f t="shared" si="112"/>
        <v>0</v>
      </c>
      <c r="M281" s="54">
        <v>6311</v>
      </c>
      <c r="N281" s="55">
        <v>453</v>
      </c>
      <c r="O281" s="55"/>
      <c r="P281" s="55"/>
      <c r="Q281" s="162">
        <f t="shared" si="120"/>
        <v>453</v>
      </c>
      <c r="R281" s="277">
        <v>6704</v>
      </c>
      <c r="S281" s="277">
        <v>535</v>
      </c>
      <c r="T281" s="277"/>
      <c r="U281" s="277"/>
      <c r="V281" s="97">
        <f t="shared" si="121"/>
        <v>535</v>
      </c>
      <c r="W281" s="279"/>
      <c r="X281" s="52"/>
      <c r="Y281" s="99"/>
      <c r="Z281" s="53"/>
      <c r="AA281" s="228"/>
      <c r="AB281" s="52"/>
      <c r="AC281" s="99"/>
      <c r="AD281" s="53"/>
      <c r="AE281" s="228"/>
      <c r="AF281" s="52"/>
      <c r="AG281" s="99"/>
      <c r="AH281" s="53"/>
      <c r="AI281" s="228"/>
      <c r="AJ281" s="52"/>
      <c r="AK281" s="99"/>
      <c r="AL281" s="53"/>
      <c r="AM281" s="228"/>
      <c r="AN281" s="52"/>
      <c r="AO281" s="99"/>
      <c r="AP281" s="53"/>
      <c r="AQ281" s="50">
        <f t="shared" si="113"/>
        <v>0</v>
      </c>
      <c r="AR281" s="163">
        <f t="shared" si="114"/>
        <v>0.6821965192952113</v>
      </c>
      <c r="AS281" s="97">
        <f t="shared" si="115"/>
        <v>0</v>
      </c>
      <c r="AT281" s="278">
        <f t="shared" si="116"/>
        <v>0.70250445352614477</v>
      </c>
      <c r="AU281" s="55">
        <v>127</v>
      </c>
      <c r="AV281" s="277"/>
      <c r="AW281" s="279">
        <v>52</v>
      </c>
      <c r="AX281" s="52">
        <v>611</v>
      </c>
      <c r="AY281" s="500">
        <v>52</v>
      </c>
      <c r="AZ281" s="98">
        <v>667</v>
      </c>
      <c r="BA281" s="279">
        <v>14</v>
      </c>
      <c r="BB281" s="52">
        <v>356</v>
      </c>
      <c r="BC281" s="105">
        <v>14</v>
      </c>
      <c r="BD281" s="98">
        <v>337</v>
      </c>
      <c r="BE281" s="279">
        <v>13</v>
      </c>
      <c r="BF281" s="52">
        <v>289</v>
      </c>
      <c r="BG281" s="105">
        <v>13</v>
      </c>
      <c r="BH281" s="98">
        <v>284</v>
      </c>
      <c r="BI281" s="279">
        <v>45</v>
      </c>
      <c r="BJ281" s="52">
        <v>165</v>
      </c>
      <c r="BK281" s="105">
        <v>45</v>
      </c>
      <c r="BL281" s="98">
        <v>231</v>
      </c>
      <c r="BM281" s="279">
        <v>24</v>
      </c>
      <c r="BN281" s="52">
        <v>134</v>
      </c>
      <c r="BO281" s="105">
        <v>24</v>
      </c>
      <c r="BP281" s="98">
        <v>118</v>
      </c>
      <c r="BQ281" s="279">
        <v>11</v>
      </c>
      <c r="BR281" s="52">
        <v>59</v>
      </c>
      <c r="BS281" s="105">
        <v>11</v>
      </c>
      <c r="BT281" s="98">
        <v>68</v>
      </c>
      <c r="BU281" s="279">
        <v>50</v>
      </c>
      <c r="BV281" s="52">
        <v>58</v>
      </c>
      <c r="BW281" s="105">
        <v>26</v>
      </c>
      <c r="BX281" s="98">
        <v>64</v>
      </c>
      <c r="BY281" s="279">
        <v>23</v>
      </c>
      <c r="BZ281" s="52">
        <v>54</v>
      </c>
      <c r="CA281" s="105">
        <v>50</v>
      </c>
      <c r="CB281" s="98">
        <v>57</v>
      </c>
      <c r="CC281" s="279">
        <v>26</v>
      </c>
      <c r="CD281" s="52">
        <v>53</v>
      </c>
      <c r="CE281" s="105">
        <v>4</v>
      </c>
      <c r="CF281" s="98">
        <v>50</v>
      </c>
      <c r="CG281" s="279">
        <v>40</v>
      </c>
      <c r="CH281" s="52">
        <v>40</v>
      </c>
      <c r="CI281" s="105">
        <v>1</v>
      </c>
      <c r="CJ281" s="98">
        <v>43</v>
      </c>
      <c r="CK281" s="281"/>
      <c r="CL281" s="277"/>
      <c r="CM281" s="159">
        <f>242+28</f>
        <v>270</v>
      </c>
      <c r="CN281" s="277">
        <v>244</v>
      </c>
      <c r="CO281" s="50">
        <f t="shared" si="122"/>
        <v>2089</v>
      </c>
      <c r="CP281" s="103">
        <f t="shared" si="123"/>
        <v>10</v>
      </c>
      <c r="CQ281" s="280">
        <f t="shared" si="124"/>
        <v>2163</v>
      </c>
      <c r="CR281" s="63">
        <f t="shared" si="125"/>
        <v>10</v>
      </c>
      <c r="CS281" s="279">
        <v>14</v>
      </c>
      <c r="CT281" s="52">
        <v>135</v>
      </c>
      <c r="CU281" s="105">
        <v>14</v>
      </c>
      <c r="CV281" s="98">
        <v>127</v>
      </c>
      <c r="CW281" s="279">
        <v>13</v>
      </c>
      <c r="CX281" s="52">
        <v>105</v>
      </c>
      <c r="CY281" s="105">
        <v>13</v>
      </c>
      <c r="CZ281" s="98">
        <v>81</v>
      </c>
      <c r="DA281" s="279">
        <v>45</v>
      </c>
      <c r="DB281" s="52">
        <v>78</v>
      </c>
      <c r="DC281" s="105">
        <v>40</v>
      </c>
      <c r="DD281" s="98">
        <v>65</v>
      </c>
      <c r="DE281" s="279">
        <v>40</v>
      </c>
      <c r="DF281" s="52">
        <v>69</v>
      </c>
      <c r="DG281" s="105">
        <v>45</v>
      </c>
      <c r="DH281" s="98">
        <v>61</v>
      </c>
      <c r="DI281" s="279">
        <v>26</v>
      </c>
      <c r="DJ281" s="52">
        <v>52</v>
      </c>
      <c r="DK281" s="105">
        <v>26</v>
      </c>
      <c r="DL281" s="98">
        <v>58</v>
      </c>
      <c r="DM281" s="279">
        <v>50</v>
      </c>
      <c r="DN281" s="52">
        <v>43</v>
      </c>
      <c r="DO281" s="105">
        <v>50</v>
      </c>
      <c r="DP281" s="98">
        <v>35</v>
      </c>
      <c r="DQ281" s="279">
        <v>11</v>
      </c>
      <c r="DR281" s="52">
        <v>37</v>
      </c>
      <c r="DS281" s="105">
        <v>27</v>
      </c>
      <c r="DT281" s="98">
        <v>28</v>
      </c>
      <c r="DU281" s="279">
        <v>27</v>
      </c>
      <c r="DV281" s="52">
        <v>23</v>
      </c>
      <c r="DW281" s="105">
        <v>23</v>
      </c>
      <c r="DX281" s="98">
        <v>24</v>
      </c>
      <c r="DY281" s="279">
        <v>1</v>
      </c>
      <c r="DZ281" s="52">
        <v>21</v>
      </c>
      <c r="EA281" s="105">
        <v>11</v>
      </c>
      <c r="EB281" s="98">
        <v>20</v>
      </c>
      <c r="EC281" s="279">
        <v>23</v>
      </c>
      <c r="ED281" s="52">
        <v>20</v>
      </c>
      <c r="EE281" s="105">
        <v>42</v>
      </c>
      <c r="EF281" s="98">
        <v>17</v>
      </c>
      <c r="EG281" s="159">
        <v>72</v>
      </c>
      <c r="EH281" s="277">
        <v>61</v>
      </c>
      <c r="EI281" s="50">
        <f t="shared" si="126"/>
        <v>655</v>
      </c>
      <c r="EJ281" s="103">
        <f t="shared" si="127"/>
        <v>10</v>
      </c>
      <c r="EK281" s="164">
        <f t="shared" si="128"/>
        <v>0.20610687022900764</v>
      </c>
      <c r="EL281" s="280">
        <f t="shared" si="129"/>
        <v>577</v>
      </c>
      <c r="EM281" s="63">
        <f t="shared" si="130"/>
        <v>10</v>
      </c>
      <c r="EN281" s="359">
        <f t="shared" si="131"/>
        <v>0.22010398613518198</v>
      </c>
      <c r="EO281" s="51">
        <f t="shared" si="132"/>
        <v>2744</v>
      </c>
      <c r="EP281" s="361">
        <f t="shared" si="133"/>
        <v>2740</v>
      </c>
      <c r="EQ281" s="281"/>
      <c r="ER281" s="277"/>
      <c r="ES281" s="281"/>
      <c r="ET281" s="277"/>
      <c r="EU281" s="281"/>
      <c r="EV281" s="277"/>
      <c r="EW281" s="281"/>
      <c r="EX281" s="277"/>
      <c r="EY281" s="281"/>
      <c r="EZ281" s="277"/>
      <c r="FA281" s="281"/>
      <c r="FB281" s="277"/>
      <c r="FC281" s="281"/>
      <c r="FD281" s="277"/>
      <c r="FE281" s="281"/>
      <c r="FF281" s="277"/>
      <c r="FG281" s="281"/>
      <c r="FH281" s="277"/>
      <c r="FI281" s="281"/>
      <c r="FJ281" s="277">
        <v>40</v>
      </c>
      <c r="FK281" s="50">
        <f t="shared" si="134"/>
        <v>0</v>
      </c>
      <c r="FL281" s="63">
        <f t="shared" si="135"/>
        <v>40</v>
      </c>
      <c r="FM281" s="50">
        <f t="shared" si="117"/>
        <v>9251</v>
      </c>
      <c r="FN281" s="360">
        <f t="shared" si="118"/>
        <v>9543</v>
      </c>
      <c r="FO281" s="3"/>
      <c r="FP281" s="279"/>
      <c r="FQ281" s="52"/>
      <c r="FR281" s="756">
        <v>510202</v>
      </c>
      <c r="FS281" s="98">
        <v>10</v>
      </c>
      <c r="FT281" s="467"/>
      <c r="FU281" s="52"/>
      <c r="FV281" s="756">
        <v>512401</v>
      </c>
      <c r="FW281" s="98">
        <v>30</v>
      </c>
      <c r="FX281" s="467"/>
      <c r="FY281" s="52"/>
      <c r="FZ281" s="296"/>
      <c r="GA281" s="98"/>
      <c r="GB281" s="467"/>
      <c r="GC281" s="52"/>
      <c r="GD281" s="296"/>
      <c r="GE281" s="98"/>
      <c r="GF281" s="467"/>
      <c r="GG281" s="52"/>
      <c r="GH281" s="296"/>
      <c r="GI281" s="98"/>
      <c r="GJ281" s="467"/>
      <c r="GK281" s="52"/>
      <c r="GL281" s="296"/>
      <c r="GM281" s="464"/>
      <c r="GN281" s="467"/>
      <c r="GO281" s="52"/>
      <c r="GP281" s="296"/>
      <c r="GQ281" s="464"/>
      <c r="GR281" s="467"/>
      <c r="GS281" s="52"/>
      <c r="GT281" s="296"/>
      <c r="GU281" s="464"/>
      <c r="GV281" s="467"/>
      <c r="GW281" s="52"/>
      <c r="GX281" s="296"/>
      <c r="GY281" s="464"/>
      <c r="GZ281" s="467"/>
      <c r="HA281" s="52"/>
      <c r="HB281" s="296"/>
      <c r="HC281" s="3"/>
    </row>
    <row r="282" spans="1:211" s="86" customFormat="1">
      <c r="A282" s="499" t="s">
        <v>954</v>
      </c>
      <c r="B282" s="311" t="s">
        <v>583</v>
      </c>
      <c r="C282" s="310">
        <v>163268</v>
      </c>
      <c r="D282" s="351">
        <v>2</v>
      </c>
      <c r="E282" s="460"/>
      <c r="F282" s="277"/>
      <c r="G282" s="158">
        <v>121</v>
      </c>
      <c r="H282" s="277">
        <v>110</v>
      </c>
      <c r="I282" s="158"/>
      <c r="J282" s="535"/>
      <c r="K282" s="160">
        <f t="shared" si="119"/>
        <v>0</v>
      </c>
      <c r="L282" s="161">
        <f t="shared" si="112"/>
        <v>0</v>
      </c>
      <c r="M282" s="54">
        <v>1844</v>
      </c>
      <c r="N282" s="55"/>
      <c r="O282" s="55"/>
      <c r="P282" s="55"/>
      <c r="Q282" s="162">
        <f t="shared" si="120"/>
        <v>0</v>
      </c>
      <c r="R282" s="277">
        <v>1798</v>
      </c>
      <c r="S282" s="277">
        <v>1</v>
      </c>
      <c r="T282" s="277"/>
      <c r="U282" s="277"/>
      <c r="V282" s="97">
        <f t="shared" si="121"/>
        <v>1</v>
      </c>
      <c r="W282" s="279"/>
      <c r="X282" s="52"/>
      <c r="Y282" s="99"/>
      <c r="Z282" s="53"/>
      <c r="AA282" s="228"/>
      <c r="AB282" s="52"/>
      <c r="AC282" s="99"/>
      <c r="AD282" s="53"/>
      <c r="AE282" s="228"/>
      <c r="AF282" s="52"/>
      <c r="AG282" s="99"/>
      <c r="AH282" s="53"/>
      <c r="AI282" s="228"/>
      <c r="AJ282" s="52"/>
      <c r="AK282" s="99"/>
      <c r="AL282" s="53"/>
      <c r="AM282" s="228"/>
      <c r="AN282" s="52"/>
      <c r="AO282" s="99"/>
      <c r="AP282" s="53"/>
      <c r="AQ282" s="50">
        <f t="shared" si="113"/>
        <v>0</v>
      </c>
      <c r="AR282" s="163">
        <f t="shared" si="114"/>
        <v>0.70950365525201997</v>
      </c>
      <c r="AS282" s="97">
        <f t="shared" si="115"/>
        <v>0</v>
      </c>
      <c r="AT282" s="278">
        <f t="shared" si="116"/>
        <v>0.72793522267206479</v>
      </c>
      <c r="AU282" s="55">
        <v>92</v>
      </c>
      <c r="AV282" s="277"/>
      <c r="AW282" s="279">
        <v>13</v>
      </c>
      <c r="AX282" s="52">
        <v>143</v>
      </c>
      <c r="AY282" s="500">
        <v>13</v>
      </c>
      <c r="AZ282" s="98">
        <v>138</v>
      </c>
      <c r="BA282" s="279">
        <v>11</v>
      </c>
      <c r="BB282" s="52">
        <v>121</v>
      </c>
      <c r="BC282" s="105">
        <v>11</v>
      </c>
      <c r="BD282" s="98">
        <v>108</v>
      </c>
      <c r="BE282" s="279">
        <v>45</v>
      </c>
      <c r="BF282" s="52">
        <v>62</v>
      </c>
      <c r="BG282" s="105">
        <v>45</v>
      </c>
      <c r="BH282" s="98">
        <v>62</v>
      </c>
      <c r="BI282" s="279">
        <v>14</v>
      </c>
      <c r="BJ282" s="52">
        <v>37</v>
      </c>
      <c r="BK282" s="105">
        <v>14</v>
      </c>
      <c r="BL282" s="98">
        <v>44</v>
      </c>
      <c r="BM282" s="279">
        <v>42</v>
      </c>
      <c r="BN282" s="52">
        <v>20</v>
      </c>
      <c r="BO282" s="105">
        <v>52</v>
      </c>
      <c r="BP282" s="98">
        <v>33</v>
      </c>
      <c r="BQ282" s="279">
        <v>16</v>
      </c>
      <c r="BR282" s="52">
        <v>18</v>
      </c>
      <c r="BS282" s="105">
        <v>26</v>
      </c>
      <c r="BT282" s="98">
        <v>18</v>
      </c>
      <c r="BU282" s="279">
        <v>26</v>
      </c>
      <c r="BV282" s="52">
        <v>11</v>
      </c>
      <c r="BW282" s="105">
        <v>51</v>
      </c>
      <c r="BX282" s="98">
        <v>15</v>
      </c>
      <c r="BY282" s="279">
        <v>51</v>
      </c>
      <c r="BZ282" s="52">
        <v>11</v>
      </c>
      <c r="CA282" s="105">
        <v>27</v>
      </c>
      <c r="CB282" s="98">
        <v>14</v>
      </c>
      <c r="CC282" s="279">
        <v>40</v>
      </c>
      <c r="CD282" s="52">
        <v>10</v>
      </c>
      <c r="CE282" s="105">
        <v>30</v>
      </c>
      <c r="CF282" s="98">
        <v>13</v>
      </c>
      <c r="CG282" s="279">
        <v>27</v>
      </c>
      <c r="CH282" s="52">
        <v>9</v>
      </c>
      <c r="CI282" s="105">
        <v>40</v>
      </c>
      <c r="CJ282" s="98">
        <v>11</v>
      </c>
      <c r="CK282" s="281"/>
      <c r="CL282" s="277"/>
      <c r="CM282" s="159">
        <v>7</v>
      </c>
      <c r="CN282" s="277">
        <v>20</v>
      </c>
      <c r="CO282" s="50">
        <f t="shared" si="122"/>
        <v>449</v>
      </c>
      <c r="CP282" s="103">
        <f t="shared" si="123"/>
        <v>10</v>
      </c>
      <c r="CQ282" s="280">
        <f t="shared" si="124"/>
        <v>476</v>
      </c>
      <c r="CR282" s="63">
        <f t="shared" si="125"/>
        <v>10</v>
      </c>
      <c r="CS282" s="279">
        <v>14</v>
      </c>
      <c r="CT282" s="52">
        <v>21</v>
      </c>
      <c r="CU282" s="105">
        <v>14</v>
      </c>
      <c r="CV282" s="98">
        <v>22</v>
      </c>
      <c r="CW282" s="279">
        <v>26</v>
      </c>
      <c r="CX282" s="52">
        <v>16</v>
      </c>
      <c r="CY282" s="105">
        <v>11</v>
      </c>
      <c r="CZ282" s="98">
        <v>16</v>
      </c>
      <c r="DA282" s="279">
        <v>11</v>
      </c>
      <c r="DB282" s="52">
        <v>15</v>
      </c>
      <c r="DC282" s="105">
        <v>40</v>
      </c>
      <c r="DD282" s="98">
        <v>14</v>
      </c>
      <c r="DE282" s="279">
        <v>42</v>
      </c>
      <c r="DF282" s="52">
        <v>11</v>
      </c>
      <c r="DG282" s="105">
        <v>30</v>
      </c>
      <c r="DH282" s="98">
        <v>10</v>
      </c>
      <c r="DI282" s="279">
        <v>40</v>
      </c>
      <c r="DJ282" s="52">
        <v>10</v>
      </c>
      <c r="DK282" s="105">
        <v>42</v>
      </c>
      <c r="DL282" s="98">
        <v>9</v>
      </c>
      <c r="DM282" s="279">
        <v>30</v>
      </c>
      <c r="DN282" s="52">
        <v>10</v>
      </c>
      <c r="DO282" s="105">
        <v>26</v>
      </c>
      <c r="DP282" s="98">
        <v>6</v>
      </c>
      <c r="DQ282" s="279">
        <v>45</v>
      </c>
      <c r="DR282" s="52">
        <v>6</v>
      </c>
      <c r="DS282" s="105">
        <v>45</v>
      </c>
      <c r="DT282" s="98">
        <v>5</v>
      </c>
      <c r="DU282" s="279">
        <v>27</v>
      </c>
      <c r="DV282" s="52">
        <v>4</v>
      </c>
      <c r="DW282" s="105">
        <v>27</v>
      </c>
      <c r="DX282" s="98">
        <v>4</v>
      </c>
      <c r="DY282" s="279"/>
      <c r="DZ282" s="52"/>
      <c r="EA282" s="105"/>
      <c r="EB282" s="98"/>
      <c r="EC282" s="279"/>
      <c r="ED282" s="52"/>
      <c r="EE282" s="105"/>
      <c r="EF282" s="98"/>
      <c r="EG282" s="159"/>
      <c r="EH282" s="277"/>
      <c r="EI282" s="50">
        <f t="shared" si="126"/>
        <v>93</v>
      </c>
      <c r="EJ282" s="103">
        <f t="shared" si="127"/>
        <v>8</v>
      </c>
      <c r="EK282" s="164">
        <f t="shared" si="128"/>
        <v>0.22580645161290322</v>
      </c>
      <c r="EL282" s="280">
        <f t="shared" si="129"/>
        <v>86</v>
      </c>
      <c r="EM282" s="63">
        <f t="shared" si="130"/>
        <v>8</v>
      </c>
      <c r="EN282" s="359">
        <f t="shared" si="131"/>
        <v>0.2558139534883721</v>
      </c>
      <c r="EO282" s="51">
        <f t="shared" si="132"/>
        <v>542</v>
      </c>
      <c r="EP282" s="361">
        <f t="shared" si="133"/>
        <v>562</v>
      </c>
      <c r="EQ282" s="281"/>
      <c r="ER282" s="277"/>
      <c r="ES282" s="281"/>
      <c r="ET282" s="277"/>
      <c r="EU282" s="281"/>
      <c r="EV282" s="277"/>
      <c r="EW282" s="281"/>
      <c r="EX282" s="277"/>
      <c r="EY282" s="281"/>
      <c r="EZ282" s="277"/>
      <c r="FA282" s="281"/>
      <c r="FB282" s="277"/>
      <c r="FC282" s="281"/>
      <c r="FD282" s="277"/>
      <c r="FE282" s="281"/>
      <c r="FF282" s="277"/>
      <c r="FG282" s="281"/>
      <c r="FH282" s="277"/>
      <c r="FI282" s="281"/>
      <c r="FJ282" s="277"/>
      <c r="FK282" s="50">
        <f t="shared" si="134"/>
        <v>0</v>
      </c>
      <c r="FL282" s="63">
        <f t="shared" si="135"/>
        <v>0</v>
      </c>
      <c r="FM282" s="50">
        <f t="shared" si="117"/>
        <v>2599</v>
      </c>
      <c r="FN282" s="360">
        <f t="shared" si="118"/>
        <v>2470</v>
      </c>
      <c r="FO282" s="3"/>
      <c r="FP282" s="279"/>
      <c r="FQ282" s="52"/>
      <c r="FR282" s="296"/>
      <c r="FS282" s="98"/>
      <c r="FT282" s="467"/>
      <c r="FU282" s="52"/>
      <c r="FV282" s="296"/>
      <c r="FW282" s="98"/>
      <c r="FX282" s="467"/>
      <c r="FY282" s="52"/>
      <c r="FZ282" s="296"/>
      <c r="GA282" s="98"/>
      <c r="GB282" s="467"/>
      <c r="GC282" s="52"/>
      <c r="GD282" s="296"/>
      <c r="GE282" s="98"/>
      <c r="GF282" s="467"/>
      <c r="GG282" s="52"/>
      <c r="GH282" s="296"/>
      <c r="GI282" s="98"/>
      <c r="GJ282" s="467"/>
      <c r="GK282" s="52"/>
      <c r="GL282" s="296"/>
      <c r="GM282" s="464"/>
      <c r="GN282" s="467"/>
      <c r="GO282" s="52"/>
      <c r="GP282" s="296"/>
      <c r="GQ282" s="464"/>
      <c r="GR282" s="467"/>
      <c r="GS282" s="52"/>
      <c r="GT282" s="296"/>
      <c r="GU282" s="464"/>
      <c r="GV282" s="467"/>
      <c r="GW282" s="52"/>
      <c r="GX282" s="296"/>
      <c r="GY282" s="464"/>
      <c r="GZ282" s="467"/>
      <c r="HA282" s="52"/>
      <c r="HB282" s="296"/>
      <c r="HC282" s="3"/>
    </row>
    <row r="283" spans="1:211" s="86" customFormat="1">
      <c r="A283" s="499" t="s">
        <v>954</v>
      </c>
      <c r="B283" s="311" t="s">
        <v>587</v>
      </c>
      <c r="C283" s="310">
        <v>163453</v>
      </c>
      <c r="D283" s="351">
        <v>3</v>
      </c>
      <c r="E283" s="460"/>
      <c r="F283" s="277"/>
      <c r="G283" s="158"/>
      <c r="H283" s="277"/>
      <c r="I283" s="158"/>
      <c r="J283" s="535"/>
      <c r="K283" s="160">
        <f t="shared" si="119"/>
        <v>0</v>
      </c>
      <c r="L283" s="161">
        <f t="shared" si="112"/>
        <v>0</v>
      </c>
      <c r="M283" s="54">
        <v>813</v>
      </c>
      <c r="N283" s="55">
        <v>47</v>
      </c>
      <c r="O283" s="55"/>
      <c r="P283" s="55"/>
      <c r="Q283" s="162">
        <f t="shared" si="120"/>
        <v>47</v>
      </c>
      <c r="R283" s="277">
        <v>843</v>
      </c>
      <c r="S283" s="277">
        <v>64</v>
      </c>
      <c r="T283" s="277"/>
      <c r="U283" s="277"/>
      <c r="V283" s="97">
        <f t="shared" si="121"/>
        <v>64</v>
      </c>
      <c r="W283" s="279"/>
      <c r="X283" s="52"/>
      <c r="Y283" s="99"/>
      <c r="Z283" s="53"/>
      <c r="AA283" s="228"/>
      <c r="AB283" s="52"/>
      <c r="AC283" s="99"/>
      <c r="AD283" s="53"/>
      <c r="AE283" s="228"/>
      <c r="AF283" s="52"/>
      <c r="AG283" s="99"/>
      <c r="AH283" s="53"/>
      <c r="AI283" s="228"/>
      <c r="AJ283" s="52"/>
      <c r="AK283" s="99"/>
      <c r="AL283" s="53"/>
      <c r="AM283" s="228"/>
      <c r="AN283" s="52"/>
      <c r="AO283" s="99"/>
      <c r="AP283" s="53"/>
      <c r="AQ283" s="50">
        <f t="shared" si="113"/>
        <v>0</v>
      </c>
      <c r="AR283" s="163">
        <f t="shared" si="114"/>
        <v>0.82538071065989849</v>
      </c>
      <c r="AS283" s="97">
        <f t="shared" si="115"/>
        <v>0</v>
      </c>
      <c r="AT283" s="278">
        <f t="shared" si="116"/>
        <v>0.7900656044985942</v>
      </c>
      <c r="AU283" s="55"/>
      <c r="AV283" s="277"/>
      <c r="AW283" s="279">
        <v>44</v>
      </c>
      <c r="AX283" s="52">
        <v>34</v>
      </c>
      <c r="AY283" s="500">
        <v>52</v>
      </c>
      <c r="AZ283" s="98">
        <v>51</v>
      </c>
      <c r="BA283" s="279">
        <v>4</v>
      </c>
      <c r="BB283" s="52">
        <v>25</v>
      </c>
      <c r="BC283" s="105">
        <v>44</v>
      </c>
      <c r="BD283" s="98">
        <v>40</v>
      </c>
      <c r="BE283" s="279">
        <v>52</v>
      </c>
      <c r="BF283" s="52">
        <v>23</v>
      </c>
      <c r="BG283" s="105">
        <v>14</v>
      </c>
      <c r="BH283" s="98">
        <v>29</v>
      </c>
      <c r="BI283" s="279">
        <v>45</v>
      </c>
      <c r="BJ283" s="52">
        <v>13</v>
      </c>
      <c r="BK283" s="105">
        <v>4</v>
      </c>
      <c r="BL283" s="98">
        <v>24</v>
      </c>
      <c r="BM283" s="279">
        <v>14</v>
      </c>
      <c r="BN283" s="52">
        <v>11</v>
      </c>
      <c r="BO283" s="105">
        <v>51</v>
      </c>
      <c r="BP283" s="98">
        <v>12</v>
      </c>
      <c r="BQ283" s="279">
        <v>13</v>
      </c>
      <c r="BR283" s="52">
        <v>9</v>
      </c>
      <c r="BS283" s="105">
        <v>13</v>
      </c>
      <c r="BT283" s="98">
        <v>9</v>
      </c>
      <c r="BU283" s="279">
        <v>51</v>
      </c>
      <c r="BV283" s="52">
        <v>5</v>
      </c>
      <c r="BW283" s="105">
        <v>50</v>
      </c>
      <c r="BX283" s="98">
        <v>5</v>
      </c>
      <c r="BY283" s="279">
        <v>50</v>
      </c>
      <c r="BZ283" s="52">
        <v>4</v>
      </c>
      <c r="CA283" s="105">
        <v>45</v>
      </c>
      <c r="CB283" s="98">
        <v>4</v>
      </c>
      <c r="CC283" s="279">
        <v>9</v>
      </c>
      <c r="CD283" s="52">
        <v>3</v>
      </c>
      <c r="CE283" s="105">
        <v>27</v>
      </c>
      <c r="CF283" s="98">
        <v>4</v>
      </c>
      <c r="CG283" s="279">
        <v>26</v>
      </c>
      <c r="CH283" s="52">
        <v>1</v>
      </c>
      <c r="CI283" s="105">
        <v>9</v>
      </c>
      <c r="CJ283" s="98">
        <v>3</v>
      </c>
      <c r="CK283" s="281"/>
      <c r="CL283" s="277"/>
      <c r="CM283" s="159">
        <v>2</v>
      </c>
      <c r="CN283" s="277">
        <v>7</v>
      </c>
      <c r="CO283" s="50">
        <f t="shared" si="122"/>
        <v>130</v>
      </c>
      <c r="CP283" s="103">
        <f t="shared" si="123"/>
        <v>10</v>
      </c>
      <c r="CQ283" s="280">
        <f t="shared" si="124"/>
        <v>188</v>
      </c>
      <c r="CR283" s="63">
        <f t="shared" si="125"/>
        <v>10</v>
      </c>
      <c r="CS283" s="279">
        <v>13</v>
      </c>
      <c r="CT283" s="52">
        <v>35</v>
      </c>
      <c r="CU283" s="105">
        <v>13</v>
      </c>
      <c r="CV283" s="98">
        <v>10</v>
      </c>
      <c r="CW283" s="279">
        <v>51</v>
      </c>
      <c r="CX283" s="52">
        <v>3</v>
      </c>
      <c r="CY283" s="105">
        <v>14</v>
      </c>
      <c r="CZ283" s="98">
        <v>8</v>
      </c>
      <c r="DA283" s="279">
        <v>14</v>
      </c>
      <c r="DB283" s="52">
        <v>2</v>
      </c>
      <c r="DC283" s="105">
        <v>51</v>
      </c>
      <c r="DD283" s="98">
        <v>7</v>
      </c>
      <c r="DE283" s="279">
        <v>52</v>
      </c>
      <c r="DF283" s="52">
        <v>2</v>
      </c>
      <c r="DG283" s="105">
        <v>45</v>
      </c>
      <c r="DH283" s="98">
        <v>4</v>
      </c>
      <c r="DI283" s="279"/>
      <c r="DJ283" s="52"/>
      <c r="DK283" s="105">
        <v>52</v>
      </c>
      <c r="DL283" s="98">
        <v>3</v>
      </c>
      <c r="DM283" s="279"/>
      <c r="DN283" s="52"/>
      <c r="DO283" s="105">
        <v>23</v>
      </c>
      <c r="DP283" s="98">
        <v>3</v>
      </c>
      <c r="DQ283" s="279"/>
      <c r="DR283" s="52"/>
      <c r="DS283" s="105">
        <v>26</v>
      </c>
      <c r="DT283" s="98">
        <v>1</v>
      </c>
      <c r="DU283" s="279"/>
      <c r="DV283" s="52"/>
      <c r="DW283" s="105"/>
      <c r="DX283" s="98"/>
      <c r="DY283" s="279"/>
      <c r="DZ283" s="52"/>
      <c r="EA283" s="105"/>
      <c r="EB283" s="98"/>
      <c r="EC283" s="279"/>
      <c r="ED283" s="52"/>
      <c r="EE283" s="105"/>
      <c r="EF283" s="98"/>
      <c r="EG283" s="159"/>
      <c r="EH283" s="277"/>
      <c r="EI283" s="50">
        <f t="shared" si="126"/>
        <v>42</v>
      </c>
      <c r="EJ283" s="103">
        <f t="shared" si="127"/>
        <v>4</v>
      </c>
      <c r="EK283" s="164">
        <f t="shared" si="128"/>
        <v>0.83333333333333337</v>
      </c>
      <c r="EL283" s="280">
        <f t="shared" si="129"/>
        <v>36</v>
      </c>
      <c r="EM283" s="63">
        <f t="shared" si="130"/>
        <v>7</v>
      </c>
      <c r="EN283" s="359">
        <f t="shared" si="131"/>
        <v>0.27777777777777779</v>
      </c>
      <c r="EO283" s="51">
        <f t="shared" si="132"/>
        <v>172</v>
      </c>
      <c r="EP283" s="361">
        <f t="shared" si="133"/>
        <v>224</v>
      </c>
      <c r="EQ283" s="281"/>
      <c r="ER283" s="277"/>
      <c r="ES283" s="281"/>
      <c r="ET283" s="277"/>
      <c r="EU283" s="281"/>
      <c r="EV283" s="277"/>
      <c r="EW283" s="281"/>
      <c r="EX283" s="277"/>
      <c r="EY283" s="281"/>
      <c r="EZ283" s="277"/>
      <c r="FA283" s="281"/>
      <c r="FB283" s="277"/>
      <c r="FC283" s="281"/>
      <c r="FD283" s="277"/>
      <c r="FE283" s="281"/>
      <c r="FF283" s="277"/>
      <c r="FG283" s="281"/>
      <c r="FH283" s="277"/>
      <c r="FI283" s="281"/>
      <c r="FJ283" s="277"/>
      <c r="FK283" s="50">
        <f t="shared" si="134"/>
        <v>0</v>
      </c>
      <c r="FL283" s="63">
        <f t="shared" si="135"/>
        <v>0</v>
      </c>
      <c r="FM283" s="50">
        <f t="shared" si="117"/>
        <v>985</v>
      </c>
      <c r="FN283" s="360">
        <f t="shared" si="118"/>
        <v>1067</v>
      </c>
      <c r="FO283" s="3"/>
      <c r="FP283" s="279"/>
      <c r="FQ283" s="52"/>
      <c r="FR283" s="296"/>
      <c r="FS283" s="98"/>
      <c r="FT283" s="467"/>
      <c r="FU283" s="52"/>
      <c r="FV283" s="296"/>
      <c r="FW283" s="98"/>
      <c r="FX283" s="467"/>
      <c r="FY283" s="52"/>
      <c r="FZ283" s="296"/>
      <c r="GA283" s="98"/>
      <c r="GB283" s="467"/>
      <c r="GC283" s="52"/>
      <c r="GD283" s="296"/>
      <c r="GE283" s="98"/>
      <c r="GF283" s="467"/>
      <c r="GG283" s="52"/>
      <c r="GH283" s="296"/>
      <c r="GI283" s="98"/>
      <c r="GJ283" s="467"/>
      <c r="GK283" s="52"/>
      <c r="GL283" s="296"/>
      <c r="GM283" s="464"/>
      <c r="GN283" s="467"/>
      <c r="GO283" s="52"/>
      <c r="GP283" s="296"/>
      <c r="GQ283" s="464"/>
      <c r="GR283" s="467"/>
      <c r="GS283" s="52"/>
      <c r="GT283" s="296"/>
      <c r="GU283" s="464"/>
      <c r="GV283" s="467"/>
      <c r="GW283" s="52"/>
      <c r="GX283" s="296"/>
      <c r="GY283" s="464"/>
      <c r="GZ283" s="467"/>
      <c r="HA283" s="52"/>
      <c r="HB283" s="296"/>
      <c r="HC283" s="3"/>
    </row>
    <row r="284" spans="1:211" s="86" customFormat="1">
      <c r="A284" s="499" t="s">
        <v>954</v>
      </c>
      <c r="B284" s="311" t="s">
        <v>584</v>
      </c>
      <c r="C284" s="310">
        <v>164076</v>
      </c>
      <c r="D284" s="351">
        <v>3</v>
      </c>
      <c r="E284" s="460"/>
      <c r="F284" s="277"/>
      <c r="G284" s="158"/>
      <c r="H284" s="277"/>
      <c r="I284" s="158"/>
      <c r="J284" s="535"/>
      <c r="K284" s="160">
        <f t="shared" si="119"/>
        <v>0</v>
      </c>
      <c r="L284" s="161">
        <f t="shared" si="112"/>
        <v>0</v>
      </c>
      <c r="M284" s="54">
        <v>3204</v>
      </c>
      <c r="N284" s="55">
        <v>550</v>
      </c>
      <c r="O284" s="55"/>
      <c r="P284" s="55"/>
      <c r="Q284" s="162">
        <f t="shared" si="120"/>
        <v>550</v>
      </c>
      <c r="R284" s="277">
        <v>3380</v>
      </c>
      <c r="S284" s="277">
        <v>561</v>
      </c>
      <c r="T284" s="277"/>
      <c r="U284" s="277"/>
      <c r="V284" s="97">
        <f t="shared" si="121"/>
        <v>561</v>
      </c>
      <c r="W284" s="279"/>
      <c r="X284" s="52"/>
      <c r="Y284" s="99"/>
      <c r="Z284" s="53"/>
      <c r="AA284" s="228"/>
      <c r="AB284" s="52"/>
      <c r="AC284" s="99"/>
      <c r="AD284" s="53"/>
      <c r="AE284" s="228"/>
      <c r="AF284" s="52"/>
      <c r="AG284" s="99"/>
      <c r="AH284" s="53"/>
      <c r="AI284" s="228"/>
      <c r="AJ284" s="52"/>
      <c r="AK284" s="99"/>
      <c r="AL284" s="53"/>
      <c r="AM284" s="228"/>
      <c r="AN284" s="52"/>
      <c r="AO284" s="99"/>
      <c r="AP284" s="53"/>
      <c r="AQ284" s="50">
        <f t="shared" si="113"/>
        <v>0</v>
      </c>
      <c r="AR284" s="163">
        <f t="shared" si="114"/>
        <v>0.75352775164628405</v>
      </c>
      <c r="AS284" s="97">
        <f t="shared" si="115"/>
        <v>0</v>
      </c>
      <c r="AT284" s="278">
        <f t="shared" si="116"/>
        <v>0.77098540145985406</v>
      </c>
      <c r="AU284" s="55">
        <v>93</v>
      </c>
      <c r="AV284" s="277"/>
      <c r="AW284" s="279">
        <v>13</v>
      </c>
      <c r="AX284" s="52">
        <v>432</v>
      </c>
      <c r="AY284" s="500">
        <v>13</v>
      </c>
      <c r="AZ284" s="98">
        <v>418</v>
      </c>
      <c r="BA284" s="279">
        <v>51</v>
      </c>
      <c r="BB284" s="52">
        <v>162</v>
      </c>
      <c r="BC284" s="105">
        <v>51</v>
      </c>
      <c r="BD284" s="98">
        <v>175</v>
      </c>
      <c r="BE284" s="279">
        <v>42</v>
      </c>
      <c r="BF284" s="52">
        <v>103</v>
      </c>
      <c r="BG284" s="105">
        <v>42</v>
      </c>
      <c r="BH284" s="98">
        <v>146</v>
      </c>
      <c r="BI284" s="279">
        <v>11</v>
      </c>
      <c r="BJ284" s="52">
        <v>88</v>
      </c>
      <c r="BK284" s="105">
        <v>11</v>
      </c>
      <c r="BL284" s="98">
        <v>85</v>
      </c>
      <c r="BM284" s="279">
        <v>26</v>
      </c>
      <c r="BN284" s="52">
        <v>29</v>
      </c>
      <c r="BO284" s="105">
        <v>26</v>
      </c>
      <c r="BP284" s="98">
        <v>34</v>
      </c>
      <c r="BQ284" s="279">
        <v>23</v>
      </c>
      <c r="BR284" s="52">
        <v>26</v>
      </c>
      <c r="BS284" s="105">
        <v>52</v>
      </c>
      <c r="BT284" s="98">
        <v>33</v>
      </c>
      <c r="BU284" s="279">
        <v>30</v>
      </c>
      <c r="BV284" s="52">
        <v>22</v>
      </c>
      <c r="BW284" s="105">
        <v>30</v>
      </c>
      <c r="BX284" s="98">
        <v>21</v>
      </c>
      <c r="BY284" s="279">
        <v>50</v>
      </c>
      <c r="BZ284" s="52">
        <v>21</v>
      </c>
      <c r="CA284" s="105">
        <v>50</v>
      </c>
      <c r="CB284" s="98">
        <v>18</v>
      </c>
      <c r="CC284" s="279">
        <v>9</v>
      </c>
      <c r="CD284" s="52">
        <v>14</v>
      </c>
      <c r="CE284" s="105">
        <v>23</v>
      </c>
      <c r="CF284" s="98">
        <v>17</v>
      </c>
      <c r="CG284" s="279">
        <v>52</v>
      </c>
      <c r="CH284" s="52">
        <v>11</v>
      </c>
      <c r="CI284" s="105">
        <v>45</v>
      </c>
      <c r="CJ284" s="98">
        <v>14</v>
      </c>
      <c r="CK284" s="281"/>
      <c r="CL284" s="277"/>
      <c r="CM284" s="159">
        <v>33</v>
      </c>
      <c r="CN284" s="277">
        <v>28</v>
      </c>
      <c r="CO284" s="50">
        <f t="shared" si="122"/>
        <v>941</v>
      </c>
      <c r="CP284" s="103">
        <f t="shared" si="123"/>
        <v>10</v>
      </c>
      <c r="CQ284" s="280">
        <f t="shared" si="124"/>
        <v>989</v>
      </c>
      <c r="CR284" s="63">
        <f t="shared" si="125"/>
        <v>10</v>
      </c>
      <c r="CS284" s="279">
        <v>51</v>
      </c>
      <c r="CT284" s="52">
        <v>8</v>
      </c>
      <c r="CU284" s="105">
        <v>13</v>
      </c>
      <c r="CV284" s="98">
        <v>3</v>
      </c>
      <c r="CW284" s="279">
        <v>11</v>
      </c>
      <c r="CX284" s="52">
        <v>5</v>
      </c>
      <c r="CY284" s="105">
        <v>11</v>
      </c>
      <c r="CZ284" s="98">
        <v>2</v>
      </c>
      <c r="DA284" s="279">
        <v>13</v>
      </c>
      <c r="DB284" s="52">
        <v>1</v>
      </c>
      <c r="DC284" s="105"/>
      <c r="DD284" s="98"/>
      <c r="DE284" s="279"/>
      <c r="DF284" s="52"/>
      <c r="DG284" s="105"/>
      <c r="DH284" s="98"/>
      <c r="DI284" s="279"/>
      <c r="DJ284" s="52"/>
      <c r="DK284" s="105"/>
      <c r="DL284" s="98"/>
      <c r="DM284" s="279"/>
      <c r="DN284" s="52"/>
      <c r="DO284" s="105"/>
      <c r="DP284" s="98"/>
      <c r="DQ284" s="279"/>
      <c r="DR284" s="52"/>
      <c r="DS284" s="105"/>
      <c r="DT284" s="98"/>
      <c r="DU284" s="279"/>
      <c r="DV284" s="52"/>
      <c r="DW284" s="105"/>
      <c r="DX284" s="98"/>
      <c r="DY284" s="279"/>
      <c r="DZ284" s="52"/>
      <c r="EA284" s="105"/>
      <c r="EB284" s="98"/>
      <c r="EC284" s="279"/>
      <c r="ED284" s="52"/>
      <c r="EE284" s="105"/>
      <c r="EF284" s="98"/>
      <c r="EG284" s="159"/>
      <c r="EH284" s="277"/>
      <c r="EI284" s="50">
        <f t="shared" si="126"/>
        <v>14</v>
      </c>
      <c r="EJ284" s="103">
        <f t="shared" si="127"/>
        <v>3</v>
      </c>
      <c r="EK284" s="164">
        <f t="shared" si="128"/>
        <v>0.5714285714285714</v>
      </c>
      <c r="EL284" s="280">
        <f t="shared" si="129"/>
        <v>5</v>
      </c>
      <c r="EM284" s="63">
        <f t="shared" si="130"/>
        <v>2</v>
      </c>
      <c r="EN284" s="359">
        <f t="shared" si="131"/>
        <v>0.6</v>
      </c>
      <c r="EO284" s="51">
        <f t="shared" si="132"/>
        <v>955</v>
      </c>
      <c r="EP284" s="361">
        <f t="shared" si="133"/>
        <v>994</v>
      </c>
      <c r="EQ284" s="281"/>
      <c r="ER284" s="277"/>
      <c r="ES284" s="281"/>
      <c r="ET284" s="277"/>
      <c r="EU284" s="281"/>
      <c r="EV284" s="277"/>
      <c r="EW284" s="281"/>
      <c r="EX284" s="277"/>
      <c r="EY284" s="281"/>
      <c r="EZ284" s="277"/>
      <c r="FA284" s="281"/>
      <c r="FB284" s="277"/>
      <c r="FC284" s="281"/>
      <c r="FD284" s="277"/>
      <c r="FE284" s="281"/>
      <c r="FF284" s="277"/>
      <c r="FG284" s="281"/>
      <c r="FH284" s="277"/>
      <c r="FI284" s="281"/>
      <c r="FJ284" s="277">
        <v>10</v>
      </c>
      <c r="FK284" s="50">
        <f t="shared" si="134"/>
        <v>0</v>
      </c>
      <c r="FL284" s="63">
        <f t="shared" si="135"/>
        <v>10</v>
      </c>
      <c r="FM284" s="50">
        <f t="shared" si="117"/>
        <v>4252</v>
      </c>
      <c r="FN284" s="360">
        <f t="shared" si="118"/>
        <v>4384</v>
      </c>
      <c r="FO284" s="3"/>
      <c r="FP284" s="279"/>
      <c r="FQ284" s="52"/>
      <c r="FR284" s="756">
        <v>510203</v>
      </c>
      <c r="FS284" s="98">
        <v>10</v>
      </c>
      <c r="FT284" s="467"/>
      <c r="FU284" s="52"/>
      <c r="FV284" s="296"/>
      <c r="FW284" s="98"/>
      <c r="FX284" s="467"/>
      <c r="FY284" s="52"/>
      <c r="FZ284" s="296"/>
      <c r="GA284" s="98"/>
      <c r="GB284" s="467"/>
      <c r="GC284" s="52"/>
      <c r="GD284" s="296"/>
      <c r="GE284" s="98"/>
      <c r="GF284" s="467"/>
      <c r="GG284" s="52"/>
      <c r="GH284" s="296"/>
      <c r="GI284" s="98"/>
      <c r="GJ284" s="467"/>
      <c r="GK284" s="52"/>
      <c r="GL284" s="296"/>
      <c r="GM284" s="464"/>
      <c r="GN284" s="467"/>
      <c r="GO284" s="52"/>
      <c r="GP284" s="296"/>
      <c r="GQ284" s="464"/>
      <c r="GR284" s="467"/>
      <c r="GS284" s="52"/>
      <c r="GT284" s="296"/>
      <c r="GU284" s="464"/>
      <c r="GV284" s="467"/>
      <c r="GW284" s="52"/>
      <c r="GX284" s="296"/>
      <c r="GY284" s="464"/>
      <c r="GZ284" s="467"/>
      <c r="HA284" s="52"/>
      <c r="HB284" s="296"/>
      <c r="HC284" s="3"/>
    </row>
    <row r="285" spans="1:211" s="86" customFormat="1">
      <c r="A285" s="499" t="s">
        <v>954</v>
      </c>
      <c r="B285" s="311" t="s">
        <v>585</v>
      </c>
      <c r="C285" s="310">
        <v>162007</v>
      </c>
      <c r="D285" s="351">
        <v>4</v>
      </c>
      <c r="E285" s="460"/>
      <c r="F285" s="277"/>
      <c r="G285" s="158"/>
      <c r="H285" s="277"/>
      <c r="I285" s="158"/>
      <c r="J285" s="535"/>
      <c r="K285" s="160">
        <f t="shared" si="119"/>
        <v>0</v>
      </c>
      <c r="L285" s="161">
        <f t="shared" si="112"/>
        <v>0</v>
      </c>
      <c r="M285" s="54">
        <v>616</v>
      </c>
      <c r="N285" s="55">
        <v>36</v>
      </c>
      <c r="O285" s="55"/>
      <c r="P285" s="55"/>
      <c r="Q285" s="162">
        <f t="shared" si="120"/>
        <v>36</v>
      </c>
      <c r="R285" s="277">
        <v>613</v>
      </c>
      <c r="S285" s="277">
        <v>46</v>
      </c>
      <c r="T285" s="277"/>
      <c r="U285" s="277"/>
      <c r="V285" s="97">
        <f t="shared" si="121"/>
        <v>46</v>
      </c>
      <c r="W285" s="279"/>
      <c r="X285" s="52"/>
      <c r="Y285" s="99"/>
      <c r="Z285" s="53"/>
      <c r="AA285" s="228"/>
      <c r="AB285" s="52"/>
      <c r="AC285" s="99"/>
      <c r="AD285" s="53"/>
      <c r="AE285" s="228"/>
      <c r="AF285" s="52"/>
      <c r="AG285" s="99"/>
      <c r="AH285" s="53"/>
      <c r="AI285" s="228"/>
      <c r="AJ285" s="52"/>
      <c r="AK285" s="99"/>
      <c r="AL285" s="53"/>
      <c r="AM285" s="228"/>
      <c r="AN285" s="52"/>
      <c r="AO285" s="99"/>
      <c r="AP285" s="53"/>
      <c r="AQ285" s="50">
        <f t="shared" si="113"/>
        <v>0</v>
      </c>
      <c r="AR285" s="163">
        <f t="shared" si="114"/>
        <v>0.64300626304801667</v>
      </c>
      <c r="AS285" s="97">
        <f t="shared" si="115"/>
        <v>0</v>
      </c>
      <c r="AT285" s="278">
        <f t="shared" si="116"/>
        <v>0.65561497326203211</v>
      </c>
      <c r="AU285" s="55"/>
      <c r="AV285" s="277"/>
      <c r="AW285" s="279">
        <v>13</v>
      </c>
      <c r="AX285" s="52">
        <v>134</v>
      </c>
      <c r="AY285" s="500">
        <v>13</v>
      </c>
      <c r="AZ285" s="98">
        <v>121</v>
      </c>
      <c r="BA285" s="279">
        <v>11</v>
      </c>
      <c r="BB285" s="52">
        <v>65</v>
      </c>
      <c r="BC285" s="105">
        <v>42</v>
      </c>
      <c r="BD285" s="98">
        <v>64</v>
      </c>
      <c r="BE285" s="279">
        <v>42</v>
      </c>
      <c r="BF285" s="52">
        <v>52</v>
      </c>
      <c r="BG285" s="105">
        <v>44</v>
      </c>
      <c r="BH285" s="98">
        <v>49</v>
      </c>
      <c r="BI285" s="279">
        <v>44</v>
      </c>
      <c r="BJ285" s="52">
        <v>49</v>
      </c>
      <c r="BK285" s="105">
        <v>11</v>
      </c>
      <c r="BL285" s="98">
        <v>34</v>
      </c>
      <c r="BM285" s="279">
        <v>52</v>
      </c>
      <c r="BN285" s="52">
        <v>16</v>
      </c>
      <c r="BO285" s="105">
        <v>52</v>
      </c>
      <c r="BP285" s="98">
        <v>20</v>
      </c>
      <c r="BQ285" s="279">
        <v>9</v>
      </c>
      <c r="BR285" s="52">
        <v>10</v>
      </c>
      <c r="BS285" s="105">
        <v>9</v>
      </c>
      <c r="BT285" s="98">
        <v>11</v>
      </c>
      <c r="BU285" s="279">
        <v>51</v>
      </c>
      <c r="BV285" s="52">
        <v>5</v>
      </c>
      <c r="BW285" s="105">
        <v>27</v>
      </c>
      <c r="BX285" s="98">
        <v>1</v>
      </c>
      <c r="BY285" s="279">
        <v>23</v>
      </c>
      <c r="BZ285" s="52">
        <v>2</v>
      </c>
      <c r="CA285" s="105"/>
      <c r="CB285" s="98"/>
      <c r="CC285" s="279"/>
      <c r="CD285" s="52"/>
      <c r="CE285" s="105"/>
      <c r="CF285" s="98"/>
      <c r="CG285" s="279"/>
      <c r="CH285" s="52"/>
      <c r="CI285" s="105"/>
      <c r="CJ285" s="98"/>
      <c r="CK285" s="281"/>
      <c r="CL285" s="277"/>
      <c r="CM285" s="159"/>
      <c r="CN285" s="277"/>
      <c r="CO285" s="50">
        <f t="shared" si="122"/>
        <v>333</v>
      </c>
      <c r="CP285" s="103">
        <f t="shared" si="123"/>
        <v>8</v>
      </c>
      <c r="CQ285" s="280">
        <f t="shared" si="124"/>
        <v>300</v>
      </c>
      <c r="CR285" s="63">
        <f t="shared" si="125"/>
        <v>7</v>
      </c>
      <c r="CS285" s="279">
        <v>13</v>
      </c>
      <c r="CT285" s="52">
        <v>9</v>
      </c>
      <c r="CU285" s="105">
        <v>13</v>
      </c>
      <c r="CV285" s="98">
        <v>22</v>
      </c>
      <c r="CW285" s="279"/>
      <c r="CX285" s="52"/>
      <c r="CY285" s="105"/>
      <c r="CZ285" s="98"/>
      <c r="DA285" s="279"/>
      <c r="DB285" s="52"/>
      <c r="DC285" s="105"/>
      <c r="DD285" s="98"/>
      <c r="DE285" s="279"/>
      <c r="DF285" s="52"/>
      <c r="DG285" s="105"/>
      <c r="DH285" s="98"/>
      <c r="DI285" s="279"/>
      <c r="DJ285" s="52"/>
      <c r="DK285" s="105"/>
      <c r="DL285" s="98"/>
      <c r="DM285" s="279"/>
      <c r="DN285" s="52"/>
      <c r="DO285" s="105"/>
      <c r="DP285" s="98"/>
      <c r="DQ285" s="279"/>
      <c r="DR285" s="52"/>
      <c r="DS285" s="105"/>
      <c r="DT285" s="98"/>
      <c r="DU285" s="279"/>
      <c r="DV285" s="52"/>
      <c r="DW285" s="105"/>
      <c r="DX285" s="98"/>
      <c r="DY285" s="279"/>
      <c r="DZ285" s="52"/>
      <c r="EA285" s="105"/>
      <c r="EB285" s="98"/>
      <c r="EC285" s="279"/>
      <c r="ED285" s="52"/>
      <c r="EE285" s="105"/>
      <c r="EF285" s="98"/>
      <c r="EG285" s="159"/>
      <c r="EH285" s="277"/>
      <c r="EI285" s="50">
        <f t="shared" si="126"/>
        <v>9</v>
      </c>
      <c r="EJ285" s="103">
        <f t="shared" si="127"/>
        <v>1</v>
      </c>
      <c r="EK285" s="164">
        <f t="shared" si="128"/>
        <v>1</v>
      </c>
      <c r="EL285" s="280">
        <f t="shared" si="129"/>
        <v>22</v>
      </c>
      <c r="EM285" s="63">
        <f t="shared" si="130"/>
        <v>1</v>
      </c>
      <c r="EN285" s="359">
        <f t="shared" si="131"/>
        <v>1</v>
      </c>
      <c r="EO285" s="51">
        <f t="shared" si="132"/>
        <v>342</v>
      </c>
      <c r="EP285" s="361">
        <f t="shared" si="133"/>
        <v>322</v>
      </c>
      <c r="EQ285" s="281"/>
      <c r="ER285" s="277"/>
      <c r="ES285" s="281"/>
      <c r="ET285" s="277"/>
      <c r="EU285" s="281"/>
      <c r="EV285" s="277"/>
      <c r="EW285" s="281"/>
      <c r="EX285" s="277"/>
      <c r="EY285" s="281"/>
      <c r="EZ285" s="277"/>
      <c r="FA285" s="281"/>
      <c r="FB285" s="277"/>
      <c r="FC285" s="281"/>
      <c r="FD285" s="277"/>
      <c r="FE285" s="281"/>
      <c r="FF285" s="277"/>
      <c r="FG285" s="281"/>
      <c r="FH285" s="277"/>
      <c r="FI285" s="281"/>
      <c r="FJ285" s="277"/>
      <c r="FK285" s="50">
        <f t="shared" si="134"/>
        <v>0</v>
      </c>
      <c r="FL285" s="63">
        <f t="shared" si="135"/>
        <v>0</v>
      </c>
      <c r="FM285" s="50">
        <f t="shared" si="117"/>
        <v>958</v>
      </c>
      <c r="FN285" s="360">
        <f t="shared" si="118"/>
        <v>935</v>
      </c>
      <c r="FO285" s="3"/>
      <c r="FP285" s="279"/>
      <c r="FQ285" s="52"/>
      <c r="FR285" s="296"/>
      <c r="FS285" s="98"/>
      <c r="FT285" s="467"/>
      <c r="FU285" s="52"/>
      <c r="FV285" s="296"/>
      <c r="FW285" s="98"/>
      <c r="FX285" s="467"/>
      <c r="FY285" s="52"/>
      <c r="FZ285" s="296"/>
      <c r="GA285" s="98"/>
      <c r="GB285" s="467"/>
      <c r="GC285" s="52"/>
      <c r="GD285" s="296"/>
      <c r="GE285" s="98"/>
      <c r="GF285" s="467"/>
      <c r="GG285" s="52"/>
      <c r="GH285" s="296"/>
      <c r="GI285" s="98"/>
      <c r="GJ285" s="467"/>
      <c r="GK285" s="52"/>
      <c r="GL285" s="296"/>
      <c r="GM285" s="464"/>
      <c r="GN285" s="467"/>
      <c r="GO285" s="52"/>
      <c r="GP285" s="296"/>
      <c r="GQ285" s="464"/>
      <c r="GR285" s="467"/>
      <c r="GS285" s="52"/>
      <c r="GT285" s="296"/>
      <c r="GU285" s="464"/>
      <c r="GV285" s="467"/>
      <c r="GW285" s="52"/>
      <c r="GX285" s="296"/>
      <c r="GY285" s="464"/>
      <c r="GZ285" s="467"/>
      <c r="HA285" s="52"/>
      <c r="HB285" s="296"/>
      <c r="HC285" s="3"/>
    </row>
    <row r="286" spans="1:211" s="86" customFormat="1">
      <c r="A286" s="499" t="s">
        <v>954</v>
      </c>
      <c r="B286" s="311" t="s">
        <v>591</v>
      </c>
      <c r="C286" s="310">
        <v>162283</v>
      </c>
      <c r="D286" s="351">
        <v>4</v>
      </c>
      <c r="E286" s="460"/>
      <c r="F286" s="277"/>
      <c r="G286" s="158"/>
      <c r="H286" s="277"/>
      <c r="I286" s="158"/>
      <c r="J286" s="535"/>
      <c r="K286" s="160">
        <f t="shared" si="119"/>
        <v>0</v>
      </c>
      <c r="L286" s="161">
        <f t="shared" si="112"/>
        <v>0</v>
      </c>
      <c r="M286" s="54">
        <v>293</v>
      </c>
      <c r="N286" s="55">
        <v>12</v>
      </c>
      <c r="O286" s="55"/>
      <c r="P286" s="55"/>
      <c r="Q286" s="162">
        <f t="shared" si="120"/>
        <v>12</v>
      </c>
      <c r="R286" s="277">
        <v>358</v>
      </c>
      <c r="S286" s="277">
        <v>36</v>
      </c>
      <c r="T286" s="277"/>
      <c r="U286" s="277"/>
      <c r="V286" s="97">
        <f t="shared" si="121"/>
        <v>36</v>
      </c>
      <c r="W286" s="279"/>
      <c r="X286" s="52"/>
      <c r="Y286" s="99"/>
      <c r="Z286" s="53"/>
      <c r="AA286" s="228"/>
      <c r="AB286" s="52"/>
      <c r="AC286" s="99"/>
      <c r="AD286" s="53"/>
      <c r="AE286" s="228"/>
      <c r="AF286" s="52"/>
      <c r="AG286" s="99"/>
      <c r="AH286" s="53"/>
      <c r="AI286" s="228"/>
      <c r="AJ286" s="52"/>
      <c r="AK286" s="99"/>
      <c r="AL286" s="53"/>
      <c r="AM286" s="228"/>
      <c r="AN286" s="52"/>
      <c r="AO286" s="99"/>
      <c r="AP286" s="53"/>
      <c r="AQ286" s="50">
        <f t="shared" si="113"/>
        <v>0</v>
      </c>
      <c r="AR286" s="163">
        <f t="shared" si="114"/>
        <v>0.75128205128205128</v>
      </c>
      <c r="AS286" s="97">
        <f t="shared" si="115"/>
        <v>0</v>
      </c>
      <c r="AT286" s="278">
        <f t="shared" si="116"/>
        <v>0.80449438202247192</v>
      </c>
      <c r="AU286" s="55"/>
      <c r="AV286" s="277"/>
      <c r="AW286" s="279">
        <v>13</v>
      </c>
      <c r="AX286" s="52">
        <v>62</v>
      </c>
      <c r="AY286" s="500">
        <v>13</v>
      </c>
      <c r="AZ286" s="98">
        <v>53</v>
      </c>
      <c r="BA286" s="279">
        <v>52</v>
      </c>
      <c r="BB286" s="52">
        <v>13</v>
      </c>
      <c r="BC286" s="105">
        <v>52</v>
      </c>
      <c r="BD286" s="98">
        <v>22</v>
      </c>
      <c r="BE286" s="279">
        <v>51</v>
      </c>
      <c r="BF286" s="52">
        <v>10</v>
      </c>
      <c r="BG286" s="105">
        <v>42</v>
      </c>
      <c r="BH286" s="98">
        <v>6</v>
      </c>
      <c r="BI286" s="279">
        <v>44</v>
      </c>
      <c r="BJ286" s="52">
        <v>8</v>
      </c>
      <c r="BK286" s="105">
        <v>51</v>
      </c>
      <c r="BL286" s="98">
        <v>3</v>
      </c>
      <c r="BM286" s="279">
        <v>40</v>
      </c>
      <c r="BN286" s="52">
        <v>4</v>
      </c>
      <c r="BO286" s="105">
        <v>44</v>
      </c>
      <c r="BP286" s="98">
        <v>3</v>
      </c>
      <c r="BQ286" s="279"/>
      <c r="BR286" s="52"/>
      <c r="BS286" s="105"/>
      <c r="BT286" s="98"/>
      <c r="BU286" s="279"/>
      <c r="BV286" s="52"/>
      <c r="BW286" s="105"/>
      <c r="BX286" s="98"/>
      <c r="BY286" s="279"/>
      <c r="BZ286" s="52"/>
      <c r="CA286" s="105"/>
      <c r="CB286" s="98"/>
      <c r="CC286" s="279"/>
      <c r="CD286" s="52"/>
      <c r="CE286" s="105"/>
      <c r="CF286" s="98"/>
      <c r="CG286" s="279"/>
      <c r="CH286" s="52"/>
      <c r="CI286" s="105"/>
      <c r="CJ286" s="98"/>
      <c r="CK286" s="281"/>
      <c r="CL286" s="277"/>
      <c r="CM286" s="159"/>
      <c r="CN286" s="277"/>
      <c r="CO286" s="50">
        <f t="shared" si="122"/>
        <v>97</v>
      </c>
      <c r="CP286" s="103">
        <f t="shared" si="123"/>
        <v>5</v>
      </c>
      <c r="CQ286" s="280">
        <f t="shared" si="124"/>
        <v>87</v>
      </c>
      <c r="CR286" s="63">
        <f t="shared" si="125"/>
        <v>5</v>
      </c>
      <c r="CS286" s="279"/>
      <c r="CT286" s="52"/>
      <c r="CU286" s="105"/>
      <c r="CV286" s="98"/>
      <c r="CW286" s="279"/>
      <c r="CX286" s="52"/>
      <c r="CY286" s="105"/>
      <c r="CZ286" s="98"/>
      <c r="DA286" s="279"/>
      <c r="DB286" s="52"/>
      <c r="DC286" s="105"/>
      <c r="DD286" s="98"/>
      <c r="DE286" s="279"/>
      <c r="DF286" s="52"/>
      <c r="DG286" s="105"/>
      <c r="DH286" s="98"/>
      <c r="DI286" s="279"/>
      <c r="DJ286" s="52"/>
      <c r="DK286" s="105"/>
      <c r="DL286" s="98"/>
      <c r="DM286" s="279"/>
      <c r="DN286" s="52"/>
      <c r="DO286" s="105"/>
      <c r="DP286" s="98"/>
      <c r="DQ286" s="279"/>
      <c r="DR286" s="52"/>
      <c r="DS286" s="105"/>
      <c r="DT286" s="98"/>
      <c r="DU286" s="279"/>
      <c r="DV286" s="52"/>
      <c r="DW286" s="105"/>
      <c r="DX286" s="98"/>
      <c r="DY286" s="279"/>
      <c r="DZ286" s="52"/>
      <c r="EA286" s="105"/>
      <c r="EB286" s="98"/>
      <c r="EC286" s="279"/>
      <c r="ED286" s="52"/>
      <c r="EE286" s="105"/>
      <c r="EF286" s="98"/>
      <c r="EG286" s="159"/>
      <c r="EH286" s="277"/>
      <c r="EI286" s="50">
        <f t="shared" si="126"/>
        <v>0</v>
      </c>
      <c r="EJ286" s="103">
        <f t="shared" si="127"/>
        <v>0</v>
      </c>
      <c r="EK286" s="164">
        <f t="shared" si="128"/>
        <v>0</v>
      </c>
      <c r="EL286" s="280">
        <f t="shared" si="129"/>
        <v>0</v>
      </c>
      <c r="EM286" s="63">
        <f t="shared" si="130"/>
        <v>0</v>
      </c>
      <c r="EN286" s="359">
        <f t="shared" si="131"/>
        <v>0</v>
      </c>
      <c r="EO286" s="51">
        <f t="shared" si="132"/>
        <v>97</v>
      </c>
      <c r="EP286" s="361">
        <f t="shared" si="133"/>
        <v>87</v>
      </c>
      <c r="EQ286" s="281"/>
      <c r="ER286" s="277"/>
      <c r="ES286" s="281"/>
      <c r="ET286" s="277"/>
      <c r="EU286" s="281"/>
      <c r="EV286" s="277"/>
      <c r="EW286" s="281"/>
      <c r="EX286" s="277"/>
      <c r="EY286" s="281"/>
      <c r="EZ286" s="277"/>
      <c r="FA286" s="281"/>
      <c r="FB286" s="277"/>
      <c r="FC286" s="281"/>
      <c r="FD286" s="277"/>
      <c r="FE286" s="281"/>
      <c r="FF286" s="277"/>
      <c r="FG286" s="281"/>
      <c r="FH286" s="277"/>
      <c r="FI286" s="281"/>
      <c r="FJ286" s="277"/>
      <c r="FK286" s="50">
        <f t="shared" si="134"/>
        <v>0</v>
      </c>
      <c r="FL286" s="63">
        <f t="shared" si="135"/>
        <v>0</v>
      </c>
      <c r="FM286" s="50">
        <f t="shared" si="117"/>
        <v>390</v>
      </c>
      <c r="FN286" s="360">
        <f t="shared" si="118"/>
        <v>445</v>
      </c>
      <c r="FO286" s="3"/>
      <c r="FP286" s="279"/>
      <c r="FQ286" s="52"/>
      <c r="FR286" s="296"/>
      <c r="FS286" s="98"/>
      <c r="FT286" s="467"/>
      <c r="FU286" s="52"/>
      <c r="FV286" s="296"/>
      <c r="FW286" s="98"/>
      <c r="FX286" s="467"/>
      <c r="FY286" s="52"/>
      <c r="FZ286" s="296"/>
      <c r="GA286" s="98"/>
      <c r="GB286" s="467"/>
      <c r="GC286" s="52"/>
      <c r="GD286" s="296"/>
      <c r="GE286" s="98"/>
      <c r="GF286" s="467"/>
      <c r="GG286" s="52"/>
      <c r="GH286" s="296"/>
      <c r="GI286" s="98"/>
      <c r="GJ286" s="467"/>
      <c r="GK286" s="52"/>
      <c r="GL286" s="296"/>
      <c r="GM286" s="464"/>
      <c r="GN286" s="467"/>
      <c r="GO286" s="52"/>
      <c r="GP286" s="296"/>
      <c r="GQ286" s="464"/>
      <c r="GR286" s="467"/>
      <c r="GS286" s="52"/>
      <c r="GT286" s="296"/>
      <c r="GU286" s="464"/>
      <c r="GV286" s="467"/>
      <c r="GW286" s="52"/>
      <c r="GX286" s="296"/>
      <c r="GY286" s="464"/>
      <c r="GZ286" s="467"/>
      <c r="HA286" s="52"/>
      <c r="HB286" s="296"/>
      <c r="HC286" s="3"/>
    </row>
    <row r="287" spans="1:211" s="86" customFormat="1">
      <c r="A287" s="499" t="s">
        <v>954</v>
      </c>
      <c r="B287" s="311" t="s">
        <v>586</v>
      </c>
      <c r="C287" s="310">
        <v>162584</v>
      </c>
      <c r="D287" s="351">
        <v>4</v>
      </c>
      <c r="E287" s="460"/>
      <c r="F287" s="277"/>
      <c r="G287" s="158">
        <v>39</v>
      </c>
      <c r="H287" s="277">
        <v>29</v>
      </c>
      <c r="I287" s="158"/>
      <c r="J287" s="535"/>
      <c r="K287" s="160">
        <f t="shared" si="119"/>
        <v>0</v>
      </c>
      <c r="L287" s="161">
        <f t="shared" si="112"/>
        <v>0</v>
      </c>
      <c r="M287" s="54">
        <v>790</v>
      </c>
      <c r="N287" s="55">
        <v>127</v>
      </c>
      <c r="O287" s="55"/>
      <c r="P287" s="55"/>
      <c r="Q287" s="162">
        <f t="shared" si="120"/>
        <v>127</v>
      </c>
      <c r="R287" s="277">
        <v>752</v>
      </c>
      <c r="S287" s="277">
        <v>112</v>
      </c>
      <c r="T287" s="277"/>
      <c r="U287" s="277"/>
      <c r="V287" s="97">
        <f t="shared" si="121"/>
        <v>112</v>
      </c>
      <c r="W287" s="279"/>
      <c r="X287" s="52"/>
      <c r="Y287" s="99"/>
      <c r="Z287" s="53"/>
      <c r="AA287" s="228"/>
      <c r="AB287" s="52"/>
      <c r="AC287" s="99"/>
      <c r="AD287" s="53"/>
      <c r="AE287" s="228"/>
      <c r="AF287" s="52"/>
      <c r="AG287" s="99"/>
      <c r="AH287" s="53"/>
      <c r="AI287" s="228"/>
      <c r="AJ287" s="52"/>
      <c r="AK287" s="99"/>
      <c r="AL287" s="53"/>
      <c r="AM287" s="228"/>
      <c r="AN287" s="52"/>
      <c r="AO287" s="99"/>
      <c r="AP287" s="53"/>
      <c r="AQ287" s="50">
        <f t="shared" si="113"/>
        <v>0</v>
      </c>
      <c r="AR287" s="163">
        <f t="shared" si="114"/>
        <v>0.73488372093023258</v>
      </c>
      <c r="AS287" s="97">
        <f t="shared" si="115"/>
        <v>0</v>
      </c>
      <c r="AT287" s="278">
        <f t="shared" si="116"/>
        <v>0.76190476190476186</v>
      </c>
      <c r="AU287" s="55">
        <v>5</v>
      </c>
      <c r="AV287" s="277"/>
      <c r="AW287" s="279">
        <v>13</v>
      </c>
      <c r="AX287" s="52">
        <v>178</v>
      </c>
      <c r="AY287" s="500">
        <v>13</v>
      </c>
      <c r="AZ287" s="98">
        <v>144</v>
      </c>
      <c r="BA287" s="279">
        <v>52</v>
      </c>
      <c r="BB287" s="52">
        <v>35</v>
      </c>
      <c r="BC287" s="105">
        <v>52</v>
      </c>
      <c r="BD287" s="98">
        <v>42</v>
      </c>
      <c r="BE287" s="279">
        <v>42</v>
      </c>
      <c r="BF287" s="52">
        <v>14</v>
      </c>
      <c r="BG287" s="105">
        <v>42</v>
      </c>
      <c r="BH287" s="98">
        <v>10</v>
      </c>
      <c r="BI287" s="279">
        <v>1</v>
      </c>
      <c r="BJ287" s="52">
        <v>7</v>
      </c>
      <c r="BK287" s="105">
        <v>1</v>
      </c>
      <c r="BL287" s="98">
        <v>6</v>
      </c>
      <c r="BM287" s="279">
        <v>44</v>
      </c>
      <c r="BN287" s="52">
        <v>6</v>
      </c>
      <c r="BO287" s="105">
        <v>11</v>
      </c>
      <c r="BP287" s="98">
        <v>2</v>
      </c>
      <c r="BQ287" s="279">
        <v>30</v>
      </c>
      <c r="BR287" s="52">
        <v>1</v>
      </c>
      <c r="BS287" s="105">
        <v>44</v>
      </c>
      <c r="BT287" s="98">
        <v>1</v>
      </c>
      <c r="BU287" s="279"/>
      <c r="BV287" s="52"/>
      <c r="BW287" s="105">
        <v>30</v>
      </c>
      <c r="BX287" s="98">
        <v>1</v>
      </c>
      <c r="BY287" s="279"/>
      <c r="BZ287" s="52"/>
      <c r="CA287" s="105"/>
      <c r="CB287" s="98"/>
      <c r="CC287" s="279"/>
      <c r="CD287" s="52"/>
      <c r="CE287" s="105"/>
      <c r="CF287" s="98"/>
      <c r="CG287" s="279"/>
      <c r="CH287" s="52"/>
      <c r="CI287" s="105"/>
      <c r="CJ287" s="98"/>
      <c r="CK287" s="281"/>
      <c r="CL287" s="277"/>
      <c r="CM287" s="159"/>
      <c r="CN287" s="277"/>
      <c r="CO287" s="50">
        <f t="shared" si="122"/>
        <v>241</v>
      </c>
      <c r="CP287" s="103">
        <f t="shared" si="123"/>
        <v>6</v>
      </c>
      <c r="CQ287" s="280">
        <f t="shared" si="124"/>
        <v>206</v>
      </c>
      <c r="CR287" s="63">
        <f t="shared" si="125"/>
        <v>7</v>
      </c>
      <c r="CS287" s="279"/>
      <c r="CT287" s="52"/>
      <c r="CU287" s="105"/>
      <c r="CV287" s="98"/>
      <c r="CW287" s="279"/>
      <c r="CX287" s="52"/>
      <c r="CY287" s="105"/>
      <c r="CZ287" s="98"/>
      <c r="DA287" s="279"/>
      <c r="DB287" s="52"/>
      <c r="DC287" s="105"/>
      <c r="DD287" s="98"/>
      <c r="DE287" s="279"/>
      <c r="DF287" s="52"/>
      <c r="DG287" s="105"/>
      <c r="DH287" s="98"/>
      <c r="DI287" s="279"/>
      <c r="DJ287" s="52"/>
      <c r="DK287" s="105"/>
      <c r="DL287" s="98"/>
      <c r="DM287" s="279"/>
      <c r="DN287" s="52"/>
      <c r="DO287" s="105"/>
      <c r="DP287" s="98"/>
      <c r="DQ287" s="279"/>
      <c r="DR287" s="52"/>
      <c r="DS287" s="105"/>
      <c r="DT287" s="98"/>
      <c r="DU287" s="279"/>
      <c r="DV287" s="52"/>
      <c r="DW287" s="105"/>
      <c r="DX287" s="98"/>
      <c r="DY287" s="279"/>
      <c r="DZ287" s="52"/>
      <c r="EA287" s="105"/>
      <c r="EB287" s="98"/>
      <c r="EC287" s="279"/>
      <c r="ED287" s="52"/>
      <c r="EE287" s="105"/>
      <c r="EF287" s="98"/>
      <c r="EG287" s="159"/>
      <c r="EH287" s="277"/>
      <c r="EI287" s="50">
        <f t="shared" si="126"/>
        <v>0</v>
      </c>
      <c r="EJ287" s="103">
        <f t="shared" si="127"/>
        <v>0</v>
      </c>
      <c r="EK287" s="164">
        <f t="shared" si="128"/>
        <v>0</v>
      </c>
      <c r="EL287" s="280">
        <f t="shared" si="129"/>
        <v>0</v>
      </c>
      <c r="EM287" s="63">
        <f t="shared" si="130"/>
        <v>0</v>
      </c>
      <c r="EN287" s="359">
        <f t="shared" si="131"/>
        <v>0</v>
      </c>
      <c r="EO287" s="51">
        <f t="shared" si="132"/>
        <v>241</v>
      </c>
      <c r="EP287" s="361">
        <f t="shared" si="133"/>
        <v>206</v>
      </c>
      <c r="EQ287" s="281"/>
      <c r="ER287" s="277"/>
      <c r="ES287" s="281"/>
      <c r="ET287" s="277"/>
      <c r="EU287" s="281"/>
      <c r="EV287" s="277"/>
      <c r="EW287" s="281"/>
      <c r="EX287" s="277"/>
      <c r="EY287" s="281"/>
      <c r="EZ287" s="277"/>
      <c r="FA287" s="281"/>
      <c r="FB287" s="277"/>
      <c r="FC287" s="281"/>
      <c r="FD287" s="277"/>
      <c r="FE287" s="281"/>
      <c r="FF287" s="277"/>
      <c r="FG287" s="281"/>
      <c r="FH287" s="277"/>
      <c r="FI287" s="281"/>
      <c r="FJ287" s="277"/>
      <c r="FK287" s="50">
        <f t="shared" si="134"/>
        <v>0</v>
      </c>
      <c r="FL287" s="63">
        <f t="shared" si="135"/>
        <v>0</v>
      </c>
      <c r="FM287" s="50">
        <f t="shared" si="117"/>
        <v>1075</v>
      </c>
      <c r="FN287" s="360">
        <f t="shared" si="118"/>
        <v>987</v>
      </c>
      <c r="FO287" s="3"/>
      <c r="FP287" s="279"/>
      <c r="FQ287" s="52"/>
      <c r="FR287" s="296"/>
      <c r="FS287" s="98"/>
      <c r="FT287" s="467"/>
      <c r="FU287" s="52"/>
      <c r="FV287" s="296"/>
      <c r="FW287" s="98"/>
      <c r="FX287" s="467"/>
      <c r="FY287" s="52"/>
      <c r="FZ287" s="296"/>
      <c r="GA287" s="98"/>
      <c r="GB287" s="467"/>
      <c r="GC287" s="52"/>
      <c r="GD287" s="296"/>
      <c r="GE287" s="98"/>
      <c r="GF287" s="467"/>
      <c r="GG287" s="52"/>
      <c r="GH287" s="296"/>
      <c r="GI287" s="98"/>
      <c r="GJ287" s="467"/>
      <c r="GK287" s="52"/>
      <c r="GL287" s="296"/>
      <c r="GM287" s="464"/>
      <c r="GN287" s="467"/>
      <c r="GO287" s="52"/>
      <c r="GP287" s="296"/>
      <c r="GQ287" s="464"/>
      <c r="GR287" s="467"/>
      <c r="GS287" s="52"/>
      <c r="GT287" s="296"/>
      <c r="GU287" s="464"/>
      <c r="GV287" s="467"/>
      <c r="GW287" s="52"/>
      <c r="GX287" s="296"/>
      <c r="GY287" s="464"/>
      <c r="GZ287" s="467"/>
      <c r="HA287" s="52"/>
      <c r="HB287" s="296"/>
      <c r="HC287" s="3"/>
    </row>
    <row r="288" spans="1:211" s="86" customFormat="1">
      <c r="A288" s="499" t="s">
        <v>954</v>
      </c>
      <c r="B288" s="311" t="s">
        <v>588</v>
      </c>
      <c r="C288" s="310">
        <v>163851</v>
      </c>
      <c r="D288" s="351">
        <v>4</v>
      </c>
      <c r="E288" s="460"/>
      <c r="F288" s="277"/>
      <c r="G288" s="158"/>
      <c r="H288" s="277"/>
      <c r="I288" s="158"/>
      <c r="J288" s="535"/>
      <c r="K288" s="160">
        <f t="shared" si="119"/>
        <v>0</v>
      </c>
      <c r="L288" s="161">
        <f t="shared" si="112"/>
        <v>0</v>
      </c>
      <c r="M288" s="54">
        <v>1553</v>
      </c>
      <c r="N288" s="55">
        <v>240</v>
      </c>
      <c r="O288" s="55"/>
      <c r="P288" s="55"/>
      <c r="Q288" s="162">
        <f t="shared" si="120"/>
        <v>240</v>
      </c>
      <c r="R288" s="277">
        <v>1584</v>
      </c>
      <c r="S288" s="277">
        <v>232</v>
      </c>
      <c r="T288" s="277"/>
      <c r="U288" s="277"/>
      <c r="V288" s="97">
        <f t="shared" si="121"/>
        <v>232</v>
      </c>
      <c r="W288" s="279"/>
      <c r="X288" s="52"/>
      <c r="Y288" s="99"/>
      <c r="Z288" s="53"/>
      <c r="AA288" s="228"/>
      <c r="AB288" s="52"/>
      <c r="AC288" s="99"/>
      <c r="AD288" s="53"/>
      <c r="AE288" s="228"/>
      <c r="AF288" s="52"/>
      <c r="AG288" s="99"/>
      <c r="AH288" s="53"/>
      <c r="AI288" s="228"/>
      <c r="AJ288" s="52"/>
      <c r="AK288" s="99"/>
      <c r="AL288" s="53"/>
      <c r="AM288" s="228"/>
      <c r="AN288" s="52"/>
      <c r="AO288" s="99"/>
      <c r="AP288" s="53"/>
      <c r="AQ288" s="50">
        <f t="shared" si="113"/>
        <v>0</v>
      </c>
      <c r="AR288" s="163">
        <f t="shared" si="114"/>
        <v>0.87492957746478872</v>
      </c>
      <c r="AS288" s="97">
        <f t="shared" si="115"/>
        <v>0</v>
      </c>
      <c r="AT288" s="278">
        <f t="shared" si="116"/>
        <v>0.8834355828220859</v>
      </c>
      <c r="AU288" s="55"/>
      <c r="AV288" s="277"/>
      <c r="AW288" s="279">
        <v>13</v>
      </c>
      <c r="AX288" s="52">
        <v>97</v>
      </c>
      <c r="AY288" s="500">
        <v>13</v>
      </c>
      <c r="AZ288" s="98">
        <v>86</v>
      </c>
      <c r="BA288" s="279">
        <v>52</v>
      </c>
      <c r="BB288" s="52">
        <v>49</v>
      </c>
      <c r="BC288" s="105">
        <v>44</v>
      </c>
      <c r="BD288" s="98">
        <v>46</v>
      </c>
      <c r="BE288" s="279">
        <v>44</v>
      </c>
      <c r="BF288" s="52">
        <v>39</v>
      </c>
      <c r="BG288" s="105">
        <v>52</v>
      </c>
      <c r="BH288" s="98">
        <v>41</v>
      </c>
      <c r="BI288" s="279">
        <v>23</v>
      </c>
      <c r="BJ288" s="52">
        <v>22</v>
      </c>
      <c r="BK288" s="105">
        <v>23</v>
      </c>
      <c r="BL288" s="98">
        <v>16</v>
      </c>
      <c r="BM288" s="279">
        <v>51</v>
      </c>
      <c r="BN288" s="52">
        <v>8</v>
      </c>
      <c r="BO288" s="105">
        <v>45</v>
      </c>
      <c r="BP288" s="98">
        <v>16</v>
      </c>
      <c r="BQ288" s="279">
        <v>45</v>
      </c>
      <c r="BR288" s="52">
        <v>7</v>
      </c>
      <c r="BS288" s="105">
        <v>51</v>
      </c>
      <c r="BT288" s="98">
        <v>4</v>
      </c>
      <c r="BU288" s="279"/>
      <c r="BV288" s="52"/>
      <c r="BW288" s="105"/>
      <c r="BX288" s="98"/>
      <c r="BY288" s="279"/>
      <c r="BZ288" s="52"/>
      <c r="CA288" s="105"/>
      <c r="CB288" s="98"/>
      <c r="CC288" s="279"/>
      <c r="CD288" s="52"/>
      <c r="CE288" s="105"/>
      <c r="CF288" s="98"/>
      <c r="CG288" s="279"/>
      <c r="CH288" s="52"/>
      <c r="CI288" s="105"/>
      <c r="CJ288" s="98"/>
      <c r="CK288" s="281"/>
      <c r="CL288" s="277"/>
      <c r="CM288" s="159"/>
      <c r="CN288" s="277"/>
      <c r="CO288" s="50">
        <f t="shared" si="122"/>
        <v>222</v>
      </c>
      <c r="CP288" s="103">
        <f t="shared" si="123"/>
        <v>6</v>
      </c>
      <c r="CQ288" s="280">
        <f t="shared" si="124"/>
        <v>209</v>
      </c>
      <c r="CR288" s="63">
        <f t="shared" si="125"/>
        <v>6</v>
      </c>
      <c r="CS288" s="279"/>
      <c r="CT288" s="52"/>
      <c r="CU288" s="105"/>
      <c r="CV288" s="98"/>
      <c r="CW288" s="279"/>
      <c r="CX288" s="52"/>
      <c r="CY288" s="105"/>
      <c r="CZ288" s="98"/>
      <c r="DA288" s="279"/>
      <c r="DB288" s="52"/>
      <c r="DC288" s="105"/>
      <c r="DD288" s="98"/>
      <c r="DE288" s="279"/>
      <c r="DF288" s="52"/>
      <c r="DG288" s="105"/>
      <c r="DH288" s="98"/>
      <c r="DI288" s="279"/>
      <c r="DJ288" s="52"/>
      <c r="DK288" s="105"/>
      <c r="DL288" s="98"/>
      <c r="DM288" s="279"/>
      <c r="DN288" s="52"/>
      <c r="DO288" s="105"/>
      <c r="DP288" s="98"/>
      <c r="DQ288" s="279"/>
      <c r="DR288" s="52"/>
      <c r="DS288" s="105"/>
      <c r="DT288" s="98"/>
      <c r="DU288" s="279"/>
      <c r="DV288" s="52"/>
      <c r="DW288" s="105"/>
      <c r="DX288" s="98"/>
      <c r="DY288" s="279"/>
      <c r="DZ288" s="52"/>
      <c r="EA288" s="105"/>
      <c r="EB288" s="98"/>
      <c r="EC288" s="279"/>
      <c r="ED288" s="52"/>
      <c r="EE288" s="105"/>
      <c r="EF288" s="98"/>
      <c r="EG288" s="159"/>
      <c r="EH288" s="277"/>
      <c r="EI288" s="50">
        <f t="shared" si="126"/>
        <v>0</v>
      </c>
      <c r="EJ288" s="103">
        <f t="shared" si="127"/>
        <v>0</v>
      </c>
      <c r="EK288" s="164">
        <f t="shared" si="128"/>
        <v>0</v>
      </c>
      <c r="EL288" s="280">
        <f t="shared" si="129"/>
        <v>0</v>
      </c>
      <c r="EM288" s="63">
        <f t="shared" si="130"/>
        <v>0</v>
      </c>
      <c r="EN288" s="359">
        <f t="shared" si="131"/>
        <v>0</v>
      </c>
      <c r="EO288" s="51">
        <f t="shared" si="132"/>
        <v>222</v>
      </c>
      <c r="EP288" s="361">
        <f t="shared" si="133"/>
        <v>209</v>
      </c>
      <c r="EQ288" s="281"/>
      <c r="ER288" s="277"/>
      <c r="ES288" s="281"/>
      <c r="ET288" s="277"/>
      <c r="EU288" s="281"/>
      <c r="EV288" s="277"/>
      <c r="EW288" s="281"/>
      <c r="EX288" s="277"/>
      <c r="EY288" s="281"/>
      <c r="EZ288" s="277"/>
      <c r="FA288" s="281"/>
      <c r="FB288" s="277"/>
      <c r="FC288" s="281"/>
      <c r="FD288" s="277"/>
      <c r="FE288" s="281"/>
      <c r="FF288" s="277"/>
      <c r="FG288" s="281"/>
      <c r="FH288" s="277"/>
      <c r="FI288" s="281"/>
      <c r="FJ288" s="277"/>
      <c r="FK288" s="50">
        <f t="shared" si="134"/>
        <v>0</v>
      </c>
      <c r="FL288" s="63">
        <f t="shared" si="135"/>
        <v>0</v>
      </c>
      <c r="FM288" s="50">
        <f t="shared" si="117"/>
        <v>1775</v>
      </c>
      <c r="FN288" s="360">
        <f t="shared" si="118"/>
        <v>1793</v>
      </c>
      <c r="FO288" s="3"/>
      <c r="FP288" s="279"/>
      <c r="FQ288" s="52"/>
      <c r="FR288" s="296"/>
      <c r="FS288" s="98"/>
      <c r="FT288" s="467"/>
      <c r="FU288" s="52"/>
      <c r="FV288" s="296"/>
      <c r="FW288" s="98"/>
      <c r="FX288" s="467"/>
      <c r="FY288" s="52"/>
      <c r="FZ288" s="296"/>
      <c r="GA288" s="98"/>
      <c r="GB288" s="467"/>
      <c r="GC288" s="52"/>
      <c r="GD288" s="296"/>
      <c r="GE288" s="98"/>
      <c r="GF288" s="467"/>
      <c r="GG288" s="52"/>
      <c r="GH288" s="296"/>
      <c r="GI288" s="98"/>
      <c r="GJ288" s="467"/>
      <c r="GK288" s="52"/>
      <c r="GL288" s="296"/>
      <c r="GM288" s="464"/>
      <c r="GN288" s="467"/>
      <c r="GO288" s="52"/>
      <c r="GP288" s="296"/>
      <c r="GQ288" s="464"/>
      <c r="GR288" s="467"/>
      <c r="GS288" s="52"/>
      <c r="GT288" s="296"/>
      <c r="GU288" s="464"/>
      <c r="GV288" s="467"/>
      <c r="GW288" s="52"/>
      <c r="GX288" s="296"/>
      <c r="GY288" s="464"/>
      <c r="GZ288" s="467"/>
      <c r="HA288" s="52"/>
      <c r="HB288" s="296"/>
      <c r="HC288" s="3"/>
    </row>
    <row r="289" spans="1:211" s="86" customFormat="1">
      <c r="A289" s="499" t="s">
        <v>954</v>
      </c>
      <c r="B289" s="311" t="s">
        <v>589</v>
      </c>
      <c r="C289" s="310">
        <v>161873</v>
      </c>
      <c r="D289" s="351">
        <v>4</v>
      </c>
      <c r="E289" s="460"/>
      <c r="F289" s="277"/>
      <c r="G289" s="158"/>
      <c r="H289" s="277"/>
      <c r="I289" s="158"/>
      <c r="J289" s="535"/>
      <c r="K289" s="160">
        <f t="shared" si="119"/>
        <v>0</v>
      </c>
      <c r="L289" s="161">
        <f t="shared" si="112"/>
        <v>0</v>
      </c>
      <c r="M289" s="54">
        <v>517</v>
      </c>
      <c r="N289" s="55"/>
      <c r="O289" s="55"/>
      <c r="P289" s="55"/>
      <c r="Q289" s="162">
        <f t="shared" si="120"/>
        <v>0</v>
      </c>
      <c r="R289" s="277">
        <v>528</v>
      </c>
      <c r="S289" s="277">
        <v>0</v>
      </c>
      <c r="T289" s="277"/>
      <c r="U289" s="277"/>
      <c r="V289" s="97">
        <f t="shared" si="121"/>
        <v>0</v>
      </c>
      <c r="W289" s="279"/>
      <c r="X289" s="52"/>
      <c r="Y289" s="99"/>
      <c r="Z289" s="53"/>
      <c r="AA289" s="228"/>
      <c r="AB289" s="52"/>
      <c r="AC289" s="99"/>
      <c r="AD289" s="53"/>
      <c r="AE289" s="228"/>
      <c r="AF289" s="52"/>
      <c r="AG289" s="99"/>
      <c r="AH289" s="53"/>
      <c r="AI289" s="228"/>
      <c r="AJ289" s="52"/>
      <c r="AK289" s="99"/>
      <c r="AL289" s="53"/>
      <c r="AM289" s="228"/>
      <c r="AN289" s="52"/>
      <c r="AO289" s="99"/>
      <c r="AP289" s="53"/>
      <c r="AQ289" s="50">
        <f t="shared" si="113"/>
        <v>0</v>
      </c>
      <c r="AR289" s="163">
        <f t="shared" si="114"/>
        <v>0.41393114491593275</v>
      </c>
      <c r="AS289" s="97">
        <f t="shared" si="115"/>
        <v>0</v>
      </c>
      <c r="AT289" s="278">
        <f t="shared" si="116"/>
        <v>0.41739130434782606</v>
      </c>
      <c r="AU289" s="55">
        <v>12</v>
      </c>
      <c r="AV289" s="277"/>
      <c r="AW289" s="279">
        <v>52</v>
      </c>
      <c r="AX289" s="52">
        <v>216</v>
      </c>
      <c r="AY289" s="500">
        <v>52</v>
      </c>
      <c r="AZ289" s="98">
        <v>212</v>
      </c>
      <c r="BA289" s="279">
        <v>44</v>
      </c>
      <c r="BB289" s="52">
        <v>64</v>
      </c>
      <c r="BC289" s="105">
        <v>44</v>
      </c>
      <c r="BD289" s="98">
        <v>77</v>
      </c>
      <c r="BE289" s="279">
        <v>50</v>
      </c>
      <c r="BF289" s="52">
        <v>51</v>
      </c>
      <c r="BG289" s="105">
        <v>50</v>
      </c>
      <c r="BH289" s="98">
        <v>56</v>
      </c>
      <c r="BI289" s="279">
        <v>22</v>
      </c>
      <c r="BJ289" s="52">
        <v>43</v>
      </c>
      <c r="BK289" s="105">
        <v>22</v>
      </c>
      <c r="BL289" s="98">
        <v>36</v>
      </c>
      <c r="BM289" s="279">
        <v>42</v>
      </c>
      <c r="BN289" s="52">
        <v>31</v>
      </c>
      <c r="BO289" s="105">
        <v>42</v>
      </c>
      <c r="BP289" s="98">
        <v>27</v>
      </c>
      <c r="BQ289" s="279">
        <v>30</v>
      </c>
      <c r="BR289" s="52">
        <v>19</v>
      </c>
      <c r="BS289" s="105">
        <v>30</v>
      </c>
      <c r="BT289" s="98">
        <v>16</v>
      </c>
      <c r="BU289" s="279">
        <v>11</v>
      </c>
      <c r="BV289" s="52">
        <v>2</v>
      </c>
      <c r="BW289" s="105">
        <v>11</v>
      </c>
      <c r="BX289" s="98">
        <v>5</v>
      </c>
      <c r="BY289" s="279"/>
      <c r="BZ289" s="52"/>
      <c r="CA289" s="105"/>
      <c r="CB289" s="98"/>
      <c r="CC289" s="279"/>
      <c r="CD289" s="52"/>
      <c r="CE289" s="105"/>
      <c r="CF289" s="98"/>
      <c r="CG289" s="279"/>
      <c r="CH289" s="52"/>
      <c r="CI289" s="105"/>
      <c r="CJ289" s="98"/>
      <c r="CK289" s="281"/>
      <c r="CL289" s="277"/>
      <c r="CM289" s="159"/>
      <c r="CN289" s="277"/>
      <c r="CO289" s="50">
        <f t="shared" si="122"/>
        <v>426</v>
      </c>
      <c r="CP289" s="103">
        <f t="shared" si="123"/>
        <v>7</v>
      </c>
      <c r="CQ289" s="280">
        <f t="shared" si="124"/>
        <v>429</v>
      </c>
      <c r="CR289" s="63">
        <f t="shared" si="125"/>
        <v>7</v>
      </c>
      <c r="CS289" s="279">
        <v>44</v>
      </c>
      <c r="CT289" s="52">
        <v>1</v>
      </c>
      <c r="CU289" s="105">
        <v>44</v>
      </c>
      <c r="CV289" s="98">
        <v>2</v>
      </c>
      <c r="CW289" s="279">
        <v>50</v>
      </c>
      <c r="CX289" s="52">
        <v>1</v>
      </c>
      <c r="CY289" s="105"/>
      <c r="CZ289" s="98"/>
      <c r="DA289" s="279"/>
      <c r="DB289" s="52"/>
      <c r="DC289" s="105"/>
      <c r="DD289" s="98"/>
      <c r="DE289" s="279"/>
      <c r="DF289" s="52"/>
      <c r="DG289" s="105"/>
      <c r="DH289" s="98"/>
      <c r="DI289" s="279"/>
      <c r="DJ289" s="52"/>
      <c r="DK289" s="105"/>
      <c r="DL289" s="98"/>
      <c r="DM289" s="279"/>
      <c r="DN289" s="52"/>
      <c r="DO289" s="105"/>
      <c r="DP289" s="98"/>
      <c r="DQ289" s="279"/>
      <c r="DR289" s="52"/>
      <c r="DS289" s="105"/>
      <c r="DT289" s="98"/>
      <c r="DU289" s="279"/>
      <c r="DV289" s="52"/>
      <c r="DW289" s="105"/>
      <c r="DX289" s="98"/>
      <c r="DY289" s="279"/>
      <c r="DZ289" s="52"/>
      <c r="EA289" s="105"/>
      <c r="EB289" s="98"/>
      <c r="EC289" s="279"/>
      <c r="ED289" s="52"/>
      <c r="EE289" s="105"/>
      <c r="EF289" s="98"/>
      <c r="EG289" s="159"/>
      <c r="EH289" s="277"/>
      <c r="EI289" s="50">
        <f t="shared" si="126"/>
        <v>2</v>
      </c>
      <c r="EJ289" s="103">
        <f t="shared" si="127"/>
        <v>2</v>
      </c>
      <c r="EK289" s="164">
        <f t="shared" si="128"/>
        <v>0.5</v>
      </c>
      <c r="EL289" s="280">
        <f t="shared" si="129"/>
        <v>2</v>
      </c>
      <c r="EM289" s="63">
        <f t="shared" si="130"/>
        <v>1</v>
      </c>
      <c r="EN289" s="359">
        <f t="shared" si="131"/>
        <v>1</v>
      </c>
      <c r="EO289" s="51">
        <f t="shared" si="132"/>
        <v>428</v>
      </c>
      <c r="EP289" s="361">
        <f t="shared" si="133"/>
        <v>431</v>
      </c>
      <c r="EQ289" s="281">
        <v>292</v>
      </c>
      <c r="ER289" s="277">
        <v>306</v>
      </c>
      <c r="ES289" s="281"/>
      <c r="ET289" s="277"/>
      <c r="EU289" s="281"/>
      <c r="EV289" s="277"/>
      <c r="EW289" s="281"/>
      <c r="EX289" s="277"/>
      <c r="EY289" s="281"/>
      <c r="EZ289" s="277"/>
      <c r="FA289" s="281"/>
      <c r="FB289" s="277"/>
      <c r="FC289" s="281"/>
      <c r="FD289" s="277"/>
      <c r="FE289" s="281"/>
      <c r="FF289" s="277"/>
      <c r="FG289" s="281"/>
      <c r="FH289" s="277"/>
      <c r="FI289" s="281"/>
      <c r="FJ289" s="277"/>
      <c r="FK289" s="50">
        <f t="shared" si="134"/>
        <v>292</v>
      </c>
      <c r="FL289" s="63">
        <f t="shared" si="135"/>
        <v>306</v>
      </c>
      <c r="FM289" s="50">
        <f t="shared" si="117"/>
        <v>1249</v>
      </c>
      <c r="FN289" s="360">
        <f t="shared" si="118"/>
        <v>1265</v>
      </c>
      <c r="FO289" s="3"/>
      <c r="FP289" s="279"/>
      <c r="FQ289" s="52"/>
      <c r="FR289" s="756">
        <v>220101</v>
      </c>
      <c r="FS289" s="474">
        <v>306</v>
      </c>
      <c r="FT289" s="467"/>
      <c r="FU289" s="52"/>
      <c r="FV289" s="296"/>
      <c r="FW289" s="98"/>
      <c r="FX289" s="467"/>
      <c r="FY289" s="52"/>
      <c r="FZ289" s="296"/>
      <c r="GA289" s="98"/>
      <c r="GB289" s="467"/>
      <c r="GC289" s="52"/>
      <c r="GD289" s="296"/>
      <c r="GE289" s="98"/>
      <c r="GF289" s="467"/>
      <c r="GG289" s="52"/>
      <c r="GH289" s="296"/>
      <c r="GI289" s="98"/>
      <c r="GJ289" s="467"/>
      <c r="GK289" s="52"/>
      <c r="GL289" s="296"/>
      <c r="GM289" s="464"/>
      <c r="GN289" s="467"/>
      <c r="GO289" s="52"/>
      <c r="GP289" s="296"/>
      <c r="GQ289" s="464"/>
      <c r="GR289" s="467"/>
      <c r="GS289" s="52"/>
      <c r="GT289" s="296"/>
      <c r="GU289" s="464"/>
      <c r="GV289" s="467"/>
      <c r="GW289" s="52"/>
      <c r="GX289" s="296"/>
      <c r="GY289" s="464"/>
      <c r="GZ289" s="467"/>
      <c r="HA289" s="52"/>
      <c r="HB289" s="296"/>
      <c r="HC289" s="3"/>
    </row>
    <row r="290" spans="1:211" s="86" customFormat="1">
      <c r="A290" s="499" t="s">
        <v>954</v>
      </c>
      <c r="B290" s="311" t="s">
        <v>590</v>
      </c>
      <c r="C290" s="310">
        <v>163338</v>
      </c>
      <c r="D290" s="351">
        <v>4</v>
      </c>
      <c r="E290" s="460"/>
      <c r="F290" s="277"/>
      <c r="G290" s="158"/>
      <c r="H290" s="277">
        <v>1</v>
      </c>
      <c r="I290" s="158"/>
      <c r="J290" s="535"/>
      <c r="K290" s="160">
        <f t="shared" si="119"/>
        <v>0</v>
      </c>
      <c r="L290" s="161">
        <f t="shared" si="112"/>
        <v>0</v>
      </c>
      <c r="M290" s="54">
        <v>448</v>
      </c>
      <c r="N290" s="55">
        <v>27</v>
      </c>
      <c r="O290" s="55"/>
      <c r="P290" s="55"/>
      <c r="Q290" s="162">
        <f t="shared" si="120"/>
        <v>27</v>
      </c>
      <c r="R290" s="277">
        <v>429</v>
      </c>
      <c r="S290" s="277">
        <v>26</v>
      </c>
      <c r="T290" s="277"/>
      <c r="U290" s="277"/>
      <c r="V290" s="97">
        <f t="shared" si="121"/>
        <v>26</v>
      </c>
      <c r="W290" s="279"/>
      <c r="X290" s="52"/>
      <c r="Y290" s="99"/>
      <c r="Z290" s="53"/>
      <c r="AA290" s="228"/>
      <c r="AB290" s="52"/>
      <c r="AC290" s="99"/>
      <c r="AD290" s="53"/>
      <c r="AE290" s="228"/>
      <c r="AF290" s="52"/>
      <c r="AG290" s="99"/>
      <c r="AH290" s="53"/>
      <c r="AI290" s="228"/>
      <c r="AJ290" s="52"/>
      <c r="AK290" s="99"/>
      <c r="AL290" s="53"/>
      <c r="AM290" s="228"/>
      <c r="AN290" s="52"/>
      <c r="AO290" s="99"/>
      <c r="AP290" s="53"/>
      <c r="AQ290" s="50">
        <f t="shared" si="113"/>
        <v>0</v>
      </c>
      <c r="AR290" s="163">
        <f t="shared" si="114"/>
        <v>0.83738317757009351</v>
      </c>
      <c r="AS290" s="97">
        <f t="shared" si="115"/>
        <v>0</v>
      </c>
      <c r="AT290" s="278">
        <f t="shared" si="116"/>
        <v>0.8033707865168539</v>
      </c>
      <c r="AU290" s="55"/>
      <c r="AV290" s="277"/>
      <c r="AW290" s="279">
        <v>13</v>
      </c>
      <c r="AX290" s="52">
        <v>36</v>
      </c>
      <c r="AY290" s="500">
        <v>13</v>
      </c>
      <c r="AZ290" s="98">
        <v>34</v>
      </c>
      <c r="BA290" s="279">
        <v>11</v>
      </c>
      <c r="BB290" s="52">
        <v>22</v>
      </c>
      <c r="BC290" s="105">
        <v>11</v>
      </c>
      <c r="BD290" s="98">
        <v>24</v>
      </c>
      <c r="BE290" s="279">
        <v>45</v>
      </c>
      <c r="BF290" s="52">
        <v>13</v>
      </c>
      <c r="BG290" s="105">
        <v>26</v>
      </c>
      <c r="BH290" s="98">
        <v>7</v>
      </c>
      <c r="BI290" s="279">
        <v>26</v>
      </c>
      <c r="BJ290" s="52">
        <v>2</v>
      </c>
      <c r="BK290" s="105">
        <v>45</v>
      </c>
      <c r="BL290" s="98">
        <v>7</v>
      </c>
      <c r="BM290" s="279">
        <v>1</v>
      </c>
      <c r="BN290" s="52">
        <v>1</v>
      </c>
      <c r="BO290" s="105">
        <v>1</v>
      </c>
      <c r="BP290" s="98">
        <v>4</v>
      </c>
      <c r="BQ290" s="279"/>
      <c r="BR290" s="52"/>
      <c r="BS290" s="105"/>
      <c r="BT290" s="98"/>
      <c r="BU290" s="279"/>
      <c r="BV290" s="52"/>
      <c r="BW290" s="105"/>
      <c r="BX290" s="98"/>
      <c r="BY290" s="279"/>
      <c r="BZ290" s="52"/>
      <c r="CA290" s="105"/>
      <c r="CB290" s="98"/>
      <c r="CC290" s="279"/>
      <c r="CD290" s="52"/>
      <c r="CE290" s="105"/>
      <c r="CF290" s="98"/>
      <c r="CG290" s="279"/>
      <c r="CH290" s="52"/>
      <c r="CI290" s="105"/>
      <c r="CJ290" s="98"/>
      <c r="CK290" s="281"/>
      <c r="CL290" s="277"/>
      <c r="CM290" s="159"/>
      <c r="CN290" s="277"/>
      <c r="CO290" s="50">
        <f t="shared" si="122"/>
        <v>74</v>
      </c>
      <c r="CP290" s="103">
        <f t="shared" si="123"/>
        <v>5</v>
      </c>
      <c r="CQ290" s="280">
        <f t="shared" si="124"/>
        <v>76</v>
      </c>
      <c r="CR290" s="63">
        <f t="shared" si="125"/>
        <v>5</v>
      </c>
      <c r="CS290" s="279">
        <v>51</v>
      </c>
      <c r="CT290" s="52">
        <v>5</v>
      </c>
      <c r="CU290" s="105">
        <v>30</v>
      </c>
      <c r="CV290" s="98">
        <v>6</v>
      </c>
      <c r="CW290" s="279">
        <v>30</v>
      </c>
      <c r="CX290" s="52">
        <v>5</v>
      </c>
      <c r="CY290" s="105">
        <v>1</v>
      </c>
      <c r="CZ290" s="98">
        <v>1</v>
      </c>
      <c r="DA290" s="279">
        <v>1</v>
      </c>
      <c r="DB290" s="52">
        <v>2</v>
      </c>
      <c r="DC290" s="105"/>
      <c r="DD290" s="98"/>
      <c r="DE290" s="279">
        <v>26</v>
      </c>
      <c r="DF290" s="52">
        <v>1</v>
      </c>
      <c r="DG290" s="105"/>
      <c r="DH290" s="98"/>
      <c r="DI290" s="279"/>
      <c r="DJ290" s="52"/>
      <c r="DK290" s="105"/>
      <c r="DL290" s="98"/>
      <c r="DM290" s="279"/>
      <c r="DN290" s="52"/>
      <c r="DO290" s="105"/>
      <c r="DP290" s="98"/>
      <c r="DQ290" s="279"/>
      <c r="DR290" s="52"/>
      <c r="DS290" s="105"/>
      <c r="DT290" s="98"/>
      <c r="DU290" s="279"/>
      <c r="DV290" s="52"/>
      <c r="DW290" s="105"/>
      <c r="DX290" s="98"/>
      <c r="DY290" s="279"/>
      <c r="DZ290" s="52"/>
      <c r="EA290" s="105"/>
      <c r="EB290" s="98"/>
      <c r="EC290" s="279"/>
      <c r="ED290" s="52"/>
      <c r="EE290" s="105"/>
      <c r="EF290" s="98"/>
      <c r="EG290" s="159"/>
      <c r="EH290" s="277"/>
      <c r="EI290" s="50">
        <f t="shared" si="126"/>
        <v>13</v>
      </c>
      <c r="EJ290" s="103">
        <f t="shared" si="127"/>
        <v>4</v>
      </c>
      <c r="EK290" s="164">
        <f t="shared" si="128"/>
        <v>0.38461538461538464</v>
      </c>
      <c r="EL290" s="280">
        <f t="shared" si="129"/>
        <v>7</v>
      </c>
      <c r="EM290" s="63">
        <f t="shared" si="130"/>
        <v>2</v>
      </c>
      <c r="EN290" s="359">
        <f t="shared" si="131"/>
        <v>0.8571428571428571</v>
      </c>
      <c r="EO290" s="51">
        <f t="shared" si="132"/>
        <v>87</v>
      </c>
      <c r="EP290" s="361">
        <f t="shared" si="133"/>
        <v>83</v>
      </c>
      <c r="EQ290" s="281"/>
      <c r="ER290" s="277"/>
      <c r="ES290" s="281"/>
      <c r="ET290" s="277"/>
      <c r="EU290" s="281"/>
      <c r="EV290" s="277"/>
      <c r="EW290" s="281"/>
      <c r="EX290" s="277"/>
      <c r="EY290" s="281"/>
      <c r="EZ290" s="277"/>
      <c r="FA290" s="281"/>
      <c r="FB290" s="277"/>
      <c r="FC290" s="281"/>
      <c r="FD290" s="277"/>
      <c r="FE290" s="281"/>
      <c r="FF290" s="277"/>
      <c r="FG290" s="281"/>
      <c r="FH290" s="277"/>
      <c r="FI290" s="281"/>
      <c r="FJ290" s="277">
        <v>21</v>
      </c>
      <c r="FK290" s="50">
        <f t="shared" si="134"/>
        <v>0</v>
      </c>
      <c r="FL290" s="63">
        <f t="shared" si="135"/>
        <v>21</v>
      </c>
      <c r="FM290" s="50">
        <f t="shared" si="117"/>
        <v>535</v>
      </c>
      <c r="FN290" s="360">
        <f t="shared" si="118"/>
        <v>534</v>
      </c>
      <c r="FO290" s="3"/>
      <c r="FP290" s="279"/>
      <c r="FQ290" s="52"/>
      <c r="FR290" s="756">
        <v>512308</v>
      </c>
      <c r="FS290" s="98">
        <v>21</v>
      </c>
      <c r="FT290" s="467"/>
      <c r="FU290" s="52"/>
      <c r="FV290" s="296"/>
      <c r="FW290" s="98"/>
      <c r="FX290" s="467"/>
      <c r="FY290" s="52"/>
      <c r="FZ290" s="296"/>
      <c r="GA290" s="98"/>
      <c r="GB290" s="467"/>
      <c r="GC290" s="52"/>
      <c r="GD290" s="296"/>
      <c r="GE290" s="98"/>
      <c r="GF290" s="467"/>
      <c r="GG290" s="52"/>
      <c r="GH290" s="296"/>
      <c r="GI290" s="98"/>
      <c r="GJ290" s="467"/>
      <c r="GK290" s="52"/>
      <c r="GL290" s="296"/>
      <c r="GM290" s="464"/>
      <c r="GN290" s="467"/>
      <c r="GO290" s="52"/>
      <c r="GP290" s="296"/>
      <c r="GQ290" s="464"/>
      <c r="GR290" s="467"/>
      <c r="GS290" s="52"/>
      <c r="GT290" s="296"/>
      <c r="GU290" s="464"/>
      <c r="GV290" s="467"/>
      <c r="GW290" s="52"/>
      <c r="GX290" s="296"/>
      <c r="GY290" s="464"/>
      <c r="GZ290" s="467"/>
      <c r="HA290" s="52"/>
      <c r="HB290" s="296"/>
      <c r="HC290" s="3"/>
    </row>
    <row r="291" spans="1:211" s="86" customFormat="1">
      <c r="A291" s="499" t="s">
        <v>954</v>
      </c>
      <c r="B291" s="311" t="s">
        <v>592</v>
      </c>
      <c r="C291" s="310">
        <v>163912</v>
      </c>
      <c r="D291" s="351">
        <v>6</v>
      </c>
      <c r="E291" s="460"/>
      <c r="F291" s="277"/>
      <c r="G291" s="158"/>
      <c r="H291" s="277"/>
      <c r="I291" s="158"/>
      <c r="J291" s="535"/>
      <c r="K291" s="160">
        <f t="shared" si="119"/>
        <v>0</v>
      </c>
      <c r="L291" s="161">
        <f t="shared" si="112"/>
        <v>0</v>
      </c>
      <c r="M291" s="54">
        <v>426</v>
      </c>
      <c r="N291" s="55"/>
      <c r="O291" s="55"/>
      <c r="P291" s="55"/>
      <c r="Q291" s="162">
        <f t="shared" si="120"/>
        <v>0</v>
      </c>
      <c r="R291" s="277">
        <v>488</v>
      </c>
      <c r="S291" s="277"/>
      <c r="T291" s="277"/>
      <c r="U291" s="277"/>
      <c r="V291" s="97">
        <f t="shared" si="121"/>
        <v>0</v>
      </c>
      <c r="W291" s="279"/>
      <c r="X291" s="52"/>
      <c r="Y291" s="99"/>
      <c r="Z291" s="53"/>
      <c r="AA291" s="228"/>
      <c r="AB291" s="52"/>
      <c r="AC291" s="99"/>
      <c r="AD291" s="53"/>
      <c r="AE291" s="228"/>
      <c r="AF291" s="52"/>
      <c r="AG291" s="99"/>
      <c r="AH291" s="53"/>
      <c r="AI291" s="228"/>
      <c r="AJ291" s="52"/>
      <c r="AK291" s="99"/>
      <c r="AL291" s="53"/>
      <c r="AM291" s="228"/>
      <c r="AN291" s="52"/>
      <c r="AO291" s="99"/>
      <c r="AP291" s="53"/>
      <c r="AQ291" s="50">
        <f t="shared" si="113"/>
        <v>0</v>
      </c>
      <c r="AR291" s="163">
        <f t="shared" si="114"/>
        <v>0.94877505567928733</v>
      </c>
      <c r="AS291" s="97">
        <f t="shared" si="115"/>
        <v>0</v>
      </c>
      <c r="AT291" s="278">
        <f t="shared" si="116"/>
        <v>0.94573643410852715</v>
      </c>
      <c r="AU291" s="55"/>
      <c r="AV291" s="277"/>
      <c r="AW291" s="279">
        <v>13</v>
      </c>
      <c r="AX291" s="52">
        <v>23</v>
      </c>
      <c r="AY291" s="500">
        <v>13</v>
      </c>
      <c r="AZ291" s="98">
        <v>28</v>
      </c>
      <c r="BA291" s="279"/>
      <c r="BB291" s="52"/>
      <c r="BC291" s="105"/>
      <c r="BD291" s="98"/>
      <c r="BE291" s="279"/>
      <c r="BF291" s="52"/>
      <c r="BG291" s="105"/>
      <c r="BH291" s="98"/>
      <c r="BI291" s="279"/>
      <c r="BJ291" s="52"/>
      <c r="BK291" s="105"/>
      <c r="BL291" s="98"/>
      <c r="BM291" s="279"/>
      <c r="BN291" s="52"/>
      <c r="BO291" s="105"/>
      <c r="BP291" s="98"/>
      <c r="BQ291" s="279"/>
      <c r="BR291" s="52"/>
      <c r="BS291" s="105"/>
      <c r="BT291" s="98"/>
      <c r="BU291" s="279"/>
      <c r="BV291" s="52"/>
      <c r="BW291" s="105"/>
      <c r="BX291" s="98"/>
      <c r="BY291" s="279"/>
      <c r="BZ291" s="52"/>
      <c r="CA291" s="105"/>
      <c r="CB291" s="98"/>
      <c r="CC291" s="279"/>
      <c r="CD291" s="52"/>
      <c r="CE291" s="105"/>
      <c r="CF291" s="98"/>
      <c r="CG291" s="279"/>
      <c r="CH291" s="52"/>
      <c r="CI291" s="105"/>
      <c r="CJ291" s="98"/>
      <c r="CK291" s="281"/>
      <c r="CL291" s="277"/>
      <c r="CM291" s="159"/>
      <c r="CN291" s="277"/>
      <c r="CO291" s="50">
        <f t="shared" si="122"/>
        <v>23</v>
      </c>
      <c r="CP291" s="103">
        <f t="shared" si="123"/>
        <v>1</v>
      </c>
      <c r="CQ291" s="280">
        <f t="shared" si="124"/>
        <v>28</v>
      </c>
      <c r="CR291" s="63">
        <f t="shared" si="125"/>
        <v>1</v>
      </c>
      <c r="CS291" s="279"/>
      <c r="CT291" s="52"/>
      <c r="CU291" s="105"/>
      <c r="CV291" s="98"/>
      <c r="CW291" s="279"/>
      <c r="CX291" s="52"/>
      <c r="CY291" s="105"/>
      <c r="CZ291" s="98"/>
      <c r="DA291" s="279"/>
      <c r="DB291" s="52"/>
      <c r="DC291" s="105"/>
      <c r="DD291" s="98"/>
      <c r="DE291" s="279"/>
      <c r="DF291" s="52"/>
      <c r="DG291" s="105"/>
      <c r="DH291" s="98"/>
      <c r="DI291" s="279"/>
      <c r="DJ291" s="52"/>
      <c r="DK291" s="105"/>
      <c r="DL291" s="98"/>
      <c r="DM291" s="279"/>
      <c r="DN291" s="52"/>
      <c r="DO291" s="105"/>
      <c r="DP291" s="98"/>
      <c r="DQ291" s="279"/>
      <c r="DR291" s="52"/>
      <c r="DS291" s="105"/>
      <c r="DT291" s="98"/>
      <c r="DU291" s="279"/>
      <c r="DV291" s="52"/>
      <c r="DW291" s="105"/>
      <c r="DX291" s="98"/>
      <c r="DY291" s="279"/>
      <c r="DZ291" s="52"/>
      <c r="EA291" s="105"/>
      <c r="EB291" s="98"/>
      <c r="EC291" s="279"/>
      <c r="ED291" s="52"/>
      <c r="EE291" s="105"/>
      <c r="EF291" s="98"/>
      <c r="EG291" s="159"/>
      <c r="EH291" s="277"/>
      <c r="EI291" s="50">
        <f t="shared" si="126"/>
        <v>0</v>
      </c>
      <c r="EJ291" s="103">
        <f t="shared" si="127"/>
        <v>0</v>
      </c>
      <c r="EK291" s="164">
        <f t="shared" si="128"/>
        <v>0</v>
      </c>
      <c r="EL291" s="280">
        <f t="shared" si="129"/>
        <v>0</v>
      </c>
      <c r="EM291" s="63">
        <f t="shared" si="130"/>
        <v>0</v>
      </c>
      <c r="EN291" s="359">
        <f t="shared" si="131"/>
        <v>0</v>
      </c>
      <c r="EO291" s="51">
        <f t="shared" si="132"/>
        <v>23</v>
      </c>
      <c r="EP291" s="361">
        <f t="shared" si="133"/>
        <v>28</v>
      </c>
      <c r="EQ291" s="281"/>
      <c r="ER291" s="277"/>
      <c r="ES291" s="281"/>
      <c r="ET291" s="277"/>
      <c r="EU291" s="281"/>
      <c r="EV291" s="277"/>
      <c r="EW291" s="281"/>
      <c r="EX291" s="277"/>
      <c r="EY291" s="281"/>
      <c r="EZ291" s="277"/>
      <c r="FA291" s="281"/>
      <c r="FB291" s="277"/>
      <c r="FC291" s="281"/>
      <c r="FD291" s="277"/>
      <c r="FE291" s="281"/>
      <c r="FF291" s="277"/>
      <c r="FG291" s="281"/>
      <c r="FH291" s="277"/>
      <c r="FI291" s="281"/>
      <c r="FJ291" s="277"/>
      <c r="FK291" s="50">
        <f t="shared" si="134"/>
        <v>0</v>
      </c>
      <c r="FL291" s="63">
        <f t="shared" si="135"/>
        <v>0</v>
      </c>
      <c r="FM291" s="50">
        <f t="shared" si="117"/>
        <v>449</v>
      </c>
      <c r="FN291" s="360">
        <f t="shared" si="118"/>
        <v>516</v>
      </c>
      <c r="FO291" s="3"/>
      <c r="FP291" s="279"/>
      <c r="FQ291" s="52"/>
      <c r="FR291" s="296"/>
      <c r="FS291" s="98"/>
      <c r="FT291" s="467"/>
      <c r="FU291" s="52"/>
      <c r="FV291" s="296"/>
      <c r="FW291" s="98"/>
      <c r="FX291" s="467"/>
      <c r="FY291" s="52"/>
      <c r="FZ291" s="296"/>
      <c r="GA291" s="98"/>
      <c r="GB291" s="467"/>
      <c r="GC291" s="52"/>
      <c r="GD291" s="296"/>
      <c r="GE291" s="98"/>
      <c r="GF291" s="467"/>
      <c r="GG291" s="52"/>
      <c r="GH291" s="296"/>
      <c r="GI291" s="98"/>
      <c r="GJ291" s="467"/>
      <c r="GK291" s="52"/>
      <c r="GL291" s="296"/>
      <c r="GM291" s="464"/>
      <c r="GN291" s="467"/>
      <c r="GO291" s="52"/>
      <c r="GP291" s="296"/>
      <c r="GQ291" s="464"/>
      <c r="GR291" s="467"/>
      <c r="GS291" s="52"/>
      <c r="GT291" s="296"/>
      <c r="GU291" s="464"/>
      <c r="GV291" s="467"/>
      <c r="GW291" s="52"/>
      <c r="GX291" s="296"/>
      <c r="GY291" s="464"/>
      <c r="GZ291" s="467"/>
      <c r="HA291" s="52"/>
      <c r="HB291" s="296"/>
      <c r="HC291" s="3"/>
    </row>
    <row r="292" spans="1:211" s="86" customFormat="1">
      <c r="A292" s="499" t="s">
        <v>954</v>
      </c>
      <c r="B292" s="311" t="s">
        <v>593</v>
      </c>
      <c r="C292" s="310">
        <v>161767</v>
      </c>
      <c r="D292" s="351">
        <v>8</v>
      </c>
      <c r="E292" s="460">
        <v>363</v>
      </c>
      <c r="F292" s="277">
        <v>373</v>
      </c>
      <c r="G292" s="158"/>
      <c r="H292" s="277"/>
      <c r="I292" s="158">
        <v>1247</v>
      </c>
      <c r="J292" s="535">
        <v>1218</v>
      </c>
      <c r="K292" s="160">
        <f t="shared" si="119"/>
        <v>0</v>
      </c>
      <c r="L292" s="161">
        <f t="shared" si="112"/>
        <v>0</v>
      </c>
      <c r="M292" s="54"/>
      <c r="N292" s="55"/>
      <c r="O292" s="55"/>
      <c r="P292" s="55"/>
      <c r="Q292" s="162">
        <f t="shared" si="120"/>
        <v>0</v>
      </c>
      <c r="R292" s="277"/>
      <c r="S292" s="277"/>
      <c r="T292" s="277"/>
      <c r="U292" s="277"/>
      <c r="V292" s="97">
        <f t="shared" si="121"/>
        <v>0</v>
      </c>
      <c r="W292" s="279"/>
      <c r="X292" s="52"/>
      <c r="Y292" s="99"/>
      <c r="Z292" s="53"/>
      <c r="AA292" s="228"/>
      <c r="AB292" s="52"/>
      <c r="AC292" s="99"/>
      <c r="AD292" s="53"/>
      <c r="AE292" s="228"/>
      <c r="AF292" s="52"/>
      <c r="AG292" s="99"/>
      <c r="AH292" s="53"/>
      <c r="AI292" s="228"/>
      <c r="AJ292" s="52"/>
      <c r="AK292" s="99"/>
      <c r="AL292" s="53"/>
      <c r="AM292" s="228"/>
      <c r="AN292" s="52"/>
      <c r="AO292" s="99"/>
      <c r="AP292" s="53"/>
      <c r="AQ292" s="50">
        <f t="shared" si="113"/>
        <v>0</v>
      </c>
      <c r="AR292" s="163">
        <f t="shared" si="114"/>
        <v>0</v>
      </c>
      <c r="AS292" s="97">
        <f t="shared" si="115"/>
        <v>0</v>
      </c>
      <c r="AT292" s="278">
        <f t="shared" si="116"/>
        <v>0</v>
      </c>
      <c r="AU292" s="55"/>
      <c r="AV292" s="277"/>
      <c r="AW292" s="279"/>
      <c r="AX292" s="52"/>
      <c r="AY292" s="500"/>
      <c r="AZ292" s="98"/>
      <c r="BA292" s="279"/>
      <c r="BB292" s="52"/>
      <c r="BC292" s="105"/>
      <c r="BD292" s="98"/>
      <c r="BE292" s="279"/>
      <c r="BF292" s="52"/>
      <c r="BG292" s="105"/>
      <c r="BH292" s="98"/>
      <c r="BI292" s="279"/>
      <c r="BJ292" s="52"/>
      <c r="BK292" s="105"/>
      <c r="BL292" s="98"/>
      <c r="BM292" s="279"/>
      <c r="BN292" s="52"/>
      <c r="BO292" s="105"/>
      <c r="BP292" s="98"/>
      <c r="BQ292" s="279"/>
      <c r="BR292" s="52"/>
      <c r="BS292" s="105"/>
      <c r="BT292" s="98"/>
      <c r="BU292" s="279"/>
      <c r="BV292" s="52"/>
      <c r="BW292" s="105"/>
      <c r="BX292" s="98"/>
      <c r="BY292" s="279"/>
      <c r="BZ292" s="52"/>
      <c r="CA292" s="105"/>
      <c r="CB292" s="98"/>
      <c r="CC292" s="279"/>
      <c r="CD292" s="52"/>
      <c r="CE292" s="105"/>
      <c r="CF292" s="98"/>
      <c r="CG292" s="279"/>
      <c r="CH292" s="52"/>
      <c r="CI292" s="105"/>
      <c r="CJ292" s="98"/>
      <c r="CK292" s="281"/>
      <c r="CL292" s="277"/>
      <c r="CM292" s="159"/>
      <c r="CN292" s="277"/>
      <c r="CO292" s="50">
        <f t="shared" si="122"/>
        <v>0</v>
      </c>
      <c r="CP292" s="103">
        <f t="shared" si="123"/>
        <v>0</v>
      </c>
      <c r="CQ292" s="280">
        <f t="shared" si="124"/>
        <v>0</v>
      </c>
      <c r="CR292" s="63">
        <f t="shared" si="125"/>
        <v>0</v>
      </c>
      <c r="CS292" s="279"/>
      <c r="CT292" s="52"/>
      <c r="CU292" s="105"/>
      <c r="CV292" s="98"/>
      <c r="CW292" s="279"/>
      <c r="CX292" s="52"/>
      <c r="CY292" s="105"/>
      <c r="CZ292" s="98"/>
      <c r="DA292" s="279"/>
      <c r="DB292" s="52"/>
      <c r="DC292" s="105"/>
      <c r="DD292" s="98"/>
      <c r="DE292" s="279"/>
      <c r="DF292" s="52"/>
      <c r="DG292" s="105"/>
      <c r="DH292" s="98"/>
      <c r="DI292" s="279"/>
      <c r="DJ292" s="52"/>
      <c r="DK292" s="105"/>
      <c r="DL292" s="98"/>
      <c r="DM292" s="279"/>
      <c r="DN292" s="52"/>
      <c r="DO292" s="105"/>
      <c r="DP292" s="98"/>
      <c r="DQ292" s="279"/>
      <c r="DR292" s="52"/>
      <c r="DS292" s="105"/>
      <c r="DT292" s="98"/>
      <c r="DU292" s="279"/>
      <c r="DV292" s="52"/>
      <c r="DW292" s="105"/>
      <c r="DX292" s="98"/>
      <c r="DY292" s="279"/>
      <c r="DZ292" s="52"/>
      <c r="EA292" s="105"/>
      <c r="EB292" s="98"/>
      <c r="EC292" s="279"/>
      <c r="ED292" s="52"/>
      <c r="EE292" s="105"/>
      <c r="EF292" s="98"/>
      <c r="EG292" s="159"/>
      <c r="EH292" s="277"/>
      <c r="EI292" s="50">
        <f t="shared" si="126"/>
        <v>0</v>
      </c>
      <c r="EJ292" s="103">
        <f t="shared" si="127"/>
        <v>0</v>
      </c>
      <c r="EK292" s="164">
        <f t="shared" si="128"/>
        <v>0</v>
      </c>
      <c r="EL292" s="280">
        <f t="shared" si="129"/>
        <v>0</v>
      </c>
      <c r="EM292" s="63">
        <f t="shared" si="130"/>
        <v>0</v>
      </c>
      <c r="EN292" s="359">
        <f t="shared" si="131"/>
        <v>0</v>
      </c>
      <c r="EO292" s="51">
        <f t="shared" si="132"/>
        <v>0</v>
      </c>
      <c r="EP292" s="361">
        <f t="shared" si="133"/>
        <v>0</v>
      </c>
      <c r="EQ292" s="281"/>
      <c r="ER292" s="277"/>
      <c r="ES292" s="281"/>
      <c r="ET292" s="277"/>
      <c r="EU292" s="281"/>
      <c r="EV292" s="277"/>
      <c r="EW292" s="281"/>
      <c r="EX292" s="277"/>
      <c r="EY292" s="281"/>
      <c r="EZ292" s="277"/>
      <c r="FA292" s="281"/>
      <c r="FB292" s="277"/>
      <c r="FC292" s="281"/>
      <c r="FD292" s="277"/>
      <c r="FE292" s="281"/>
      <c r="FF292" s="277"/>
      <c r="FG292" s="281"/>
      <c r="FH292" s="277"/>
      <c r="FI292" s="281"/>
      <c r="FJ292" s="277"/>
      <c r="FK292" s="50">
        <f t="shared" si="134"/>
        <v>0</v>
      </c>
      <c r="FL292" s="63">
        <f t="shared" si="135"/>
        <v>0</v>
      </c>
      <c r="FM292" s="50">
        <f t="shared" si="117"/>
        <v>1610</v>
      </c>
      <c r="FN292" s="360">
        <f t="shared" si="118"/>
        <v>1591</v>
      </c>
      <c r="FO292" s="3"/>
      <c r="FP292" s="279"/>
      <c r="FQ292" s="52"/>
      <c r="FR292" s="296"/>
      <c r="FS292" s="98"/>
      <c r="FT292" s="467"/>
      <c r="FU292" s="52"/>
      <c r="FV292" s="296"/>
      <c r="FW292" s="98"/>
      <c r="FX292" s="467"/>
      <c r="FY292" s="52"/>
      <c r="FZ292" s="296"/>
      <c r="GA292" s="98"/>
      <c r="GB292" s="467"/>
      <c r="GC292" s="52"/>
      <c r="GD292" s="296"/>
      <c r="GE292" s="98"/>
      <c r="GF292" s="467"/>
      <c r="GG292" s="52"/>
      <c r="GH292" s="296"/>
      <c r="GI292" s="98"/>
      <c r="GJ292" s="467"/>
      <c r="GK292" s="52"/>
      <c r="GL292" s="296"/>
      <c r="GM292" s="464"/>
      <c r="GN292" s="467"/>
      <c r="GO292" s="52"/>
      <c r="GP292" s="296"/>
      <c r="GQ292" s="464"/>
      <c r="GR292" s="467"/>
      <c r="GS292" s="52"/>
      <c r="GT292" s="296"/>
      <c r="GU292" s="464"/>
      <c r="GV292" s="467"/>
      <c r="GW292" s="52"/>
      <c r="GX292" s="296"/>
      <c r="GY292" s="464"/>
      <c r="GZ292" s="467"/>
      <c r="HA292" s="52"/>
      <c r="HB292" s="296"/>
      <c r="HC292" s="3"/>
    </row>
    <row r="293" spans="1:211" s="86" customFormat="1">
      <c r="A293" s="499" t="s">
        <v>954</v>
      </c>
      <c r="B293" s="311" t="s">
        <v>594</v>
      </c>
      <c r="C293" s="310">
        <v>434672</v>
      </c>
      <c r="D293" s="351">
        <v>8</v>
      </c>
      <c r="E293" s="460">
        <v>421</v>
      </c>
      <c r="F293" s="277">
        <v>370</v>
      </c>
      <c r="G293" s="158"/>
      <c r="H293" s="277"/>
      <c r="I293" s="158">
        <v>1654</v>
      </c>
      <c r="J293" s="535">
        <v>1578</v>
      </c>
      <c r="K293" s="160">
        <f t="shared" si="119"/>
        <v>0</v>
      </c>
      <c r="L293" s="161">
        <f t="shared" si="112"/>
        <v>0</v>
      </c>
      <c r="M293" s="54"/>
      <c r="N293" s="55"/>
      <c r="O293" s="55"/>
      <c r="P293" s="55"/>
      <c r="Q293" s="162">
        <f t="shared" si="120"/>
        <v>0</v>
      </c>
      <c r="R293" s="277"/>
      <c r="S293" s="277"/>
      <c r="T293" s="277"/>
      <c r="U293" s="277"/>
      <c r="V293" s="97">
        <f t="shared" si="121"/>
        <v>0</v>
      </c>
      <c r="W293" s="279"/>
      <c r="X293" s="52"/>
      <c r="Y293" s="99"/>
      <c r="Z293" s="53"/>
      <c r="AA293" s="228"/>
      <c r="AB293" s="52"/>
      <c r="AC293" s="99"/>
      <c r="AD293" s="53"/>
      <c r="AE293" s="228"/>
      <c r="AF293" s="52"/>
      <c r="AG293" s="99"/>
      <c r="AH293" s="53"/>
      <c r="AI293" s="228"/>
      <c r="AJ293" s="52"/>
      <c r="AK293" s="99"/>
      <c r="AL293" s="53"/>
      <c r="AM293" s="228"/>
      <c r="AN293" s="52"/>
      <c r="AO293" s="99"/>
      <c r="AP293" s="53"/>
      <c r="AQ293" s="50">
        <f t="shared" si="113"/>
        <v>0</v>
      </c>
      <c r="AR293" s="163">
        <f t="shared" si="114"/>
        <v>0</v>
      </c>
      <c r="AS293" s="97">
        <f t="shared" si="115"/>
        <v>0</v>
      </c>
      <c r="AT293" s="278">
        <f t="shared" si="116"/>
        <v>0</v>
      </c>
      <c r="AU293" s="55"/>
      <c r="AV293" s="277"/>
      <c r="AW293" s="279"/>
      <c r="AX293" s="52"/>
      <c r="AY293" s="500"/>
      <c r="AZ293" s="98"/>
      <c r="BA293" s="279"/>
      <c r="BB293" s="52"/>
      <c r="BC293" s="105"/>
      <c r="BD293" s="98"/>
      <c r="BE293" s="279"/>
      <c r="BF293" s="52"/>
      <c r="BG293" s="105"/>
      <c r="BH293" s="98"/>
      <c r="BI293" s="279"/>
      <c r="BJ293" s="52"/>
      <c r="BK293" s="105"/>
      <c r="BL293" s="98"/>
      <c r="BM293" s="279"/>
      <c r="BN293" s="52"/>
      <c r="BO293" s="105"/>
      <c r="BP293" s="98"/>
      <c r="BQ293" s="279"/>
      <c r="BR293" s="52"/>
      <c r="BS293" s="105"/>
      <c r="BT293" s="98"/>
      <c r="BU293" s="279"/>
      <c r="BV293" s="52"/>
      <c r="BW293" s="105"/>
      <c r="BX293" s="98"/>
      <c r="BY293" s="279"/>
      <c r="BZ293" s="52"/>
      <c r="CA293" s="105"/>
      <c r="CB293" s="98"/>
      <c r="CC293" s="279"/>
      <c r="CD293" s="52"/>
      <c r="CE293" s="105"/>
      <c r="CF293" s="98"/>
      <c r="CG293" s="279"/>
      <c r="CH293" s="52"/>
      <c r="CI293" s="105"/>
      <c r="CJ293" s="98"/>
      <c r="CK293" s="281"/>
      <c r="CL293" s="277"/>
      <c r="CM293" s="159"/>
      <c r="CN293" s="277"/>
      <c r="CO293" s="50">
        <f t="shared" si="122"/>
        <v>0</v>
      </c>
      <c r="CP293" s="103">
        <f t="shared" si="123"/>
        <v>0</v>
      </c>
      <c r="CQ293" s="280">
        <f t="shared" si="124"/>
        <v>0</v>
      </c>
      <c r="CR293" s="63">
        <f t="shared" si="125"/>
        <v>0</v>
      </c>
      <c r="CS293" s="279"/>
      <c r="CT293" s="52"/>
      <c r="CU293" s="105"/>
      <c r="CV293" s="98"/>
      <c r="CW293" s="279"/>
      <c r="CX293" s="52"/>
      <c r="CY293" s="105"/>
      <c r="CZ293" s="98"/>
      <c r="DA293" s="279"/>
      <c r="DB293" s="52"/>
      <c r="DC293" s="105"/>
      <c r="DD293" s="98"/>
      <c r="DE293" s="279"/>
      <c r="DF293" s="52"/>
      <c r="DG293" s="105"/>
      <c r="DH293" s="98"/>
      <c r="DI293" s="279"/>
      <c r="DJ293" s="52"/>
      <c r="DK293" s="105"/>
      <c r="DL293" s="98"/>
      <c r="DM293" s="279"/>
      <c r="DN293" s="52"/>
      <c r="DO293" s="105"/>
      <c r="DP293" s="98"/>
      <c r="DQ293" s="279"/>
      <c r="DR293" s="52"/>
      <c r="DS293" s="105"/>
      <c r="DT293" s="98"/>
      <c r="DU293" s="279"/>
      <c r="DV293" s="52"/>
      <c r="DW293" s="105"/>
      <c r="DX293" s="98"/>
      <c r="DY293" s="279"/>
      <c r="DZ293" s="52"/>
      <c r="EA293" s="105"/>
      <c r="EB293" s="98"/>
      <c r="EC293" s="279"/>
      <c r="ED293" s="52"/>
      <c r="EE293" s="105"/>
      <c r="EF293" s="98"/>
      <c r="EG293" s="159"/>
      <c r="EH293" s="277"/>
      <c r="EI293" s="50">
        <f t="shared" si="126"/>
        <v>0</v>
      </c>
      <c r="EJ293" s="103">
        <f t="shared" si="127"/>
        <v>0</v>
      </c>
      <c r="EK293" s="164">
        <f t="shared" si="128"/>
        <v>0</v>
      </c>
      <c r="EL293" s="280">
        <f t="shared" si="129"/>
        <v>0</v>
      </c>
      <c r="EM293" s="63">
        <f t="shared" si="130"/>
        <v>0</v>
      </c>
      <c r="EN293" s="359">
        <f t="shared" si="131"/>
        <v>0</v>
      </c>
      <c r="EO293" s="51">
        <f t="shared" si="132"/>
        <v>0</v>
      </c>
      <c r="EP293" s="361">
        <f t="shared" si="133"/>
        <v>0</v>
      </c>
      <c r="EQ293" s="281"/>
      <c r="ER293" s="277"/>
      <c r="ES293" s="281"/>
      <c r="ET293" s="277"/>
      <c r="EU293" s="281"/>
      <c r="EV293" s="277"/>
      <c r="EW293" s="281"/>
      <c r="EX293" s="277"/>
      <c r="EY293" s="281"/>
      <c r="EZ293" s="277"/>
      <c r="FA293" s="281"/>
      <c r="FB293" s="277"/>
      <c r="FC293" s="281"/>
      <c r="FD293" s="277"/>
      <c r="FE293" s="281"/>
      <c r="FF293" s="277"/>
      <c r="FG293" s="281"/>
      <c r="FH293" s="277"/>
      <c r="FI293" s="281"/>
      <c r="FJ293" s="277"/>
      <c r="FK293" s="50">
        <f t="shared" si="134"/>
        <v>0</v>
      </c>
      <c r="FL293" s="63">
        <f t="shared" si="135"/>
        <v>0</v>
      </c>
      <c r="FM293" s="50">
        <f t="shared" si="117"/>
        <v>2075</v>
      </c>
      <c r="FN293" s="360">
        <f t="shared" si="118"/>
        <v>1948</v>
      </c>
      <c r="FO293" s="3"/>
      <c r="FP293" s="279"/>
      <c r="FQ293" s="52"/>
      <c r="FR293" s="296"/>
      <c r="FS293" s="98"/>
      <c r="FT293" s="467"/>
      <c r="FU293" s="52"/>
      <c r="FV293" s="296"/>
      <c r="FW293" s="98"/>
      <c r="FX293" s="467"/>
      <c r="FY293" s="52"/>
      <c r="FZ293" s="296"/>
      <c r="GA293" s="98"/>
      <c r="GB293" s="467"/>
      <c r="GC293" s="52"/>
      <c r="GD293" s="296"/>
      <c r="GE293" s="98"/>
      <c r="GF293" s="467"/>
      <c r="GG293" s="52"/>
      <c r="GH293" s="296"/>
      <c r="GI293" s="98"/>
      <c r="GJ293" s="467"/>
      <c r="GK293" s="52"/>
      <c r="GL293" s="296"/>
      <c r="GM293" s="464"/>
      <c r="GN293" s="467"/>
      <c r="GO293" s="52"/>
      <c r="GP293" s="296"/>
      <c r="GQ293" s="464"/>
      <c r="GR293" s="467"/>
      <c r="GS293" s="52"/>
      <c r="GT293" s="296"/>
      <c r="GU293" s="464"/>
      <c r="GV293" s="467"/>
      <c r="GW293" s="52"/>
      <c r="GX293" s="296"/>
      <c r="GY293" s="464"/>
      <c r="GZ293" s="467"/>
      <c r="HA293" s="52"/>
      <c r="HB293" s="296"/>
      <c r="HC293" s="3"/>
    </row>
    <row r="294" spans="1:211" s="86" customFormat="1">
      <c r="A294" s="499" t="s">
        <v>954</v>
      </c>
      <c r="B294" s="311" t="s">
        <v>595</v>
      </c>
      <c r="C294" s="310">
        <v>163426</v>
      </c>
      <c r="D294" s="351">
        <v>8</v>
      </c>
      <c r="E294" s="460">
        <v>295</v>
      </c>
      <c r="F294" s="277">
        <v>293</v>
      </c>
      <c r="G294" s="158"/>
      <c r="H294" s="277"/>
      <c r="I294" s="158">
        <v>1733</v>
      </c>
      <c r="J294" s="535">
        <v>1773</v>
      </c>
      <c r="K294" s="160">
        <f t="shared" si="119"/>
        <v>0</v>
      </c>
      <c r="L294" s="161">
        <f t="shared" si="112"/>
        <v>0</v>
      </c>
      <c r="M294" s="54"/>
      <c r="N294" s="55"/>
      <c r="O294" s="55"/>
      <c r="P294" s="55"/>
      <c r="Q294" s="162">
        <f t="shared" si="120"/>
        <v>0</v>
      </c>
      <c r="R294" s="277"/>
      <c r="S294" s="277"/>
      <c r="T294" s="277"/>
      <c r="U294" s="277"/>
      <c r="V294" s="97">
        <f t="shared" si="121"/>
        <v>0</v>
      </c>
      <c r="W294" s="279"/>
      <c r="X294" s="52"/>
      <c r="Y294" s="99"/>
      <c r="Z294" s="53"/>
      <c r="AA294" s="228"/>
      <c r="AB294" s="52"/>
      <c r="AC294" s="99"/>
      <c r="AD294" s="53"/>
      <c r="AE294" s="228"/>
      <c r="AF294" s="52"/>
      <c r="AG294" s="99"/>
      <c r="AH294" s="53"/>
      <c r="AI294" s="228"/>
      <c r="AJ294" s="52"/>
      <c r="AK294" s="99"/>
      <c r="AL294" s="53"/>
      <c r="AM294" s="228"/>
      <c r="AN294" s="52"/>
      <c r="AO294" s="99"/>
      <c r="AP294" s="53"/>
      <c r="AQ294" s="50">
        <f t="shared" si="113"/>
        <v>0</v>
      </c>
      <c r="AR294" s="163">
        <f t="shared" si="114"/>
        <v>0</v>
      </c>
      <c r="AS294" s="97">
        <f t="shared" si="115"/>
        <v>0</v>
      </c>
      <c r="AT294" s="278">
        <f t="shared" si="116"/>
        <v>0</v>
      </c>
      <c r="AU294" s="55"/>
      <c r="AV294" s="277"/>
      <c r="AW294" s="279"/>
      <c r="AX294" s="52"/>
      <c r="AY294" s="500"/>
      <c r="AZ294" s="98"/>
      <c r="BA294" s="279"/>
      <c r="BB294" s="52"/>
      <c r="BC294" s="105"/>
      <c r="BD294" s="98"/>
      <c r="BE294" s="279"/>
      <c r="BF294" s="52"/>
      <c r="BG294" s="105"/>
      <c r="BH294" s="98"/>
      <c r="BI294" s="279"/>
      <c r="BJ294" s="52"/>
      <c r="BK294" s="105"/>
      <c r="BL294" s="98"/>
      <c r="BM294" s="279"/>
      <c r="BN294" s="52"/>
      <c r="BO294" s="105"/>
      <c r="BP294" s="98"/>
      <c r="BQ294" s="279"/>
      <c r="BR294" s="52"/>
      <c r="BS294" s="105"/>
      <c r="BT294" s="98"/>
      <c r="BU294" s="279"/>
      <c r="BV294" s="52"/>
      <c r="BW294" s="105"/>
      <c r="BX294" s="98"/>
      <c r="BY294" s="279"/>
      <c r="BZ294" s="52"/>
      <c r="CA294" s="105"/>
      <c r="CB294" s="98"/>
      <c r="CC294" s="279"/>
      <c r="CD294" s="52"/>
      <c r="CE294" s="105"/>
      <c r="CF294" s="98"/>
      <c r="CG294" s="279"/>
      <c r="CH294" s="52"/>
      <c r="CI294" s="105"/>
      <c r="CJ294" s="98"/>
      <c r="CK294" s="281"/>
      <c r="CL294" s="277"/>
      <c r="CM294" s="159"/>
      <c r="CN294" s="277"/>
      <c r="CO294" s="50">
        <f t="shared" si="122"/>
        <v>0</v>
      </c>
      <c r="CP294" s="103">
        <f t="shared" si="123"/>
        <v>0</v>
      </c>
      <c r="CQ294" s="280">
        <f t="shared" si="124"/>
        <v>0</v>
      </c>
      <c r="CR294" s="63">
        <f t="shared" si="125"/>
        <v>0</v>
      </c>
      <c r="CS294" s="279"/>
      <c r="CT294" s="52"/>
      <c r="CU294" s="105"/>
      <c r="CV294" s="98"/>
      <c r="CW294" s="279"/>
      <c r="CX294" s="52"/>
      <c r="CY294" s="105"/>
      <c r="CZ294" s="98"/>
      <c r="DA294" s="279"/>
      <c r="DB294" s="52"/>
      <c r="DC294" s="105"/>
      <c r="DD294" s="98"/>
      <c r="DE294" s="279"/>
      <c r="DF294" s="52"/>
      <c r="DG294" s="105"/>
      <c r="DH294" s="98"/>
      <c r="DI294" s="279"/>
      <c r="DJ294" s="52"/>
      <c r="DK294" s="105"/>
      <c r="DL294" s="98"/>
      <c r="DM294" s="279"/>
      <c r="DN294" s="52"/>
      <c r="DO294" s="105"/>
      <c r="DP294" s="98"/>
      <c r="DQ294" s="279"/>
      <c r="DR294" s="52"/>
      <c r="DS294" s="105"/>
      <c r="DT294" s="98"/>
      <c r="DU294" s="279"/>
      <c r="DV294" s="52"/>
      <c r="DW294" s="105"/>
      <c r="DX294" s="98"/>
      <c r="DY294" s="279"/>
      <c r="DZ294" s="52"/>
      <c r="EA294" s="105"/>
      <c r="EB294" s="98"/>
      <c r="EC294" s="279"/>
      <c r="ED294" s="52"/>
      <c r="EE294" s="105"/>
      <c r="EF294" s="98"/>
      <c r="EG294" s="159"/>
      <c r="EH294" s="277"/>
      <c r="EI294" s="50">
        <f t="shared" si="126"/>
        <v>0</v>
      </c>
      <c r="EJ294" s="103">
        <f t="shared" si="127"/>
        <v>0</v>
      </c>
      <c r="EK294" s="164">
        <f t="shared" si="128"/>
        <v>0</v>
      </c>
      <c r="EL294" s="280">
        <f t="shared" si="129"/>
        <v>0</v>
      </c>
      <c r="EM294" s="63">
        <f t="shared" si="130"/>
        <v>0</v>
      </c>
      <c r="EN294" s="359">
        <f t="shared" si="131"/>
        <v>0</v>
      </c>
      <c r="EO294" s="51">
        <f t="shared" si="132"/>
        <v>0</v>
      </c>
      <c r="EP294" s="361">
        <f t="shared" si="133"/>
        <v>0</v>
      </c>
      <c r="EQ294" s="281"/>
      <c r="ER294" s="277"/>
      <c r="ES294" s="281"/>
      <c r="ET294" s="277"/>
      <c r="EU294" s="281"/>
      <c r="EV294" s="277"/>
      <c r="EW294" s="281"/>
      <c r="EX294" s="277"/>
      <c r="EY294" s="281"/>
      <c r="EZ294" s="277"/>
      <c r="FA294" s="281"/>
      <c r="FB294" s="277"/>
      <c r="FC294" s="281"/>
      <c r="FD294" s="277"/>
      <c r="FE294" s="281"/>
      <c r="FF294" s="277"/>
      <c r="FG294" s="281"/>
      <c r="FH294" s="277"/>
      <c r="FI294" s="281"/>
      <c r="FJ294" s="277"/>
      <c r="FK294" s="50">
        <f t="shared" si="134"/>
        <v>0</v>
      </c>
      <c r="FL294" s="63">
        <f t="shared" si="135"/>
        <v>0</v>
      </c>
      <c r="FM294" s="50">
        <f t="shared" si="117"/>
        <v>2028</v>
      </c>
      <c r="FN294" s="360">
        <f t="shared" si="118"/>
        <v>2066</v>
      </c>
      <c r="FO294" s="3"/>
      <c r="FP294" s="279"/>
      <c r="FQ294" s="52"/>
      <c r="FR294" s="296"/>
      <c r="FS294" s="98"/>
      <c r="FT294" s="467"/>
      <c r="FU294" s="52"/>
      <c r="FV294" s="296"/>
      <c r="FW294" s="98"/>
      <c r="FX294" s="467"/>
      <c r="FY294" s="52"/>
      <c r="FZ294" s="296"/>
      <c r="GA294" s="98"/>
      <c r="GB294" s="467"/>
      <c r="GC294" s="52"/>
      <c r="GD294" s="296"/>
      <c r="GE294" s="98"/>
      <c r="GF294" s="467"/>
      <c r="GG294" s="52"/>
      <c r="GH294" s="296"/>
      <c r="GI294" s="98"/>
      <c r="GJ294" s="467"/>
      <c r="GK294" s="52"/>
      <c r="GL294" s="296"/>
      <c r="GM294" s="464"/>
      <c r="GN294" s="467"/>
      <c r="GO294" s="52"/>
      <c r="GP294" s="296"/>
      <c r="GQ294" s="464"/>
      <c r="GR294" s="467"/>
      <c r="GS294" s="52"/>
      <c r="GT294" s="296"/>
      <c r="GU294" s="464"/>
      <c r="GV294" s="467"/>
      <c r="GW294" s="52"/>
      <c r="GX294" s="296"/>
      <c r="GY294" s="464"/>
      <c r="GZ294" s="467"/>
      <c r="HA294" s="52"/>
      <c r="HB294" s="296"/>
      <c r="HC294" s="3"/>
    </row>
    <row r="295" spans="1:211" s="86" customFormat="1">
      <c r="A295" s="499" t="s">
        <v>954</v>
      </c>
      <c r="B295" s="311" t="s">
        <v>596</v>
      </c>
      <c r="C295" s="310">
        <v>163657</v>
      </c>
      <c r="D295" s="351">
        <v>8</v>
      </c>
      <c r="E295" s="460">
        <v>151</v>
      </c>
      <c r="F295" s="277">
        <v>146</v>
      </c>
      <c r="G295" s="158"/>
      <c r="H295" s="277"/>
      <c r="I295" s="158">
        <v>710</v>
      </c>
      <c r="J295" s="535">
        <v>657</v>
      </c>
      <c r="K295" s="160">
        <f t="shared" si="119"/>
        <v>0</v>
      </c>
      <c r="L295" s="161">
        <f t="shared" si="112"/>
        <v>0</v>
      </c>
      <c r="M295" s="54"/>
      <c r="N295" s="55"/>
      <c r="O295" s="55"/>
      <c r="P295" s="55"/>
      <c r="Q295" s="162">
        <f t="shared" si="120"/>
        <v>0</v>
      </c>
      <c r="R295" s="277"/>
      <c r="S295" s="277"/>
      <c r="T295" s="277"/>
      <c r="U295" s="277"/>
      <c r="V295" s="97">
        <f t="shared" si="121"/>
        <v>0</v>
      </c>
      <c r="W295" s="279"/>
      <c r="X295" s="52"/>
      <c r="Y295" s="99"/>
      <c r="Z295" s="53"/>
      <c r="AA295" s="228"/>
      <c r="AB295" s="52"/>
      <c r="AC295" s="99"/>
      <c r="AD295" s="53"/>
      <c r="AE295" s="228"/>
      <c r="AF295" s="52"/>
      <c r="AG295" s="99"/>
      <c r="AH295" s="53"/>
      <c r="AI295" s="228"/>
      <c r="AJ295" s="52"/>
      <c r="AK295" s="99"/>
      <c r="AL295" s="53"/>
      <c r="AM295" s="228"/>
      <c r="AN295" s="52"/>
      <c r="AO295" s="99"/>
      <c r="AP295" s="53"/>
      <c r="AQ295" s="50">
        <f t="shared" si="113"/>
        <v>0</v>
      </c>
      <c r="AR295" s="163">
        <f t="shared" si="114"/>
        <v>0</v>
      </c>
      <c r="AS295" s="97">
        <f t="shared" si="115"/>
        <v>0</v>
      </c>
      <c r="AT295" s="278">
        <f t="shared" si="116"/>
        <v>0</v>
      </c>
      <c r="AU295" s="55"/>
      <c r="AV295" s="277"/>
      <c r="AW295" s="279"/>
      <c r="AX295" s="52"/>
      <c r="AY295" s="500"/>
      <c r="AZ295" s="98"/>
      <c r="BA295" s="279"/>
      <c r="BB295" s="52"/>
      <c r="BC295" s="105"/>
      <c r="BD295" s="98"/>
      <c r="BE295" s="279"/>
      <c r="BF295" s="52"/>
      <c r="BG295" s="105"/>
      <c r="BH295" s="98"/>
      <c r="BI295" s="279"/>
      <c r="BJ295" s="52"/>
      <c r="BK295" s="105"/>
      <c r="BL295" s="98"/>
      <c r="BM295" s="279"/>
      <c r="BN295" s="52"/>
      <c r="BO295" s="105"/>
      <c r="BP295" s="98"/>
      <c r="BQ295" s="279"/>
      <c r="BR295" s="52"/>
      <c r="BS295" s="105"/>
      <c r="BT295" s="98"/>
      <c r="BU295" s="279"/>
      <c r="BV295" s="52"/>
      <c r="BW295" s="105"/>
      <c r="BX295" s="98"/>
      <c r="BY295" s="279"/>
      <c r="BZ295" s="52"/>
      <c r="CA295" s="105"/>
      <c r="CB295" s="98"/>
      <c r="CC295" s="279"/>
      <c r="CD295" s="52"/>
      <c r="CE295" s="105"/>
      <c r="CF295" s="98"/>
      <c r="CG295" s="279"/>
      <c r="CH295" s="52"/>
      <c r="CI295" s="105"/>
      <c r="CJ295" s="98"/>
      <c r="CK295" s="281"/>
      <c r="CL295" s="277"/>
      <c r="CM295" s="159"/>
      <c r="CN295" s="277"/>
      <c r="CO295" s="50">
        <f t="shared" si="122"/>
        <v>0</v>
      </c>
      <c r="CP295" s="103">
        <f t="shared" si="123"/>
        <v>0</v>
      </c>
      <c r="CQ295" s="280">
        <f t="shared" si="124"/>
        <v>0</v>
      </c>
      <c r="CR295" s="63">
        <f t="shared" si="125"/>
        <v>0</v>
      </c>
      <c r="CS295" s="279"/>
      <c r="CT295" s="52"/>
      <c r="CU295" s="105"/>
      <c r="CV295" s="98"/>
      <c r="CW295" s="279"/>
      <c r="CX295" s="52"/>
      <c r="CY295" s="105"/>
      <c r="CZ295" s="98"/>
      <c r="DA295" s="279"/>
      <c r="DB295" s="52"/>
      <c r="DC295" s="105"/>
      <c r="DD295" s="98"/>
      <c r="DE295" s="279"/>
      <c r="DF295" s="52"/>
      <c r="DG295" s="105"/>
      <c r="DH295" s="98"/>
      <c r="DI295" s="279"/>
      <c r="DJ295" s="52"/>
      <c r="DK295" s="105"/>
      <c r="DL295" s="98"/>
      <c r="DM295" s="279"/>
      <c r="DN295" s="52"/>
      <c r="DO295" s="105"/>
      <c r="DP295" s="98"/>
      <c r="DQ295" s="279"/>
      <c r="DR295" s="52"/>
      <c r="DS295" s="105"/>
      <c r="DT295" s="98"/>
      <c r="DU295" s="279"/>
      <c r="DV295" s="52"/>
      <c r="DW295" s="105"/>
      <c r="DX295" s="98"/>
      <c r="DY295" s="279"/>
      <c r="DZ295" s="52"/>
      <c r="EA295" s="105"/>
      <c r="EB295" s="98"/>
      <c r="EC295" s="279"/>
      <c r="ED295" s="52"/>
      <c r="EE295" s="105"/>
      <c r="EF295" s="98"/>
      <c r="EG295" s="159"/>
      <c r="EH295" s="277"/>
      <c r="EI295" s="50">
        <f t="shared" si="126"/>
        <v>0</v>
      </c>
      <c r="EJ295" s="103">
        <f t="shared" si="127"/>
        <v>0</v>
      </c>
      <c r="EK295" s="164">
        <f t="shared" si="128"/>
        <v>0</v>
      </c>
      <c r="EL295" s="280">
        <f t="shared" si="129"/>
        <v>0</v>
      </c>
      <c r="EM295" s="63">
        <f t="shared" si="130"/>
        <v>0</v>
      </c>
      <c r="EN295" s="359">
        <f t="shared" si="131"/>
        <v>0</v>
      </c>
      <c r="EO295" s="51">
        <f t="shared" si="132"/>
        <v>0</v>
      </c>
      <c r="EP295" s="361">
        <f t="shared" si="133"/>
        <v>0</v>
      </c>
      <c r="EQ295" s="281"/>
      <c r="ER295" s="277"/>
      <c r="ES295" s="281"/>
      <c r="ET295" s="277"/>
      <c r="EU295" s="281"/>
      <c r="EV295" s="277"/>
      <c r="EW295" s="281"/>
      <c r="EX295" s="277"/>
      <c r="EY295" s="281"/>
      <c r="EZ295" s="277"/>
      <c r="FA295" s="281"/>
      <c r="FB295" s="277"/>
      <c r="FC295" s="281"/>
      <c r="FD295" s="277"/>
      <c r="FE295" s="281"/>
      <c r="FF295" s="277"/>
      <c r="FG295" s="281"/>
      <c r="FH295" s="277"/>
      <c r="FI295" s="281"/>
      <c r="FJ295" s="277"/>
      <c r="FK295" s="50">
        <f t="shared" si="134"/>
        <v>0</v>
      </c>
      <c r="FL295" s="63">
        <f t="shared" si="135"/>
        <v>0</v>
      </c>
      <c r="FM295" s="50">
        <f t="shared" si="117"/>
        <v>861</v>
      </c>
      <c r="FN295" s="360">
        <f t="shared" si="118"/>
        <v>803</v>
      </c>
      <c r="FO295" s="3"/>
      <c r="FP295" s="279"/>
      <c r="FQ295" s="52"/>
      <c r="FR295" s="296"/>
      <c r="FS295" s="98"/>
      <c r="FT295" s="467"/>
      <c r="FU295" s="52"/>
      <c r="FV295" s="296"/>
      <c r="FW295" s="98"/>
      <c r="FX295" s="467"/>
      <c r="FY295" s="52"/>
      <c r="FZ295" s="296"/>
      <c r="GA295" s="98"/>
      <c r="GB295" s="467"/>
      <c r="GC295" s="52"/>
      <c r="GD295" s="296"/>
      <c r="GE295" s="98"/>
      <c r="GF295" s="467"/>
      <c r="GG295" s="52"/>
      <c r="GH295" s="296"/>
      <c r="GI295" s="98"/>
      <c r="GJ295" s="467"/>
      <c r="GK295" s="52"/>
      <c r="GL295" s="296"/>
      <c r="GM295" s="464"/>
      <c r="GN295" s="467"/>
      <c r="GO295" s="52"/>
      <c r="GP295" s="296"/>
      <c r="GQ295" s="464"/>
      <c r="GR295" s="467"/>
      <c r="GS295" s="52"/>
      <c r="GT295" s="296"/>
      <c r="GU295" s="464"/>
      <c r="GV295" s="467"/>
      <c r="GW295" s="52"/>
      <c r="GX295" s="296"/>
      <c r="GY295" s="464"/>
      <c r="GZ295" s="467"/>
      <c r="HA295" s="52"/>
      <c r="HB295" s="296"/>
      <c r="HC295" s="3"/>
    </row>
    <row r="296" spans="1:211" s="86" customFormat="1">
      <c r="A296" s="501" t="s">
        <v>954</v>
      </c>
      <c r="B296" s="311" t="s">
        <v>602</v>
      </c>
      <c r="C296" s="313">
        <v>161688</v>
      </c>
      <c r="D296" s="352">
        <v>9</v>
      </c>
      <c r="E296" s="460">
        <v>141</v>
      </c>
      <c r="F296" s="277">
        <v>181</v>
      </c>
      <c r="G296" s="158"/>
      <c r="H296" s="277"/>
      <c r="I296" s="158">
        <v>500</v>
      </c>
      <c r="J296" s="535">
        <v>535</v>
      </c>
      <c r="K296" s="160">
        <f t="shared" si="119"/>
        <v>0</v>
      </c>
      <c r="L296" s="161">
        <f t="shared" si="112"/>
        <v>0</v>
      </c>
      <c r="M296" s="54"/>
      <c r="N296" s="55"/>
      <c r="O296" s="55"/>
      <c r="P296" s="55"/>
      <c r="Q296" s="162">
        <f t="shared" si="120"/>
        <v>0</v>
      </c>
      <c r="R296" s="277"/>
      <c r="S296" s="277"/>
      <c r="T296" s="277"/>
      <c r="U296" s="277"/>
      <c r="V296" s="97">
        <f t="shared" si="121"/>
        <v>0</v>
      </c>
      <c r="W296" s="279"/>
      <c r="X296" s="52"/>
      <c r="Y296" s="99"/>
      <c r="Z296" s="53"/>
      <c r="AA296" s="228"/>
      <c r="AB296" s="52"/>
      <c r="AC296" s="99"/>
      <c r="AD296" s="53"/>
      <c r="AE296" s="228"/>
      <c r="AF296" s="52"/>
      <c r="AG296" s="99"/>
      <c r="AH296" s="53"/>
      <c r="AI296" s="228"/>
      <c r="AJ296" s="52"/>
      <c r="AK296" s="99"/>
      <c r="AL296" s="53"/>
      <c r="AM296" s="228"/>
      <c r="AN296" s="52"/>
      <c r="AO296" s="99"/>
      <c r="AP296" s="53"/>
      <c r="AQ296" s="50">
        <f t="shared" si="113"/>
        <v>0</v>
      </c>
      <c r="AR296" s="163">
        <f t="shared" si="114"/>
        <v>0</v>
      </c>
      <c r="AS296" s="97">
        <f t="shared" si="115"/>
        <v>0</v>
      </c>
      <c r="AT296" s="278">
        <f t="shared" si="116"/>
        <v>0</v>
      </c>
      <c r="AU296" s="55"/>
      <c r="AV296" s="277"/>
      <c r="AW296" s="279"/>
      <c r="AX296" s="52"/>
      <c r="AY296" s="500"/>
      <c r="AZ296" s="98"/>
      <c r="BA296" s="279"/>
      <c r="BB296" s="52"/>
      <c r="BC296" s="105"/>
      <c r="BD296" s="98"/>
      <c r="BE296" s="279"/>
      <c r="BF296" s="52"/>
      <c r="BG296" s="105"/>
      <c r="BH296" s="98"/>
      <c r="BI296" s="279"/>
      <c r="BJ296" s="52"/>
      <c r="BK296" s="105"/>
      <c r="BL296" s="98"/>
      <c r="BM296" s="279"/>
      <c r="BN296" s="52"/>
      <c r="BO296" s="105"/>
      <c r="BP296" s="98"/>
      <c r="BQ296" s="279"/>
      <c r="BR296" s="52"/>
      <c r="BS296" s="105"/>
      <c r="BT296" s="98"/>
      <c r="BU296" s="279"/>
      <c r="BV296" s="52"/>
      <c r="BW296" s="105"/>
      <c r="BX296" s="98"/>
      <c r="BY296" s="279"/>
      <c r="BZ296" s="52"/>
      <c r="CA296" s="105"/>
      <c r="CB296" s="98"/>
      <c r="CC296" s="279"/>
      <c r="CD296" s="52"/>
      <c r="CE296" s="105"/>
      <c r="CF296" s="98"/>
      <c r="CG296" s="279"/>
      <c r="CH296" s="52"/>
      <c r="CI296" s="105"/>
      <c r="CJ296" s="98"/>
      <c r="CK296" s="281"/>
      <c r="CL296" s="277"/>
      <c r="CM296" s="159"/>
      <c r="CN296" s="277"/>
      <c r="CO296" s="50">
        <f t="shared" si="122"/>
        <v>0</v>
      </c>
      <c r="CP296" s="103">
        <f t="shared" si="123"/>
        <v>0</v>
      </c>
      <c r="CQ296" s="280">
        <f t="shared" si="124"/>
        <v>0</v>
      </c>
      <c r="CR296" s="63">
        <f t="shared" si="125"/>
        <v>0</v>
      </c>
      <c r="CS296" s="279"/>
      <c r="CT296" s="52"/>
      <c r="CU296" s="105"/>
      <c r="CV296" s="98"/>
      <c r="CW296" s="279"/>
      <c r="CX296" s="52"/>
      <c r="CY296" s="105"/>
      <c r="CZ296" s="98"/>
      <c r="DA296" s="279"/>
      <c r="DB296" s="52"/>
      <c r="DC296" s="105"/>
      <c r="DD296" s="98"/>
      <c r="DE296" s="279"/>
      <c r="DF296" s="52"/>
      <c r="DG296" s="105"/>
      <c r="DH296" s="98"/>
      <c r="DI296" s="279"/>
      <c r="DJ296" s="52"/>
      <c r="DK296" s="105"/>
      <c r="DL296" s="98"/>
      <c r="DM296" s="279"/>
      <c r="DN296" s="52"/>
      <c r="DO296" s="105"/>
      <c r="DP296" s="98"/>
      <c r="DQ296" s="279"/>
      <c r="DR296" s="52"/>
      <c r="DS296" s="105"/>
      <c r="DT296" s="98"/>
      <c r="DU296" s="279"/>
      <c r="DV296" s="52"/>
      <c r="DW296" s="105"/>
      <c r="DX296" s="98"/>
      <c r="DY296" s="279"/>
      <c r="DZ296" s="52"/>
      <c r="EA296" s="105"/>
      <c r="EB296" s="98"/>
      <c r="EC296" s="279"/>
      <c r="ED296" s="52"/>
      <c r="EE296" s="105"/>
      <c r="EF296" s="98"/>
      <c r="EG296" s="159"/>
      <c r="EH296" s="277"/>
      <c r="EI296" s="50">
        <f t="shared" si="126"/>
        <v>0</v>
      </c>
      <c r="EJ296" s="103">
        <f t="shared" si="127"/>
        <v>0</v>
      </c>
      <c r="EK296" s="164">
        <f t="shared" si="128"/>
        <v>0</v>
      </c>
      <c r="EL296" s="280">
        <f t="shared" si="129"/>
        <v>0</v>
      </c>
      <c r="EM296" s="63">
        <f t="shared" si="130"/>
        <v>0</v>
      </c>
      <c r="EN296" s="359">
        <f t="shared" si="131"/>
        <v>0</v>
      </c>
      <c r="EO296" s="51">
        <f t="shared" si="132"/>
        <v>0</v>
      </c>
      <c r="EP296" s="361">
        <f t="shared" si="133"/>
        <v>0</v>
      </c>
      <c r="EQ296" s="281"/>
      <c r="ER296" s="277"/>
      <c r="ES296" s="281"/>
      <c r="ET296" s="277"/>
      <c r="EU296" s="281"/>
      <c r="EV296" s="277"/>
      <c r="EW296" s="281"/>
      <c r="EX296" s="277"/>
      <c r="EY296" s="281"/>
      <c r="EZ296" s="277"/>
      <c r="FA296" s="281"/>
      <c r="FB296" s="277"/>
      <c r="FC296" s="281"/>
      <c r="FD296" s="277"/>
      <c r="FE296" s="281"/>
      <c r="FF296" s="277"/>
      <c r="FG296" s="281"/>
      <c r="FH296" s="277"/>
      <c r="FI296" s="281"/>
      <c r="FJ296" s="277"/>
      <c r="FK296" s="50">
        <f t="shared" si="134"/>
        <v>0</v>
      </c>
      <c r="FL296" s="63">
        <f t="shared" si="135"/>
        <v>0</v>
      </c>
      <c r="FM296" s="50">
        <f t="shared" si="117"/>
        <v>641</v>
      </c>
      <c r="FN296" s="360">
        <f t="shared" si="118"/>
        <v>716</v>
      </c>
      <c r="FO296" s="3"/>
      <c r="FP296" s="279"/>
      <c r="FQ296" s="52"/>
      <c r="FR296" s="296"/>
      <c r="FS296" s="98"/>
      <c r="FT296" s="467"/>
      <c r="FU296" s="52"/>
      <c r="FV296" s="296"/>
      <c r="FW296" s="98"/>
      <c r="FX296" s="467"/>
      <c r="FY296" s="52"/>
      <c r="FZ296" s="296"/>
      <c r="GA296" s="98"/>
      <c r="GB296" s="467"/>
      <c r="GC296" s="52"/>
      <c r="GD296" s="296"/>
      <c r="GE296" s="98"/>
      <c r="GF296" s="467"/>
      <c r="GG296" s="52"/>
      <c r="GH296" s="296"/>
      <c r="GI296" s="98"/>
      <c r="GJ296" s="467"/>
      <c r="GK296" s="52"/>
      <c r="GL296" s="296"/>
      <c r="GM296" s="464"/>
      <c r="GN296" s="467"/>
      <c r="GO296" s="52"/>
      <c r="GP296" s="296"/>
      <c r="GQ296" s="464"/>
      <c r="GR296" s="467"/>
      <c r="GS296" s="52"/>
      <c r="GT296" s="296"/>
      <c r="GU296" s="464"/>
      <c r="GV296" s="467"/>
      <c r="GW296" s="52"/>
      <c r="GX296" s="296"/>
      <c r="GY296" s="464"/>
      <c r="GZ296" s="467"/>
      <c r="HA296" s="52"/>
      <c r="HB296" s="296"/>
      <c r="HC296" s="3"/>
    </row>
    <row r="297" spans="1:211" s="86" customFormat="1">
      <c r="A297" s="499" t="s">
        <v>954</v>
      </c>
      <c r="B297" s="311" t="s">
        <v>597</v>
      </c>
      <c r="C297" s="310">
        <v>161864</v>
      </c>
      <c r="D297" s="351">
        <v>9</v>
      </c>
      <c r="E297" s="460">
        <v>99</v>
      </c>
      <c r="F297" s="277">
        <v>65</v>
      </c>
      <c r="G297" s="158"/>
      <c r="H297" s="277"/>
      <c r="I297" s="158">
        <v>419</v>
      </c>
      <c r="J297" s="535">
        <v>444</v>
      </c>
      <c r="K297" s="160">
        <f t="shared" si="119"/>
        <v>0</v>
      </c>
      <c r="L297" s="161">
        <f t="shared" si="112"/>
        <v>0</v>
      </c>
      <c r="M297" s="54"/>
      <c r="N297" s="55"/>
      <c r="O297" s="55"/>
      <c r="P297" s="55"/>
      <c r="Q297" s="162">
        <f t="shared" si="120"/>
        <v>0</v>
      </c>
      <c r="R297" s="277"/>
      <c r="S297" s="277"/>
      <c r="T297" s="277"/>
      <c r="U297" s="277"/>
      <c r="V297" s="97">
        <f t="shared" si="121"/>
        <v>0</v>
      </c>
      <c r="W297" s="279"/>
      <c r="X297" s="52"/>
      <c r="Y297" s="99"/>
      <c r="Z297" s="53"/>
      <c r="AA297" s="228"/>
      <c r="AB297" s="52"/>
      <c r="AC297" s="99"/>
      <c r="AD297" s="53"/>
      <c r="AE297" s="228"/>
      <c r="AF297" s="52"/>
      <c r="AG297" s="99"/>
      <c r="AH297" s="53"/>
      <c r="AI297" s="228"/>
      <c r="AJ297" s="52"/>
      <c r="AK297" s="99"/>
      <c r="AL297" s="53"/>
      <c r="AM297" s="228"/>
      <c r="AN297" s="52"/>
      <c r="AO297" s="99"/>
      <c r="AP297" s="53"/>
      <c r="AQ297" s="50">
        <f t="shared" si="113"/>
        <v>0</v>
      </c>
      <c r="AR297" s="163">
        <f t="shared" si="114"/>
        <v>0</v>
      </c>
      <c r="AS297" s="97">
        <f t="shared" si="115"/>
        <v>0</v>
      </c>
      <c r="AT297" s="278">
        <f t="shared" si="116"/>
        <v>0</v>
      </c>
      <c r="AU297" s="55"/>
      <c r="AV297" s="277"/>
      <c r="AW297" s="279"/>
      <c r="AX297" s="52"/>
      <c r="AY297" s="500"/>
      <c r="AZ297" s="98"/>
      <c r="BA297" s="279"/>
      <c r="BB297" s="52"/>
      <c r="BC297" s="105"/>
      <c r="BD297" s="98"/>
      <c r="BE297" s="279"/>
      <c r="BF297" s="52"/>
      <c r="BG297" s="105"/>
      <c r="BH297" s="98"/>
      <c r="BI297" s="279"/>
      <c r="BJ297" s="52"/>
      <c r="BK297" s="105"/>
      <c r="BL297" s="98"/>
      <c r="BM297" s="279"/>
      <c r="BN297" s="52"/>
      <c r="BO297" s="105"/>
      <c r="BP297" s="98"/>
      <c r="BQ297" s="279"/>
      <c r="BR297" s="52"/>
      <c r="BS297" s="105"/>
      <c r="BT297" s="98"/>
      <c r="BU297" s="279"/>
      <c r="BV297" s="52"/>
      <c r="BW297" s="105"/>
      <c r="BX297" s="98"/>
      <c r="BY297" s="279"/>
      <c r="BZ297" s="52"/>
      <c r="CA297" s="105"/>
      <c r="CB297" s="98"/>
      <c r="CC297" s="279"/>
      <c r="CD297" s="52"/>
      <c r="CE297" s="105"/>
      <c r="CF297" s="98"/>
      <c r="CG297" s="279"/>
      <c r="CH297" s="52"/>
      <c r="CI297" s="105"/>
      <c r="CJ297" s="98"/>
      <c r="CK297" s="281"/>
      <c r="CL297" s="277"/>
      <c r="CM297" s="159"/>
      <c r="CN297" s="277"/>
      <c r="CO297" s="50">
        <f t="shared" si="122"/>
        <v>0</v>
      </c>
      <c r="CP297" s="103">
        <f t="shared" si="123"/>
        <v>0</v>
      </c>
      <c r="CQ297" s="280">
        <f t="shared" si="124"/>
        <v>0</v>
      </c>
      <c r="CR297" s="63">
        <f t="shared" si="125"/>
        <v>0</v>
      </c>
      <c r="CS297" s="279"/>
      <c r="CT297" s="52"/>
      <c r="CU297" s="105"/>
      <c r="CV297" s="98"/>
      <c r="CW297" s="279"/>
      <c r="CX297" s="52"/>
      <c r="CY297" s="105"/>
      <c r="CZ297" s="98"/>
      <c r="DA297" s="279"/>
      <c r="DB297" s="52"/>
      <c r="DC297" s="105"/>
      <c r="DD297" s="98"/>
      <c r="DE297" s="279"/>
      <c r="DF297" s="52"/>
      <c r="DG297" s="105"/>
      <c r="DH297" s="98"/>
      <c r="DI297" s="279"/>
      <c r="DJ297" s="52"/>
      <c r="DK297" s="105"/>
      <c r="DL297" s="98"/>
      <c r="DM297" s="279"/>
      <c r="DN297" s="52"/>
      <c r="DO297" s="105"/>
      <c r="DP297" s="98"/>
      <c r="DQ297" s="279"/>
      <c r="DR297" s="52"/>
      <c r="DS297" s="105"/>
      <c r="DT297" s="98"/>
      <c r="DU297" s="279"/>
      <c r="DV297" s="52"/>
      <c r="DW297" s="105"/>
      <c r="DX297" s="98"/>
      <c r="DY297" s="279"/>
      <c r="DZ297" s="52"/>
      <c r="EA297" s="105"/>
      <c r="EB297" s="98"/>
      <c r="EC297" s="279"/>
      <c r="ED297" s="52"/>
      <c r="EE297" s="105"/>
      <c r="EF297" s="98"/>
      <c r="EG297" s="159"/>
      <c r="EH297" s="277"/>
      <c r="EI297" s="50">
        <f t="shared" si="126"/>
        <v>0</v>
      </c>
      <c r="EJ297" s="103">
        <f t="shared" si="127"/>
        <v>0</v>
      </c>
      <c r="EK297" s="164">
        <f t="shared" si="128"/>
        <v>0</v>
      </c>
      <c r="EL297" s="280">
        <f t="shared" si="129"/>
        <v>0</v>
      </c>
      <c r="EM297" s="63">
        <f t="shared" si="130"/>
        <v>0</v>
      </c>
      <c r="EN297" s="359">
        <f t="shared" si="131"/>
        <v>0</v>
      </c>
      <c r="EO297" s="51">
        <f t="shared" si="132"/>
        <v>0</v>
      </c>
      <c r="EP297" s="361">
        <f t="shared" si="133"/>
        <v>0</v>
      </c>
      <c r="EQ297" s="281"/>
      <c r="ER297" s="277"/>
      <c r="ES297" s="281"/>
      <c r="ET297" s="277"/>
      <c r="EU297" s="281"/>
      <c r="EV297" s="277"/>
      <c r="EW297" s="281"/>
      <c r="EX297" s="277"/>
      <c r="EY297" s="281"/>
      <c r="EZ297" s="277"/>
      <c r="FA297" s="281"/>
      <c r="FB297" s="277"/>
      <c r="FC297" s="281"/>
      <c r="FD297" s="277"/>
      <c r="FE297" s="281"/>
      <c r="FF297" s="277"/>
      <c r="FG297" s="281"/>
      <c r="FH297" s="277"/>
      <c r="FI297" s="281"/>
      <c r="FJ297" s="277"/>
      <c r="FK297" s="50">
        <f t="shared" si="134"/>
        <v>0</v>
      </c>
      <c r="FL297" s="63">
        <f t="shared" si="135"/>
        <v>0</v>
      </c>
      <c r="FM297" s="50">
        <f t="shared" si="117"/>
        <v>518</v>
      </c>
      <c r="FN297" s="360">
        <f t="shared" si="118"/>
        <v>509</v>
      </c>
      <c r="FO297" s="3"/>
      <c r="FP297" s="279"/>
      <c r="FQ297" s="52"/>
      <c r="FR297" s="296"/>
      <c r="FS297" s="98"/>
      <c r="FT297" s="467"/>
      <c r="FU297" s="52"/>
      <c r="FV297" s="296"/>
      <c r="FW297" s="98"/>
      <c r="FX297" s="467"/>
      <c r="FY297" s="52"/>
      <c r="FZ297" s="296"/>
      <c r="GA297" s="98"/>
      <c r="GB297" s="467"/>
      <c r="GC297" s="52"/>
      <c r="GD297" s="296"/>
      <c r="GE297" s="98"/>
      <c r="GF297" s="467"/>
      <c r="GG297" s="52"/>
      <c r="GH297" s="296"/>
      <c r="GI297" s="98"/>
      <c r="GJ297" s="467"/>
      <c r="GK297" s="52"/>
      <c r="GL297" s="296"/>
      <c r="GM297" s="464"/>
      <c r="GN297" s="467"/>
      <c r="GO297" s="52"/>
      <c r="GP297" s="296"/>
      <c r="GQ297" s="464"/>
      <c r="GR297" s="467"/>
      <c r="GS297" s="52"/>
      <c r="GT297" s="296"/>
      <c r="GU297" s="464"/>
      <c r="GV297" s="467"/>
      <c r="GW297" s="52"/>
      <c r="GX297" s="296"/>
      <c r="GY297" s="464"/>
      <c r="GZ297" s="467"/>
      <c r="HA297" s="52"/>
      <c r="HB297" s="296"/>
      <c r="HC297" s="3"/>
    </row>
    <row r="298" spans="1:211" s="86" customFormat="1">
      <c r="A298" s="499" t="s">
        <v>954</v>
      </c>
      <c r="B298" s="311" t="s">
        <v>598</v>
      </c>
      <c r="C298" s="310">
        <v>162122</v>
      </c>
      <c r="D298" s="351">
        <v>9</v>
      </c>
      <c r="E298" s="460">
        <v>258</v>
      </c>
      <c r="F298" s="277">
        <v>382</v>
      </c>
      <c r="G298" s="158"/>
      <c r="H298" s="277"/>
      <c r="I298" s="158">
        <v>738</v>
      </c>
      <c r="J298" s="535">
        <v>783</v>
      </c>
      <c r="K298" s="160">
        <f t="shared" si="119"/>
        <v>0</v>
      </c>
      <c r="L298" s="161">
        <f t="shared" si="112"/>
        <v>0</v>
      </c>
      <c r="M298" s="54"/>
      <c r="N298" s="55"/>
      <c r="O298" s="55"/>
      <c r="P298" s="55"/>
      <c r="Q298" s="162">
        <f t="shared" si="120"/>
        <v>0</v>
      </c>
      <c r="R298" s="277"/>
      <c r="S298" s="277"/>
      <c r="T298" s="277"/>
      <c r="U298" s="277"/>
      <c r="V298" s="97">
        <f t="shared" si="121"/>
        <v>0</v>
      </c>
      <c r="W298" s="279"/>
      <c r="X298" s="52"/>
      <c r="Y298" s="99"/>
      <c r="Z298" s="53"/>
      <c r="AA298" s="228"/>
      <c r="AB298" s="52"/>
      <c r="AC298" s="99"/>
      <c r="AD298" s="53"/>
      <c r="AE298" s="228"/>
      <c r="AF298" s="52"/>
      <c r="AG298" s="99"/>
      <c r="AH298" s="53"/>
      <c r="AI298" s="228"/>
      <c r="AJ298" s="52"/>
      <c r="AK298" s="99"/>
      <c r="AL298" s="53"/>
      <c r="AM298" s="228"/>
      <c r="AN298" s="52"/>
      <c r="AO298" s="99"/>
      <c r="AP298" s="53"/>
      <c r="AQ298" s="50">
        <f t="shared" si="113"/>
        <v>0</v>
      </c>
      <c r="AR298" s="163">
        <f t="shared" si="114"/>
        <v>0</v>
      </c>
      <c r="AS298" s="97">
        <f t="shared" si="115"/>
        <v>0</v>
      </c>
      <c r="AT298" s="278">
        <f t="shared" si="116"/>
        <v>0</v>
      </c>
      <c r="AU298" s="55"/>
      <c r="AV298" s="277"/>
      <c r="AW298" s="279"/>
      <c r="AX298" s="52"/>
      <c r="AY298" s="500"/>
      <c r="AZ298" s="98"/>
      <c r="BA298" s="279"/>
      <c r="BB298" s="52"/>
      <c r="BC298" s="105"/>
      <c r="BD298" s="98"/>
      <c r="BE298" s="279"/>
      <c r="BF298" s="52"/>
      <c r="BG298" s="105"/>
      <c r="BH298" s="98"/>
      <c r="BI298" s="279"/>
      <c r="BJ298" s="52"/>
      <c r="BK298" s="105"/>
      <c r="BL298" s="98"/>
      <c r="BM298" s="279"/>
      <c r="BN298" s="52"/>
      <c r="BO298" s="105"/>
      <c r="BP298" s="98"/>
      <c r="BQ298" s="279"/>
      <c r="BR298" s="52"/>
      <c r="BS298" s="105"/>
      <c r="BT298" s="98"/>
      <c r="BU298" s="279"/>
      <c r="BV298" s="52"/>
      <c r="BW298" s="105"/>
      <c r="BX298" s="98"/>
      <c r="BY298" s="279"/>
      <c r="BZ298" s="52"/>
      <c r="CA298" s="105"/>
      <c r="CB298" s="98"/>
      <c r="CC298" s="279"/>
      <c r="CD298" s="52"/>
      <c r="CE298" s="105"/>
      <c r="CF298" s="98"/>
      <c r="CG298" s="279"/>
      <c r="CH298" s="52"/>
      <c r="CI298" s="105"/>
      <c r="CJ298" s="98"/>
      <c r="CK298" s="281"/>
      <c r="CL298" s="277"/>
      <c r="CM298" s="159"/>
      <c r="CN298" s="277"/>
      <c r="CO298" s="50">
        <f t="shared" si="122"/>
        <v>0</v>
      </c>
      <c r="CP298" s="103">
        <f t="shared" si="123"/>
        <v>0</v>
      </c>
      <c r="CQ298" s="280">
        <f t="shared" si="124"/>
        <v>0</v>
      </c>
      <c r="CR298" s="63">
        <f t="shared" si="125"/>
        <v>0</v>
      </c>
      <c r="CS298" s="279"/>
      <c r="CT298" s="52"/>
      <c r="CU298" s="105"/>
      <c r="CV298" s="98"/>
      <c r="CW298" s="279"/>
      <c r="CX298" s="52"/>
      <c r="CY298" s="105"/>
      <c r="CZ298" s="98"/>
      <c r="DA298" s="279"/>
      <c r="DB298" s="52"/>
      <c r="DC298" s="105"/>
      <c r="DD298" s="98"/>
      <c r="DE298" s="279"/>
      <c r="DF298" s="52"/>
      <c r="DG298" s="105"/>
      <c r="DH298" s="98"/>
      <c r="DI298" s="279"/>
      <c r="DJ298" s="52"/>
      <c r="DK298" s="105"/>
      <c r="DL298" s="98"/>
      <c r="DM298" s="279"/>
      <c r="DN298" s="52"/>
      <c r="DO298" s="105"/>
      <c r="DP298" s="98"/>
      <c r="DQ298" s="279"/>
      <c r="DR298" s="52"/>
      <c r="DS298" s="105"/>
      <c r="DT298" s="98"/>
      <c r="DU298" s="279"/>
      <c r="DV298" s="52"/>
      <c r="DW298" s="105"/>
      <c r="DX298" s="98"/>
      <c r="DY298" s="279"/>
      <c r="DZ298" s="52"/>
      <c r="EA298" s="105"/>
      <c r="EB298" s="98"/>
      <c r="EC298" s="279"/>
      <c r="ED298" s="52"/>
      <c r="EE298" s="105"/>
      <c r="EF298" s="98"/>
      <c r="EG298" s="159"/>
      <c r="EH298" s="277"/>
      <c r="EI298" s="50">
        <f t="shared" si="126"/>
        <v>0</v>
      </c>
      <c r="EJ298" s="103">
        <f t="shared" si="127"/>
        <v>0</v>
      </c>
      <c r="EK298" s="164">
        <f t="shared" si="128"/>
        <v>0</v>
      </c>
      <c r="EL298" s="280">
        <f t="shared" si="129"/>
        <v>0</v>
      </c>
      <c r="EM298" s="63">
        <f t="shared" si="130"/>
        <v>0</v>
      </c>
      <c r="EN298" s="359">
        <f t="shared" si="131"/>
        <v>0</v>
      </c>
      <c r="EO298" s="51">
        <f t="shared" si="132"/>
        <v>0</v>
      </c>
      <c r="EP298" s="361">
        <f t="shared" si="133"/>
        <v>0</v>
      </c>
      <c r="EQ298" s="281"/>
      <c r="ER298" s="277"/>
      <c r="ES298" s="281"/>
      <c r="ET298" s="277"/>
      <c r="EU298" s="281"/>
      <c r="EV298" s="277"/>
      <c r="EW298" s="281"/>
      <c r="EX298" s="277"/>
      <c r="EY298" s="281"/>
      <c r="EZ298" s="277"/>
      <c r="FA298" s="281"/>
      <c r="FB298" s="277"/>
      <c r="FC298" s="281"/>
      <c r="FD298" s="277"/>
      <c r="FE298" s="281"/>
      <c r="FF298" s="277"/>
      <c r="FG298" s="281"/>
      <c r="FH298" s="277"/>
      <c r="FI298" s="281"/>
      <c r="FJ298" s="277"/>
      <c r="FK298" s="50">
        <f t="shared" si="134"/>
        <v>0</v>
      </c>
      <c r="FL298" s="63">
        <f t="shared" si="135"/>
        <v>0</v>
      </c>
      <c r="FM298" s="50">
        <f t="shared" si="117"/>
        <v>996</v>
      </c>
      <c r="FN298" s="360">
        <f t="shared" si="118"/>
        <v>1165</v>
      </c>
      <c r="FO298" s="3"/>
      <c r="FP298" s="279"/>
      <c r="FQ298" s="52"/>
      <c r="FR298" s="296"/>
      <c r="FS298" s="98"/>
      <c r="FT298" s="467"/>
      <c r="FU298" s="52"/>
      <c r="FV298" s="296"/>
      <c r="FW298" s="98"/>
      <c r="FX298" s="467"/>
      <c r="FY298" s="52"/>
      <c r="FZ298" s="296"/>
      <c r="GA298" s="98"/>
      <c r="GB298" s="467"/>
      <c r="GC298" s="52"/>
      <c r="GD298" s="296"/>
      <c r="GE298" s="98"/>
      <c r="GF298" s="467"/>
      <c r="GG298" s="52"/>
      <c r="GH298" s="296"/>
      <c r="GI298" s="98"/>
      <c r="GJ298" s="467"/>
      <c r="GK298" s="52"/>
      <c r="GL298" s="296"/>
      <c r="GM298" s="464"/>
      <c r="GN298" s="467"/>
      <c r="GO298" s="52"/>
      <c r="GP298" s="296"/>
      <c r="GQ298" s="464"/>
      <c r="GR298" s="467"/>
      <c r="GS298" s="52"/>
      <c r="GT298" s="296"/>
      <c r="GU298" s="464"/>
      <c r="GV298" s="467"/>
      <c r="GW298" s="52"/>
      <c r="GX298" s="296"/>
      <c r="GY298" s="464"/>
      <c r="GZ298" s="467"/>
      <c r="HA298" s="52"/>
      <c r="HB298" s="296"/>
      <c r="HC298" s="3"/>
    </row>
    <row r="299" spans="1:211" s="86" customFormat="1">
      <c r="A299" s="499" t="s">
        <v>954</v>
      </c>
      <c r="B299" s="311" t="s">
        <v>599</v>
      </c>
      <c r="C299" s="310">
        <v>162557</v>
      </c>
      <c r="D299" s="351">
        <v>9</v>
      </c>
      <c r="E299" s="460">
        <v>92</v>
      </c>
      <c r="F299" s="277">
        <v>111</v>
      </c>
      <c r="G299" s="158"/>
      <c r="H299" s="277"/>
      <c r="I299" s="158">
        <v>585</v>
      </c>
      <c r="J299" s="535">
        <v>604</v>
      </c>
      <c r="K299" s="160">
        <f t="shared" si="119"/>
        <v>0</v>
      </c>
      <c r="L299" s="161">
        <f t="shared" si="112"/>
        <v>0</v>
      </c>
      <c r="M299" s="54"/>
      <c r="N299" s="55"/>
      <c r="O299" s="55"/>
      <c r="P299" s="55"/>
      <c r="Q299" s="162">
        <f t="shared" si="120"/>
        <v>0</v>
      </c>
      <c r="R299" s="277"/>
      <c r="S299" s="277"/>
      <c r="T299" s="277"/>
      <c r="U299" s="277"/>
      <c r="V299" s="97">
        <f t="shared" si="121"/>
        <v>0</v>
      </c>
      <c r="W299" s="279"/>
      <c r="X299" s="52"/>
      <c r="Y299" s="99"/>
      <c r="Z299" s="53"/>
      <c r="AA299" s="228"/>
      <c r="AB299" s="52"/>
      <c r="AC299" s="99"/>
      <c r="AD299" s="53"/>
      <c r="AE299" s="228"/>
      <c r="AF299" s="52"/>
      <c r="AG299" s="99"/>
      <c r="AH299" s="53"/>
      <c r="AI299" s="228"/>
      <c r="AJ299" s="52"/>
      <c r="AK299" s="99"/>
      <c r="AL299" s="53"/>
      <c r="AM299" s="228"/>
      <c r="AN299" s="52"/>
      <c r="AO299" s="99"/>
      <c r="AP299" s="53"/>
      <c r="AQ299" s="50">
        <f t="shared" si="113"/>
        <v>0</v>
      </c>
      <c r="AR299" s="163">
        <f t="shared" si="114"/>
        <v>0</v>
      </c>
      <c r="AS299" s="97">
        <f t="shared" si="115"/>
        <v>0</v>
      </c>
      <c r="AT299" s="278">
        <f t="shared" si="116"/>
        <v>0</v>
      </c>
      <c r="AU299" s="55"/>
      <c r="AV299" s="277"/>
      <c r="AW299" s="279"/>
      <c r="AX299" s="52"/>
      <c r="AY299" s="500"/>
      <c r="AZ299" s="98"/>
      <c r="BA299" s="279"/>
      <c r="BB299" s="52"/>
      <c r="BC299" s="105"/>
      <c r="BD299" s="98"/>
      <c r="BE299" s="279"/>
      <c r="BF299" s="52"/>
      <c r="BG299" s="105"/>
      <c r="BH299" s="98"/>
      <c r="BI299" s="279"/>
      <c r="BJ299" s="52"/>
      <c r="BK299" s="105"/>
      <c r="BL299" s="98"/>
      <c r="BM299" s="279"/>
      <c r="BN299" s="52"/>
      <c r="BO299" s="105"/>
      <c r="BP299" s="98"/>
      <c r="BQ299" s="279"/>
      <c r="BR299" s="52"/>
      <c r="BS299" s="105"/>
      <c r="BT299" s="98"/>
      <c r="BU299" s="279"/>
      <c r="BV299" s="52"/>
      <c r="BW299" s="105"/>
      <c r="BX299" s="98"/>
      <c r="BY299" s="279"/>
      <c r="BZ299" s="52"/>
      <c r="CA299" s="105"/>
      <c r="CB299" s="98"/>
      <c r="CC299" s="279"/>
      <c r="CD299" s="52"/>
      <c r="CE299" s="105"/>
      <c r="CF299" s="98"/>
      <c r="CG299" s="279"/>
      <c r="CH299" s="52"/>
      <c r="CI299" s="105"/>
      <c r="CJ299" s="98"/>
      <c r="CK299" s="281"/>
      <c r="CL299" s="277"/>
      <c r="CM299" s="159"/>
      <c r="CN299" s="277"/>
      <c r="CO299" s="50">
        <f t="shared" si="122"/>
        <v>0</v>
      </c>
      <c r="CP299" s="103">
        <f t="shared" si="123"/>
        <v>0</v>
      </c>
      <c r="CQ299" s="280">
        <f t="shared" si="124"/>
        <v>0</v>
      </c>
      <c r="CR299" s="63">
        <f t="shared" si="125"/>
        <v>0</v>
      </c>
      <c r="CS299" s="279"/>
      <c r="CT299" s="52"/>
      <c r="CU299" s="105"/>
      <c r="CV299" s="98"/>
      <c r="CW299" s="279"/>
      <c r="CX299" s="52"/>
      <c r="CY299" s="105"/>
      <c r="CZ299" s="98"/>
      <c r="DA299" s="279"/>
      <c r="DB299" s="52"/>
      <c r="DC299" s="105"/>
      <c r="DD299" s="98"/>
      <c r="DE299" s="279"/>
      <c r="DF299" s="52"/>
      <c r="DG299" s="105"/>
      <c r="DH299" s="98"/>
      <c r="DI299" s="279"/>
      <c r="DJ299" s="52"/>
      <c r="DK299" s="105"/>
      <c r="DL299" s="98"/>
      <c r="DM299" s="279"/>
      <c r="DN299" s="52"/>
      <c r="DO299" s="105"/>
      <c r="DP299" s="98"/>
      <c r="DQ299" s="279"/>
      <c r="DR299" s="52"/>
      <c r="DS299" s="105"/>
      <c r="DT299" s="98"/>
      <c r="DU299" s="279"/>
      <c r="DV299" s="52"/>
      <c r="DW299" s="105"/>
      <c r="DX299" s="98"/>
      <c r="DY299" s="279"/>
      <c r="DZ299" s="52"/>
      <c r="EA299" s="105"/>
      <c r="EB299" s="98"/>
      <c r="EC299" s="279"/>
      <c r="ED299" s="52"/>
      <c r="EE299" s="105"/>
      <c r="EF299" s="98"/>
      <c r="EG299" s="159"/>
      <c r="EH299" s="277"/>
      <c r="EI299" s="50">
        <f t="shared" si="126"/>
        <v>0</v>
      </c>
      <c r="EJ299" s="103">
        <f t="shared" si="127"/>
        <v>0</v>
      </c>
      <c r="EK299" s="164">
        <f t="shared" si="128"/>
        <v>0</v>
      </c>
      <c r="EL299" s="280">
        <f t="shared" si="129"/>
        <v>0</v>
      </c>
      <c r="EM299" s="63">
        <f t="shared" si="130"/>
        <v>0</v>
      </c>
      <c r="EN299" s="359">
        <f t="shared" si="131"/>
        <v>0</v>
      </c>
      <c r="EO299" s="51">
        <f t="shared" si="132"/>
        <v>0</v>
      </c>
      <c r="EP299" s="361">
        <f t="shared" si="133"/>
        <v>0</v>
      </c>
      <c r="EQ299" s="281"/>
      <c r="ER299" s="277"/>
      <c r="ES299" s="281"/>
      <c r="ET299" s="277"/>
      <c r="EU299" s="281"/>
      <c r="EV299" s="277"/>
      <c r="EW299" s="281"/>
      <c r="EX299" s="277"/>
      <c r="EY299" s="281"/>
      <c r="EZ299" s="277"/>
      <c r="FA299" s="281"/>
      <c r="FB299" s="277"/>
      <c r="FC299" s="281"/>
      <c r="FD299" s="277"/>
      <c r="FE299" s="281"/>
      <c r="FF299" s="277"/>
      <c r="FG299" s="281"/>
      <c r="FH299" s="277"/>
      <c r="FI299" s="281"/>
      <c r="FJ299" s="277"/>
      <c r="FK299" s="50">
        <f t="shared" si="134"/>
        <v>0</v>
      </c>
      <c r="FL299" s="63">
        <f t="shared" si="135"/>
        <v>0</v>
      </c>
      <c r="FM299" s="50">
        <f t="shared" si="117"/>
        <v>677</v>
      </c>
      <c r="FN299" s="360">
        <f t="shared" si="118"/>
        <v>715</v>
      </c>
      <c r="FO299" s="3"/>
      <c r="FP299" s="279"/>
      <c r="FQ299" s="52"/>
      <c r="FR299" s="296"/>
      <c r="FS299" s="98"/>
      <c r="FT299" s="467"/>
      <c r="FU299" s="52"/>
      <c r="FV299" s="296"/>
      <c r="FW299" s="98"/>
      <c r="FX299" s="467"/>
      <c r="FY299" s="52"/>
      <c r="FZ299" s="296"/>
      <c r="GA299" s="98"/>
      <c r="GB299" s="467"/>
      <c r="GC299" s="52"/>
      <c r="GD299" s="296"/>
      <c r="GE299" s="98"/>
      <c r="GF299" s="467"/>
      <c r="GG299" s="52"/>
      <c r="GH299" s="296"/>
      <c r="GI299" s="98"/>
      <c r="GJ299" s="467"/>
      <c r="GK299" s="52"/>
      <c r="GL299" s="296"/>
      <c r="GM299" s="464"/>
      <c r="GN299" s="467"/>
      <c r="GO299" s="52"/>
      <c r="GP299" s="296"/>
      <c r="GQ299" s="464"/>
      <c r="GR299" s="467"/>
      <c r="GS299" s="52"/>
      <c r="GT299" s="296"/>
      <c r="GU299" s="464"/>
      <c r="GV299" s="467"/>
      <c r="GW299" s="52"/>
      <c r="GX299" s="296"/>
      <c r="GY299" s="464"/>
      <c r="GZ299" s="467"/>
      <c r="HA299" s="52"/>
      <c r="HB299" s="296"/>
      <c r="HC299" s="3"/>
    </row>
    <row r="300" spans="1:211" s="86" customFormat="1">
      <c r="A300" s="501" t="s">
        <v>954</v>
      </c>
      <c r="B300" s="311" t="s">
        <v>607</v>
      </c>
      <c r="C300" s="313">
        <v>162690</v>
      </c>
      <c r="D300" s="352">
        <v>9</v>
      </c>
      <c r="E300" s="460">
        <v>244</v>
      </c>
      <c r="F300" s="277">
        <v>248</v>
      </c>
      <c r="G300" s="158"/>
      <c r="H300" s="277"/>
      <c r="I300" s="158">
        <v>361</v>
      </c>
      <c r="J300" s="535">
        <v>358</v>
      </c>
      <c r="K300" s="160">
        <f t="shared" si="119"/>
        <v>0</v>
      </c>
      <c r="L300" s="161">
        <f t="shared" si="112"/>
        <v>0</v>
      </c>
      <c r="M300" s="54"/>
      <c r="N300" s="55"/>
      <c r="O300" s="55"/>
      <c r="P300" s="55"/>
      <c r="Q300" s="162">
        <f t="shared" si="120"/>
        <v>0</v>
      </c>
      <c r="R300" s="277"/>
      <c r="S300" s="277"/>
      <c r="T300" s="277"/>
      <c r="U300" s="277"/>
      <c r="V300" s="97">
        <f t="shared" si="121"/>
        <v>0</v>
      </c>
      <c r="W300" s="279"/>
      <c r="X300" s="52"/>
      <c r="Y300" s="99"/>
      <c r="Z300" s="53"/>
      <c r="AA300" s="228"/>
      <c r="AB300" s="52"/>
      <c r="AC300" s="99"/>
      <c r="AD300" s="53"/>
      <c r="AE300" s="228"/>
      <c r="AF300" s="52"/>
      <c r="AG300" s="99"/>
      <c r="AH300" s="53"/>
      <c r="AI300" s="228"/>
      <c r="AJ300" s="52"/>
      <c r="AK300" s="99"/>
      <c r="AL300" s="53"/>
      <c r="AM300" s="228"/>
      <c r="AN300" s="52"/>
      <c r="AO300" s="99"/>
      <c r="AP300" s="53"/>
      <c r="AQ300" s="50">
        <f t="shared" si="113"/>
        <v>0</v>
      </c>
      <c r="AR300" s="163">
        <f t="shared" si="114"/>
        <v>0</v>
      </c>
      <c r="AS300" s="97">
        <f t="shared" si="115"/>
        <v>0</v>
      </c>
      <c r="AT300" s="278">
        <f t="shared" si="116"/>
        <v>0</v>
      </c>
      <c r="AU300" s="55"/>
      <c r="AV300" s="277"/>
      <c r="AW300" s="279"/>
      <c r="AX300" s="52"/>
      <c r="AY300" s="500"/>
      <c r="AZ300" s="98"/>
      <c r="BA300" s="279"/>
      <c r="BB300" s="52"/>
      <c r="BC300" s="105"/>
      <c r="BD300" s="98"/>
      <c r="BE300" s="279"/>
      <c r="BF300" s="52"/>
      <c r="BG300" s="105"/>
      <c r="BH300" s="98"/>
      <c r="BI300" s="279"/>
      <c r="BJ300" s="52"/>
      <c r="BK300" s="105"/>
      <c r="BL300" s="98"/>
      <c r="BM300" s="279"/>
      <c r="BN300" s="52"/>
      <c r="BO300" s="105"/>
      <c r="BP300" s="98"/>
      <c r="BQ300" s="279"/>
      <c r="BR300" s="52"/>
      <c r="BS300" s="105"/>
      <c r="BT300" s="98"/>
      <c r="BU300" s="279"/>
      <c r="BV300" s="52"/>
      <c r="BW300" s="105"/>
      <c r="BX300" s="98"/>
      <c r="BY300" s="279"/>
      <c r="BZ300" s="52"/>
      <c r="CA300" s="105"/>
      <c r="CB300" s="98"/>
      <c r="CC300" s="279"/>
      <c r="CD300" s="52"/>
      <c r="CE300" s="105"/>
      <c r="CF300" s="98"/>
      <c r="CG300" s="279"/>
      <c r="CH300" s="52"/>
      <c r="CI300" s="105"/>
      <c r="CJ300" s="98"/>
      <c r="CK300" s="281"/>
      <c r="CL300" s="277"/>
      <c r="CM300" s="159"/>
      <c r="CN300" s="277"/>
      <c r="CO300" s="50">
        <f t="shared" si="122"/>
        <v>0</v>
      </c>
      <c r="CP300" s="103">
        <f t="shared" si="123"/>
        <v>0</v>
      </c>
      <c r="CQ300" s="280">
        <f t="shared" si="124"/>
        <v>0</v>
      </c>
      <c r="CR300" s="63">
        <f t="shared" si="125"/>
        <v>0</v>
      </c>
      <c r="CS300" s="279"/>
      <c r="CT300" s="52"/>
      <c r="CU300" s="105"/>
      <c r="CV300" s="98"/>
      <c r="CW300" s="279"/>
      <c r="CX300" s="52"/>
      <c r="CY300" s="105"/>
      <c r="CZ300" s="98"/>
      <c r="DA300" s="279"/>
      <c r="DB300" s="52"/>
      <c r="DC300" s="105"/>
      <c r="DD300" s="98"/>
      <c r="DE300" s="279"/>
      <c r="DF300" s="52"/>
      <c r="DG300" s="105"/>
      <c r="DH300" s="98"/>
      <c r="DI300" s="279"/>
      <c r="DJ300" s="52"/>
      <c r="DK300" s="105"/>
      <c r="DL300" s="98"/>
      <c r="DM300" s="279"/>
      <c r="DN300" s="52"/>
      <c r="DO300" s="105"/>
      <c r="DP300" s="98"/>
      <c r="DQ300" s="279"/>
      <c r="DR300" s="52"/>
      <c r="DS300" s="105"/>
      <c r="DT300" s="98"/>
      <c r="DU300" s="279"/>
      <c r="DV300" s="52"/>
      <c r="DW300" s="105"/>
      <c r="DX300" s="98"/>
      <c r="DY300" s="279"/>
      <c r="DZ300" s="52"/>
      <c r="EA300" s="105"/>
      <c r="EB300" s="98"/>
      <c r="EC300" s="279"/>
      <c r="ED300" s="52"/>
      <c r="EE300" s="105"/>
      <c r="EF300" s="98"/>
      <c r="EG300" s="159"/>
      <c r="EH300" s="277"/>
      <c r="EI300" s="50">
        <f t="shared" si="126"/>
        <v>0</v>
      </c>
      <c r="EJ300" s="103">
        <f t="shared" si="127"/>
        <v>0</v>
      </c>
      <c r="EK300" s="164">
        <f t="shared" si="128"/>
        <v>0</v>
      </c>
      <c r="EL300" s="280">
        <f t="shared" si="129"/>
        <v>0</v>
      </c>
      <c r="EM300" s="63">
        <f t="shared" si="130"/>
        <v>0</v>
      </c>
      <c r="EN300" s="359">
        <f t="shared" si="131"/>
        <v>0</v>
      </c>
      <c r="EO300" s="51">
        <f t="shared" si="132"/>
        <v>0</v>
      </c>
      <c r="EP300" s="361">
        <f t="shared" si="133"/>
        <v>0</v>
      </c>
      <c r="EQ300" s="281"/>
      <c r="ER300" s="277"/>
      <c r="ES300" s="281"/>
      <c r="ET300" s="277"/>
      <c r="EU300" s="281"/>
      <c r="EV300" s="277"/>
      <c r="EW300" s="281"/>
      <c r="EX300" s="277"/>
      <c r="EY300" s="281"/>
      <c r="EZ300" s="277"/>
      <c r="FA300" s="281"/>
      <c r="FB300" s="277"/>
      <c r="FC300" s="281"/>
      <c r="FD300" s="277"/>
      <c r="FE300" s="281"/>
      <c r="FF300" s="277"/>
      <c r="FG300" s="281"/>
      <c r="FH300" s="277"/>
      <c r="FI300" s="281"/>
      <c r="FJ300" s="277"/>
      <c r="FK300" s="50">
        <f t="shared" si="134"/>
        <v>0</v>
      </c>
      <c r="FL300" s="63">
        <f t="shared" si="135"/>
        <v>0</v>
      </c>
      <c r="FM300" s="50">
        <f t="shared" si="117"/>
        <v>605</v>
      </c>
      <c r="FN300" s="360">
        <f t="shared" si="118"/>
        <v>606</v>
      </c>
      <c r="FO300" s="3"/>
      <c r="FP300" s="279"/>
      <c r="FQ300" s="52"/>
      <c r="FR300" s="296"/>
      <c r="FS300" s="98"/>
      <c r="FT300" s="467"/>
      <c r="FU300" s="52"/>
      <c r="FV300" s="296"/>
      <c r="FW300" s="98"/>
      <c r="FX300" s="467"/>
      <c r="FY300" s="52"/>
      <c r="FZ300" s="296"/>
      <c r="GA300" s="98"/>
      <c r="GB300" s="467"/>
      <c r="GC300" s="52"/>
      <c r="GD300" s="296"/>
      <c r="GE300" s="98"/>
      <c r="GF300" s="467"/>
      <c r="GG300" s="52"/>
      <c r="GH300" s="296"/>
      <c r="GI300" s="98"/>
      <c r="GJ300" s="467"/>
      <c r="GK300" s="52"/>
      <c r="GL300" s="296"/>
      <c r="GM300" s="464"/>
      <c r="GN300" s="467"/>
      <c r="GO300" s="52"/>
      <c r="GP300" s="296"/>
      <c r="GQ300" s="464"/>
      <c r="GR300" s="467"/>
      <c r="GS300" s="52"/>
      <c r="GT300" s="296"/>
      <c r="GU300" s="464"/>
      <c r="GV300" s="467"/>
      <c r="GW300" s="52"/>
      <c r="GX300" s="296"/>
      <c r="GY300" s="464"/>
      <c r="GZ300" s="467"/>
      <c r="HA300" s="52"/>
      <c r="HB300" s="296"/>
      <c r="HC300" s="3"/>
    </row>
    <row r="301" spans="1:211" s="86" customFormat="1">
      <c r="A301" s="499" t="s">
        <v>954</v>
      </c>
      <c r="B301" s="311" t="s">
        <v>600</v>
      </c>
      <c r="C301" s="310">
        <v>162706</v>
      </c>
      <c r="D301" s="351">
        <v>9</v>
      </c>
      <c r="E301" s="460">
        <v>27</v>
      </c>
      <c r="F301" s="277">
        <v>34</v>
      </c>
      <c r="G301" s="158"/>
      <c r="H301" s="277"/>
      <c r="I301" s="158">
        <v>590</v>
      </c>
      <c r="J301" s="535">
        <v>630</v>
      </c>
      <c r="K301" s="160">
        <f t="shared" si="119"/>
        <v>0</v>
      </c>
      <c r="L301" s="161">
        <f t="shared" si="112"/>
        <v>0</v>
      </c>
      <c r="M301" s="54"/>
      <c r="N301" s="55"/>
      <c r="O301" s="55"/>
      <c r="P301" s="55"/>
      <c r="Q301" s="162">
        <f t="shared" si="120"/>
        <v>0</v>
      </c>
      <c r="R301" s="277"/>
      <c r="S301" s="277"/>
      <c r="T301" s="277"/>
      <c r="U301" s="277"/>
      <c r="V301" s="97">
        <f t="shared" si="121"/>
        <v>0</v>
      </c>
      <c r="W301" s="279"/>
      <c r="X301" s="52"/>
      <c r="Y301" s="99"/>
      <c r="Z301" s="53"/>
      <c r="AA301" s="228"/>
      <c r="AB301" s="52"/>
      <c r="AC301" s="99"/>
      <c r="AD301" s="53"/>
      <c r="AE301" s="228"/>
      <c r="AF301" s="52"/>
      <c r="AG301" s="99"/>
      <c r="AH301" s="53"/>
      <c r="AI301" s="228"/>
      <c r="AJ301" s="52"/>
      <c r="AK301" s="99"/>
      <c r="AL301" s="53"/>
      <c r="AM301" s="228"/>
      <c r="AN301" s="52"/>
      <c r="AO301" s="99"/>
      <c r="AP301" s="53"/>
      <c r="AQ301" s="50">
        <f t="shared" si="113"/>
        <v>0</v>
      </c>
      <c r="AR301" s="163">
        <f t="shared" si="114"/>
        <v>0</v>
      </c>
      <c r="AS301" s="97">
        <f t="shared" si="115"/>
        <v>0</v>
      </c>
      <c r="AT301" s="278">
        <f t="shared" si="116"/>
        <v>0</v>
      </c>
      <c r="AU301" s="55"/>
      <c r="AV301" s="277"/>
      <c r="AW301" s="279"/>
      <c r="AX301" s="52"/>
      <c r="AY301" s="500"/>
      <c r="AZ301" s="98"/>
      <c r="BA301" s="279"/>
      <c r="BB301" s="52"/>
      <c r="BC301" s="105"/>
      <c r="BD301" s="98"/>
      <c r="BE301" s="279"/>
      <c r="BF301" s="52"/>
      <c r="BG301" s="105"/>
      <c r="BH301" s="98"/>
      <c r="BI301" s="279"/>
      <c r="BJ301" s="52"/>
      <c r="BK301" s="105"/>
      <c r="BL301" s="98"/>
      <c r="BM301" s="279"/>
      <c r="BN301" s="52"/>
      <c r="BO301" s="105"/>
      <c r="BP301" s="98"/>
      <c r="BQ301" s="279"/>
      <c r="BR301" s="52"/>
      <c r="BS301" s="105"/>
      <c r="BT301" s="98"/>
      <c r="BU301" s="279"/>
      <c r="BV301" s="52"/>
      <c r="BW301" s="105"/>
      <c r="BX301" s="98"/>
      <c r="BY301" s="279"/>
      <c r="BZ301" s="52"/>
      <c r="CA301" s="105"/>
      <c r="CB301" s="98"/>
      <c r="CC301" s="279"/>
      <c r="CD301" s="52"/>
      <c r="CE301" s="105"/>
      <c r="CF301" s="98"/>
      <c r="CG301" s="279"/>
      <c r="CH301" s="52"/>
      <c r="CI301" s="105"/>
      <c r="CJ301" s="98"/>
      <c r="CK301" s="281"/>
      <c r="CL301" s="277"/>
      <c r="CM301" s="159"/>
      <c r="CN301" s="277"/>
      <c r="CO301" s="50">
        <f t="shared" si="122"/>
        <v>0</v>
      </c>
      <c r="CP301" s="103">
        <f t="shared" si="123"/>
        <v>0</v>
      </c>
      <c r="CQ301" s="280">
        <f t="shared" si="124"/>
        <v>0</v>
      </c>
      <c r="CR301" s="63">
        <f t="shared" si="125"/>
        <v>0</v>
      </c>
      <c r="CS301" s="279"/>
      <c r="CT301" s="52"/>
      <c r="CU301" s="105"/>
      <c r="CV301" s="98"/>
      <c r="CW301" s="279"/>
      <c r="CX301" s="52"/>
      <c r="CY301" s="105"/>
      <c r="CZ301" s="98"/>
      <c r="DA301" s="279"/>
      <c r="DB301" s="52"/>
      <c r="DC301" s="105"/>
      <c r="DD301" s="98"/>
      <c r="DE301" s="279"/>
      <c r="DF301" s="52"/>
      <c r="DG301" s="105"/>
      <c r="DH301" s="98"/>
      <c r="DI301" s="279"/>
      <c r="DJ301" s="52"/>
      <c r="DK301" s="105"/>
      <c r="DL301" s="98"/>
      <c r="DM301" s="279"/>
      <c r="DN301" s="52"/>
      <c r="DO301" s="105"/>
      <c r="DP301" s="98"/>
      <c r="DQ301" s="279"/>
      <c r="DR301" s="52"/>
      <c r="DS301" s="105"/>
      <c r="DT301" s="98"/>
      <c r="DU301" s="279"/>
      <c r="DV301" s="52"/>
      <c r="DW301" s="105"/>
      <c r="DX301" s="98"/>
      <c r="DY301" s="279"/>
      <c r="DZ301" s="52"/>
      <c r="EA301" s="105"/>
      <c r="EB301" s="98"/>
      <c r="EC301" s="279"/>
      <c r="ED301" s="52"/>
      <c r="EE301" s="105"/>
      <c r="EF301" s="98"/>
      <c r="EG301" s="159"/>
      <c r="EH301" s="277"/>
      <c r="EI301" s="50">
        <f t="shared" si="126"/>
        <v>0</v>
      </c>
      <c r="EJ301" s="103">
        <f t="shared" si="127"/>
        <v>0</v>
      </c>
      <c r="EK301" s="164">
        <f t="shared" si="128"/>
        <v>0</v>
      </c>
      <c r="EL301" s="280">
        <f t="shared" si="129"/>
        <v>0</v>
      </c>
      <c r="EM301" s="63">
        <f t="shared" si="130"/>
        <v>0</v>
      </c>
      <c r="EN301" s="359">
        <f t="shared" si="131"/>
        <v>0</v>
      </c>
      <c r="EO301" s="51">
        <f t="shared" si="132"/>
        <v>0</v>
      </c>
      <c r="EP301" s="361">
        <f t="shared" si="133"/>
        <v>0</v>
      </c>
      <c r="EQ301" s="281"/>
      <c r="ER301" s="277"/>
      <c r="ES301" s="281"/>
      <c r="ET301" s="277"/>
      <c r="EU301" s="281"/>
      <c r="EV301" s="277"/>
      <c r="EW301" s="281"/>
      <c r="EX301" s="277"/>
      <c r="EY301" s="281"/>
      <c r="EZ301" s="277"/>
      <c r="FA301" s="281"/>
      <c r="FB301" s="277"/>
      <c r="FC301" s="281"/>
      <c r="FD301" s="277"/>
      <c r="FE301" s="281"/>
      <c r="FF301" s="277"/>
      <c r="FG301" s="281"/>
      <c r="FH301" s="277"/>
      <c r="FI301" s="281"/>
      <c r="FJ301" s="277"/>
      <c r="FK301" s="50">
        <f t="shared" si="134"/>
        <v>0</v>
      </c>
      <c r="FL301" s="63">
        <f t="shared" si="135"/>
        <v>0</v>
      </c>
      <c r="FM301" s="50">
        <f t="shared" si="117"/>
        <v>617</v>
      </c>
      <c r="FN301" s="360">
        <f t="shared" si="118"/>
        <v>664</v>
      </c>
      <c r="FO301" s="3"/>
      <c r="FP301" s="279"/>
      <c r="FQ301" s="52"/>
      <c r="FR301" s="296"/>
      <c r="FS301" s="98"/>
      <c r="FT301" s="467"/>
      <c r="FU301" s="52"/>
      <c r="FV301" s="296"/>
      <c r="FW301" s="98"/>
      <c r="FX301" s="467"/>
      <c r="FY301" s="52"/>
      <c r="FZ301" s="296"/>
      <c r="GA301" s="98"/>
      <c r="GB301" s="467"/>
      <c r="GC301" s="52"/>
      <c r="GD301" s="296"/>
      <c r="GE301" s="98"/>
      <c r="GF301" s="467"/>
      <c r="GG301" s="52"/>
      <c r="GH301" s="296"/>
      <c r="GI301" s="98"/>
      <c r="GJ301" s="467"/>
      <c r="GK301" s="52"/>
      <c r="GL301" s="296"/>
      <c r="GM301" s="464"/>
      <c r="GN301" s="467"/>
      <c r="GO301" s="52"/>
      <c r="GP301" s="296"/>
      <c r="GQ301" s="464"/>
      <c r="GR301" s="467"/>
      <c r="GS301" s="52"/>
      <c r="GT301" s="296"/>
      <c r="GU301" s="464"/>
      <c r="GV301" s="467"/>
      <c r="GW301" s="52"/>
      <c r="GX301" s="296"/>
      <c r="GY301" s="464"/>
      <c r="GZ301" s="467"/>
      <c r="HA301" s="52"/>
      <c r="HB301" s="296"/>
      <c r="HC301" s="3"/>
    </row>
    <row r="302" spans="1:211" s="86" customFormat="1">
      <c r="A302" s="499" t="s">
        <v>954</v>
      </c>
      <c r="B302" s="311" t="s">
        <v>601</v>
      </c>
      <c r="C302" s="310">
        <v>162779</v>
      </c>
      <c r="D302" s="351">
        <v>9</v>
      </c>
      <c r="E302" s="460">
        <v>49</v>
      </c>
      <c r="F302" s="277">
        <v>61</v>
      </c>
      <c r="G302" s="158"/>
      <c r="H302" s="277"/>
      <c r="I302" s="158">
        <v>635</v>
      </c>
      <c r="J302" s="535">
        <v>607</v>
      </c>
      <c r="K302" s="160">
        <f t="shared" si="119"/>
        <v>0</v>
      </c>
      <c r="L302" s="161">
        <f t="shared" si="112"/>
        <v>0</v>
      </c>
      <c r="M302" s="54"/>
      <c r="N302" s="55"/>
      <c r="O302" s="55"/>
      <c r="P302" s="55"/>
      <c r="Q302" s="162">
        <f t="shared" si="120"/>
        <v>0</v>
      </c>
      <c r="R302" s="277"/>
      <c r="S302" s="277"/>
      <c r="T302" s="277"/>
      <c r="U302" s="277"/>
      <c r="V302" s="97">
        <f t="shared" si="121"/>
        <v>0</v>
      </c>
      <c r="W302" s="279"/>
      <c r="X302" s="52"/>
      <c r="Y302" s="99"/>
      <c r="Z302" s="53"/>
      <c r="AA302" s="228"/>
      <c r="AB302" s="52"/>
      <c r="AC302" s="99"/>
      <c r="AD302" s="53"/>
      <c r="AE302" s="228"/>
      <c r="AF302" s="52"/>
      <c r="AG302" s="99"/>
      <c r="AH302" s="53"/>
      <c r="AI302" s="228"/>
      <c r="AJ302" s="52"/>
      <c r="AK302" s="99"/>
      <c r="AL302" s="53"/>
      <c r="AM302" s="228"/>
      <c r="AN302" s="52"/>
      <c r="AO302" s="99"/>
      <c r="AP302" s="53"/>
      <c r="AQ302" s="50">
        <f t="shared" si="113"/>
        <v>0</v>
      </c>
      <c r="AR302" s="163">
        <f t="shared" si="114"/>
        <v>0</v>
      </c>
      <c r="AS302" s="97">
        <f t="shared" si="115"/>
        <v>0</v>
      </c>
      <c r="AT302" s="278">
        <f t="shared" si="116"/>
        <v>0</v>
      </c>
      <c r="AU302" s="55"/>
      <c r="AV302" s="277"/>
      <c r="AW302" s="279"/>
      <c r="AX302" s="52"/>
      <c r="AY302" s="500"/>
      <c r="AZ302" s="98"/>
      <c r="BA302" s="279"/>
      <c r="BB302" s="52"/>
      <c r="BC302" s="105"/>
      <c r="BD302" s="98"/>
      <c r="BE302" s="279"/>
      <c r="BF302" s="52"/>
      <c r="BG302" s="105"/>
      <c r="BH302" s="98"/>
      <c r="BI302" s="279"/>
      <c r="BJ302" s="52"/>
      <c r="BK302" s="105"/>
      <c r="BL302" s="98"/>
      <c r="BM302" s="279"/>
      <c r="BN302" s="52"/>
      <c r="BO302" s="105"/>
      <c r="BP302" s="98"/>
      <c r="BQ302" s="279"/>
      <c r="BR302" s="52"/>
      <c r="BS302" s="105"/>
      <c r="BT302" s="98"/>
      <c r="BU302" s="279"/>
      <c r="BV302" s="52"/>
      <c r="BW302" s="105"/>
      <c r="BX302" s="98"/>
      <c r="BY302" s="279"/>
      <c r="BZ302" s="52"/>
      <c r="CA302" s="105"/>
      <c r="CB302" s="98"/>
      <c r="CC302" s="279"/>
      <c r="CD302" s="52"/>
      <c r="CE302" s="105"/>
      <c r="CF302" s="98"/>
      <c r="CG302" s="279"/>
      <c r="CH302" s="52"/>
      <c r="CI302" s="105"/>
      <c r="CJ302" s="98"/>
      <c r="CK302" s="281"/>
      <c r="CL302" s="277"/>
      <c r="CM302" s="159"/>
      <c r="CN302" s="277"/>
      <c r="CO302" s="50">
        <f t="shared" si="122"/>
        <v>0</v>
      </c>
      <c r="CP302" s="103">
        <f t="shared" si="123"/>
        <v>0</v>
      </c>
      <c r="CQ302" s="280">
        <f t="shared" si="124"/>
        <v>0</v>
      </c>
      <c r="CR302" s="63">
        <f t="shared" si="125"/>
        <v>0</v>
      </c>
      <c r="CS302" s="279"/>
      <c r="CT302" s="52"/>
      <c r="CU302" s="105"/>
      <c r="CV302" s="98"/>
      <c r="CW302" s="279"/>
      <c r="CX302" s="52"/>
      <c r="CY302" s="105"/>
      <c r="CZ302" s="98"/>
      <c r="DA302" s="279"/>
      <c r="DB302" s="52"/>
      <c r="DC302" s="105"/>
      <c r="DD302" s="98"/>
      <c r="DE302" s="279"/>
      <c r="DF302" s="52"/>
      <c r="DG302" s="105"/>
      <c r="DH302" s="98"/>
      <c r="DI302" s="279"/>
      <c r="DJ302" s="52"/>
      <c r="DK302" s="105"/>
      <c r="DL302" s="98"/>
      <c r="DM302" s="279"/>
      <c r="DN302" s="52"/>
      <c r="DO302" s="105"/>
      <c r="DP302" s="98"/>
      <c r="DQ302" s="279"/>
      <c r="DR302" s="52"/>
      <c r="DS302" s="105"/>
      <c r="DT302" s="98"/>
      <c r="DU302" s="279"/>
      <c r="DV302" s="52"/>
      <c r="DW302" s="105"/>
      <c r="DX302" s="98"/>
      <c r="DY302" s="279"/>
      <c r="DZ302" s="52"/>
      <c r="EA302" s="105"/>
      <c r="EB302" s="98"/>
      <c r="EC302" s="279"/>
      <c r="ED302" s="52"/>
      <c r="EE302" s="105"/>
      <c r="EF302" s="98"/>
      <c r="EG302" s="159"/>
      <c r="EH302" s="277"/>
      <c r="EI302" s="50">
        <f t="shared" si="126"/>
        <v>0</v>
      </c>
      <c r="EJ302" s="103">
        <f t="shared" si="127"/>
        <v>0</v>
      </c>
      <c r="EK302" s="164">
        <f t="shared" si="128"/>
        <v>0</v>
      </c>
      <c r="EL302" s="280">
        <f t="shared" si="129"/>
        <v>0</v>
      </c>
      <c r="EM302" s="63">
        <f t="shared" si="130"/>
        <v>0</v>
      </c>
      <c r="EN302" s="359">
        <f t="shared" si="131"/>
        <v>0</v>
      </c>
      <c r="EO302" s="51">
        <f t="shared" si="132"/>
        <v>0</v>
      </c>
      <c r="EP302" s="361">
        <f t="shared" si="133"/>
        <v>0</v>
      </c>
      <c r="EQ302" s="281"/>
      <c r="ER302" s="277"/>
      <c r="ES302" s="281"/>
      <c r="ET302" s="277"/>
      <c r="EU302" s="281"/>
      <c r="EV302" s="277"/>
      <c r="EW302" s="281"/>
      <c r="EX302" s="277"/>
      <c r="EY302" s="281"/>
      <c r="EZ302" s="277"/>
      <c r="FA302" s="281"/>
      <c r="FB302" s="277"/>
      <c r="FC302" s="281"/>
      <c r="FD302" s="277"/>
      <c r="FE302" s="281"/>
      <c r="FF302" s="277"/>
      <c r="FG302" s="281"/>
      <c r="FH302" s="277"/>
      <c r="FI302" s="281"/>
      <c r="FJ302" s="277"/>
      <c r="FK302" s="50">
        <f t="shared" si="134"/>
        <v>0</v>
      </c>
      <c r="FL302" s="63">
        <f t="shared" si="135"/>
        <v>0</v>
      </c>
      <c r="FM302" s="50">
        <f t="shared" si="117"/>
        <v>684</v>
      </c>
      <c r="FN302" s="360">
        <f t="shared" si="118"/>
        <v>668</v>
      </c>
      <c r="FO302" s="3"/>
      <c r="FP302" s="279"/>
      <c r="FQ302" s="52"/>
      <c r="FR302" s="296"/>
      <c r="FS302" s="98"/>
      <c r="FT302" s="467"/>
      <c r="FU302" s="52"/>
      <c r="FV302" s="296"/>
      <c r="FW302" s="98"/>
      <c r="FX302" s="467"/>
      <c r="FY302" s="52"/>
      <c r="FZ302" s="296"/>
      <c r="GA302" s="98"/>
      <c r="GB302" s="467"/>
      <c r="GC302" s="52"/>
      <c r="GD302" s="296"/>
      <c r="GE302" s="98"/>
      <c r="GF302" s="467"/>
      <c r="GG302" s="52"/>
      <c r="GH302" s="296"/>
      <c r="GI302" s="98"/>
      <c r="GJ302" s="467"/>
      <c r="GK302" s="52"/>
      <c r="GL302" s="296"/>
      <c r="GM302" s="464"/>
      <c r="GN302" s="467"/>
      <c r="GO302" s="52"/>
      <c r="GP302" s="296"/>
      <c r="GQ302" s="464"/>
      <c r="GR302" s="467"/>
      <c r="GS302" s="52"/>
      <c r="GT302" s="296"/>
      <c r="GU302" s="464"/>
      <c r="GV302" s="467"/>
      <c r="GW302" s="52"/>
      <c r="GX302" s="296"/>
      <c r="GY302" s="464"/>
      <c r="GZ302" s="467"/>
      <c r="HA302" s="52"/>
      <c r="HB302" s="296"/>
      <c r="HC302" s="3"/>
    </row>
    <row r="303" spans="1:211" s="86" customFormat="1">
      <c r="A303" s="499" t="s">
        <v>954</v>
      </c>
      <c r="B303" s="369" t="s">
        <v>603</v>
      </c>
      <c r="C303" s="310">
        <v>405872</v>
      </c>
      <c r="D303" s="351">
        <v>10</v>
      </c>
      <c r="E303" s="460">
        <v>27</v>
      </c>
      <c r="F303" s="277">
        <v>17</v>
      </c>
      <c r="G303" s="158"/>
      <c r="H303" s="277"/>
      <c r="I303" s="158">
        <v>371</v>
      </c>
      <c r="J303" s="535">
        <v>399</v>
      </c>
      <c r="K303" s="160">
        <f t="shared" si="119"/>
        <v>0</v>
      </c>
      <c r="L303" s="161">
        <f t="shared" si="112"/>
        <v>0</v>
      </c>
      <c r="M303" s="54"/>
      <c r="N303" s="55"/>
      <c r="O303" s="55"/>
      <c r="P303" s="55"/>
      <c r="Q303" s="162">
        <f t="shared" si="120"/>
        <v>0</v>
      </c>
      <c r="R303" s="277"/>
      <c r="S303" s="277"/>
      <c r="T303" s="277"/>
      <c r="U303" s="277"/>
      <c r="V303" s="97">
        <f t="shared" si="121"/>
        <v>0</v>
      </c>
      <c r="W303" s="279"/>
      <c r="X303" s="52"/>
      <c r="Y303" s="99"/>
      <c r="Z303" s="53"/>
      <c r="AA303" s="228"/>
      <c r="AB303" s="52"/>
      <c r="AC303" s="99"/>
      <c r="AD303" s="53"/>
      <c r="AE303" s="228"/>
      <c r="AF303" s="52"/>
      <c r="AG303" s="99"/>
      <c r="AH303" s="53"/>
      <c r="AI303" s="228"/>
      <c r="AJ303" s="52"/>
      <c r="AK303" s="99"/>
      <c r="AL303" s="53"/>
      <c r="AM303" s="228"/>
      <c r="AN303" s="52"/>
      <c r="AO303" s="99"/>
      <c r="AP303" s="53"/>
      <c r="AQ303" s="50">
        <f t="shared" si="113"/>
        <v>0</v>
      </c>
      <c r="AR303" s="163">
        <f t="shared" si="114"/>
        <v>0</v>
      </c>
      <c r="AS303" s="97">
        <f t="shared" si="115"/>
        <v>0</v>
      </c>
      <c r="AT303" s="278">
        <f t="shared" si="116"/>
        <v>0</v>
      </c>
      <c r="AU303" s="55"/>
      <c r="AV303" s="277"/>
      <c r="AW303" s="279"/>
      <c r="AX303" s="52"/>
      <c r="AY303" s="500"/>
      <c r="AZ303" s="98"/>
      <c r="BA303" s="279"/>
      <c r="BB303" s="52"/>
      <c r="BC303" s="105"/>
      <c r="BD303" s="98"/>
      <c r="BE303" s="279"/>
      <c r="BF303" s="52"/>
      <c r="BG303" s="105"/>
      <c r="BH303" s="98"/>
      <c r="BI303" s="279"/>
      <c r="BJ303" s="52"/>
      <c r="BK303" s="105"/>
      <c r="BL303" s="98"/>
      <c r="BM303" s="279"/>
      <c r="BN303" s="52"/>
      <c r="BO303" s="105"/>
      <c r="BP303" s="98"/>
      <c r="BQ303" s="279"/>
      <c r="BR303" s="52"/>
      <c r="BS303" s="105"/>
      <c r="BT303" s="98"/>
      <c r="BU303" s="279"/>
      <c r="BV303" s="52"/>
      <c r="BW303" s="105"/>
      <c r="BX303" s="98"/>
      <c r="BY303" s="279"/>
      <c r="BZ303" s="52"/>
      <c r="CA303" s="105"/>
      <c r="CB303" s="98"/>
      <c r="CC303" s="279"/>
      <c r="CD303" s="52"/>
      <c r="CE303" s="105"/>
      <c r="CF303" s="98"/>
      <c r="CG303" s="279"/>
      <c r="CH303" s="52"/>
      <c r="CI303" s="105"/>
      <c r="CJ303" s="98"/>
      <c r="CK303" s="281"/>
      <c r="CL303" s="277"/>
      <c r="CM303" s="159"/>
      <c r="CN303" s="277"/>
      <c r="CO303" s="50">
        <f t="shared" si="122"/>
        <v>0</v>
      </c>
      <c r="CP303" s="103">
        <f t="shared" si="123"/>
        <v>0</v>
      </c>
      <c r="CQ303" s="280">
        <f t="shared" si="124"/>
        <v>0</v>
      </c>
      <c r="CR303" s="63">
        <f t="shared" si="125"/>
        <v>0</v>
      </c>
      <c r="CS303" s="279"/>
      <c r="CT303" s="52"/>
      <c r="CU303" s="105"/>
      <c r="CV303" s="98"/>
      <c r="CW303" s="279"/>
      <c r="CX303" s="52"/>
      <c r="CY303" s="105"/>
      <c r="CZ303" s="98"/>
      <c r="DA303" s="279"/>
      <c r="DB303" s="52"/>
      <c r="DC303" s="105"/>
      <c r="DD303" s="98"/>
      <c r="DE303" s="279"/>
      <c r="DF303" s="52"/>
      <c r="DG303" s="105"/>
      <c r="DH303" s="98"/>
      <c r="DI303" s="279"/>
      <c r="DJ303" s="52"/>
      <c r="DK303" s="105"/>
      <c r="DL303" s="98"/>
      <c r="DM303" s="279"/>
      <c r="DN303" s="52"/>
      <c r="DO303" s="105"/>
      <c r="DP303" s="98"/>
      <c r="DQ303" s="279"/>
      <c r="DR303" s="52"/>
      <c r="DS303" s="105"/>
      <c r="DT303" s="98"/>
      <c r="DU303" s="279"/>
      <c r="DV303" s="52"/>
      <c r="DW303" s="105"/>
      <c r="DX303" s="98"/>
      <c r="DY303" s="279"/>
      <c r="DZ303" s="52"/>
      <c r="EA303" s="105"/>
      <c r="EB303" s="98"/>
      <c r="EC303" s="279"/>
      <c r="ED303" s="52"/>
      <c r="EE303" s="105"/>
      <c r="EF303" s="98"/>
      <c r="EG303" s="159"/>
      <c r="EH303" s="277"/>
      <c r="EI303" s="50">
        <f t="shared" si="126"/>
        <v>0</v>
      </c>
      <c r="EJ303" s="103">
        <f t="shared" si="127"/>
        <v>0</v>
      </c>
      <c r="EK303" s="164">
        <f t="shared" si="128"/>
        <v>0</v>
      </c>
      <c r="EL303" s="280">
        <f t="shared" si="129"/>
        <v>0</v>
      </c>
      <c r="EM303" s="63">
        <f t="shared" si="130"/>
        <v>0</v>
      </c>
      <c r="EN303" s="359">
        <f t="shared" si="131"/>
        <v>0</v>
      </c>
      <c r="EO303" s="51">
        <f t="shared" si="132"/>
        <v>0</v>
      </c>
      <c r="EP303" s="361">
        <f t="shared" si="133"/>
        <v>0</v>
      </c>
      <c r="EQ303" s="281"/>
      <c r="ER303" s="277"/>
      <c r="ES303" s="281"/>
      <c r="ET303" s="277"/>
      <c r="EU303" s="281"/>
      <c r="EV303" s="277"/>
      <c r="EW303" s="281"/>
      <c r="EX303" s="277"/>
      <c r="EY303" s="281"/>
      <c r="EZ303" s="277"/>
      <c r="FA303" s="281"/>
      <c r="FB303" s="277"/>
      <c r="FC303" s="281"/>
      <c r="FD303" s="277"/>
      <c r="FE303" s="281"/>
      <c r="FF303" s="277"/>
      <c r="FG303" s="281"/>
      <c r="FH303" s="277"/>
      <c r="FI303" s="281"/>
      <c r="FJ303" s="277"/>
      <c r="FK303" s="50">
        <f t="shared" si="134"/>
        <v>0</v>
      </c>
      <c r="FL303" s="63">
        <f t="shared" si="135"/>
        <v>0</v>
      </c>
      <c r="FM303" s="50">
        <f t="shared" si="117"/>
        <v>398</v>
      </c>
      <c r="FN303" s="360">
        <f t="shared" si="118"/>
        <v>416</v>
      </c>
      <c r="FO303" s="3"/>
      <c r="FP303" s="279"/>
      <c r="FQ303" s="52"/>
      <c r="FR303" s="296"/>
      <c r="FS303" s="98"/>
      <c r="FT303" s="467"/>
      <c r="FU303" s="52"/>
      <c r="FV303" s="296"/>
      <c r="FW303" s="98"/>
      <c r="FX303" s="467"/>
      <c r="FY303" s="52"/>
      <c r="FZ303" s="296"/>
      <c r="GA303" s="98"/>
      <c r="GB303" s="467"/>
      <c r="GC303" s="52"/>
      <c r="GD303" s="296"/>
      <c r="GE303" s="98"/>
      <c r="GF303" s="467"/>
      <c r="GG303" s="52"/>
      <c r="GH303" s="296"/>
      <c r="GI303" s="98"/>
      <c r="GJ303" s="467"/>
      <c r="GK303" s="52"/>
      <c r="GL303" s="296"/>
      <c r="GM303" s="464"/>
      <c r="GN303" s="467"/>
      <c r="GO303" s="52"/>
      <c r="GP303" s="296"/>
      <c r="GQ303" s="464"/>
      <c r="GR303" s="467"/>
      <c r="GS303" s="52"/>
      <c r="GT303" s="296"/>
      <c r="GU303" s="464"/>
      <c r="GV303" s="467"/>
      <c r="GW303" s="52"/>
      <c r="GX303" s="296"/>
      <c r="GY303" s="464"/>
      <c r="GZ303" s="467"/>
      <c r="HA303" s="52"/>
      <c r="HB303" s="296"/>
      <c r="HC303" s="3"/>
    </row>
    <row r="304" spans="1:211" s="86" customFormat="1">
      <c r="A304" s="499" t="s">
        <v>954</v>
      </c>
      <c r="B304" s="311" t="s">
        <v>604</v>
      </c>
      <c r="C304" s="310">
        <v>162104</v>
      </c>
      <c r="D304" s="351">
        <v>10</v>
      </c>
      <c r="E304" s="460">
        <v>54</v>
      </c>
      <c r="F304" s="277">
        <v>54</v>
      </c>
      <c r="G304" s="158"/>
      <c r="H304" s="277"/>
      <c r="I304" s="158">
        <v>175</v>
      </c>
      <c r="J304" s="535">
        <v>183</v>
      </c>
      <c r="K304" s="160">
        <f t="shared" si="119"/>
        <v>0</v>
      </c>
      <c r="L304" s="161">
        <f t="shared" si="112"/>
        <v>0</v>
      </c>
      <c r="M304" s="54"/>
      <c r="N304" s="55"/>
      <c r="O304" s="55"/>
      <c r="P304" s="55"/>
      <c r="Q304" s="162">
        <f t="shared" si="120"/>
        <v>0</v>
      </c>
      <c r="R304" s="277"/>
      <c r="S304" s="277"/>
      <c r="T304" s="277"/>
      <c r="U304" s="277"/>
      <c r="V304" s="97">
        <f t="shared" si="121"/>
        <v>0</v>
      </c>
      <c r="W304" s="279"/>
      <c r="X304" s="52"/>
      <c r="Y304" s="99"/>
      <c r="Z304" s="53"/>
      <c r="AA304" s="228"/>
      <c r="AB304" s="52"/>
      <c r="AC304" s="99"/>
      <c r="AD304" s="53"/>
      <c r="AE304" s="228"/>
      <c r="AF304" s="52"/>
      <c r="AG304" s="99"/>
      <c r="AH304" s="53"/>
      <c r="AI304" s="228"/>
      <c r="AJ304" s="52"/>
      <c r="AK304" s="99"/>
      <c r="AL304" s="53"/>
      <c r="AM304" s="228"/>
      <c r="AN304" s="52"/>
      <c r="AO304" s="99"/>
      <c r="AP304" s="53"/>
      <c r="AQ304" s="50">
        <f t="shared" si="113"/>
        <v>0</v>
      </c>
      <c r="AR304" s="163">
        <f t="shared" si="114"/>
        <v>0</v>
      </c>
      <c r="AS304" s="97">
        <f t="shared" si="115"/>
        <v>0</v>
      </c>
      <c r="AT304" s="278">
        <f t="shared" si="116"/>
        <v>0</v>
      </c>
      <c r="AU304" s="55"/>
      <c r="AV304" s="277"/>
      <c r="AW304" s="279"/>
      <c r="AX304" s="52"/>
      <c r="AY304" s="500"/>
      <c r="AZ304" s="98"/>
      <c r="BA304" s="279"/>
      <c r="BB304" s="52"/>
      <c r="BC304" s="105"/>
      <c r="BD304" s="98"/>
      <c r="BE304" s="279"/>
      <c r="BF304" s="52"/>
      <c r="BG304" s="105"/>
      <c r="BH304" s="98"/>
      <c r="BI304" s="279"/>
      <c r="BJ304" s="52"/>
      <c r="BK304" s="105"/>
      <c r="BL304" s="98"/>
      <c r="BM304" s="279"/>
      <c r="BN304" s="52"/>
      <c r="BO304" s="105"/>
      <c r="BP304" s="98"/>
      <c r="BQ304" s="279"/>
      <c r="BR304" s="52"/>
      <c r="BS304" s="105"/>
      <c r="BT304" s="98"/>
      <c r="BU304" s="279"/>
      <c r="BV304" s="52"/>
      <c r="BW304" s="105"/>
      <c r="BX304" s="98"/>
      <c r="BY304" s="279"/>
      <c r="BZ304" s="52"/>
      <c r="CA304" s="105"/>
      <c r="CB304" s="98"/>
      <c r="CC304" s="279"/>
      <c r="CD304" s="52"/>
      <c r="CE304" s="105"/>
      <c r="CF304" s="98"/>
      <c r="CG304" s="279"/>
      <c r="CH304" s="52"/>
      <c r="CI304" s="105"/>
      <c r="CJ304" s="98"/>
      <c r="CK304" s="281"/>
      <c r="CL304" s="277"/>
      <c r="CM304" s="159"/>
      <c r="CN304" s="277"/>
      <c r="CO304" s="50">
        <f t="shared" si="122"/>
        <v>0</v>
      </c>
      <c r="CP304" s="103">
        <f t="shared" si="123"/>
        <v>0</v>
      </c>
      <c r="CQ304" s="280">
        <f t="shared" si="124"/>
        <v>0</v>
      </c>
      <c r="CR304" s="63">
        <f t="shared" si="125"/>
        <v>0</v>
      </c>
      <c r="CS304" s="279"/>
      <c r="CT304" s="52"/>
      <c r="CU304" s="105"/>
      <c r="CV304" s="98"/>
      <c r="CW304" s="279"/>
      <c r="CX304" s="52"/>
      <c r="CY304" s="105"/>
      <c r="CZ304" s="98"/>
      <c r="DA304" s="279"/>
      <c r="DB304" s="52"/>
      <c r="DC304" s="105"/>
      <c r="DD304" s="98"/>
      <c r="DE304" s="279"/>
      <c r="DF304" s="52"/>
      <c r="DG304" s="105"/>
      <c r="DH304" s="98"/>
      <c r="DI304" s="279"/>
      <c r="DJ304" s="52"/>
      <c r="DK304" s="105"/>
      <c r="DL304" s="98"/>
      <c r="DM304" s="279"/>
      <c r="DN304" s="52"/>
      <c r="DO304" s="105"/>
      <c r="DP304" s="98"/>
      <c r="DQ304" s="279"/>
      <c r="DR304" s="52"/>
      <c r="DS304" s="105"/>
      <c r="DT304" s="98"/>
      <c r="DU304" s="279"/>
      <c r="DV304" s="52"/>
      <c r="DW304" s="105"/>
      <c r="DX304" s="98"/>
      <c r="DY304" s="279"/>
      <c r="DZ304" s="52"/>
      <c r="EA304" s="105"/>
      <c r="EB304" s="98"/>
      <c r="EC304" s="279"/>
      <c r="ED304" s="52"/>
      <c r="EE304" s="105"/>
      <c r="EF304" s="98"/>
      <c r="EG304" s="159"/>
      <c r="EH304" s="277"/>
      <c r="EI304" s="50">
        <f t="shared" si="126"/>
        <v>0</v>
      </c>
      <c r="EJ304" s="103">
        <f t="shared" si="127"/>
        <v>0</v>
      </c>
      <c r="EK304" s="164">
        <f t="shared" si="128"/>
        <v>0</v>
      </c>
      <c r="EL304" s="280">
        <f t="shared" si="129"/>
        <v>0</v>
      </c>
      <c r="EM304" s="63">
        <f t="shared" si="130"/>
        <v>0</v>
      </c>
      <c r="EN304" s="359">
        <f t="shared" si="131"/>
        <v>0</v>
      </c>
      <c r="EO304" s="51">
        <f t="shared" si="132"/>
        <v>0</v>
      </c>
      <c r="EP304" s="361">
        <f t="shared" si="133"/>
        <v>0</v>
      </c>
      <c r="EQ304" s="281"/>
      <c r="ER304" s="277"/>
      <c r="ES304" s="281"/>
      <c r="ET304" s="277"/>
      <c r="EU304" s="281"/>
      <c r="EV304" s="277"/>
      <c r="EW304" s="281"/>
      <c r="EX304" s="277"/>
      <c r="EY304" s="281"/>
      <c r="EZ304" s="277"/>
      <c r="FA304" s="281"/>
      <c r="FB304" s="277"/>
      <c r="FC304" s="281"/>
      <c r="FD304" s="277"/>
      <c r="FE304" s="281"/>
      <c r="FF304" s="277"/>
      <c r="FG304" s="281"/>
      <c r="FH304" s="277"/>
      <c r="FI304" s="281"/>
      <c r="FJ304" s="277"/>
      <c r="FK304" s="50">
        <f t="shared" si="134"/>
        <v>0</v>
      </c>
      <c r="FL304" s="63">
        <f t="shared" si="135"/>
        <v>0</v>
      </c>
      <c r="FM304" s="50">
        <f t="shared" si="117"/>
        <v>229</v>
      </c>
      <c r="FN304" s="360">
        <f t="shared" si="118"/>
        <v>237</v>
      </c>
      <c r="FO304" s="3"/>
      <c r="FP304" s="279"/>
      <c r="FQ304" s="52"/>
      <c r="FR304" s="296"/>
      <c r="FS304" s="98"/>
      <c r="FT304" s="467"/>
      <c r="FU304" s="52"/>
      <c r="FV304" s="296"/>
      <c r="FW304" s="98"/>
      <c r="FX304" s="467"/>
      <c r="FY304" s="52"/>
      <c r="FZ304" s="296"/>
      <c r="GA304" s="98"/>
      <c r="GB304" s="467"/>
      <c r="GC304" s="52"/>
      <c r="GD304" s="296"/>
      <c r="GE304" s="98"/>
      <c r="GF304" s="467"/>
      <c r="GG304" s="52"/>
      <c r="GH304" s="296"/>
      <c r="GI304" s="98"/>
      <c r="GJ304" s="467"/>
      <c r="GK304" s="52"/>
      <c r="GL304" s="296"/>
      <c r="GM304" s="464"/>
      <c r="GN304" s="467"/>
      <c r="GO304" s="52"/>
      <c r="GP304" s="296"/>
      <c r="GQ304" s="464"/>
      <c r="GR304" s="467"/>
      <c r="GS304" s="52"/>
      <c r="GT304" s="296"/>
      <c r="GU304" s="464"/>
      <c r="GV304" s="467"/>
      <c r="GW304" s="52"/>
      <c r="GX304" s="296"/>
      <c r="GY304" s="464"/>
      <c r="GZ304" s="467"/>
      <c r="HA304" s="52"/>
      <c r="HB304" s="296"/>
      <c r="HC304" s="3"/>
    </row>
    <row r="305" spans="1:211" s="86" customFormat="1">
      <c r="A305" s="499" t="s">
        <v>954</v>
      </c>
      <c r="B305" s="311" t="s">
        <v>605</v>
      </c>
      <c r="C305" s="310">
        <v>162168</v>
      </c>
      <c r="D305" s="351">
        <v>10</v>
      </c>
      <c r="E305" s="460">
        <v>31</v>
      </c>
      <c r="F305" s="277">
        <v>32</v>
      </c>
      <c r="G305" s="158"/>
      <c r="H305" s="277"/>
      <c r="I305" s="158">
        <v>196</v>
      </c>
      <c r="J305" s="535">
        <v>247</v>
      </c>
      <c r="K305" s="160">
        <f t="shared" si="119"/>
        <v>0</v>
      </c>
      <c r="L305" s="161">
        <f t="shared" si="112"/>
        <v>0</v>
      </c>
      <c r="M305" s="54"/>
      <c r="N305" s="55"/>
      <c r="O305" s="55"/>
      <c r="P305" s="55"/>
      <c r="Q305" s="162">
        <f t="shared" si="120"/>
        <v>0</v>
      </c>
      <c r="R305" s="277"/>
      <c r="S305" s="277"/>
      <c r="T305" s="277"/>
      <c r="U305" s="277"/>
      <c r="V305" s="97">
        <f t="shared" si="121"/>
        <v>0</v>
      </c>
      <c r="W305" s="279"/>
      <c r="X305" s="52"/>
      <c r="Y305" s="99"/>
      <c r="Z305" s="53"/>
      <c r="AA305" s="228"/>
      <c r="AB305" s="52"/>
      <c r="AC305" s="99"/>
      <c r="AD305" s="53"/>
      <c r="AE305" s="228"/>
      <c r="AF305" s="52"/>
      <c r="AG305" s="99"/>
      <c r="AH305" s="53"/>
      <c r="AI305" s="228"/>
      <c r="AJ305" s="52"/>
      <c r="AK305" s="99"/>
      <c r="AL305" s="53"/>
      <c r="AM305" s="228"/>
      <c r="AN305" s="52"/>
      <c r="AO305" s="99"/>
      <c r="AP305" s="53"/>
      <c r="AQ305" s="50">
        <f t="shared" si="113"/>
        <v>0</v>
      </c>
      <c r="AR305" s="163">
        <f t="shared" si="114"/>
        <v>0</v>
      </c>
      <c r="AS305" s="97">
        <f t="shared" si="115"/>
        <v>0</v>
      </c>
      <c r="AT305" s="278">
        <f t="shared" si="116"/>
        <v>0</v>
      </c>
      <c r="AU305" s="55"/>
      <c r="AV305" s="277"/>
      <c r="AW305" s="279"/>
      <c r="AX305" s="52"/>
      <c r="AY305" s="500"/>
      <c r="AZ305" s="98"/>
      <c r="BA305" s="279"/>
      <c r="BB305" s="52"/>
      <c r="BC305" s="105"/>
      <c r="BD305" s="98"/>
      <c r="BE305" s="279"/>
      <c r="BF305" s="52"/>
      <c r="BG305" s="105"/>
      <c r="BH305" s="98"/>
      <c r="BI305" s="279"/>
      <c r="BJ305" s="52"/>
      <c r="BK305" s="105"/>
      <c r="BL305" s="98"/>
      <c r="BM305" s="279"/>
      <c r="BN305" s="52"/>
      <c r="BO305" s="105"/>
      <c r="BP305" s="98"/>
      <c r="BQ305" s="279"/>
      <c r="BR305" s="52"/>
      <c r="BS305" s="105"/>
      <c r="BT305" s="98"/>
      <c r="BU305" s="279"/>
      <c r="BV305" s="52"/>
      <c r="BW305" s="105"/>
      <c r="BX305" s="98"/>
      <c r="BY305" s="279"/>
      <c r="BZ305" s="52"/>
      <c r="CA305" s="105"/>
      <c r="CB305" s="98"/>
      <c r="CC305" s="279"/>
      <c r="CD305" s="52"/>
      <c r="CE305" s="105"/>
      <c r="CF305" s="98"/>
      <c r="CG305" s="279"/>
      <c r="CH305" s="52"/>
      <c r="CI305" s="105"/>
      <c r="CJ305" s="98"/>
      <c r="CK305" s="281"/>
      <c r="CL305" s="277"/>
      <c r="CM305" s="159"/>
      <c r="CN305" s="277"/>
      <c r="CO305" s="50">
        <f t="shared" si="122"/>
        <v>0</v>
      </c>
      <c r="CP305" s="103">
        <f t="shared" si="123"/>
        <v>0</v>
      </c>
      <c r="CQ305" s="280">
        <f t="shared" si="124"/>
        <v>0</v>
      </c>
      <c r="CR305" s="63">
        <f t="shared" si="125"/>
        <v>0</v>
      </c>
      <c r="CS305" s="279"/>
      <c r="CT305" s="52"/>
      <c r="CU305" s="105"/>
      <c r="CV305" s="98"/>
      <c r="CW305" s="279"/>
      <c r="CX305" s="52"/>
      <c r="CY305" s="105"/>
      <c r="CZ305" s="98"/>
      <c r="DA305" s="279"/>
      <c r="DB305" s="52"/>
      <c r="DC305" s="105"/>
      <c r="DD305" s="98"/>
      <c r="DE305" s="279"/>
      <c r="DF305" s="52"/>
      <c r="DG305" s="105"/>
      <c r="DH305" s="98"/>
      <c r="DI305" s="279"/>
      <c r="DJ305" s="52"/>
      <c r="DK305" s="105"/>
      <c r="DL305" s="98"/>
      <c r="DM305" s="279"/>
      <c r="DN305" s="52"/>
      <c r="DO305" s="105"/>
      <c r="DP305" s="98"/>
      <c r="DQ305" s="279"/>
      <c r="DR305" s="52"/>
      <c r="DS305" s="105"/>
      <c r="DT305" s="98"/>
      <c r="DU305" s="279"/>
      <c r="DV305" s="52"/>
      <c r="DW305" s="105"/>
      <c r="DX305" s="98"/>
      <c r="DY305" s="279"/>
      <c r="DZ305" s="52"/>
      <c r="EA305" s="105"/>
      <c r="EB305" s="98"/>
      <c r="EC305" s="279"/>
      <c r="ED305" s="52"/>
      <c r="EE305" s="105"/>
      <c r="EF305" s="98"/>
      <c r="EG305" s="159"/>
      <c r="EH305" s="277"/>
      <c r="EI305" s="50">
        <f t="shared" si="126"/>
        <v>0</v>
      </c>
      <c r="EJ305" s="103">
        <f t="shared" si="127"/>
        <v>0</v>
      </c>
      <c r="EK305" s="164">
        <f t="shared" si="128"/>
        <v>0</v>
      </c>
      <c r="EL305" s="280">
        <f t="shared" si="129"/>
        <v>0</v>
      </c>
      <c r="EM305" s="63">
        <f t="shared" si="130"/>
        <v>0</v>
      </c>
      <c r="EN305" s="359">
        <f t="shared" si="131"/>
        <v>0</v>
      </c>
      <c r="EO305" s="51">
        <f t="shared" si="132"/>
        <v>0</v>
      </c>
      <c r="EP305" s="361">
        <f t="shared" si="133"/>
        <v>0</v>
      </c>
      <c r="EQ305" s="281"/>
      <c r="ER305" s="277"/>
      <c r="ES305" s="281"/>
      <c r="ET305" s="277"/>
      <c r="EU305" s="281"/>
      <c r="EV305" s="277"/>
      <c r="EW305" s="281"/>
      <c r="EX305" s="277"/>
      <c r="EY305" s="281"/>
      <c r="EZ305" s="277"/>
      <c r="FA305" s="281"/>
      <c r="FB305" s="277"/>
      <c r="FC305" s="281"/>
      <c r="FD305" s="277"/>
      <c r="FE305" s="281"/>
      <c r="FF305" s="277"/>
      <c r="FG305" s="281"/>
      <c r="FH305" s="277"/>
      <c r="FI305" s="281"/>
      <c r="FJ305" s="277"/>
      <c r="FK305" s="50">
        <f t="shared" si="134"/>
        <v>0</v>
      </c>
      <c r="FL305" s="63">
        <f t="shared" si="135"/>
        <v>0</v>
      </c>
      <c r="FM305" s="50">
        <f t="shared" si="117"/>
        <v>227</v>
      </c>
      <c r="FN305" s="360">
        <f t="shared" si="118"/>
        <v>279</v>
      </c>
      <c r="FO305" s="3"/>
      <c r="FP305" s="279"/>
      <c r="FQ305" s="52"/>
      <c r="FR305" s="296"/>
      <c r="FS305" s="98"/>
      <c r="FT305" s="467"/>
      <c r="FU305" s="52"/>
      <c r="FV305" s="296"/>
      <c r="FW305" s="98"/>
      <c r="FX305" s="467"/>
      <c r="FY305" s="52"/>
      <c r="FZ305" s="296"/>
      <c r="GA305" s="98"/>
      <c r="GB305" s="467"/>
      <c r="GC305" s="52"/>
      <c r="GD305" s="296"/>
      <c r="GE305" s="98"/>
      <c r="GF305" s="467"/>
      <c r="GG305" s="52"/>
      <c r="GH305" s="296"/>
      <c r="GI305" s="98"/>
      <c r="GJ305" s="467"/>
      <c r="GK305" s="52"/>
      <c r="GL305" s="296"/>
      <c r="GM305" s="464"/>
      <c r="GN305" s="467"/>
      <c r="GO305" s="52"/>
      <c r="GP305" s="296"/>
      <c r="GQ305" s="464"/>
      <c r="GR305" s="467"/>
      <c r="GS305" s="52"/>
      <c r="GT305" s="296"/>
      <c r="GU305" s="464"/>
      <c r="GV305" s="467"/>
      <c r="GW305" s="52"/>
      <c r="GX305" s="296"/>
      <c r="GY305" s="464"/>
      <c r="GZ305" s="467"/>
      <c r="HA305" s="52"/>
      <c r="HB305" s="296"/>
      <c r="HC305" s="3"/>
    </row>
    <row r="306" spans="1:211" s="86" customFormat="1">
      <c r="A306" s="499" t="s">
        <v>954</v>
      </c>
      <c r="B306" s="311" t="s">
        <v>606</v>
      </c>
      <c r="C306" s="310">
        <v>162609</v>
      </c>
      <c r="D306" s="351">
        <v>10</v>
      </c>
      <c r="E306" s="460">
        <v>63</v>
      </c>
      <c r="F306" s="277">
        <v>49</v>
      </c>
      <c r="G306" s="158"/>
      <c r="H306" s="277"/>
      <c r="I306" s="158">
        <v>94</v>
      </c>
      <c r="J306" s="535">
        <v>89</v>
      </c>
      <c r="K306" s="160">
        <f t="shared" si="119"/>
        <v>0</v>
      </c>
      <c r="L306" s="161">
        <f t="shared" si="112"/>
        <v>0</v>
      </c>
      <c r="M306" s="54"/>
      <c r="N306" s="55"/>
      <c r="O306" s="55"/>
      <c r="P306" s="55"/>
      <c r="Q306" s="162">
        <f t="shared" si="120"/>
        <v>0</v>
      </c>
      <c r="R306" s="277"/>
      <c r="S306" s="277"/>
      <c r="T306" s="277"/>
      <c r="U306" s="277"/>
      <c r="V306" s="97">
        <f t="shared" si="121"/>
        <v>0</v>
      </c>
      <c r="W306" s="279"/>
      <c r="X306" s="52"/>
      <c r="Y306" s="99"/>
      <c r="Z306" s="53"/>
      <c r="AA306" s="228"/>
      <c r="AB306" s="52"/>
      <c r="AC306" s="99"/>
      <c r="AD306" s="53"/>
      <c r="AE306" s="228"/>
      <c r="AF306" s="52"/>
      <c r="AG306" s="99"/>
      <c r="AH306" s="53"/>
      <c r="AI306" s="228"/>
      <c r="AJ306" s="52"/>
      <c r="AK306" s="99"/>
      <c r="AL306" s="53"/>
      <c r="AM306" s="228"/>
      <c r="AN306" s="52"/>
      <c r="AO306" s="99"/>
      <c r="AP306" s="53"/>
      <c r="AQ306" s="50">
        <f t="shared" si="113"/>
        <v>0</v>
      </c>
      <c r="AR306" s="163">
        <f t="shared" si="114"/>
        <v>0</v>
      </c>
      <c r="AS306" s="97">
        <f t="shared" si="115"/>
        <v>0</v>
      </c>
      <c r="AT306" s="278">
        <f t="shared" si="116"/>
        <v>0</v>
      </c>
      <c r="AU306" s="55"/>
      <c r="AV306" s="277"/>
      <c r="AW306" s="279"/>
      <c r="AX306" s="52"/>
      <c r="AY306" s="500"/>
      <c r="AZ306" s="98"/>
      <c r="BA306" s="279"/>
      <c r="BB306" s="52"/>
      <c r="BC306" s="105"/>
      <c r="BD306" s="98"/>
      <c r="BE306" s="279"/>
      <c r="BF306" s="52"/>
      <c r="BG306" s="105"/>
      <c r="BH306" s="98"/>
      <c r="BI306" s="279"/>
      <c r="BJ306" s="52"/>
      <c r="BK306" s="105"/>
      <c r="BL306" s="98"/>
      <c r="BM306" s="279"/>
      <c r="BN306" s="52"/>
      <c r="BO306" s="105"/>
      <c r="BP306" s="98"/>
      <c r="BQ306" s="279"/>
      <c r="BR306" s="52"/>
      <c r="BS306" s="105"/>
      <c r="BT306" s="98"/>
      <c r="BU306" s="279"/>
      <c r="BV306" s="52"/>
      <c r="BW306" s="105"/>
      <c r="BX306" s="98"/>
      <c r="BY306" s="279"/>
      <c r="BZ306" s="52"/>
      <c r="CA306" s="105"/>
      <c r="CB306" s="98"/>
      <c r="CC306" s="279"/>
      <c r="CD306" s="52"/>
      <c r="CE306" s="105"/>
      <c r="CF306" s="98"/>
      <c r="CG306" s="279"/>
      <c r="CH306" s="52"/>
      <c r="CI306" s="105"/>
      <c r="CJ306" s="98"/>
      <c r="CK306" s="281"/>
      <c r="CL306" s="277"/>
      <c r="CM306" s="159"/>
      <c r="CN306" s="277"/>
      <c r="CO306" s="50">
        <f t="shared" si="122"/>
        <v>0</v>
      </c>
      <c r="CP306" s="103">
        <f t="shared" si="123"/>
        <v>0</v>
      </c>
      <c r="CQ306" s="280">
        <f t="shared" si="124"/>
        <v>0</v>
      </c>
      <c r="CR306" s="63">
        <f t="shared" si="125"/>
        <v>0</v>
      </c>
      <c r="CS306" s="279"/>
      <c r="CT306" s="52"/>
      <c r="CU306" s="105"/>
      <c r="CV306" s="98"/>
      <c r="CW306" s="279"/>
      <c r="CX306" s="52"/>
      <c r="CY306" s="105"/>
      <c r="CZ306" s="98"/>
      <c r="DA306" s="279"/>
      <c r="DB306" s="52"/>
      <c r="DC306" s="105"/>
      <c r="DD306" s="98"/>
      <c r="DE306" s="279"/>
      <c r="DF306" s="52"/>
      <c r="DG306" s="105"/>
      <c r="DH306" s="98"/>
      <c r="DI306" s="279"/>
      <c r="DJ306" s="52"/>
      <c r="DK306" s="105"/>
      <c r="DL306" s="98"/>
      <c r="DM306" s="279"/>
      <c r="DN306" s="52"/>
      <c r="DO306" s="105"/>
      <c r="DP306" s="98"/>
      <c r="DQ306" s="279"/>
      <c r="DR306" s="52"/>
      <c r="DS306" s="105"/>
      <c r="DT306" s="98"/>
      <c r="DU306" s="279"/>
      <c r="DV306" s="52"/>
      <c r="DW306" s="105"/>
      <c r="DX306" s="98"/>
      <c r="DY306" s="279"/>
      <c r="DZ306" s="52"/>
      <c r="EA306" s="105"/>
      <c r="EB306" s="98"/>
      <c r="EC306" s="279"/>
      <c r="ED306" s="52"/>
      <c r="EE306" s="105"/>
      <c r="EF306" s="98"/>
      <c r="EG306" s="159"/>
      <c r="EH306" s="277"/>
      <c r="EI306" s="50">
        <f t="shared" si="126"/>
        <v>0</v>
      </c>
      <c r="EJ306" s="103">
        <f t="shared" si="127"/>
        <v>0</v>
      </c>
      <c r="EK306" s="164">
        <f t="shared" si="128"/>
        <v>0</v>
      </c>
      <c r="EL306" s="280">
        <f t="shared" si="129"/>
        <v>0</v>
      </c>
      <c r="EM306" s="63">
        <f t="shared" si="130"/>
        <v>0</v>
      </c>
      <c r="EN306" s="359">
        <f t="shared" si="131"/>
        <v>0</v>
      </c>
      <c r="EO306" s="51">
        <f t="shared" si="132"/>
        <v>0</v>
      </c>
      <c r="EP306" s="361">
        <f t="shared" si="133"/>
        <v>0</v>
      </c>
      <c r="EQ306" s="281"/>
      <c r="ER306" s="277"/>
      <c r="ES306" s="281"/>
      <c r="ET306" s="277"/>
      <c r="EU306" s="281"/>
      <c r="EV306" s="277"/>
      <c r="EW306" s="281"/>
      <c r="EX306" s="277"/>
      <c r="EY306" s="281"/>
      <c r="EZ306" s="277"/>
      <c r="FA306" s="281"/>
      <c r="FB306" s="277"/>
      <c r="FC306" s="281"/>
      <c r="FD306" s="277"/>
      <c r="FE306" s="281"/>
      <c r="FF306" s="277"/>
      <c r="FG306" s="281"/>
      <c r="FH306" s="277"/>
      <c r="FI306" s="281"/>
      <c r="FJ306" s="277"/>
      <c r="FK306" s="50">
        <f t="shared" si="134"/>
        <v>0</v>
      </c>
      <c r="FL306" s="63">
        <f t="shared" si="135"/>
        <v>0</v>
      </c>
      <c r="FM306" s="50">
        <f t="shared" si="117"/>
        <v>157</v>
      </c>
      <c r="FN306" s="360">
        <f t="shared" si="118"/>
        <v>138</v>
      </c>
      <c r="FO306" s="3"/>
      <c r="FP306" s="279"/>
      <c r="FQ306" s="52"/>
      <c r="FR306" s="296"/>
      <c r="FS306" s="98"/>
      <c r="FT306" s="467"/>
      <c r="FU306" s="52"/>
      <c r="FV306" s="296"/>
      <c r="FW306" s="98"/>
      <c r="FX306" s="467"/>
      <c r="FY306" s="52"/>
      <c r="FZ306" s="296"/>
      <c r="GA306" s="98"/>
      <c r="GB306" s="467"/>
      <c r="GC306" s="52"/>
      <c r="GD306" s="296"/>
      <c r="GE306" s="98"/>
      <c r="GF306" s="467"/>
      <c r="GG306" s="52"/>
      <c r="GH306" s="296"/>
      <c r="GI306" s="98"/>
      <c r="GJ306" s="467"/>
      <c r="GK306" s="52"/>
      <c r="GL306" s="296"/>
      <c r="GM306" s="464"/>
      <c r="GN306" s="467"/>
      <c r="GO306" s="52"/>
      <c r="GP306" s="296"/>
      <c r="GQ306" s="464"/>
      <c r="GR306" s="467"/>
      <c r="GS306" s="52"/>
      <c r="GT306" s="296"/>
      <c r="GU306" s="464"/>
      <c r="GV306" s="467"/>
      <c r="GW306" s="52"/>
      <c r="GX306" s="296"/>
      <c r="GY306" s="464"/>
      <c r="GZ306" s="467"/>
      <c r="HA306" s="52"/>
      <c r="HB306" s="296"/>
      <c r="HC306" s="3"/>
    </row>
    <row r="307" spans="1:211" s="86" customFormat="1">
      <c r="A307" s="499" t="s">
        <v>954</v>
      </c>
      <c r="B307" s="369" t="s">
        <v>608</v>
      </c>
      <c r="C307" s="310">
        <v>164313</v>
      </c>
      <c r="D307" s="351">
        <v>10</v>
      </c>
      <c r="E307" s="460">
        <v>143</v>
      </c>
      <c r="F307" s="277">
        <v>134</v>
      </c>
      <c r="G307" s="158"/>
      <c r="H307" s="277"/>
      <c r="I307" s="158">
        <v>246</v>
      </c>
      <c r="J307" s="535">
        <v>266</v>
      </c>
      <c r="K307" s="160">
        <f t="shared" si="119"/>
        <v>0</v>
      </c>
      <c r="L307" s="161">
        <f t="shared" si="112"/>
        <v>0</v>
      </c>
      <c r="M307" s="54"/>
      <c r="N307" s="55"/>
      <c r="O307" s="55"/>
      <c r="P307" s="55"/>
      <c r="Q307" s="162">
        <f t="shared" si="120"/>
        <v>0</v>
      </c>
      <c r="R307" s="277"/>
      <c r="S307" s="277"/>
      <c r="T307" s="277"/>
      <c r="U307" s="277"/>
      <c r="V307" s="97">
        <f t="shared" si="121"/>
        <v>0</v>
      </c>
      <c r="W307" s="279"/>
      <c r="X307" s="52"/>
      <c r="Y307" s="99"/>
      <c r="Z307" s="53"/>
      <c r="AA307" s="228"/>
      <c r="AB307" s="52"/>
      <c r="AC307" s="99"/>
      <c r="AD307" s="53"/>
      <c r="AE307" s="228"/>
      <c r="AF307" s="52"/>
      <c r="AG307" s="99"/>
      <c r="AH307" s="53"/>
      <c r="AI307" s="228"/>
      <c r="AJ307" s="52"/>
      <c r="AK307" s="99"/>
      <c r="AL307" s="53"/>
      <c r="AM307" s="228"/>
      <c r="AN307" s="52"/>
      <c r="AO307" s="99"/>
      <c r="AP307" s="53"/>
      <c r="AQ307" s="50">
        <f t="shared" si="113"/>
        <v>0</v>
      </c>
      <c r="AR307" s="163">
        <f t="shared" si="114"/>
        <v>0</v>
      </c>
      <c r="AS307" s="97">
        <f t="shared" si="115"/>
        <v>0</v>
      </c>
      <c r="AT307" s="278">
        <f t="shared" si="116"/>
        <v>0</v>
      </c>
      <c r="AU307" s="55"/>
      <c r="AV307" s="277"/>
      <c r="AW307" s="279"/>
      <c r="AX307" s="52"/>
      <c r="AY307" s="500"/>
      <c r="AZ307" s="98"/>
      <c r="BA307" s="279"/>
      <c r="BB307" s="52"/>
      <c r="BC307" s="105"/>
      <c r="BD307" s="98"/>
      <c r="BE307" s="279"/>
      <c r="BF307" s="52"/>
      <c r="BG307" s="105"/>
      <c r="BH307" s="98"/>
      <c r="BI307" s="279"/>
      <c r="BJ307" s="52"/>
      <c r="BK307" s="105"/>
      <c r="BL307" s="98"/>
      <c r="BM307" s="279"/>
      <c r="BN307" s="52"/>
      <c r="BO307" s="105"/>
      <c r="BP307" s="98"/>
      <c r="BQ307" s="279"/>
      <c r="BR307" s="52"/>
      <c r="BS307" s="105"/>
      <c r="BT307" s="98"/>
      <c r="BU307" s="279"/>
      <c r="BV307" s="52"/>
      <c r="BW307" s="105"/>
      <c r="BX307" s="98"/>
      <c r="BY307" s="279"/>
      <c r="BZ307" s="52"/>
      <c r="CA307" s="105"/>
      <c r="CB307" s="98"/>
      <c r="CC307" s="279"/>
      <c r="CD307" s="52"/>
      <c r="CE307" s="105"/>
      <c r="CF307" s="98"/>
      <c r="CG307" s="279"/>
      <c r="CH307" s="52"/>
      <c r="CI307" s="105"/>
      <c r="CJ307" s="98"/>
      <c r="CK307" s="281"/>
      <c r="CL307" s="277"/>
      <c r="CM307" s="159"/>
      <c r="CN307" s="277"/>
      <c r="CO307" s="50">
        <f t="shared" si="122"/>
        <v>0</v>
      </c>
      <c r="CP307" s="103">
        <f t="shared" si="123"/>
        <v>0</v>
      </c>
      <c r="CQ307" s="280">
        <f t="shared" si="124"/>
        <v>0</v>
      </c>
      <c r="CR307" s="63">
        <f t="shared" si="125"/>
        <v>0</v>
      </c>
      <c r="CS307" s="279"/>
      <c r="CT307" s="52"/>
      <c r="CU307" s="105"/>
      <c r="CV307" s="98"/>
      <c r="CW307" s="279"/>
      <c r="CX307" s="52"/>
      <c r="CY307" s="105"/>
      <c r="CZ307" s="98"/>
      <c r="DA307" s="279"/>
      <c r="DB307" s="52"/>
      <c r="DC307" s="105"/>
      <c r="DD307" s="98"/>
      <c r="DE307" s="279"/>
      <c r="DF307" s="52"/>
      <c r="DG307" s="105"/>
      <c r="DH307" s="98"/>
      <c r="DI307" s="279"/>
      <c r="DJ307" s="52"/>
      <c r="DK307" s="105"/>
      <c r="DL307" s="98"/>
      <c r="DM307" s="279"/>
      <c r="DN307" s="52"/>
      <c r="DO307" s="105"/>
      <c r="DP307" s="98"/>
      <c r="DQ307" s="279"/>
      <c r="DR307" s="52"/>
      <c r="DS307" s="105"/>
      <c r="DT307" s="98"/>
      <c r="DU307" s="279"/>
      <c r="DV307" s="52"/>
      <c r="DW307" s="105"/>
      <c r="DX307" s="98"/>
      <c r="DY307" s="279"/>
      <c r="DZ307" s="52"/>
      <c r="EA307" s="105"/>
      <c r="EB307" s="98"/>
      <c r="EC307" s="279"/>
      <c r="ED307" s="52"/>
      <c r="EE307" s="105"/>
      <c r="EF307" s="98"/>
      <c r="EG307" s="159"/>
      <c r="EH307" s="277"/>
      <c r="EI307" s="50">
        <f t="shared" si="126"/>
        <v>0</v>
      </c>
      <c r="EJ307" s="103">
        <f t="shared" si="127"/>
        <v>0</v>
      </c>
      <c r="EK307" s="164">
        <f t="shared" si="128"/>
        <v>0</v>
      </c>
      <c r="EL307" s="280">
        <f t="shared" si="129"/>
        <v>0</v>
      </c>
      <c r="EM307" s="63">
        <f t="shared" si="130"/>
        <v>0</v>
      </c>
      <c r="EN307" s="359">
        <f t="shared" si="131"/>
        <v>0</v>
      </c>
      <c r="EO307" s="51">
        <f t="shared" si="132"/>
        <v>0</v>
      </c>
      <c r="EP307" s="361">
        <f t="shared" si="133"/>
        <v>0</v>
      </c>
      <c r="EQ307" s="281"/>
      <c r="ER307" s="277"/>
      <c r="ES307" s="281"/>
      <c r="ET307" s="277"/>
      <c r="EU307" s="281"/>
      <c r="EV307" s="277"/>
      <c r="EW307" s="281"/>
      <c r="EX307" s="277"/>
      <c r="EY307" s="281"/>
      <c r="EZ307" s="277"/>
      <c r="FA307" s="281"/>
      <c r="FB307" s="277"/>
      <c r="FC307" s="281"/>
      <c r="FD307" s="277"/>
      <c r="FE307" s="281"/>
      <c r="FF307" s="277"/>
      <c r="FG307" s="281"/>
      <c r="FH307" s="277"/>
      <c r="FI307" s="281"/>
      <c r="FJ307" s="277"/>
      <c r="FK307" s="50">
        <f t="shared" si="134"/>
        <v>0</v>
      </c>
      <c r="FL307" s="63">
        <f t="shared" si="135"/>
        <v>0</v>
      </c>
      <c r="FM307" s="50">
        <f t="shared" si="117"/>
        <v>389</v>
      </c>
      <c r="FN307" s="360">
        <f t="shared" si="118"/>
        <v>400</v>
      </c>
      <c r="FO307" s="3"/>
      <c r="FP307" s="279"/>
      <c r="FQ307" s="52"/>
      <c r="FR307" s="296"/>
      <c r="FS307" s="98"/>
      <c r="FT307" s="467"/>
      <c r="FU307" s="52"/>
      <c r="FV307" s="296"/>
      <c r="FW307" s="98"/>
      <c r="FX307" s="467"/>
      <c r="FY307" s="52"/>
      <c r="FZ307" s="296"/>
      <c r="GA307" s="98"/>
      <c r="GB307" s="467"/>
      <c r="GC307" s="52"/>
      <c r="GD307" s="296"/>
      <c r="GE307" s="98"/>
      <c r="GF307" s="467"/>
      <c r="GG307" s="52"/>
      <c r="GH307" s="296"/>
      <c r="GI307" s="98"/>
      <c r="GJ307" s="467"/>
      <c r="GK307" s="52"/>
      <c r="GL307" s="296"/>
      <c r="GM307" s="464"/>
      <c r="GN307" s="467"/>
      <c r="GO307" s="52"/>
      <c r="GP307" s="296"/>
      <c r="GQ307" s="464"/>
      <c r="GR307" s="467"/>
      <c r="GS307" s="52"/>
      <c r="GT307" s="296"/>
      <c r="GU307" s="464"/>
      <c r="GV307" s="467"/>
      <c r="GW307" s="52"/>
      <c r="GX307" s="296"/>
      <c r="GY307" s="464"/>
      <c r="GZ307" s="467"/>
      <c r="HA307" s="52"/>
      <c r="HB307" s="296"/>
      <c r="HC307" s="3"/>
    </row>
    <row r="308" spans="1:211" s="86" customFormat="1">
      <c r="A308" s="499" t="s">
        <v>954</v>
      </c>
      <c r="B308" s="311" t="s">
        <v>609</v>
      </c>
      <c r="C308" s="310">
        <v>163204</v>
      </c>
      <c r="D308" s="351">
        <v>15</v>
      </c>
      <c r="E308" s="460"/>
      <c r="F308" s="277"/>
      <c r="G308" s="158">
        <v>415</v>
      </c>
      <c r="H308" s="277">
        <v>449</v>
      </c>
      <c r="I308" s="158">
        <v>191</v>
      </c>
      <c r="J308" s="535">
        <v>248</v>
      </c>
      <c r="K308" s="160">
        <f t="shared" si="119"/>
        <v>6.8385248836376658E-2</v>
      </c>
      <c r="L308" s="161">
        <f t="shared" si="112"/>
        <v>9.191994069681246E-2</v>
      </c>
      <c r="M308" s="54">
        <v>2793</v>
      </c>
      <c r="N308" s="55"/>
      <c r="O308" s="55"/>
      <c r="P308" s="55"/>
      <c r="Q308" s="162">
        <f t="shared" si="120"/>
        <v>0</v>
      </c>
      <c r="R308" s="277">
        <v>2698</v>
      </c>
      <c r="S308" s="277"/>
      <c r="T308" s="277"/>
      <c r="U308" s="277"/>
      <c r="V308" s="97">
        <f t="shared" si="121"/>
        <v>0</v>
      </c>
      <c r="W308" s="279"/>
      <c r="X308" s="52"/>
      <c r="Y308" s="99"/>
      <c r="Z308" s="53"/>
      <c r="AA308" s="228"/>
      <c r="AB308" s="52"/>
      <c r="AC308" s="99"/>
      <c r="AD308" s="53"/>
      <c r="AE308" s="228"/>
      <c r="AF308" s="52"/>
      <c r="AG308" s="99"/>
      <c r="AH308" s="53"/>
      <c r="AI308" s="228"/>
      <c r="AJ308" s="52"/>
      <c r="AK308" s="99"/>
      <c r="AL308" s="53"/>
      <c r="AM308" s="228"/>
      <c r="AN308" s="52"/>
      <c r="AO308" s="99"/>
      <c r="AP308" s="53"/>
      <c r="AQ308" s="50">
        <f t="shared" si="113"/>
        <v>0</v>
      </c>
      <c r="AR308" s="163">
        <f t="shared" si="114"/>
        <v>0.47435461956521741</v>
      </c>
      <c r="AS308" s="97">
        <f t="shared" si="115"/>
        <v>0</v>
      </c>
      <c r="AT308" s="278">
        <f t="shared" si="116"/>
        <v>0.47184330185379503</v>
      </c>
      <c r="AU308" s="55">
        <v>386</v>
      </c>
      <c r="AV308" s="277"/>
      <c r="AW308" s="279">
        <v>52</v>
      </c>
      <c r="AX308" s="52">
        <v>1775</v>
      </c>
      <c r="AY308" s="500">
        <v>52</v>
      </c>
      <c r="AZ308" s="98">
        <v>2003</v>
      </c>
      <c r="BA308" s="279">
        <v>11</v>
      </c>
      <c r="BB308" s="52">
        <v>205</v>
      </c>
      <c r="BC308" s="105">
        <v>11</v>
      </c>
      <c r="BD308" s="98">
        <v>206</v>
      </c>
      <c r="BE308" s="279">
        <v>26</v>
      </c>
      <c r="BF308" s="52">
        <v>57</v>
      </c>
      <c r="BG308" s="105">
        <v>26</v>
      </c>
      <c r="BH308" s="98">
        <v>52</v>
      </c>
      <c r="BI308" s="279">
        <v>13</v>
      </c>
      <c r="BJ308" s="52">
        <v>52</v>
      </c>
      <c r="BK308" s="105">
        <v>13</v>
      </c>
      <c r="BL308" s="98">
        <v>32</v>
      </c>
      <c r="BM308" s="279"/>
      <c r="BN308" s="52"/>
      <c r="BO308" s="105"/>
      <c r="BP308" s="98"/>
      <c r="BQ308" s="279"/>
      <c r="BR308" s="52"/>
      <c r="BS308" s="105"/>
      <c r="BT308" s="98"/>
      <c r="BU308" s="279"/>
      <c r="BV308" s="52"/>
      <c r="BW308" s="105"/>
      <c r="BX308" s="98"/>
      <c r="BY308" s="279"/>
      <c r="BZ308" s="52"/>
      <c r="CA308" s="105"/>
      <c r="CB308" s="98"/>
      <c r="CC308" s="279"/>
      <c r="CD308" s="52"/>
      <c r="CE308" s="105"/>
      <c r="CF308" s="98"/>
      <c r="CG308" s="279"/>
      <c r="CH308" s="52"/>
      <c r="CI308" s="105"/>
      <c r="CJ308" s="98"/>
      <c r="CK308" s="281"/>
      <c r="CL308" s="277"/>
      <c r="CM308" s="159"/>
      <c r="CN308" s="277"/>
      <c r="CO308" s="50">
        <f t="shared" si="122"/>
        <v>2089</v>
      </c>
      <c r="CP308" s="103">
        <f t="shared" si="123"/>
        <v>4</v>
      </c>
      <c r="CQ308" s="280">
        <f t="shared" si="124"/>
        <v>2293</v>
      </c>
      <c r="CR308" s="63">
        <f t="shared" si="125"/>
        <v>4</v>
      </c>
      <c r="CS308" s="279">
        <v>52</v>
      </c>
      <c r="CT308" s="52">
        <v>14</v>
      </c>
      <c r="CU308" s="105"/>
      <c r="CV308" s="98"/>
      <c r="CW308" s="279"/>
      <c r="CX308" s="52"/>
      <c r="CY308" s="105"/>
      <c r="CZ308" s="98"/>
      <c r="DA308" s="279"/>
      <c r="DB308" s="52"/>
      <c r="DC308" s="105"/>
      <c r="DD308" s="98"/>
      <c r="DE308" s="279"/>
      <c r="DF308" s="52"/>
      <c r="DG308" s="105"/>
      <c r="DH308" s="98"/>
      <c r="DI308" s="279"/>
      <c r="DJ308" s="52"/>
      <c r="DK308" s="105"/>
      <c r="DL308" s="98"/>
      <c r="DM308" s="279"/>
      <c r="DN308" s="52"/>
      <c r="DO308" s="105"/>
      <c r="DP308" s="98"/>
      <c r="DQ308" s="279"/>
      <c r="DR308" s="52"/>
      <c r="DS308" s="105"/>
      <c r="DT308" s="98"/>
      <c r="DU308" s="279"/>
      <c r="DV308" s="52"/>
      <c r="DW308" s="105"/>
      <c r="DX308" s="98"/>
      <c r="DY308" s="279"/>
      <c r="DZ308" s="52"/>
      <c r="EA308" s="105"/>
      <c r="EB308" s="98"/>
      <c r="EC308" s="279"/>
      <c r="ED308" s="52"/>
      <c r="EE308" s="105"/>
      <c r="EF308" s="98"/>
      <c r="EG308" s="159"/>
      <c r="EH308" s="277"/>
      <c r="EI308" s="50">
        <f t="shared" si="126"/>
        <v>14</v>
      </c>
      <c r="EJ308" s="103">
        <f t="shared" si="127"/>
        <v>1</v>
      </c>
      <c r="EK308" s="164">
        <f t="shared" si="128"/>
        <v>1</v>
      </c>
      <c r="EL308" s="280">
        <f t="shared" si="129"/>
        <v>0</v>
      </c>
      <c r="EM308" s="63">
        <f t="shared" si="130"/>
        <v>0</v>
      </c>
      <c r="EN308" s="359">
        <f t="shared" si="131"/>
        <v>0</v>
      </c>
      <c r="EO308" s="51">
        <f t="shared" si="132"/>
        <v>2103</v>
      </c>
      <c r="EP308" s="361">
        <f t="shared" si="133"/>
        <v>2293</v>
      </c>
      <c r="EQ308" s="281"/>
      <c r="ER308" s="277"/>
      <c r="ES308" s="281"/>
      <c r="ET308" s="277"/>
      <c r="EU308" s="281"/>
      <c r="EV308" s="277"/>
      <c r="EW308" s="281"/>
      <c r="EX308" s="277"/>
      <c r="EY308" s="281"/>
      <c r="EZ308" s="277"/>
      <c r="FA308" s="281"/>
      <c r="FB308" s="277"/>
      <c r="FC308" s="281"/>
      <c r="FD308" s="277"/>
      <c r="FE308" s="281"/>
      <c r="FF308" s="277"/>
      <c r="FG308" s="281"/>
      <c r="FH308" s="277"/>
      <c r="FI308" s="281"/>
      <c r="FJ308" s="277">
        <v>30</v>
      </c>
      <c r="FK308" s="50">
        <f t="shared" si="134"/>
        <v>0</v>
      </c>
      <c r="FL308" s="63">
        <f t="shared" si="135"/>
        <v>30</v>
      </c>
      <c r="FM308" s="50">
        <f t="shared" si="117"/>
        <v>5888</v>
      </c>
      <c r="FN308" s="360">
        <f t="shared" si="118"/>
        <v>5718</v>
      </c>
      <c r="FO308" s="3"/>
      <c r="FP308" s="279"/>
      <c r="FQ308" s="52"/>
      <c r="FR308" s="756">
        <v>230101</v>
      </c>
      <c r="FS308" s="474">
        <v>30</v>
      </c>
      <c r="FT308" s="467"/>
      <c r="FU308" s="52"/>
      <c r="FV308" s="296"/>
      <c r="FW308" s="98"/>
      <c r="FX308" s="467"/>
      <c r="FY308" s="52"/>
      <c r="FZ308" s="296"/>
      <c r="GA308" s="98"/>
      <c r="GB308" s="467"/>
      <c r="GC308" s="52"/>
      <c r="GD308" s="296"/>
      <c r="GE308" s="98"/>
      <c r="GF308" s="467"/>
      <c r="GG308" s="52"/>
      <c r="GH308" s="296"/>
      <c r="GI308" s="98"/>
      <c r="GJ308" s="467"/>
      <c r="GK308" s="52"/>
      <c r="GL308" s="296"/>
      <c r="GM308" s="464"/>
      <c r="GN308" s="467"/>
      <c r="GO308" s="52"/>
      <c r="GP308" s="296"/>
      <c r="GQ308" s="464"/>
      <c r="GR308" s="467"/>
      <c r="GS308" s="52"/>
      <c r="GT308" s="296"/>
      <c r="GU308" s="464"/>
      <c r="GV308" s="467"/>
      <c r="GW308" s="52"/>
      <c r="GX308" s="296"/>
      <c r="GY308" s="464"/>
      <c r="GZ308" s="467"/>
      <c r="HA308" s="52"/>
      <c r="HB308" s="296"/>
      <c r="HC308" s="3"/>
    </row>
    <row r="309" spans="1:211" s="86" customFormat="1">
      <c r="A309" s="499" t="s">
        <v>954</v>
      </c>
      <c r="B309" s="311" t="s">
        <v>610</v>
      </c>
      <c r="C309" s="310">
        <v>163259</v>
      </c>
      <c r="D309" s="351">
        <v>15</v>
      </c>
      <c r="E309" s="460"/>
      <c r="F309" s="277"/>
      <c r="G309" s="158"/>
      <c r="H309" s="277"/>
      <c r="I309" s="158"/>
      <c r="J309" s="535"/>
      <c r="K309" s="160">
        <f t="shared" si="119"/>
        <v>0</v>
      </c>
      <c r="L309" s="161">
        <f t="shared" si="112"/>
        <v>0</v>
      </c>
      <c r="M309" s="54">
        <v>350</v>
      </c>
      <c r="N309" s="55"/>
      <c r="O309" s="55"/>
      <c r="P309" s="55"/>
      <c r="Q309" s="162">
        <f t="shared" si="120"/>
        <v>0</v>
      </c>
      <c r="R309" s="277">
        <v>349</v>
      </c>
      <c r="S309" s="277"/>
      <c r="T309" s="277"/>
      <c r="U309" s="277"/>
      <c r="V309" s="97">
        <f t="shared" si="121"/>
        <v>0</v>
      </c>
      <c r="W309" s="279"/>
      <c r="X309" s="52"/>
      <c r="Y309" s="99"/>
      <c r="Z309" s="53"/>
      <c r="AA309" s="228"/>
      <c r="AB309" s="52"/>
      <c r="AC309" s="99"/>
      <c r="AD309" s="53"/>
      <c r="AE309" s="228"/>
      <c r="AF309" s="52"/>
      <c r="AG309" s="99"/>
      <c r="AH309" s="53"/>
      <c r="AI309" s="228"/>
      <c r="AJ309" s="52"/>
      <c r="AK309" s="99"/>
      <c r="AL309" s="53"/>
      <c r="AM309" s="228"/>
      <c r="AN309" s="52"/>
      <c r="AO309" s="99"/>
      <c r="AP309" s="53"/>
      <c r="AQ309" s="50">
        <f t="shared" si="113"/>
        <v>0</v>
      </c>
      <c r="AR309" s="163">
        <f t="shared" si="114"/>
        <v>0.18878101402373246</v>
      </c>
      <c r="AS309" s="97">
        <f t="shared" si="115"/>
        <v>0</v>
      </c>
      <c r="AT309" s="278">
        <f t="shared" si="116"/>
        <v>0.18885281385281386</v>
      </c>
      <c r="AU309" s="55"/>
      <c r="AV309" s="277"/>
      <c r="AW309" s="279">
        <v>44</v>
      </c>
      <c r="AX309" s="52">
        <v>411</v>
      </c>
      <c r="AY309" s="500">
        <v>44</v>
      </c>
      <c r="AZ309" s="98">
        <v>366</v>
      </c>
      <c r="BA309" s="279">
        <v>51</v>
      </c>
      <c r="BB309" s="52">
        <v>256</v>
      </c>
      <c r="BC309" s="105">
        <v>51</v>
      </c>
      <c r="BD309" s="98">
        <v>295</v>
      </c>
      <c r="BE309" s="279">
        <v>26</v>
      </c>
      <c r="BF309" s="52">
        <v>34</v>
      </c>
      <c r="BG309" s="105">
        <v>26</v>
      </c>
      <c r="BH309" s="98">
        <v>32</v>
      </c>
      <c r="BI309" s="279"/>
      <c r="BJ309" s="52"/>
      <c r="BK309" s="105"/>
      <c r="BL309" s="98"/>
      <c r="BM309" s="279"/>
      <c r="BN309" s="52"/>
      <c r="BO309" s="105"/>
      <c r="BP309" s="98"/>
      <c r="BQ309" s="279"/>
      <c r="BR309" s="52"/>
      <c r="BS309" s="105"/>
      <c r="BT309" s="98"/>
      <c r="BU309" s="279"/>
      <c r="BV309" s="52"/>
      <c r="BW309" s="105"/>
      <c r="BX309" s="98"/>
      <c r="BY309" s="279"/>
      <c r="BZ309" s="52"/>
      <c r="CA309" s="105"/>
      <c r="CB309" s="98"/>
      <c r="CC309" s="279"/>
      <c r="CD309" s="52"/>
      <c r="CE309" s="105"/>
      <c r="CF309" s="98"/>
      <c r="CG309" s="279"/>
      <c r="CH309" s="52"/>
      <c r="CI309" s="105"/>
      <c r="CJ309" s="98"/>
      <c r="CK309" s="281"/>
      <c r="CL309" s="277"/>
      <c r="CM309" s="281">
        <v>28</v>
      </c>
      <c r="CN309" s="277">
        <v>31</v>
      </c>
      <c r="CO309" s="50">
        <f>AX309+BB309+BF309+BJ309+BN309+BR309+BV309+BZ309+CD309+CH309+CK309+CM309</f>
        <v>729</v>
      </c>
      <c r="CP309" s="103">
        <f t="shared" si="123"/>
        <v>3</v>
      </c>
      <c r="CQ309" s="280">
        <f t="shared" si="124"/>
        <v>724</v>
      </c>
      <c r="CR309" s="63">
        <f t="shared" si="125"/>
        <v>3</v>
      </c>
      <c r="CS309" s="279">
        <v>51</v>
      </c>
      <c r="CT309" s="52">
        <v>95</v>
      </c>
      <c r="CU309" s="105">
        <v>51</v>
      </c>
      <c r="CV309" s="98">
        <v>45</v>
      </c>
      <c r="CW309" s="279">
        <v>26</v>
      </c>
      <c r="CX309" s="52">
        <v>38</v>
      </c>
      <c r="CY309" s="105">
        <v>26</v>
      </c>
      <c r="CZ309" s="98">
        <v>32</v>
      </c>
      <c r="DA309" s="279">
        <v>44</v>
      </c>
      <c r="DB309" s="52">
        <v>12</v>
      </c>
      <c r="DC309" s="105">
        <v>44</v>
      </c>
      <c r="DD309" s="98">
        <v>9</v>
      </c>
      <c r="DE309" s="279">
        <v>30</v>
      </c>
      <c r="DF309" s="52">
        <v>2</v>
      </c>
      <c r="DG309" s="105"/>
      <c r="DH309" s="98"/>
      <c r="DI309" s="279"/>
      <c r="DJ309" s="52"/>
      <c r="DK309" s="105"/>
      <c r="DL309" s="98"/>
      <c r="DM309" s="279"/>
      <c r="DN309" s="52"/>
      <c r="DO309" s="105"/>
      <c r="DP309" s="98"/>
      <c r="DQ309" s="279"/>
      <c r="DR309" s="52"/>
      <c r="DS309" s="105"/>
      <c r="DT309" s="98"/>
      <c r="DU309" s="279"/>
      <c r="DV309" s="52"/>
      <c r="DW309" s="105"/>
      <c r="DX309" s="98"/>
      <c r="DY309" s="279"/>
      <c r="DZ309" s="52"/>
      <c r="EA309" s="105"/>
      <c r="EB309" s="98"/>
      <c r="EC309" s="279"/>
      <c r="ED309" s="52"/>
      <c r="EE309" s="105"/>
      <c r="EF309" s="98"/>
      <c r="EG309" s="159"/>
      <c r="EH309" s="277"/>
      <c r="EI309" s="50">
        <f t="shared" si="126"/>
        <v>147</v>
      </c>
      <c r="EJ309" s="103">
        <f t="shared" si="127"/>
        <v>4</v>
      </c>
      <c r="EK309" s="164">
        <f t="shared" si="128"/>
        <v>0.6462585034013606</v>
      </c>
      <c r="EL309" s="280">
        <f t="shared" si="129"/>
        <v>86</v>
      </c>
      <c r="EM309" s="63">
        <f t="shared" si="130"/>
        <v>3</v>
      </c>
      <c r="EN309" s="359">
        <f t="shared" si="131"/>
        <v>0.52325581395348841</v>
      </c>
      <c r="EO309" s="51">
        <f t="shared" si="132"/>
        <v>876</v>
      </c>
      <c r="EP309" s="361">
        <f t="shared" si="133"/>
        <v>810</v>
      </c>
      <c r="EQ309" s="281">
        <v>268</v>
      </c>
      <c r="ER309" s="277">
        <v>242</v>
      </c>
      <c r="ES309" s="281">
        <v>146</v>
      </c>
      <c r="ET309" s="277">
        <v>140</v>
      </c>
      <c r="EU309" s="281">
        <v>100</v>
      </c>
      <c r="EV309" s="277">
        <v>115</v>
      </c>
      <c r="EW309" s="281">
        <v>114</v>
      </c>
      <c r="EX309" s="277">
        <v>121</v>
      </c>
      <c r="EY309" s="281"/>
      <c r="EZ309" s="277"/>
      <c r="FA309" s="281"/>
      <c r="FB309" s="277"/>
      <c r="FC309" s="281"/>
      <c r="FD309" s="277"/>
      <c r="FE309" s="281"/>
      <c r="FF309" s="277"/>
      <c r="FG309" s="281"/>
      <c r="FH309" s="277"/>
      <c r="FI309" s="281"/>
      <c r="FJ309" s="277">
        <v>71</v>
      </c>
      <c r="FK309" s="50">
        <f t="shared" si="134"/>
        <v>628</v>
      </c>
      <c r="FL309" s="63">
        <f t="shared" si="135"/>
        <v>689</v>
      </c>
      <c r="FM309" s="50">
        <f t="shared" si="117"/>
        <v>1854</v>
      </c>
      <c r="FN309" s="360">
        <f t="shared" si="118"/>
        <v>1848</v>
      </c>
      <c r="FO309" s="3"/>
      <c r="FP309" s="279"/>
      <c r="FQ309" s="52"/>
      <c r="FR309" s="756">
        <v>220101</v>
      </c>
      <c r="FS309" s="98">
        <v>11</v>
      </c>
      <c r="FT309" s="467"/>
      <c r="FU309" s="52"/>
      <c r="FV309" s="756">
        <v>511699</v>
      </c>
      <c r="FW309" s="98">
        <v>11</v>
      </c>
      <c r="FX309" s="467"/>
      <c r="FY309" s="52"/>
      <c r="FZ309" s="756">
        <v>510401</v>
      </c>
      <c r="GA309" s="98">
        <v>49</v>
      </c>
      <c r="GB309" s="467"/>
      <c r="GC309" s="52"/>
      <c r="GD309" s="756">
        <v>511201</v>
      </c>
      <c r="GE309" s="474">
        <v>140</v>
      </c>
      <c r="GF309" s="467"/>
      <c r="GG309" s="52"/>
      <c r="GH309" s="756">
        <v>512001</v>
      </c>
      <c r="GI309" s="474">
        <v>121</v>
      </c>
      <c r="GJ309" s="467"/>
      <c r="GK309" s="52"/>
      <c r="GL309" s="756">
        <v>512308</v>
      </c>
      <c r="GM309" s="757">
        <v>21</v>
      </c>
      <c r="GN309" s="467"/>
      <c r="GO309" s="52"/>
      <c r="GP309" s="296"/>
      <c r="GQ309" s="464"/>
      <c r="GR309" s="467"/>
      <c r="GS309" s="52"/>
      <c r="GT309" s="296"/>
      <c r="GU309" s="464"/>
      <c r="GV309" s="467"/>
      <c r="GW309" s="52"/>
      <c r="GX309" s="296"/>
      <c r="GY309" s="464"/>
      <c r="GZ309" s="467"/>
      <c r="HA309" s="52"/>
      <c r="HB309" s="296"/>
      <c r="HC309" s="3"/>
    </row>
    <row r="310" spans="1:211" s="86" customFormat="1">
      <c r="A310" s="502" t="s">
        <v>983</v>
      </c>
      <c r="B310" s="315" t="s">
        <v>351</v>
      </c>
      <c r="C310" s="314">
        <v>176080</v>
      </c>
      <c r="D310" s="343">
        <v>1</v>
      </c>
      <c r="E310" s="460"/>
      <c r="F310" s="503"/>
      <c r="G310" s="158"/>
      <c r="H310" s="503"/>
      <c r="I310" s="158"/>
      <c r="J310" s="589"/>
      <c r="K310" s="504">
        <f t="shared" si="119"/>
        <v>0</v>
      </c>
      <c r="L310" s="505">
        <f t="shared" si="112"/>
        <v>0</v>
      </c>
      <c r="M310" s="54">
        <v>2554</v>
      </c>
      <c r="N310" s="55">
        <v>517</v>
      </c>
      <c r="O310" s="55"/>
      <c r="P310" s="55"/>
      <c r="Q310" s="162">
        <f t="shared" si="120"/>
        <v>517</v>
      </c>
      <c r="R310" s="503">
        <v>2656</v>
      </c>
      <c r="S310" s="503">
        <v>524</v>
      </c>
      <c r="T310" s="503"/>
      <c r="U310" s="503"/>
      <c r="V310" s="97">
        <f t="shared" si="121"/>
        <v>524</v>
      </c>
      <c r="W310" s="279"/>
      <c r="X310" s="52"/>
      <c r="Y310" s="99"/>
      <c r="Z310" s="53"/>
      <c r="AA310" s="228"/>
      <c r="AB310" s="52"/>
      <c r="AC310" s="99"/>
      <c r="AD310" s="53"/>
      <c r="AE310" s="228"/>
      <c r="AF310" s="52"/>
      <c r="AG310" s="99"/>
      <c r="AH310" s="53"/>
      <c r="AI310" s="228"/>
      <c r="AJ310" s="52"/>
      <c r="AK310" s="99"/>
      <c r="AL310" s="53"/>
      <c r="AM310" s="228"/>
      <c r="AN310" s="52"/>
      <c r="AO310" s="99"/>
      <c r="AP310" s="53"/>
      <c r="AQ310" s="50">
        <f t="shared" si="113"/>
        <v>0</v>
      </c>
      <c r="AR310" s="506">
        <f t="shared" si="114"/>
        <v>0.71761730823264958</v>
      </c>
      <c r="AS310" s="97">
        <f t="shared" si="115"/>
        <v>0</v>
      </c>
      <c r="AT310" s="507">
        <f t="shared" si="116"/>
        <v>0.71244635193133043</v>
      </c>
      <c r="AU310" s="55"/>
      <c r="AV310" s="503"/>
      <c r="AW310" s="279">
        <v>13</v>
      </c>
      <c r="AX310" s="52">
        <v>212</v>
      </c>
      <c r="AY310" s="105">
        <v>13</v>
      </c>
      <c r="AZ310" s="98">
        <v>255</v>
      </c>
      <c r="BA310" s="279">
        <v>52</v>
      </c>
      <c r="BB310" s="52">
        <v>181</v>
      </c>
      <c r="BC310" s="105">
        <v>52</v>
      </c>
      <c r="BD310" s="98">
        <v>188</v>
      </c>
      <c r="BE310" s="279">
        <v>40</v>
      </c>
      <c r="BF310" s="52">
        <v>161</v>
      </c>
      <c r="BG310" s="105">
        <v>40</v>
      </c>
      <c r="BH310" s="98">
        <v>116</v>
      </c>
      <c r="BI310" s="279">
        <v>14</v>
      </c>
      <c r="BJ310" s="52">
        <v>69</v>
      </c>
      <c r="BK310" s="105">
        <v>14</v>
      </c>
      <c r="BL310" s="98">
        <v>89</v>
      </c>
      <c r="BM310" s="279">
        <v>1</v>
      </c>
      <c r="BN310" s="52">
        <v>25</v>
      </c>
      <c r="BO310" s="105">
        <v>44</v>
      </c>
      <c r="BP310" s="98">
        <v>28</v>
      </c>
      <c r="BQ310" s="279">
        <v>44</v>
      </c>
      <c r="BR310" s="52">
        <v>22</v>
      </c>
      <c r="BS310" s="105">
        <v>19</v>
      </c>
      <c r="BT310" s="98">
        <v>27</v>
      </c>
      <c r="BU310" s="279">
        <v>3</v>
      </c>
      <c r="BV310" s="52">
        <v>21</v>
      </c>
      <c r="BW310" s="105">
        <v>1</v>
      </c>
      <c r="BX310" s="98">
        <v>23</v>
      </c>
      <c r="BY310" s="279">
        <v>19</v>
      </c>
      <c r="BZ310" s="52">
        <v>18</v>
      </c>
      <c r="CA310" s="105">
        <v>42</v>
      </c>
      <c r="CB310" s="98">
        <v>23</v>
      </c>
      <c r="CC310" s="279">
        <v>42</v>
      </c>
      <c r="CD310" s="52">
        <v>18</v>
      </c>
      <c r="CE310" s="105">
        <v>3</v>
      </c>
      <c r="CF310" s="98">
        <v>22</v>
      </c>
      <c r="CG310" s="279">
        <v>27</v>
      </c>
      <c r="CH310" s="52">
        <v>13</v>
      </c>
      <c r="CI310" s="105">
        <v>23</v>
      </c>
      <c r="CJ310" s="98">
        <v>19</v>
      </c>
      <c r="CK310" s="281"/>
      <c r="CL310" s="503"/>
      <c r="CM310" s="159">
        <v>83</v>
      </c>
      <c r="CN310" s="503">
        <v>92</v>
      </c>
      <c r="CO310" s="50">
        <f t="shared" si="122"/>
        <v>823</v>
      </c>
      <c r="CP310" s="103">
        <f t="shared" si="123"/>
        <v>10</v>
      </c>
      <c r="CQ310" s="508">
        <f t="shared" si="124"/>
        <v>882</v>
      </c>
      <c r="CR310" s="509">
        <f t="shared" si="125"/>
        <v>10</v>
      </c>
      <c r="CS310" s="279">
        <v>13</v>
      </c>
      <c r="CT310" s="52">
        <v>42</v>
      </c>
      <c r="CU310" s="105">
        <v>13</v>
      </c>
      <c r="CV310" s="98">
        <v>48</v>
      </c>
      <c r="CW310" s="279">
        <v>14</v>
      </c>
      <c r="CX310" s="52">
        <v>25</v>
      </c>
      <c r="CY310" s="105">
        <v>14</v>
      </c>
      <c r="CZ310" s="98">
        <v>17</v>
      </c>
      <c r="DA310" s="279">
        <v>26</v>
      </c>
      <c r="DB310" s="52">
        <v>9</v>
      </c>
      <c r="DC310" s="105">
        <v>1</v>
      </c>
      <c r="DD310" s="98">
        <v>8</v>
      </c>
      <c r="DE310" s="279">
        <v>52</v>
      </c>
      <c r="DF310" s="52">
        <v>8</v>
      </c>
      <c r="DG310" s="105">
        <v>42</v>
      </c>
      <c r="DH310" s="98">
        <v>8</v>
      </c>
      <c r="DI310" s="279">
        <v>1</v>
      </c>
      <c r="DJ310" s="52">
        <v>5</v>
      </c>
      <c r="DK310" s="105">
        <v>52</v>
      </c>
      <c r="DL310" s="98">
        <v>7</v>
      </c>
      <c r="DM310" s="279">
        <v>44</v>
      </c>
      <c r="DN310" s="52">
        <v>5</v>
      </c>
      <c r="DO310" s="105">
        <v>19</v>
      </c>
      <c r="DP310" s="98">
        <v>6</v>
      </c>
      <c r="DQ310" s="279">
        <v>3</v>
      </c>
      <c r="DR310" s="52">
        <v>5</v>
      </c>
      <c r="DS310" s="105">
        <v>26</v>
      </c>
      <c r="DT310" s="98">
        <v>5</v>
      </c>
      <c r="DU310" s="279">
        <v>42</v>
      </c>
      <c r="DV310" s="52">
        <v>4</v>
      </c>
      <c r="DW310" s="105">
        <v>3</v>
      </c>
      <c r="DX310" s="98">
        <v>4</v>
      </c>
      <c r="DY310" s="279">
        <v>51</v>
      </c>
      <c r="DZ310" s="52">
        <v>4</v>
      </c>
      <c r="EA310" s="105">
        <v>11</v>
      </c>
      <c r="EB310" s="98">
        <v>4</v>
      </c>
      <c r="EC310" s="279">
        <v>45</v>
      </c>
      <c r="ED310" s="52">
        <v>3</v>
      </c>
      <c r="EE310" s="105">
        <v>40</v>
      </c>
      <c r="EF310" s="98">
        <v>4</v>
      </c>
      <c r="EG310" s="159">
        <v>7</v>
      </c>
      <c r="EH310" s="503">
        <v>12</v>
      </c>
      <c r="EI310" s="50">
        <f t="shared" si="126"/>
        <v>117</v>
      </c>
      <c r="EJ310" s="103">
        <f t="shared" si="127"/>
        <v>10</v>
      </c>
      <c r="EK310" s="510">
        <f t="shared" si="128"/>
        <v>0.35897435897435898</v>
      </c>
      <c r="EL310" s="508">
        <f t="shared" si="129"/>
        <v>123</v>
      </c>
      <c r="EM310" s="509">
        <f t="shared" si="130"/>
        <v>10</v>
      </c>
      <c r="EN310" s="511">
        <f t="shared" si="131"/>
        <v>0.3902439024390244</v>
      </c>
      <c r="EO310" s="51">
        <f t="shared" si="132"/>
        <v>940</v>
      </c>
      <c r="EP310" s="512">
        <f t="shared" si="133"/>
        <v>1005</v>
      </c>
      <c r="EQ310" s="281"/>
      <c r="ER310" s="503"/>
      <c r="ES310" s="281"/>
      <c r="ET310" s="503"/>
      <c r="EU310" s="281"/>
      <c r="EV310" s="503"/>
      <c r="EW310" s="281"/>
      <c r="EX310" s="503"/>
      <c r="EY310" s="281"/>
      <c r="EZ310" s="503"/>
      <c r="FA310" s="281"/>
      <c r="FB310" s="503"/>
      <c r="FC310" s="281"/>
      <c r="FD310" s="503"/>
      <c r="FE310" s="281">
        <v>65</v>
      </c>
      <c r="FF310" s="503">
        <v>67</v>
      </c>
      <c r="FG310" s="281"/>
      <c r="FH310" s="503"/>
      <c r="FI310" s="281"/>
      <c r="FJ310" s="503"/>
      <c r="FK310" s="50">
        <f t="shared" si="134"/>
        <v>65</v>
      </c>
      <c r="FL310" s="509">
        <f t="shared" si="135"/>
        <v>67</v>
      </c>
      <c r="FM310" s="50">
        <f t="shared" si="117"/>
        <v>3559</v>
      </c>
      <c r="FN310" s="513">
        <f t="shared" si="118"/>
        <v>3728</v>
      </c>
      <c r="FO310" s="514"/>
      <c r="FP310" s="279"/>
      <c r="FQ310" s="52"/>
      <c r="FR310" s="296"/>
      <c r="FS310" s="98"/>
      <c r="FT310" s="467"/>
      <c r="FU310" s="52"/>
      <c r="FV310" s="296"/>
      <c r="FW310" s="98"/>
      <c r="FX310" s="467"/>
      <c r="FY310" s="52"/>
      <c r="FZ310" s="296"/>
      <c r="GA310" s="98"/>
      <c r="GB310" s="467"/>
      <c r="GC310" s="52"/>
      <c r="GD310" s="296"/>
      <c r="GE310" s="98"/>
      <c r="GF310" s="467"/>
      <c r="GG310" s="52"/>
      <c r="GH310" s="296"/>
      <c r="GI310" s="98"/>
      <c r="GJ310" s="467"/>
      <c r="GK310" s="52"/>
      <c r="GL310" s="296"/>
      <c r="GM310" s="464"/>
      <c r="GN310" s="467"/>
      <c r="GO310" s="52"/>
      <c r="GP310" s="296"/>
      <c r="GQ310" s="464"/>
      <c r="GR310" s="467"/>
      <c r="GS310" s="52"/>
      <c r="GT310" s="296"/>
      <c r="GU310" s="464"/>
      <c r="GV310" s="467"/>
      <c r="GW310" s="52"/>
      <c r="GX310" s="296"/>
      <c r="GY310" s="464"/>
      <c r="GZ310" s="467"/>
      <c r="HA310" s="52"/>
      <c r="HB310" s="296"/>
      <c r="HC310" s="514"/>
    </row>
    <row r="311" spans="1:211" s="86" customFormat="1">
      <c r="A311" s="502" t="s">
        <v>983</v>
      </c>
      <c r="B311" s="315" t="s">
        <v>349</v>
      </c>
      <c r="C311" s="314">
        <v>176372</v>
      </c>
      <c r="D311" s="343">
        <v>1</v>
      </c>
      <c r="E311" s="460"/>
      <c r="F311" s="503"/>
      <c r="G311" s="158"/>
      <c r="H311" s="503"/>
      <c r="I311" s="158"/>
      <c r="J311" s="589"/>
      <c r="K311" s="504">
        <f t="shared" si="119"/>
        <v>0</v>
      </c>
      <c r="L311" s="505">
        <f t="shared" si="112"/>
        <v>0</v>
      </c>
      <c r="M311" s="54">
        <v>2262</v>
      </c>
      <c r="N311" s="55">
        <v>217</v>
      </c>
      <c r="O311" s="55"/>
      <c r="P311" s="55"/>
      <c r="Q311" s="162">
        <f t="shared" si="120"/>
        <v>217</v>
      </c>
      <c r="R311" s="503">
        <v>2375</v>
      </c>
      <c r="S311" s="503">
        <v>246</v>
      </c>
      <c r="T311" s="503"/>
      <c r="U311" s="503"/>
      <c r="V311" s="97">
        <f t="shared" si="121"/>
        <v>246</v>
      </c>
      <c r="W311" s="279"/>
      <c r="X311" s="52"/>
      <c r="Y311" s="99"/>
      <c r="Z311" s="53"/>
      <c r="AA311" s="228"/>
      <c r="AB311" s="52"/>
      <c r="AC311" s="99"/>
      <c r="AD311" s="53"/>
      <c r="AE311" s="228"/>
      <c r="AF311" s="52"/>
      <c r="AG311" s="99"/>
      <c r="AH311" s="53"/>
      <c r="AI311" s="228"/>
      <c r="AJ311" s="52"/>
      <c r="AK311" s="99"/>
      <c r="AL311" s="53"/>
      <c r="AM311" s="228"/>
      <c r="AN311" s="52"/>
      <c r="AO311" s="99"/>
      <c r="AP311" s="53"/>
      <c r="AQ311" s="50">
        <f t="shared" si="113"/>
        <v>0</v>
      </c>
      <c r="AR311" s="506">
        <f t="shared" si="114"/>
        <v>0.72920696324951639</v>
      </c>
      <c r="AS311" s="97">
        <f t="shared" si="115"/>
        <v>0</v>
      </c>
      <c r="AT311" s="507">
        <f t="shared" si="116"/>
        <v>0.7334774552192711</v>
      </c>
      <c r="AU311" s="55"/>
      <c r="AV311" s="503"/>
      <c r="AW311" s="279">
        <v>13</v>
      </c>
      <c r="AX311" s="52">
        <v>212</v>
      </c>
      <c r="AY311" s="105">
        <v>13</v>
      </c>
      <c r="AZ311" s="98">
        <v>234</v>
      </c>
      <c r="BA311" s="279">
        <v>51</v>
      </c>
      <c r="BB311" s="52">
        <v>100</v>
      </c>
      <c r="BC311" s="105">
        <v>51</v>
      </c>
      <c r="BD311" s="98">
        <v>97</v>
      </c>
      <c r="BE311" s="279">
        <v>52</v>
      </c>
      <c r="BF311" s="52">
        <v>61</v>
      </c>
      <c r="BG311" s="105">
        <v>52</v>
      </c>
      <c r="BH311" s="98">
        <v>63</v>
      </c>
      <c r="BI311" s="279">
        <v>25</v>
      </c>
      <c r="BJ311" s="52">
        <v>54</v>
      </c>
      <c r="BK311" s="105">
        <v>25</v>
      </c>
      <c r="BL311" s="98">
        <v>60</v>
      </c>
      <c r="BM311" s="279">
        <v>44</v>
      </c>
      <c r="BN311" s="52">
        <v>48</v>
      </c>
      <c r="BO311" s="105">
        <v>44</v>
      </c>
      <c r="BP311" s="98">
        <v>48</v>
      </c>
      <c r="BQ311" s="279">
        <v>31</v>
      </c>
      <c r="BR311" s="52">
        <v>29</v>
      </c>
      <c r="BS311" s="105">
        <v>31</v>
      </c>
      <c r="BT311" s="98">
        <v>33</v>
      </c>
      <c r="BU311" s="279">
        <v>42</v>
      </c>
      <c r="BV311" s="52">
        <v>28</v>
      </c>
      <c r="BW311" s="105">
        <v>9</v>
      </c>
      <c r="BX311" s="98">
        <v>28</v>
      </c>
      <c r="BY311" s="279">
        <v>15</v>
      </c>
      <c r="BZ311" s="52">
        <v>21</v>
      </c>
      <c r="CA311" s="105">
        <v>42</v>
      </c>
      <c r="CB311" s="98">
        <v>23</v>
      </c>
      <c r="CC311" s="279">
        <v>9</v>
      </c>
      <c r="CD311" s="52">
        <v>20</v>
      </c>
      <c r="CE311" s="105">
        <v>15</v>
      </c>
      <c r="CF311" s="98">
        <v>22</v>
      </c>
      <c r="CG311" s="279">
        <v>11</v>
      </c>
      <c r="CH311" s="52">
        <v>20</v>
      </c>
      <c r="CI311" s="105">
        <v>45</v>
      </c>
      <c r="CJ311" s="98">
        <v>20</v>
      </c>
      <c r="CK311" s="281"/>
      <c r="CL311" s="503"/>
      <c r="CM311" s="159">
        <v>112</v>
      </c>
      <c r="CN311" s="503">
        <v>116</v>
      </c>
      <c r="CO311" s="50">
        <f t="shared" si="122"/>
        <v>705</v>
      </c>
      <c r="CP311" s="103">
        <f t="shared" si="123"/>
        <v>10</v>
      </c>
      <c r="CQ311" s="508">
        <f t="shared" si="124"/>
        <v>744</v>
      </c>
      <c r="CR311" s="509">
        <f t="shared" si="125"/>
        <v>10</v>
      </c>
      <c r="CS311" s="279">
        <v>13</v>
      </c>
      <c r="CT311" s="52">
        <v>47</v>
      </c>
      <c r="CU311" s="105">
        <v>13</v>
      </c>
      <c r="CV311" s="98">
        <v>48</v>
      </c>
      <c r="CW311" s="279">
        <v>42</v>
      </c>
      <c r="CX311" s="52">
        <v>15</v>
      </c>
      <c r="CY311" s="105">
        <v>42</v>
      </c>
      <c r="CZ311" s="98">
        <v>13</v>
      </c>
      <c r="DA311" s="279">
        <v>9</v>
      </c>
      <c r="DB311" s="52">
        <v>11</v>
      </c>
      <c r="DC311" s="105">
        <v>23</v>
      </c>
      <c r="DD311" s="98">
        <v>11</v>
      </c>
      <c r="DE311" s="279">
        <v>26</v>
      </c>
      <c r="DF311" s="52">
        <v>11</v>
      </c>
      <c r="DG311" s="105">
        <v>14</v>
      </c>
      <c r="DH311" s="98">
        <v>9</v>
      </c>
      <c r="DI311" s="279">
        <v>23</v>
      </c>
      <c r="DJ311" s="52">
        <v>9</v>
      </c>
      <c r="DK311" s="105">
        <v>9</v>
      </c>
      <c r="DL311" s="98">
        <v>8</v>
      </c>
      <c r="DM311" s="279">
        <v>50</v>
      </c>
      <c r="DN311" s="52">
        <v>9</v>
      </c>
      <c r="DO311" s="105">
        <v>26</v>
      </c>
      <c r="DP311" s="98">
        <v>8</v>
      </c>
      <c r="DQ311" s="279">
        <v>14</v>
      </c>
      <c r="DR311" s="52">
        <v>7</v>
      </c>
      <c r="DS311" s="105">
        <v>50</v>
      </c>
      <c r="DT311" s="98">
        <v>8</v>
      </c>
      <c r="DU311" s="279">
        <v>40</v>
      </c>
      <c r="DV311" s="52">
        <v>6</v>
      </c>
      <c r="DW311" s="105">
        <v>40</v>
      </c>
      <c r="DX311" s="98">
        <v>7</v>
      </c>
      <c r="DY311" s="279">
        <v>45</v>
      </c>
      <c r="DZ311" s="52">
        <v>6</v>
      </c>
      <c r="EA311" s="105">
        <v>51</v>
      </c>
      <c r="EB311" s="98">
        <v>5</v>
      </c>
      <c r="EC311" s="279">
        <v>11</v>
      </c>
      <c r="ED311" s="52">
        <v>5</v>
      </c>
      <c r="EE311" s="105">
        <v>45</v>
      </c>
      <c r="EF311" s="98">
        <v>1</v>
      </c>
      <c r="EG311" s="159">
        <v>9</v>
      </c>
      <c r="EH311" s="503">
        <v>1</v>
      </c>
      <c r="EI311" s="50">
        <f t="shared" si="126"/>
        <v>135</v>
      </c>
      <c r="EJ311" s="103">
        <f t="shared" si="127"/>
        <v>10</v>
      </c>
      <c r="EK311" s="510">
        <f t="shared" si="128"/>
        <v>0.34814814814814815</v>
      </c>
      <c r="EL311" s="508">
        <f t="shared" si="129"/>
        <v>119</v>
      </c>
      <c r="EM311" s="509">
        <f t="shared" si="130"/>
        <v>10</v>
      </c>
      <c r="EN311" s="511">
        <f t="shared" si="131"/>
        <v>0.40336134453781514</v>
      </c>
      <c r="EO311" s="51">
        <f t="shared" si="132"/>
        <v>840</v>
      </c>
      <c r="EP311" s="512">
        <f t="shared" si="133"/>
        <v>863</v>
      </c>
      <c r="EQ311" s="281"/>
      <c r="ER311" s="503"/>
      <c r="ES311" s="281"/>
      <c r="ET311" s="503"/>
      <c r="EU311" s="281"/>
      <c r="EV311" s="503"/>
      <c r="EW311" s="281"/>
      <c r="EX311" s="503"/>
      <c r="EY311" s="281"/>
      <c r="EZ311" s="503"/>
      <c r="FA311" s="281"/>
      <c r="FB311" s="503"/>
      <c r="FC311" s="281"/>
      <c r="FD311" s="503"/>
      <c r="FE311" s="281"/>
      <c r="FF311" s="503"/>
      <c r="FG311" s="281"/>
      <c r="FH311" s="503"/>
      <c r="FI311" s="281"/>
      <c r="FJ311" s="503"/>
      <c r="FK311" s="50">
        <f t="shared" si="134"/>
        <v>0</v>
      </c>
      <c r="FL311" s="509">
        <f t="shared" si="135"/>
        <v>0</v>
      </c>
      <c r="FM311" s="50">
        <f t="shared" si="117"/>
        <v>3102</v>
      </c>
      <c r="FN311" s="513">
        <f t="shared" si="118"/>
        <v>3238</v>
      </c>
      <c r="FO311" s="514"/>
      <c r="FP311" s="279"/>
      <c r="FQ311" s="52"/>
      <c r="FR311" s="296"/>
      <c r="FS311" s="98"/>
      <c r="FT311" s="467"/>
      <c r="FU311" s="52"/>
      <c r="FV311" s="296"/>
      <c r="FW311" s="98"/>
      <c r="FX311" s="467"/>
      <c r="FY311" s="52"/>
      <c r="FZ311" s="296"/>
      <c r="GA311" s="98"/>
      <c r="GB311" s="467"/>
      <c r="GC311" s="52"/>
      <c r="GD311" s="296"/>
      <c r="GE311" s="98"/>
      <c r="GF311" s="467"/>
      <c r="GG311" s="52"/>
      <c r="GH311" s="296"/>
      <c r="GI311" s="98"/>
      <c r="GJ311" s="467"/>
      <c r="GK311" s="52"/>
      <c r="GL311" s="296"/>
      <c r="GM311" s="464"/>
      <c r="GN311" s="467"/>
      <c r="GO311" s="52"/>
      <c r="GP311" s="296"/>
      <c r="GQ311" s="464"/>
      <c r="GR311" s="467"/>
      <c r="GS311" s="52"/>
      <c r="GT311" s="296"/>
      <c r="GU311" s="464"/>
      <c r="GV311" s="467"/>
      <c r="GW311" s="52"/>
      <c r="GX311" s="296"/>
      <c r="GY311" s="464"/>
      <c r="GZ311" s="467"/>
      <c r="HA311" s="52"/>
      <c r="HB311" s="296"/>
      <c r="HC311" s="514"/>
    </row>
    <row r="312" spans="1:211" s="85" customFormat="1">
      <c r="A312" s="502" t="s">
        <v>983</v>
      </c>
      <c r="B312" s="315" t="s">
        <v>350</v>
      </c>
      <c r="C312" s="314">
        <v>175856</v>
      </c>
      <c r="D312" s="343">
        <v>2</v>
      </c>
      <c r="E312" s="460"/>
      <c r="F312" s="503"/>
      <c r="G312" s="158"/>
      <c r="H312" s="503"/>
      <c r="I312" s="158"/>
      <c r="J312" s="589"/>
      <c r="K312" s="504">
        <f t="shared" si="119"/>
        <v>0</v>
      </c>
      <c r="L312" s="505">
        <f t="shared" si="112"/>
        <v>0</v>
      </c>
      <c r="M312" s="54">
        <v>915</v>
      </c>
      <c r="N312" s="55">
        <v>152</v>
      </c>
      <c r="O312" s="55"/>
      <c r="P312" s="55"/>
      <c r="Q312" s="162">
        <f t="shared" si="120"/>
        <v>152</v>
      </c>
      <c r="R312" s="503">
        <v>905</v>
      </c>
      <c r="S312" s="503">
        <v>130</v>
      </c>
      <c r="T312" s="503"/>
      <c r="U312" s="503"/>
      <c r="V312" s="97">
        <f t="shared" si="121"/>
        <v>130</v>
      </c>
      <c r="W312" s="279"/>
      <c r="X312" s="52"/>
      <c r="Y312" s="99"/>
      <c r="Z312" s="53"/>
      <c r="AA312" s="228"/>
      <c r="AB312" s="52"/>
      <c r="AC312" s="99"/>
      <c r="AD312" s="53"/>
      <c r="AE312" s="228"/>
      <c r="AF312" s="52"/>
      <c r="AG312" s="99"/>
      <c r="AH312" s="53"/>
      <c r="AI312" s="228"/>
      <c r="AJ312" s="52"/>
      <c r="AK312" s="99"/>
      <c r="AL312" s="53"/>
      <c r="AM312" s="228"/>
      <c r="AN312" s="52"/>
      <c r="AO312" s="99"/>
      <c r="AP312" s="53"/>
      <c r="AQ312" s="50">
        <f t="shared" si="113"/>
        <v>0</v>
      </c>
      <c r="AR312" s="506">
        <f t="shared" si="114"/>
        <v>0.67328918322295805</v>
      </c>
      <c r="AS312" s="97">
        <f t="shared" si="115"/>
        <v>0</v>
      </c>
      <c r="AT312" s="507">
        <f t="shared" si="116"/>
        <v>0.6654411764705882</v>
      </c>
      <c r="AU312" s="55"/>
      <c r="AV312" s="503"/>
      <c r="AW312" s="279">
        <v>13</v>
      </c>
      <c r="AX312" s="52">
        <v>164</v>
      </c>
      <c r="AY312" s="105">
        <v>13</v>
      </c>
      <c r="AZ312" s="98">
        <v>178</v>
      </c>
      <c r="BA312" s="279">
        <v>51</v>
      </c>
      <c r="BB312" s="52">
        <v>63</v>
      </c>
      <c r="BC312" s="105">
        <v>51</v>
      </c>
      <c r="BD312" s="98">
        <v>63</v>
      </c>
      <c r="BE312" s="279">
        <v>44</v>
      </c>
      <c r="BF312" s="52">
        <v>41</v>
      </c>
      <c r="BG312" s="105">
        <v>44</v>
      </c>
      <c r="BH312" s="98">
        <v>30</v>
      </c>
      <c r="BI312" s="279">
        <v>52</v>
      </c>
      <c r="BJ312" s="52">
        <v>33</v>
      </c>
      <c r="BK312" s="105">
        <v>52</v>
      </c>
      <c r="BL312" s="98">
        <v>30</v>
      </c>
      <c r="BM312" s="279">
        <v>11</v>
      </c>
      <c r="BN312" s="52">
        <v>19</v>
      </c>
      <c r="BO312" s="105">
        <v>45</v>
      </c>
      <c r="BP312" s="98">
        <v>30</v>
      </c>
      <c r="BQ312" s="279">
        <v>45</v>
      </c>
      <c r="BR312" s="52">
        <v>13</v>
      </c>
      <c r="BS312" s="105">
        <v>11</v>
      </c>
      <c r="BT312" s="98">
        <v>13</v>
      </c>
      <c r="BU312" s="279">
        <v>9</v>
      </c>
      <c r="BV312" s="52">
        <v>9</v>
      </c>
      <c r="BW312" s="105">
        <v>26</v>
      </c>
      <c r="BX312" s="98">
        <v>8</v>
      </c>
      <c r="BY312" s="279">
        <v>15</v>
      </c>
      <c r="BZ312" s="52">
        <v>9</v>
      </c>
      <c r="CA312" s="105">
        <v>14</v>
      </c>
      <c r="CB312" s="98">
        <v>7</v>
      </c>
      <c r="CC312" s="279">
        <v>26</v>
      </c>
      <c r="CD312" s="52">
        <v>9</v>
      </c>
      <c r="CE312" s="105">
        <v>40</v>
      </c>
      <c r="CF312" s="98">
        <v>6</v>
      </c>
      <c r="CG312" s="279">
        <v>14</v>
      </c>
      <c r="CH312" s="52">
        <v>6</v>
      </c>
      <c r="CI312" s="105">
        <v>4</v>
      </c>
      <c r="CJ312" s="98">
        <v>5</v>
      </c>
      <c r="CK312" s="281"/>
      <c r="CL312" s="503"/>
      <c r="CM312" s="159">
        <v>26</v>
      </c>
      <c r="CN312" s="503">
        <v>18</v>
      </c>
      <c r="CO312" s="50">
        <f t="shared" si="122"/>
        <v>392</v>
      </c>
      <c r="CP312" s="103">
        <f t="shared" si="123"/>
        <v>10</v>
      </c>
      <c r="CQ312" s="508">
        <f t="shared" si="124"/>
        <v>388</v>
      </c>
      <c r="CR312" s="509">
        <f t="shared" si="125"/>
        <v>10</v>
      </c>
      <c r="CS312" s="279">
        <v>13</v>
      </c>
      <c r="CT312" s="52">
        <v>33</v>
      </c>
      <c r="CU312" s="105">
        <v>13</v>
      </c>
      <c r="CV312" s="98">
        <v>37</v>
      </c>
      <c r="CW312" s="279">
        <v>44</v>
      </c>
      <c r="CX312" s="52">
        <v>8</v>
      </c>
      <c r="CY312" s="105">
        <v>40</v>
      </c>
      <c r="CZ312" s="98">
        <v>9</v>
      </c>
      <c r="DA312" s="279">
        <v>3</v>
      </c>
      <c r="DB312" s="52">
        <v>3</v>
      </c>
      <c r="DC312" s="105">
        <v>44</v>
      </c>
      <c r="DD312" s="98">
        <v>6</v>
      </c>
      <c r="DE312" s="279">
        <v>40</v>
      </c>
      <c r="DF312" s="52">
        <v>3</v>
      </c>
      <c r="DG312" s="105">
        <v>52</v>
      </c>
      <c r="DH312" s="98">
        <v>6</v>
      </c>
      <c r="DI312" s="279">
        <v>42</v>
      </c>
      <c r="DJ312" s="52">
        <v>2</v>
      </c>
      <c r="DK312" s="105">
        <v>42</v>
      </c>
      <c r="DL312" s="98">
        <v>4</v>
      </c>
      <c r="DM312" s="279">
        <v>52</v>
      </c>
      <c r="DN312" s="52">
        <v>2</v>
      </c>
      <c r="DO312" s="105">
        <v>3</v>
      </c>
      <c r="DP312" s="98">
        <v>3</v>
      </c>
      <c r="DQ312" s="279">
        <v>4</v>
      </c>
      <c r="DR312" s="52">
        <v>1</v>
      </c>
      <c r="DS312" s="105">
        <v>4</v>
      </c>
      <c r="DT312" s="98">
        <v>1</v>
      </c>
      <c r="DU312" s="279"/>
      <c r="DV312" s="52"/>
      <c r="DW312" s="105">
        <v>51</v>
      </c>
      <c r="DX312" s="98">
        <v>1</v>
      </c>
      <c r="DY312" s="279"/>
      <c r="DZ312" s="52"/>
      <c r="EA312" s="105"/>
      <c r="EB312" s="98"/>
      <c r="EC312" s="279"/>
      <c r="ED312" s="52"/>
      <c r="EE312" s="105"/>
      <c r="EF312" s="98"/>
      <c r="EG312" s="159"/>
      <c r="EH312" s="503"/>
      <c r="EI312" s="50">
        <f t="shared" si="126"/>
        <v>52</v>
      </c>
      <c r="EJ312" s="103">
        <f t="shared" si="127"/>
        <v>7</v>
      </c>
      <c r="EK312" s="510">
        <f t="shared" si="128"/>
        <v>0.63461538461538458</v>
      </c>
      <c r="EL312" s="508">
        <f t="shared" si="129"/>
        <v>67</v>
      </c>
      <c r="EM312" s="509">
        <f t="shared" si="130"/>
        <v>8</v>
      </c>
      <c r="EN312" s="511">
        <f t="shared" si="131"/>
        <v>0.55223880597014929</v>
      </c>
      <c r="EO312" s="51">
        <f t="shared" si="132"/>
        <v>444</v>
      </c>
      <c r="EP312" s="512">
        <f t="shared" si="133"/>
        <v>455</v>
      </c>
      <c r="EQ312" s="281"/>
      <c r="ER312" s="503"/>
      <c r="ES312" s="281"/>
      <c r="ET312" s="503"/>
      <c r="EU312" s="281"/>
      <c r="EV312" s="503"/>
      <c r="EW312" s="281"/>
      <c r="EX312" s="503"/>
      <c r="EY312" s="281"/>
      <c r="EZ312" s="503"/>
      <c r="FA312" s="281"/>
      <c r="FB312" s="503"/>
      <c r="FC312" s="281"/>
      <c r="FD312" s="503"/>
      <c r="FE312" s="281"/>
      <c r="FF312" s="503"/>
      <c r="FG312" s="281"/>
      <c r="FH312" s="503"/>
      <c r="FI312" s="281"/>
      <c r="FJ312" s="503"/>
      <c r="FK312" s="50">
        <f t="shared" si="134"/>
        <v>0</v>
      </c>
      <c r="FL312" s="509">
        <f t="shared" si="135"/>
        <v>0</v>
      </c>
      <c r="FM312" s="50">
        <f t="shared" si="117"/>
        <v>1359</v>
      </c>
      <c r="FN312" s="513">
        <f t="shared" si="118"/>
        <v>1360</v>
      </c>
      <c r="FO312" s="514"/>
      <c r="FP312" s="279"/>
      <c r="FQ312" s="52"/>
      <c r="FR312" s="296"/>
      <c r="FS312" s="98"/>
      <c r="FT312" s="467"/>
      <c r="FU312" s="52"/>
      <c r="FV312" s="296"/>
      <c r="FW312" s="98"/>
      <c r="FX312" s="467"/>
      <c r="FY312" s="52"/>
      <c r="FZ312" s="296"/>
      <c r="GA312" s="98"/>
      <c r="GB312" s="467"/>
      <c r="GC312" s="52"/>
      <c r="GD312" s="296"/>
      <c r="GE312" s="98"/>
      <c r="GF312" s="467"/>
      <c r="GG312" s="52"/>
      <c r="GH312" s="296"/>
      <c r="GI312" s="98"/>
      <c r="GJ312" s="467"/>
      <c r="GK312" s="52"/>
      <c r="GL312" s="296"/>
      <c r="GM312" s="464"/>
      <c r="GN312" s="467"/>
      <c r="GO312" s="52"/>
      <c r="GP312" s="296"/>
      <c r="GQ312" s="464"/>
      <c r="GR312" s="467"/>
      <c r="GS312" s="52"/>
      <c r="GT312" s="296"/>
      <c r="GU312" s="464"/>
      <c r="GV312" s="467"/>
      <c r="GW312" s="52"/>
      <c r="GX312" s="296"/>
      <c r="GY312" s="464"/>
      <c r="GZ312" s="467"/>
      <c r="HA312" s="52"/>
      <c r="HB312" s="296"/>
      <c r="HC312" s="514"/>
    </row>
    <row r="313" spans="1:211" s="85" customFormat="1">
      <c r="A313" s="502" t="s">
        <v>983</v>
      </c>
      <c r="B313" s="315" t="s">
        <v>352</v>
      </c>
      <c r="C313" s="314">
        <v>176017</v>
      </c>
      <c r="D313" s="343">
        <v>2</v>
      </c>
      <c r="E313" s="460"/>
      <c r="F313" s="503"/>
      <c r="G313" s="158"/>
      <c r="H313" s="503"/>
      <c r="I313" s="158"/>
      <c r="J313" s="589"/>
      <c r="K313" s="504">
        <f t="shared" si="119"/>
        <v>0</v>
      </c>
      <c r="L313" s="505">
        <f t="shared" si="112"/>
        <v>0</v>
      </c>
      <c r="M313" s="54">
        <v>2450</v>
      </c>
      <c r="N313" s="55">
        <v>218</v>
      </c>
      <c r="O313" s="55"/>
      <c r="P313" s="55"/>
      <c r="Q313" s="162">
        <f t="shared" si="120"/>
        <v>218</v>
      </c>
      <c r="R313" s="503">
        <v>2506</v>
      </c>
      <c r="S313" s="503">
        <v>307</v>
      </c>
      <c r="T313" s="503"/>
      <c r="U313" s="503"/>
      <c r="V313" s="97">
        <f t="shared" si="121"/>
        <v>307</v>
      </c>
      <c r="W313" s="279"/>
      <c r="X313" s="52"/>
      <c r="Y313" s="99"/>
      <c r="Z313" s="53"/>
      <c r="AA313" s="228"/>
      <c r="AB313" s="52"/>
      <c r="AC313" s="99"/>
      <c r="AD313" s="53"/>
      <c r="AE313" s="228"/>
      <c r="AF313" s="52"/>
      <c r="AG313" s="99"/>
      <c r="AH313" s="53"/>
      <c r="AI313" s="228"/>
      <c r="AJ313" s="52"/>
      <c r="AK313" s="99"/>
      <c r="AL313" s="53"/>
      <c r="AM313" s="228"/>
      <c r="AN313" s="52"/>
      <c r="AO313" s="99"/>
      <c r="AP313" s="53"/>
      <c r="AQ313" s="50">
        <f t="shared" si="113"/>
        <v>0</v>
      </c>
      <c r="AR313" s="506">
        <f t="shared" si="114"/>
        <v>0.72938374516225069</v>
      </c>
      <c r="AS313" s="97">
        <f t="shared" si="115"/>
        <v>0</v>
      </c>
      <c r="AT313" s="507">
        <f t="shared" si="116"/>
        <v>0.75527426160337552</v>
      </c>
      <c r="AU313" s="55"/>
      <c r="AV313" s="503"/>
      <c r="AW313" s="279">
        <v>13</v>
      </c>
      <c r="AX313" s="52">
        <v>271</v>
      </c>
      <c r="AY313" s="105">
        <v>13</v>
      </c>
      <c r="AZ313" s="98">
        <v>202</v>
      </c>
      <c r="BA313" s="279">
        <v>52</v>
      </c>
      <c r="BB313" s="52">
        <v>104</v>
      </c>
      <c r="BC313" s="105">
        <v>52</v>
      </c>
      <c r="BD313" s="98">
        <v>114</v>
      </c>
      <c r="BE313" s="279">
        <v>14</v>
      </c>
      <c r="BF313" s="52">
        <v>46</v>
      </c>
      <c r="BG313" s="105">
        <v>14</v>
      </c>
      <c r="BH313" s="98">
        <v>36</v>
      </c>
      <c r="BI313" s="279">
        <v>51</v>
      </c>
      <c r="BJ313" s="52">
        <v>25</v>
      </c>
      <c r="BK313" s="105">
        <v>50</v>
      </c>
      <c r="BL313" s="98">
        <v>27</v>
      </c>
      <c r="BM313" s="279">
        <v>9</v>
      </c>
      <c r="BN313" s="52">
        <v>18</v>
      </c>
      <c r="BO313" s="105">
        <v>51</v>
      </c>
      <c r="BP313" s="98">
        <v>23</v>
      </c>
      <c r="BQ313" s="279">
        <v>31</v>
      </c>
      <c r="BR313" s="52">
        <v>17</v>
      </c>
      <c r="BS313" s="105">
        <v>16</v>
      </c>
      <c r="BT313" s="98">
        <v>13</v>
      </c>
      <c r="BU313" s="279">
        <v>45</v>
      </c>
      <c r="BV313" s="52">
        <v>16</v>
      </c>
      <c r="BW313" s="105">
        <v>45</v>
      </c>
      <c r="BX313" s="98">
        <v>12</v>
      </c>
      <c r="BY313" s="279">
        <v>23</v>
      </c>
      <c r="BZ313" s="52">
        <v>15</v>
      </c>
      <c r="CA313" s="105">
        <v>23</v>
      </c>
      <c r="CB313" s="98">
        <v>7</v>
      </c>
      <c r="CC313" s="279">
        <v>50</v>
      </c>
      <c r="CD313" s="52">
        <v>14</v>
      </c>
      <c r="CE313" s="105">
        <v>5</v>
      </c>
      <c r="CF313" s="98">
        <v>6</v>
      </c>
      <c r="CG313" s="279">
        <v>5</v>
      </c>
      <c r="CH313" s="52">
        <v>11</v>
      </c>
      <c r="CI313" s="105">
        <v>9</v>
      </c>
      <c r="CJ313" s="98">
        <v>6</v>
      </c>
      <c r="CK313" s="281"/>
      <c r="CL313" s="503"/>
      <c r="CM313" s="159">
        <v>40</v>
      </c>
      <c r="CN313" s="503">
        <v>29</v>
      </c>
      <c r="CO313" s="50">
        <f t="shared" si="122"/>
        <v>577</v>
      </c>
      <c r="CP313" s="103">
        <f t="shared" si="123"/>
        <v>10</v>
      </c>
      <c r="CQ313" s="508">
        <f t="shared" si="124"/>
        <v>475</v>
      </c>
      <c r="CR313" s="509">
        <f t="shared" si="125"/>
        <v>10</v>
      </c>
      <c r="CS313" s="279">
        <v>13</v>
      </c>
      <c r="CT313" s="52">
        <v>20</v>
      </c>
      <c r="CU313" s="105">
        <v>13</v>
      </c>
      <c r="CV313" s="98">
        <v>21</v>
      </c>
      <c r="CW313" s="279">
        <v>52</v>
      </c>
      <c r="CX313" s="52">
        <v>14</v>
      </c>
      <c r="CY313" s="105">
        <v>14</v>
      </c>
      <c r="CZ313" s="98">
        <v>14</v>
      </c>
      <c r="DA313" s="279">
        <v>51</v>
      </c>
      <c r="DB313" s="52">
        <v>13</v>
      </c>
      <c r="DC313" s="105">
        <v>23</v>
      </c>
      <c r="DD313" s="98">
        <v>13</v>
      </c>
      <c r="DE313" s="279">
        <v>14</v>
      </c>
      <c r="DF313" s="52">
        <v>9</v>
      </c>
      <c r="DG313" s="105">
        <v>51</v>
      </c>
      <c r="DH313" s="98">
        <v>12</v>
      </c>
      <c r="DI313" s="279">
        <v>42</v>
      </c>
      <c r="DJ313" s="52">
        <v>7</v>
      </c>
      <c r="DK313" s="105">
        <v>27</v>
      </c>
      <c r="DL313" s="98">
        <v>6</v>
      </c>
      <c r="DM313" s="279">
        <v>23</v>
      </c>
      <c r="DN313" s="52">
        <v>6</v>
      </c>
      <c r="DO313" s="105">
        <v>52</v>
      </c>
      <c r="DP313" s="98">
        <v>6</v>
      </c>
      <c r="DQ313" s="279">
        <v>40</v>
      </c>
      <c r="DR313" s="52">
        <v>5</v>
      </c>
      <c r="DS313" s="105">
        <v>42</v>
      </c>
      <c r="DT313" s="98">
        <v>6</v>
      </c>
      <c r="DU313" s="279">
        <v>50</v>
      </c>
      <c r="DV313" s="52">
        <v>4</v>
      </c>
      <c r="DW313" s="105">
        <v>54</v>
      </c>
      <c r="DX313" s="98">
        <v>5</v>
      </c>
      <c r="DY313" s="279">
        <v>45</v>
      </c>
      <c r="DZ313" s="52">
        <v>3</v>
      </c>
      <c r="EA313" s="105">
        <v>40</v>
      </c>
      <c r="EB313" s="98">
        <v>4</v>
      </c>
      <c r="EC313" s="279">
        <v>54</v>
      </c>
      <c r="ED313" s="52">
        <v>3</v>
      </c>
      <c r="EE313" s="105">
        <v>45</v>
      </c>
      <c r="EF313" s="98">
        <v>4</v>
      </c>
      <c r="EG313" s="159">
        <v>3</v>
      </c>
      <c r="EH313" s="503">
        <v>8</v>
      </c>
      <c r="EI313" s="50">
        <f t="shared" si="126"/>
        <v>87</v>
      </c>
      <c r="EJ313" s="103">
        <f t="shared" si="127"/>
        <v>10</v>
      </c>
      <c r="EK313" s="510">
        <f t="shared" si="128"/>
        <v>0.22988505747126436</v>
      </c>
      <c r="EL313" s="508">
        <f t="shared" si="129"/>
        <v>99</v>
      </c>
      <c r="EM313" s="509">
        <f t="shared" si="130"/>
        <v>10</v>
      </c>
      <c r="EN313" s="511">
        <f t="shared" si="131"/>
        <v>0.21212121212121213</v>
      </c>
      <c r="EO313" s="51">
        <f t="shared" si="132"/>
        <v>664</v>
      </c>
      <c r="EP313" s="512">
        <f t="shared" si="133"/>
        <v>574</v>
      </c>
      <c r="EQ313" s="281">
        <v>175</v>
      </c>
      <c r="ER313" s="503">
        <v>163</v>
      </c>
      <c r="ES313" s="281"/>
      <c r="ET313" s="503"/>
      <c r="EU313" s="281"/>
      <c r="EV313" s="503"/>
      <c r="EW313" s="281">
        <v>70</v>
      </c>
      <c r="EX313" s="503">
        <v>75</v>
      </c>
      <c r="EY313" s="281"/>
      <c r="EZ313" s="503"/>
      <c r="FA313" s="281"/>
      <c r="FB313" s="503"/>
      <c r="FC313" s="281"/>
      <c r="FD313" s="503"/>
      <c r="FE313" s="281"/>
      <c r="FF313" s="503"/>
      <c r="FG313" s="281"/>
      <c r="FH313" s="503"/>
      <c r="FI313" s="281"/>
      <c r="FJ313" s="503"/>
      <c r="FK313" s="50">
        <f t="shared" si="134"/>
        <v>245</v>
      </c>
      <c r="FL313" s="509">
        <f t="shared" si="135"/>
        <v>238</v>
      </c>
      <c r="FM313" s="50">
        <f t="shared" si="117"/>
        <v>3359</v>
      </c>
      <c r="FN313" s="513">
        <f t="shared" si="118"/>
        <v>3318</v>
      </c>
      <c r="FO313" s="514"/>
      <c r="FP313" s="279"/>
      <c r="FQ313" s="52"/>
      <c r="FR313" s="296"/>
      <c r="FS313" s="98"/>
      <c r="FT313" s="467"/>
      <c r="FU313" s="52"/>
      <c r="FV313" s="296"/>
      <c r="FW313" s="98"/>
      <c r="FX313" s="467"/>
      <c r="FY313" s="52"/>
      <c r="FZ313" s="296"/>
      <c r="GA313" s="98"/>
      <c r="GB313" s="467"/>
      <c r="GC313" s="52"/>
      <c r="GD313" s="296"/>
      <c r="GE313" s="98"/>
      <c r="GF313" s="467"/>
      <c r="GG313" s="52"/>
      <c r="GH313" s="296"/>
      <c r="GI313" s="98"/>
      <c r="GJ313" s="467"/>
      <c r="GK313" s="52"/>
      <c r="GL313" s="296"/>
      <c r="GM313" s="464"/>
      <c r="GN313" s="467"/>
      <c r="GO313" s="52"/>
      <c r="GP313" s="296"/>
      <c r="GQ313" s="464"/>
      <c r="GR313" s="467"/>
      <c r="GS313" s="52"/>
      <c r="GT313" s="296"/>
      <c r="GU313" s="464"/>
      <c r="GV313" s="467"/>
      <c r="GW313" s="52"/>
      <c r="GX313" s="296"/>
      <c r="GY313" s="464"/>
      <c r="GZ313" s="467"/>
      <c r="HA313" s="52"/>
      <c r="HB313" s="296"/>
      <c r="HC313" s="514"/>
    </row>
    <row r="314" spans="1:211" s="85" customFormat="1">
      <c r="A314" s="502" t="s">
        <v>983</v>
      </c>
      <c r="B314" s="315" t="s">
        <v>353</v>
      </c>
      <c r="C314" s="314">
        <v>175342</v>
      </c>
      <c r="D314" s="343">
        <v>4</v>
      </c>
      <c r="E314" s="460"/>
      <c r="F314" s="503"/>
      <c r="G314" s="158"/>
      <c r="H314" s="503"/>
      <c r="I314" s="158">
        <v>40</v>
      </c>
      <c r="J314" s="589">
        <v>27</v>
      </c>
      <c r="K314" s="504">
        <f t="shared" si="119"/>
        <v>9.0090090090090086E-2</v>
      </c>
      <c r="L314" s="505">
        <f t="shared" si="112"/>
        <v>6.1503416856492028E-2</v>
      </c>
      <c r="M314" s="54">
        <v>444</v>
      </c>
      <c r="N314" s="55">
        <v>36</v>
      </c>
      <c r="O314" s="55"/>
      <c r="P314" s="55"/>
      <c r="Q314" s="162">
        <f t="shared" si="120"/>
        <v>36</v>
      </c>
      <c r="R314" s="503">
        <v>439</v>
      </c>
      <c r="S314" s="503">
        <v>20</v>
      </c>
      <c r="T314" s="503"/>
      <c r="U314" s="503"/>
      <c r="V314" s="97">
        <f t="shared" si="121"/>
        <v>20</v>
      </c>
      <c r="W314" s="279"/>
      <c r="X314" s="52"/>
      <c r="Y314" s="99"/>
      <c r="Z314" s="53"/>
      <c r="AA314" s="228"/>
      <c r="AB314" s="52"/>
      <c r="AC314" s="99"/>
      <c r="AD314" s="53"/>
      <c r="AE314" s="228"/>
      <c r="AF314" s="52"/>
      <c r="AG314" s="99"/>
      <c r="AH314" s="53"/>
      <c r="AI314" s="228"/>
      <c r="AJ314" s="52"/>
      <c r="AK314" s="99"/>
      <c r="AL314" s="53"/>
      <c r="AM314" s="228"/>
      <c r="AN314" s="52"/>
      <c r="AO314" s="99"/>
      <c r="AP314" s="53"/>
      <c r="AQ314" s="50">
        <f t="shared" si="113"/>
        <v>0</v>
      </c>
      <c r="AR314" s="506">
        <f t="shared" si="114"/>
        <v>0.70813397129186606</v>
      </c>
      <c r="AS314" s="97">
        <f t="shared" si="115"/>
        <v>0</v>
      </c>
      <c r="AT314" s="507">
        <f t="shared" si="116"/>
        <v>0.69793322734499208</v>
      </c>
      <c r="AU314" s="55"/>
      <c r="AV314" s="503"/>
      <c r="AW314" s="279">
        <v>13</v>
      </c>
      <c r="AX314" s="52">
        <v>105</v>
      </c>
      <c r="AY314" s="105">
        <v>13</v>
      </c>
      <c r="AZ314" s="98">
        <v>130</v>
      </c>
      <c r="BA314" s="279">
        <v>51</v>
      </c>
      <c r="BB314" s="52">
        <v>17</v>
      </c>
      <c r="BC314" s="105">
        <v>26</v>
      </c>
      <c r="BD314" s="98">
        <v>11</v>
      </c>
      <c r="BE314" s="279">
        <v>52</v>
      </c>
      <c r="BF314" s="52">
        <v>12</v>
      </c>
      <c r="BG314" s="105">
        <v>51</v>
      </c>
      <c r="BH314" s="98">
        <v>10</v>
      </c>
      <c r="BI314" s="279">
        <v>26</v>
      </c>
      <c r="BJ314" s="52">
        <v>7</v>
      </c>
      <c r="BK314" s="105">
        <v>52</v>
      </c>
      <c r="BL314" s="98">
        <v>10</v>
      </c>
      <c r="BM314" s="279">
        <v>1</v>
      </c>
      <c r="BN314" s="52">
        <v>1</v>
      </c>
      <c r="BO314" s="105">
        <v>1</v>
      </c>
      <c r="BP314" s="98">
        <v>2</v>
      </c>
      <c r="BQ314" s="279">
        <v>11</v>
      </c>
      <c r="BR314" s="52">
        <v>1</v>
      </c>
      <c r="BS314" s="105"/>
      <c r="BT314" s="98"/>
      <c r="BU314" s="279"/>
      <c r="BV314" s="52"/>
      <c r="BW314" s="105"/>
      <c r="BX314" s="98"/>
      <c r="BY314" s="279"/>
      <c r="BZ314" s="52"/>
      <c r="CA314" s="105"/>
      <c r="CB314" s="98"/>
      <c r="CC314" s="279"/>
      <c r="CD314" s="52"/>
      <c r="CE314" s="105"/>
      <c r="CF314" s="98"/>
      <c r="CG314" s="279"/>
      <c r="CH314" s="52"/>
      <c r="CI314" s="105"/>
      <c r="CJ314" s="98"/>
      <c r="CK314" s="281"/>
      <c r="CL314" s="503"/>
      <c r="CM314" s="159"/>
      <c r="CN314" s="503"/>
      <c r="CO314" s="50">
        <f t="shared" si="122"/>
        <v>143</v>
      </c>
      <c r="CP314" s="103">
        <f t="shared" si="123"/>
        <v>6</v>
      </c>
      <c r="CQ314" s="508">
        <f t="shared" si="124"/>
        <v>163</v>
      </c>
      <c r="CR314" s="509">
        <f t="shared" si="125"/>
        <v>5</v>
      </c>
      <c r="CS314" s="279"/>
      <c r="CT314" s="52"/>
      <c r="CU314" s="105"/>
      <c r="CV314" s="98"/>
      <c r="CW314" s="279"/>
      <c r="CX314" s="52"/>
      <c r="CY314" s="105"/>
      <c r="CZ314" s="98"/>
      <c r="DA314" s="279"/>
      <c r="DB314" s="52"/>
      <c r="DC314" s="105"/>
      <c r="DD314" s="98"/>
      <c r="DE314" s="279"/>
      <c r="DF314" s="52"/>
      <c r="DG314" s="105"/>
      <c r="DH314" s="98"/>
      <c r="DI314" s="279"/>
      <c r="DJ314" s="52"/>
      <c r="DK314" s="105"/>
      <c r="DL314" s="98"/>
      <c r="DM314" s="279"/>
      <c r="DN314" s="52"/>
      <c r="DO314" s="105"/>
      <c r="DP314" s="98"/>
      <c r="DQ314" s="279"/>
      <c r="DR314" s="52"/>
      <c r="DS314" s="105"/>
      <c r="DT314" s="98"/>
      <c r="DU314" s="279"/>
      <c r="DV314" s="52"/>
      <c r="DW314" s="105"/>
      <c r="DX314" s="98"/>
      <c r="DY314" s="279"/>
      <c r="DZ314" s="52"/>
      <c r="EA314" s="105"/>
      <c r="EB314" s="98"/>
      <c r="EC314" s="279"/>
      <c r="ED314" s="52"/>
      <c r="EE314" s="105"/>
      <c r="EF314" s="98"/>
      <c r="EG314" s="159"/>
      <c r="EH314" s="503"/>
      <c r="EI314" s="50">
        <f t="shared" si="126"/>
        <v>0</v>
      </c>
      <c r="EJ314" s="103">
        <f t="shared" si="127"/>
        <v>0</v>
      </c>
      <c r="EK314" s="510">
        <f t="shared" si="128"/>
        <v>0</v>
      </c>
      <c r="EL314" s="508">
        <f t="shared" si="129"/>
        <v>0</v>
      </c>
      <c r="EM314" s="509">
        <f t="shared" si="130"/>
        <v>0</v>
      </c>
      <c r="EN314" s="511">
        <f t="shared" si="131"/>
        <v>0</v>
      </c>
      <c r="EO314" s="51">
        <f t="shared" si="132"/>
        <v>143</v>
      </c>
      <c r="EP314" s="512">
        <f t="shared" si="133"/>
        <v>163</v>
      </c>
      <c r="EQ314" s="281"/>
      <c r="ER314" s="503"/>
      <c r="ES314" s="281"/>
      <c r="ET314" s="503"/>
      <c r="EU314" s="281"/>
      <c r="EV314" s="503"/>
      <c r="EW314" s="281"/>
      <c r="EX314" s="503"/>
      <c r="EY314" s="281"/>
      <c r="EZ314" s="503"/>
      <c r="FA314" s="281"/>
      <c r="FB314" s="503"/>
      <c r="FC314" s="281"/>
      <c r="FD314" s="503"/>
      <c r="FE314" s="281"/>
      <c r="FF314" s="503"/>
      <c r="FG314" s="281"/>
      <c r="FH314" s="503"/>
      <c r="FI314" s="281"/>
      <c r="FJ314" s="503"/>
      <c r="FK314" s="50">
        <f t="shared" si="134"/>
        <v>0</v>
      </c>
      <c r="FL314" s="509">
        <f t="shared" si="135"/>
        <v>0</v>
      </c>
      <c r="FM314" s="50">
        <f t="shared" si="117"/>
        <v>627</v>
      </c>
      <c r="FN314" s="513">
        <f t="shared" si="118"/>
        <v>629</v>
      </c>
      <c r="FO314" s="514"/>
      <c r="FP314" s="279"/>
      <c r="FQ314" s="52"/>
      <c r="FR314" s="296"/>
      <c r="FS314" s="98"/>
      <c r="FT314" s="467"/>
      <c r="FU314" s="52"/>
      <c r="FV314" s="296"/>
      <c r="FW314" s="98"/>
      <c r="FX314" s="467"/>
      <c r="FY314" s="52"/>
      <c r="FZ314" s="296"/>
      <c r="GA314" s="98"/>
      <c r="GB314" s="467"/>
      <c r="GC314" s="52"/>
      <c r="GD314" s="296"/>
      <c r="GE314" s="98"/>
      <c r="GF314" s="467"/>
      <c r="GG314" s="52"/>
      <c r="GH314" s="296"/>
      <c r="GI314" s="98"/>
      <c r="GJ314" s="467"/>
      <c r="GK314" s="52"/>
      <c r="GL314" s="296"/>
      <c r="GM314" s="464"/>
      <c r="GN314" s="467"/>
      <c r="GO314" s="52"/>
      <c r="GP314" s="296"/>
      <c r="GQ314" s="464"/>
      <c r="GR314" s="467"/>
      <c r="GS314" s="52"/>
      <c r="GT314" s="296"/>
      <c r="GU314" s="464"/>
      <c r="GV314" s="467"/>
      <c r="GW314" s="52"/>
      <c r="GX314" s="296"/>
      <c r="GY314" s="464"/>
      <c r="GZ314" s="467"/>
      <c r="HA314" s="52"/>
      <c r="HB314" s="296"/>
      <c r="HC314" s="514"/>
    </row>
    <row r="315" spans="1:211" s="85" customFormat="1">
      <c r="A315" s="502" t="s">
        <v>983</v>
      </c>
      <c r="B315" s="315" t="s">
        <v>354</v>
      </c>
      <c r="C315" s="314">
        <v>175616</v>
      </c>
      <c r="D315" s="343">
        <v>4</v>
      </c>
      <c r="E315" s="460"/>
      <c r="F315" s="503"/>
      <c r="G315" s="158"/>
      <c r="H315" s="503"/>
      <c r="I315" s="158"/>
      <c r="J315" s="589"/>
      <c r="K315" s="504">
        <f t="shared" si="119"/>
        <v>0</v>
      </c>
      <c r="L315" s="505">
        <f t="shared" si="112"/>
        <v>0</v>
      </c>
      <c r="M315" s="54">
        <v>634</v>
      </c>
      <c r="N315" s="55">
        <v>114</v>
      </c>
      <c r="O315" s="55"/>
      <c r="P315" s="55"/>
      <c r="Q315" s="162">
        <f t="shared" si="120"/>
        <v>114</v>
      </c>
      <c r="R315" s="503">
        <v>598</v>
      </c>
      <c r="S315" s="503">
        <v>105</v>
      </c>
      <c r="T315" s="503"/>
      <c r="U315" s="503"/>
      <c r="V315" s="97">
        <f t="shared" si="121"/>
        <v>105</v>
      </c>
      <c r="W315" s="279"/>
      <c r="X315" s="52"/>
      <c r="Y315" s="99"/>
      <c r="Z315" s="53"/>
      <c r="AA315" s="228"/>
      <c r="AB315" s="52"/>
      <c r="AC315" s="99"/>
      <c r="AD315" s="53"/>
      <c r="AE315" s="228"/>
      <c r="AF315" s="52"/>
      <c r="AG315" s="99"/>
      <c r="AH315" s="53"/>
      <c r="AI315" s="228"/>
      <c r="AJ315" s="52"/>
      <c r="AK315" s="99"/>
      <c r="AL315" s="53"/>
      <c r="AM315" s="228"/>
      <c r="AN315" s="52"/>
      <c r="AO315" s="99"/>
      <c r="AP315" s="53"/>
      <c r="AQ315" s="50">
        <f t="shared" si="113"/>
        <v>0</v>
      </c>
      <c r="AR315" s="506">
        <f t="shared" si="114"/>
        <v>0.74588235294117644</v>
      </c>
      <c r="AS315" s="97">
        <f t="shared" si="115"/>
        <v>0</v>
      </c>
      <c r="AT315" s="507">
        <f t="shared" si="116"/>
        <v>0.67570621468926551</v>
      </c>
      <c r="AU315" s="55"/>
      <c r="AV315" s="503"/>
      <c r="AW315" s="279">
        <v>13</v>
      </c>
      <c r="AX315" s="52">
        <v>118</v>
      </c>
      <c r="AY315" s="105">
        <v>13</v>
      </c>
      <c r="AZ315" s="98">
        <v>150</v>
      </c>
      <c r="BA315" s="279">
        <v>52</v>
      </c>
      <c r="BB315" s="52">
        <v>33</v>
      </c>
      <c r="BC315" s="105">
        <v>52</v>
      </c>
      <c r="BD315" s="98">
        <v>72</v>
      </c>
      <c r="BE315" s="279">
        <v>51</v>
      </c>
      <c r="BF315" s="52">
        <v>29</v>
      </c>
      <c r="BG315" s="105">
        <v>51</v>
      </c>
      <c r="BH315" s="98">
        <v>33</v>
      </c>
      <c r="BI315" s="279">
        <v>49</v>
      </c>
      <c r="BJ315" s="52">
        <v>11</v>
      </c>
      <c r="BK315" s="105">
        <v>49</v>
      </c>
      <c r="BL315" s="98">
        <v>15</v>
      </c>
      <c r="BM315" s="279">
        <v>43</v>
      </c>
      <c r="BN315" s="52">
        <v>9</v>
      </c>
      <c r="BO315" s="105">
        <v>44</v>
      </c>
      <c r="BP315" s="98">
        <v>8</v>
      </c>
      <c r="BQ315" s="279">
        <v>44</v>
      </c>
      <c r="BR315" s="52">
        <v>9</v>
      </c>
      <c r="BS315" s="105">
        <v>30</v>
      </c>
      <c r="BT315" s="98">
        <v>2</v>
      </c>
      <c r="BU315" s="279">
        <v>30</v>
      </c>
      <c r="BV315" s="52">
        <v>2</v>
      </c>
      <c r="BW315" s="105">
        <v>43</v>
      </c>
      <c r="BX315" s="98">
        <v>2</v>
      </c>
      <c r="BY315" s="279"/>
      <c r="BZ315" s="52"/>
      <c r="CA315" s="105"/>
      <c r="CB315" s="98"/>
      <c r="CC315" s="279"/>
      <c r="CD315" s="52"/>
      <c r="CE315" s="105"/>
      <c r="CF315" s="98"/>
      <c r="CG315" s="279"/>
      <c r="CH315" s="52"/>
      <c r="CI315" s="105"/>
      <c r="CJ315" s="98"/>
      <c r="CK315" s="281"/>
      <c r="CL315" s="503"/>
      <c r="CM315" s="159"/>
      <c r="CN315" s="503"/>
      <c r="CO315" s="50">
        <f t="shared" si="122"/>
        <v>211</v>
      </c>
      <c r="CP315" s="103">
        <f t="shared" si="123"/>
        <v>7</v>
      </c>
      <c r="CQ315" s="508">
        <f t="shared" si="124"/>
        <v>282</v>
      </c>
      <c r="CR315" s="509">
        <f t="shared" si="125"/>
        <v>7</v>
      </c>
      <c r="CS315" s="279">
        <v>13</v>
      </c>
      <c r="CT315" s="52">
        <v>5</v>
      </c>
      <c r="CU315" s="105">
        <v>13</v>
      </c>
      <c r="CV315" s="98">
        <v>5</v>
      </c>
      <c r="CW315" s="279"/>
      <c r="CX315" s="52"/>
      <c r="CY315" s="105"/>
      <c r="CZ315" s="98"/>
      <c r="DA315" s="279"/>
      <c r="DB315" s="52"/>
      <c r="DC315" s="105"/>
      <c r="DD315" s="98"/>
      <c r="DE315" s="279"/>
      <c r="DF315" s="52"/>
      <c r="DG315" s="105"/>
      <c r="DH315" s="98"/>
      <c r="DI315" s="279"/>
      <c r="DJ315" s="52"/>
      <c r="DK315" s="105"/>
      <c r="DL315" s="98"/>
      <c r="DM315" s="279"/>
      <c r="DN315" s="52"/>
      <c r="DO315" s="105"/>
      <c r="DP315" s="98"/>
      <c r="DQ315" s="279"/>
      <c r="DR315" s="52"/>
      <c r="DS315" s="105"/>
      <c r="DT315" s="98"/>
      <c r="DU315" s="279"/>
      <c r="DV315" s="52"/>
      <c r="DW315" s="105"/>
      <c r="DX315" s="98"/>
      <c r="DY315" s="279"/>
      <c r="DZ315" s="52"/>
      <c r="EA315" s="105"/>
      <c r="EB315" s="98"/>
      <c r="EC315" s="279"/>
      <c r="ED315" s="52"/>
      <c r="EE315" s="105"/>
      <c r="EF315" s="98"/>
      <c r="EG315" s="159"/>
      <c r="EH315" s="503"/>
      <c r="EI315" s="50">
        <f t="shared" si="126"/>
        <v>5</v>
      </c>
      <c r="EJ315" s="103">
        <f t="shared" si="127"/>
        <v>1</v>
      </c>
      <c r="EK315" s="510">
        <f t="shared" si="128"/>
        <v>1</v>
      </c>
      <c r="EL315" s="508">
        <f t="shared" si="129"/>
        <v>5</v>
      </c>
      <c r="EM315" s="509">
        <f t="shared" si="130"/>
        <v>1</v>
      </c>
      <c r="EN315" s="511">
        <f t="shared" si="131"/>
        <v>1</v>
      </c>
      <c r="EO315" s="51">
        <f t="shared" si="132"/>
        <v>216</v>
      </c>
      <c r="EP315" s="512">
        <f t="shared" si="133"/>
        <v>287</v>
      </c>
      <c r="EQ315" s="281"/>
      <c r="ER315" s="503"/>
      <c r="ES315" s="281"/>
      <c r="ET315" s="503"/>
      <c r="EU315" s="281"/>
      <c r="EV315" s="503"/>
      <c r="EW315" s="281"/>
      <c r="EX315" s="503"/>
      <c r="EY315" s="281"/>
      <c r="EZ315" s="503"/>
      <c r="FA315" s="281"/>
      <c r="FB315" s="503"/>
      <c r="FC315" s="281"/>
      <c r="FD315" s="503"/>
      <c r="FE315" s="281"/>
      <c r="FF315" s="503"/>
      <c r="FG315" s="281"/>
      <c r="FH315" s="503"/>
      <c r="FI315" s="281"/>
      <c r="FJ315" s="503"/>
      <c r="FK315" s="50">
        <f t="shared" si="134"/>
        <v>0</v>
      </c>
      <c r="FL315" s="509">
        <f t="shared" si="135"/>
        <v>0</v>
      </c>
      <c r="FM315" s="50">
        <f t="shared" si="117"/>
        <v>850</v>
      </c>
      <c r="FN315" s="513">
        <f t="shared" si="118"/>
        <v>885</v>
      </c>
      <c r="FO315" s="514"/>
      <c r="FP315" s="279"/>
      <c r="FQ315" s="52"/>
      <c r="FR315" s="296"/>
      <c r="FS315" s="98"/>
      <c r="FT315" s="467"/>
      <c r="FU315" s="52"/>
      <c r="FV315" s="296"/>
      <c r="FW315" s="98"/>
      <c r="FX315" s="467"/>
      <c r="FY315" s="52"/>
      <c r="FZ315" s="296"/>
      <c r="GA315" s="98"/>
      <c r="GB315" s="467"/>
      <c r="GC315" s="52"/>
      <c r="GD315" s="296"/>
      <c r="GE315" s="98"/>
      <c r="GF315" s="467"/>
      <c r="GG315" s="52"/>
      <c r="GH315" s="296"/>
      <c r="GI315" s="98"/>
      <c r="GJ315" s="467"/>
      <c r="GK315" s="52"/>
      <c r="GL315" s="296"/>
      <c r="GM315" s="464"/>
      <c r="GN315" s="467"/>
      <c r="GO315" s="52"/>
      <c r="GP315" s="296"/>
      <c r="GQ315" s="464"/>
      <c r="GR315" s="467"/>
      <c r="GS315" s="52"/>
      <c r="GT315" s="296"/>
      <c r="GU315" s="464"/>
      <c r="GV315" s="467"/>
      <c r="GW315" s="52"/>
      <c r="GX315" s="296"/>
      <c r="GY315" s="464"/>
      <c r="GZ315" s="467"/>
      <c r="HA315" s="52"/>
      <c r="HB315" s="296"/>
      <c r="HC315" s="514"/>
    </row>
    <row r="316" spans="1:211" s="85" customFormat="1">
      <c r="A316" s="502" t="s">
        <v>983</v>
      </c>
      <c r="B316" s="515" t="s">
        <v>356</v>
      </c>
      <c r="C316" s="516">
        <v>176044</v>
      </c>
      <c r="D316" s="480">
        <v>4</v>
      </c>
      <c r="E316" s="460"/>
      <c r="F316" s="503"/>
      <c r="G316" s="158"/>
      <c r="H316" s="503"/>
      <c r="I316" s="158"/>
      <c r="J316" s="589"/>
      <c r="K316" s="504">
        <f>IF(M316&gt;0,I316/M316, )</f>
        <v>0</v>
      </c>
      <c r="L316" s="505">
        <f t="shared" si="112"/>
        <v>0</v>
      </c>
      <c r="M316" s="54">
        <v>375</v>
      </c>
      <c r="N316" s="55">
        <v>107</v>
      </c>
      <c r="O316" s="55"/>
      <c r="P316" s="55"/>
      <c r="Q316" s="162">
        <f>SUM(N316:P316)</f>
        <v>107</v>
      </c>
      <c r="R316" s="503">
        <v>308</v>
      </c>
      <c r="S316" s="503">
        <v>89</v>
      </c>
      <c r="T316" s="503"/>
      <c r="U316" s="503"/>
      <c r="V316" s="97">
        <f>SUM(S316:U316)</f>
        <v>89</v>
      </c>
      <c r="W316" s="279"/>
      <c r="X316" s="52"/>
      <c r="Y316" s="99"/>
      <c r="Z316" s="53"/>
      <c r="AA316" s="228"/>
      <c r="AB316" s="52"/>
      <c r="AC316" s="99"/>
      <c r="AD316" s="53"/>
      <c r="AE316" s="228"/>
      <c r="AF316" s="52"/>
      <c r="AG316" s="99"/>
      <c r="AH316" s="53"/>
      <c r="AI316" s="228"/>
      <c r="AJ316" s="52"/>
      <c r="AK316" s="99"/>
      <c r="AL316" s="53"/>
      <c r="AM316" s="228"/>
      <c r="AN316" s="52"/>
      <c r="AO316" s="99"/>
      <c r="AP316" s="53"/>
      <c r="AQ316" s="50">
        <f t="shared" si="113"/>
        <v>0</v>
      </c>
      <c r="AR316" s="506">
        <f t="shared" si="114"/>
        <v>0.74404761904761907</v>
      </c>
      <c r="AS316" s="97">
        <f t="shared" si="115"/>
        <v>0</v>
      </c>
      <c r="AT316" s="507">
        <f t="shared" si="116"/>
        <v>0.71794871794871795</v>
      </c>
      <c r="AU316" s="55"/>
      <c r="AV316" s="503"/>
      <c r="AW316" s="279">
        <v>13</v>
      </c>
      <c r="AX316" s="52">
        <v>53</v>
      </c>
      <c r="AY316" s="105">
        <v>43</v>
      </c>
      <c r="AZ316" s="98">
        <v>63</v>
      </c>
      <c r="BA316" s="279">
        <v>43</v>
      </c>
      <c r="BB316" s="52">
        <v>50</v>
      </c>
      <c r="BC316" s="105">
        <v>13</v>
      </c>
      <c r="BD316" s="98">
        <v>24</v>
      </c>
      <c r="BE316" s="279">
        <v>44</v>
      </c>
      <c r="BF316" s="52">
        <v>18</v>
      </c>
      <c r="BG316" s="105">
        <v>44</v>
      </c>
      <c r="BH316" s="98">
        <v>19</v>
      </c>
      <c r="BI316" s="279">
        <v>51</v>
      </c>
      <c r="BJ316" s="52">
        <v>5</v>
      </c>
      <c r="BK316" s="105">
        <v>26</v>
      </c>
      <c r="BL316" s="98">
        <v>6</v>
      </c>
      <c r="BM316" s="279">
        <v>26</v>
      </c>
      <c r="BN316" s="52">
        <v>3</v>
      </c>
      <c r="BO316" s="105">
        <v>52</v>
      </c>
      <c r="BP316" s="98">
        <v>5</v>
      </c>
      <c r="BQ316" s="279"/>
      <c r="BR316" s="52"/>
      <c r="BS316" s="105">
        <v>51</v>
      </c>
      <c r="BT316" s="98">
        <v>4</v>
      </c>
      <c r="BU316" s="279"/>
      <c r="BV316" s="52"/>
      <c r="BW316" s="105"/>
      <c r="BX316" s="98"/>
      <c r="BY316" s="279"/>
      <c r="BZ316" s="52"/>
      <c r="CA316" s="105"/>
      <c r="CB316" s="98"/>
      <c r="CC316" s="279"/>
      <c r="CD316" s="52"/>
      <c r="CE316" s="105"/>
      <c r="CF316" s="98"/>
      <c r="CG316" s="279"/>
      <c r="CH316" s="52"/>
      <c r="CI316" s="105"/>
      <c r="CJ316" s="98"/>
      <c r="CK316" s="281"/>
      <c r="CL316" s="503"/>
      <c r="CM316" s="159"/>
      <c r="CN316" s="503"/>
      <c r="CO316" s="50">
        <f>AX316+BB316+BF316+BJ316+BN316+BR316+BV316+BZ316+CD316+CH316+CK316+CM316</f>
        <v>129</v>
      </c>
      <c r="CP316" s="103">
        <f>COUNTA(AW316,BA316,BE316,BI316,BM316,BQ316,BU316,BY316,CC316,CG316)</f>
        <v>5</v>
      </c>
      <c r="CQ316" s="508">
        <f>AZ316+BD316+BH316+BL316+BP316+BT316+BX316+CF316+CB316+CJ316+CL316+CN316</f>
        <v>121</v>
      </c>
      <c r="CR316" s="509">
        <f>COUNTA(AY316,BC316,BG316,BK316,BO316,BS316,BW316,CE316,CA316,CI316)</f>
        <v>6</v>
      </c>
      <c r="CS316" s="279"/>
      <c r="CT316" s="52"/>
      <c r="CU316" s="105"/>
      <c r="CV316" s="98"/>
      <c r="CW316" s="279"/>
      <c r="CX316" s="52"/>
      <c r="CY316" s="105"/>
      <c r="CZ316" s="98"/>
      <c r="DA316" s="279"/>
      <c r="DB316" s="52"/>
      <c r="DC316" s="105"/>
      <c r="DD316" s="98"/>
      <c r="DE316" s="279"/>
      <c r="DF316" s="52"/>
      <c r="DG316" s="105"/>
      <c r="DH316" s="98"/>
      <c r="DI316" s="279"/>
      <c r="DJ316" s="52"/>
      <c r="DK316" s="105"/>
      <c r="DL316" s="98"/>
      <c r="DM316" s="279"/>
      <c r="DN316" s="52"/>
      <c r="DO316" s="105"/>
      <c r="DP316" s="98"/>
      <c r="DQ316" s="279"/>
      <c r="DR316" s="52"/>
      <c r="DS316" s="105"/>
      <c r="DT316" s="98"/>
      <c r="DU316" s="279"/>
      <c r="DV316" s="52"/>
      <c r="DW316" s="105"/>
      <c r="DX316" s="98"/>
      <c r="DY316" s="279"/>
      <c r="DZ316" s="52"/>
      <c r="EA316" s="105"/>
      <c r="EB316" s="98"/>
      <c r="EC316" s="279"/>
      <c r="ED316" s="52"/>
      <c r="EE316" s="105"/>
      <c r="EF316" s="98"/>
      <c r="EG316" s="159"/>
      <c r="EH316" s="503"/>
      <c r="EI316" s="50">
        <f>CT316+CX316+DB316+DF316+DJ316+DN316+DR316+DV316+DZ316+ED316+EG316</f>
        <v>0</v>
      </c>
      <c r="EJ316" s="103">
        <f>COUNTA(CS316,CW316,DA316,DE316,DI316,DM316,DQ316,DU316,DY316,EC316)</f>
        <v>0</v>
      </c>
      <c r="EK316" s="510">
        <f>IF(EI316&gt;0,CT316/EI316,)</f>
        <v>0</v>
      </c>
      <c r="EL316" s="508">
        <f>CV316+CZ316+DD316+DH316+DL316+DP316+DT316+DX316+EB316+EF316+EH316</f>
        <v>0</v>
      </c>
      <c r="EM316" s="509">
        <f>COUNTA(CU316,CY316,DC316,DG316,DK316,DO316,DS316,DW316,EA316,EE316)</f>
        <v>0</v>
      </c>
      <c r="EN316" s="511">
        <f>IF(EL316&gt;0,CV316/EL316,)</f>
        <v>0</v>
      </c>
      <c r="EO316" s="51">
        <f>CO316+EI316</f>
        <v>129</v>
      </c>
      <c r="EP316" s="512">
        <f>CQ316+EL316</f>
        <v>121</v>
      </c>
      <c r="EQ316" s="281"/>
      <c r="ER316" s="503"/>
      <c r="ES316" s="281"/>
      <c r="ET316" s="503"/>
      <c r="EU316" s="281"/>
      <c r="EV316" s="503"/>
      <c r="EW316" s="281"/>
      <c r="EX316" s="503"/>
      <c r="EY316" s="281"/>
      <c r="EZ316" s="503"/>
      <c r="FA316" s="281"/>
      <c r="FB316" s="503"/>
      <c r="FC316" s="281"/>
      <c r="FD316" s="503"/>
      <c r="FE316" s="281"/>
      <c r="FF316" s="503"/>
      <c r="FG316" s="281"/>
      <c r="FH316" s="503"/>
      <c r="FI316" s="281"/>
      <c r="FJ316" s="503"/>
      <c r="FK316" s="50">
        <f>EQ316+ES316+EU316+EW316+EY316+FA316+FC316+FE316+FG316+FI316</f>
        <v>0</v>
      </c>
      <c r="FL316" s="509">
        <f>ER316+ET316+EV316+EX316+EZ316+FB316+FD316+FF316+FH316+FJ316</f>
        <v>0</v>
      </c>
      <c r="FM316" s="50">
        <f t="shared" si="117"/>
        <v>504</v>
      </c>
      <c r="FN316" s="513">
        <f t="shared" si="118"/>
        <v>429</v>
      </c>
      <c r="FO316" s="514"/>
      <c r="FP316" s="279"/>
      <c r="FQ316" s="52"/>
      <c r="FR316" s="296"/>
      <c r="FS316" s="98"/>
      <c r="FT316" s="467"/>
      <c r="FU316" s="52"/>
      <c r="FV316" s="296"/>
      <c r="FW316" s="98"/>
      <c r="FX316" s="467"/>
      <c r="FY316" s="52"/>
      <c r="FZ316" s="296"/>
      <c r="GA316" s="98"/>
      <c r="GB316" s="467"/>
      <c r="GC316" s="52"/>
      <c r="GD316" s="296"/>
      <c r="GE316" s="98"/>
      <c r="GF316" s="467"/>
      <c r="GG316" s="52"/>
      <c r="GH316" s="296"/>
      <c r="GI316" s="98"/>
      <c r="GJ316" s="467"/>
      <c r="GK316" s="52"/>
      <c r="GL316" s="296"/>
      <c r="GM316" s="464"/>
      <c r="GN316" s="467"/>
      <c r="GO316" s="52"/>
      <c r="GP316" s="296"/>
      <c r="GQ316" s="464"/>
      <c r="GR316" s="467"/>
      <c r="GS316" s="52"/>
      <c r="GT316" s="296"/>
      <c r="GU316" s="464"/>
      <c r="GV316" s="467"/>
      <c r="GW316" s="52"/>
      <c r="GX316" s="296"/>
      <c r="GY316" s="464"/>
      <c r="GZ316" s="467"/>
      <c r="HA316" s="52"/>
      <c r="HB316" s="296"/>
      <c r="HC316" s="514"/>
    </row>
    <row r="317" spans="1:211" s="85" customFormat="1">
      <c r="A317" s="502" t="s">
        <v>983</v>
      </c>
      <c r="B317" s="315" t="s">
        <v>355</v>
      </c>
      <c r="C317" s="314">
        <v>176035</v>
      </c>
      <c r="D317" s="343">
        <v>5</v>
      </c>
      <c r="E317" s="460"/>
      <c r="F317" s="503"/>
      <c r="G317" s="158"/>
      <c r="H317" s="503"/>
      <c r="I317" s="158">
        <v>40</v>
      </c>
      <c r="J317" s="589">
        <v>33</v>
      </c>
      <c r="K317" s="504">
        <f t="shared" si="119"/>
        <v>0.11235955056179775</v>
      </c>
      <c r="L317" s="505">
        <f t="shared" si="112"/>
        <v>8.1280788177339899E-2</v>
      </c>
      <c r="M317" s="54">
        <v>356</v>
      </c>
      <c r="N317" s="55">
        <v>48</v>
      </c>
      <c r="O317" s="55"/>
      <c r="P317" s="55"/>
      <c r="Q317" s="162">
        <f t="shared" si="120"/>
        <v>48</v>
      </c>
      <c r="R317" s="503">
        <v>406</v>
      </c>
      <c r="S317" s="503">
        <v>65</v>
      </c>
      <c r="T317" s="503"/>
      <c r="U317" s="503"/>
      <c r="V317" s="97">
        <f t="shared" si="121"/>
        <v>65</v>
      </c>
      <c r="W317" s="279"/>
      <c r="X317" s="52"/>
      <c r="Y317" s="99"/>
      <c r="Z317" s="53"/>
      <c r="AA317" s="228"/>
      <c r="AB317" s="52"/>
      <c r="AC317" s="99"/>
      <c r="AD317" s="53"/>
      <c r="AE317" s="228"/>
      <c r="AF317" s="52"/>
      <c r="AG317" s="99"/>
      <c r="AH317" s="53"/>
      <c r="AI317" s="228"/>
      <c r="AJ317" s="52"/>
      <c r="AK317" s="99"/>
      <c r="AL317" s="53"/>
      <c r="AM317" s="228"/>
      <c r="AN317" s="52"/>
      <c r="AO317" s="99"/>
      <c r="AP317" s="53"/>
      <c r="AQ317" s="50">
        <f t="shared" si="113"/>
        <v>0</v>
      </c>
      <c r="AR317" s="506">
        <f t="shared" si="114"/>
        <v>0.75906183368869939</v>
      </c>
      <c r="AS317" s="97">
        <f t="shared" si="115"/>
        <v>0</v>
      </c>
      <c r="AT317" s="507">
        <f t="shared" si="116"/>
        <v>0.79921259842519687</v>
      </c>
      <c r="AU317" s="55"/>
      <c r="AV317" s="503"/>
      <c r="AW317" s="279">
        <v>13</v>
      </c>
      <c r="AX317" s="52">
        <v>37</v>
      </c>
      <c r="AY317" s="105">
        <v>51</v>
      </c>
      <c r="AZ317" s="98">
        <v>43</v>
      </c>
      <c r="BA317" s="279">
        <v>51</v>
      </c>
      <c r="BB317" s="52">
        <v>36</v>
      </c>
      <c r="BC317" s="105">
        <v>13</v>
      </c>
      <c r="BD317" s="98">
        <v>26</v>
      </c>
      <c r="BE317" s="279"/>
      <c r="BF317" s="52"/>
      <c r="BG317" s="105"/>
      <c r="BH317" s="98"/>
      <c r="BI317" s="279"/>
      <c r="BJ317" s="52"/>
      <c r="BK317" s="105"/>
      <c r="BL317" s="98"/>
      <c r="BM317" s="279"/>
      <c r="BN317" s="52"/>
      <c r="BO317" s="105"/>
      <c r="BP317" s="98"/>
      <c r="BQ317" s="279"/>
      <c r="BR317" s="52"/>
      <c r="BS317" s="105"/>
      <c r="BT317" s="98"/>
      <c r="BU317" s="279"/>
      <c r="BV317" s="52"/>
      <c r="BW317" s="105"/>
      <c r="BX317" s="98"/>
      <c r="BY317" s="279"/>
      <c r="BZ317" s="52"/>
      <c r="CA317" s="105"/>
      <c r="CB317" s="98"/>
      <c r="CC317" s="279"/>
      <c r="CD317" s="52"/>
      <c r="CE317" s="105"/>
      <c r="CF317" s="98"/>
      <c r="CG317" s="279"/>
      <c r="CH317" s="52"/>
      <c r="CI317" s="105"/>
      <c r="CJ317" s="98"/>
      <c r="CK317" s="281"/>
      <c r="CL317" s="503"/>
      <c r="CM317" s="159"/>
      <c r="CN317" s="503"/>
      <c r="CO317" s="50">
        <f t="shared" si="122"/>
        <v>73</v>
      </c>
      <c r="CP317" s="103">
        <f t="shared" si="123"/>
        <v>2</v>
      </c>
      <c r="CQ317" s="508">
        <f t="shared" si="124"/>
        <v>69</v>
      </c>
      <c r="CR317" s="509">
        <f t="shared" si="125"/>
        <v>2</v>
      </c>
      <c r="CS317" s="279"/>
      <c r="CT317" s="52"/>
      <c r="CU317" s="105"/>
      <c r="CV317" s="98"/>
      <c r="CW317" s="279"/>
      <c r="CX317" s="52"/>
      <c r="CY317" s="105"/>
      <c r="CZ317" s="98"/>
      <c r="DA317" s="279"/>
      <c r="DB317" s="52"/>
      <c r="DC317" s="105"/>
      <c r="DD317" s="98"/>
      <c r="DE317" s="279"/>
      <c r="DF317" s="52"/>
      <c r="DG317" s="105"/>
      <c r="DH317" s="98"/>
      <c r="DI317" s="279"/>
      <c r="DJ317" s="52"/>
      <c r="DK317" s="105"/>
      <c r="DL317" s="98"/>
      <c r="DM317" s="279"/>
      <c r="DN317" s="52"/>
      <c r="DO317" s="105"/>
      <c r="DP317" s="98"/>
      <c r="DQ317" s="279"/>
      <c r="DR317" s="52"/>
      <c r="DS317" s="105"/>
      <c r="DT317" s="98"/>
      <c r="DU317" s="279"/>
      <c r="DV317" s="52"/>
      <c r="DW317" s="105"/>
      <c r="DX317" s="98"/>
      <c r="DY317" s="279"/>
      <c r="DZ317" s="52"/>
      <c r="EA317" s="105"/>
      <c r="EB317" s="98"/>
      <c r="EC317" s="279"/>
      <c r="ED317" s="52"/>
      <c r="EE317" s="105"/>
      <c r="EF317" s="98"/>
      <c r="EG317" s="159"/>
      <c r="EH317" s="503"/>
      <c r="EI317" s="50">
        <f t="shared" si="126"/>
        <v>0</v>
      </c>
      <c r="EJ317" s="103">
        <f t="shared" si="127"/>
        <v>0</v>
      </c>
      <c r="EK317" s="510">
        <f t="shared" si="128"/>
        <v>0</v>
      </c>
      <c r="EL317" s="508">
        <f t="shared" si="129"/>
        <v>0</v>
      </c>
      <c r="EM317" s="509">
        <f t="shared" si="130"/>
        <v>0</v>
      </c>
      <c r="EN317" s="511">
        <f t="shared" si="131"/>
        <v>0</v>
      </c>
      <c r="EO317" s="51">
        <f t="shared" si="132"/>
        <v>73</v>
      </c>
      <c r="EP317" s="512">
        <f t="shared" si="133"/>
        <v>69</v>
      </c>
      <c r="EQ317" s="281"/>
      <c r="ER317" s="503"/>
      <c r="ES317" s="281"/>
      <c r="ET317" s="503"/>
      <c r="EU317" s="281"/>
      <c r="EV317" s="503"/>
      <c r="EW317" s="281"/>
      <c r="EX317" s="503"/>
      <c r="EY317" s="281"/>
      <c r="EZ317" s="503"/>
      <c r="FA317" s="281"/>
      <c r="FB317" s="503"/>
      <c r="FC317" s="281"/>
      <c r="FD317" s="503"/>
      <c r="FE317" s="281"/>
      <c r="FF317" s="503"/>
      <c r="FG317" s="281"/>
      <c r="FH317" s="503"/>
      <c r="FI317" s="281"/>
      <c r="FJ317" s="503"/>
      <c r="FK317" s="50">
        <f t="shared" si="134"/>
        <v>0</v>
      </c>
      <c r="FL317" s="509">
        <f t="shared" si="135"/>
        <v>0</v>
      </c>
      <c r="FM317" s="50">
        <f t="shared" si="117"/>
        <v>469</v>
      </c>
      <c r="FN317" s="513">
        <f t="shared" si="118"/>
        <v>508</v>
      </c>
      <c r="FO317" s="514"/>
      <c r="FP317" s="279"/>
      <c r="FQ317" s="52"/>
      <c r="FR317" s="296"/>
      <c r="FS317" s="98"/>
      <c r="FT317" s="467"/>
      <c r="FU317" s="52"/>
      <c r="FV317" s="296"/>
      <c r="FW317" s="98"/>
      <c r="FX317" s="467"/>
      <c r="FY317" s="52"/>
      <c r="FZ317" s="296"/>
      <c r="GA317" s="98"/>
      <c r="GB317" s="467"/>
      <c r="GC317" s="52"/>
      <c r="GD317" s="296"/>
      <c r="GE317" s="98"/>
      <c r="GF317" s="467"/>
      <c r="GG317" s="52"/>
      <c r="GH317" s="296"/>
      <c r="GI317" s="98"/>
      <c r="GJ317" s="467"/>
      <c r="GK317" s="52"/>
      <c r="GL317" s="296"/>
      <c r="GM317" s="464"/>
      <c r="GN317" s="467"/>
      <c r="GO317" s="52"/>
      <c r="GP317" s="296"/>
      <c r="GQ317" s="464"/>
      <c r="GR317" s="467"/>
      <c r="GS317" s="52"/>
      <c r="GT317" s="296"/>
      <c r="GU317" s="464"/>
      <c r="GV317" s="467"/>
      <c r="GW317" s="52"/>
      <c r="GX317" s="296"/>
      <c r="GY317" s="464"/>
      <c r="GZ317" s="467"/>
      <c r="HA317" s="52"/>
      <c r="HB317" s="296"/>
      <c r="HC317" s="514"/>
    </row>
    <row r="318" spans="1:211" s="85" customFormat="1">
      <c r="A318" s="502" t="s">
        <v>983</v>
      </c>
      <c r="B318" s="315" t="s">
        <v>357</v>
      </c>
      <c r="C318" s="314">
        <v>176026</v>
      </c>
      <c r="D318" s="343">
        <v>15</v>
      </c>
      <c r="E318" s="460">
        <v>21</v>
      </c>
      <c r="F318" s="503">
        <v>12</v>
      </c>
      <c r="G318" s="158">
        <v>26</v>
      </c>
      <c r="H318" s="503">
        <v>28</v>
      </c>
      <c r="I318" s="158"/>
      <c r="J318" s="589"/>
      <c r="K318" s="504">
        <f t="shared" si="119"/>
        <v>0</v>
      </c>
      <c r="L318" s="505">
        <f t="shared" si="112"/>
        <v>0</v>
      </c>
      <c r="M318" s="54">
        <v>201</v>
      </c>
      <c r="N318" s="55"/>
      <c r="O318" s="55"/>
      <c r="P318" s="55"/>
      <c r="Q318" s="162">
        <f t="shared" si="120"/>
        <v>0</v>
      </c>
      <c r="R318" s="503">
        <v>211</v>
      </c>
      <c r="S318" s="503"/>
      <c r="T318" s="503"/>
      <c r="U318" s="503"/>
      <c r="V318" s="97">
        <f t="shared" si="121"/>
        <v>0</v>
      </c>
      <c r="W318" s="279"/>
      <c r="X318" s="52"/>
      <c r="Y318" s="99"/>
      <c r="Z318" s="53"/>
      <c r="AA318" s="228"/>
      <c r="AB318" s="52"/>
      <c r="AC318" s="99"/>
      <c r="AD318" s="53"/>
      <c r="AE318" s="228"/>
      <c r="AF318" s="52"/>
      <c r="AG318" s="99"/>
      <c r="AH318" s="53"/>
      <c r="AI318" s="228"/>
      <c r="AJ318" s="52"/>
      <c r="AK318" s="99"/>
      <c r="AL318" s="53"/>
      <c r="AM318" s="228"/>
      <c r="AN318" s="52"/>
      <c r="AO318" s="99"/>
      <c r="AP318" s="53"/>
      <c r="AQ318" s="50">
        <f t="shared" si="113"/>
        <v>0</v>
      </c>
      <c r="AR318" s="506">
        <f t="shared" si="114"/>
        <v>0.37430167597765363</v>
      </c>
      <c r="AS318" s="97">
        <f t="shared" si="115"/>
        <v>0</v>
      </c>
      <c r="AT318" s="507">
        <f t="shared" si="116"/>
        <v>0.37678571428571428</v>
      </c>
      <c r="AU318" s="55"/>
      <c r="AV318" s="503"/>
      <c r="AW318" s="279">
        <v>51</v>
      </c>
      <c r="AX318" s="52">
        <v>66</v>
      </c>
      <c r="AY318" s="105">
        <v>51</v>
      </c>
      <c r="AZ318" s="98">
        <v>69</v>
      </c>
      <c r="BA318" s="279">
        <v>26</v>
      </c>
      <c r="BB318" s="52">
        <v>21</v>
      </c>
      <c r="BC318" s="105">
        <v>26</v>
      </c>
      <c r="BD318" s="98">
        <v>29</v>
      </c>
      <c r="BE318" s="279"/>
      <c r="BF318" s="52"/>
      <c r="BG318" s="105"/>
      <c r="BH318" s="98"/>
      <c r="BI318" s="279"/>
      <c r="BJ318" s="52"/>
      <c r="BK318" s="105"/>
      <c r="BL318" s="98"/>
      <c r="BM318" s="279"/>
      <c r="BN318" s="52"/>
      <c r="BO318" s="105"/>
      <c r="BP318" s="98"/>
      <c r="BQ318" s="279"/>
      <c r="BR318" s="52"/>
      <c r="BS318" s="105"/>
      <c r="BT318" s="98"/>
      <c r="BU318" s="279"/>
      <c r="BV318" s="52"/>
      <c r="BW318" s="105"/>
      <c r="BX318" s="98"/>
      <c r="BY318" s="279"/>
      <c r="BZ318" s="52"/>
      <c r="CA318" s="105"/>
      <c r="CB318" s="98"/>
      <c r="CC318" s="279"/>
      <c r="CD318" s="52"/>
      <c r="CE318" s="105"/>
      <c r="CF318" s="98"/>
      <c r="CG318" s="279"/>
      <c r="CH318" s="52"/>
      <c r="CI318" s="105"/>
      <c r="CJ318" s="98"/>
      <c r="CK318" s="281"/>
      <c r="CL318" s="503"/>
      <c r="CM318" s="159"/>
      <c r="CN318" s="503"/>
      <c r="CO318" s="50">
        <f t="shared" si="122"/>
        <v>87</v>
      </c>
      <c r="CP318" s="103">
        <f t="shared" si="123"/>
        <v>2</v>
      </c>
      <c r="CQ318" s="508">
        <f t="shared" si="124"/>
        <v>98</v>
      </c>
      <c r="CR318" s="509">
        <f t="shared" si="125"/>
        <v>2</v>
      </c>
      <c r="CS318" s="279">
        <v>51</v>
      </c>
      <c r="CT318" s="52">
        <v>61</v>
      </c>
      <c r="CU318" s="105">
        <v>51</v>
      </c>
      <c r="CV318" s="98">
        <v>69</v>
      </c>
      <c r="CW318" s="279">
        <v>26</v>
      </c>
      <c r="CX318" s="52">
        <v>14</v>
      </c>
      <c r="CY318" s="105">
        <v>26</v>
      </c>
      <c r="CZ318" s="98">
        <v>17</v>
      </c>
      <c r="DA318" s="279"/>
      <c r="DB318" s="52"/>
      <c r="DC318" s="105"/>
      <c r="DD318" s="98"/>
      <c r="DE318" s="279"/>
      <c r="DF318" s="52"/>
      <c r="DG318" s="105"/>
      <c r="DH318" s="98"/>
      <c r="DI318" s="279"/>
      <c r="DJ318" s="52"/>
      <c r="DK318" s="105"/>
      <c r="DL318" s="98"/>
      <c r="DM318" s="279"/>
      <c r="DN318" s="52"/>
      <c r="DO318" s="105"/>
      <c r="DP318" s="98"/>
      <c r="DQ318" s="279"/>
      <c r="DR318" s="52"/>
      <c r="DS318" s="105"/>
      <c r="DT318" s="98"/>
      <c r="DU318" s="279"/>
      <c r="DV318" s="52"/>
      <c r="DW318" s="105"/>
      <c r="DX318" s="98"/>
      <c r="DY318" s="279"/>
      <c r="DZ318" s="52"/>
      <c r="EA318" s="105"/>
      <c r="EB318" s="98"/>
      <c r="EC318" s="279"/>
      <c r="ED318" s="52"/>
      <c r="EE318" s="105"/>
      <c r="EF318" s="98"/>
      <c r="EG318" s="159"/>
      <c r="EH318" s="503"/>
      <c r="EI318" s="50">
        <f t="shared" si="126"/>
        <v>75</v>
      </c>
      <c r="EJ318" s="103">
        <f t="shared" si="127"/>
        <v>2</v>
      </c>
      <c r="EK318" s="510">
        <f t="shared" si="128"/>
        <v>0.81333333333333335</v>
      </c>
      <c r="EL318" s="508">
        <f t="shared" si="129"/>
        <v>86</v>
      </c>
      <c r="EM318" s="509">
        <f t="shared" si="130"/>
        <v>2</v>
      </c>
      <c r="EN318" s="511">
        <f t="shared" si="131"/>
        <v>0.80232558139534882</v>
      </c>
      <c r="EO318" s="51">
        <f t="shared" si="132"/>
        <v>162</v>
      </c>
      <c r="EP318" s="512">
        <f t="shared" si="133"/>
        <v>184</v>
      </c>
      <c r="EQ318" s="281"/>
      <c r="ER318" s="503"/>
      <c r="ES318" s="281">
        <v>98</v>
      </c>
      <c r="ET318" s="503">
        <v>94</v>
      </c>
      <c r="EU318" s="281">
        <v>29</v>
      </c>
      <c r="EV318" s="503">
        <v>31</v>
      </c>
      <c r="EW318" s="281"/>
      <c r="EX318" s="503"/>
      <c r="EY318" s="281"/>
      <c r="EZ318" s="503"/>
      <c r="FA318" s="281"/>
      <c r="FB318" s="503"/>
      <c r="FC318" s="281"/>
      <c r="FD318" s="503"/>
      <c r="FE318" s="281"/>
      <c r="FF318" s="503"/>
      <c r="FG318" s="281"/>
      <c r="FH318" s="503"/>
      <c r="FI318" s="281"/>
      <c r="FJ318" s="503"/>
      <c r="FK318" s="50">
        <f t="shared" si="134"/>
        <v>127</v>
      </c>
      <c r="FL318" s="509">
        <f t="shared" si="135"/>
        <v>125</v>
      </c>
      <c r="FM318" s="50">
        <f t="shared" si="117"/>
        <v>537</v>
      </c>
      <c r="FN318" s="513">
        <f t="shared" si="118"/>
        <v>560</v>
      </c>
      <c r="FO318" s="514"/>
      <c r="FP318" s="279"/>
      <c r="FQ318" s="52"/>
      <c r="FR318" s="296"/>
      <c r="FS318" s="98"/>
      <c r="FT318" s="467"/>
      <c r="FU318" s="52"/>
      <c r="FV318" s="296"/>
      <c r="FW318" s="98"/>
      <c r="FX318" s="467"/>
      <c r="FY318" s="52"/>
      <c r="FZ318" s="296"/>
      <c r="GA318" s="98"/>
      <c r="GB318" s="467"/>
      <c r="GC318" s="52"/>
      <c r="GD318" s="296"/>
      <c r="GE318" s="98"/>
      <c r="GF318" s="467"/>
      <c r="GG318" s="52"/>
      <c r="GH318" s="296"/>
      <c r="GI318" s="98"/>
      <c r="GJ318" s="467"/>
      <c r="GK318" s="52"/>
      <c r="GL318" s="296"/>
      <c r="GM318" s="464"/>
      <c r="GN318" s="467"/>
      <c r="GO318" s="52"/>
      <c r="GP318" s="296"/>
      <c r="GQ318" s="464"/>
      <c r="GR318" s="467"/>
      <c r="GS318" s="52"/>
      <c r="GT318" s="296"/>
      <c r="GU318" s="464"/>
      <c r="GV318" s="467"/>
      <c r="GW318" s="52"/>
      <c r="GX318" s="296"/>
      <c r="GY318" s="464"/>
      <c r="GZ318" s="467"/>
      <c r="HA318" s="52"/>
      <c r="HB318" s="296"/>
      <c r="HC318" s="517"/>
    </row>
    <row r="319" spans="1:211" s="85" customFormat="1">
      <c r="A319" s="518" t="s">
        <v>983</v>
      </c>
      <c r="B319" s="331" t="s">
        <v>935</v>
      </c>
      <c r="C319" s="290">
        <v>175786</v>
      </c>
      <c r="D319" s="345">
        <v>8</v>
      </c>
      <c r="E319" s="460">
        <v>388</v>
      </c>
      <c r="F319" s="277">
        <v>416</v>
      </c>
      <c r="G319" s="158"/>
      <c r="H319" s="277"/>
      <c r="I319" s="158">
        <v>1155</v>
      </c>
      <c r="J319" s="535">
        <v>1112</v>
      </c>
      <c r="K319" s="160">
        <f t="shared" si="119"/>
        <v>0</v>
      </c>
      <c r="L319" s="161">
        <f t="shared" si="112"/>
        <v>0</v>
      </c>
      <c r="M319" s="54"/>
      <c r="N319" s="55"/>
      <c r="O319" s="55"/>
      <c r="P319" s="55"/>
      <c r="Q319" s="162">
        <f t="shared" si="120"/>
        <v>0</v>
      </c>
      <c r="R319" s="277"/>
      <c r="S319" s="277"/>
      <c r="T319" s="277"/>
      <c r="U319" s="277"/>
      <c r="V319" s="97">
        <f t="shared" si="121"/>
        <v>0</v>
      </c>
      <c r="W319" s="279"/>
      <c r="X319" s="52"/>
      <c r="Y319" s="99"/>
      <c r="Z319" s="53"/>
      <c r="AA319" s="228"/>
      <c r="AB319" s="52"/>
      <c r="AC319" s="99"/>
      <c r="AD319" s="53"/>
      <c r="AE319" s="228"/>
      <c r="AF319" s="52"/>
      <c r="AG319" s="99"/>
      <c r="AH319" s="53"/>
      <c r="AI319" s="228"/>
      <c r="AJ319" s="52"/>
      <c r="AK319" s="99"/>
      <c r="AL319" s="53"/>
      <c r="AM319" s="228"/>
      <c r="AN319" s="52"/>
      <c r="AO319" s="99"/>
      <c r="AP319" s="53"/>
      <c r="AQ319" s="50">
        <f t="shared" si="113"/>
        <v>0</v>
      </c>
      <c r="AR319" s="163">
        <f t="shared" si="114"/>
        <v>0</v>
      </c>
      <c r="AS319" s="97">
        <f t="shared" si="115"/>
        <v>0</v>
      </c>
      <c r="AT319" s="278">
        <f t="shared" si="116"/>
        <v>0</v>
      </c>
      <c r="AU319" s="55"/>
      <c r="AV319" s="277"/>
      <c r="AW319" s="279"/>
      <c r="AX319" s="52"/>
      <c r="AY319" s="105"/>
      <c r="AZ319" s="98"/>
      <c r="BA319" s="279"/>
      <c r="BB319" s="52"/>
      <c r="BC319" s="105"/>
      <c r="BD319" s="98"/>
      <c r="BE319" s="279"/>
      <c r="BF319" s="52"/>
      <c r="BG319" s="105"/>
      <c r="BH319" s="98"/>
      <c r="BI319" s="279"/>
      <c r="BJ319" s="52"/>
      <c r="BK319" s="105"/>
      <c r="BL319" s="98"/>
      <c r="BM319" s="279"/>
      <c r="BN319" s="52"/>
      <c r="BO319" s="105"/>
      <c r="BP319" s="98"/>
      <c r="BQ319" s="279"/>
      <c r="BR319" s="52"/>
      <c r="BS319" s="105"/>
      <c r="BT319" s="98"/>
      <c r="BU319" s="279"/>
      <c r="BV319" s="52"/>
      <c r="BW319" s="105"/>
      <c r="BX319" s="98"/>
      <c r="BY319" s="279"/>
      <c r="BZ319" s="52"/>
      <c r="CA319" s="105"/>
      <c r="CB319" s="98"/>
      <c r="CC319" s="279"/>
      <c r="CD319" s="52"/>
      <c r="CE319" s="105"/>
      <c r="CF319" s="98"/>
      <c r="CG319" s="279"/>
      <c r="CH319" s="52"/>
      <c r="CI319" s="105"/>
      <c r="CJ319" s="98"/>
      <c r="CK319" s="281"/>
      <c r="CL319" s="277"/>
      <c r="CM319" s="159"/>
      <c r="CN319" s="277"/>
      <c r="CO319" s="50">
        <f t="shared" si="122"/>
        <v>0</v>
      </c>
      <c r="CP319" s="103">
        <f t="shared" si="123"/>
        <v>0</v>
      </c>
      <c r="CQ319" s="280">
        <f t="shared" si="124"/>
        <v>0</v>
      </c>
      <c r="CR319" s="63">
        <f t="shared" si="125"/>
        <v>0</v>
      </c>
      <c r="CS319" s="279"/>
      <c r="CT319" s="52"/>
      <c r="CU319" s="105"/>
      <c r="CV319" s="98"/>
      <c r="CW319" s="279"/>
      <c r="CX319" s="52"/>
      <c r="CY319" s="105"/>
      <c r="CZ319" s="98"/>
      <c r="DA319" s="279"/>
      <c r="DB319" s="52"/>
      <c r="DC319" s="105"/>
      <c r="DD319" s="98"/>
      <c r="DE319" s="279"/>
      <c r="DF319" s="52"/>
      <c r="DG319" s="105"/>
      <c r="DH319" s="98"/>
      <c r="DI319" s="279"/>
      <c r="DJ319" s="52"/>
      <c r="DK319" s="105"/>
      <c r="DL319" s="98"/>
      <c r="DM319" s="279"/>
      <c r="DN319" s="52"/>
      <c r="DO319" s="105"/>
      <c r="DP319" s="98"/>
      <c r="DQ319" s="279"/>
      <c r="DR319" s="52"/>
      <c r="DS319" s="105"/>
      <c r="DT319" s="98"/>
      <c r="DU319" s="279"/>
      <c r="DV319" s="52"/>
      <c r="DW319" s="105"/>
      <c r="DX319" s="98"/>
      <c r="DY319" s="279"/>
      <c r="DZ319" s="52"/>
      <c r="EA319" s="105"/>
      <c r="EB319" s="98"/>
      <c r="EC319" s="279"/>
      <c r="ED319" s="52"/>
      <c r="EE319" s="105"/>
      <c r="EF319" s="98"/>
      <c r="EG319" s="159"/>
      <c r="EH319" s="277"/>
      <c r="EI319" s="50">
        <f t="shared" si="126"/>
        <v>0</v>
      </c>
      <c r="EJ319" s="103">
        <f t="shared" si="127"/>
        <v>0</v>
      </c>
      <c r="EK319" s="164">
        <f t="shared" si="128"/>
        <v>0</v>
      </c>
      <c r="EL319" s="280">
        <f t="shared" si="129"/>
        <v>0</v>
      </c>
      <c r="EM319" s="63">
        <f t="shared" si="130"/>
        <v>0</v>
      </c>
      <c r="EN319" s="359">
        <f t="shared" si="131"/>
        <v>0</v>
      </c>
      <c r="EO319" s="51">
        <f t="shared" si="132"/>
        <v>0</v>
      </c>
      <c r="EP319" s="361">
        <f t="shared" si="133"/>
        <v>0</v>
      </c>
      <c r="EQ319" s="281"/>
      <c r="ER319" s="277"/>
      <c r="ES319" s="281"/>
      <c r="ET319" s="277"/>
      <c r="EU319" s="281"/>
      <c r="EV319" s="277"/>
      <c r="EW319" s="281"/>
      <c r="EX319" s="277"/>
      <c r="EY319" s="281"/>
      <c r="EZ319" s="277"/>
      <c r="FA319" s="281"/>
      <c r="FB319" s="277"/>
      <c r="FC319" s="281"/>
      <c r="FD319" s="277"/>
      <c r="FE319" s="281"/>
      <c r="FF319" s="277"/>
      <c r="FG319" s="281"/>
      <c r="FH319" s="277"/>
      <c r="FI319" s="281"/>
      <c r="FJ319" s="277"/>
      <c r="FK319" s="50">
        <f t="shared" si="134"/>
        <v>0</v>
      </c>
      <c r="FL319" s="63">
        <f t="shared" si="135"/>
        <v>0</v>
      </c>
      <c r="FM319" s="50">
        <f t="shared" si="117"/>
        <v>1543</v>
      </c>
      <c r="FN319" s="360">
        <f t="shared" si="118"/>
        <v>1528</v>
      </c>
      <c r="FO319" s="43"/>
      <c r="FP319" s="279"/>
      <c r="FQ319" s="52"/>
      <c r="FR319" s="296"/>
      <c r="FS319" s="98"/>
      <c r="FT319" s="467"/>
      <c r="FU319" s="52"/>
      <c r="FV319" s="296"/>
      <c r="FW319" s="98"/>
      <c r="FX319" s="467"/>
      <c r="FY319" s="52"/>
      <c r="FZ319" s="296"/>
      <c r="GA319" s="98"/>
      <c r="GB319" s="467"/>
      <c r="GC319" s="52"/>
      <c r="GD319" s="296"/>
      <c r="GE319" s="98"/>
      <c r="GF319" s="467"/>
      <c r="GG319" s="52"/>
      <c r="GH319" s="296"/>
      <c r="GI319" s="98"/>
      <c r="GJ319" s="467"/>
      <c r="GK319" s="52"/>
      <c r="GL319" s="296"/>
      <c r="GM319" s="464"/>
      <c r="GN319" s="467"/>
      <c r="GO319" s="52"/>
      <c r="GP319" s="296"/>
      <c r="GQ319" s="464"/>
      <c r="GR319" s="467"/>
      <c r="GS319" s="52"/>
      <c r="GT319" s="296"/>
      <c r="GU319" s="464"/>
      <c r="GV319" s="467"/>
      <c r="GW319" s="52"/>
      <c r="GX319" s="296"/>
      <c r="GY319" s="464"/>
      <c r="GZ319" s="467"/>
      <c r="HA319" s="52"/>
      <c r="HB319" s="296"/>
      <c r="HC319" s="3"/>
    </row>
    <row r="320" spans="1:211" s="85" customFormat="1">
      <c r="A320" s="519" t="s">
        <v>983</v>
      </c>
      <c r="B320" s="331" t="s">
        <v>936</v>
      </c>
      <c r="C320" s="330">
        <v>176071</v>
      </c>
      <c r="D320" s="344">
        <v>8</v>
      </c>
      <c r="E320" s="460">
        <v>241</v>
      </c>
      <c r="F320" s="277">
        <v>298</v>
      </c>
      <c r="G320" s="158"/>
      <c r="H320" s="277"/>
      <c r="I320" s="158">
        <v>1227</v>
      </c>
      <c r="J320" s="535">
        <v>1267</v>
      </c>
      <c r="K320" s="160">
        <f t="shared" si="119"/>
        <v>0</v>
      </c>
      <c r="L320" s="161">
        <f t="shared" si="112"/>
        <v>0</v>
      </c>
      <c r="M320" s="54"/>
      <c r="N320" s="55"/>
      <c r="O320" s="55"/>
      <c r="P320" s="55"/>
      <c r="Q320" s="162">
        <f t="shared" si="120"/>
        <v>0</v>
      </c>
      <c r="R320" s="277"/>
      <c r="S320" s="277"/>
      <c r="T320" s="277"/>
      <c r="U320" s="277"/>
      <c r="V320" s="97">
        <f t="shared" si="121"/>
        <v>0</v>
      </c>
      <c r="W320" s="279"/>
      <c r="X320" s="52"/>
      <c r="Y320" s="99"/>
      <c r="Z320" s="53"/>
      <c r="AA320" s="228"/>
      <c r="AB320" s="52"/>
      <c r="AC320" s="99"/>
      <c r="AD320" s="53"/>
      <c r="AE320" s="228"/>
      <c r="AF320" s="52"/>
      <c r="AG320" s="99"/>
      <c r="AH320" s="53"/>
      <c r="AI320" s="228"/>
      <c r="AJ320" s="52"/>
      <c r="AK320" s="99"/>
      <c r="AL320" s="53"/>
      <c r="AM320" s="228"/>
      <c r="AN320" s="52"/>
      <c r="AO320" s="99"/>
      <c r="AP320" s="53"/>
      <c r="AQ320" s="50">
        <f t="shared" si="113"/>
        <v>0</v>
      </c>
      <c r="AR320" s="163">
        <f t="shared" si="114"/>
        <v>0</v>
      </c>
      <c r="AS320" s="97">
        <f t="shared" si="115"/>
        <v>0</v>
      </c>
      <c r="AT320" s="278">
        <f t="shared" si="116"/>
        <v>0</v>
      </c>
      <c r="AU320" s="55"/>
      <c r="AV320" s="277"/>
      <c r="AW320" s="279"/>
      <c r="AX320" s="52"/>
      <c r="AY320" s="105"/>
      <c r="AZ320" s="98"/>
      <c r="BA320" s="279"/>
      <c r="BB320" s="52"/>
      <c r="BC320" s="105"/>
      <c r="BD320" s="98"/>
      <c r="BE320" s="279"/>
      <c r="BF320" s="52"/>
      <c r="BG320" s="105"/>
      <c r="BH320" s="98"/>
      <c r="BI320" s="279"/>
      <c r="BJ320" s="52"/>
      <c r="BK320" s="105"/>
      <c r="BL320" s="98"/>
      <c r="BM320" s="279"/>
      <c r="BN320" s="52"/>
      <c r="BO320" s="105"/>
      <c r="BP320" s="98"/>
      <c r="BQ320" s="279"/>
      <c r="BR320" s="52"/>
      <c r="BS320" s="105"/>
      <c r="BT320" s="98"/>
      <c r="BU320" s="279"/>
      <c r="BV320" s="52"/>
      <c r="BW320" s="105"/>
      <c r="BX320" s="98"/>
      <c r="BY320" s="279"/>
      <c r="BZ320" s="52"/>
      <c r="CA320" s="105"/>
      <c r="CB320" s="98"/>
      <c r="CC320" s="279"/>
      <c r="CD320" s="52"/>
      <c r="CE320" s="105"/>
      <c r="CF320" s="98"/>
      <c r="CG320" s="279"/>
      <c r="CH320" s="52"/>
      <c r="CI320" s="105"/>
      <c r="CJ320" s="98"/>
      <c r="CK320" s="281"/>
      <c r="CL320" s="277"/>
      <c r="CM320" s="159"/>
      <c r="CN320" s="277"/>
      <c r="CO320" s="50">
        <f t="shared" si="122"/>
        <v>0</v>
      </c>
      <c r="CP320" s="103">
        <f t="shared" si="123"/>
        <v>0</v>
      </c>
      <c r="CQ320" s="280">
        <f t="shared" si="124"/>
        <v>0</v>
      </c>
      <c r="CR320" s="63">
        <f t="shared" si="125"/>
        <v>0</v>
      </c>
      <c r="CS320" s="279"/>
      <c r="CT320" s="52"/>
      <c r="CU320" s="105"/>
      <c r="CV320" s="98"/>
      <c r="CW320" s="279"/>
      <c r="CX320" s="52"/>
      <c r="CY320" s="105"/>
      <c r="CZ320" s="98"/>
      <c r="DA320" s="279"/>
      <c r="DB320" s="52"/>
      <c r="DC320" s="105"/>
      <c r="DD320" s="98"/>
      <c r="DE320" s="279"/>
      <c r="DF320" s="52"/>
      <c r="DG320" s="105"/>
      <c r="DH320" s="98"/>
      <c r="DI320" s="279"/>
      <c r="DJ320" s="52"/>
      <c r="DK320" s="105"/>
      <c r="DL320" s="98"/>
      <c r="DM320" s="279"/>
      <c r="DN320" s="52"/>
      <c r="DO320" s="105"/>
      <c r="DP320" s="98"/>
      <c r="DQ320" s="279"/>
      <c r="DR320" s="52"/>
      <c r="DS320" s="105"/>
      <c r="DT320" s="98"/>
      <c r="DU320" s="279"/>
      <c r="DV320" s="52"/>
      <c r="DW320" s="105"/>
      <c r="DX320" s="98"/>
      <c r="DY320" s="279"/>
      <c r="DZ320" s="52"/>
      <c r="EA320" s="105"/>
      <c r="EB320" s="98"/>
      <c r="EC320" s="279"/>
      <c r="ED320" s="52"/>
      <c r="EE320" s="105"/>
      <c r="EF320" s="98"/>
      <c r="EG320" s="159"/>
      <c r="EH320" s="277"/>
      <c r="EI320" s="50">
        <f t="shared" si="126"/>
        <v>0</v>
      </c>
      <c r="EJ320" s="103">
        <f t="shared" si="127"/>
        <v>0</v>
      </c>
      <c r="EK320" s="164">
        <f t="shared" si="128"/>
        <v>0</v>
      </c>
      <c r="EL320" s="280">
        <f t="shared" si="129"/>
        <v>0</v>
      </c>
      <c r="EM320" s="63">
        <f t="shared" si="130"/>
        <v>0</v>
      </c>
      <c r="EN320" s="359">
        <f t="shared" si="131"/>
        <v>0</v>
      </c>
      <c r="EO320" s="51">
        <f t="shared" si="132"/>
        <v>0</v>
      </c>
      <c r="EP320" s="361">
        <f t="shared" si="133"/>
        <v>0</v>
      </c>
      <c r="EQ320" s="281"/>
      <c r="ER320" s="277"/>
      <c r="ES320" s="281"/>
      <c r="ET320" s="277"/>
      <c r="EU320" s="281"/>
      <c r="EV320" s="277"/>
      <c r="EW320" s="281"/>
      <c r="EX320" s="277"/>
      <c r="EY320" s="281"/>
      <c r="EZ320" s="277"/>
      <c r="FA320" s="281"/>
      <c r="FB320" s="277"/>
      <c r="FC320" s="281"/>
      <c r="FD320" s="277"/>
      <c r="FE320" s="281"/>
      <c r="FF320" s="277"/>
      <c r="FG320" s="281"/>
      <c r="FH320" s="277"/>
      <c r="FI320" s="281"/>
      <c r="FJ320" s="277"/>
      <c r="FK320" s="50">
        <f t="shared" si="134"/>
        <v>0</v>
      </c>
      <c r="FL320" s="63">
        <f t="shared" si="135"/>
        <v>0</v>
      </c>
      <c r="FM320" s="50">
        <f t="shared" si="117"/>
        <v>1468</v>
      </c>
      <c r="FN320" s="360">
        <f t="shared" si="118"/>
        <v>1565</v>
      </c>
      <c r="FO320" s="43"/>
      <c r="FP320" s="279"/>
      <c r="FQ320" s="52"/>
      <c r="FR320" s="296"/>
      <c r="FS320" s="98"/>
      <c r="FT320" s="467"/>
      <c r="FU320" s="52"/>
      <c r="FV320" s="296"/>
      <c r="FW320" s="98"/>
      <c r="FX320" s="467"/>
      <c r="FY320" s="52"/>
      <c r="FZ320" s="296"/>
      <c r="GA320" s="98"/>
      <c r="GB320" s="467"/>
      <c r="GC320" s="52"/>
      <c r="GD320" s="296"/>
      <c r="GE320" s="98"/>
      <c r="GF320" s="467"/>
      <c r="GG320" s="52"/>
      <c r="GH320" s="296"/>
      <c r="GI320" s="98"/>
      <c r="GJ320" s="467"/>
      <c r="GK320" s="52"/>
      <c r="GL320" s="296"/>
      <c r="GM320" s="464"/>
      <c r="GN320" s="467"/>
      <c r="GO320" s="52"/>
      <c r="GP320" s="296"/>
      <c r="GQ320" s="464"/>
      <c r="GR320" s="467"/>
      <c r="GS320" s="52"/>
      <c r="GT320" s="296"/>
      <c r="GU320" s="464"/>
      <c r="GV320" s="467"/>
      <c r="GW320" s="52"/>
      <c r="GX320" s="296"/>
      <c r="GY320" s="464"/>
      <c r="GZ320" s="467"/>
      <c r="HA320" s="52"/>
      <c r="HB320" s="296"/>
      <c r="HC320" s="43"/>
    </row>
    <row r="321" spans="1:211" s="85" customFormat="1">
      <c r="A321" s="519" t="s">
        <v>983</v>
      </c>
      <c r="B321" s="331" t="s">
        <v>937</v>
      </c>
      <c r="C321" s="330">
        <v>176178</v>
      </c>
      <c r="D321" s="344">
        <v>8</v>
      </c>
      <c r="E321" s="460">
        <v>174</v>
      </c>
      <c r="F321" s="277">
        <v>178</v>
      </c>
      <c r="G321" s="158"/>
      <c r="H321" s="277"/>
      <c r="I321" s="158">
        <v>656</v>
      </c>
      <c r="J321" s="535">
        <v>716</v>
      </c>
      <c r="K321" s="160">
        <f t="shared" si="119"/>
        <v>0</v>
      </c>
      <c r="L321" s="161">
        <f t="shared" si="112"/>
        <v>0</v>
      </c>
      <c r="M321" s="54"/>
      <c r="N321" s="55"/>
      <c r="O321" s="55"/>
      <c r="P321" s="55"/>
      <c r="Q321" s="162">
        <f t="shared" si="120"/>
        <v>0</v>
      </c>
      <c r="R321" s="277"/>
      <c r="S321" s="277"/>
      <c r="T321" s="277"/>
      <c r="U321" s="277"/>
      <c r="V321" s="97">
        <f t="shared" si="121"/>
        <v>0</v>
      </c>
      <c r="W321" s="279"/>
      <c r="X321" s="52"/>
      <c r="Y321" s="99"/>
      <c r="Z321" s="53"/>
      <c r="AA321" s="228"/>
      <c r="AB321" s="52"/>
      <c r="AC321" s="99"/>
      <c r="AD321" s="53"/>
      <c r="AE321" s="228"/>
      <c r="AF321" s="52"/>
      <c r="AG321" s="99"/>
      <c r="AH321" s="53"/>
      <c r="AI321" s="228"/>
      <c r="AJ321" s="52"/>
      <c r="AK321" s="99"/>
      <c r="AL321" s="53"/>
      <c r="AM321" s="228"/>
      <c r="AN321" s="52"/>
      <c r="AO321" s="99"/>
      <c r="AP321" s="53"/>
      <c r="AQ321" s="50">
        <f t="shared" si="113"/>
        <v>0</v>
      </c>
      <c r="AR321" s="163">
        <f t="shared" si="114"/>
        <v>0</v>
      </c>
      <c r="AS321" s="97">
        <f t="shared" si="115"/>
        <v>0</v>
      </c>
      <c r="AT321" s="278">
        <f t="shared" si="116"/>
        <v>0</v>
      </c>
      <c r="AU321" s="55"/>
      <c r="AV321" s="277"/>
      <c r="AW321" s="279"/>
      <c r="AX321" s="52"/>
      <c r="AY321" s="105"/>
      <c r="AZ321" s="98"/>
      <c r="BA321" s="279"/>
      <c r="BB321" s="52"/>
      <c r="BC321" s="105"/>
      <c r="BD321" s="98"/>
      <c r="BE321" s="279"/>
      <c r="BF321" s="52"/>
      <c r="BG321" s="105"/>
      <c r="BH321" s="98"/>
      <c r="BI321" s="279"/>
      <c r="BJ321" s="52"/>
      <c r="BK321" s="105"/>
      <c r="BL321" s="98"/>
      <c r="BM321" s="279"/>
      <c r="BN321" s="52"/>
      <c r="BO321" s="105"/>
      <c r="BP321" s="98"/>
      <c r="BQ321" s="279"/>
      <c r="BR321" s="52"/>
      <c r="BS321" s="105"/>
      <c r="BT321" s="98"/>
      <c r="BU321" s="279"/>
      <c r="BV321" s="52"/>
      <c r="BW321" s="105"/>
      <c r="BX321" s="98"/>
      <c r="BY321" s="279"/>
      <c r="BZ321" s="52"/>
      <c r="CA321" s="105"/>
      <c r="CB321" s="98"/>
      <c r="CC321" s="279"/>
      <c r="CD321" s="52"/>
      <c r="CE321" s="105"/>
      <c r="CF321" s="98"/>
      <c r="CG321" s="279"/>
      <c r="CH321" s="52"/>
      <c r="CI321" s="105"/>
      <c r="CJ321" s="98"/>
      <c r="CK321" s="281"/>
      <c r="CL321" s="277"/>
      <c r="CM321" s="159"/>
      <c r="CN321" s="277"/>
      <c r="CO321" s="50">
        <f t="shared" si="122"/>
        <v>0</v>
      </c>
      <c r="CP321" s="103">
        <f t="shared" si="123"/>
        <v>0</v>
      </c>
      <c r="CQ321" s="280">
        <f t="shared" si="124"/>
        <v>0</v>
      </c>
      <c r="CR321" s="63">
        <f t="shared" si="125"/>
        <v>0</v>
      </c>
      <c r="CS321" s="279"/>
      <c r="CT321" s="52"/>
      <c r="CU321" s="105"/>
      <c r="CV321" s="98"/>
      <c r="CW321" s="279"/>
      <c r="CX321" s="52"/>
      <c r="CY321" s="105"/>
      <c r="CZ321" s="98"/>
      <c r="DA321" s="279"/>
      <c r="DB321" s="52"/>
      <c r="DC321" s="105"/>
      <c r="DD321" s="98"/>
      <c r="DE321" s="279"/>
      <c r="DF321" s="52"/>
      <c r="DG321" s="105"/>
      <c r="DH321" s="98"/>
      <c r="DI321" s="279"/>
      <c r="DJ321" s="52"/>
      <c r="DK321" s="105"/>
      <c r="DL321" s="98"/>
      <c r="DM321" s="279"/>
      <c r="DN321" s="52"/>
      <c r="DO321" s="105"/>
      <c r="DP321" s="98"/>
      <c r="DQ321" s="279"/>
      <c r="DR321" s="52"/>
      <c r="DS321" s="105"/>
      <c r="DT321" s="98"/>
      <c r="DU321" s="279"/>
      <c r="DV321" s="52"/>
      <c r="DW321" s="105"/>
      <c r="DX321" s="98"/>
      <c r="DY321" s="279"/>
      <c r="DZ321" s="52"/>
      <c r="EA321" s="105"/>
      <c r="EB321" s="98"/>
      <c r="EC321" s="279"/>
      <c r="ED321" s="52"/>
      <c r="EE321" s="105"/>
      <c r="EF321" s="98"/>
      <c r="EG321" s="159"/>
      <c r="EH321" s="277"/>
      <c r="EI321" s="50">
        <f t="shared" si="126"/>
        <v>0</v>
      </c>
      <c r="EJ321" s="103">
        <f t="shared" si="127"/>
        <v>0</v>
      </c>
      <c r="EK321" s="164">
        <f t="shared" si="128"/>
        <v>0</v>
      </c>
      <c r="EL321" s="280">
        <f t="shared" si="129"/>
        <v>0</v>
      </c>
      <c r="EM321" s="63">
        <f t="shared" si="130"/>
        <v>0</v>
      </c>
      <c r="EN321" s="359">
        <f t="shared" si="131"/>
        <v>0</v>
      </c>
      <c r="EO321" s="51">
        <f t="shared" si="132"/>
        <v>0</v>
      </c>
      <c r="EP321" s="361">
        <f t="shared" si="133"/>
        <v>0</v>
      </c>
      <c r="EQ321" s="281"/>
      <c r="ER321" s="277"/>
      <c r="ES321" s="281"/>
      <c r="ET321" s="277"/>
      <c r="EU321" s="281"/>
      <c r="EV321" s="277"/>
      <c r="EW321" s="281"/>
      <c r="EX321" s="277"/>
      <c r="EY321" s="281"/>
      <c r="EZ321" s="277"/>
      <c r="FA321" s="281"/>
      <c r="FB321" s="277"/>
      <c r="FC321" s="281"/>
      <c r="FD321" s="277"/>
      <c r="FE321" s="281"/>
      <c r="FF321" s="277"/>
      <c r="FG321" s="281"/>
      <c r="FH321" s="277"/>
      <c r="FI321" s="281"/>
      <c r="FJ321" s="277"/>
      <c r="FK321" s="50">
        <f t="shared" si="134"/>
        <v>0</v>
      </c>
      <c r="FL321" s="63">
        <f t="shared" si="135"/>
        <v>0</v>
      </c>
      <c r="FM321" s="50">
        <f t="shared" si="117"/>
        <v>830</v>
      </c>
      <c r="FN321" s="360">
        <f t="shared" si="118"/>
        <v>894</v>
      </c>
      <c r="FO321" s="43"/>
      <c r="FP321" s="279"/>
      <c r="FQ321" s="52"/>
      <c r="FR321" s="296"/>
      <c r="FS321" s="98"/>
      <c r="FT321" s="467"/>
      <c r="FU321" s="52"/>
      <c r="FV321" s="296"/>
      <c r="FW321" s="98"/>
      <c r="FX321" s="467"/>
      <c r="FY321" s="52"/>
      <c r="FZ321" s="296"/>
      <c r="GA321" s="98"/>
      <c r="GB321" s="467"/>
      <c r="GC321" s="52"/>
      <c r="GD321" s="296"/>
      <c r="GE321" s="98"/>
      <c r="GF321" s="467"/>
      <c r="GG321" s="52"/>
      <c r="GH321" s="296"/>
      <c r="GI321" s="98"/>
      <c r="GJ321" s="467"/>
      <c r="GK321" s="52"/>
      <c r="GL321" s="296"/>
      <c r="GM321" s="464"/>
      <c r="GN321" s="467"/>
      <c r="GO321" s="52"/>
      <c r="GP321" s="296"/>
      <c r="GQ321" s="464"/>
      <c r="GR321" s="467"/>
      <c r="GS321" s="52"/>
      <c r="GT321" s="296"/>
      <c r="GU321" s="464"/>
      <c r="GV321" s="467"/>
      <c r="GW321" s="52"/>
      <c r="GX321" s="296"/>
      <c r="GY321" s="464"/>
      <c r="GZ321" s="467"/>
      <c r="HA321" s="52"/>
      <c r="HB321" s="296"/>
      <c r="HC321" s="43"/>
    </row>
    <row r="322" spans="1:211" s="85" customFormat="1">
      <c r="A322" s="518" t="s">
        <v>983</v>
      </c>
      <c r="B322" s="331" t="s">
        <v>938</v>
      </c>
      <c r="C322" s="290">
        <v>175573</v>
      </c>
      <c r="D322" s="345">
        <v>9</v>
      </c>
      <c r="E322" s="460">
        <v>127</v>
      </c>
      <c r="F322" s="277">
        <v>136</v>
      </c>
      <c r="G322" s="158"/>
      <c r="H322" s="277"/>
      <c r="I322" s="158">
        <v>503</v>
      </c>
      <c r="J322" s="535">
        <v>498</v>
      </c>
      <c r="K322" s="160">
        <f t="shared" si="119"/>
        <v>0</v>
      </c>
      <c r="L322" s="161">
        <f t="shared" si="112"/>
        <v>0</v>
      </c>
      <c r="M322" s="54"/>
      <c r="N322" s="55"/>
      <c r="O322" s="55"/>
      <c r="P322" s="55"/>
      <c r="Q322" s="162">
        <f t="shared" si="120"/>
        <v>0</v>
      </c>
      <c r="R322" s="277"/>
      <c r="S322" s="277"/>
      <c r="T322" s="277"/>
      <c r="U322" s="277"/>
      <c r="V322" s="97">
        <f t="shared" si="121"/>
        <v>0</v>
      </c>
      <c r="W322" s="279"/>
      <c r="X322" s="52"/>
      <c r="Y322" s="99"/>
      <c r="Z322" s="53"/>
      <c r="AA322" s="228"/>
      <c r="AB322" s="52"/>
      <c r="AC322" s="99"/>
      <c r="AD322" s="53"/>
      <c r="AE322" s="228"/>
      <c r="AF322" s="52"/>
      <c r="AG322" s="99"/>
      <c r="AH322" s="53"/>
      <c r="AI322" s="228"/>
      <c r="AJ322" s="52"/>
      <c r="AK322" s="99"/>
      <c r="AL322" s="53"/>
      <c r="AM322" s="228"/>
      <c r="AN322" s="52"/>
      <c r="AO322" s="99"/>
      <c r="AP322" s="53"/>
      <c r="AQ322" s="50">
        <f t="shared" si="113"/>
        <v>0</v>
      </c>
      <c r="AR322" s="163">
        <f t="shared" si="114"/>
        <v>0</v>
      </c>
      <c r="AS322" s="97">
        <f t="shared" si="115"/>
        <v>0</v>
      </c>
      <c r="AT322" s="278">
        <f t="shared" si="116"/>
        <v>0</v>
      </c>
      <c r="AU322" s="55"/>
      <c r="AV322" s="277"/>
      <c r="AW322" s="279"/>
      <c r="AX322" s="52"/>
      <c r="AY322" s="105"/>
      <c r="AZ322" s="98"/>
      <c r="BA322" s="279"/>
      <c r="BB322" s="52"/>
      <c r="BC322" s="105"/>
      <c r="BD322" s="98"/>
      <c r="BE322" s="279"/>
      <c r="BF322" s="52"/>
      <c r="BG322" s="105"/>
      <c r="BH322" s="98"/>
      <c r="BI322" s="279"/>
      <c r="BJ322" s="52"/>
      <c r="BK322" s="105"/>
      <c r="BL322" s="98"/>
      <c r="BM322" s="279"/>
      <c r="BN322" s="52"/>
      <c r="BO322" s="105"/>
      <c r="BP322" s="98"/>
      <c r="BQ322" s="279"/>
      <c r="BR322" s="52"/>
      <c r="BS322" s="105"/>
      <c r="BT322" s="98"/>
      <c r="BU322" s="279"/>
      <c r="BV322" s="52"/>
      <c r="BW322" s="105"/>
      <c r="BX322" s="98"/>
      <c r="BY322" s="279"/>
      <c r="BZ322" s="52"/>
      <c r="CA322" s="105"/>
      <c r="CB322" s="98"/>
      <c r="CC322" s="279"/>
      <c r="CD322" s="52"/>
      <c r="CE322" s="105"/>
      <c r="CF322" s="98"/>
      <c r="CG322" s="279"/>
      <c r="CH322" s="52"/>
      <c r="CI322" s="105"/>
      <c r="CJ322" s="98"/>
      <c r="CK322" s="281"/>
      <c r="CL322" s="277"/>
      <c r="CM322" s="159"/>
      <c r="CN322" s="277"/>
      <c r="CO322" s="50">
        <f t="shared" si="122"/>
        <v>0</v>
      </c>
      <c r="CP322" s="103">
        <f t="shared" si="123"/>
        <v>0</v>
      </c>
      <c r="CQ322" s="280">
        <f t="shared" si="124"/>
        <v>0</v>
      </c>
      <c r="CR322" s="63">
        <f t="shared" si="125"/>
        <v>0</v>
      </c>
      <c r="CS322" s="279"/>
      <c r="CT322" s="52"/>
      <c r="CU322" s="105"/>
      <c r="CV322" s="98"/>
      <c r="CW322" s="279"/>
      <c r="CX322" s="52"/>
      <c r="CY322" s="105"/>
      <c r="CZ322" s="98"/>
      <c r="DA322" s="279"/>
      <c r="DB322" s="52"/>
      <c r="DC322" s="105"/>
      <c r="DD322" s="98"/>
      <c r="DE322" s="279"/>
      <c r="DF322" s="52"/>
      <c r="DG322" s="105"/>
      <c r="DH322" s="98"/>
      <c r="DI322" s="279"/>
      <c r="DJ322" s="52"/>
      <c r="DK322" s="105"/>
      <c r="DL322" s="98"/>
      <c r="DM322" s="279"/>
      <c r="DN322" s="52"/>
      <c r="DO322" s="105"/>
      <c r="DP322" s="98"/>
      <c r="DQ322" s="279"/>
      <c r="DR322" s="52"/>
      <c r="DS322" s="105"/>
      <c r="DT322" s="98"/>
      <c r="DU322" s="279"/>
      <c r="DV322" s="52"/>
      <c r="DW322" s="105"/>
      <c r="DX322" s="98"/>
      <c r="DY322" s="279"/>
      <c r="DZ322" s="52"/>
      <c r="EA322" s="105"/>
      <c r="EB322" s="98"/>
      <c r="EC322" s="279"/>
      <c r="ED322" s="52"/>
      <c r="EE322" s="105"/>
      <c r="EF322" s="98"/>
      <c r="EG322" s="159"/>
      <c r="EH322" s="277"/>
      <c r="EI322" s="50">
        <f t="shared" si="126"/>
        <v>0</v>
      </c>
      <c r="EJ322" s="103">
        <f t="shared" si="127"/>
        <v>0</v>
      </c>
      <c r="EK322" s="164">
        <f t="shared" si="128"/>
        <v>0</v>
      </c>
      <c r="EL322" s="280">
        <f t="shared" si="129"/>
        <v>0</v>
      </c>
      <c r="EM322" s="63">
        <f t="shared" si="130"/>
        <v>0</v>
      </c>
      <c r="EN322" s="359">
        <f t="shared" si="131"/>
        <v>0</v>
      </c>
      <c r="EO322" s="51">
        <f t="shared" si="132"/>
        <v>0</v>
      </c>
      <c r="EP322" s="361">
        <f t="shared" si="133"/>
        <v>0</v>
      </c>
      <c r="EQ322" s="281"/>
      <c r="ER322" s="277"/>
      <c r="ES322" s="281"/>
      <c r="ET322" s="277"/>
      <c r="EU322" s="281"/>
      <c r="EV322" s="277"/>
      <c r="EW322" s="281"/>
      <c r="EX322" s="277"/>
      <c r="EY322" s="281"/>
      <c r="EZ322" s="277"/>
      <c r="FA322" s="281"/>
      <c r="FB322" s="277"/>
      <c r="FC322" s="281"/>
      <c r="FD322" s="277"/>
      <c r="FE322" s="281"/>
      <c r="FF322" s="277"/>
      <c r="FG322" s="281"/>
      <c r="FH322" s="277"/>
      <c r="FI322" s="281"/>
      <c r="FJ322" s="277"/>
      <c r="FK322" s="50">
        <f t="shared" si="134"/>
        <v>0</v>
      </c>
      <c r="FL322" s="63">
        <f t="shared" si="135"/>
        <v>0</v>
      </c>
      <c r="FM322" s="50">
        <f t="shared" si="117"/>
        <v>630</v>
      </c>
      <c r="FN322" s="360">
        <f t="shared" si="118"/>
        <v>634</v>
      </c>
      <c r="FO322" s="43"/>
      <c r="FP322" s="279"/>
      <c r="FQ322" s="52"/>
      <c r="FR322" s="296"/>
      <c r="FS322" s="98"/>
      <c r="FT322" s="467"/>
      <c r="FU322" s="52"/>
      <c r="FV322" s="296"/>
      <c r="FW322" s="98"/>
      <c r="FX322" s="467"/>
      <c r="FY322" s="52"/>
      <c r="FZ322" s="296"/>
      <c r="GA322" s="98"/>
      <c r="GB322" s="467"/>
      <c r="GC322" s="52"/>
      <c r="GD322" s="296"/>
      <c r="GE322" s="98"/>
      <c r="GF322" s="467"/>
      <c r="GG322" s="52"/>
      <c r="GH322" s="296"/>
      <c r="GI322" s="98"/>
      <c r="GJ322" s="467"/>
      <c r="GK322" s="52"/>
      <c r="GL322" s="296"/>
      <c r="GM322" s="464"/>
      <c r="GN322" s="467"/>
      <c r="GO322" s="52"/>
      <c r="GP322" s="296"/>
      <c r="GQ322" s="464"/>
      <c r="GR322" s="467"/>
      <c r="GS322" s="52"/>
      <c r="GT322" s="296"/>
      <c r="GU322" s="464"/>
      <c r="GV322" s="467"/>
      <c r="GW322" s="52"/>
      <c r="GX322" s="296"/>
      <c r="GY322" s="464"/>
      <c r="GZ322" s="467"/>
      <c r="HA322" s="52"/>
      <c r="HB322" s="296"/>
      <c r="HC322" s="43"/>
    </row>
    <row r="323" spans="1:211" s="85" customFormat="1">
      <c r="A323" s="519" t="s">
        <v>983</v>
      </c>
      <c r="B323" s="331" t="s">
        <v>939</v>
      </c>
      <c r="C323" s="330">
        <v>175643</v>
      </c>
      <c r="D323" s="344">
        <v>9</v>
      </c>
      <c r="E323" s="460">
        <v>108</v>
      </c>
      <c r="F323" s="277">
        <v>86</v>
      </c>
      <c r="G323" s="158"/>
      <c r="H323" s="277"/>
      <c r="I323" s="158">
        <v>372</v>
      </c>
      <c r="J323" s="535">
        <v>350</v>
      </c>
      <c r="K323" s="160">
        <f t="shared" si="119"/>
        <v>0</v>
      </c>
      <c r="L323" s="161">
        <f t="shared" si="112"/>
        <v>0</v>
      </c>
      <c r="M323" s="54"/>
      <c r="N323" s="55"/>
      <c r="O323" s="55"/>
      <c r="P323" s="55"/>
      <c r="Q323" s="162">
        <f t="shared" si="120"/>
        <v>0</v>
      </c>
      <c r="R323" s="277"/>
      <c r="S323" s="277"/>
      <c r="T323" s="277"/>
      <c r="U323" s="277"/>
      <c r="V323" s="97">
        <f t="shared" si="121"/>
        <v>0</v>
      </c>
      <c r="W323" s="279"/>
      <c r="X323" s="52"/>
      <c r="Y323" s="99"/>
      <c r="Z323" s="53"/>
      <c r="AA323" s="228"/>
      <c r="AB323" s="52"/>
      <c r="AC323" s="99"/>
      <c r="AD323" s="53"/>
      <c r="AE323" s="228"/>
      <c r="AF323" s="52"/>
      <c r="AG323" s="99"/>
      <c r="AH323" s="53"/>
      <c r="AI323" s="228"/>
      <c r="AJ323" s="52"/>
      <c r="AK323" s="99"/>
      <c r="AL323" s="53"/>
      <c r="AM323" s="228"/>
      <c r="AN323" s="52"/>
      <c r="AO323" s="99"/>
      <c r="AP323" s="53"/>
      <c r="AQ323" s="50">
        <f t="shared" si="113"/>
        <v>0</v>
      </c>
      <c r="AR323" s="163">
        <f t="shared" si="114"/>
        <v>0</v>
      </c>
      <c r="AS323" s="97">
        <f t="shared" si="115"/>
        <v>0</v>
      </c>
      <c r="AT323" s="278">
        <f t="shared" si="116"/>
        <v>0</v>
      </c>
      <c r="AU323" s="55"/>
      <c r="AV323" s="277"/>
      <c r="AW323" s="279"/>
      <c r="AX323" s="52"/>
      <c r="AY323" s="105"/>
      <c r="AZ323" s="98"/>
      <c r="BA323" s="279"/>
      <c r="BB323" s="52"/>
      <c r="BC323" s="105"/>
      <c r="BD323" s="98"/>
      <c r="BE323" s="279"/>
      <c r="BF323" s="52"/>
      <c r="BG323" s="105"/>
      <c r="BH323" s="98"/>
      <c r="BI323" s="279"/>
      <c r="BJ323" s="52"/>
      <c r="BK323" s="105"/>
      <c r="BL323" s="98"/>
      <c r="BM323" s="279"/>
      <c r="BN323" s="52"/>
      <c r="BO323" s="105"/>
      <c r="BP323" s="98"/>
      <c r="BQ323" s="279"/>
      <c r="BR323" s="52"/>
      <c r="BS323" s="105"/>
      <c r="BT323" s="98"/>
      <c r="BU323" s="279"/>
      <c r="BV323" s="52"/>
      <c r="BW323" s="105"/>
      <c r="BX323" s="98"/>
      <c r="BY323" s="279"/>
      <c r="BZ323" s="52"/>
      <c r="CA323" s="105"/>
      <c r="CB323" s="98"/>
      <c r="CC323" s="279"/>
      <c r="CD323" s="52"/>
      <c r="CE323" s="105"/>
      <c r="CF323" s="98"/>
      <c r="CG323" s="279"/>
      <c r="CH323" s="52"/>
      <c r="CI323" s="105"/>
      <c r="CJ323" s="98"/>
      <c r="CK323" s="281"/>
      <c r="CL323" s="277"/>
      <c r="CM323" s="159"/>
      <c r="CN323" s="277"/>
      <c r="CO323" s="50">
        <f t="shared" si="122"/>
        <v>0</v>
      </c>
      <c r="CP323" s="103">
        <f t="shared" si="123"/>
        <v>0</v>
      </c>
      <c r="CQ323" s="280">
        <f t="shared" si="124"/>
        <v>0</v>
      </c>
      <c r="CR323" s="63">
        <f t="shared" si="125"/>
        <v>0</v>
      </c>
      <c r="CS323" s="279"/>
      <c r="CT323" s="52"/>
      <c r="CU323" s="105"/>
      <c r="CV323" s="98"/>
      <c r="CW323" s="279"/>
      <c r="CX323" s="52"/>
      <c r="CY323" s="105"/>
      <c r="CZ323" s="98"/>
      <c r="DA323" s="279"/>
      <c r="DB323" s="52"/>
      <c r="DC323" s="105"/>
      <c r="DD323" s="98"/>
      <c r="DE323" s="279"/>
      <c r="DF323" s="52"/>
      <c r="DG323" s="105"/>
      <c r="DH323" s="98"/>
      <c r="DI323" s="279"/>
      <c r="DJ323" s="52"/>
      <c r="DK323" s="105"/>
      <c r="DL323" s="98"/>
      <c r="DM323" s="279"/>
      <c r="DN323" s="52"/>
      <c r="DO323" s="105"/>
      <c r="DP323" s="98"/>
      <c r="DQ323" s="279"/>
      <c r="DR323" s="52"/>
      <c r="DS323" s="105"/>
      <c r="DT323" s="98"/>
      <c r="DU323" s="279"/>
      <c r="DV323" s="52"/>
      <c r="DW323" s="105"/>
      <c r="DX323" s="98"/>
      <c r="DY323" s="279"/>
      <c r="DZ323" s="52"/>
      <c r="EA323" s="105"/>
      <c r="EB323" s="98"/>
      <c r="EC323" s="279"/>
      <c r="ED323" s="52"/>
      <c r="EE323" s="105"/>
      <c r="EF323" s="98"/>
      <c r="EG323" s="159"/>
      <c r="EH323" s="277"/>
      <c r="EI323" s="50">
        <f t="shared" si="126"/>
        <v>0</v>
      </c>
      <c r="EJ323" s="103">
        <f t="shared" si="127"/>
        <v>0</v>
      </c>
      <c r="EK323" s="164">
        <f t="shared" si="128"/>
        <v>0</v>
      </c>
      <c r="EL323" s="280">
        <f t="shared" si="129"/>
        <v>0</v>
      </c>
      <c r="EM323" s="63">
        <f t="shared" si="130"/>
        <v>0</v>
      </c>
      <c r="EN323" s="359">
        <f t="shared" si="131"/>
        <v>0</v>
      </c>
      <c r="EO323" s="51">
        <f t="shared" si="132"/>
        <v>0</v>
      </c>
      <c r="EP323" s="361">
        <f t="shared" si="133"/>
        <v>0</v>
      </c>
      <c r="EQ323" s="281"/>
      <c r="ER323" s="277"/>
      <c r="ES323" s="281"/>
      <c r="ET323" s="277"/>
      <c r="EU323" s="281"/>
      <c r="EV323" s="277"/>
      <c r="EW323" s="281"/>
      <c r="EX323" s="277"/>
      <c r="EY323" s="281"/>
      <c r="EZ323" s="277"/>
      <c r="FA323" s="281"/>
      <c r="FB323" s="277"/>
      <c r="FC323" s="281"/>
      <c r="FD323" s="277"/>
      <c r="FE323" s="281"/>
      <c r="FF323" s="277"/>
      <c r="FG323" s="281"/>
      <c r="FH323" s="277"/>
      <c r="FI323" s="281"/>
      <c r="FJ323" s="277"/>
      <c r="FK323" s="50">
        <f t="shared" si="134"/>
        <v>0</v>
      </c>
      <c r="FL323" s="63">
        <f t="shared" si="135"/>
        <v>0</v>
      </c>
      <c r="FM323" s="50">
        <f t="shared" si="117"/>
        <v>480</v>
      </c>
      <c r="FN323" s="360">
        <f t="shared" si="118"/>
        <v>436</v>
      </c>
      <c r="FO323" s="43"/>
      <c r="FP323" s="279"/>
      <c r="FQ323" s="52"/>
      <c r="FR323" s="296"/>
      <c r="FS323" s="98"/>
      <c r="FT323" s="467"/>
      <c r="FU323" s="52"/>
      <c r="FV323" s="296"/>
      <c r="FW323" s="98"/>
      <c r="FX323" s="467"/>
      <c r="FY323" s="52"/>
      <c r="FZ323" s="296"/>
      <c r="GA323" s="98"/>
      <c r="GB323" s="467"/>
      <c r="GC323" s="52"/>
      <c r="GD323" s="296"/>
      <c r="GE323" s="98"/>
      <c r="GF323" s="467"/>
      <c r="GG323" s="52"/>
      <c r="GH323" s="296"/>
      <c r="GI323" s="98"/>
      <c r="GJ323" s="467"/>
      <c r="GK323" s="52"/>
      <c r="GL323" s="296"/>
      <c r="GM323" s="464"/>
      <c r="GN323" s="467"/>
      <c r="GO323" s="52"/>
      <c r="GP323" s="296"/>
      <c r="GQ323" s="464"/>
      <c r="GR323" s="467"/>
      <c r="GS323" s="52"/>
      <c r="GT323" s="296"/>
      <c r="GU323" s="464"/>
      <c r="GV323" s="467"/>
      <c r="GW323" s="52"/>
      <c r="GX323" s="296"/>
      <c r="GY323" s="464"/>
      <c r="GZ323" s="467"/>
      <c r="HA323" s="52"/>
      <c r="HB323" s="296"/>
      <c r="HC323" s="43"/>
    </row>
    <row r="324" spans="1:211" s="85" customFormat="1">
      <c r="A324" s="519" t="s">
        <v>983</v>
      </c>
      <c r="B324" s="331" t="s">
        <v>940</v>
      </c>
      <c r="C324" s="330">
        <v>175652</v>
      </c>
      <c r="D324" s="344">
        <v>9</v>
      </c>
      <c r="E324" s="460">
        <v>141</v>
      </c>
      <c r="F324" s="277">
        <v>179</v>
      </c>
      <c r="G324" s="158"/>
      <c r="H324" s="277"/>
      <c r="I324" s="158">
        <v>448</v>
      </c>
      <c r="J324" s="535">
        <v>393</v>
      </c>
      <c r="K324" s="160">
        <f t="shared" si="119"/>
        <v>0</v>
      </c>
      <c r="L324" s="161">
        <f t="shared" si="112"/>
        <v>0</v>
      </c>
      <c r="M324" s="54"/>
      <c r="N324" s="55"/>
      <c r="O324" s="55"/>
      <c r="P324" s="55"/>
      <c r="Q324" s="162">
        <f t="shared" si="120"/>
        <v>0</v>
      </c>
      <c r="R324" s="277"/>
      <c r="S324" s="277"/>
      <c r="T324" s="277"/>
      <c r="U324" s="277"/>
      <c r="V324" s="97">
        <f t="shared" si="121"/>
        <v>0</v>
      </c>
      <c r="W324" s="279"/>
      <c r="X324" s="52"/>
      <c r="Y324" s="99"/>
      <c r="Z324" s="53"/>
      <c r="AA324" s="228"/>
      <c r="AB324" s="52"/>
      <c r="AC324" s="99"/>
      <c r="AD324" s="53"/>
      <c r="AE324" s="228"/>
      <c r="AF324" s="52"/>
      <c r="AG324" s="99"/>
      <c r="AH324" s="53"/>
      <c r="AI324" s="228"/>
      <c r="AJ324" s="52"/>
      <c r="AK324" s="99"/>
      <c r="AL324" s="53"/>
      <c r="AM324" s="228"/>
      <c r="AN324" s="52"/>
      <c r="AO324" s="99"/>
      <c r="AP324" s="53"/>
      <c r="AQ324" s="50">
        <f t="shared" si="113"/>
        <v>0</v>
      </c>
      <c r="AR324" s="163">
        <f t="shared" si="114"/>
        <v>0</v>
      </c>
      <c r="AS324" s="97">
        <f t="shared" si="115"/>
        <v>0</v>
      </c>
      <c r="AT324" s="278">
        <f t="shared" si="116"/>
        <v>0</v>
      </c>
      <c r="AU324" s="55"/>
      <c r="AV324" s="277"/>
      <c r="AW324" s="279"/>
      <c r="AX324" s="52"/>
      <c r="AY324" s="105"/>
      <c r="AZ324" s="98"/>
      <c r="BA324" s="279"/>
      <c r="BB324" s="52"/>
      <c r="BC324" s="105"/>
      <c r="BD324" s="98"/>
      <c r="BE324" s="279"/>
      <c r="BF324" s="52"/>
      <c r="BG324" s="105"/>
      <c r="BH324" s="98"/>
      <c r="BI324" s="279"/>
      <c r="BJ324" s="52"/>
      <c r="BK324" s="105"/>
      <c r="BL324" s="98"/>
      <c r="BM324" s="279"/>
      <c r="BN324" s="52"/>
      <c r="BO324" s="105"/>
      <c r="BP324" s="98"/>
      <c r="BQ324" s="279"/>
      <c r="BR324" s="52"/>
      <c r="BS324" s="105"/>
      <c r="BT324" s="98"/>
      <c r="BU324" s="279"/>
      <c r="BV324" s="52"/>
      <c r="BW324" s="105"/>
      <c r="BX324" s="98"/>
      <c r="BY324" s="279"/>
      <c r="BZ324" s="52"/>
      <c r="CA324" s="105"/>
      <c r="CB324" s="98"/>
      <c r="CC324" s="279"/>
      <c r="CD324" s="52"/>
      <c r="CE324" s="105"/>
      <c r="CF324" s="98"/>
      <c r="CG324" s="279"/>
      <c r="CH324" s="52"/>
      <c r="CI324" s="105"/>
      <c r="CJ324" s="98"/>
      <c r="CK324" s="281"/>
      <c r="CL324" s="277"/>
      <c r="CM324" s="159"/>
      <c r="CN324" s="277"/>
      <c r="CO324" s="50">
        <f t="shared" si="122"/>
        <v>0</v>
      </c>
      <c r="CP324" s="103">
        <f t="shared" si="123"/>
        <v>0</v>
      </c>
      <c r="CQ324" s="280">
        <f t="shared" si="124"/>
        <v>0</v>
      </c>
      <c r="CR324" s="63">
        <f t="shared" si="125"/>
        <v>0</v>
      </c>
      <c r="CS324" s="279"/>
      <c r="CT324" s="52"/>
      <c r="CU324" s="105"/>
      <c r="CV324" s="98"/>
      <c r="CW324" s="279"/>
      <c r="CX324" s="52"/>
      <c r="CY324" s="105"/>
      <c r="CZ324" s="98"/>
      <c r="DA324" s="279"/>
      <c r="DB324" s="52"/>
      <c r="DC324" s="105"/>
      <c r="DD324" s="98"/>
      <c r="DE324" s="279"/>
      <c r="DF324" s="52"/>
      <c r="DG324" s="105"/>
      <c r="DH324" s="98"/>
      <c r="DI324" s="279"/>
      <c r="DJ324" s="52"/>
      <c r="DK324" s="105"/>
      <c r="DL324" s="98"/>
      <c r="DM324" s="279"/>
      <c r="DN324" s="52"/>
      <c r="DO324" s="105"/>
      <c r="DP324" s="98"/>
      <c r="DQ324" s="279"/>
      <c r="DR324" s="52"/>
      <c r="DS324" s="105"/>
      <c r="DT324" s="98"/>
      <c r="DU324" s="279"/>
      <c r="DV324" s="52"/>
      <c r="DW324" s="105"/>
      <c r="DX324" s="98"/>
      <c r="DY324" s="279"/>
      <c r="DZ324" s="52"/>
      <c r="EA324" s="105"/>
      <c r="EB324" s="98"/>
      <c r="EC324" s="279"/>
      <c r="ED324" s="52"/>
      <c r="EE324" s="105"/>
      <c r="EF324" s="98"/>
      <c r="EG324" s="159"/>
      <c r="EH324" s="277"/>
      <c r="EI324" s="50">
        <f t="shared" si="126"/>
        <v>0</v>
      </c>
      <c r="EJ324" s="103">
        <f t="shared" si="127"/>
        <v>0</v>
      </c>
      <c r="EK324" s="164">
        <f t="shared" si="128"/>
        <v>0</v>
      </c>
      <c r="EL324" s="280">
        <f t="shared" si="129"/>
        <v>0</v>
      </c>
      <c r="EM324" s="63">
        <f t="shared" si="130"/>
        <v>0</v>
      </c>
      <c r="EN324" s="359">
        <f t="shared" si="131"/>
        <v>0</v>
      </c>
      <c r="EO324" s="51">
        <f t="shared" si="132"/>
        <v>0</v>
      </c>
      <c r="EP324" s="361">
        <f t="shared" si="133"/>
        <v>0</v>
      </c>
      <c r="EQ324" s="281"/>
      <c r="ER324" s="277"/>
      <c r="ES324" s="281"/>
      <c r="ET324" s="277"/>
      <c r="EU324" s="281"/>
      <c r="EV324" s="277"/>
      <c r="EW324" s="281"/>
      <c r="EX324" s="277"/>
      <c r="EY324" s="281"/>
      <c r="EZ324" s="277"/>
      <c r="FA324" s="281"/>
      <c r="FB324" s="277"/>
      <c r="FC324" s="281"/>
      <c r="FD324" s="277"/>
      <c r="FE324" s="281"/>
      <c r="FF324" s="277"/>
      <c r="FG324" s="281"/>
      <c r="FH324" s="277"/>
      <c r="FI324" s="281"/>
      <c r="FJ324" s="277"/>
      <c r="FK324" s="50">
        <f t="shared" si="134"/>
        <v>0</v>
      </c>
      <c r="FL324" s="63">
        <f t="shared" si="135"/>
        <v>0</v>
      </c>
      <c r="FM324" s="50">
        <f t="shared" si="117"/>
        <v>589</v>
      </c>
      <c r="FN324" s="360">
        <f t="shared" si="118"/>
        <v>572</v>
      </c>
      <c r="FO324" s="43"/>
      <c r="FP324" s="279"/>
      <c r="FQ324" s="52"/>
      <c r="FR324" s="296"/>
      <c r="FS324" s="98"/>
      <c r="FT324" s="467"/>
      <c r="FU324" s="52"/>
      <c r="FV324" s="296"/>
      <c r="FW324" s="98"/>
      <c r="FX324" s="467"/>
      <c r="FY324" s="52"/>
      <c r="FZ324" s="296"/>
      <c r="GA324" s="98"/>
      <c r="GB324" s="467"/>
      <c r="GC324" s="52"/>
      <c r="GD324" s="296"/>
      <c r="GE324" s="98"/>
      <c r="GF324" s="467"/>
      <c r="GG324" s="52"/>
      <c r="GH324" s="296"/>
      <c r="GI324" s="98"/>
      <c r="GJ324" s="467"/>
      <c r="GK324" s="52"/>
      <c r="GL324" s="296"/>
      <c r="GM324" s="464"/>
      <c r="GN324" s="467"/>
      <c r="GO324" s="52"/>
      <c r="GP324" s="296"/>
      <c r="GQ324" s="464"/>
      <c r="GR324" s="467"/>
      <c r="GS324" s="52"/>
      <c r="GT324" s="296"/>
      <c r="GU324" s="464"/>
      <c r="GV324" s="467"/>
      <c r="GW324" s="52"/>
      <c r="GX324" s="296"/>
      <c r="GY324" s="464"/>
      <c r="GZ324" s="467"/>
      <c r="HA324" s="52"/>
      <c r="HB324" s="296"/>
      <c r="HC324" s="43"/>
    </row>
    <row r="325" spans="1:211" s="85" customFormat="1">
      <c r="A325" s="519" t="s">
        <v>983</v>
      </c>
      <c r="B325" s="331" t="s">
        <v>941</v>
      </c>
      <c r="C325" s="330">
        <v>175810</v>
      </c>
      <c r="D325" s="344">
        <v>9</v>
      </c>
      <c r="E325" s="460">
        <v>107</v>
      </c>
      <c r="F325" s="277">
        <v>167</v>
      </c>
      <c r="G325" s="158"/>
      <c r="H325" s="277"/>
      <c r="I325" s="158">
        <v>497</v>
      </c>
      <c r="J325" s="535">
        <v>599</v>
      </c>
      <c r="K325" s="160">
        <f t="shared" si="119"/>
        <v>0</v>
      </c>
      <c r="L325" s="161">
        <f t="shared" si="112"/>
        <v>0</v>
      </c>
      <c r="M325" s="54"/>
      <c r="N325" s="55"/>
      <c r="O325" s="55"/>
      <c r="P325" s="55"/>
      <c r="Q325" s="162">
        <f t="shared" si="120"/>
        <v>0</v>
      </c>
      <c r="R325" s="277"/>
      <c r="S325" s="277"/>
      <c r="T325" s="277"/>
      <c r="U325" s="277"/>
      <c r="V325" s="97">
        <f t="shared" si="121"/>
        <v>0</v>
      </c>
      <c r="W325" s="279"/>
      <c r="X325" s="52"/>
      <c r="Y325" s="99"/>
      <c r="Z325" s="53"/>
      <c r="AA325" s="228"/>
      <c r="AB325" s="52"/>
      <c r="AC325" s="99"/>
      <c r="AD325" s="53"/>
      <c r="AE325" s="228"/>
      <c r="AF325" s="52"/>
      <c r="AG325" s="99"/>
      <c r="AH325" s="53"/>
      <c r="AI325" s="228"/>
      <c r="AJ325" s="52"/>
      <c r="AK325" s="99"/>
      <c r="AL325" s="53"/>
      <c r="AM325" s="228"/>
      <c r="AN325" s="52"/>
      <c r="AO325" s="99"/>
      <c r="AP325" s="53"/>
      <c r="AQ325" s="50">
        <f t="shared" si="113"/>
        <v>0</v>
      </c>
      <c r="AR325" s="163">
        <f t="shared" si="114"/>
        <v>0</v>
      </c>
      <c r="AS325" s="97">
        <f t="shared" si="115"/>
        <v>0</v>
      </c>
      <c r="AT325" s="278">
        <f t="shared" si="116"/>
        <v>0</v>
      </c>
      <c r="AU325" s="55"/>
      <c r="AV325" s="277"/>
      <c r="AW325" s="279"/>
      <c r="AX325" s="52"/>
      <c r="AY325" s="105"/>
      <c r="AZ325" s="98"/>
      <c r="BA325" s="279"/>
      <c r="BB325" s="52"/>
      <c r="BC325" s="105"/>
      <c r="BD325" s="98"/>
      <c r="BE325" s="279"/>
      <c r="BF325" s="52"/>
      <c r="BG325" s="105"/>
      <c r="BH325" s="98"/>
      <c r="BI325" s="279"/>
      <c r="BJ325" s="52"/>
      <c r="BK325" s="105"/>
      <c r="BL325" s="98"/>
      <c r="BM325" s="279"/>
      <c r="BN325" s="52"/>
      <c r="BO325" s="105"/>
      <c r="BP325" s="98"/>
      <c r="BQ325" s="279"/>
      <c r="BR325" s="52"/>
      <c r="BS325" s="105"/>
      <c r="BT325" s="98"/>
      <c r="BU325" s="279"/>
      <c r="BV325" s="52"/>
      <c r="BW325" s="105"/>
      <c r="BX325" s="98"/>
      <c r="BY325" s="279"/>
      <c r="BZ325" s="52"/>
      <c r="CA325" s="105"/>
      <c r="CB325" s="98"/>
      <c r="CC325" s="279"/>
      <c r="CD325" s="52"/>
      <c r="CE325" s="105"/>
      <c r="CF325" s="98"/>
      <c r="CG325" s="279"/>
      <c r="CH325" s="52"/>
      <c r="CI325" s="105"/>
      <c r="CJ325" s="98"/>
      <c r="CK325" s="281"/>
      <c r="CL325" s="277"/>
      <c r="CM325" s="159"/>
      <c r="CN325" s="277"/>
      <c r="CO325" s="50">
        <f t="shared" si="122"/>
        <v>0</v>
      </c>
      <c r="CP325" s="103">
        <f t="shared" si="123"/>
        <v>0</v>
      </c>
      <c r="CQ325" s="280">
        <f t="shared" si="124"/>
        <v>0</v>
      </c>
      <c r="CR325" s="63">
        <f t="shared" si="125"/>
        <v>0</v>
      </c>
      <c r="CS325" s="279"/>
      <c r="CT325" s="52"/>
      <c r="CU325" s="105"/>
      <c r="CV325" s="98"/>
      <c r="CW325" s="279"/>
      <c r="CX325" s="52"/>
      <c r="CY325" s="105"/>
      <c r="CZ325" s="98"/>
      <c r="DA325" s="279"/>
      <c r="DB325" s="52"/>
      <c r="DC325" s="105"/>
      <c r="DD325" s="98"/>
      <c r="DE325" s="279"/>
      <c r="DF325" s="52"/>
      <c r="DG325" s="105"/>
      <c r="DH325" s="98"/>
      <c r="DI325" s="279"/>
      <c r="DJ325" s="52"/>
      <c r="DK325" s="105"/>
      <c r="DL325" s="98"/>
      <c r="DM325" s="279"/>
      <c r="DN325" s="52"/>
      <c r="DO325" s="105"/>
      <c r="DP325" s="98"/>
      <c r="DQ325" s="279"/>
      <c r="DR325" s="52"/>
      <c r="DS325" s="105"/>
      <c r="DT325" s="98"/>
      <c r="DU325" s="279"/>
      <c r="DV325" s="52"/>
      <c r="DW325" s="105"/>
      <c r="DX325" s="98"/>
      <c r="DY325" s="279"/>
      <c r="DZ325" s="52"/>
      <c r="EA325" s="105"/>
      <c r="EB325" s="98"/>
      <c r="EC325" s="279"/>
      <c r="ED325" s="52"/>
      <c r="EE325" s="105"/>
      <c r="EF325" s="98"/>
      <c r="EG325" s="159"/>
      <c r="EH325" s="277"/>
      <c r="EI325" s="50">
        <f t="shared" si="126"/>
        <v>0</v>
      </c>
      <c r="EJ325" s="103">
        <f t="shared" si="127"/>
        <v>0</v>
      </c>
      <c r="EK325" s="164">
        <f t="shared" si="128"/>
        <v>0</v>
      </c>
      <c r="EL325" s="280">
        <f t="shared" si="129"/>
        <v>0</v>
      </c>
      <c r="EM325" s="63">
        <f t="shared" si="130"/>
        <v>0</v>
      </c>
      <c r="EN325" s="359">
        <f t="shared" si="131"/>
        <v>0</v>
      </c>
      <c r="EO325" s="51">
        <f t="shared" si="132"/>
        <v>0</v>
      </c>
      <c r="EP325" s="361">
        <f t="shared" si="133"/>
        <v>0</v>
      </c>
      <c r="EQ325" s="281"/>
      <c r="ER325" s="277"/>
      <c r="ES325" s="281"/>
      <c r="ET325" s="277"/>
      <c r="EU325" s="281"/>
      <c r="EV325" s="277"/>
      <c r="EW325" s="281"/>
      <c r="EX325" s="277"/>
      <c r="EY325" s="281"/>
      <c r="EZ325" s="277"/>
      <c r="FA325" s="281"/>
      <c r="FB325" s="277"/>
      <c r="FC325" s="281"/>
      <c r="FD325" s="277"/>
      <c r="FE325" s="281"/>
      <c r="FF325" s="277"/>
      <c r="FG325" s="281"/>
      <c r="FH325" s="277"/>
      <c r="FI325" s="281"/>
      <c r="FJ325" s="277"/>
      <c r="FK325" s="50">
        <f t="shared" si="134"/>
        <v>0</v>
      </c>
      <c r="FL325" s="63">
        <f t="shared" si="135"/>
        <v>0</v>
      </c>
      <c r="FM325" s="50">
        <f t="shared" si="117"/>
        <v>604</v>
      </c>
      <c r="FN325" s="360">
        <f t="shared" si="118"/>
        <v>766</v>
      </c>
      <c r="FO325" s="43"/>
      <c r="FP325" s="279"/>
      <c r="FQ325" s="52"/>
      <c r="FR325" s="296"/>
      <c r="FS325" s="98"/>
      <c r="FT325" s="467"/>
      <c r="FU325" s="52"/>
      <c r="FV325" s="296"/>
      <c r="FW325" s="98"/>
      <c r="FX325" s="467"/>
      <c r="FY325" s="52"/>
      <c r="FZ325" s="296"/>
      <c r="GA325" s="98"/>
      <c r="GB325" s="467"/>
      <c r="GC325" s="52"/>
      <c r="GD325" s="296"/>
      <c r="GE325" s="98"/>
      <c r="GF325" s="467"/>
      <c r="GG325" s="52"/>
      <c r="GH325" s="296"/>
      <c r="GI325" s="98"/>
      <c r="GJ325" s="467"/>
      <c r="GK325" s="52"/>
      <c r="GL325" s="296"/>
      <c r="GM325" s="464"/>
      <c r="GN325" s="467"/>
      <c r="GO325" s="52"/>
      <c r="GP325" s="296"/>
      <c r="GQ325" s="464"/>
      <c r="GR325" s="467"/>
      <c r="GS325" s="52"/>
      <c r="GT325" s="296"/>
      <c r="GU325" s="464"/>
      <c r="GV325" s="467"/>
      <c r="GW325" s="52"/>
      <c r="GX325" s="296"/>
      <c r="GY325" s="464"/>
      <c r="GZ325" s="467"/>
      <c r="HA325" s="52"/>
      <c r="HB325" s="296"/>
      <c r="HC325" s="43"/>
    </row>
    <row r="326" spans="1:211" s="85" customFormat="1">
      <c r="A326" s="519" t="s">
        <v>983</v>
      </c>
      <c r="B326" s="370" t="s">
        <v>942</v>
      </c>
      <c r="C326" s="330">
        <v>175829</v>
      </c>
      <c r="D326" s="344">
        <v>9</v>
      </c>
      <c r="E326" s="460">
        <v>67</v>
      </c>
      <c r="F326" s="277">
        <v>117</v>
      </c>
      <c r="G326" s="158"/>
      <c r="H326" s="277"/>
      <c r="I326" s="158">
        <v>527</v>
      </c>
      <c r="J326" s="535">
        <v>760</v>
      </c>
      <c r="K326" s="160">
        <f t="shared" si="119"/>
        <v>0</v>
      </c>
      <c r="L326" s="161">
        <f t="shared" si="112"/>
        <v>0</v>
      </c>
      <c r="M326" s="54"/>
      <c r="N326" s="55"/>
      <c r="O326" s="55"/>
      <c r="P326" s="55"/>
      <c r="Q326" s="162">
        <f t="shared" si="120"/>
        <v>0</v>
      </c>
      <c r="R326" s="277"/>
      <c r="S326" s="277"/>
      <c r="T326" s="277"/>
      <c r="U326" s="277"/>
      <c r="V326" s="97">
        <f t="shared" si="121"/>
        <v>0</v>
      </c>
      <c r="W326" s="279"/>
      <c r="X326" s="52"/>
      <c r="Y326" s="99"/>
      <c r="Z326" s="53"/>
      <c r="AA326" s="228"/>
      <c r="AB326" s="52"/>
      <c r="AC326" s="99"/>
      <c r="AD326" s="53"/>
      <c r="AE326" s="228"/>
      <c r="AF326" s="52"/>
      <c r="AG326" s="99"/>
      <c r="AH326" s="53"/>
      <c r="AI326" s="228"/>
      <c r="AJ326" s="52"/>
      <c r="AK326" s="99"/>
      <c r="AL326" s="53"/>
      <c r="AM326" s="228"/>
      <c r="AN326" s="52"/>
      <c r="AO326" s="99"/>
      <c r="AP326" s="53"/>
      <c r="AQ326" s="50">
        <f t="shared" si="113"/>
        <v>0</v>
      </c>
      <c r="AR326" s="163">
        <f t="shared" si="114"/>
        <v>0</v>
      </c>
      <c r="AS326" s="97">
        <f t="shared" si="115"/>
        <v>0</v>
      </c>
      <c r="AT326" s="278">
        <f t="shared" si="116"/>
        <v>0</v>
      </c>
      <c r="AU326" s="55"/>
      <c r="AV326" s="277"/>
      <c r="AW326" s="279"/>
      <c r="AX326" s="52"/>
      <c r="AY326" s="105"/>
      <c r="AZ326" s="98"/>
      <c r="BA326" s="279"/>
      <c r="BB326" s="52"/>
      <c r="BC326" s="105"/>
      <c r="BD326" s="98"/>
      <c r="BE326" s="279"/>
      <c r="BF326" s="52"/>
      <c r="BG326" s="105"/>
      <c r="BH326" s="98"/>
      <c r="BI326" s="279"/>
      <c r="BJ326" s="52"/>
      <c r="BK326" s="105"/>
      <c r="BL326" s="98"/>
      <c r="BM326" s="279"/>
      <c r="BN326" s="52"/>
      <c r="BO326" s="105"/>
      <c r="BP326" s="98"/>
      <c r="BQ326" s="279"/>
      <c r="BR326" s="52"/>
      <c r="BS326" s="105"/>
      <c r="BT326" s="98"/>
      <c r="BU326" s="279"/>
      <c r="BV326" s="52"/>
      <c r="BW326" s="105"/>
      <c r="BX326" s="98"/>
      <c r="BY326" s="279"/>
      <c r="BZ326" s="52"/>
      <c r="CA326" s="105"/>
      <c r="CB326" s="98"/>
      <c r="CC326" s="279"/>
      <c r="CD326" s="52"/>
      <c r="CE326" s="105"/>
      <c r="CF326" s="98"/>
      <c r="CG326" s="279"/>
      <c r="CH326" s="52"/>
      <c r="CI326" s="105"/>
      <c r="CJ326" s="98"/>
      <c r="CK326" s="281"/>
      <c r="CL326" s="277"/>
      <c r="CM326" s="159"/>
      <c r="CN326" s="277"/>
      <c r="CO326" s="50">
        <f t="shared" si="122"/>
        <v>0</v>
      </c>
      <c r="CP326" s="103">
        <f t="shared" si="123"/>
        <v>0</v>
      </c>
      <c r="CQ326" s="280">
        <f t="shared" si="124"/>
        <v>0</v>
      </c>
      <c r="CR326" s="63">
        <f t="shared" si="125"/>
        <v>0</v>
      </c>
      <c r="CS326" s="279"/>
      <c r="CT326" s="52"/>
      <c r="CU326" s="105"/>
      <c r="CV326" s="98"/>
      <c r="CW326" s="279"/>
      <c r="CX326" s="52"/>
      <c r="CY326" s="105"/>
      <c r="CZ326" s="98"/>
      <c r="DA326" s="279"/>
      <c r="DB326" s="52"/>
      <c r="DC326" s="105"/>
      <c r="DD326" s="98"/>
      <c r="DE326" s="279"/>
      <c r="DF326" s="52"/>
      <c r="DG326" s="105"/>
      <c r="DH326" s="98"/>
      <c r="DI326" s="279"/>
      <c r="DJ326" s="52"/>
      <c r="DK326" s="105"/>
      <c r="DL326" s="98"/>
      <c r="DM326" s="279"/>
      <c r="DN326" s="52"/>
      <c r="DO326" s="105"/>
      <c r="DP326" s="98"/>
      <c r="DQ326" s="279"/>
      <c r="DR326" s="52"/>
      <c r="DS326" s="105"/>
      <c r="DT326" s="98"/>
      <c r="DU326" s="279"/>
      <c r="DV326" s="52"/>
      <c r="DW326" s="105"/>
      <c r="DX326" s="98"/>
      <c r="DY326" s="279"/>
      <c r="DZ326" s="52"/>
      <c r="EA326" s="105"/>
      <c r="EB326" s="98"/>
      <c r="EC326" s="279"/>
      <c r="ED326" s="52"/>
      <c r="EE326" s="105"/>
      <c r="EF326" s="98"/>
      <c r="EG326" s="159"/>
      <c r="EH326" s="277"/>
      <c r="EI326" s="50">
        <f t="shared" si="126"/>
        <v>0</v>
      </c>
      <c r="EJ326" s="103">
        <f t="shared" si="127"/>
        <v>0</v>
      </c>
      <c r="EK326" s="164">
        <f t="shared" si="128"/>
        <v>0</v>
      </c>
      <c r="EL326" s="280">
        <f t="shared" si="129"/>
        <v>0</v>
      </c>
      <c r="EM326" s="63">
        <f t="shared" si="130"/>
        <v>0</v>
      </c>
      <c r="EN326" s="359">
        <f t="shared" si="131"/>
        <v>0</v>
      </c>
      <c r="EO326" s="51">
        <f t="shared" si="132"/>
        <v>0</v>
      </c>
      <c r="EP326" s="361">
        <f t="shared" si="133"/>
        <v>0</v>
      </c>
      <c r="EQ326" s="281"/>
      <c r="ER326" s="277"/>
      <c r="ES326" s="281"/>
      <c r="ET326" s="277"/>
      <c r="EU326" s="281"/>
      <c r="EV326" s="277"/>
      <c r="EW326" s="281"/>
      <c r="EX326" s="277"/>
      <c r="EY326" s="281"/>
      <c r="EZ326" s="277"/>
      <c r="FA326" s="281"/>
      <c r="FB326" s="277"/>
      <c r="FC326" s="281"/>
      <c r="FD326" s="277"/>
      <c r="FE326" s="281"/>
      <c r="FF326" s="277"/>
      <c r="FG326" s="281"/>
      <c r="FH326" s="277"/>
      <c r="FI326" s="281"/>
      <c r="FJ326" s="277"/>
      <c r="FK326" s="50">
        <f t="shared" si="134"/>
        <v>0</v>
      </c>
      <c r="FL326" s="63">
        <f t="shared" si="135"/>
        <v>0</v>
      </c>
      <c r="FM326" s="50">
        <f t="shared" si="117"/>
        <v>594</v>
      </c>
      <c r="FN326" s="360">
        <f t="shared" si="118"/>
        <v>877</v>
      </c>
      <c r="FO326" s="43"/>
      <c r="FP326" s="279"/>
      <c r="FQ326" s="52"/>
      <c r="FR326" s="296"/>
      <c r="FS326" s="98"/>
      <c r="FT326" s="467"/>
      <c r="FU326" s="52"/>
      <c r="FV326" s="296"/>
      <c r="FW326" s="98"/>
      <c r="FX326" s="467"/>
      <c r="FY326" s="52"/>
      <c r="FZ326" s="296"/>
      <c r="GA326" s="98"/>
      <c r="GB326" s="467"/>
      <c r="GC326" s="52"/>
      <c r="GD326" s="296"/>
      <c r="GE326" s="98"/>
      <c r="GF326" s="467"/>
      <c r="GG326" s="52"/>
      <c r="GH326" s="296"/>
      <c r="GI326" s="98"/>
      <c r="GJ326" s="467"/>
      <c r="GK326" s="52"/>
      <c r="GL326" s="296"/>
      <c r="GM326" s="464"/>
      <c r="GN326" s="467"/>
      <c r="GO326" s="52"/>
      <c r="GP326" s="296"/>
      <c r="GQ326" s="464"/>
      <c r="GR326" s="467"/>
      <c r="GS326" s="52"/>
      <c r="GT326" s="296"/>
      <c r="GU326" s="464"/>
      <c r="GV326" s="467"/>
      <c r="GW326" s="52"/>
      <c r="GX326" s="296"/>
      <c r="GY326" s="464"/>
      <c r="GZ326" s="467"/>
      <c r="HA326" s="52"/>
      <c r="HB326" s="296"/>
      <c r="HC326" s="43"/>
    </row>
    <row r="327" spans="1:211" s="86" customFormat="1">
      <c r="A327" s="519" t="s">
        <v>983</v>
      </c>
      <c r="B327" s="331" t="s">
        <v>943</v>
      </c>
      <c r="C327" s="330">
        <v>175883</v>
      </c>
      <c r="D327" s="344">
        <v>9</v>
      </c>
      <c r="E327" s="460">
        <v>197</v>
      </c>
      <c r="F327" s="277">
        <v>191</v>
      </c>
      <c r="G327" s="158"/>
      <c r="H327" s="277"/>
      <c r="I327" s="158">
        <v>600</v>
      </c>
      <c r="J327" s="535">
        <v>507</v>
      </c>
      <c r="K327" s="160">
        <f t="shared" si="119"/>
        <v>0</v>
      </c>
      <c r="L327" s="161">
        <f t="shared" si="112"/>
        <v>0</v>
      </c>
      <c r="M327" s="54"/>
      <c r="N327" s="55"/>
      <c r="O327" s="55"/>
      <c r="P327" s="55"/>
      <c r="Q327" s="162">
        <f t="shared" si="120"/>
        <v>0</v>
      </c>
      <c r="R327" s="277"/>
      <c r="S327" s="277"/>
      <c r="T327" s="277"/>
      <c r="U327" s="277"/>
      <c r="V327" s="97">
        <f t="shared" si="121"/>
        <v>0</v>
      </c>
      <c r="W327" s="279"/>
      <c r="X327" s="52"/>
      <c r="Y327" s="99"/>
      <c r="Z327" s="53"/>
      <c r="AA327" s="228"/>
      <c r="AB327" s="52"/>
      <c r="AC327" s="99"/>
      <c r="AD327" s="53"/>
      <c r="AE327" s="228"/>
      <c r="AF327" s="52"/>
      <c r="AG327" s="99"/>
      <c r="AH327" s="53"/>
      <c r="AI327" s="228"/>
      <c r="AJ327" s="52"/>
      <c r="AK327" s="99"/>
      <c r="AL327" s="53"/>
      <c r="AM327" s="228"/>
      <c r="AN327" s="52"/>
      <c r="AO327" s="99"/>
      <c r="AP327" s="53"/>
      <c r="AQ327" s="50">
        <f t="shared" si="113"/>
        <v>0</v>
      </c>
      <c r="AR327" s="163">
        <f t="shared" si="114"/>
        <v>0</v>
      </c>
      <c r="AS327" s="97">
        <f t="shared" si="115"/>
        <v>0</v>
      </c>
      <c r="AT327" s="278">
        <f t="shared" si="116"/>
        <v>0</v>
      </c>
      <c r="AU327" s="55"/>
      <c r="AV327" s="277"/>
      <c r="AW327" s="279"/>
      <c r="AX327" s="52"/>
      <c r="AY327" s="105"/>
      <c r="AZ327" s="98"/>
      <c r="BA327" s="279"/>
      <c r="BB327" s="52"/>
      <c r="BC327" s="105"/>
      <c r="BD327" s="98"/>
      <c r="BE327" s="279"/>
      <c r="BF327" s="52"/>
      <c r="BG327" s="105"/>
      <c r="BH327" s="98"/>
      <c r="BI327" s="279"/>
      <c r="BJ327" s="52"/>
      <c r="BK327" s="105"/>
      <c r="BL327" s="98"/>
      <c r="BM327" s="279"/>
      <c r="BN327" s="52"/>
      <c r="BO327" s="105"/>
      <c r="BP327" s="98"/>
      <c r="BQ327" s="279"/>
      <c r="BR327" s="52"/>
      <c r="BS327" s="105"/>
      <c r="BT327" s="98"/>
      <c r="BU327" s="279"/>
      <c r="BV327" s="52"/>
      <c r="BW327" s="105"/>
      <c r="BX327" s="98"/>
      <c r="BY327" s="279"/>
      <c r="BZ327" s="52"/>
      <c r="CA327" s="105"/>
      <c r="CB327" s="98"/>
      <c r="CC327" s="279"/>
      <c r="CD327" s="52"/>
      <c r="CE327" s="105"/>
      <c r="CF327" s="98"/>
      <c r="CG327" s="279"/>
      <c r="CH327" s="52"/>
      <c r="CI327" s="105"/>
      <c r="CJ327" s="98"/>
      <c r="CK327" s="281"/>
      <c r="CL327" s="277"/>
      <c r="CM327" s="159"/>
      <c r="CN327" s="277"/>
      <c r="CO327" s="50">
        <f t="shared" si="122"/>
        <v>0</v>
      </c>
      <c r="CP327" s="103">
        <f t="shared" si="123"/>
        <v>0</v>
      </c>
      <c r="CQ327" s="280">
        <f t="shared" si="124"/>
        <v>0</v>
      </c>
      <c r="CR327" s="63">
        <f t="shared" si="125"/>
        <v>0</v>
      </c>
      <c r="CS327" s="279"/>
      <c r="CT327" s="52"/>
      <c r="CU327" s="105"/>
      <c r="CV327" s="98"/>
      <c r="CW327" s="279"/>
      <c r="CX327" s="52"/>
      <c r="CY327" s="105"/>
      <c r="CZ327" s="98"/>
      <c r="DA327" s="279"/>
      <c r="DB327" s="52"/>
      <c r="DC327" s="105"/>
      <c r="DD327" s="98"/>
      <c r="DE327" s="279"/>
      <c r="DF327" s="52"/>
      <c r="DG327" s="105"/>
      <c r="DH327" s="98"/>
      <c r="DI327" s="279"/>
      <c r="DJ327" s="52"/>
      <c r="DK327" s="105"/>
      <c r="DL327" s="98"/>
      <c r="DM327" s="279"/>
      <c r="DN327" s="52"/>
      <c r="DO327" s="105"/>
      <c r="DP327" s="98"/>
      <c r="DQ327" s="279"/>
      <c r="DR327" s="52"/>
      <c r="DS327" s="105"/>
      <c r="DT327" s="98"/>
      <c r="DU327" s="279"/>
      <c r="DV327" s="52"/>
      <c r="DW327" s="105"/>
      <c r="DX327" s="98"/>
      <c r="DY327" s="279"/>
      <c r="DZ327" s="52"/>
      <c r="EA327" s="105"/>
      <c r="EB327" s="98"/>
      <c r="EC327" s="279"/>
      <c r="ED327" s="52"/>
      <c r="EE327" s="105"/>
      <c r="EF327" s="98"/>
      <c r="EG327" s="159"/>
      <c r="EH327" s="277"/>
      <c r="EI327" s="50">
        <f t="shared" si="126"/>
        <v>0</v>
      </c>
      <c r="EJ327" s="103">
        <f t="shared" si="127"/>
        <v>0</v>
      </c>
      <c r="EK327" s="164">
        <f t="shared" si="128"/>
        <v>0</v>
      </c>
      <c r="EL327" s="280">
        <f t="shared" si="129"/>
        <v>0</v>
      </c>
      <c r="EM327" s="63">
        <f t="shared" si="130"/>
        <v>0</v>
      </c>
      <c r="EN327" s="359">
        <f t="shared" si="131"/>
        <v>0</v>
      </c>
      <c r="EO327" s="51">
        <f t="shared" si="132"/>
        <v>0</v>
      </c>
      <c r="EP327" s="361">
        <f t="shared" si="133"/>
        <v>0</v>
      </c>
      <c r="EQ327" s="281"/>
      <c r="ER327" s="277"/>
      <c r="ES327" s="281"/>
      <c r="ET327" s="277"/>
      <c r="EU327" s="281"/>
      <c r="EV327" s="277"/>
      <c r="EW327" s="281"/>
      <c r="EX327" s="277"/>
      <c r="EY327" s="281"/>
      <c r="EZ327" s="277"/>
      <c r="FA327" s="281"/>
      <c r="FB327" s="277"/>
      <c r="FC327" s="281"/>
      <c r="FD327" s="277"/>
      <c r="FE327" s="281"/>
      <c r="FF327" s="277"/>
      <c r="FG327" s="281"/>
      <c r="FH327" s="277"/>
      <c r="FI327" s="281"/>
      <c r="FJ327" s="277"/>
      <c r="FK327" s="50">
        <f t="shared" si="134"/>
        <v>0</v>
      </c>
      <c r="FL327" s="63">
        <f t="shared" si="135"/>
        <v>0</v>
      </c>
      <c r="FM327" s="50">
        <f t="shared" si="117"/>
        <v>797</v>
      </c>
      <c r="FN327" s="360">
        <f t="shared" si="118"/>
        <v>698</v>
      </c>
      <c r="FO327" s="43"/>
      <c r="FP327" s="279"/>
      <c r="FQ327" s="52"/>
      <c r="FR327" s="296"/>
      <c r="FS327" s="98"/>
      <c r="FT327" s="467"/>
      <c r="FU327" s="52"/>
      <c r="FV327" s="296"/>
      <c r="FW327" s="98"/>
      <c r="FX327" s="467"/>
      <c r="FY327" s="52"/>
      <c r="FZ327" s="296"/>
      <c r="GA327" s="98"/>
      <c r="GB327" s="467"/>
      <c r="GC327" s="52"/>
      <c r="GD327" s="296"/>
      <c r="GE327" s="98"/>
      <c r="GF327" s="467"/>
      <c r="GG327" s="52"/>
      <c r="GH327" s="296"/>
      <c r="GI327" s="98"/>
      <c r="GJ327" s="467"/>
      <c r="GK327" s="52"/>
      <c r="GL327" s="296"/>
      <c r="GM327" s="464"/>
      <c r="GN327" s="467"/>
      <c r="GO327" s="52"/>
      <c r="GP327" s="296"/>
      <c r="GQ327" s="464"/>
      <c r="GR327" s="467"/>
      <c r="GS327" s="52"/>
      <c r="GT327" s="296"/>
      <c r="GU327" s="464"/>
      <c r="GV327" s="467"/>
      <c r="GW327" s="52"/>
      <c r="GX327" s="296"/>
      <c r="GY327" s="464"/>
      <c r="GZ327" s="467"/>
      <c r="HA327" s="52"/>
      <c r="HB327" s="296"/>
      <c r="HC327" s="43"/>
    </row>
    <row r="328" spans="1:211" s="86" customFormat="1">
      <c r="A328" s="519" t="s">
        <v>983</v>
      </c>
      <c r="B328" s="331" t="s">
        <v>944</v>
      </c>
      <c r="C328" s="330">
        <v>175935</v>
      </c>
      <c r="D328" s="344">
        <v>9</v>
      </c>
      <c r="E328" s="460">
        <v>171</v>
      </c>
      <c r="F328" s="277">
        <v>158</v>
      </c>
      <c r="G328" s="158"/>
      <c r="H328" s="277"/>
      <c r="I328" s="158">
        <v>439</v>
      </c>
      <c r="J328" s="277">
        <v>442</v>
      </c>
      <c r="K328" s="160">
        <f t="shared" si="119"/>
        <v>0</v>
      </c>
      <c r="L328" s="161">
        <f t="shared" si="112"/>
        <v>0</v>
      </c>
      <c r="M328" s="54"/>
      <c r="N328" s="55"/>
      <c r="O328" s="55"/>
      <c r="P328" s="55"/>
      <c r="Q328" s="162">
        <f t="shared" si="120"/>
        <v>0</v>
      </c>
      <c r="R328" s="277"/>
      <c r="S328" s="277"/>
      <c r="T328" s="277"/>
      <c r="U328" s="277"/>
      <c r="V328" s="97">
        <f t="shared" si="121"/>
        <v>0</v>
      </c>
      <c r="W328" s="279"/>
      <c r="X328" s="52"/>
      <c r="Y328" s="99"/>
      <c r="Z328" s="53"/>
      <c r="AA328" s="228"/>
      <c r="AB328" s="52"/>
      <c r="AC328" s="99"/>
      <c r="AD328" s="53"/>
      <c r="AE328" s="228"/>
      <c r="AF328" s="52"/>
      <c r="AG328" s="99"/>
      <c r="AH328" s="53"/>
      <c r="AI328" s="228"/>
      <c r="AJ328" s="52"/>
      <c r="AK328" s="99"/>
      <c r="AL328" s="53"/>
      <c r="AM328" s="228"/>
      <c r="AN328" s="52"/>
      <c r="AO328" s="99"/>
      <c r="AP328" s="53"/>
      <c r="AQ328" s="50">
        <f t="shared" si="113"/>
        <v>0</v>
      </c>
      <c r="AR328" s="163">
        <f t="shared" si="114"/>
        <v>0</v>
      </c>
      <c r="AS328" s="97">
        <f t="shared" si="115"/>
        <v>0</v>
      </c>
      <c r="AT328" s="278">
        <f t="shared" si="116"/>
        <v>0</v>
      </c>
      <c r="AU328" s="55"/>
      <c r="AV328" s="277"/>
      <c r="AW328" s="279"/>
      <c r="AX328" s="52"/>
      <c r="AY328" s="105"/>
      <c r="AZ328" s="98"/>
      <c r="BA328" s="279"/>
      <c r="BB328" s="52"/>
      <c r="BC328" s="105"/>
      <c r="BD328" s="98"/>
      <c r="BE328" s="279"/>
      <c r="BF328" s="52"/>
      <c r="BG328" s="105"/>
      <c r="BH328" s="98"/>
      <c r="BI328" s="279"/>
      <c r="BJ328" s="52"/>
      <c r="BK328" s="105"/>
      <c r="BL328" s="98"/>
      <c r="BM328" s="279"/>
      <c r="BN328" s="52"/>
      <c r="BO328" s="105"/>
      <c r="BP328" s="98"/>
      <c r="BQ328" s="279"/>
      <c r="BR328" s="52"/>
      <c r="BS328" s="105"/>
      <c r="BT328" s="98"/>
      <c r="BU328" s="279"/>
      <c r="BV328" s="52"/>
      <c r="BW328" s="105"/>
      <c r="BX328" s="98"/>
      <c r="BY328" s="279"/>
      <c r="BZ328" s="52"/>
      <c r="CA328" s="105"/>
      <c r="CB328" s="98"/>
      <c r="CC328" s="279"/>
      <c r="CD328" s="52"/>
      <c r="CE328" s="105"/>
      <c r="CF328" s="98"/>
      <c r="CG328" s="279"/>
      <c r="CH328" s="52"/>
      <c r="CI328" s="105"/>
      <c r="CJ328" s="98"/>
      <c r="CK328" s="281"/>
      <c r="CL328" s="277"/>
      <c r="CM328" s="159"/>
      <c r="CN328" s="277"/>
      <c r="CO328" s="50">
        <f t="shared" si="122"/>
        <v>0</v>
      </c>
      <c r="CP328" s="103">
        <f t="shared" si="123"/>
        <v>0</v>
      </c>
      <c r="CQ328" s="280">
        <f t="shared" si="124"/>
        <v>0</v>
      </c>
      <c r="CR328" s="63">
        <f t="shared" si="125"/>
        <v>0</v>
      </c>
      <c r="CS328" s="279"/>
      <c r="CT328" s="52"/>
      <c r="CU328" s="105"/>
      <c r="CV328" s="98"/>
      <c r="CW328" s="279"/>
      <c r="CX328" s="52"/>
      <c r="CY328" s="105"/>
      <c r="CZ328" s="98"/>
      <c r="DA328" s="279"/>
      <c r="DB328" s="52"/>
      <c r="DC328" s="105"/>
      <c r="DD328" s="98"/>
      <c r="DE328" s="279"/>
      <c r="DF328" s="52"/>
      <c r="DG328" s="105"/>
      <c r="DH328" s="98"/>
      <c r="DI328" s="279"/>
      <c r="DJ328" s="52"/>
      <c r="DK328" s="105"/>
      <c r="DL328" s="98"/>
      <c r="DM328" s="279"/>
      <c r="DN328" s="52"/>
      <c r="DO328" s="105"/>
      <c r="DP328" s="98"/>
      <c r="DQ328" s="279"/>
      <c r="DR328" s="52"/>
      <c r="DS328" s="105"/>
      <c r="DT328" s="98"/>
      <c r="DU328" s="279"/>
      <c r="DV328" s="52"/>
      <c r="DW328" s="105"/>
      <c r="DX328" s="98"/>
      <c r="DY328" s="279"/>
      <c r="DZ328" s="52"/>
      <c r="EA328" s="105"/>
      <c r="EB328" s="98"/>
      <c r="EC328" s="279"/>
      <c r="ED328" s="52"/>
      <c r="EE328" s="105"/>
      <c r="EF328" s="98"/>
      <c r="EG328" s="159"/>
      <c r="EH328" s="277"/>
      <c r="EI328" s="50">
        <f t="shared" si="126"/>
        <v>0</v>
      </c>
      <c r="EJ328" s="103">
        <f t="shared" si="127"/>
        <v>0</v>
      </c>
      <c r="EK328" s="164">
        <f t="shared" si="128"/>
        <v>0</v>
      </c>
      <c r="EL328" s="280">
        <f t="shared" si="129"/>
        <v>0</v>
      </c>
      <c r="EM328" s="63">
        <f t="shared" si="130"/>
        <v>0</v>
      </c>
      <c r="EN328" s="359">
        <f t="shared" si="131"/>
        <v>0</v>
      </c>
      <c r="EO328" s="51">
        <f t="shared" si="132"/>
        <v>0</v>
      </c>
      <c r="EP328" s="361">
        <f t="shared" si="133"/>
        <v>0</v>
      </c>
      <c r="EQ328" s="281"/>
      <c r="ER328" s="277"/>
      <c r="ES328" s="281"/>
      <c r="ET328" s="277"/>
      <c r="EU328" s="281"/>
      <c r="EV328" s="277"/>
      <c r="EW328" s="281"/>
      <c r="EX328" s="277"/>
      <c r="EY328" s="281"/>
      <c r="EZ328" s="277"/>
      <c r="FA328" s="281"/>
      <c r="FB328" s="277"/>
      <c r="FC328" s="281"/>
      <c r="FD328" s="277"/>
      <c r="FE328" s="281"/>
      <c r="FF328" s="277"/>
      <c r="FG328" s="281"/>
      <c r="FH328" s="277"/>
      <c r="FI328" s="281"/>
      <c r="FJ328" s="277"/>
      <c r="FK328" s="50">
        <f t="shared" si="134"/>
        <v>0</v>
      </c>
      <c r="FL328" s="63">
        <f t="shared" si="135"/>
        <v>0</v>
      </c>
      <c r="FM328" s="50">
        <f t="shared" si="117"/>
        <v>610</v>
      </c>
      <c r="FN328" s="360">
        <f t="shared" si="118"/>
        <v>600</v>
      </c>
      <c r="FO328" s="43"/>
      <c r="FP328" s="279"/>
      <c r="FQ328" s="52"/>
      <c r="FR328" s="296"/>
      <c r="FS328" s="98"/>
      <c r="FT328" s="467"/>
      <c r="FU328" s="52"/>
      <c r="FV328" s="296"/>
      <c r="FW328" s="98"/>
      <c r="FX328" s="467"/>
      <c r="FY328" s="52"/>
      <c r="FZ328" s="296"/>
      <c r="GA328" s="98"/>
      <c r="GB328" s="467"/>
      <c r="GC328" s="52"/>
      <c r="GD328" s="296"/>
      <c r="GE328" s="98"/>
      <c r="GF328" s="467"/>
      <c r="GG328" s="52"/>
      <c r="GH328" s="296"/>
      <c r="GI328" s="98"/>
      <c r="GJ328" s="467"/>
      <c r="GK328" s="52"/>
      <c r="GL328" s="296"/>
      <c r="GM328" s="464"/>
      <c r="GN328" s="467"/>
      <c r="GO328" s="52"/>
      <c r="GP328" s="296"/>
      <c r="GQ328" s="464"/>
      <c r="GR328" s="467"/>
      <c r="GS328" s="52"/>
      <c r="GT328" s="296"/>
      <c r="GU328" s="464"/>
      <c r="GV328" s="467"/>
      <c r="GW328" s="52"/>
      <c r="GX328" s="296"/>
      <c r="GY328" s="464"/>
      <c r="GZ328" s="467"/>
      <c r="HA328" s="52"/>
      <c r="HB328" s="296"/>
      <c r="HC328" s="43"/>
    </row>
    <row r="329" spans="1:211" s="86" customFormat="1">
      <c r="A329" s="519" t="s">
        <v>983</v>
      </c>
      <c r="B329" s="331" t="s">
        <v>945</v>
      </c>
      <c r="C329" s="330">
        <v>176008</v>
      </c>
      <c r="D329" s="344">
        <v>9</v>
      </c>
      <c r="E329" s="460">
        <v>57</v>
      </c>
      <c r="F329" s="277">
        <v>88</v>
      </c>
      <c r="G329" s="158"/>
      <c r="H329" s="277"/>
      <c r="I329" s="158">
        <v>327</v>
      </c>
      <c r="J329" s="277">
        <v>309</v>
      </c>
      <c r="K329" s="160">
        <f t="shared" si="119"/>
        <v>0</v>
      </c>
      <c r="L329" s="161">
        <f t="shared" si="112"/>
        <v>0</v>
      </c>
      <c r="M329" s="54"/>
      <c r="N329" s="55"/>
      <c r="O329" s="55"/>
      <c r="P329" s="55"/>
      <c r="Q329" s="162">
        <f t="shared" si="120"/>
        <v>0</v>
      </c>
      <c r="R329" s="277"/>
      <c r="S329" s="277"/>
      <c r="T329" s="277"/>
      <c r="U329" s="277"/>
      <c r="V329" s="97">
        <f t="shared" si="121"/>
        <v>0</v>
      </c>
      <c r="W329" s="279"/>
      <c r="X329" s="52"/>
      <c r="Y329" s="99"/>
      <c r="Z329" s="53"/>
      <c r="AA329" s="228"/>
      <c r="AB329" s="52"/>
      <c r="AC329" s="99"/>
      <c r="AD329" s="53"/>
      <c r="AE329" s="228"/>
      <c r="AF329" s="52"/>
      <c r="AG329" s="99"/>
      <c r="AH329" s="53"/>
      <c r="AI329" s="228"/>
      <c r="AJ329" s="52"/>
      <c r="AK329" s="99"/>
      <c r="AL329" s="53"/>
      <c r="AM329" s="228"/>
      <c r="AN329" s="52"/>
      <c r="AO329" s="99"/>
      <c r="AP329" s="53"/>
      <c r="AQ329" s="50">
        <f t="shared" si="113"/>
        <v>0</v>
      </c>
      <c r="AR329" s="163">
        <f t="shared" si="114"/>
        <v>0</v>
      </c>
      <c r="AS329" s="97">
        <f t="shared" si="115"/>
        <v>0</v>
      </c>
      <c r="AT329" s="278">
        <f t="shared" si="116"/>
        <v>0</v>
      </c>
      <c r="AU329" s="55"/>
      <c r="AV329" s="277"/>
      <c r="AW329" s="279"/>
      <c r="AX329" s="52"/>
      <c r="AY329" s="105"/>
      <c r="AZ329" s="98"/>
      <c r="BA329" s="279"/>
      <c r="BB329" s="52"/>
      <c r="BC329" s="105"/>
      <c r="BD329" s="98"/>
      <c r="BE329" s="279"/>
      <c r="BF329" s="52"/>
      <c r="BG329" s="105"/>
      <c r="BH329" s="98"/>
      <c r="BI329" s="279"/>
      <c r="BJ329" s="52"/>
      <c r="BK329" s="105"/>
      <c r="BL329" s="98"/>
      <c r="BM329" s="279"/>
      <c r="BN329" s="52"/>
      <c r="BO329" s="105"/>
      <c r="BP329" s="98"/>
      <c r="BQ329" s="279"/>
      <c r="BR329" s="52"/>
      <c r="BS329" s="105"/>
      <c r="BT329" s="98"/>
      <c r="BU329" s="279"/>
      <c r="BV329" s="52"/>
      <c r="BW329" s="105"/>
      <c r="BX329" s="98"/>
      <c r="BY329" s="279"/>
      <c r="BZ329" s="52"/>
      <c r="CA329" s="105"/>
      <c r="CB329" s="98"/>
      <c r="CC329" s="279"/>
      <c r="CD329" s="52"/>
      <c r="CE329" s="105"/>
      <c r="CF329" s="98"/>
      <c r="CG329" s="279"/>
      <c r="CH329" s="52"/>
      <c r="CI329" s="105"/>
      <c r="CJ329" s="98"/>
      <c r="CK329" s="281"/>
      <c r="CL329" s="277"/>
      <c r="CM329" s="159"/>
      <c r="CN329" s="277"/>
      <c r="CO329" s="50">
        <f t="shared" si="122"/>
        <v>0</v>
      </c>
      <c r="CP329" s="103">
        <f t="shared" si="123"/>
        <v>0</v>
      </c>
      <c r="CQ329" s="280">
        <f t="shared" si="124"/>
        <v>0</v>
      </c>
      <c r="CR329" s="63">
        <f t="shared" si="125"/>
        <v>0</v>
      </c>
      <c r="CS329" s="279"/>
      <c r="CT329" s="52"/>
      <c r="CU329" s="105"/>
      <c r="CV329" s="98"/>
      <c r="CW329" s="279"/>
      <c r="CX329" s="52"/>
      <c r="CY329" s="105"/>
      <c r="CZ329" s="98"/>
      <c r="DA329" s="279"/>
      <c r="DB329" s="52"/>
      <c r="DC329" s="105"/>
      <c r="DD329" s="98"/>
      <c r="DE329" s="279"/>
      <c r="DF329" s="52"/>
      <c r="DG329" s="105"/>
      <c r="DH329" s="98"/>
      <c r="DI329" s="279"/>
      <c r="DJ329" s="52"/>
      <c r="DK329" s="105"/>
      <c r="DL329" s="98"/>
      <c r="DM329" s="279"/>
      <c r="DN329" s="52"/>
      <c r="DO329" s="105"/>
      <c r="DP329" s="98"/>
      <c r="DQ329" s="279"/>
      <c r="DR329" s="52"/>
      <c r="DS329" s="105"/>
      <c r="DT329" s="98"/>
      <c r="DU329" s="279"/>
      <c r="DV329" s="52"/>
      <c r="DW329" s="105"/>
      <c r="DX329" s="98"/>
      <c r="DY329" s="279"/>
      <c r="DZ329" s="52"/>
      <c r="EA329" s="105"/>
      <c r="EB329" s="98"/>
      <c r="EC329" s="279"/>
      <c r="ED329" s="52"/>
      <c r="EE329" s="105"/>
      <c r="EF329" s="98"/>
      <c r="EG329" s="159"/>
      <c r="EH329" s="277"/>
      <c r="EI329" s="50">
        <f t="shared" si="126"/>
        <v>0</v>
      </c>
      <c r="EJ329" s="103">
        <f t="shared" si="127"/>
        <v>0</v>
      </c>
      <c r="EK329" s="164">
        <f t="shared" si="128"/>
        <v>0</v>
      </c>
      <c r="EL329" s="280">
        <f t="shared" si="129"/>
        <v>0</v>
      </c>
      <c r="EM329" s="63">
        <f t="shared" si="130"/>
        <v>0</v>
      </c>
      <c r="EN329" s="359">
        <f t="shared" si="131"/>
        <v>0</v>
      </c>
      <c r="EO329" s="51">
        <f t="shared" si="132"/>
        <v>0</v>
      </c>
      <c r="EP329" s="361">
        <f t="shared" si="133"/>
        <v>0</v>
      </c>
      <c r="EQ329" s="281"/>
      <c r="ER329" s="277"/>
      <c r="ES329" s="281"/>
      <c r="ET329" s="277"/>
      <c r="EU329" s="281"/>
      <c r="EV329" s="277"/>
      <c r="EW329" s="281"/>
      <c r="EX329" s="277"/>
      <c r="EY329" s="281"/>
      <c r="EZ329" s="277"/>
      <c r="FA329" s="281"/>
      <c r="FB329" s="277"/>
      <c r="FC329" s="281"/>
      <c r="FD329" s="277"/>
      <c r="FE329" s="281"/>
      <c r="FF329" s="277"/>
      <c r="FG329" s="281"/>
      <c r="FH329" s="277"/>
      <c r="FI329" s="281"/>
      <c r="FJ329" s="277"/>
      <c r="FK329" s="50">
        <f t="shared" si="134"/>
        <v>0</v>
      </c>
      <c r="FL329" s="63">
        <f t="shared" si="135"/>
        <v>0</v>
      </c>
      <c r="FM329" s="50">
        <f t="shared" si="117"/>
        <v>384</v>
      </c>
      <c r="FN329" s="360">
        <f t="shared" si="118"/>
        <v>397</v>
      </c>
      <c r="FO329" s="43"/>
      <c r="FP329" s="279"/>
      <c r="FQ329" s="52"/>
      <c r="FR329" s="296"/>
      <c r="FS329" s="98"/>
      <c r="FT329" s="467"/>
      <c r="FU329" s="52"/>
      <c r="FV329" s="296"/>
      <c r="FW329" s="98"/>
      <c r="FX329" s="467"/>
      <c r="FY329" s="52"/>
      <c r="FZ329" s="296"/>
      <c r="GA329" s="98"/>
      <c r="GB329" s="467"/>
      <c r="GC329" s="52"/>
      <c r="GD329" s="296"/>
      <c r="GE329" s="98"/>
      <c r="GF329" s="467"/>
      <c r="GG329" s="52"/>
      <c r="GH329" s="296"/>
      <c r="GI329" s="98"/>
      <c r="GJ329" s="467"/>
      <c r="GK329" s="52"/>
      <c r="GL329" s="296"/>
      <c r="GM329" s="464"/>
      <c r="GN329" s="467"/>
      <c r="GO329" s="52"/>
      <c r="GP329" s="296"/>
      <c r="GQ329" s="464"/>
      <c r="GR329" s="467"/>
      <c r="GS329" s="52"/>
      <c r="GT329" s="296"/>
      <c r="GU329" s="464"/>
      <c r="GV329" s="467"/>
      <c r="GW329" s="52"/>
      <c r="GX329" s="296"/>
      <c r="GY329" s="464"/>
      <c r="GZ329" s="467"/>
      <c r="HA329" s="52"/>
      <c r="HB329" s="296"/>
      <c r="HC329" s="43"/>
    </row>
    <row r="330" spans="1:211" s="86" customFormat="1">
      <c r="A330" s="519" t="s">
        <v>983</v>
      </c>
      <c r="B330" s="331" t="s">
        <v>946</v>
      </c>
      <c r="C330" s="330">
        <v>176169</v>
      </c>
      <c r="D330" s="344">
        <v>9</v>
      </c>
      <c r="E330" s="460">
        <v>94</v>
      </c>
      <c r="F330" s="277">
        <v>82</v>
      </c>
      <c r="G330" s="158"/>
      <c r="H330" s="277"/>
      <c r="I330" s="158">
        <v>399</v>
      </c>
      <c r="J330" s="277">
        <v>449</v>
      </c>
      <c r="K330" s="160">
        <f t="shared" si="119"/>
        <v>0</v>
      </c>
      <c r="L330" s="161">
        <f t="shared" ref="L330:L393" si="136">IF(R330&gt;0,J330/R330, )</f>
        <v>0</v>
      </c>
      <c r="M330" s="54"/>
      <c r="N330" s="55"/>
      <c r="O330" s="55"/>
      <c r="P330" s="55"/>
      <c r="Q330" s="162">
        <f t="shared" si="120"/>
        <v>0</v>
      </c>
      <c r="R330" s="277"/>
      <c r="S330" s="277"/>
      <c r="T330" s="277"/>
      <c r="U330" s="277"/>
      <c r="V330" s="97">
        <f t="shared" si="121"/>
        <v>0</v>
      </c>
      <c r="W330" s="279"/>
      <c r="X330" s="52"/>
      <c r="Y330" s="99"/>
      <c r="Z330" s="53"/>
      <c r="AA330" s="228"/>
      <c r="AB330" s="52"/>
      <c r="AC330" s="99"/>
      <c r="AD330" s="53"/>
      <c r="AE330" s="228"/>
      <c r="AF330" s="52"/>
      <c r="AG330" s="99"/>
      <c r="AH330" s="53"/>
      <c r="AI330" s="228"/>
      <c r="AJ330" s="52"/>
      <c r="AK330" s="99"/>
      <c r="AL330" s="53"/>
      <c r="AM330" s="228"/>
      <c r="AN330" s="52"/>
      <c r="AO330" s="99"/>
      <c r="AP330" s="53"/>
      <c r="AQ330" s="50">
        <f t="shared" ref="AQ330:AQ393" si="137">COUNTA(W330,AA330,AE330,AI330,AM330)</f>
        <v>0</v>
      </c>
      <c r="AR330" s="163">
        <f t="shared" ref="AR330:AR393" si="138">IF(FM330&gt;0,M330/FM330,)</f>
        <v>0</v>
      </c>
      <c r="AS330" s="97">
        <f t="shared" ref="AS330:AS393" si="139">COUNTA(Y330,AC330,AG330,AK330,AO330)</f>
        <v>0</v>
      </c>
      <c r="AT330" s="278">
        <f t="shared" ref="AT330:AT393" si="140">IF(FN330&gt;0,R330/FN330,)</f>
        <v>0</v>
      </c>
      <c r="AU330" s="55"/>
      <c r="AV330" s="277"/>
      <c r="AW330" s="279"/>
      <c r="AX330" s="52"/>
      <c r="AY330" s="105"/>
      <c r="AZ330" s="98"/>
      <c r="BA330" s="279"/>
      <c r="BB330" s="52"/>
      <c r="BC330" s="105"/>
      <c r="BD330" s="98"/>
      <c r="BE330" s="279"/>
      <c r="BF330" s="52"/>
      <c r="BG330" s="105"/>
      <c r="BH330" s="98"/>
      <c r="BI330" s="279"/>
      <c r="BJ330" s="52"/>
      <c r="BK330" s="105"/>
      <c r="BL330" s="98"/>
      <c r="BM330" s="279"/>
      <c r="BN330" s="52"/>
      <c r="BO330" s="105"/>
      <c r="BP330" s="98"/>
      <c r="BQ330" s="279"/>
      <c r="BR330" s="52"/>
      <c r="BS330" s="105"/>
      <c r="BT330" s="98"/>
      <c r="BU330" s="279"/>
      <c r="BV330" s="52"/>
      <c r="BW330" s="105"/>
      <c r="BX330" s="98"/>
      <c r="BY330" s="279"/>
      <c r="BZ330" s="52"/>
      <c r="CA330" s="105"/>
      <c r="CB330" s="98"/>
      <c r="CC330" s="279"/>
      <c r="CD330" s="52"/>
      <c r="CE330" s="105"/>
      <c r="CF330" s="98"/>
      <c r="CG330" s="279"/>
      <c r="CH330" s="52"/>
      <c r="CI330" s="105"/>
      <c r="CJ330" s="98"/>
      <c r="CK330" s="281"/>
      <c r="CL330" s="277"/>
      <c r="CM330" s="159"/>
      <c r="CN330" s="277"/>
      <c r="CO330" s="50">
        <f t="shared" si="122"/>
        <v>0</v>
      </c>
      <c r="CP330" s="103">
        <f t="shared" si="123"/>
        <v>0</v>
      </c>
      <c r="CQ330" s="280">
        <f t="shared" si="124"/>
        <v>0</v>
      </c>
      <c r="CR330" s="63">
        <f t="shared" si="125"/>
        <v>0</v>
      </c>
      <c r="CS330" s="279"/>
      <c r="CT330" s="52"/>
      <c r="CU330" s="105"/>
      <c r="CV330" s="98"/>
      <c r="CW330" s="279"/>
      <c r="CX330" s="52"/>
      <c r="CY330" s="105"/>
      <c r="CZ330" s="98"/>
      <c r="DA330" s="279"/>
      <c r="DB330" s="52"/>
      <c r="DC330" s="105"/>
      <c r="DD330" s="98"/>
      <c r="DE330" s="279"/>
      <c r="DF330" s="52"/>
      <c r="DG330" s="105"/>
      <c r="DH330" s="98"/>
      <c r="DI330" s="279"/>
      <c r="DJ330" s="52"/>
      <c r="DK330" s="105"/>
      <c r="DL330" s="98"/>
      <c r="DM330" s="279"/>
      <c r="DN330" s="52"/>
      <c r="DO330" s="105"/>
      <c r="DP330" s="98"/>
      <c r="DQ330" s="279"/>
      <c r="DR330" s="52"/>
      <c r="DS330" s="105"/>
      <c r="DT330" s="98"/>
      <c r="DU330" s="279"/>
      <c r="DV330" s="52"/>
      <c r="DW330" s="105"/>
      <c r="DX330" s="98"/>
      <c r="DY330" s="279"/>
      <c r="DZ330" s="52"/>
      <c r="EA330" s="105"/>
      <c r="EB330" s="98"/>
      <c r="EC330" s="279"/>
      <c r="ED330" s="52"/>
      <c r="EE330" s="105"/>
      <c r="EF330" s="98"/>
      <c r="EG330" s="159"/>
      <c r="EH330" s="277"/>
      <c r="EI330" s="50">
        <f t="shared" si="126"/>
        <v>0</v>
      </c>
      <c r="EJ330" s="103">
        <f t="shared" si="127"/>
        <v>0</v>
      </c>
      <c r="EK330" s="164">
        <f t="shared" si="128"/>
        <v>0</v>
      </c>
      <c r="EL330" s="280">
        <f t="shared" si="129"/>
        <v>0</v>
      </c>
      <c r="EM330" s="63">
        <f t="shared" si="130"/>
        <v>0</v>
      </c>
      <c r="EN330" s="359">
        <f t="shared" si="131"/>
        <v>0</v>
      </c>
      <c r="EO330" s="51">
        <f t="shared" si="132"/>
        <v>0</v>
      </c>
      <c r="EP330" s="361">
        <f t="shared" si="133"/>
        <v>0</v>
      </c>
      <c r="EQ330" s="281"/>
      <c r="ER330" s="277"/>
      <c r="ES330" s="281"/>
      <c r="ET330" s="277"/>
      <c r="EU330" s="281"/>
      <c r="EV330" s="277"/>
      <c r="EW330" s="281"/>
      <c r="EX330" s="277"/>
      <c r="EY330" s="281"/>
      <c r="EZ330" s="277"/>
      <c r="FA330" s="281"/>
      <c r="FB330" s="277"/>
      <c r="FC330" s="281"/>
      <c r="FD330" s="277"/>
      <c r="FE330" s="281"/>
      <c r="FF330" s="277"/>
      <c r="FG330" s="281"/>
      <c r="FH330" s="277"/>
      <c r="FI330" s="281"/>
      <c r="FJ330" s="277"/>
      <c r="FK330" s="50">
        <f t="shared" si="134"/>
        <v>0</v>
      </c>
      <c r="FL330" s="63">
        <f t="shared" si="135"/>
        <v>0</v>
      </c>
      <c r="FM330" s="50">
        <f t="shared" ref="FM330:FM393" si="141">E330+G330+I330+M330+AU330+EO330+FK330</f>
        <v>493</v>
      </c>
      <c r="FN330" s="360">
        <f t="shared" ref="FN330:FN393" si="142">F330+H330+J330+R330+AV330+EP330+FL330</f>
        <v>531</v>
      </c>
      <c r="FO330" s="43"/>
      <c r="FP330" s="279"/>
      <c r="FQ330" s="52"/>
      <c r="FR330" s="296"/>
      <c r="FS330" s="98"/>
      <c r="FT330" s="467"/>
      <c r="FU330" s="52"/>
      <c r="FV330" s="296"/>
      <c r="FW330" s="98"/>
      <c r="FX330" s="467"/>
      <c r="FY330" s="52"/>
      <c r="FZ330" s="296"/>
      <c r="GA330" s="98"/>
      <c r="GB330" s="467"/>
      <c r="GC330" s="52"/>
      <c r="GD330" s="296"/>
      <c r="GE330" s="98"/>
      <c r="GF330" s="467"/>
      <c r="GG330" s="52"/>
      <c r="GH330" s="296"/>
      <c r="GI330" s="98"/>
      <c r="GJ330" s="467"/>
      <c r="GK330" s="52"/>
      <c r="GL330" s="296"/>
      <c r="GM330" s="464"/>
      <c r="GN330" s="467"/>
      <c r="GO330" s="52"/>
      <c r="GP330" s="296"/>
      <c r="GQ330" s="464"/>
      <c r="GR330" s="467"/>
      <c r="GS330" s="52"/>
      <c r="GT330" s="296"/>
      <c r="GU330" s="464"/>
      <c r="GV330" s="467"/>
      <c r="GW330" s="52"/>
      <c r="GX330" s="296"/>
      <c r="GY330" s="464"/>
      <c r="GZ330" s="467"/>
      <c r="HA330" s="52"/>
      <c r="HB330" s="296"/>
      <c r="HC330" s="43"/>
    </row>
    <row r="331" spans="1:211" s="86" customFormat="1">
      <c r="A331" s="518" t="s">
        <v>983</v>
      </c>
      <c r="B331" s="331" t="s">
        <v>947</v>
      </c>
      <c r="C331" s="290">
        <v>176239</v>
      </c>
      <c r="D331" s="345">
        <v>9</v>
      </c>
      <c r="E331" s="460">
        <v>125</v>
      </c>
      <c r="F331" s="277">
        <v>139</v>
      </c>
      <c r="G331" s="158"/>
      <c r="H331" s="277"/>
      <c r="I331" s="158">
        <v>439</v>
      </c>
      <c r="J331" s="277">
        <v>489</v>
      </c>
      <c r="K331" s="160">
        <f t="shared" ref="K331:K394" si="143">IF(M331&gt;0,I331/M331, )</f>
        <v>0</v>
      </c>
      <c r="L331" s="161">
        <f t="shared" si="136"/>
        <v>0</v>
      </c>
      <c r="M331" s="54"/>
      <c r="N331" s="55"/>
      <c r="O331" s="55"/>
      <c r="P331" s="55"/>
      <c r="Q331" s="162">
        <f t="shared" ref="Q331:Q394" si="144">SUM(N331:P331)</f>
        <v>0</v>
      </c>
      <c r="R331" s="277"/>
      <c r="S331" s="277"/>
      <c r="T331" s="277"/>
      <c r="U331" s="277"/>
      <c r="V331" s="97">
        <f t="shared" ref="V331:V394" si="145">SUM(S331:U331)</f>
        <v>0</v>
      </c>
      <c r="W331" s="279"/>
      <c r="X331" s="52"/>
      <c r="Y331" s="99"/>
      <c r="Z331" s="53"/>
      <c r="AA331" s="228"/>
      <c r="AB331" s="52"/>
      <c r="AC331" s="99"/>
      <c r="AD331" s="53"/>
      <c r="AE331" s="228"/>
      <c r="AF331" s="52"/>
      <c r="AG331" s="99"/>
      <c r="AH331" s="53"/>
      <c r="AI331" s="228"/>
      <c r="AJ331" s="52"/>
      <c r="AK331" s="99"/>
      <c r="AL331" s="53"/>
      <c r="AM331" s="228"/>
      <c r="AN331" s="52"/>
      <c r="AO331" s="99"/>
      <c r="AP331" s="53"/>
      <c r="AQ331" s="50">
        <f t="shared" si="137"/>
        <v>0</v>
      </c>
      <c r="AR331" s="163">
        <f t="shared" si="138"/>
        <v>0</v>
      </c>
      <c r="AS331" s="97">
        <f t="shared" si="139"/>
        <v>0</v>
      </c>
      <c r="AT331" s="278">
        <f t="shared" si="140"/>
        <v>0</v>
      </c>
      <c r="AU331" s="55"/>
      <c r="AV331" s="277"/>
      <c r="AW331" s="279"/>
      <c r="AX331" s="52"/>
      <c r="AY331" s="105"/>
      <c r="AZ331" s="98"/>
      <c r="BA331" s="279"/>
      <c r="BB331" s="52"/>
      <c r="BC331" s="105"/>
      <c r="BD331" s="98"/>
      <c r="BE331" s="279"/>
      <c r="BF331" s="52"/>
      <c r="BG331" s="105"/>
      <c r="BH331" s="98"/>
      <c r="BI331" s="279"/>
      <c r="BJ331" s="52"/>
      <c r="BK331" s="105"/>
      <c r="BL331" s="98"/>
      <c r="BM331" s="279"/>
      <c r="BN331" s="52"/>
      <c r="BO331" s="105"/>
      <c r="BP331" s="98"/>
      <c r="BQ331" s="279"/>
      <c r="BR331" s="52"/>
      <c r="BS331" s="105"/>
      <c r="BT331" s="98"/>
      <c r="BU331" s="279"/>
      <c r="BV331" s="52"/>
      <c r="BW331" s="105"/>
      <c r="BX331" s="98"/>
      <c r="BY331" s="279"/>
      <c r="BZ331" s="52"/>
      <c r="CA331" s="105"/>
      <c r="CB331" s="98"/>
      <c r="CC331" s="279"/>
      <c r="CD331" s="52"/>
      <c r="CE331" s="105"/>
      <c r="CF331" s="98"/>
      <c r="CG331" s="279"/>
      <c r="CH331" s="52"/>
      <c r="CI331" s="105"/>
      <c r="CJ331" s="98"/>
      <c r="CK331" s="281"/>
      <c r="CL331" s="277"/>
      <c r="CM331" s="159"/>
      <c r="CN331" s="277"/>
      <c r="CO331" s="50">
        <f t="shared" ref="CO331:CO394" si="146">AX331+BB331+BF331+BJ331+BN331+BR331+BV331+BZ331+CD331+CH331+CK331+CM331</f>
        <v>0</v>
      </c>
      <c r="CP331" s="103">
        <f t="shared" ref="CP331:CP394" si="147">COUNTA(AW331,BA331,BE331,BI331,BM331,BQ331,BU331,BY331,CC331,CG331)</f>
        <v>0</v>
      </c>
      <c r="CQ331" s="280">
        <f t="shared" ref="CQ331:CQ394" si="148">AZ331+BD331+BH331+BL331+BP331+BT331+BX331+CF331+CB331+CJ331+CL331+CN331</f>
        <v>0</v>
      </c>
      <c r="CR331" s="63">
        <f t="shared" ref="CR331:CR394" si="149">COUNTA(AY331,BC331,BG331,BK331,BO331,BS331,BW331,CE331,CA331,CI331)</f>
        <v>0</v>
      </c>
      <c r="CS331" s="279"/>
      <c r="CT331" s="52"/>
      <c r="CU331" s="105"/>
      <c r="CV331" s="98"/>
      <c r="CW331" s="279"/>
      <c r="CX331" s="52"/>
      <c r="CY331" s="105"/>
      <c r="CZ331" s="98"/>
      <c r="DA331" s="279"/>
      <c r="DB331" s="52"/>
      <c r="DC331" s="105"/>
      <c r="DD331" s="98"/>
      <c r="DE331" s="279"/>
      <c r="DF331" s="52"/>
      <c r="DG331" s="105"/>
      <c r="DH331" s="98"/>
      <c r="DI331" s="279"/>
      <c r="DJ331" s="52"/>
      <c r="DK331" s="105"/>
      <c r="DL331" s="98"/>
      <c r="DM331" s="279"/>
      <c r="DN331" s="52"/>
      <c r="DO331" s="105"/>
      <c r="DP331" s="98"/>
      <c r="DQ331" s="279"/>
      <c r="DR331" s="52"/>
      <c r="DS331" s="105"/>
      <c r="DT331" s="98"/>
      <c r="DU331" s="279"/>
      <c r="DV331" s="52"/>
      <c r="DW331" s="105"/>
      <c r="DX331" s="98"/>
      <c r="DY331" s="279"/>
      <c r="DZ331" s="52"/>
      <c r="EA331" s="105"/>
      <c r="EB331" s="98"/>
      <c r="EC331" s="279"/>
      <c r="ED331" s="52"/>
      <c r="EE331" s="105"/>
      <c r="EF331" s="98"/>
      <c r="EG331" s="159"/>
      <c r="EH331" s="277"/>
      <c r="EI331" s="50">
        <f t="shared" ref="EI331:EI394" si="150">CT331+CX331+DB331+DF331+DJ331+DN331+DR331+DV331+DZ331+ED331+EG331</f>
        <v>0</v>
      </c>
      <c r="EJ331" s="103">
        <f t="shared" ref="EJ331:EJ394" si="151">COUNTA(CS331,CW331,DA331,DE331,DI331,DM331,DQ331,DU331,DY331,EC331)</f>
        <v>0</v>
      </c>
      <c r="EK331" s="164">
        <f t="shared" ref="EK331:EK394" si="152">IF(EI331&gt;0,CT331/EI331,)</f>
        <v>0</v>
      </c>
      <c r="EL331" s="280">
        <f t="shared" ref="EL331:EL394" si="153">CV331+CZ331+DD331+DH331+DL331+DP331+DT331+DX331+EB331+EF331+EH331</f>
        <v>0</v>
      </c>
      <c r="EM331" s="63">
        <f t="shared" ref="EM331:EM394" si="154">COUNTA(CU331,CY331,DC331,DG331,DK331,DO331,DS331,DW331,EA331,EE331)</f>
        <v>0</v>
      </c>
      <c r="EN331" s="359">
        <f t="shared" ref="EN331:EN394" si="155">IF(EL331&gt;0,CV331/EL331,)</f>
        <v>0</v>
      </c>
      <c r="EO331" s="51">
        <f t="shared" ref="EO331:EO394" si="156">CO331+EI331</f>
        <v>0</v>
      </c>
      <c r="EP331" s="361">
        <f t="shared" ref="EP331:EP394" si="157">CQ331+EL331</f>
        <v>0</v>
      </c>
      <c r="EQ331" s="281"/>
      <c r="ER331" s="277"/>
      <c r="ES331" s="281"/>
      <c r="ET331" s="277"/>
      <c r="EU331" s="281"/>
      <c r="EV331" s="277"/>
      <c r="EW331" s="281"/>
      <c r="EX331" s="277"/>
      <c r="EY331" s="281"/>
      <c r="EZ331" s="277"/>
      <c r="FA331" s="281"/>
      <c r="FB331" s="277"/>
      <c r="FC331" s="281"/>
      <c r="FD331" s="277"/>
      <c r="FE331" s="281"/>
      <c r="FF331" s="277"/>
      <c r="FG331" s="281"/>
      <c r="FH331" s="277"/>
      <c r="FI331" s="281"/>
      <c r="FJ331" s="277"/>
      <c r="FK331" s="50">
        <f t="shared" ref="FK331:FK394" si="158">EQ331+ES331+EU331+EW331+EY331+FA331+FC331+FE331+FG331+FI331</f>
        <v>0</v>
      </c>
      <c r="FL331" s="63">
        <f t="shared" ref="FL331:FL394" si="159">ER331+ET331+EV331+EX331+EZ331+FB331+FD331+FF331+FH331+FJ331</f>
        <v>0</v>
      </c>
      <c r="FM331" s="50">
        <f t="shared" si="141"/>
        <v>564</v>
      </c>
      <c r="FN331" s="360">
        <f t="shared" si="142"/>
        <v>628</v>
      </c>
      <c r="FO331" s="43"/>
      <c r="FP331" s="279"/>
      <c r="FQ331" s="52"/>
      <c r="FR331" s="296"/>
      <c r="FS331" s="98"/>
      <c r="FT331" s="467"/>
      <c r="FU331" s="52"/>
      <c r="FV331" s="296"/>
      <c r="FW331" s="98"/>
      <c r="FX331" s="467"/>
      <c r="FY331" s="52"/>
      <c r="FZ331" s="296"/>
      <c r="GA331" s="98"/>
      <c r="GB331" s="467"/>
      <c r="GC331" s="52"/>
      <c r="GD331" s="296"/>
      <c r="GE331" s="98"/>
      <c r="GF331" s="467"/>
      <c r="GG331" s="52"/>
      <c r="GH331" s="296"/>
      <c r="GI331" s="98"/>
      <c r="GJ331" s="467"/>
      <c r="GK331" s="52"/>
      <c r="GL331" s="296"/>
      <c r="GM331" s="464"/>
      <c r="GN331" s="467"/>
      <c r="GO331" s="52"/>
      <c r="GP331" s="296"/>
      <c r="GQ331" s="464"/>
      <c r="GR331" s="467"/>
      <c r="GS331" s="52"/>
      <c r="GT331" s="296"/>
      <c r="GU331" s="464"/>
      <c r="GV331" s="467"/>
      <c r="GW331" s="52"/>
      <c r="GX331" s="296"/>
      <c r="GY331" s="464"/>
      <c r="GZ331" s="467"/>
      <c r="HA331" s="52"/>
      <c r="HB331" s="296"/>
      <c r="HC331" s="43"/>
    </row>
    <row r="332" spans="1:211" s="86" customFormat="1">
      <c r="A332" s="519" t="s">
        <v>983</v>
      </c>
      <c r="B332" s="331" t="s">
        <v>948</v>
      </c>
      <c r="C332" s="330">
        <v>175519</v>
      </c>
      <c r="D332" s="344">
        <v>10</v>
      </c>
      <c r="E332" s="460">
        <v>45</v>
      </c>
      <c r="F332" s="277">
        <v>92</v>
      </c>
      <c r="G332" s="158"/>
      <c r="H332" s="277"/>
      <c r="I332" s="158">
        <v>203</v>
      </c>
      <c r="J332" s="277">
        <v>205</v>
      </c>
      <c r="K332" s="160">
        <f t="shared" si="143"/>
        <v>0</v>
      </c>
      <c r="L332" s="161">
        <f t="shared" si="136"/>
        <v>0</v>
      </c>
      <c r="M332" s="54"/>
      <c r="N332" s="55"/>
      <c r="O332" s="55"/>
      <c r="P332" s="55"/>
      <c r="Q332" s="162">
        <f t="shared" si="144"/>
        <v>0</v>
      </c>
      <c r="R332" s="277"/>
      <c r="S332" s="277"/>
      <c r="T332" s="277"/>
      <c r="U332" s="277"/>
      <c r="V332" s="97">
        <f t="shared" si="145"/>
        <v>0</v>
      </c>
      <c r="W332" s="279"/>
      <c r="X332" s="52"/>
      <c r="Y332" s="99"/>
      <c r="Z332" s="53"/>
      <c r="AA332" s="228"/>
      <c r="AB332" s="52"/>
      <c r="AC332" s="99"/>
      <c r="AD332" s="53"/>
      <c r="AE332" s="228"/>
      <c r="AF332" s="52"/>
      <c r="AG332" s="99"/>
      <c r="AH332" s="53"/>
      <c r="AI332" s="228"/>
      <c r="AJ332" s="52"/>
      <c r="AK332" s="99"/>
      <c r="AL332" s="53"/>
      <c r="AM332" s="228"/>
      <c r="AN332" s="52"/>
      <c r="AO332" s="99"/>
      <c r="AP332" s="53"/>
      <c r="AQ332" s="50">
        <f t="shared" si="137"/>
        <v>0</v>
      </c>
      <c r="AR332" s="163">
        <f t="shared" si="138"/>
        <v>0</v>
      </c>
      <c r="AS332" s="97">
        <f t="shared" si="139"/>
        <v>0</v>
      </c>
      <c r="AT332" s="278">
        <f t="shared" si="140"/>
        <v>0</v>
      </c>
      <c r="AU332" s="55"/>
      <c r="AV332" s="277"/>
      <c r="AW332" s="279"/>
      <c r="AX332" s="52"/>
      <c r="AY332" s="105"/>
      <c r="AZ332" s="98"/>
      <c r="BA332" s="279"/>
      <c r="BB332" s="52"/>
      <c r="BC332" s="105"/>
      <c r="BD332" s="98"/>
      <c r="BE332" s="279"/>
      <c r="BF332" s="52"/>
      <c r="BG332" s="105"/>
      <c r="BH332" s="98"/>
      <c r="BI332" s="279"/>
      <c r="BJ332" s="52"/>
      <c r="BK332" s="105"/>
      <c r="BL332" s="98"/>
      <c r="BM332" s="279"/>
      <c r="BN332" s="52"/>
      <c r="BO332" s="105"/>
      <c r="BP332" s="98"/>
      <c r="BQ332" s="279"/>
      <c r="BR332" s="52"/>
      <c r="BS332" s="105"/>
      <c r="BT332" s="98"/>
      <c r="BU332" s="279"/>
      <c r="BV332" s="52"/>
      <c r="BW332" s="105"/>
      <c r="BX332" s="98"/>
      <c r="BY332" s="279"/>
      <c r="BZ332" s="52"/>
      <c r="CA332" s="105"/>
      <c r="CB332" s="98"/>
      <c r="CC332" s="279"/>
      <c r="CD332" s="52"/>
      <c r="CE332" s="105"/>
      <c r="CF332" s="98"/>
      <c r="CG332" s="279"/>
      <c r="CH332" s="52"/>
      <c r="CI332" s="105"/>
      <c r="CJ332" s="98"/>
      <c r="CK332" s="281"/>
      <c r="CL332" s="277"/>
      <c r="CM332" s="159"/>
      <c r="CN332" s="277"/>
      <c r="CO332" s="50">
        <f t="shared" si="146"/>
        <v>0</v>
      </c>
      <c r="CP332" s="103">
        <f t="shared" si="147"/>
        <v>0</v>
      </c>
      <c r="CQ332" s="280">
        <f t="shared" si="148"/>
        <v>0</v>
      </c>
      <c r="CR332" s="63">
        <f t="shared" si="149"/>
        <v>0</v>
      </c>
      <c r="CS332" s="279"/>
      <c r="CT332" s="52"/>
      <c r="CU332" s="105"/>
      <c r="CV332" s="98"/>
      <c r="CW332" s="279"/>
      <c r="CX332" s="52"/>
      <c r="CY332" s="105"/>
      <c r="CZ332" s="98"/>
      <c r="DA332" s="279"/>
      <c r="DB332" s="52"/>
      <c r="DC332" s="105"/>
      <c r="DD332" s="98"/>
      <c r="DE332" s="279"/>
      <c r="DF332" s="52"/>
      <c r="DG332" s="105"/>
      <c r="DH332" s="98"/>
      <c r="DI332" s="279"/>
      <c r="DJ332" s="52"/>
      <c r="DK332" s="105"/>
      <c r="DL332" s="98"/>
      <c r="DM332" s="279"/>
      <c r="DN332" s="52"/>
      <c r="DO332" s="105"/>
      <c r="DP332" s="98"/>
      <c r="DQ332" s="279"/>
      <c r="DR332" s="52"/>
      <c r="DS332" s="105"/>
      <c r="DT332" s="98"/>
      <c r="DU332" s="279"/>
      <c r="DV332" s="52"/>
      <c r="DW332" s="105"/>
      <c r="DX332" s="98"/>
      <c r="DY332" s="279"/>
      <c r="DZ332" s="52"/>
      <c r="EA332" s="105"/>
      <c r="EB332" s="98"/>
      <c r="EC332" s="279"/>
      <c r="ED332" s="52"/>
      <c r="EE332" s="105"/>
      <c r="EF332" s="98"/>
      <c r="EG332" s="159"/>
      <c r="EH332" s="277"/>
      <c r="EI332" s="50">
        <f t="shared" si="150"/>
        <v>0</v>
      </c>
      <c r="EJ332" s="103">
        <f t="shared" si="151"/>
        <v>0</v>
      </c>
      <c r="EK332" s="164">
        <f t="shared" si="152"/>
        <v>0</v>
      </c>
      <c r="EL332" s="280">
        <f t="shared" si="153"/>
        <v>0</v>
      </c>
      <c r="EM332" s="63">
        <f t="shared" si="154"/>
        <v>0</v>
      </c>
      <c r="EN332" s="359">
        <f t="shared" si="155"/>
        <v>0</v>
      </c>
      <c r="EO332" s="51">
        <f t="shared" si="156"/>
        <v>0</v>
      </c>
      <c r="EP332" s="361">
        <f t="shared" si="157"/>
        <v>0</v>
      </c>
      <c r="EQ332" s="281"/>
      <c r="ER332" s="277"/>
      <c r="ES332" s="281"/>
      <c r="ET332" s="277"/>
      <c r="EU332" s="281"/>
      <c r="EV332" s="277"/>
      <c r="EW332" s="281"/>
      <c r="EX332" s="277"/>
      <c r="EY332" s="281"/>
      <c r="EZ332" s="277"/>
      <c r="FA332" s="281"/>
      <c r="FB332" s="277"/>
      <c r="FC332" s="281"/>
      <c r="FD332" s="277"/>
      <c r="FE332" s="281"/>
      <c r="FF332" s="277"/>
      <c r="FG332" s="281"/>
      <c r="FH332" s="277"/>
      <c r="FI332" s="281"/>
      <c r="FJ332" s="277"/>
      <c r="FK332" s="50">
        <f t="shared" si="158"/>
        <v>0</v>
      </c>
      <c r="FL332" s="63">
        <f t="shared" si="159"/>
        <v>0</v>
      </c>
      <c r="FM332" s="50">
        <f t="shared" si="141"/>
        <v>248</v>
      </c>
      <c r="FN332" s="360">
        <f t="shared" si="142"/>
        <v>297</v>
      </c>
      <c r="FO332" s="43"/>
      <c r="FP332" s="279"/>
      <c r="FQ332" s="52"/>
      <c r="FR332" s="296"/>
      <c r="FS332" s="98"/>
      <c r="FT332" s="467"/>
      <c r="FU332" s="52"/>
      <c r="FV332" s="296"/>
      <c r="FW332" s="98"/>
      <c r="FX332" s="467"/>
      <c r="FY332" s="52"/>
      <c r="FZ332" s="296"/>
      <c r="GA332" s="98"/>
      <c r="GB332" s="467"/>
      <c r="GC332" s="52"/>
      <c r="GD332" s="296"/>
      <c r="GE332" s="98"/>
      <c r="GF332" s="467"/>
      <c r="GG332" s="52"/>
      <c r="GH332" s="296"/>
      <c r="GI332" s="98"/>
      <c r="GJ332" s="467"/>
      <c r="GK332" s="52"/>
      <c r="GL332" s="296"/>
      <c r="GM332" s="464"/>
      <c r="GN332" s="467"/>
      <c r="GO332" s="52"/>
      <c r="GP332" s="296"/>
      <c r="GQ332" s="464"/>
      <c r="GR332" s="467"/>
      <c r="GS332" s="52"/>
      <c r="GT332" s="296"/>
      <c r="GU332" s="464"/>
      <c r="GV332" s="467"/>
      <c r="GW332" s="52"/>
      <c r="GX332" s="296"/>
      <c r="GY332" s="464"/>
      <c r="GZ332" s="467"/>
      <c r="HA332" s="52"/>
      <c r="HB332" s="296"/>
      <c r="HC332" s="43"/>
    </row>
    <row r="333" spans="1:211" s="86" customFormat="1">
      <c r="A333" s="519" t="s">
        <v>983</v>
      </c>
      <c r="B333" s="331" t="s">
        <v>949</v>
      </c>
      <c r="C333" s="330">
        <v>176354</v>
      </c>
      <c r="D333" s="344">
        <v>10</v>
      </c>
      <c r="E333" s="460">
        <v>116</v>
      </c>
      <c r="F333" s="277">
        <v>118</v>
      </c>
      <c r="G333" s="158"/>
      <c r="H333" s="277"/>
      <c r="I333" s="158">
        <v>219</v>
      </c>
      <c r="J333" s="277">
        <v>258</v>
      </c>
      <c r="K333" s="160">
        <f t="shared" si="143"/>
        <v>0</v>
      </c>
      <c r="L333" s="161">
        <f t="shared" si="136"/>
        <v>0</v>
      </c>
      <c r="M333" s="54"/>
      <c r="N333" s="55"/>
      <c r="O333" s="55"/>
      <c r="P333" s="55"/>
      <c r="Q333" s="162">
        <f t="shared" si="144"/>
        <v>0</v>
      </c>
      <c r="R333" s="277"/>
      <c r="S333" s="277"/>
      <c r="T333" s="277"/>
      <c r="U333" s="277"/>
      <c r="V333" s="97">
        <f t="shared" si="145"/>
        <v>0</v>
      </c>
      <c r="W333" s="279"/>
      <c r="X333" s="52"/>
      <c r="Y333" s="99"/>
      <c r="Z333" s="53"/>
      <c r="AA333" s="228"/>
      <c r="AB333" s="52"/>
      <c r="AC333" s="99"/>
      <c r="AD333" s="53"/>
      <c r="AE333" s="228"/>
      <c r="AF333" s="52"/>
      <c r="AG333" s="99"/>
      <c r="AH333" s="53"/>
      <c r="AI333" s="228"/>
      <c r="AJ333" s="52"/>
      <c r="AK333" s="99"/>
      <c r="AL333" s="53"/>
      <c r="AM333" s="228"/>
      <c r="AN333" s="52"/>
      <c r="AO333" s="99"/>
      <c r="AP333" s="53"/>
      <c r="AQ333" s="50">
        <f t="shared" si="137"/>
        <v>0</v>
      </c>
      <c r="AR333" s="163">
        <f t="shared" si="138"/>
        <v>0</v>
      </c>
      <c r="AS333" s="97">
        <f t="shared" si="139"/>
        <v>0</v>
      </c>
      <c r="AT333" s="278">
        <f t="shared" si="140"/>
        <v>0</v>
      </c>
      <c r="AU333" s="55"/>
      <c r="AV333" s="277"/>
      <c r="AW333" s="279"/>
      <c r="AX333" s="52"/>
      <c r="AY333" s="105"/>
      <c r="AZ333" s="98"/>
      <c r="BA333" s="279"/>
      <c r="BB333" s="52"/>
      <c r="BC333" s="105"/>
      <c r="BD333" s="98"/>
      <c r="BE333" s="279"/>
      <c r="BF333" s="52"/>
      <c r="BG333" s="105"/>
      <c r="BH333" s="98"/>
      <c r="BI333" s="279"/>
      <c r="BJ333" s="52"/>
      <c r="BK333" s="105"/>
      <c r="BL333" s="98"/>
      <c r="BM333" s="279"/>
      <c r="BN333" s="52"/>
      <c r="BO333" s="105"/>
      <c r="BP333" s="98"/>
      <c r="BQ333" s="279"/>
      <c r="BR333" s="52"/>
      <c r="BS333" s="105"/>
      <c r="BT333" s="98"/>
      <c r="BU333" s="279"/>
      <c r="BV333" s="52"/>
      <c r="BW333" s="105"/>
      <c r="BX333" s="98"/>
      <c r="BY333" s="279"/>
      <c r="BZ333" s="52"/>
      <c r="CA333" s="105"/>
      <c r="CB333" s="98"/>
      <c r="CC333" s="279"/>
      <c r="CD333" s="52"/>
      <c r="CE333" s="105"/>
      <c r="CF333" s="98"/>
      <c r="CG333" s="279"/>
      <c r="CH333" s="52"/>
      <c r="CI333" s="105"/>
      <c r="CJ333" s="98"/>
      <c r="CK333" s="281"/>
      <c r="CL333" s="277"/>
      <c r="CM333" s="159"/>
      <c r="CN333" s="277"/>
      <c r="CO333" s="50">
        <f t="shared" si="146"/>
        <v>0</v>
      </c>
      <c r="CP333" s="103">
        <f t="shared" si="147"/>
        <v>0</v>
      </c>
      <c r="CQ333" s="280">
        <f t="shared" si="148"/>
        <v>0</v>
      </c>
      <c r="CR333" s="63">
        <f t="shared" si="149"/>
        <v>0</v>
      </c>
      <c r="CS333" s="279"/>
      <c r="CT333" s="52"/>
      <c r="CU333" s="105"/>
      <c r="CV333" s="98"/>
      <c r="CW333" s="279"/>
      <c r="CX333" s="52"/>
      <c r="CY333" s="105"/>
      <c r="CZ333" s="98"/>
      <c r="DA333" s="279"/>
      <c r="DB333" s="52"/>
      <c r="DC333" s="105"/>
      <c r="DD333" s="98"/>
      <c r="DE333" s="279"/>
      <c r="DF333" s="52"/>
      <c r="DG333" s="105"/>
      <c r="DH333" s="98"/>
      <c r="DI333" s="279"/>
      <c r="DJ333" s="52"/>
      <c r="DK333" s="105"/>
      <c r="DL333" s="98"/>
      <c r="DM333" s="279"/>
      <c r="DN333" s="52"/>
      <c r="DO333" s="105"/>
      <c r="DP333" s="98"/>
      <c r="DQ333" s="279"/>
      <c r="DR333" s="52"/>
      <c r="DS333" s="105"/>
      <c r="DT333" s="98"/>
      <c r="DU333" s="279"/>
      <c r="DV333" s="52"/>
      <c r="DW333" s="105"/>
      <c r="DX333" s="98"/>
      <c r="DY333" s="279"/>
      <c r="DZ333" s="52"/>
      <c r="EA333" s="105"/>
      <c r="EB333" s="98"/>
      <c r="EC333" s="279"/>
      <c r="ED333" s="52"/>
      <c r="EE333" s="105"/>
      <c r="EF333" s="98"/>
      <c r="EG333" s="159"/>
      <c r="EH333" s="277"/>
      <c r="EI333" s="50">
        <f t="shared" si="150"/>
        <v>0</v>
      </c>
      <c r="EJ333" s="103">
        <f t="shared" si="151"/>
        <v>0</v>
      </c>
      <c r="EK333" s="164">
        <f t="shared" si="152"/>
        <v>0</v>
      </c>
      <c r="EL333" s="280">
        <f t="shared" si="153"/>
        <v>0</v>
      </c>
      <c r="EM333" s="63">
        <f t="shared" si="154"/>
        <v>0</v>
      </c>
      <c r="EN333" s="359">
        <f t="shared" si="155"/>
        <v>0</v>
      </c>
      <c r="EO333" s="51">
        <f t="shared" si="156"/>
        <v>0</v>
      </c>
      <c r="EP333" s="361">
        <f t="shared" si="157"/>
        <v>0</v>
      </c>
      <c r="EQ333" s="281"/>
      <c r="ER333" s="277"/>
      <c r="ES333" s="281"/>
      <c r="ET333" s="277"/>
      <c r="EU333" s="281"/>
      <c r="EV333" s="277"/>
      <c r="EW333" s="281"/>
      <c r="EX333" s="277"/>
      <c r="EY333" s="281"/>
      <c r="EZ333" s="277"/>
      <c r="FA333" s="281"/>
      <c r="FB333" s="277"/>
      <c r="FC333" s="281"/>
      <c r="FD333" s="277"/>
      <c r="FE333" s="281"/>
      <c r="FF333" s="277"/>
      <c r="FG333" s="281"/>
      <c r="FH333" s="277"/>
      <c r="FI333" s="281"/>
      <c r="FJ333" s="277"/>
      <c r="FK333" s="50">
        <f t="shared" si="158"/>
        <v>0</v>
      </c>
      <c r="FL333" s="63">
        <f t="shared" si="159"/>
        <v>0</v>
      </c>
      <c r="FM333" s="50">
        <f t="shared" si="141"/>
        <v>335</v>
      </c>
      <c r="FN333" s="360">
        <f t="shared" si="142"/>
        <v>376</v>
      </c>
      <c r="FO333" s="43"/>
      <c r="FP333" s="279"/>
      <c r="FQ333" s="52"/>
      <c r="FR333" s="296"/>
      <c r="FS333" s="98"/>
      <c r="FT333" s="467"/>
      <c r="FU333" s="52"/>
      <c r="FV333" s="296"/>
      <c r="FW333" s="98"/>
      <c r="FX333" s="467"/>
      <c r="FY333" s="52"/>
      <c r="FZ333" s="296"/>
      <c r="GA333" s="98"/>
      <c r="GB333" s="467"/>
      <c r="GC333" s="52"/>
      <c r="GD333" s="296"/>
      <c r="GE333" s="98"/>
      <c r="GF333" s="467"/>
      <c r="GG333" s="52"/>
      <c r="GH333" s="296"/>
      <c r="GI333" s="98"/>
      <c r="GJ333" s="467"/>
      <c r="GK333" s="52"/>
      <c r="GL333" s="296"/>
      <c r="GM333" s="464"/>
      <c r="GN333" s="467"/>
      <c r="GO333" s="52"/>
      <c r="GP333" s="296"/>
      <c r="GQ333" s="464"/>
      <c r="GR333" s="467"/>
      <c r="GS333" s="52"/>
      <c r="GT333" s="296"/>
      <c r="GU333" s="464"/>
      <c r="GV333" s="467"/>
      <c r="GW333" s="52"/>
      <c r="GX333" s="296"/>
      <c r="GY333" s="464"/>
      <c r="GZ333" s="467"/>
      <c r="HA333" s="52"/>
      <c r="HB333" s="296"/>
      <c r="HC333" s="43"/>
    </row>
    <row r="334" spans="1:211" s="86" customFormat="1">
      <c r="A334" s="520" t="s">
        <v>984</v>
      </c>
      <c r="B334" s="322" t="s">
        <v>14</v>
      </c>
      <c r="C334" s="321">
        <v>199193</v>
      </c>
      <c r="D334" s="353">
        <v>1</v>
      </c>
      <c r="E334" s="460"/>
      <c r="F334" s="277"/>
      <c r="G334" s="158"/>
      <c r="H334" s="277"/>
      <c r="I334" s="158">
        <v>132</v>
      </c>
      <c r="J334" s="277">
        <v>182</v>
      </c>
      <c r="K334" s="160">
        <f t="shared" si="143"/>
        <v>2.9106945975744213E-2</v>
      </c>
      <c r="L334" s="161">
        <f t="shared" si="136"/>
        <v>3.9368375513735669E-2</v>
      </c>
      <c r="M334" s="54">
        <v>4535</v>
      </c>
      <c r="N334" s="55"/>
      <c r="O334" s="55">
        <v>185</v>
      </c>
      <c r="P334" s="55"/>
      <c r="Q334" s="162">
        <f t="shared" si="144"/>
        <v>185</v>
      </c>
      <c r="R334" s="277">
        <v>4623</v>
      </c>
      <c r="S334" s="277"/>
      <c r="T334" s="277">
        <v>235</v>
      </c>
      <c r="U334" s="277"/>
      <c r="V334" s="97">
        <f t="shared" si="145"/>
        <v>235</v>
      </c>
      <c r="W334" s="279"/>
      <c r="X334" s="52"/>
      <c r="Y334" s="99"/>
      <c r="Z334" s="53"/>
      <c r="AA334" s="228"/>
      <c r="AB334" s="52"/>
      <c r="AC334" s="99"/>
      <c r="AD334" s="53"/>
      <c r="AE334" s="228"/>
      <c r="AF334" s="52"/>
      <c r="AG334" s="99"/>
      <c r="AH334" s="53"/>
      <c r="AI334" s="228"/>
      <c r="AJ334" s="52"/>
      <c r="AK334" s="99"/>
      <c r="AL334" s="53"/>
      <c r="AM334" s="228"/>
      <c r="AN334" s="52"/>
      <c r="AO334" s="99"/>
      <c r="AP334" s="53"/>
      <c r="AQ334" s="50">
        <f t="shared" si="137"/>
        <v>0</v>
      </c>
      <c r="AR334" s="163">
        <f t="shared" si="138"/>
        <v>0.68962895377128952</v>
      </c>
      <c r="AS334" s="97">
        <f t="shared" si="139"/>
        <v>0</v>
      </c>
      <c r="AT334" s="278">
        <f t="shared" si="140"/>
        <v>0.66052293184740674</v>
      </c>
      <c r="AU334" s="55"/>
      <c r="AV334" s="277"/>
      <c r="AW334" s="279">
        <v>14</v>
      </c>
      <c r="AX334" s="52">
        <v>398</v>
      </c>
      <c r="AY334" s="105">
        <v>14</v>
      </c>
      <c r="AZ334" s="98">
        <v>404</v>
      </c>
      <c r="BA334" s="279">
        <v>13</v>
      </c>
      <c r="BB334" s="52">
        <v>245</v>
      </c>
      <c r="BC334" s="105">
        <v>13</v>
      </c>
      <c r="BD334" s="98">
        <v>224</v>
      </c>
      <c r="BE334" s="279">
        <v>52</v>
      </c>
      <c r="BF334" s="52">
        <v>212</v>
      </c>
      <c r="BG334" s="105">
        <v>52</v>
      </c>
      <c r="BH334" s="98">
        <v>219</v>
      </c>
      <c r="BI334" s="279">
        <v>11</v>
      </c>
      <c r="BJ334" s="52">
        <v>132</v>
      </c>
      <c r="BK334" s="105">
        <v>11</v>
      </c>
      <c r="BL334" s="98">
        <v>204</v>
      </c>
      <c r="BM334" s="279">
        <v>23</v>
      </c>
      <c r="BN334" s="52">
        <v>67</v>
      </c>
      <c r="BO334" s="105">
        <v>45</v>
      </c>
      <c r="BP334" s="98">
        <v>95</v>
      </c>
      <c r="BQ334" s="279">
        <v>45</v>
      </c>
      <c r="BR334" s="52">
        <v>64</v>
      </c>
      <c r="BS334" s="105">
        <v>23</v>
      </c>
      <c r="BT334" s="98">
        <v>66</v>
      </c>
      <c r="BU334" s="279">
        <v>26</v>
      </c>
      <c r="BV334" s="52">
        <v>53</v>
      </c>
      <c r="BW334" s="105">
        <v>26</v>
      </c>
      <c r="BX334" s="98">
        <v>53</v>
      </c>
      <c r="BY334" s="279">
        <v>1</v>
      </c>
      <c r="BZ334" s="52">
        <v>44</v>
      </c>
      <c r="CA334" s="105">
        <v>1</v>
      </c>
      <c r="CB334" s="98">
        <v>51</v>
      </c>
      <c r="CC334" s="279">
        <v>27</v>
      </c>
      <c r="CD334" s="52">
        <v>43</v>
      </c>
      <c r="CE334" s="105">
        <v>44</v>
      </c>
      <c r="CF334" s="98">
        <v>49</v>
      </c>
      <c r="CG334" s="279">
        <v>4</v>
      </c>
      <c r="CH334" s="52">
        <v>42</v>
      </c>
      <c r="CI334" s="105">
        <v>3</v>
      </c>
      <c r="CJ334" s="98">
        <v>42</v>
      </c>
      <c r="CK334" s="281"/>
      <c r="CL334" s="277"/>
      <c r="CM334" s="159">
        <v>207</v>
      </c>
      <c r="CN334" s="277">
        <v>257</v>
      </c>
      <c r="CO334" s="50">
        <f t="shared" si="146"/>
        <v>1507</v>
      </c>
      <c r="CP334" s="103">
        <f t="shared" si="147"/>
        <v>10</v>
      </c>
      <c r="CQ334" s="280">
        <f t="shared" si="148"/>
        <v>1664</v>
      </c>
      <c r="CR334" s="63">
        <f t="shared" si="149"/>
        <v>10</v>
      </c>
      <c r="CS334" s="279">
        <v>14</v>
      </c>
      <c r="CT334" s="52">
        <v>107</v>
      </c>
      <c r="CU334" s="105">
        <v>14</v>
      </c>
      <c r="CV334" s="98">
        <v>150</v>
      </c>
      <c r="CW334" s="279">
        <v>26</v>
      </c>
      <c r="CX334" s="52">
        <v>46</v>
      </c>
      <c r="CY334" s="105">
        <v>26</v>
      </c>
      <c r="CZ334" s="98">
        <v>56</v>
      </c>
      <c r="DA334" s="279">
        <v>13</v>
      </c>
      <c r="DB334" s="52">
        <v>37</v>
      </c>
      <c r="DC334" s="105">
        <v>27</v>
      </c>
      <c r="DD334" s="98">
        <v>54</v>
      </c>
      <c r="DE334" s="279">
        <v>27</v>
      </c>
      <c r="DF334" s="52">
        <v>29</v>
      </c>
      <c r="DG334" s="105">
        <v>13</v>
      </c>
      <c r="DH334" s="98">
        <v>42</v>
      </c>
      <c r="DI334" s="279">
        <v>40</v>
      </c>
      <c r="DJ334" s="52">
        <v>28</v>
      </c>
      <c r="DK334" s="105">
        <v>40</v>
      </c>
      <c r="DL334" s="98">
        <v>36</v>
      </c>
      <c r="DM334" s="279">
        <v>1</v>
      </c>
      <c r="DN334" s="52">
        <v>23</v>
      </c>
      <c r="DO334" s="105">
        <v>1</v>
      </c>
      <c r="DP334" s="98">
        <v>29</v>
      </c>
      <c r="DQ334" s="279">
        <v>11</v>
      </c>
      <c r="DR334" s="52">
        <v>14</v>
      </c>
      <c r="DS334" s="105">
        <v>45</v>
      </c>
      <c r="DT334" s="98">
        <v>23</v>
      </c>
      <c r="DU334" s="279">
        <v>42</v>
      </c>
      <c r="DV334" s="52">
        <v>11</v>
      </c>
      <c r="DW334" s="105">
        <v>11</v>
      </c>
      <c r="DX334" s="98">
        <v>21</v>
      </c>
      <c r="DY334" s="279">
        <v>45</v>
      </c>
      <c r="DZ334" s="52">
        <v>9</v>
      </c>
      <c r="EA334" s="105">
        <v>3</v>
      </c>
      <c r="EB334" s="98">
        <v>14</v>
      </c>
      <c r="EC334" s="279">
        <v>51</v>
      </c>
      <c r="ED334" s="52">
        <v>8</v>
      </c>
      <c r="EE334" s="105">
        <v>42</v>
      </c>
      <c r="EF334" s="98">
        <v>11</v>
      </c>
      <c r="EG334" s="159">
        <v>16</v>
      </c>
      <c r="EH334" s="277">
        <v>21</v>
      </c>
      <c r="EI334" s="50">
        <f t="shared" si="150"/>
        <v>328</v>
      </c>
      <c r="EJ334" s="103">
        <f t="shared" si="151"/>
        <v>10</v>
      </c>
      <c r="EK334" s="164">
        <f t="shared" si="152"/>
        <v>0.32621951219512196</v>
      </c>
      <c r="EL334" s="280">
        <f t="shared" si="153"/>
        <v>457</v>
      </c>
      <c r="EM334" s="63">
        <f t="shared" si="154"/>
        <v>10</v>
      </c>
      <c r="EN334" s="359">
        <f t="shared" si="155"/>
        <v>0.32822757111597373</v>
      </c>
      <c r="EO334" s="51">
        <f t="shared" si="156"/>
        <v>1835</v>
      </c>
      <c r="EP334" s="361">
        <f t="shared" si="157"/>
        <v>2121</v>
      </c>
      <c r="EQ334" s="281"/>
      <c r="ER334" s="277"/>
      <c r="ES334" s="281"/>
      <c r="ET334" s="277"/>
      <c r="EU334" s="281"/>
      <c r="EV334" s="277"/>
      <c r="EW334" s="281"/>
      <c r="EX334" s="277"/>
      <c r="EY334" s="281"/>
      <c r="EZ334" s="277"/>
      <c r="FA334" s="281"/>
      <c r="FB334" s="277"/>
      <c r="FC334" s="281"/>
      <c r="FD334" s="277"/>
      <c r="FE334" s="281">
        <v>74</v>
      </c>
      <c r="FF334" s="277">
        <v>73</v>
      </c>
      <c r="FG334" s="281"/>
      <c r="FH334" s="277"/>
      <c r="FI334" s="281"/>
      <c r="FJ334" s="277"/>
      <c r="FK334" s="50">
        <f t="shared" si="158"/>
        <v>74</v>
      </c>
      <c r="FL334" s="63">
        <f t="shared" si="159"/>
        <v>73</v>
      </c>
      <c r="FM334" s="50">
        <f t="shared" si="141"/>
        <v>6576</v>
      </c>
      <c r="FN334" s="360">
        <f t="shared" si="142"/>
        <v>6999</v>
      </c>
      <c r="FO334" s="3"/>
      <c r="FP334" s="279"/>
      <c r="FQ334" s="52"/>
      <c r="FR334" s="296"/>
      <c r="FS334" s="98"/>
      <c r="FT334" s="467"/>
      <c r="FU334" s="52"/>
      <c r="FV334" s="296"/>
      <c r="FW334" s="98"/>
      <c r="FX334" s="467"/>
      <c r="FY334" s="52"/>
      <c r="FZ334" s="296"/>
      <c r="GA334" s="98"/>
      <c r="GB334" s="467"/>
      <c r="GC334" s="52"/>
      <c r="GD334" s="296"/>
      <c r="GE334" s="98"/>
      <c r="GF334" s="467"/>
      <c r="GG334" s="52"/>
      <c r="GH334" s="296"/>
      <c r="GI334" s="98"/>
      <c r="GJ334" s="467"/>
      <c r="GK334" s="52"/>
      <c r="GL334" s="296"/>
      <c r="GM334" s="464"/>
      <c r="GN334" s="467"/>
      <c r="GO334" s="52"/>
      <c r="GP334" s="296"/>
      <c r="GQ334" s="464"/>
      <c r="GR334" s="467"/>
      <c r="GS334" s="52"/>
      <c r="GT334" s="296"/>
      <c r="GU334" s="464"/>
      <c r="GV334" s="467"/>
      <c r="GW334" s="52"/>
      <c r="GX334" s="296"/>
      <c r="GY334" s="464"/>
      <c r="GZ334" s="467"/>
      <c r="HA334" s="52"/>
      <c r="HB334" s="296"/>
      <c r="HC334" s="3"/>
    </row>
    <row r="335" spans="1:211" s="86" customFormat="1">
      <c r="A335" s="520" t="s">
        <v>984</v>
      </c>
      <c r="B335" s="322" t="s">
        <v>15</v>
      </c>
      <c r="C335" s="321">
        <v>199120</v>
      </c>
      <c r="D335" s="353">
        <v>1</v>
      </c>
      <c r="E335" s="460">
        <v>19</v>
      </c>
      <c r="F335" s="277">
        <v>20</v>
      </c>
      <c r="G335" s="158"/>
      <c r="H335" s="277"/>
      <c r="I335" s="158"/>
      <c r="J335" s="277"/>
      <c r="K335" s="160">
        <f t="shared" si="143"/>
        <v>0</v>
      </c>
      <c r="L335" s="161">
        <f t="shared" si="136"/>
        <v>0</v>
      </c>
      <c r="M335" s="54">
        <v>4131</v>
      </c>
      <c r="N335" s="55"/>
      <c r="O335" s="55">
        <v>79</v>
      </c>
      <c r="P335" s="55"/>
      <c r="Q335" s="162">
        <f t="shared" si="144"/>
        <v>79</v>
      </c>
      <c r="R335" s="277">
        <v>4236</v>
      </c>
      <c r="S335" s="277"/>
      <c r="T335" s="277">
        <v>113</v>
      </c>
      <c r="U335" s="277"/>
      <c r="V335" s="97">
        <f t="shared" si="145"/>
        <v>113</v>
      </c>
      <c r="W335" s="279"/>
      <c r="X335" s="52"/>
      <c r="Y335" s="99"/>
      <c r="Z335" s="53"/>
      <c r="AA335" s="228"/>
      <c r="AB335" s="52"/>
      <c r="AC335" s="99"/>
      <c r="AD335" s="53"/>
      <c r="AE335" s="228"/>
      <c r="AF335" s="52"/>
      <c r="AG335" s="99"/>
      <c r="AH335" s="53"/>
      <c r="AI335" s="228"/>
      <c r="AJ335" s="52"/>
      <c r="AK335" s="99"/>
      <c r="AL335" s="53"/>
      <c r="AM335" s="228"/>
      <c r="AN335" s="52"/>
      <c r="AO335" s="99"/>
      <c r="AP335" s="53"/>
      <c r="AQ335" s="50">
        <f t="shared" si="137"/>
        <v>0</v>
      </c>
      <c r="AR335" s="163">
        <f t="shared" si="138"/>
        <v>0.57446808510638303</v>
      </c>
      <c r="AS335" s="97">
        <f t="shared" si="139"/>
        <v>0</v>
      </c>
      <c r="AT335" s="278">
        <f t="shared" si="140"/>
        <v>0.58972574133370459</v>
      </c>
      <c r="AU335" s="55"/>
      <c r="AV335" s="277"/>
      <c r="AW335" s="279">
        <v>52</v>
      </c>
      <c r="AX335" s="52">
        <v>548</v>
      </c>
      <c r="AY335" s="105">
        <v>52</v>
      </c>
      <c r="AZ335" s="98">
        <v>550</v>
      </c>
      <c r="BA335" s="279">
        <v>51</v>
      </c>
      <c r="BB335" s="52">
        <v>382</v>
      </c>
      <c r="BC335" s="105">
        <v>51</v>
      </c>
      <c r="BD335" s="98">
        <v>408</v>
      </c>
      <c r="BE335" s="279">
        <v>13</v>
      </c>
      <c r="BF335" s="52">
        <v>170</v>
      </c>
      <c r="BG335" s="105">
        <v>13</v>
      </c>
      <c r="BH335" s="98">
        <v>170</v>
      </c>
      <c r="BI335" s="279">
        <v>44</v>
      </c>
      <c r="BJ335" s="52">
        <v>157</v>
      </c>
      <c r="BK335" s="105">
        <v>44</v>
      </c>
      <c r="BL335" s="98">
        <v>147</v>
      </c>
      <c r="BM335" s="279">
        <v>25</v>
      </c>
      <c r="BN335" s="52">
        <v>98</v>
      </c>
      <c r="BO335" s="105">
        <v>25</v>
      </c>
      <c r="BP335" s="98">
        <v>83</v>
      </c>
      <c r="BQ335" s="279">
        <v>45</v>
      </c>
      <c r="BR335" s="52">
        <v>65</v>
      </c>
      <c r="BS335" s="105">
        <v>11</v>
      </c>
      <c r="BT335" s="98">
        <v>59</v>
      </c>
      <c r="BU335" s="279">
        <v>11</v>
      </c>
      <c r="BV335" s="52">
        <v>52</v>
      </c>
      <c r="BW335" s="105">
        <v>26</v>
      </c>
      <c r="BX335" s="98">
        <v>54</v>
      </c>
      <c r="BY335" s="279">
        <v>26</v>
      </c>
      <c r="BZ335" s="52">
        <v>47</v>
      </c>
      <c r="CA335" s="105">
        <v>45</v>
      </c>
      <c r="CB335" s="98">
        <v>50</v>
      </c>
      <c r="CC335" s="279">
        <v>4</v>
      </c>
      <c r="CD335" s="52">
        <v>42</v>
      </c>
      <c r="CE335" s="105">
        <v>4</v>
      </c>
      <c r="CF335" s="98">
        <v>41</v>
      </c>
      <c r="CG335" s="279">
        <v>50</v>
      </c>
      <c r="CH335" s="52">
        <v>32</v>
      </c>
      <c r="CI335" s="105">
        <v>40</v>
      </c>
      <c r="CJ335" s="98">
        <v>40</v>
      </c>
      <c r="CK335" s="281"/>
      <c r="CL335" s="277"/>
      <c r="CM335" s="159">
        <v>244</v>
      </c>
      <c r="CN335" s="277">
        <v>224</v>
      </c>
      <c r="CO335" s="50">
        <f t="shared" si="146"/>
        <v>1837</v>
      </c>
      <c r="CP335" s="103">
        <f t="shared" si="147"/>
        <v>10</v>
      </c>
      <c r="CQ335" s="280">
        <f t="shared" si="148"/>
        <v>1826</v>
      </c>
      <c r="CR335" s="63">
        <f t="shared" si="149"/>
        <v>10</v>
      </c>
      <c r="CS335" s="279">
        <v>26</v>
      </c>
      <c r="CT335" s="52">
        <v>150</v>
      </c>
      <c r="CU335" s="105">
        <v>26</v>
      </c>
      <c r="CV335" s="98">
        <v>114</v>
      </c>
      <c r="CW335" s="279">
        <v>51</v>
      </c>
      <c r="CX335" s="52">
        <v>81</v>
      </c>
      <c r="CY335" s="105">
        <v>51</v>
      </c>
      <c r="CZ335" s="98">
        <v>72</v>
      </c>
      <c r="DA335" s="279">
        <v>13</v>
      </c>
      <c r="DB335" s="52">
        <v>51</v>
      </c>
      <c r="DC335" s="105">
        <v>40</v>
      </c>
      <c r="DD335" s="98">
        <v>52</v>
      </c>
      <c r="DE335" s="279">
        <v>45</v>
      </c>
      <c r="DF335" s="52">
        <v>44</v>
      </c>
      <c r="DG335" s="105">
        <v>45</v>
      </c>
      <c r="DH335" s="98">
        <v>43</v>
      </c>
      <c r="DI335" s="279">
        <v>40</v>
      </c>
      <c r="DJ335" s="52">
        <v>42</v>
      </c>
      <c r="DK335" s="105">
        <v>13</v>
      </c>
      <c r="DL335" s="98">
        <v>28</v>
      </c>
      <c r="DM335" s="279">
        <v>42</v>
      </c>
      <c r="DN335" s="52">
        <v>34</v>
      </c>
      <c r="DO335" s="105">
        <v>42</v>
      </c>
      <c r="DP335" s="98">
        <v>25</v>
      </c>
      <c r="DQ335" s="279">
        <v>16</v>
      </c>
      <c r="DR335" s="52">
        <v>25</v>
      </c>
      <c r="DS335" s="105">
        <v>16</v>
      </c>
      <c r="DT335" s="98">
        <v>19</v>
      </c>
      <c r="DU335" s="279">
        <v>54</v>
      </c>
      <c r="DV335" s="52">
        <v>24</v>
      </c>
      <c r="DW335" s="105">
        <v>54</v>
      </c>
      <c r="DX335" s="98">
        <v>18</v>
      </c>
      <c r="DY335" s="279">
        <v>27</v>
      </c>
      <c r="DZ335" s="52">
        <v>23</v>
      </c>
      <c r="EA335" s="105">
        <v>11</v>
      </c>
      <c r="EB335" s="98">
        <v>16</v>
      </c>
      <c r="EC335" s="279">
        <v>3</v>
      </c>
      <c r="ED335" s="52">
        <v>17</v>
      </c>
      <c r="EE335" s="105">
        <v>3</v>
      </c>
      <c r="EF335" s="98">
        <v>13</v>
      </c>
      <c r="EG335" s="159">
        <v>109</v>
      </c>
      <c r="EH335" s="277">
        <v>83</v>
      </c>
      <c r="EI335" s="50">
        <f t="shared" si="150"/>
        <v>600</v>
      </c>
      <c r="EJ335" s="103">
        <f t="shared" si="151"/>
        <v>10</v>
      </c>
      <c r="EK335" s="164">
        <f t="shared" si="152"/>
        <v>0.25</v>
      </c>
      <c r="EL335" s="280">
        <f t="shared" si="153"/>
        <v>483</v>
      </c>
      <c r="EM335" s="63">
        <f t="shared" si="154"/>
        <v>10</v>
      </c>
      <c r="EN335" s="359">
        <f t="shared" si="155"/>
        <v>0.2360248447204969</v>
      </c>
      <c r="EO335" s="51">
        <f t="shared" si="156"/>
        <v>2437</v>
      </c>
      <c r="EP335" s="361">
        <f t="shared" si="157"/>
        <v>2309</v>
      </c>
      <c r="EQ335" s="281">
        <v>221</v>
      </c>
      <c r="ER335" s="277">
        <v>228</v>
      </c>
      <c r="ES335" s="281">
        <v>165</v>
      </c>
      <c r="ET335" s="277">
        <v>157</v>
      </c>
      <c r="EU335" s="281">
        <v>83</v>
      </c>
      <c r="EV335" s="277">
        <v>82</v>
      </c>
      <c r="EW335" s="281">
        <v>135</v>
      </c>
      <c r="EX335" s="277">
        <v>151</v>
      </c>
      <c r="EY335" s="281"/>
      <c r="EZ335" s="277"/>
      <c r="FA335" s="281"/>
      <c r="FB335" s="277"/>
      <c r="FC335" s="281"/>
      <c r="FD335" s="277"/>
      <c r="FE335" s="281"/>
      <c r="FF335" s="277"/>
      <c r="FG335" s="281"/>
      <c r="FH335" s="277"/>
      <c r="FI335" s="281"/>
      <c r="FJ335" s="277"/>
      <c r="FK335" s="50">
        <f t="shared" si="158"/>
        <v>604</v>
      </c>
      <c r="FL335" s="63">
        <f t="shared" si="159"/>
        <v>618</v>
      </c>
      <c r="FM335" s="50">
        <f t="shared" si="141"/>
        <v>7191</v>
      </c>
      <c r="FN335" s="360">
        <f t="shared" si="142"/>
        <v>7183</v>
      </c>
      <c r="FO335" s="3"/>
      <c r="FP335" s="279"/>
      <c r="FQ335" s="52"/>
      <c r="FR335" s="296"/>
      <c r="FS335" s="98"/>
      <c r="FT335" s="467"/>
      <c r="FU335" s="52"/>
      <c r="FV335" s="296"/>
      <c r="FW335" s="98"/>
      <c r="FX335" s="467"/>
      <c r="FY335" s="52"/>
      <c r="FZ335" s="296"/>
      <c r="GA335" s="98"/>
      <c r="GB335" s="467"/>
      <c r="GC335" s="52"/>
      <c r="GD335" s="296"/>
      <c r="GE335" s="98"/>
      <c r="GF335" s="467"/>
      <c r="GG335" s="52"/>
      <c r="GH335" s="296"/>
      <c r="GI335" s="98"/>
      <c r="GJ335" s="467"/>
      <c r="GK335" s="52"/>
      <c r="GL335" s="296"/>
      <c r="GM335" s="464"/>
      <c r="GN335" s="467"/>
      <c r="GO335" s="52"/>
      <c r="GP335" s="296"/>
      <c r="GQ335" s="464"/>
      <c r="GR335" s="467"/>
      <c r="GS335" s="52"/>
      <c r="GT335" s="296"/>
      <c r="GU335" s="464"/>
      <c r="GV335" s="467"/>
      <c r="GW335" s="52"/>
      <c r="GX335" s="296"/>
      <c r="GY335" s="464"/>
      <c r="GZ335" s="467"/>
      <c r="HA335" s="52"/>
      <c r="HB335" s="296"/>
      <c r="HC335" s="3"/>
    </row>
    <row r="336" spans="1:211" s="86" customFormat="1">
      <c r="A336" s="520" t="s">
        <v>984</v>
      </c>
      <c r="B336" s="322" t="s">
        <v>20</v>
      </c>
      <c r="C336" s="321">
        <v>199139</v>
      </c>
      <c r="D336" s="353">
        <v>2</v>
      </c>
      <c r="E336" s="460"/>
      <c r="F336" s="277"/>
      <c r="G336" s="158"/>
      <c r="H336" s="277"/>
      <c r="I336" s="158"/>
      <c r="J336" s="277"/>
      <c r="K336" s="160">
        <f t="shared" si="143"/>
        <v>0</v>
      </c>
      <c r="L336" s="161">
        <f t="shared" si="136"/>
        <v>0</v>
      </c>
      <c r="M336" s="323">
        <v>3375</v>
      </c>
      <c r="N336" s="55"/>
      <c r="O336" s="55">
        <v>340</v>
      </c>
      <c r="P336" s="55"/>
      <c r="Q336" s="162">
        <f t="shared" si="144"/>
        <v>340</v>
      </c>
      <c r="R336" s="277">
        <v>3455</v>
      </c>
      <c r="S336" s="277"/>
      <c r="T336" s="277">
        <v>347</v>
      </c>
      <c r="U336" s="277"/>
      <c r="V336" s="97">
        <f t="shared" si="145"/>
        <v>347</v>
      </c>
      <c r="W336" s="279"/>
      <c r="X336" s="52"/>
      <c r="Y336" s="99"/>
      <c r="Z336" s="53"/>
      <c r="AA336" s="228"/>
      <c r="AB336" s="52"/>
      <c r="AC336" s="99"/>
      <c r="AD336" s="53"/>
      <c r="AE336" s="228"/>
      <c r="AF336" s="52"/>
      <c r="AG336" s="99"/>
      <c r="AH336" s="53"/>
      <c r="AI336" s="228"/>
      <c r="AJ336" s="52"/>
      <c r="AK336" s="99"/>
      <c r="AL336" s="53"/>
      <c r="AM336" s="228"/>
      <c r="AN336" s="52"/>
      <c r="AO336" s="99"/>
      <c r="AP336" s="53"/>
      <c r="AQ336" s="50">
        <f t="shared" si="137"/>
        <v>0</v>
      </c>
      <c r="AR336" s="163">
        <f t="shared" si="138"/>
        <v>0.75167037861915365</v>
      </c>
      <c r="AS336" s="97">
        <f t="shared" si="139"/>
        <v>0</v>
      </c>
      <c r="AT336" s="278">
        <f t="shared" si="140"/>
        <v>0.75469637396242906</v>
      </c>
      <c r="AU336" s="324">
        <v>11</v>
      </c>
      <c r="AV336" s="277">
        <v>19</v>
      </c>
      <c r="AW336" s="279">
        <v>13</v>
      </c>
      <c r="AX336" s="52">
        <v>272</v>
      </c>
      <c r="AY336" s="105">
        <v>52</v>
      </c>
      <c r="AZ336" s="98">
        <v>271</v>
      </c>
      <c r="BA336" s="279">
        <v>52</v>
      </c>
      <c r="BB336" s="52">
        <v>238</v>
      </c>
      <c r="BC336" s="105">
        <v>13</v>
      </c>
      <c r="BD336" s="98">
        <v>239</v>
      </c>
      <c r="BE336" s="279">
        <v>51</v>
      </c>
      <c r="BF336" s="52">
        <v>116</v>
      </c>
      <c r="BG336" s="105">
        <v>11</v>
      </c>
      <c r="BH336" s="98">
        <v>105</v>
      </c>
      <c r="BI336" s="279">
        <v>11</v>
      </c>
      <c r="BJ336" s="52">
        <v>94</v>
      </c>
      <c r="BK336" s="105">
        <v>51</v>
      </c>
      <c r="BL336" s="98">
        <v>81</v>
      </c>
      <c r="BM336" s="279">
        <v>14</v>
      </c>
      <c r="BN336" s="52">
        <v>91</v>
      </c>
      <c r="BO336" s="105">
        <v>14</v>
      </c>
      <c r="BP336" s="98">
        <v>79</v>
      </c>
      <c r="BQ336" s="279">
        <v>44</v>
      </c>
      <c r="BR336" s="52">
        <v>61</v>
      </c>
      <c r="BS336" s="105">
        <v>44</v>
      </c>
      <c r="BT336" s="98">
        <v>67</v>
      </c>
      <c r="BU336" s="279">
        <v>30</v>
      </c>
      <c r="BV336" s="52">
        <v>30</v>
      </c>
      <c r="BW336" s="105">
        <v>30</v>
      </c>
      <c r="BX336" s="98">
        <v>31</v>
      </c>
      <c r="BY336" s="279">
        <v>42</v>
      </c>
      <c r="BZ336" s="52">
        <v>21</v>
      </c>
      <c r="CA336" s="105">
        <v>4</v>
      </c>
      <c r="CB336" s="98">
        <v>24</v>
      </c>
      <c r="CC336" s="279">
        <v>23</v>
      </c>
      <c r="CD336" s="52">
        <v>19</v>
      </c>
      <c r="CE336" s="105">
        <v>42</v>
      </c>
      <c r="CF336" s="98">
        <v>23</v>
      </c>
      <c r="CG336" s="279">
        <v>4</v>
      </c>
      <c r="CH336" s="52">
        <v>17</v>
      </c>
      <c r="CI336" s="105">
        <v>45</v>
      </c>
      <c r="CJ336" s="98">
        <v>20</v>
      </c>
      <c r="CK336" s="281"/>
      <c r="CL336" s="277"/>
      <c r="CM336" s="159">
        <v>100</v>
      </c>
      <c r="CN336" s="277">
        <v>96</v>
      </c>
      <c r="CO336" s="50">
        <f t="shared" si="146"/>
        <v>1059</v>
      </c>
      <c r="CP336" s="103">
        <f t="shared" si="147"/>
        <v>10</v>
      </c>
      <c r="CQ336" s="280">
        <f t="shared" si="148"/>
        <v>1036</v>
      </c>
      <c r="CR336" s="63">
        <f t="shared" si="149"/>
        <v>10</v>
      </c>
      <c r="CS336" s="279">
        <v>13</v>
      </c>
      <c r="CT336" s="52">
        <v>16</v>
      </c>
      <c r="CU336" s="105">
        <v>13</v>
      </c>
      <c r="CV336" s="98">
        <v>21</v>
      </c>
      <c r="CW336" s="279">
        <v>11</v>
      </c>
      <c r="CX336" s="52">
        <v>11</v>
      </c>
      <c r="CY336" s="105">
        <v>44</v>
      </c>
      <c r="CZ336" s="98">
        <v>12</v>
      </c>
      <c r="DA336" s="279">
        <v>14</v>
      </c>
      <c r="DB336" s="52">
        <v>8</v>
      </c>
      <c r="DC336" s="105">
        <v>14</v>
      </c>
      <c r="DD336" s="98">
        <v>11</v>
      </c>
      <c r="DE336" s="279">
        <v>27</v>
      </c>
      <c r="DF336" s="52">
        <v>4</v>
      </c>
      <c r="DG336" s="105">
        <v>26</v>
      </c>
      <c r="DH336" s="98">
        <v>8</v>
      </c>
      <c r="DI336" s="279">
        <v>26</v>
      </c>
      <c r="DJ336" s="52">
        <v>2</v>
      </c>
      <c r="DK336" s="105">
        <v>11</v>
      </c>
      <c r="DL336" s="98">
        <v>5</v>
      </c>
      <c r="DM336" s="279">
        <v>30</v>
      </c>
      <c r="DN336" s="52">
        <v>2</v>
      </c>
      <c r="DO336" s="105">
        <v>27</v>
      </c>
      <c r="DP336" s="98">
        <v>5</v>
      </c>
      <c r="DQ336" s="279">
        <v>40</v>
      </c>
      <c r="DR336" s="52">
        <v>2</v>
      </c>
      <c r="DS336" s="105">
        <v>30</v>
      </c>
      <c r="DT336" s="98">
        <v>3</v>
      </c>
      <c r="DU336" s="279"/>
      <c r="DV336" s="52"/>
      <c r="DW336" s="105">
        <v>40</v>
      </c>
      <c r="DX336" s="98">
        <v>2</v>
      </c>
      <c r="DY336" s="279"/>
      <c r="DZ336" s="52"/>
      <c r="EA336" s="105">
        <v>51</v>
      </c>
      <c r="EB336" s="98">
        <v>1</v>
      </c>
      <c r="EC336" s="279"/>
      <c r="ED336" s="52"/>
      <c r="EE336" s="105"/>
      <c r="EF336" s="98"/>
      <c r="EG336" s="159"/>
      <c r="EH336" s="277"/>
      <c r="EI336" s="50">
        <f t="shared" si="150"/>
        <v>45</v>
      </c>
      <c r="EJ336" s="103">
        <f t="shared" si="151"/>
        <v>7</v>
      </c>
      <c r="EK336" s="164">
        <f t="shared" si="152"/>
        <v>0.35555555555555557</v>
      </c>
      <c r="EL336" s="280">
        <f t="shared" si="153"/>
        <v>68</v>
      </c>
      <c r="EM336" s="63">
        <f t="shared" si="154"/>
        <v>9</v>
      </c>
      <c r="EN336" s="359">
        <f t="shared" si="155"/>
        <v>0.30882352941176472</v>
      </c>
      <c r="EO336" s="51">
        <f t="shared" si="156"/>
        <v>1104</v>
      </c>
      <c r="EP336" s="361">
        <f t="shared" si="157"/>
        <v>1104</v>
      </c>
      <c r="EQ336" s="281"/>
      <c r="ER336" s="277"/>
      <c r="ES336" s="281"/>
      <c r="ET336" s="277"/>
      <c r="EU336" s="281"/>
      <c r="EV336" s="277"/>
      <c r="EW336" s="281"/>
      <c r="EX336" s="277"/>
      <c r="EY336" s="281"/>
      <c r="EZ336" s="277"/>
      <c r="FA336" s="281"/>
      <c r="FB336" s="277"/>
      <c r="FC336" s="281"/>
      <c r="FD336" s="277"/>
      <c r="FE336" s="281"/>
      <c r="FF336" s="277"/>
      <c r="FG336" s="281"/>
      <c r="FH336" s="277"/>
      <c r="FI336" s="281"/>
      <c r="FJ336" s="277"/>
      <c r="FK336" s="50">
        <f t="shared" si="158"/>
        <v>0</v>
      </c>
      <c r="FL336" s="63">
        <f t="shared" si="159"/>
        <v>0</v>
      </c>
      <c r="FM336" s="50">
        <f t="shared" si="141"/>
        <v>4490</v>
      </c>
      <c r="FN336" s="360">
        <f t="shared" si="142"/>
        <v>4578</v>
      </c>
      <c r="FO336" s="3"/>
      <c r="FP336" s="279"/>
      <c r="FQ336" s="52"/>
      <c r="FR336" s="296"/>
      <c r="FS336" s="98"/>
      <c r="FT336" s="467"/>
      <c r="FU336" s="52"/>
      <c r="FV336" s="296"/>
      <c r="FW336" s="98"/>
      <c r="FX336" s="467"/>
      <c r="FY336" s="52"/>
      <c r="FZ336" s="296"/>
      <c r="GA336" s="98"/>
      <c r="GB336" s="467"/>
      <c r="GC336" s="52"/>
      <c r="GD336" s="296"/>
      <c r="GE336" s="98"/>
      <c r="GF336" s="467"/>
      <c r="GG336" s="52"/>
      <c r="GH336" s="296"/>
      <c r="GI336" s="98"/>
      <c r="GJ336" s="467"/>
      <c r="GK336" s="52"/>
      <c r="GL336" s="296"/>
      <c r="GM336" s="464"/>
      <c r="GN336" s="467"/>
      <c r="GO336" s="52"/>
      <c r="GP336" s="296"/>
      <c r="GQ336" s="464"/>
      <c r="GR336" s="467"/>
      <c r="GS336" s="52"/>
      <c r="GT336" s="296"/>
      <c r="GU336" s="464"/>
      <c r="GV336" s="467"/>
      <c r="GW336" s="52"/>
      <c r="GX336" s="296"/>
      <c r="GY336" s="464"/>
      <c r="GZ336" s="467"/>
      <c r="HA336" s="52"/>
      <c r="HB336" s="296"/>
      <c r="HC336" s="3"/>
    </row>
    <row r="337" spans="1:211" s="86" customFormat="1">
      <c r="A337" s="520" t="s">
        <v>984</v>
      </c>
      <c r="B337" s="322" t="s">
        <v>16</v>
      </c>
      <c r="C337" s="321">
        <v>199148</v>
      </c>
      <c r="D337" s="353">
        <v>2</v>
      </c>
      <c r="E337" s="460"/>
      <c r="F337" s="277"/>
      <c r="G337" s="158"/>
      <c r="H337" s="277"/>
      <c r="I337" s="158"/>
      <c r="J337" s="277"/>
      <c r="K337" s="160">
        <f t="shared" si="143"/>
        <v>0</v>
      </c>
      <c r="L337" s="161">
        <f t="shared" si="136"/>
        <v>0</v>
      </c>
      <c r="M337" s="323">
        <v>2388</v>
      </c>
      <c r="N337" s="55"/>
      <c r="O337" s="55">
        <v>403</v>
      </c>
      <c r="P337" s="55"/>
      <c r="Q337" s="162">
        <f t="shared" si="144"/>
        <v>403</v>
      </c>
      <c r="R337" s="277">
        <v>2441</v>
      </c>
      <c r="S337" s="277"/>
      <c r="T337" s="277">
        <v>429</v>
      </c>
      <c r="U337" s="277"/>
      <c r="V337" s="97">
        <f t="shared" si="145"/>
        <v>429</v>
      </c>
      <c r="W337" s="279"/>
      <c r="X337" s="52"/>
      <c r="Y337" s="99"/>
      <c r="Z337" s="53"/>
      <c r="AA337" s="228"/>
      <c r="AB337" s="52"/>
      <c r="AC337" s="99"/>
      <c r="AD337" s="53"/>
      <c r="AE337" s="228"/>
      <c r="AF337" s="52"/>
      <c r="AG337" s="99"/>
      <c r="AH337" s="53"/>
      <c r="AI337" s="228"/>
      <c r="AJ337" s="52"/>
      <c r="AK337" s="99"/>
      <c r="AL337" s="53"/>
      <c r="AM337" s="228"/>
      <c r="AN337" s="52"/>
      <c r="AO337" s="99"/>
      <c r="AP337" s="53"/>
      <c r="AQ337" s="50">
        <f t="shared" si="137"/>
        <v>0</v>
      </c>
      <c r="AR337" s="163">
        <f t="shared" si="138"/>
        <v>0.68679896462467649</v>
      </c>
      <c r="AS337" s="97">
        <f t="shared" si="139"/>
        <v>0</v>
      </c>
      <c r="AT337" s="278">
        <f t="shared" si="140"/>
        <v>0.68375350140056024</v>
      </c>
      <c r="AU337" s="324">
        <v>6</v>
      </c>
      <c r="AV337" s="277">
        <v>15</v>
      </c>
      <c r="AW337" s="279">
        <v>13</v>
      </c>
      <c r="AX337" s="52">
        <v>222</v>
      </c>
      <c r="AY337" s="105">
        <v>13</v>
      </c>
      <c r="AZ337" s="98">
        <v>251</v>
      </c>
      <c r="BA337" s="279">
        <v>51</v>
      </c>
      <c r="BB337" s="52">
        <v>158</v>
      </c>
      <c r="BC337" s="105">
        <v>51</v>
      </c>
      <c r="BD337" s="98">
        <v>162</v>
      </c>
      <c r="BE337" s="279">
        <v>52</v>
      </c>
      <c r="BF337" s="52">
        <v>139</v>
      </c>
      <c r="BG337" s="105">
        <v>52</v>
      </c>
      <c r="BH337" s="98">
        <v>127</v>
      </c>
      <c r="BI337" s="279">
        <v>25</v>
      </c>
      <c r="BJ337" s="52">
        <v>85</v>
      </c>
      <c r="BK337" s="105">
        <v>44</v>
      </c>
      <c r="BL337" s="98">
        <v>95</v>
      </c>
      <c r="BM337" s="279">
        <v>50</v>
      </c>
      <c r="BN337" s="52">
        <v>84</v>
      </c>
      <c r="BO337" s="105">
        <v>25</v>
      </c>
      <c r="BP337" s="98">
        <v>81</v>
      </c>
      <c r="BQ337" s="279">
        <v>31</v>
      </c>
      <c r="BR337" s="52">
        <v>42</v>
      </c>
      <c r="BS337" s="105">
        <v>50</v>
      </c>
      <c r="BT337" s="98">
        <v>53</v>
      </c>
      <c r="BU337" s="279">
        <v>24</v>
      </c>
      <c r="BV337" s="52">
        <v>40</v>
      </c>
      <c r="BW337" s="105">
        <v>24</v>
      </c>
      <c r="BX337" s="98">
        <v>44</v>
      </c>
      <c r="BY337" s="279">
        <v>23</v>
      </c>
      <c r="BZ337" s="52">
        <v>37</v>
      </c>
      <c r="CA337" s="105">
        <v>11</v>
      </c>
      <c r="CB337" s="98">
        <v>28</v>
      </c>
      <c r="CC337" s="279">
        <v>44</v>
      </c>
      <c r="CD337" s="52">
        <v>30</v>
      </c>
      <c r="CE337" s="105">
        <v>31</v>
      </c>
      <c r="CF337" s="98">
        <v>28</v>
      </c>
      <c r="CG337" s="279">
        <v>45</v>
      </c>
      <c r="CH337" s="52">
        <v>30</v>
      </c>
      <c r="CI337" s="105">
        <v>54</v>
      </c>
      <c r="CJ337" s="98">
        <v>26</v>
      </c>
      <c r="CK337" s="281"/>
      <c r="CL337" s="277"/>
      <c r="CM337" s="159">
        <v>123</v>
      </c>
      <c r="CN337" s="277">
        <v>112</v>
      </c>
      <c r="CO337" s="50">
        <f t="shared" si="146"/>
        <v>990</v>
      </c>
      <c r="CP337" s="103">
        <f t="shared" si="147"/>
        <v>10</v>
      </c>
      <c r="CQ337" s="280">
        <f t="shared" si="148"/>
        <v>1007</v>
      </c>
      <c r="CR337" s="63">
        <f t="shared" si="149"/>
        <v>10</v>
      </c>
      <c r="CS337" s="279">
        <v>13</v>
      </c>
      <c r="CT337" s="52">
        <v>50</v>
      </c>
      <c r="CU337" s="105">
        <v>13</v>
      </c>
      <c r="CV337" s="98">
        <v>37</v>
      </c>
      <c r="CW337" s="279">
        <v>50</v>
      </c>
      <c r="CX337" s="52">
        <v>13</v>
      </c>
      <c r="CY337" s="105">
        <v>50</v>
      </c>
      <c r="CZ337" s="98">
        <v>21</v>
      </c>
      <c r="DA337" s="279">
        <v>23</v>
      </c>
      <c r="DB337" s="52">
        <v>10</v>
      </c>
      <c r="DC337" s="105">
        <v>31</v>
      </c>
      <c r="DD337" s="98">
        <v>15</v>
      </c>
      <c r="DE337" s="279">
        <v>42</v>
      </c>
      <c r="DF337" s="52">
        <v>7</v>
      </c>
      <c r="DG337" s="105">
        <v>23</v>
      </c>
      <c r="DH337" s="98">
        <v>9</v>
      </c>
      <c r="DI337" s="279">
        <v>19</v>
      </c>
      <c r="DJ337" s="52">
        <v>4</v>
      </c>
      <c r="DK337" s="105">
        <v>19</v>
      </c>
      <c r="DL337" s="98">
        <v>8</v>
      </c>
      <c r="DM337" s="279">
        <v>30</v>
      </c>
      <c r="DN337" s="52">
        <v>2</v>
      </c>
      <c r="DO337" s="105">
        <v>42</v>
      </c>
      <c r="DP337" s="98">
        <v>5</v>
      </c>
      <c r="DQ337" s="279">
        <v>31</v>
      </c>
      <c r="DR337" s="52">
        <v>2</v>
      </c>
      <c r="DS337" s="105">
        <v>51</v>
      </c>
      <c r="DT337" s="98">
        <v>4</v>
      </c>
      <c r="DU337" s="279">
        <v>45</v>
      </c>
      <c r="DV337" s="52">
        <v>2</v>
      </c>
      <c r="DW337" s="105">
        <v>30</v>
      </c>
      <c r="DX337" s="98">
        <v>3</v>
      </c>
      <c r="DY337" s="279">
        <v>52</v>
      </c>
      <c r="DZ337" s="52">
        <v>2</v>
      </c>
      <c r="EA337" s="105">
        <v>45</v>
      </c>
      <c r="EB337" s="98">
        <v>3</v>
      </c>
      <c r="EC337" s="279">
        <v>51</v>
      </c>
      <c r="ED337" s="52">
        <v>1</v>
      </c>
      <c r="EE337" s="105">
        <v>52</v>
      </c>
      <c r="EF337" s="98">
        <v>2</v>
      </c>
      <c r="EG337" s="159"/>
      <c r="EH337" s="277"/>
      <c r="EI337" s="50">
        <f t="shared" si="150"/>
        <v>93</v>
      </c>
      <c r="EJ337" s="103">
        <f t="shared" si="151"/>
        <v>10</v>
      </c>
      <c r="EK337" s="164">
        <f t="shared" si="152"/>
        <v>0.5376344086021505</v>
      </c>
      <c r="EL337" s="280">
        <f t="shared" si="153"/>
        <v>107</v>
      </c>
      <c r="EM337" s="63">
        <f t="shared" si="154"/>
        <v>10</v>
      </c>
      <c r="EN337" s="359">
        <f t="shared" si="155"/>
        <v>0.34579439252336447</v>
      </c>
      <c r="EO337" s="51">
        <f t="shared" si="156"/>
        <v>1083</v>
      </c>
      <c r="EP337" s="361">
        <f t="shared" si="157"/>
        <v>1114</v>
      </c>
      <c r="EQ337" s="281"/>
      <c r="ER337" s="277"/>
      <c r="ES337" s="281"/>
      <c r="ET337" s="277"/>
      <c r="EU337" s="281"/>
      <c r="EV337" s="277"/>
      <c r="EW337" s="281"/>
      <c r="EX337" s="277"/>
      <c r="EY337" s="281"/>
      <c r="EZ337" s="277"/>
      <c r="FA337" s="281"/>
      <c r="FB337" s="277"/>
      <c r="FC337" s="281"/>
      <c r="FD337" s="277"/>
      <c r="FE337" s="281"/>
      <c r="FF337" s="277"/>
      <c r="FG337" s="281"/>
      <c r="FH337" s="277"/>
      <c r="FI337" s="281"/>
      <c r="FJ337" s="277"/>
      <c r="FK337" s="50">
        <f t="shared" si="158"/>
        <v>0</v>
      </c>
      <c r="FL337" s="63">
        <f t="shared" si="159"/>
        <v>0</v>
      </c>
      <c r="FM337" s="50">
        <f t="shared" si="141"/>
        <v>3477</v>
      </c>
      <c r="FN337" s="360">
        <f t="shared" si="142"/>
        <v>3570</v>
      </c>
      <c r="FO337" s="3"/>
      <c r="FP337" s="279"/>
      <c r="FQ337" s="52"/>
      <c r="FR337" s="296"/>
      <c r="FS337" s="98"/>
      <c r="FT337" s="467"/>
      <c r="FU337" s="52"/>
      <c r="FV337" s="296"/>
      <c r="FW337" s="98"/>
      <c r="FX337" s="467"/>
      <c r="FY337" s="52"/>
      <c r="FZ337" s="296"/>
      <c r="GA337" s="98"/>
      <c r="GB337" s="467"/>
      <c r="GC337" s="52"/>
      <c r="GD337" s="296"/>
      <c r="GE337" s="98"/>
      <c r="GF337" s="467"/>
      <c r="GG337" s="52"/>
      <c r="GH337" s="296"/>
      <c r="GI337" s="98"/>
      <c r="GJ337" s="467"/>
      <c r="GK337" s="52"/>
      <c r="GL337" s="296"/>
      <c r="GM337" s="464"/>
      <c r="GN337" s="467"/>
      <c r="GO337" s="52"/>
      <c r="GP337" s="296"/>
      <c r="GQ337" s="464"/>
      <c r="GR337" s="467"/>
      <c r="GS337" s="52"/>
      <c r="GT337" s="296"/>
      <c r="GU337" s="464"/>
      <c r="GV337" s="467"/>
      <c r="GW337" s="52"/>
      <c r="GX337" s="296"/>
      <c r="GY337" s="464"/>
      <c r="GZ337" s="467"/>
      <c r="HA337" s="52"/>
      <c r="HB337" s="296"/>
      <c r="HC337" s="3"/>
    </row>
    <row r="338" spans="1:211" s="86" customFormat="1">
      <c r="A338" s="520" t="s">
        <v>984</v>
      </c>
      <c r="B338" s="322" t="s">
        <v>17</v>
      </c>
      <c r="C338" s="321">
        <v>197869</v>
      </c>
      <c r="D338" s="353">
        <v>3</v>
      </c>
      <c r="E338" s="460"/>
      <c r="F338" s="277"/>
      <c r="G338" s="158"/>
      <c r="H338" s="277"/>
      <c r="I338" s="158"/>
      <c r="J338" s="277"/>
      <c r="K338" s="160">
        <f t="shared" si="143"/>
        <v>0</v>
      </c>
      <c r="L338" s="161">
        <f t="shared" si="136"/>
        <v>0</v>
      </c>
      <c r="M338" s="54">
        <v>2634</v>
      </c>
      <c r="N338" s="55"/>
      <c r="O338" s="55">
        <v>439</v>
      </c>
      <c r="P338" s="55"/>
      <c r="Q338" s="162">
        <f t="shared" si="144"/>
        <v>439</v>
      </c>
      <c r="R338" s="277">
        <v>2812</v>
      </c>
      <c r="S338" s="277"/>
      <c r="T338" s="277">
        <v>555</v>
      </c>
      <c r="U338" s="277"/>
      <c r="V338" s="97">
        <f t="shared" si="145"/>
        <v>555</v>
      </c>
      <c r="W338" s="279"/>
      <c r="X338" s="52"/>
      <c r="Y338" s="99"/>
      <c r="Z338" s="53"/>
      <c r="AA338" s="228"/>
      <c r="AB338" s="52"/>
      <c r="AC338" s="99"/>
      <c r="AD338" s="53"/>
      <c r="AE338" s="228"/>
      <c r="AF338" s="52"/>
      <c r="AG338" s="99"/>
      <c r="AH338" s="53"/>
      <c r="AI338" s="228"/>
      <c r="AJ338" s="52"/>
      <c r="AK338" s="99"/>
      <c r="AL338" s="53"/>
      <c r="AM338" s="228"/>
      <c r="AN338" s="52"/>
      <c r="AO338" s="99"/>
      <c r="AP338" s="53"/>
      <c r="AQ338" s="50">
        <f t="shared" si="137"/>
        <v>0</v>
      </c>
      <c r="AR338" s="163">
        <f t="shared" si="138"/>
        <v>0.78956834532374098</v>
      </c>
      <c r="AS338" s="97">
        <f t="shared" si="139"/>
        <v>0</v>
      </c>
      <c r="AT338" s="278">
        <f t="shared" si="140"/>
        <v>0.78701371396585507</v>
      </c>
      <c r="AU338" s="55"/>
      <c r="AV338" s="277">
        <v>20</v>
      </c>
      <c r="AW338" s="279">
        <v>13</v>
      </c>
      <c r="AX338" s="52">
        <v>374</v>
      </c>
      <c r="AY338" s="105">
        <v>13</v>
      </c>
      <c r="AZ338" s="98">
        <v>360</v>
      </c>
      <c r="BA338" s="279">
        <v>25</v>
      </c>
      <c r="BB338" s="52">
        <v>56</v>
      </c>
      <c r="BC338" s="105">
        <v>52</v>
      </c>
      <c r="BD338" s="98">
        <v>64</v>
      </c>
      <c r="BE338" s="279">
        <v>51</v>
      </c>
      <c r="BF338" s="52">
        <v>45</v>
      </c>
      <c r="BG338" s="105">
        <v>42</v>
      </c>
      <c r="BH338" s="98">
        <v>51</v>
      </c>
      <c r="BI338" s="279">
        <v>44</v>
      </c>
      <c r="BJ338" s="52">
        <v>41</v>
      </c>
      <c r="BK338" s="105">
        <v>51</v>
      </c>
      <c r="BL338" s="98">
        <v>51</v>
      </c>
      <c r="BM338" s="279">
        <v>52</v>
      </c>
      <c r="BN338" s="52">
        <v>32</v>
      </c>
      <c r="BO338" s="105">
        <v>44</v>
      </c>
      <c r="BP338" s="98">
        <v>45</v>
      </c>
      <c r="BQ338" s="279">
        <v>42</v>
      </c>
      <c r="BR338" s="52">
        <v>29</v>
      </c>
      <c r="BS338" s="105">
        <v>31</v>
      </c>
      <c r="BT338" s="98">
        <v>24</v>
      </c>
      <c r="BU338" s="279">
        <v>15</v>
      </c>
      <c r="BV338" s="52">
        <v>13</v>
      </c>
      <c r="BW338" s="105">
        <v>15</v>
      </c>
      <c r="BX338" s="98">
        <v>20</v>
      </c>
      <c r="BY338" s="279">
        <v>26</v>
      </c>
      <c r="BZ338" s="52">
        <v>11</v>
      </c>
      <c r="CA338" s="105">
        <v>25</v>
      </c>
      <c r="CB338" s="98">
        <v>19</v>
      </c>
      <c r="CC338" s="279">
        <v>23</v>
      </c>
      <c r="CD338" s="52">
        <v>9</v>
      </c>
      <c r="CE338" s="105">
        <v>45</v>
      </c>
      <c r="CF338" s="98">
        <v>15</v>
      </c>
      <c r="CG338" s="279">
        <v>27</v>
      </c>
      <c r="CH338" s="52">
        <v>9</v>
      </c>
      <c r="CI338" s="105">
        <v>54</v>
      </c>
      <c r="CJ338" s="98">
        <v>13</v>
      </c>
      <c r="CK338" s="281"/>
      <c r="CL338" s="277"/>
      <c r="CM338" s="159">
        <v>68</v>
      </c>
      <c r="CN338" s="277">
        <v>73</v>
      </c>
      <c r="CO338" s="50">
        <f t="shared" si="146"/>
        <v>687</v>
      </c>
      <c r="CP338" s="103">
        <f t="shared" si="147"/>
        <v>10</v>
      </c>
      <c r="CQ338" s="280">
        <f t="shared" si="148"/>
        <v>735</v>
      </c>
      <c r="CR338" s="63">
        <f t="shared" si="149"/>
        <v>10</v>
      </c>
      <c r="CS338" s="279">
        <v>13</v>
      </c>
      <c r="CT338" s="52">
        <v>15</v>
      </c>
      <c r="CU338" s="105">
        <v>13</v>
      </c>
      <c r="CV338" s="98">
        <v>6</v>
      </c>
      <c r="CW338" s="279"/>
      <c r="CX338" s="52"/>
      <c r="CY338" s="105"/>
      <c r="CZ338" s="98"/>
      <c r="DA338" s="279"/>
      <c r="DB338" s="52"/>
      <c r="DC338" s="105"/>
      <c r="DD338" s="98"/>
      <c r="DE338" s="279"/>
      <c r="DF338" s="52"/>
      <c r="DG338" s="105"/>
      <c r="DH338" s="98"/>
      <c r="DI338" s="279"/>
      <c r="DJ338" s="52"/>
      <c r="DK338" s="105"/>
      <c r="DL338" s="98"/>
      <c r="DM338" s="279"/>
      <c r="DN338" s="52"/>
      <c r="DO338" s="105"/>
      <c r="DP338" s="98"/>
      <c r="DQ338" s="279"/>
      <c r="DR338" s="52"/>
      <c r="DS338" s="105"/>
      <c r="DT338" s="98"/>
      <c r="DU338" s="279"/>
      <c r="DV338" s="52"/>
      <c r="DW338" s="105"/>
      <c r="DX338" s="98"/>
      <c r="DY338" s="279"/>
      <c r="DZ338" s="52"/>
      <c r="EA338" s="105"/>
      <c r="EB338" s="98"/>
      <c r="EC338" s="279"/>
      <c r="ED338" s="52"/>
      <c r="EE338" s="105"/>
      <c r="EF338" s="98"/>
      <c r="EG338" s="159"/>
      <c r="EH338" s="277"/>
      <c r="EI338" s="50">
        <f t="shared" si="150"/>
        <v>15</v>
      </c>
      <c r="EJ338" s="103">
        <f t="shared" si="151"/>
        <v>1</v>
      </c>
      <c r="EK338" s="164">
        <f t="shared" si="152"/>
        <v>1</v>
      </c>
      <c r="EL338" s="280">
        <f t="shared" si="153"/>
        <v>6</v>
      </c>
      <c r="EM338" s="63">
        <f t="shared" si="154"/>
        <v>1</v>
      </c>
      <c r="EN338" s="359">
        <f t="shared" si="155"/>
        <v>1</v>
      </c>
      <c r="EO338" s="51">
        <f t="shared" si="156"/>
        <v>702</v>
      </c>
      <c r="EP338" s="361">
        <f t="shared" si="157"/>
        <v>741</v>
      </c>
      <c r="EQ338" s="281"/>
      <c r="ER338" s="277"/>
      <c r="ES338" s="281"/>
      <c r="ET338" s="277"/>
      <c r="EU338" s="281"/>
      <c r="EV338" s="277"/>
      <c r="EW338" s="281"/>
      <c r="EX338" s="277"/>
      <c r="EY338" s="281"/>
      <c r="EZ338" s="277"/>
      <c r="FA338" s="281"/>
      <c r="FB338" s="277"/>
      <c r="FC338" s="281"/>
      <c r="FD338" s="277"/>
      <c r="FE338" s="281"/>
      <c r="FF338" s="277"/>
      <c r="FG338" s="281"/>
      <c r="FH338" s="277"/>
      <c r="FI338" s="281"/>
      <c r="FJ338" s="277"/>
      <c r="FK338" s="50">
        <f t="shared" si="158"/>
        <v>0</v>
      </c>
      <c r="FL338" s="63">
        <f t="shared" si="159"/>
        <v>0</v>
      </c>
      <c r="FM338" s="50">
        <f t="shared" si="141"/>
        <v>3336</v>
      </c>
      <c r="FN338" s="360">
        <f t="shared" si="142"/>
        <v>3573</v>
      </c>
      <c r="FO338" s="3"/>
      <c r="FP338" s="279"/>
      <c r="FQ338" s="52"/>
      <c r="FR338" s="296"/>
      <c r="FS338" s="98"/>
      <c r="FT338" s="467"/>
      <c r="FU338" s="52"/>
      <c r="FV338" s="296"/>
      <c r="FW338" s="98"/>
      <c r="FX338" s="467"/>
      <c r="FY338" s="52"/>
      <c r="FZ338" s="296"/>
      <c r="GA338" s="98"/>
      <c r="GB338" s="467"/>
      <c r="GC338" s="52"/>
      <c r="GD338" s="296"/>
      <c r="GE338" s="98"/>
      <c r="GF338" s="467"/>
      <c r="GG338" s="52"/>
      <c r="GH338" s="296"/>
      <c r="GI338" s="98"/>
      <c r="GJ338" s="467"/>
      <c r="GK338" s="52"/>
      <c r="GL338" s="296"/>
      <c r="GM338" s="464"/>
      <c r="GN338" s="467"/>
      <c r="GO338" s="52"/>
      <c r="GP338" s="296"/>
      <c r="GQ338" s="464"/>
      <c r="GR338" s="467"/>
      <c r="GS338" s="52"/>
      <c r="GT338" s="296"/>
      <c r="GU338" s="464"/>
      <c r="GV338" s="467"/>
      <c r="GW338" s="52"/>
      <c r="GX338" s="296"/>
      <c r="GY338" s="464"/>
      <c r="GZ338" s="467"/>
      <c r="HA338" s="52"/>
      <c r="HB338" s="296"/>
      <c r="HC338" s="3"/>
    </row>
    <row r="339" spans="1:211" s="86" customFormat="1">
      <c r="A339" s="520" t="s">
        <v>984</v>
      </c>
      <c r="B339" s="322" t="s">
        <v>18</v>
      </c>
      <c r="C339" s="321">
        <v>198464</v>
      </c>
      <c r="D339" s="353">
        <v>3</v>
      </c>
      <c r="E339" s="460"/>
      <c r="F339" s="277"/>
      <c r="G339" s="158"/>
      <c r="H339" s="277"/>
      <c r="I339" s="158"/>
      <c r="J339" s="277"/>
      <c r="K339" s="160">
        <f t="shared" si="143"/>
        <v>0</v>
      </c>
      <c r="L339" s="161">
        <f t="shared" si="136"/>
        <v>0</v>
      </c>
      <c r="M339" s="323">
        <v>3472</v>
      </c>
      <c r="N339" s="55"/>
      <c r="O339" s="55">
        <v>481</v>
      </c>
      <c r="P339" s="55"/>
      <c r="Q339" s="162">
        <f t="shared" si="144"/>
        <v>481</v>
      </c>
      <c r="R339" s="277">
        <v>3606</v>
      </c>
      <c r="S339" s="277"/>
      <c r="T339" s="277">
        <v>475</v>
      </c>
      <c r="U339" s="277"/>
      <c r="V339" s="97">
        <f t="shared" si="145"/>
        <v>475</v>
      </c>
      <c r="W339" s="279"/>
      <c r="X339" s="52"/>
      <c r="Y339" s="99"/>
      <c r="Z339" s="53"/>
      <c r="AA339" s="228"/>
      <c r="AB339" s="52"/>
      <c r="AC339" s="99"/>
      <c r="AD339" s="53"/>
      <c r="AE339" s="228"/>
      <c r="AF339" s="52"/>
      <c r="AG339" s="99"/>
      <c r="AH339" s="53"/>
      <c r="AI339" s="228"/>
      <c r="AJ339" s="52"/>
      <c r="AK339" s="99"/>
      <c r="AL339" s="53"/>
      <c r="AM339" s="228"/>
      <c r="AN339" s="52"/>
      <c r="AO339" s="99"/>
      <c r="AP339" s="53"/>
      <c r="AQ339" s="50">
        <f t="shared" si="137"/>
        <v>0</v>
      </c>
      <c r="AR339" s="163">
        <f t="shared" si="138"/>
        <v>0.69315232581353559</v>
      </c>
      <c r="AS339" s="97">
        <f t="shared" si="139"/>
        <v>0</v>
      </c>
      <c r="AT339" s="278">
        <f t="shared" si="140"/>
        <v>0.68127715851124127</v>
      </c>
      <c r="AU339" s="324">
        <v>4</v>
      </c>
      <c r="AV339" s="277">
        <v>14</v>
      </c>
      <c r="AW339" s="279">
        <v>13</v>
      </c>
      <c r="AX339" s="52">
        <v>438</v>
      </c>
      <c r="AY339" s="105">
        <v>13</v>
      </c>
      <c r="AZ339" s="98">
        <v>499</v>
      </c>
      <c r="BA339" s="279">
        <v>51</v>
      </c>
      <c r="BB339" s="52">
        <v>274</v>
      </c>
      <c r="BC339" s="105">
        <v>51</v>
      </c>
      <c r="BD339" s="98">
        <v>344</v>
      </c>
      <c r="BE339" s="279">
        <v>52</v>
      </c>
      <c r="BF339" s="52">
        <v>172</v>
      </c>
      <c r="BG339" s="105">
        <v>52</v>
      </c>
      <c r="BH339" s="98">
        <v>187</v>
      </c>
      <c r="BI339" s="279">
        <v>44</v>
      </c>
      <c r="BJ339" s="52">
        <v>90</v>
      </c>
      <c r="BK339" s="105">
        <v>25</v>
      </c>
      <c r="BL339" s="98">
        <v>103</v>
      </c>
      <c r="BM339" s="279">
        <v>25</v>
      </c>
      <c r="BN339" s="52">
        <v>83</v>
      </c>
      <c r="BO339" s="105">
        <v>44</v>
      </c>
      <c r="BP339" s="98">
        <v>90</v>
      </c>
      <c r="BQ339" s="279">
        <v>23</v>
      </c>
      <c r="BR339" s="52">
        <v>48</v>
      </c>
      <c r="BS339" s="105">
        <v>15</v>
      </c>
      <c r="BT339" s="98">
        <v>52</v>
      </c>
      <c r="BU339" s="279">
        <v>31</v>
      </c>
      <c r="BV339" s="52">
        <v>39</v>
      </c>
      <c r="BW339" s="105">
        <v>23</v>
      </c>
      <c r="BX339" s="98">
        <v>37</v>
      </c>
      <c r="BY339" s="279">
        <v>15</v>
      </c>
      <c r="BZ339" s="52">
        <v>36</v>
      </c>
      <c r="CA339" s="105">
        <v>42</v>
      </c>
      <c r="CB339" s="98">
        <v>35</v>
      </c>
      <c r="CC339" s="279">
        <v>42</v>
      </c>
      <c r="CD339" s="52">
        <v>33</v>
      </c>
      <c r="CE339" s="105">
        <v>45</v>
      </c>
      <c r="CF339" s="98">
        <v>30</v>
      </c>
      <c r="CG339" s="279">
        <v>50</v>
      </c>
      <c r="CH339" s="52">
        <v>31</v>
      </c>
      <c r="CI339" s="105">
        <v>31</v>
      </c>
      <c r="CJ339" s="98">
        <v>29</v>
      </c>
      <c r="CK339" s="281"/>
      <c r="CL339" s="277"/>
      <c r="CM339" s="159">
        <v>160</v>
      </c>
      <c r="CN339" s="277">
        <v>132</v>
      </c>
      <c r="CO339" s="50">
        <f t="shared" si="146"/>
        <v>1404</v>
      </c>
      <c r="CP339" s="103">
        <f t="shared" si="147"/>
        <v>10</v>
      </c>
      <c r="CQ339" s="280">
        <f t="shared" si="148"/>
        <v>1538</v>
      </c>
      <c r="CR339" s="63">
        <f t="shared" si="149"/>
        <v>10</v>
      </c>
      <c r="CS339" s="279">
        <v>51</v>
      </c>
      <c r="CT339" s="52">
        <v>30</v>
      </c>
      <c r="CU339" s="105">
        <v>51</v>
      </c>
      <c r="CV339" s="98">
        <v>40</v>
      </c>
      <c r="CW339" s="279">
        <v>13</v>
      </c>
      <c r="CX339" s="52">
        <v>20</v>
      </c>
      <c r="CY339" s="105">
        <v>26</v>
      </c>
      <c r="CZ339" s="98">
        <v>15</v>
      </c>
      <c r="DA339" s="279">
        <v>26</v>
      </c>
      <c r="DB339" s="52">
        <v>5</v>
      </c>
      <c r="DC339" s="105">
        <v>13</v>
      </c>
      <c r="DD339" s="98">
        <v>8</v>
      </c>
      <c r="DE339" s="279">
        <v>30</v>
      </c>
      <c r="DF339" s="52">
        <v>2</v>
      </c>
      <c r="DG339" s="105">
        <v>30</v>
      </c>
      <c r="DH339" s="98">
        <v>7</v>
      </c>
      <c r="DI339" s="279"/>
      <c r="DJ339" s="52"/>
      <c r="DK339" s="105"/>
      <c r="DL339" s="98"/>
      <c r="DM339" s="279"/>
      <c r="DN339" s="52"/>
      <c r="DO339" s="105"/>
      <c r="DP339" s="98"/>
      <c r="DQ339" s="279"/>
      <c r="DR339" s="52"/>
      <c r="DS339" s="105"/>
      <c r="DT339" s="98"/>
      <c r="DU339" s="279"/>
      <c r="DV339" s="52"/>
      <c r="DW339" s="105"/>
      <c r="DX339" s="98"/>
      <c r="DY339" s="279"/>
      <c r="DZ339" s="52"/>
      <c r="EA339" s="105"/>
      <c r="EB339" s="98"/>
      <c r="EC339" s="279"/>
      <c r="ED339" s="52"/>
      <c r="EE339" s="105"/>
      <c r="EF339" s="98"/>
      <c r="EG339" s="159"/>
      <c r="EH339" s="277"/>
      <c r="EI339" s="50">
        <f t="shared" si="150"/>
        <v>57</v>
      </c>
      <c r="EJ339" s="103">
        <f t="shared" si="151"/>
        <v>4</v>
      </c>
      <c r="EK339" s="164">
        <f t="shared" si="152"/>
        <v>0.52631578947368418</v>
      </c>
      <c r="EL339" s="280">
        <f t="shared" si="153"/>
        <v>70</v>
      </c>
      <c r="EM339" s="63">
        <f t="shared" si="154"/>
        <v>4</v>
      </c>
      <c r="EN339" s="359">
        <f t="shared" si="155"/>
        <v>0.5714285714285714</v>
      </c>
      <c r="EO339" s="51">
        <f t="shared" si="156"/>
        <v>1461</v>
      </c>
      <c r="EP339" s="361">
        <f t="shared" si="157"/>
        <v>1608</v>
      </c>
      <c r="EQ339" s="281"/>
      <c r="ER339" s="277"/>
      <c r="ES339" s="281">
        <v>72</v>
      </c>
      <c r="ET339" s="277">
        <v>65</v>
      </c>
      <c r="EU339" s="281"/>
      <c r="EV339" s="277"/>
      <c r="EW339" s="281"/>
      <c r="EX339" s="277"/>
      <c r="EY339" s="281"/>
      <c r="EZ339" s="277"/>
      <c r="FA339" s="281"/>
      <c r="FB339" s="277"/>
      <c r="FC339" s="281"/>
      <c r="FD339" s="277"/>
      <c r="FE339" s="281"/>
      <c r="FF339" s="277"/>
      <c r="FG339" s="281"/>
      <c r="FH339" s="277"/>
      <c r="FI339" s="281"/>
      <c r="FJ339" s="277"/>
      <c r="FK339" s="50">
        <f t="shared" si="158"/>
        <v>72</v>
      </c>
      <c r="FL339" s="63">
        <f t="shared" si="159"/>
        <v>65</v>
      </c>
      <c r="FM339" s="50">
        <f t="shared" si="141"/>
        <v>5009</v>
      </c>
      <c r="FN339" s="360">
        <f t="shared" si="142"/>
        <v>5293</v>
      </c>
      <c r="FO339" s="3"/>
      <c r="FP339" s="279"/>
      <c r="FQ339" s="52"/>
      <c r="FR339" s="296"/>
      <c r="FS339" s="98"/>
      <c r="FT339" s="467"/>
      <c r="FU339" s="52"/>
      <c r="FV339" s="296"/>
      <c r="FW339" s="98"/>
      <c r="FX339" s="467"/>
      <c r="FY339" s="52"/>
      <c r="FZ339" s="296"/>
      <c r="GA339" s="98"/>
      <c r="GB339" s="467"/>
      <c r="GC339" s="52"/>
      <c r="GD339" s="296"/>
      <c r="GE339" s="98"/>
      <c r="GF339" s="467"/>
      <c r="GG339" s="52"/>
      <c r="GH339" s="296"/>
      <c r="GI339" s="98"/>
      <c r="GJ339" s="467"/>
      <c r="GK339" s="52"/>
      <c r="GL339" s="296"/>
      <c r="GM339" s="464"/>
      <c r="GN339" s="467"/>
      <c r="GO339" s="52"/>
      <c r="GP339" s="296"/>
      <c r="GQ339" s="464"/>
      <c r="GR339" s="467"/>
      <c r="GS339" s="52"/>
      <c r="GT339" s="296"/>
      <c r="GU339" s="464"/>
      <c r="GV339" s="467"/>
      <c r="GW339" s="52"/>
      <c r="GX339" s="296"/>
      <c r="GY339" s="464"/>
      <c r="GZ339" s="467"/>
      <c r="HA339" s="52"/>
      <c r="HB339" s="296"/>
      <c r="HC339" s="3"/>
    </row>
    <row r="340" spans="1:211" s="86" customFormat="1">
      <c r="A340" s="520" t="s">
        <v>984</v>
      </c>
      <c r="B340" s="322" t="s">
        <v>425</v>
      </c>
      <c r="C340" s="321">
        <v>199102</v>
      </c>
      <c r="D340" s="353">
        <v>3</v>
      </c>
      <c r="E340" s="460"/>
      <c r="F340" s="277"/>
      <c r="G340" s="158"/>
      <c r="H340" s="277"/>
      <c r="I340" s="158"/>
      <c r="J340" s="277"/>
      <c r="K340" s="160">
        <f t="shared" si="143"/>
        <v>0</v>
      </c>
      <c r="L340" s="161">
        <f t="shared" si="136"/>
        <v>0</v>
      </c>
      <c r="M340" s="54">
        <v>1172</v>
      </c>
      <c r="N340" s="55"/>
      <c r="O340" s="55">
        <v>37</v>
      </c>
      <c r="P340" s="55"/>
      <c r="Q340" s="162">
        <f t="shared" si="144"/>
        <v>37</v>
      </c>
      <c r="R340" s="277">
        <v>1372</v>
      </c>
      <c r="S340" s="277"/>
      <c r="T340" s="277">
        <v>34</v>
      </c>
      <c r="U340" s="277"/>
      <c r="V340" s="97">
        <f t="shared" si="145"/>
        <v>34</v>
      </c>
      <c r="W340" s="279"/>
      <c r="X340" s="52"/>
      <c r="Y340" s="99"/>
      <c r="Z340" s="53"/>
      <c r="AA340" s="228"/>
      <c r="AB340" s="52"/>
      <c r="AC340" s="99"/>
      <c r="AD340" s="53"/>
      <c r="AE340" s="228"/>
      <c r="AF340" s="52"/>
      <c r="AG340" s="99"/>
      <c r="AH340" s="53"/>
      <c r="AI340" s="228"/>
      <c r="AJ340" s="52"/>
      <c r="AK340" s="99"/>
      <c r="AL340" s="53"/>
      <c r="AM340" s="228"/>
      <c r="AN340" s="52"/>
      <c r="AO340" s="99"/>
      <c r="AP340" s="53"/>
      <c r="AQ340" s="50">
        <f t="shared" si="137"/>
        <v>0</v>
      </c>
      <c r="AR340" s="163">
        <f t="shared" si="138"/>
        <v>0.71419865935405236</v>
      </c>
      <c r="AS340" s="97">
        <f t="shared" si="139"/>
        <v>0</v>
      </c>
      <c r="AT340" s="278">
        <f t="shared" si="140"/>
        <v>0.7699214365881033</v>
      </c>
      <c r="AU340" s="55"/>
      <c r="AV340" s="277"/>
      <c r="AW340" s="279">
        <v>13</v>
      </c>
      <c r="AX340" s="52">
        <v>182</v>
      </c>
      <c r="AY340" s="105">
        <v>13</v>
      </c>
      <c r="AZ340" s="98">
        <v>227</v>
      </c>
      <c r="BA340" s="279">
        <v>14</v>
      </c>
      <c r="BB340" s="52">
        <v>69</v>
      </c>
      <c r="BC340" s="105">
        <v>14</v>
      </c>
      <c r="BD340" s="98">
        <v>65</v>
      </c>
      <c r="BE340" s="279">
        <v>44</v>
      </c>
      <c r="BF340" s="52">
        <v>56</v>
      </c>
      <c r="BG340" s="105">
        <v>15</v>
      </c>
      <c r="BH340" s="98">
        <v>32</v>
      </c>
      <c r="BI340" s="279">
        <v>15</v>
      </c>
      <c r="BJ340" s="52">
        <v>35</v>
      </c>
      <c r="BK340" s="105">
        <v>1</v>
      </c>
      <c r="BL340" s="98">
        <v>14</v>
      </c>
      <c r="BM340" s="279">
        <v>11</v>
      </c>
      <c r="BN340" s="52">
        <v>29</v>
      </c>
      <c r="BO340" s="105">
        <v>11</v>
      </c>
      <c r="BP340" s="98">
        <v>11</v>
      </c>
      <c r="BQ340" s="279">
        <v>1</v>
      </c>
      <c r="BR340" s="52">
        <v>15</v>
      </c>
      <c r="BS340" s="105">
        <v>52</v>
      </c>
      <c r="BT340" s="98">
        <v>10</v>
      </c>
      <c r="BU340" s="279">
        <v>52</v>
      </c>
      <c r="BV340" s="52">
        <v>12</v>
      </c>
      <c r="BW340" s="105">
        <v>23</v>
      </c>
      <c r="BX340" s="98">
        <v>6</v>
      </c>
      <c r="BY340" s="279">
        <v>19</v>
      </c>
      <c r="BZ340" s="52">
        <v>11</v>
      </c>
      <c r="CA340" s="105">
        <v>40</v>
      </c>
      <c r="CB340" s="98">
        <v>6</v>
      </c>
      <c r="CC340" s="279">
        <v>23</v>
      </c>
      <c r="CD340" s="52">
        <v>10</v>
      </c>
      <c r="CE340" s="105">
        <v>19</v>
      </c>
      <c r="CF340" s="98">
        <v>3</v>
      </c>
      <c r="CG340" s="279">
        <v>26</v>
      </c>
      <c r="CH340" s="52">
        <v>8</v>
      </c>
      <c r="CI340" s="105">
        <v>26</v>
      </c>
      <c r="CJ340" s="98">
        <v>2</v>
      </c>
      <c r="CK340" s="281"/>
      <c r="CL340" s="277"/>
      <c r="CM340" s="159">
        <v>10</v>
      </c>
      <c r="CN340" s="277">
        <v>1</v>
      </c>
      <c r="CO340" s="50">
        <f t="shared" si="146"/>
        <v>437</v>
      </c>
      <c r="CP340" s="103">
        <f t="shared" si="147"/>
        <v>10</v>
      </c>
      <c r="CQ340" s="280">
        <f t="shared" si="148"/>
        <v>377</v>
      </c>
      <c r="CR340" s="63">
        <f t="shared" si="149"/>
        <v>10</v>
      </c>
      <c r="CS340" s="279">
        <v>14</v>
      </c>
      <c r="CT340" s="52">
        <v>22</v>
      </c>
      <c r="CU340" s="105">
        <v>30</v>
      </c>
      <c r="CV340" s="98">
        <v>18</v>
      </c>
      <c r="CW340" s="279">
        <v>30</v>
      </c>
      <c r="CX340" s="52">
        <v>10</v>
      </c>
      <c r="CY340" s="105">
        <v>14</v>
      </c>
      <c r="CZ340" s="98">
        <v>15</v>
      </c>
      <c r="DA340" s="279"/>
      <c r="DB340" s="52"/>
      <c r="DC340" s="105"/>
      <c r="DD340" s="98"/>
      <c r="DE340" s="279"/>
      <c r="DF340" s="52"/>
      <c r="DG340" s="105"/>
      <c r="DH340" s="98"/>
      <c r="DI340" s="279"/>
      <c r="DJ340" s="52"/>
      <c r="DK340" s="105"/>
      <c r="DL340" s="98"/>
      <c r="DM340" s="279"/>
      <c r="DN340" s="52"/>
      <c r="DO340" s="105"/>
      <c r="DP340" s="98"/>
      <c r="DQ340" s="279"/>
      <c r="DR340" s="52"/>
      <c r="DS340" s="105"/>
      <c r="DT340" s="98"/>
      <c r="DU340" s="279"/>
      <c r="DV340" s="52"/>
      <c r="DW340" s="105"/>
      <c r="DX340" s="98"/>
      <c r="DY340" s="279"/>
      <c r="DZ340" s="52"/>
      <c r="EA340" s="105"/>
      <c r="EB340" s="98"/>
      <c r="EC340" s="279"/>
      <c r="ED340" s="52"/>
      <c r="EE340" s="105"/>
      <c r="EF340" s="98"/>
      <c r="EG340" s="159"/>
      <c r="EH340" s="277"/>
      <c r="EI340" s="50">
        <f t="shared" si="150"/>
        <v>32</v>
      </c>
      <c r="EJ340" s="103">
        <f t="shared" si="151"/>
        <v>2</v>
      </c>
      <c r="EK340" s="164">
        <f t="shared" si="152"/>
        <v>0.6875</v>
      </c>
      <c r="EL340" s="280">
        <f t="shared" si="153"/>
        <v>33</v>
      </c>
      <c r="EM340" s="63">
        <f t="shared" si="154"/>
        <v>2</v>
      </c>
      <c r="EN340" s="359">
        <f t="shared" si="155"/>
        <v>0.54545454545454541</v>
      </c>
      <c r="EO340" s="51">
        <f t="shared" si="156"/>
        <v>469</v>
      </c>
      <c r="EP340" s="361">
        <f t="shared" si="157"/>
        <v>410</v>
      </c>
      <c r="EQ340" s="281"/>
      <c r="ER340" s="277"/>
      <c r="ES340" s="281"/>
      <c r="ET340" s="277"/>
      <c r="EU340" s="281"/>
      <c r="EV340" s="277"/>
      <c r="EW340" s="281"/>
      <c r="EX340" s="277"/>
      <c r="EY340" s="281"/>
      <c r="EZ340" s="277"/>
      <c r="FA340" s="281"/>
      <c r="FB340" s="277"/>
      <c r="FC340" s="281"/>
      <c r="FD340" s="277"/>
      <c r="FE340" s="281"/>
      <c r="FF340" s="277"/>
      <c r="FG340" s="281"/>
      <c r="FH340" s="277"/>
      <c r="FI340" s="281"/>
      <c r="FJ340" s="277"/>
      <c r="FK340" s="50">
        <f t="shared" si="158"/>
        <v>0</v>
      </c>
      <c r="FL340" s="63">
        <f t="shared" si="159"/>
        <v>0</v>
      </c>
      <c r="FM340" s="50">
        <f t="shared" si="141"/>
        <v>1641</v>
      </c>
      <c r="FN340" s="360">
        <f t="shared" si="142"/>
        <v>1782</v>
      </c>
      <c r="FO340" s="3"/>
      <c r="FP340" s="279"/>
      <c r="FQ340" s="52"/>
      <c r="FR340" s="296"/>
      <c r="FS340" s="98"/>
      <c r="FT340" s="467"/>
      <c r="FU340" s="52"/>
      <c r="FV340" s="296"/>
      <c r="FW340" s="98"/>
      <c r="FX340" s="467"/>
      <c r="FY340" s="52"/>
      <c r="FZ340" s="296"/>
      <c r="GA340" s="98"/>
      <c r="GB340" s="467"/>
      <c r="GC340" s="52"/>
      <c r="GD340" s="296"/>
      <c r="GE340" s="98"/>
      <c r="GF340" s="467"/>
      <c r="GG340" s="52"/>
      <c r="GH340" s="296"/>
      <c r="GI340" s="98"/>
      <c r="GJ340" s="467"/>
      <c r="GK340" s="52"/>
      <c r="GL340" s="296"/>
      <c r="GM340" s="464"/>
      <c r="GN340" s="467"/>
      <c r="GO340" s="52"/>
      <c r="GP340" s="296"/>
      <c r="GQ340" s="464"/>
      <c r="GR340" s="467"/>
      <c r="GS340" s="52"/>
      <c r="GT340" s="296"/>
      <c r="GU340" s="464"/>
      <c r="GV340" s="467"/>
      <c r="GW340" s="52"/>
      <c r="GX340" s="296"/>
      <c r="GY340" s="464"/>
      <c r="GZ340" s="467"/>
      <c r="HA340" s="52"/>
      <c r="HB340" s="296"/>
      <c r="HC340" s="3"/>
    </row>
    <row r="341" spans="1:211" s="86" customFormat="1">
      <c r="A341" s="520" t="s">
        <v>984</v>
      </c>
      <c r="B341" s="322" t="s">
        <v>19</v>
      </c>
      <c r="C341" s="321">
        <v>199157</v>
      </c>
      <c r="D341" s="353">
        <v>3</v>
      </c>
      <c r="E341" s="460"/>
      <c r="F341" s="277"/>
      <c r="G341" s="158"/>
      <c r="H341" s="277"/>
      <c r="I341" s="158"/>
      <c r="J341" s="277"/>
      <c r="K341" s="160">
        <f t="shared" si="143"/>
        <v>0</v>
      </c>
      <c r="L341" s="161">
        <f t="shared" si="136"/>
        <v>0</v>
      </c>
      <c r="M341" s="54">
        <v>854</v>
      </c>
      <c r="N341" s="55"/>
      <c r="O341" s="55">
        <v>81</v>
      </c>
      <c r="P341" s="55"/>
      <c r="Q341" s="162">
        <f t="shared" si="144"/>
        <v>81</v>
      </c>
      <c r="R341" s="277">
        <v>809</v>
      </c>
      <c r="S341" s="277"/>
      <c r="T341" s="277">
        <v>34</v>
      </c>
      <c r="U341" s="277"/>
      <c r="V341" s="97">
        <f t="shared" si="145"/>
        <v>34</v>
      </c>
      <c r="W341" s="279"/>
      <c r="X341" s="52"/>
      <c r="Y341" s="99"/>
      <c r="Z341" s="53"/>
      <c r="AA341" s="228"/>
      <c r="AB341" s="52"/>
      <c r="AC341" s="99"/>
      <c r="AD341" s="53"/>
      <c r="AE341" s="228"/>
      <c r="AF341" s="52"/>
      <c r="AG341" s="99"/>
      <c r="AH341" s="53"/>
      <c r="AI341" s="228"/>
      <c r="AJ341" s="52"/>
      <c r="AK341" s="99"/>
      <c r="AL341" s="53"/>
      <c r="AM341" s="228"/>
      <c r="AN341" s="52"/>
      <c r="AO341" s="99"/>
      <c r="AP341" s="53"/>
      <c r="AQ341" s="50">
        <f t="shared" si="137"/>
        <v>0</v>
      </c>
      <c r="AR341" s="163">
        <f t="shared" si="138"/>
        <v>0.61660649819494584</v>
      </c>
      <c r="AS341" s="97">
        <f t="shared" si="139"/>
        <v>0</v>
      </c>
      <c r="AT341" s="278">
        <f t="shared" si="140"/>
        <v>0.58922068463219224</v>
      </c>
      <c r="AU341" s="55"/>
      <c r="AV341" s="277"/>
      <c r="AW341" s="279">
        <v>13</v>
      </c>
      <c r="AX341" s="52">
        <v>103</v>
      </c>
      <c r="AY341" s="105">
        <v>13</v>
      </c>
      <c r="AZ341" s="98">
        <v>95</v>
      </c>
      <c r="BA341" s="279">
        <v>25</v>
      </c>
      <c r="BB341" s="52">
        <v>82</v>
      </c>
      <c r="BC341" s="105">
        <v>25</v>
      </c>
      <c r="BD341" s="98">
        <v>83</v>
      </c>
      <c r="BE341" s="279">
        <v>44</v>
      </c>
      <c r="BF341" s="52">
        <v>66</v>
      </c>
      <c r="BG341" s="105">
        <v>44</v>
      </c>
      <c r="BH341" s="98">
        <v>51</v>
      </c>
      <c r="BI341" s="279">
        <v>51</v>
      </c>
      <c r="BJ341" s="52">
        <v>31</v>
      </c>
      <c r="BK341" s="105">
        <v>51</v>
      </c>
      <c r="BL341" s="98">
        <v>34</v>
      </c>
      <c r="BM341" s="279">
        <v>52</v>
      </c>
      <c r="BN341" s="52">
        <v>26</v>
      </c>
      <c r="BO341" s="105">
        <v>11</v>
      </c>
      <c r="BP341" s="98">
        <v>24</v>
      </c>
      <c r="BQ341" s="279">
        <v>11</v>
      </c>
      <c r="BR341" s="52">
        <v>17</v>
      </c>
      <c r="BS341" s="105">
        <v>52</v>
      </c>
      <c r="BT341" s="98">
        <v>23</v>
      </c>
      <c r="BU341" s="279">
        <v>42</v>
      </c>
      <c r="BV341" s="52">
        <v>13</v>
      </c>
      <c r="BW341" s="105">
        <v>26</v>
      </c>
      <c r="BX341" s="98">
        <v>12</v>
      </c>
      <c r="BY341" s="279">
        <v>43</v>
      </c>
      <c r="BZ341" s="52">
        <v>13</v>
      </c>
      <c r="CA341" s="105">
        <v>43</v>
      </c>
      <c r="CB341" s="98">
        <v>11</v>
      </c>
      <c r="CC341" s="279">
        <v>40</v>
      </c>
      <c r="CD341" s="52">
        <v>10</v>
      </c>
      <c r="CE341" s="105">
        <v>40</v>
      </c>
      <c r="CF341" s="98">
        <v>8</v>
      </c>
      <c r="CG341" s="279">
        <v>31</v>
      </c>
      <c r="CH341" s="52">
        <v>9</v>
      </c>
      <c r="CI341" s="105">
        <v>54</v>
      </c>
      <c r="CJ341" s="98">
        <v>7</v>
      </c>
      <c r="CK341" s="281"/>
      <c r="CL341" s="277"/>
      <c r="CM341" s="159">
        <v>20</v>
      </c>
      <c r="CN341" s="277">
        <v>25</v>
      </c>
      <c r="CO341" s="50">
        <f t="shared" si="146"/>
        <v>390</v>
      </c>
      <c r="CP341" s="103">
        <f t="shared" si="147"/>
        <v>10</v>
      </c>
      <c r="CQ341" s="280">
        <f t="shared" si="148"/>
        <v>373</v>
      </c>
      <c r="CR341" s="63">
        <f t="shared" si="149"/>
        <v>10</v>
      </c>
      <c r="CS341" s="279"/>
      <c r="CT341" s="52"/>
      <c r="CU341" s="105"/>
      <c r="CV341" s="98"/>
      <c r="CW341" s="279"/>
      <c r="CX341" s="52"/>
      <c r="CY341" s="105"/>
      <c r="CZ341" s="98"/>
      <c r="DA341" s="279"/>
      <c r="DB341" s="52"/>
      <c r="DC341" s="105"/>
      <c r="DD341" s="98"/>
      <c r="DE341" s="279"/>
      <c r="DF341" s="52"/>
      <c r="DG341" s="105"/>
      <c r="DH341" s="98"/>
      <c r="DI341" s="279"/>
      <c r="DJ341" s="52"/>
      <c r="DK341" s="105"/>
      <c r="DL341" s="98"/>
      <c r="DM341" s="279"/>
      <c r="DN341" s="52"/>
      <c r="DO341" s="105"/>
      <c r="DP341" s="98"/>
      <c r="DQ341" s="279"/>
      <c r="DR341" s="52"/>
      <c r="DS341" s="105"/>
      <c r="DT341" s="98"/>
      <c r="DU341" s="279"/>
      <c r="DV341" s="52"/>
      <c r="DW341" s="105"/>
      <c r="DX341" s="98"/>
      <c r="DY341" s="279"/>
      <c r="DZ341" s="52"/>
      <c r="EA341" s="105"/>
      <c r="EB341" s="98"/>
      <c r="EC341" s="279"/>
      <c r="ED341" s="52"/>
      <c r="EE341" s="105"/>
      <c r="EF341" s="98"/>
      <c r="EG341" s="159"/>
      <c r="EH341" s="277"/>
      <c r="EI341" s="50">
        <f t="shared" si="150"/>
        <v>0</v>
      </c>
      <c r="EJ341" s="103">
        <f t="shared" si="151"/>
        <v>0</v>
      </c>
      <c r="EK341" s="164">
        <f t="shared" si="152"/>
        <v>0</v>
      </c>
      <c r="EL341" s="280">
        <f t="shared" si="153"/>
        <v>0</v>
      </c>
      <c r="EM341" s="63">
        <f t="shared" si="154"/>
        <v>0</v>
      </c>
      <c r="EN341" s="359">
        <f t="shared" si="155"/>
        <v>0</v>
      </c>
      <c r="EO341" s="51">
        <f t="shared" si="156"/>
        <v>390</v>
      </c>
      <c r="EP341" s="361">
        <f t="shared" si="157"/>
        <v>373</v>
      </c>
      <c r="EQ341" s="281">
        <v>141</v>
      </c>
      <c r="ER341" s="277">
        <v>191</v>
      </c>
      <c r="ES341" s="281"/>
      <c r="ET341" s="277"/>
      <c r="EU341" s="281"/>
      <c r="EV341" s="277"/>
      <c r="EW341" s="281"/>
      <c r="EX341" s="277"/>
      <c r="EY341" s="281"/>
      <c r="EZ341" s="277"/>
      <c r="FA341" s="281"/>
      <c r="FB341" s="277"/>
      <c r="FC341" s="281"/>
      <c r="FD341" s="277"/>
      <c r="FE341" s="281"/>
      <c r="FF341" s="277"/>
      <c r="FG341" s="281"/>
      <c r="FH341" s="277"/>
      <c r="FI341" s="281"/>
      <c r="FJ341" s="277"/>
      <c r="FK341" s="50">
        <f t="shared" si="158"/>
        <v>141</v>
      </c>
      <c r="FL341" s="63">
        <f t="shared" si="159"/>
        <v>191</v>
      </c>
      <c r="FM341" s="50">
        <f t="shared" si="141"/>
        <v>1385</v>
      </c>
      <c r="FN341" s="360">
        <f t="shared" si="142"/>
        <v>1373</v>
      </c>
      <c r="FO341" s="3"/>
      <c r="FP341" s="279"/>
      <c r="FQ341" s="52"/>
      <c r="FR341" s="296"/>
      <c r="FS341" s="98"/>
      <c r="FT341" s="467"/>
      <c r="FU341" s="52"/>
      <c r="FV341" s="296"/>
      <c r="FW341" s="98"/>
      <c r="FX341" s="467"/>
      <c r="FY341" s="52"/>
      <c r="FZ341" s="296"/>
      <c r="GA341" s="98"/>
      <c r="GB341" s="467"/>
      <c r="GC341" s="52"/>
      <c r="GD341" s="296"/>
      <c r="GE341" s="98"/>
      <c r="GF341" s="467"/>
      <c r="GG341" s="52"/>
      <c r="GH341" s="296"/>
      <c r="GI341" s="98"/>
      <c r="GJ341" s="467"/>
      <c r="GK341" s="52"/>
      <c r="GL341" s="296"/>
      <c r="GM341" s="464"/>
      <c r="GN341" s="467"/>
      <c r="GO341" s="52"/>
      <c r="GP341" s="296"/>
      <c r="GQ341" s="464"/>
      <c r="GR341" s="467"/>
      <c r="GS341" s="52"/>
      <c r="GT341" s="296"/>
      <c r="GU341" s="464"/>
      <c r="GV341" s="467"/>
      <c r="GW341" s="52"/>
      <c r="GX341" s="296"/>
      <c r="GY341" s="464"/>
      <c r="GZ341" s="467"/>
      <c r="HA341" s="52"/>
      <c r="HB341" s="296"/>
      <c r="HC341" s="3"/>
    </row>
    <row r="342" spans="1:211" s="86" customFormat="1">
      <c r="A342" s="520" t="s">
        <v>984</v>
      </c>
      <c r="B342" s="322" t="s">
        <v>21</v>
      </c>
      <c r="C342" s="321">
        <v>199218</v>
      </c>
      <c r="D342" s="353">
        <v>3</v>
      </c>
      <c r="E342" s="460"/>
      <c r="F342" s="277"/>
      <c r="G342" s="158"/>
      <c r="H342" s="277"/>
      <c r="I342" s="158"/>
      <c r="J342" s="277"/>
      <c r="K342" s="160">
        <f t="shared" si="143"/>
        <v>0</v>
      </c>
      <c r="L342" s="161">
        <f t="shared" si="136"/>
        <v>0</v>
      </c>
      <c r="M342" s="54">
        <v>2457</v>
      </c>
      <c r="N342" s="55"/>
      <c r="O342" s="55">
        <v>250</v>
      </c>
      <c r="P342" s="55"/>
      <c r="Q342" s="162">
        <f t="shared" si="144"/>
        <v>250</v>
      </c>
      <c r="R342" s="277">
        <v>2480</v>
      </c>
      <c r="S342" s="277"/>
      <c r="T342" s="277">
        <v>299</v>
      </c>
      <c r="U342" s="277"/>
      <c r="V342" s="97">
        <f t="shared" si="145"/>
        <v>299</v>
      </c>
      <c r="W342" s="279"/>
      <c r="X342" s="52"/>
      <c r="Y342" s="99"/>
      <c r="Z342" s="53"/>
      <c r="AA342" s="228"/>
      <c r="AB342" s="52"/>
      <c r="AC342" s="99"/>
      <c r="AD342" s="53"/>
      <c r="AE342" s="228"/>
      <c r="AF342" s="52"/>
      <c r="AG342" s="99"/>
      <c r="AH342" s="53"/>
      <c r="AI342" s="228"/>
      <c r="AJ342" s="52"/>
      <c r="AK342" s="99"/>
      <c r="AL342" s="53"/>
      <c r="AM342" s="228"/>
      <c r="AN342" s="52"/>
      <c r="AO342" s="99"/>
      <c r="AP342" s="53"/>
      <c r="AQ342" s="50">
        <f t="shared" si="137"/>
        <v>0</v>
      </c>
      <c r="AR342" s="163">
        <f t="shared" si="138"/>
        <v>0.86029411764705888</v>
      </c>
      <c r="AS342" s="97">
        <f t="shared" si="139"/>
        <v>0</v>
      </c>
      <c r="AT342" s="278">
        <f t="shared" si="140"/>
        <v>0.84960602946214459</v>
      </c>
      <c r="AU342" s="55"/>
      <c r="AV342" s="277"/>
      <c r="AW342" s="279">
        <v>52</v>
      </c>
      <c r="AX342" s="52">
        <v>103</v>
      </c>
      <c r="AY342" s="105">
        <v>52</v>
      </c>
      <c r="AZ342" s="98">
        <v>106</v>
      </c>
      <c r="BA342" s="279">
        <v>13</v>
      </c>
      <c r="BB342" s="52">
        <v>100</v>
      </c>
      <c r="BC342" s="105">
        <v>13</v>
      </c>
      <c r="BD342" s="98">
        <v>88</v>
      </c>
      <c r="BE342" s="279">
        <v>44</v>
      </c>
      <c r="BF342" s="52">
        <v>44</v>
      </c>
      <c r="BG342" s="105">
        <v>44</v>
      </c>
      <c r="BH342" s="98">
        <v>58</v>
      </c>
      <c r="BI342" s="279">
        <v>23</v>
      </c>
      <c r="BJ342" s="52">
        <v>36</v>
      </c>
      <c r="BK342" s="105">
        <v>23</v>
      </c>
      <c r="BL342" s="98">
        <v>34</v>
      </c>
      <c r="BM342" s="279">
        <v>40</v>
      </c>
      <c r="BN342" s="52">
        <v>24</v>
      </c>
      <c r="BO342" s="105">
        <v>42</v>
      </c>
      <c r="BP342" s="98">
        <v>30</v>
      </c>
      <c r="BQ342" s="279">
        <v>24</v>
      </c>
      <c r="BR342" s="52">
        <v>22</v>
      </c>
      <c r="BS342" s="105">
        <v>40</v>
      </c>
      <c r="BT342" s="98">
        <v>29</v>
      </c>
      <c r="BU342" s="279">
        <v>26</v>
      </c>
      <c r="BV342" s="52">
        <v>18</v>
      </c>
      <c r="BW342" s="105">
        <v>24</v>
      </c>
      <c r="BX342" s="98">
        <v>20</v>
      </c>
      <c r="BY342" s="279">
        <v>42</v>
      </c>
      <c r="BZ342" s="52">
        <v>17</v>
      </c>
      <c r="CA342" s="105">
        <v>51</v>
      </c>
      <c r="CB342" s="98">
        <v>19</v>
      </c>
      <c r="CC342" s="279">
        <v>27</v>
      </c>
      <c r="CD342" s="52">
        <v>10</v>
      </c>
      <c r="CE342" s="105">
        <v>26</v>
      </c>
      <c r="CF342" s="98">
        <v>12</v>
      </c>
      <c r="CG342" s="279">
        <v>51</v>
      </c>
      <c r="CH342" s="52">
        <v>8</v>
      </c>
      <c r="CI342" s="105">
        <v>54</v>
      </c>
      <c r="CJ342" s="98">
        <v>10</v>
      </c>
      <c r="CK342" s="281"/>
      <c r="CL342" s="277"/>
      <c r="CM342" s="159">
        <v>16</v>
      </c>
      <c r="CN342" s="277">
        <v>29</v>
      </c>
      <c r="CO342" s="50">
        <f t="shared" si="146"/>
        <v>398</v>
      </c>
      <c r="CP342" s="103">
        <f t="shared" si="147"/>
        <v>10</v>
      </c>
      <c r="CQ342" s="280">
        <f t="shared" si="148"/>
        <v>435</v>
      </c>
      <c r="CR342" s="63">
        <f t="shared" si="149"/>
        <v>10</v>
      </c>
      <c r="CS342" s="279">
        <v>26</v>
      </c>
      <c r="CT342" s="52">
        <v>1</v>
      </c>
      <c r="CU342" s="105">
        <v>26</v>
      </c>
      <c r="CV342" s="98">
        <v>4</v>
      </c>
      <c r="CW342" s="279"/>
      <c r="CX342" s="52"/>
      <c r="CY342" s="105"/>
      <c r="CZ342" s="98"/>
      <c r="DA342" s="279"/>
      <c r="DB342" s="52"/>
      <c r="DC342" s="105"/>
      <c r="DD342" s="98"/>
      <c r="DE342" s="279"/>
      <c r="DF342" s="52"/>
      <c r="DG342" s="105"/>
      <c r="DH342" s="98"/>
      <c r="DI342" s="279"/>
      <c r="DJ342" s="52"/>
      <c r="DK342" s="105"/>
      <c r="DL342" s="98"/>
      <c r="DM342" s="279"/>
      <c r="DN342" s="52"/>
      <c r="DO342" s="105"/>
      <c r="DP342" s="98"/>
      <c r="DQ342" s="279"/>
      <c r="DR342" s="52"/>
      <c r="DS342" s="105"/>
      <c r="DT342" s="98"/>
      <c r="DU342" s="279"/>
      <c r="DV342" s="52"/>
      <c r="DW342" s="105"/>
      <c r="DX342" s="98"/>
      <c r="DY342" s="279"/>
      <c r="DZ342" s="52"/>
      <c r="EA342" s="105"/>
      <c r="EB342" s="98"/>
      <c r="EC342" s="279"/>
      <c r="ED342" s="52"/>
      <c r="EE342" s="105"/>
      <c r="EF342" s="98"/>
      <c r="EG342" s="159"/>
      <c r="EH342" s="277"/>
      <c r="EI342" s="50">
        <f t="shared" si="150"/>
        <v>1</v>
      </c>
      <c r="EJ342" s="103">
        <f t="shared" si="151"/>
        <v>1</v>
      </c>
      <c r="EK342" s="164">
        <f t="shared" si="152"/>
        <v>1</v>
      </c>
      <c r="EL342" s="280">
        <f t="shared" si="153"/>
        <v>4</v>
      </c>
      <c r="EM342" s="63">
        <f t="shared" si="154"/>
        <v>1</v>
      </c>
      <c r="EN342" s="359">
        <f t="shared" si="155"/>
        <v>1</v>
      </c>
      <c r="EO342" s="51">
        <f t="shared" si="156"/>
        <v>399</v>
      </c>
      <c r="EP342" s="361">
        <f t="shared" si="157"/>
        <v>439</v>
      </c>
      <c r="EQ342" s="281"/>
      <c r="ER342" s="277"/>
      <c r="ES342" s="281"/>
      <c r="ET342" s="277"/>
      <c r="EU342" s="281"/>
      <c r="EV342" s="277"/>
      <c r="EW342" s="281"/>
      <c r="EX342" s="277"/>
      <c r="EY342" s="281"/>
      <c r="EZ342" s="277"/>
      <c r="FA342" s="281"/>
      <c r="FB342" s="277"/>
      <c r="FC342" s="281"/>
      <c r="FD342" s="277"/>
      <c r="FE342" s="281"/>
      <c r="FF342" s="277"/>
      <c r="FG342" s="281"/>
      <c r="FH342" s="277"/>
      <c r="FI342" s="281"/>
      <c r="FJ342" s="277"/>
      <c r="FK342" s="50">
        <f t="shared" si="158"/>
        <v>0</v>
      </c>
      <c r="FL342" s="63">
        <f t="shared" si="159"/>
        <v>0</v>
      </c>
      <c r="FM342" s="50">
        <f t="shared" si="141"/>
        <v>2856</v>
      </c>
      <c r="FN342" s="360">
        <f t="shared" si="142"/>
        <v>2919</v>
      </c>
      <c r="FO342" s="3"/>
      <c r="FP342" s="279"/>
      <c r="FQ342" s="52"/>
      <c r="FR342" s="296"/>
      <c r="FS342" s="98"/>
      <c r="FT342" s="467"/>
      <c r="FU342" s="52"/>
      <c r="FV342" s="296"/>
      <c r="FW342" s="98"/>
      <c r="FX342" s="467"/>
      <c r="FY342" s="52"/>
      <c r="FZ342" s="296"/>
      <c r="GA342" s="98"/>
      <c r="GB342" s="467"/>
      <c r="GC342" s="52"/>
      <c r="GD342" s="296"/>
      <c r="GE342" s="98"/>
      <c r="GF342" s="467"/>
      <c r="GG342" s="52"/>
      <c r="GH342" s="296"/>
      <c r="GI342" s="98"/>
      <c r="GJ342" s="467"/>
      <c r="GK342" s="52"/>
      <c r="GL342" s="296"/>
      <c r="GM342" s="464"/>
      <c r="GN342" s="467"/>
      <c r="GO342" s="52"/>
      <c r="GP342" s="296"/>
      <c r="GQ342" s="464"/>
      <c r="GR342" s="467"/>
      <c r="GS342" s="52"/>
      <c r="GT342" s="296"/>
      <c r="GU342" s="464"/>
      <c r="GV342" s="467"/>
      <c r="GW342" s="52"/>
      <c r="GX342" s="296"/>
      <c r="GY342" s="464"/>
      <c r="GZ342" s="467"/>
      <c r="HA342" s="52"/>
      <c r="HB342" s="296"/>
      <c r="HC342" s="3"/>
    </row>
    <row r="343" spans="1:211" s="86" customFormat="1">
      <c r="A343" s="520" t="s">
        <v>984</v>
      </c>
      <c r="B343" s="322" t="s">
        <v>22</v>
      </c>
      <c r="C343" s="321">
        <v>200004</v>
      </c>
      <c r="D343" s="353">
        <v>3</v>
      </c>
      <c r="E343" s="460"/>
      <c r="F343" s="277"/>
      <c r="G343" s="158"/>
      <c r="H343" s="277"/>
      <c r="I343" s="158"/>
      <c r="J343" s="277"/>
      <c r="K343" s="160">
        <f t="shared" si="143"/>
        <v>0</v>
      </c>
      <c r="L343" s="161">
        <f t="shared" si="136"/>
        <v>0</v>
      </c>
      <c r="M343" s="54">
        <v>1525</v>
      </c>
      <c r="N343" s="55"/>
      <c r="O343" s="55">
        <v>207</v>
      </c>
      <c r="P343" s="55"/>
      <c r="Q343" s="162">
        <f t="shared" si="144"/>
        <v>207</v>
      </c>
      <c r="R343" s="277">
        <v>1547</v>
      </c>
      <c r="S343" s="277"/>
      <c r="T343" s="277">
        <v>230</v>
      </c>
      <c r="U343" s="277"/>
      <c r="V343" s="97">
        <f t="shared" si="145"/>
        <v>230</v>
      </c>
      <c r="W343" s="279"/>
      <c r="X343" s="52"/>
      <c r="Y343" s="99"/>
      <c r="Z343" s="53"/>
      <c r="AA343" s="228"/>
      <c r="AB343" s="52"/>
      <c r="AC343" s="99"/>
      <c r="AD343" s="53"/>
      <c r="AE343" s="228"/>
      <c r="AF343" s="52"/>
      <c r="AG343" s="99"/>
      <c r="AH343" s="53"/>
      <c r="AI343" s="228"/>
      <c r="AJ343" s="52"/>
      <c r="AK343" s="99"/>
      <c r="AL343" s="53"/>
      <c r="AM343" s="228"/>
      <c r="AN343" s="52"/>
      <c r="AO343" s="99"/>
      <c r="AP343" s="53"/>
      <c r="AQ343" s="50">
        <f t="shared" si="137"/>
        <v>0</v>
      </c>
      <c r="AR343" s="163">
        <f t="shared" si="138"/>
        <v>0.75682382133995041</v>
      </c>
      <c r="AS343" s="97">
        <f t="shared" si="139"/>
        <v>0</v>
      </c>
      <c r="AT343" s="278">
        <f t="shared" si="140"/>
        <v>0.70833333333333337</v>
      </c>
      <c r="AU343" s="55"/>
      <c r="AV343" s="277"/>
      <c r="AW343" s="279">
        <v>13</v>
      </c>
      <c r="AX343" s="52">
        <v>172</v>
      </c>
      <c r="AY343" s="105">
        <v>13</v>
      </c>
      <c r="AZ343" s="98">
        <v>270</v>
      </c>
      <c r="BA343" s="279">
        <v>52</v>
      </c>
      <c r="BB343" s="52">
        <v>116</v>
      </c>
      <c r="BC343" s="105">
        <v>52</v>
      </c>
      <c r="BD343" s="98">
        <v>137</v>
      </c>
      <c r="BE343" s="279">
        <v>51</v>
      </c>
      <c r="BF343" s="52">
        <v>90</v>
      </c>
      <c r="BG343" s="105">
        <v>51</v>
      </c>
      <c r="BH343" s="98">
        <v>87</v>
      </c>
      <c r="BI343" s="279">
        <v>44</v>
      </c>
      <c r="BJ343" s="52">
        <v>21</v>
      </c>
      <c r="BK343" s="105">
        <v>44</v>
      </c>
      <c r="BL343" s="98">
        <v>44</v>
      </c>
      <c r="BM343" s="279">
        <v>42</v>
      </c>
      <c r="BN343" s="52">
        <v>17</v>
      </c>
      <c r="BO343" s="105">
        <v>15</v>
      </c>
      <c r="BP343" s="98">
        <v>20</v>
      </c>
      <c r="BQ343" s="279">
        <v>15</v>
      </c>
      <c r="BR343" s="52">
        <v>15</v>
      </c>
      <c r="BS343" s="105">
        <v>42</v>
      </c>
      <c r="BT343" s="98">
        <v>17</v>
      </c>
      <c r="BU343" s="279">
        <v>23</v>
      </c>
      <c r="BV343" s="52">
        <v>14</v>
      </c>
      <c r="BW343" s="105">
        <v>23</v>
      </c>
      <c r="BX343" s="98">
        <v>12</v>
      </c>
      <c r="BY343" s="279">
        <v>54</v>
      </c>
      <c r="BZ343" s="52">
        <v>10</v>
      </c>
      <c r="CA343" s="105">
        <v>31</v>
      </c>
      <c r="CB343" s="98">
        <v>10</v>
      </c>
      <c r="CC343" s="279">
        <v>50</v>
      </c>
      <c r="CD343" s="52">
        <v>9</v>
      </c>
      <c r="CE343" s="105">
        <v>40</v>
      </c>
      <c r="CF343" s="98">
        <v>10</v>
      </c>
      <c r="CG343" s="279">
        <v>26</v>
      </c>
      <c r="CH343" s="52">
        <v>6</v>
      </c>
      <c r="CI343" s="105">
        <v>26</v>
      </c>
      <c r="CJ343" s="98">
        <v>7</v>
      </c>
      <c r="CK343" s="281"/>
      <c r="CL343" s="277"/>
      <c r="CM343" s="159">
        <v>5</v>
      </c>
      <c r="CN343" s="277">
        <v>11</v>
      </c>
      <c r="CO343" s="50">
        <f t="shared" si="146"/>
        <v>475</v>
      </c>
      <c r="CP343" s="103">
        <f t="shared" si="147"/>
        <v>10</v>
      </c>
      <c r="CQ343" s="280">
        <f t="shared" si="148"/>
        <v>625</v>
      </c>
      <c r="CR343" s="63">
        <f t="shared" si="149"/>
        <v>10</v>
      </c>
      <c r="CS343" s="279">
        <v>13</v>
      </c>
      <c r="CT343" s="52">
        <v>15</v>
      </c>
      <c r="CU343" s="105">
        <v>13</v>
      </c>
      <c r="CV343" s="98">
        <v>12</v>
      </c>
      <c r="CW343" s="279"/>
      <c r="CX343" s="52"/>
      <c r="CY343" s="105"/>
      <c r="CZ343" s="98"/>
      <c r="DA343" s="279"/>
      <c r="DB343" s="52"/>
      <c r="DC343" s="105"/>
      <c r="DD343" s="98"/>
      <c r="DE343" s="279"/>
      <c r="DF343" s="52"/>
      <c r="DG343" s="105"/>
      <c r="DH343" s="98"/>
      <c r="DI343" s="279"/>
      <c r="DJ343" s="52"/>
      <c r="DK343" s="105"/>
      <c r="DL343" s="98"/>
      <c r="DM343" s="279"/>
      <c r="DN343" s="52"/>
      <c r="DO343" s="105"/>
      <c r="DP343" s="98"/>
      <c r="DQ343" s="279"/>
      <c r="DR343" s="52"/>
      <c r="DS343" s="105"/>
      <c r="DT343" s="98"/>
      <c r="DU343" s="279"/>
      <c r="DV343" s="52"/>
      <c r="DW343" s="105"/>
      <c r="DX343" s="98"/>
      <c r="DY343" s="279"/>
      <c r="DZ343" s="52"/>
      <c r="EA343" s="105"/>
      <c r="EB343" s="98"/>
      <c r="EC343" s="279"/>
      <c r="ED343" s="52"/>
      <c r="EE343" s="105"/>
      <c r="EF343" s="98"/>
      <c r="EG343" s="159"/>
      <c r="EH343" s="277"/>
      <c r="EI343" s="50">
        <f t="shared" si="150"/>
        <v>15</v>
      </c>
      <c r="EJ343" s="103">
        <f t="shared" si="151"/>
        <v>1</v>
      </c>
      <c r="EK343" s="164">
        <f t="shared" si="152"/>
        <v>1</v>
      </c>
      <c r="EL343" s="280">
        <f t="shared" si="153"/>
        <v>12</v>
      </c>
      <c r="EM343" s="63">
        <f t="shared" si="154"/>
        <v>1</v>
      </c>
      <c r="EN343" s="359">
        <f t="shared" si="155"/>
        <v>1</v>
      </c>
      <c r="EO343" s="51">
        <f t="shared" si="156"/>
        <v>490</v>
      </c>
      <c r="EP343" s="361">
        <f t="shared" si="157"/>
        <v>637</v>
      </c>
      <c r="EQ343" s="281"/>
      <c r="ER343" s="277"/>
      <c r="ES343" s="281"/>
      <c r="ET343" s="277"/>
      <c r="EU343" s="281"/>
      <c r="EV343" s="277"/>
      <c r="EW343" s="281"/>
      <c r="EX343" s="277"/>
      <c r="EY343" s="281"/>
      <c r="EZ343" s="277"/>
      <c r="FA343" s="281"/>
      <c r="FB343" s="277"/>
      <c r="FC343" s="281"/>
      <c r="FD343" s="277"/>
      <c r="FE343" s="281"/>
      <c r="FF343" s="277"/>
      <c r="FG343" s="281"/>
      <c r="FH343" s="277"/>
      <c r="FI343" s="281"/>
      <c r="FJ343" s="277"/>
      <c r="FK343" s="50">
        <f t="shared" si="158"/>
        <v>0</v>
      </c>
      <c r="FL343" s="63">
        <f t="shared" si="159"/>
        <v>0</v>
      </c>
      <c r="FM343" s="50">
        <f t="shared" si="141"/>
        <v>2015</v>
      </c>
      <c r="FN343" s="360">
        <f t="shared" si="142"/>
        <v>2184</v>
      </c>
      <c r="FO343" s="3"/>
      <c r="FP343" s="279"/>
      <c r="FQ343" s="52"/>
      <c r="FR343" s="296"/>
      <c r="FS343" s="98"/>
      <c r="FT343" s="467"/>
      <c r="FU343" s="52"/>
      <c r="FV343" s="296"/>
      <c r="FW343" s="98"/>
      <c r="FX343" s="467"/>
      <c r="FY343" s="52"/>
      <c r="FZ343" s="296"/>
      <c r="GA343" s="98"/>
      <c r="GB343" s="467"/>
      <c r="GC343" s="52"/>
      <c r="GD343" s="296"/>
      <c r="GE343" s="98"/>
      <c r="GF343" s="467"/>
      <c r="GG343" s="52"/>
      <c r="GH343" s="296"/>
      <c r="GI343" s="98"/>
      <c r="GJ343" s="467"/>
      <c r="GK343" s="52"/>
      <c r="GL343" s="296"/>
      <c r="GM343" s="464"/>
      <c r="GN343" s="467"/>
      <c r="GO343" s="52"/>
      <c r="GP343" s="296"/>
      <c r="GQ343" s="464"/>
      <c r="GR343" s="467"/>
      <c r="GS343" s="52"/>
      <c r="GT343" s="296"/>
      <c r="GU343" s="464"/>
      <c r="GV343" s="467"/>
      <c r="GW343" s="52"/>
      <c r="GX343" s="296"/>
      <c r="GY343" s="464"/>
      <c r="GZ343" s="467"/>
      <c r="HA343" s="52"/>
      <c r="HB343" s="296"/>
      <c r="HC343" s="3"/>
    </row>
    <row r="344" spans="1:211" s="86" customFormat="1">
      <c r="A344" s="520" t="s">
        <v>984</v>
      </c>
      <c r="B344" s="322" t="s">
        <v>23</v>
      </c>
      <c r="C344" s="321">
        <v>198543</v>
      </c>
      <c r="D344" s="353">
        <v>4</v>
      </c>
      <c r="E344" s="460"/>
      <c r="F344" s="277"/>
      <c r="G344" s="158"/>
      <c r="H344" s="277"/>
      <c r="I344" s="158"/>
      <c r="J344" s="277"/>
      <c r="K344" s="160">
        <f t="shared" si="143"/>
        <v>0</v>
      </c>
      <c r="L344" s="161">
        <f t="shared" si="136"/>
        <v>0</v>
      </c>
      <c r="M344" s="54">
        <v>775</v>
      </c>
      <c r="N344" s="55"/>
      <c r="O344" s="55">
        <v>77</v>
      </c>
      <c r="P344" s="55"/>
      <c r="Q344" s="162">
        <f t="shared" si="144"/>
        <v>77</v>
      </c>
      <c r="R344" s="277">
        <v>773</v>
      </c>
      <c r="S344" s="277"/>
      <c r="T344" s="277">
        <v>106</v>
      </c>
      <c r="U344" s="277"/>
      <c r="V344" s="97">
        <f t="shared" si="145"/>
        <v>106</v>
      </c>
      <c r="W344" s="279"/>
      <c r="X344" s="52"/>
      <c r="Y344" s="99"/>
      <c r="Z344" s="53"/>
      <c r="AA344" s="228"/>
      <c r="AB344" s="52"/>
      <c r="AC344" s="99"/>
      <c r="AD344" s="53"/>
      <c r="AE344" s="228"/>
      <c r="AF344" s="52"/>
      <c r="AG344" s="99"/>
      <c r="AH344" s="53"/>
      <c r="AI344" s="228"/>
      <c r="AJ344" s="52"/>
      <c r="AK344" s="99"/>
      <c r="AL344" s="53"/>
      <c r="AM344" s="228"/>
      <c r="AN344" s="52"/>
      <c r="AO344" s="99"/>
      <c r="AP344" s="53"/>
      <c r="AQ344" s="50">
        <f t="shared" si="137"/>
        <v>0</v>
      </c>
      <c r="AR344" s="163">
        <f t="shared" si="138"/>
        <v>0.8175105485232067</v>
      </c>
      <c r="AS344" s="97">
        <f t="shared" si="139"/>
        <v>0</v>
      </c>
      <c r="AT344" s="278">
        <f t="shared" si="140"/>
        <v>0.83387270765911548</v>
      </c>
      <c r="AU344" s="55"/>
      <c r="AV344" s="277"/>
      <c r="AW344" s="279">
        <v>13</v>
      </c>
      <c r="AX344" s="52">
        <v>74</v>
      </c>
      <c r="AY344" s="105">
        <v>13</v>
      </c>
      <c r="AZ344" s="98">
        <v>63</v>
      </c>
      <c r="BA344" s="279">
        <v>44</v>
      </c>
      <c r="BB344" s="52">
        <v>28</v>
      </c>
      <c r="BC344" s="105">
        <v>44</v>
      </c>
      <c r="BD344" s="98">
        <v>38</v>
      </c>
      <c r="BE344" s="279">
        <v>52</v>
      </c>
      <c r="BF344" s="52">
        <v>19</v>
      </c>
      <c r="BG344" s="105">
        <v>52</v>
      </c>
      <c r="BH344" s="98">
        <v>28</v>
      </c>
      <c r="BI344" s="279">
        <v>45</v>
      </c>
      <c r="BJ344" s="52">
        <v>12</v>
      </c>
      <c r="BK344" s="105">
        <v>42</v>
      </c>
      <c r="BL344" s="98">
        <v>8</v>
      </c>
      <c r="BM344" s="279">
        <v>42</v>
      </c>
      <c r="BN344" s="52">
        <v>9</v>
      </c>
      <c r="BO344" s="105">
        <v>45</v>
      </c>
      <c r="BP344" s="98">
        <v>4</v>
      </c>
      <c r="BQ344" s="279">
        <v>23</v>
      </c>
      <c r="BR344" s="52">
        <v>5</v>
      </c>
      <c r="BS344" s="105">
        <v>27</v>
      </c>
      <c r="BT344" s="98">
        <v>2</v>
      </c>
      <c r="BU344" s="279">
        <v>27</v>
      </c>
      <c r="BV344" s="52">
        <v>5</v>
      </c>
      <c r="BW344" s="105">
        <v>43</v>
      </c>
      <c r="BX344" s="98">
        <v>2</v>
      </c>
      <c r="BY344" s="279">
        <v>26</v>
      </c>
      <c r="BZ344" s="52">
        <v>4</v>
      </c>
      <c r="CA344" s="105"/>
      <c r="CB344" s="98"/>
      <c r="CC344" s="279">
        <v>54</v>
      </c>
      <c r="CD344" s="52">
        <v>3</v>
      </c>
      <c r="CE344" s="105"/>
      <c r="CF344" s="98"/>
      <c r="CG344" s="279">
        <v>43</v>
      </c>
      <c r="CH344" s="52">
        <v>1</v>
      </c>
      <c r="CI344" s="105"/>
      <c r="CJ344" s="98"/>
      <c r="CK344" s="281"/>
      <c r="CL344" s="277"/>
      <c r="CM344" s="159"/>
      <c r="CN344" s="277"/>
      <c r="CO344" s="50">
        <f t="shared" si="146"/>
        <v>160</v>
      </c>
      <c r="CP344" s="103">
        <f t="shared" si="147"/>
        <v>10</v>
      </c>
      <c r="CQ344" s="280">
        <f t="shared" si="148"/>
        <v>145</v>
      </c>
      <c r="CR344" s="63">
        <f t="shared" si="149"/>
        <v>7</v>
      </c>
      <c r="CS344" s="279">
        <v>13</v>
      </c>
      <c r="CT344" s="52">
        <v>13</v>
      </c>
      <c r="CU344" s="105">
        <v>13</v>
      </c>
      <c r="CV344" s="98">
        <v>9</v>
      </c>
      <c r="CW344" s="279"/>
      <c r="CX344" s="52"/>
      <c r="CY344" s="105"/>
      <c r="CZ344" s="98"/>
      <c r="DA344" s="279"/>
      <c r="DB344" s="52"/>
      <c r="DC344" s="105"/>
      <c r="DD344" s="98"/>
      <c r="DE344" s="279"/>
      <c r="DF344" s="52"/>
      <c r="DG344" s="105"/>
      <c r="DH344" s="98"/>
      <c r="DI344" s="279"/>
      <c r="DJ344" s="52"/>
      <c r="DK344" s="105"/>
      <c r="DL344" s="98"/>
      <c r="DM344" s="279"/>
      <c r="DN344" s="52"/>
      <c r="DO344" s="105"/>
      <c r="DP344" s="98"/>
      <c r="DQ344" s="279"/>
      <c r="DR344" s="52"/>
      <c r="DS344" s="105"/>
      <c r="DT344" s="98"/>
      <c r="DU344" s="279"/>
      <c r="DV344" s="52"/>
      <c r="DW344" s="105"/>
      <c r="DX344" s="98"/>
      <c r="DY344" s="279"/>
      <c r="DZ344" s="52"/>
      <c r="EA344" s="105"/>
      <c r="EB344" s="98"/>
      <c r="EC344" s="279"/>
      <c r="ED344" s="52"/>
      <c r="EE344" s="105"/>
      <c r="EF344" s="98"/>
      <c r="EG344" s="159"/>
      <c r="EH344" s="277"/>
      <c r="EI344" s="50">
        <f t="shared" si="150"/>
        <v>13</v>
      </c>
      <c r="EJ344" s="103">
        <f t="shared" si="151"/>
        <v>1</v>
      </c>
      <c r="EK344" s="164">
        <f t="shared" si="152"/>
        <v>1</v>
      </c>
      <c r="EL344" s="280">
        <f t="shared" si="153"/>
        <v>9</v>
      </c>
      <c r="EM344" s="63">
        <f t="shared" si="154"/>
        <v>1</v>
      </c>
      <c r="EN344" s="359">
        <f t="shared" si="155"/>
        <v>1</v>
      </c>
      <c r="EO344" s="51">
        <f t="shared" si="156"/>
        <v>173</v>
      </c>
      <c r="EP344" s="361">
        <f t="shared" si="157"/>
        <v>154</v>
      </c>
      <c r="EQ344" s="281"/>
      <c r="ER344" s="277"/>
      <c r="ES344" s="281"/>
      <c r="ET344" s="277"/>
      <c r="EU344" s="281"/>
      <c r="EV344" s="277"/>
      <c r="EW344" s="281"/>
      <c r="EX344" s="277"/>
      <c r="EY344" s="281"/>
      <c r="EZ344" s="277"/>
      <c r="FA344" s="281"/>
      <c r="FB344" s="277"/>
      <c r="FC344" s="281"/>
      <c r="FD344" s="277"/>
      <c r="FE344" s="281"/>
      <c r="FF344" s="277"/>
      <c r="FG344" s="281"/>
      <c r="FH344" s="277"/>
      <c r="FI344" s="281"/>
      <c r="FJ344" s="277"/>
      <c r="FK344" s="50">
        <f t="shared" si="158"/>
        <v>0</v>
      </c>
      <c r="FL344" s="63">
        <f t="shared" si="159"/>
        <v>0</v>
      </c>
      <c r="FM344" s="50">
        <f t="shared" si="141"/>
        <v>948</v>
      </c>
      <c r="FN344" s="360">
        <f t="shared" si="142"/>
        <v>927</v>
      </c>
      <c r="FO344" s="3"/>
      <c r="FP344" s="279"/>
      <c r="FQ344" s="52"/>
      <c r="FR344" s="296"/>
      <c r="FS344" s="98"/>
      <c r="FT344" s="467"/>
      <c r="FU344" s="52"/>
      <c r="FV344" s="296"/>
      <c r="FW344" s="98"/>
      <c r="FX344" s="467"/>
      <c r="FY344" s="52"/>
      <c r="FZ344" s="296"/>
      <c r="GA344" s="98"/>
      <c r="GB344" s="467"/>
      <c r="GC344" s="52"/>
      <c r="GD344" s="296"/>
      <c r="GE344" s="98"/>
      <c r="GF344" s="467"/>
      <c r="GG344" s="52"/>
      <c r="GH344" s="296"/>
      <c r="GI344" s="98"/>
      <c r="GJ344" s="467"/>
      <c r="GK344" s="52"/>
      <c r="GL344" s="296"/>
      <c r="GM344" s="464"/>
      <c r="GN344" s="467"/>
      <c r="GO344" s="52"/>
      <c r="GP344" s="296"/>
      <c r="GQ344" s="464"/>
      <c r="GR344" s="467"/>
      <c r="GS344" s="52"/>
      <c r="GT344" s="296"/>
      <c r="GU344" s="464"/>
      <c r="GV344" s="467"/>
      <c r="GW344" s="52"/>
      <c r="GX344" s="296"/>
      <c r="GY344" s="464"/>
      <c r="GZ344" s="467"/>
      <c r="HA344" s="52"/>
      <c r="HB344" s="296"/>
      <c r="HC344" s="3"/>
    </row>
    <row r="345" spans="1:211" s="86" customFormat="1">
      <c r="A345" s="520" t="s">
        <v>984</v>
      </c>
      <c r="B345" s="322" t="s">
        <v>24</v>
      </c>
      <c r="C345" s="321">
        <v>199281</v>
      </c>
      <c r="D345" s="353">
        <v>5</v>
      </c>
      <c r="E345" s="460"/>
      <c r="F345" s="277"/>
      <c r="G345" s="158"/>
      <c r="H345" s="277"/>
      <c r="I345" s="158"/>
      <c r="J345" s="277"/>
      <c r="K345" s="160">
        <f t="shared" si="143"/>
        <v>0</v>
      </c>
      <c r="L345" s="161">
        <f t="shared" si="136"/>
        <v>0</v>
      </c>
      <c r="M345" s="54">
        <v>687</v>
      </c>
      <c r="N345" s="55"/>
      <c r="O345" s="55">
        <v>107</v>
      </c>
      <c r="P345" s="55"/>
      <c r="Q345" s="162">
        <f t="shared" si="144"/>
        <v>107</v>
      </c>
      <c r="R345" s="277">
        <v>739</v>
      </c>
      <c r="S345" s="277"/>
      <c r="T345" s="277">
        <v>93</v>
      </c>
      <c r="U345" s="277"/>
      <c r="V345" s="97">
        <f t="shared" si="145"/>
        <v>93</v>
      </c>
      <c r="W345" s="279"/>
      <c r="X345" s="52"/>
      <c r="Y345" s="99"/>
      <c r="Z345" s="53"/>
      <c r="AA345" s="228"/>
      <c r="AB345" s="52"/>
      <c r="AC345" s="99"/>
      <c r="AD345" s="53"/>
      <c r="AE345" s="228"/>
      <c r="AF345" s="52"/>
      <c r="AG345" s="99"/>
      <c r="AH345" s="53"/>
      <c r="AI345" s="228"/>
      <c r="AJ345" s="52"/>
      <c r="AK345" s="99"/>
      <c r="AL345" s="53"/>
      <c r="AM345" s="228"/>
      <c r="AN345" s="52"/>
      <c r="AO345" s="99"/>
      <c r="AP345" s="53"/>
      <c r="AQ345" s="50">
        <f t="shared" si="137"/>
        <v>0</v>
      </c>
      <c r="AR345" s="163">
        <f t="shared" si="138"/>
        <v>0.79330254041570436</v>
      </c>
      <c r="AS345" s="97">
        <f t="shared" si="139"/>
        <v>0</v>
      </c>
      <c r="AT345" s="278">
        <f t="shared" si="140"/>
        <v>0.79206859592711687</v>
      </c>
      <c r="AU345" s="55"/>
      <c r="AV345" s="277"/>
      <c r="AW345" s="279">
        <v>13</v>
      </c>
      <c r="AX345" s="52">
        <v>131</v>
      </c>
      <c r="AY345" s="105">
        <v>13</v>
      </c>
      <c r="AZ345" s="98">
        <v>161</v>
      </c>
      <c r="BA345" s="279">
        <v>44</v>
      </c>
      <c r="BB345" s="52">
        <v>40</v>
      </c>
      <c r="BC345" s="105">
        <v>44</v>
      </c>
      <c r="BD345" s="98">
        <v>26</v>
      </c>
      <c r="BE345" s="279">
        <v>52</v>
      </c>
      <c r="BF345" s="52">
        <v>8</v>
      </c>
      <c r="BG345" s="105">
        <v>52</v>
      </c>
      <c r="BH345" s="98">
        <v>7</v>
      </c>
      <c r="BI345" s="279"/>
      <c r="BJ345" s="52"/>
      <c r="BK345" s="105"/>
      <c r="BL345" s="98"/>
      <c r="BM345" s="279"/>
      <c r="BN345" s="52"/>
      <c r="BO345" s="105"/>
      <c r="BP345" s="98"/>
      <c r="BQ345" s="279"/>
      <c r="BR345" s="52"/>
      <c r="BS345" s="105"/>
      <c r="BT345" s="98"/>
      <c r="BU345" s="279"/>
      <c r="BV345" s="52"/>
      <c r="BW345" s="105"/>
      <c r="BX345" s="98"/>
      <c r="BY345" s="279"/>
      <c r="BZ345" s="52"/>
      <c r="CA345" s="105"/>
      <c r="CB345" s="98"/>
      <c r="CC345" s="279"/>
      <c r="CD345" s="52"/>
      <c r="CE345" s="105"/>
      <c r="CF345" s="98"/>
      <c r="CG345" s="279"/>
      <c r="CH345" s="52"/>
      <c r="CI345" s="105"/>
      <c r="CJ345" s="98"/>
      <c r="CK345" s="281"/>
      <c r="CL345" s="277"/>
      <c r="CM345" s="159"/>
      <c r="CN345" s="277"/>
      <c r="CO345" s="50">
        <f t="shared" si="146"/>
        <v>179</v>
      </c>
      <c r="CP345" s="103">
        <f t="shared" si="147"/>
        <v>3</v>
      </c>
      <c r="CQ345" s="280">
        <f t="shared" si="148"/>
        <v>194</v>
      </c>
      <c r="CR345" s="63">
        <f t="shared" si="149"/>
        <v>3</v>
      </c>
      <c r="CS345" s="279"/>
      <c r="CT345" s="52"/>
      <c r="CU345" s="105"/>
      <c r="CV345" s="98"/>
      <c r="CW345" s="279"/>
      <c r="CX345" s="52"/>
      <c r="CY345" s="105"/>
      <c r="CZ345" s="98"/>
      <c r="DA345" s="279"/>
      <c r="DB345" s="52"/>
      <c r="DC345" s="105"/>
      <c r="DD345" s="98"/>
      <c r="DE345" s="279"/>
      <c r="DF345" s="52"/>
      <c r="DG345" s="105"/>
      <c r="DH345" s="98"/>
      <c r="DI345" s="279"/>
      <c r="DJ345" s="52"/>
      <c r="DK345" s="105"/>
      <c r="DL345" s="98"/>
      <c r="DM345" s="279"/>
      <c r="DN345" s="52"/>
      <c r="DO345" s="105"/>
      <c r="DP345" s="98"/>
      <c r="DQ345" s="279"/>
      <c r="DR345" s="52"/>
      <c r="DS345" s="105"/>
      <c r="DT345" s="98"/>
      <c r="DU345" s="279"/>
      <c r="DV345" s="52"/>
      <c r="DW345" s="105"/>
      <c r="DX345" s="98"/>
      <c r="DY345" s="279"/>
      <c r="DZ345" s="52"/>
      <c r="EA345" s="105"/>
      <c r="EB345" s="98"/>
      <c r="EC345" s="279"/>
      <c r="ED345" s="52"/>
      <c r="EE345" s="105"/>
      <c r="EF345" s="98"/>
      <c r="EG345" s="159"/>
      <c r="EH345" s="277"/>
      <c r="EI345" s="50">
        <f t="shared" si="150"/>
        <v>0</v>
      </c>
      <c r="EJ345" s="103">
        <f t="shared" si="151"/>
        <v>0</v>
      </c>
      <c r="EK345" s="164">
        <f t="shared" si="152"/>
        <v>0</v>
      </c>
      <c r="EL345" s="280">
        <f t="shared" si="153"/>
        <v>0</v>
      </c>
      <c r="EM345" s="63">
        <f t="shared" si="154"/>
        <v>0</v>
      </c>
      <c r="EN345" s="359">
        <f t="shared" si="155"/>
        <v>0</v>
      </c>
      <c r="EO345" s="51">
        <f t="shared" si="156"/>
        <v>179</v>
      </c>
      <c r="EP345" s="361">
        <f t="shared" si="157"/>
        <v>194</v>
      </c>
      <c r="EQ345" s="281"/>
      <c r="ER345" s="277"/>
      <c r="ES345" s="281"/>
      <c r="ET345" s="277"/>
      <c r="EU345" s="281"/>
      <c r="EV345" s="277"/>
      <c r="EW345" s="281"/>
      <c r="EX345" s="277"/>
      <c r="EY345" s="281"/>
      <c r="EZ345" s="277"/>
      <c r="FA345" s="281"/>
      <c r="FB345" s="277"/>
      <c r="FC345" s="281"/>
      <c r="FD345" s="277"/>
      <c r="FE345" s="281"/>
      <c r="FF345" s="277"/>
      <c r="FG345" s="281"/>
      <c r="FH345" s="277"/>
      <c r="FI345" s="281"/>
      <c r="FJ345" s="277"/>
      <c r="FK345" s="50">
        <f t="shared" si="158"/>
        <v>0</v>
      </c>
      <c r="FL345" s="63">
        <f t="shared" si="159"/>
        <v>0</v>
      </c>
      <c r="FM345" s="50">
        <f t="shared" si="141"/>
        <v>866</v>
      </c>
      <c r="FN345" s="360">
        <f t="shared" si="142"/>
        <v>933</v>
      </c>
      <c r="FO345" s="3"/>
      <c r="FP345" s="279"/>
      <c r="FQ345" s="52"/>
      <c r="FR345" s="296"/>
      <c r="FS345" s="98"/>
      <c r="FT345" s="467"/>
      <c r="FU345" s="52"/>
      <c r="FV345" s="296"/>
      <c r="FW345" s="98"/>
      <c r="FX345" s="467"/>
      <c r="FY345" s="52"/>
      <c r="FZ345" s="296"/>
      <c r="GA345" s="98"/>
      <c r="GB345" s="467"/>
      <c r="GC345" s="52"/>
      <c r="GD345" s="296"/>
      <c r="GE345" s="98"/>
      <c r="GF345" s="467"/>
      <c r="GG345" s="52"/>
      <c r="GH345" s="296"/>
      <c r="GI345" s="98"/>
      <c r="GJ345" s="467"/>
      <c r="GK345" s="52"/>
      <c r="GL345" s="296"/>
      <c r="GM345" s="464"/>
      <c r="GN345" s="467"/>
      <c r="GO345" s="52"/>
      <c r="GP345" s="296"/>
      <c r="GQ345" s="464"/>
      <c r="GR345" s="467"/>
      <c r="GS345" s="52"/>
      <c r="GT345" s="296"/>
      <c r="GU345" s="464"/>
      <c r="GV345" s="467"/>
      <c r="GW345" s="52"/>
      <c r="GX345" s="296"/>
      <c r="GY345" s="464"/>
      <c r="GZ345" s="467"/>
      <c r="HA345" s="52"/>
      <c r="HB345" s="296"/>
      <c r="HC345" s="3"/>
    </row>
    <row r="346" spans="1:211" s="86" customFormat="1">
      <c r="A346" s="520" t="s">
        <v>984</v>
      </c>
      <c r="B346" s="322" t="s">
        <v>27</v>
      </c>
      <c r="C346" s="321">
        <v>199999</v>
      </c>
      <c r="D346" s="353">
        <v>5</v>
      </c>
      <c r="E346" s="460"/>
      <c r="F346" s="277"/>
      <c r="G346" s="158"/>
      <c r="H346" s="277"/>
      <c r="I346" s="158"/>
      <c r="J346" s="277"/>
      <c r="K346" s="160">
        <f t="shared" si="143"/>
        <v>0</v>
      </c>
      <c r="L346" s="161">
        <f t="shared" si="136"/>
        <v>0</v>
      </c>
      <c r="M346" s="54">
        <v>867</v>
      </c>
      <c r="N346" s="55"/>
      <c r="O346" s="55">
        <v>25</v>
      </c>
      <c r="P346" s="55"/>
      <c r="Q346" s="162">
        <f t="shared" si="144"/>
        <v>25</v>
      </c>
      <c r="R346" s="277">
        <v>1012</v>
      </c>
      <c r="S346" s="277"/>
      <c r="T346" s="277">
        <v>40</v>
      </c>
      <c r="U346" s="277"/>
      <c r="V346" s="97">
        <f t="shared" si="145"/>
        <v>40</v>
      </c>
      <c r="W346" s="279"/>
      <c r="X346" s="52"/>
      <c r="Y346" s="99"/>
      <c r="Z346" s="53"/>
      <c r="AA346" s="228"/>
      <c r="AB346" s="52"/>
      <c r="AC346" s="99"/>
      <c r="AD346" s="53"/>
      <c r="AE346" s="228"/>
      <c r="AF346" s="52"/>
      <c r="AG346" s="99"/>
      <c r="AH346" s="53"/>
      <c r="AI346" s="228"/>
      <c r="AJ346" s="52"/>
      <c r="AK346" s="99"/>
      <c r="AL346" s="53"/>
      <c r="AM346" s="228"/>
      <c r="AN346" s="52"/>
      <c r="AO346" s="99"/>
      <c r="AP346" s="53"/>
      <c r="AQ346" s="50">
        <f t="shared" si="137"/>
        <v>0</v>
      </c>
      <c r="AR346" s="163">
        <f t="shared" si="138"/>
        <v>0.86873747494989983</v>
      </c>
      <c r="AS346" s="97">
        <f t="shared" si="139"/>
        <v>0</v>
      </c>
      <c r="AT346" s="278">
        <f t="shared" si="140"/>
        <v>0.88849868305531166</v>
      </c>
      <c r="AU346" s="55"/>
      <c r="AV346" s="277"/>
      <c r="AW346" s="279">
        <v>51</v>
      </c>
      <c r="AX346" s="52">
        <v>104</v>
      </c>
      <c r="AY346" s="105">
        <v>51</v>
      </c>
      <c r="AZ346" s="98">
        <v>90</v>
      </c>
      <c r="BA346" s="279">
        <v>52</v>
      </c>
      <c r="BB346" s="52">
        <v>17</v>
      </c>
      <c r="BC346" s="105">
        <v>52</v>
      </c>
      <c r="BD346" s="98">
        <v>21</v>
      </c>
      <c r="BE346" s="279">
        <v>11</v>
      </c>
      <c r="BF346" s="52">
        <v>5</v>
      </c>
      <c r="BG346" s="105">
        <v>13</v>
      </c>
      <c r="BH346" s="98">
        <v>9</v>
      </c>
      <c r="BI346" s="279">
        <v>13</v>
      </c>
      <c r="BJ346" s="52">
        <v>5</v>
      </c>
      <c r="BK346" s="105">
        <v>11</v>
      </c>
      <c r="BL346" s="98">
        <v>7</v>
      </c>
      <c r="BM346" s="279"/>
      <c r="BN346" s="52"/>
      <c r="BO346" s="105"/>
      <c r="BP346" s="98"/>
      <c r="BQ346" s="279"/>
      <c r="BR346" s="52"/>
      <c r="BS346" s="105"/>
      <c r="BT346" s="98"/>
      <c r="BU346" s="279"/>
      <c r="BV346" s="52"/>
      <c r="BW346" s="105"/>
      <c r="BX346" s="98"/>
      <c r="BY346" s="279"/>
      <c r="BZ346" s="52"/>
      <c r="CA346" s="105"/>
      <c r="CB346" s="98"/>
      <c r="CC346" s="279"/>
      <c r="CD346" s="52"/>
      <c r="CE346" s="105"/>
      <c r="CF346" s="98"/>
      <c r="CG346" s="279"/>
      <c r="CH346" s="52"/>
      <c r="CI346" s="105"/>
      <c r="CJ346" s="98"/>
      <c r="CK346" s="281"/>
      <c r="CL346" s="277"/>
      <c r="CM346" s="159"/>
      <c r="CN346" s="277"/>
      <c r="CO346" s="50">
        <f t="shared" si="146"/>
        <v>131</v>
      </c>
      <c r="CP346" s="103">
        <f t="shared" si="147"/>
        <v>4</v>
      </c>
      <c r="CQ346" s="280">
        <f t="shared" si="148"/>
        <v>127</v>
      </c>
      <c r="CR346" s="63">
        <f t="shared" si="149"/>
        <v>4</v>
      </c>
      <c r="CS346" s="279"/>
      <c r="CT346" s="52"/>
      <c r="CU346" s="105"/>
      <c r="CV346" s="98"/>
      <c r="CW346" s="279"/>
      <c r="CX346" s="52"/>
      <c r="CY346" s="105"/>
      <c r="CZ346" s="98"/>
      <c r="DA346" s="279"/>
      <c r="DB346" s="52"/>
      <c r="DC346" s="105"/>
      <c r="DD346" s="98"/>
      <c r="DE346" s="279"/>
      <c r="DF346" s="52"/>
      <c r="DG346" s="105"/>
      <c r="DH346" s="98"/>
      <c r="DI346" s="279"/>
      <c r="DJ346" s="52"/>
      <c r="DK346" s="105"/>
      <c r="DL346" s="98"/>
      <c r="DM346" s="279"/>
      <c r="DN346" s="52"/>
      <c r="DO346" s="105"/>
      <c r="DP346" s="98"/>
      <c r="DQ346" s="279"/>
      <c r="DR346" s="52"/>
      <c r="DS346" s="105"/>
      <c r="DT346" s="98"/>
      <c r="DU346" s="279"/>
      <c r="DV346" s="52"/>
      <c r="DW346" s="105"/>
      <c r="DX346" s="98"/>
      <c r="DY346" s="279"/>
      <c r="DZ346" s="52"/>
      <c r="EA346" s="105"/>
      <c r="EB346" s="98"/>
      <c r="EC346" s="279"/>
      <c r="ED346" s="52"/>
      <c r="EE346" s="105"/>
      <c r="EF346" s="98"/>
      <c r="EG346" s="159"/>
      <c r="EH346" s="277"/>
      <c r="EI346" s="50">
        <f t="shared" si="150"/>
        <v>0</v>
      </c>
      <c r="EJ346" s="103">
        <f t="shared" si="151"/>
        <v>0</v>
      </c>
      <c r="EK346" s="164">
        <f t="shared" si="152"/>
        <v>0</v>
      </c>
      <c r="EL346" s="280">
        <f t="shared" si="153"/>
        <v>0</v>
      </c>
      <c r="EM346" s="63">
        <f t="shared" si="154"/>
        <v>0</v>
      </c>
      <c r="EN346" s="359">
        <f t="shared" si="155"/>
        <v>0</v>
      </c>
      <c r="EO346" s="51">
        <f t="shared" si="156"/>
        <v>131</v>
      </c>
      <c r="EP346" s="361">
        <f t="shared" si="157"/>
        <v>127</v>
      </c>
      <c r="EQ346" s="281"/>
      <c r="ER346" s="277"/>
      <c r="ES346" s="281"/>
      <c r="ET346" s="277"/>
      <c r="EU346" s="281"/>
      <c r="EV346" s="277"/>
      <c r="EW346" s="281"/>
      <c r="EX346" s="277"/>
      <c r="EY346" s="281"/>
      <c r="EZ346" s="277"/>
      <c r="FA346" s="281"/>
      <c r="FB346" s="277"/>
      <c r="FC346" s="281"/>
      <c r="FD346" s="277"/>
      <c r="FE346" s="281"/>
      <c r="FF346" s="277"/>
      <c r="FG346" s="281"/>
      <c r="FH346" s="277"/>
      <c r="FI346" s="281"/>
      <c r="FJ346" s="277"/>
      <c r="FK346" s="50">
        <f t="shared" si="158"/>
        <v>0</v>
      </c>
      <c r="FL346" s="63">
        <f t="shared" si="159"/>
        <v>0</v>
      </c>
      <c r="FM346" s="50">
        <f t="shared" si="141"/>
        <v>998</v>
      </c>
      <c r="FN346" s="360">
        <f t="shared" si="142"/>
        <v>1139</v>
      </c>
      <c r="FO346" s="3"/>
      <c r="FP346" s="279"/>
      <c r="FQ346" s="52"/>
      <c r="FR346" s="296"/>
      <c r="FS346" s="98"/>
      <c r="FT346" s="467"/>
      <c r="FU346" s="52"/>
      <c r="FV346" s="296"/>
      <c r="FW346" s="98"/>
      <c r="FX346" s="467"/>
      <c r="FY346" s="52"/>
      <c r="FZ346" s="296"/>
      <c r="GA346" s="98"/>
      <c r="GB346" s="467"/>
      <c r="GC346" s="52"/>
      <c r="GD346" s="296"/>
      <c r="GE346" s="98"/>
      <c r="GF346" s="467"/>
      <c r="GG346" s="52"/>
      <c r="GH346" s="296"/>
      <c r="GI346" s="98"/>
      <c r="GJ346" s="467"/>
      <c r="GK346" s="52"/>
      <c r="GL346" s="296"/>
      <c r="GM346" s="464"/>
      <c r="GN346" s="467"/>
      <c r="GO346" s="52"/>
      <c r="GP346" s="296"/>
      <c r="GQ346" s="464"/>
      <c r="GR346" s="467"/>
      <c r="GS346" s="52"/>
      <c r="GT346" s="296"/>
      <c r="GU346" s="464"/>
      <c r="GV346" s="467"/>
      <c r="GW346" s="52"/>
      <c r="GX346" s="296"/>
      <c r="GY346" s="464"/>
      <c r="GZ346" s="467"/>
      <c r="HA346" s="52"/>
      <c r="HB346" s="296"/>
      <c r="HC346" s="3"/>
    </row>
    <row r="347" spans="1:211" s="86" customFormat="1">
      <c r="A347" s="520" t="s">
        <v>984</v>
      </c>
      <c r="B347" s="322" t="s">
        <v>25</v>
      </c>
      <c r="C347" s="321">
        <v>198507</v>
      </c>
      <c r="D347" s="353">
        <v>6</v>
      </c>
      <c r="E347" s="460"/>
      <c r="F347" s="277"/>
      <c r="G347" s="158"/>
      <c r="H347" s="277"/>
      <c r="I347" s="158"/>
      <c r="J347" s="277"/>
      <c r="K347" s="160">
        <f t="shared" si="143"/>
        <v>0</v>
      </c>
      <c r="L347" s="161">
        <f t="shared" si="136"/>
        <v>0</v>
      </c>
      <c r="M347" s="54">
        <v>389</v>
      </c>
      <c r="N347" s="55"/>
      <c r="O347" s="55">
        <v>33</v>
      </c>
      <c r="P347" s="55"/>
      <c r="Q347" s="162">
        <f t="shared" si="144"/>
        <v>33</v>
      </c>
      <c r="R347" s="277">
        <v>396</v>
      </c>
      <c r="S347" s="277"/>
      <c r="T347" s="277">
        <v>37</v>
      </c>
      <c r="U347" s="277"/>
      <c r="V347" s="97">
        <f t="shared" si="145"/>
        <v>37</v>
      </c>
      <c r="W347" s="279"/>
      <c r="X347" s="52"/>
      <c r="Y347" s="99"/>
      <c r="Z347" s="53"/>
      <c r="AA347" s="228"/>
      <c r="AB347" s="52"/>
      <c r="AC347" s="99"/>
      <c r="AD347" s="53"/>
      <c r="AE347" s="228"/>
      <c r="AF347" s="52"/>
      <c r="AG347" s="99"/>
      <c r="AH347" s="53"/>
      <c r="AI347" s="228"/>
      <c r="AJ347" s="52"/>
      <c r="AK347" s="99"/>
      <c r="AL347" s="53"/>
      <c r="AM347" s="228"/>
      <c r="AN347" s="52"/>
      <c r="AO347" s="99"/>
      <c r="AP347" s="53"/>
      <c r="AQ347" s="50">
        <f t="shared" si="137"/>
        <v>0</v>
      </c>
      <c r="AR347" s="163">
        <f t="shared" si="138"/>
        <v>0.94647201946472015</v>
      </c>
      <c r="AS347" s="97">
        <f t="shared" si="139"/>
        <v>0</v>
      </c>
      <c r="AT347" s="278">
        <f t="shared" si="140"/>
        <v>0.94736842105263153</v>
      </c>
      <c r="AU347" s="55"/>
      <c r="AV347" s="277"/>
      <c r="AW347" s="279">
        <v>13</v>
      </c>
      <c r="AX347" s="52">
        <v>16</v>
      </c>
      <c r="AY347" s="105">
        <v>13</v>
      </c>
      <c r="AZ347" s="98">
        <v>18</v>
      </c>
      <c r="BA347" s="279">
        <v>27</v>
      </c>
      <c r="BB347" s="52">
        <v>4</v>
      </c>
      <c r="BC347" s="105">
        <v>27</v>
      </c>
      <c r="BD347" s="98">
        <v>4</v>
      </c>
      <c r="BE347" s="279">
        <v>26</v>
      </c>
      <c r="BF347" s="52">
        <v>2</v>
      </c>
      <c r="BG347" s="105"/>
      <c r="BH347" s="98"/>
      <c r="BI347" s="279"/>
      <c r="BJ347" s="52"/>
      <c r="BK347" s="105"/>
      <c r="BL347" s="98"/>
      <c r="BM347" s="279"/>
      <c r="BN347" s="52"/>
      <c r="BO347" s="105"/>
      <c r="BP347" s="98"/>
      <c r="BQ347" s="279"/>
      <c r="BR347" s="52"/>
      <c r="BS347" s="105"/>
      <c r="BT347" s="98"/>
      <c r="BU347" s="279"/>
      <c r="BV347" s="52"/>
      <c r="BW347" s="105"/>
      <c r="BX347" s="98"/>
      <c r="BY347" s="279"/>
      <c r="BZ347" s="52"/>
      <c r="CA347" s="105"/>
      <c r="CB347" s="98"/>
      <c r="CC347" s="279"/>
      <c r="CD347" s="52"/>
      <c r="CE347" s="105"/>
      <c r="CF347" s="98"/>
      <c r="CG347" s="279"/>
      <c r="CH347" s="52"/>
      <c r="CI347" s="105"/>
      <c r="CJ347" s="98"/>
      <c r="CK347" s="281"/>
      <c r="CL347" s="277"/>
      <c r="CM347" s="159"/>
      <c r="CN347" s="277"/>
      <c r="CO347" s="50">
        <f t="shared" si="146"/>
        <v>22</v>
      </c>
      <c r="CP347" s="103">
        <f t="shared" si="147"/>
        <v>3</v>
      </c>
      <c r="CQ347" s="280">
        <f t="shared" si="148"/>
        <v>22</v>
      </c>
      <c r="CR347" s="63">
        <f t="shared" si="149"/>
        <v>2</v>
      </c>
      <c r="CS347" s="279"/>
      <c r="CT347" s="52"/>
      <c r="CU347" s="105"/>
      <c r="CV347" s="98"/>
      <c r="CW347" s="279"/>
      <c r="CX347" s="52"/>
      <c r="CY347" s="105"/>
      <c r="CZ347" s="98"/>
      <c r="DA347" s="279"/>
      <c r="DB347" s="52"/>
      <c r="DC347" s="105"/>
      <c r="DD347" s="98"/>
      <c r="DE347" s="279"/>
      <c r="DF347" s="52"/>
      <c r="DG347" s="105"/>
      <c r="DH347" s="98"/>
      <c r="DI347" s="279"/>
      <c r="DJ347" s="52"/>
      <c r="DK347" s="105"/>
      <c r="DL347" s="98"/>
      <c r="DM347" s="279"/>
      <c r="DN347" s="52"/>
      <c r="DO347" s="105"/>
      <c r="DP347" s="98"/>
      <c r="DQ347" s="279"/>
      <c r="DR347" s="52"/>
      <c r="DS347" s="105"/>
      <c r="DT347" s="98"/>
      <c r="DU347" s="279"/>
      <c r="DV347" s="52"/>
      <c r="DW347" s="105"/>
      <c r="DX347" s="98"/>
      <c r="DY347" s="279"/>
      <c r="DZ347" s="52"/>
      <c r="EA347" s="105"/>
      <c r="EB347" s="98"/>
      <c r="EC347" s="279"/>
      <c r="ED347" s="52"/>
      <c r="EE347" s="105"/>
      <c r="EF347" s="98"/>
      <c r="EG347" s="159"/>
      <c r="EH347" s="277"/>
      <c r="EI347" s="50">
        <f t="shared" si="150"/>
        <v>0</v>
      </c>
      <c r="EJ347" s="103">
        <f t="shared" si="151"/>
        <v>0</v>
      </c>
      <c r="EK347" s="164">
        <f t="shared" si="152"/>
        <v>0</v>
      </c>
      <c r="EL347" s="280">
        <f t="shared" si="153"/>
        <v>0</v>
      </c>
      <c r="EM347" s="63">
        <f t="shared" si="154"/>
        <v>0</v>
      </c>
      <c r="EN347" s="359">
        <f t="shared" si="155"/>
        <v>0</v>
      </c>
      <c r="EO347" s="51">
        <f t="shared" si="156"/>
        <v>22</v>
      </c>
      <c r="EP347" s="361">
        <f t="shared" si="157"/>
        <v>22</v>
      </c>
      <c r="EQ347" s="281"/>
      <c r="ER347" s="277"/>
      <c r="ES347" s="281"/>
      <c r="ET347" s="277"/>
      <c r="EU347" s="281"/>
      <c r="EV347" s="277"/>
      <c r="EW347" s="281"/>
      <c r="EX347" s="277"/>
      <c r="EY347" s="281"/>
      <c r="EZ347" s="277"/>
      <c r="FA347" s="281"/>
      <c r="FB347" s="277"/>
      <c r="FC347" s="281"/>
      <c r="FD347" s="277"/>
      <c r="FE347" s="281"/>
      <c r="FF347" s="277"/>
      <c r="FG347" s="281"/>
      <c r="FH347" s="277"/>
      <c r="FI347" s="281"/>
      <c r="FJ347" s="277"/>
      <c r="FK347" s="50">
        <f t="shared" si="158"/>
        <v>0</v>
      </c>
      <c r="FL347" s="63">
        <f t="shared" si="159"/>
        <v>0</v>
      </c>
      <c r="FM347" s="50">
        <f t="shared" si="141"/>
        <v>411</v>
      </c>
      <c r="FN347" s="360">
        <f t="shared" si="142"/>
        <v>418</v>
      </c>
      <c r="FO347" s="3"/>
      <c r="FP347" s="279"/>
      <c r="FQ347" s="52"/>
      <c r="FR347" s="296"/>
      <c r="FS347" s="98"/>
      <c r="FT347" s="467"/>
      <c r="FU347" s="52"/>
      <c r="FV347" s="296"/>
      <c r="FW347" s="98"/>
      <c r="FX347" s="467"/>
      <c r="FY347" s="52"/>
      <c r="FZ347" s="296"/>
      <c r="GA347" s="98"/>
      <c r="GB347" s="467"/>
      <c r="GC347" s="52"/>
      <c r="GD347" s="296"/>
      <c r="GE347" s="98"/>
      <c r="GF347" s="467"/>
      <c r="GG347" s="52"/>
      <c r="GH347" s="296"/>
      <c r="GI347" s="98"/>
      <c r="GJ347" s="467"/>
      <c r="GK347" s="52"/>
      <c r="GL347" s="296"/>
      <c r="GM347" s="464"/>
      <c r="GN347" s="467"/>
      <c r="GO347" s="52"/>
      <c r="GP347" s="296"/>
      <c r="GQ347" s="464"/>
      <c r="GR347" s="467"/>
      <c r="GS347" s="52"/>
      <c r="GT347" s="296"/>
      <c r="GU347" s="464"/>
      <c r="GV347" s="467"/>
      <c r="GW347" s="52"/>
      <c r="GX347" s="296"/>
      <c r="GY347" s="464"/>
      <c r="GZ347" s="467"/>
      <c r="HA347" s="52"/>
      <c r="HB347" s="296"/>
      <c r="HC347" s="3"/>
    </row>
    <row r="348" spans="1:211" s="86" customFormat="1">
      <c r="A348" s="520" t="s">
        <v>984</v>
      </c>
      <c r="B348" s="322" t="s">
        <v>26</v>
      </c>
      <c r="C348" s="321">
        <v>199111</v>
      </c>
      <c r="D348" s="353">
        <v>6</v>
      </c>
      <c r="E348" s="460"/>
      <c r="F348" s="277"/>
      <c r="G348" s="158"/>
      <c r="H348" s="277"/>
      <c r="I348" s="158"/>
      <c r="J348" s="277"/>
      <c r="K348" s="160">
        <f t="shared" si="143"/>
        <v>0</v>
      </c>
      <c r="L348" s="161">
        <f t="shared" si="136"/>
        <v>0</v>
      </c>
      <c r="M348" s="54">
        <v>704</v>
      </c>
      <c r="N348" s="55"/>
      <c r="O348" s="55">
        <v>29</v>
      </c>
      <c r="P348" s="55"/>
      <c r="Q348" s="162">
        <f t="shared" si="144"/>
        <v>29</v>
      </c>
      <c r="R348" s="277">
        <v>604</v>
      </c>
      <c r="S348" s="277"/>
      <c r="T348" s="277">
        <v>42</v>
      </c>
      <c r="U348" s="277"/>
      <c r="V348" s="97">
        <f t="shared" si="145"/>
        <v>42</v>
      </c>
      <c r="W348" s="279"/>
      <c r="X348" s="52"/>
      <c r="Y348" s="99"/>
      <c r="Z348" s="53"/>
      <c r="AA348" s="228"/>
      <c r="AB348" s="52"/>
      <c r="AC348" s="99"/>
      <c r="AD348" s="53"/>
      <c r="AE348" s="228"/>
      <c r="AF348" s="52"/>
      <c r="AG348" s="99"/>
      <c r="AH348" s="53"/>
      <c r="AI348" s="228"/>
      <c r="AJ348" s="52"/>
      <c r="AK348" s="99"/>
      <c r="AL348" s="53"/>
      <c r="AM348" s="228"/>
      <c r="AN348" s="52"/>
      <c r="AO348" s="99"/>
      <c r="AP348" s="53"/>
      <c r="AQ348" s="50">
        <f t="shared" si="137"/>
        <v>0</v>
      </c>
      <c r="AR348" s="163">
        <f t="shared" si="138"/>
        <v>0.98461538461538467</v>
      </c>
      <c r="AS348" s="97">
        <f t="shared" si="139"/>
        <v>0</v>
      </c>
      <c r="AT348" s="278">
        <f t="shared" si="140"/>
        <v>0.99016393442622952</v>
      </c>
      <c r="AU348" s="55"/>
      <c r="AV348" s="277"/>
      <c r="AW348" s="279">
        <v>24</v>
      </c>
      <c r="AX348" s="52">
        <v>11</v>
      </c>
      <c r="AY348" s="105">
        <v>24</v>
      </c>
      <c r="AZ348" s="98">
        <v>6</v>
      </c>
      <c r="BA348" s="279"/>
      <c r="BB348" s="52"/>
      <c r="BC348" s="105"/>
      <c r="BD348" s="98"/>
      <c r="BE348" s="279"/>
      <c r="BF348" s="52"/>
      <c r="BG348" s="105"/>
      <c r="BH348" s="98"/>
      <c r="BI348" s="279"/>
      <c r="BJ348" s="52"/>
      <c r="BK348" s="105"/>
      <c r="BL348" s="98"/>
      <c r="BM348" s="279"/>
      <c r="BN348" s="52"/>
      <c r="BO348" s="105"/>
      <c r="BP348" s="98"/>
      <c r="BQ348" s="279"/>
      <c r="BR348" s="52"/>
      <c r="BS348" s="105"/>
      <c r="BT348" s="98"/>
      <c r="BU348" s="279"/>
      <c r="BV348" s="52"/>
      <c r="BW348" s="105"/>
      <c r="BX348" s="98"/>
      <c r="BY348" s="279"/>
      <c r="BZ348" s="52"/>
      <c r="CA348" s="105"/>
      <c r="CB348" s="98"/>
      <c r="CC348" s="279"/>
      <c r="CD348" s="52"/>
      <c r="CE348" s="105"/>
      <c r="CF348" s="98"/>
      <c r="CG348" s="279"/>
      <c r="CH348" s="52"/>
      <c r="CI348" s="105"/>
      <c r="CJ348" s="98"/>
      <c r="CK348" s="281"/>
      <c r="CL348" s="277"/>
      <c r="CM348" s="159"/>
      <c r="CN348" s="277"/>
      <c r="CO348" s="50">
        <f t="shared" si="146"/>
        <v>11</v>
      </c>
      <c r="CP348" s="103">
        <f t="shared" si="147"/>
        <v>1</v>
      </c>
      <c r="CQ348" s="280">
        <f t="shared" si="148"/>
        <v>6</v>
      </c>
      <c r="CR348" s="63">
        <f t="shared" si="149"/>
        <v>1</v>
      </c>
      <c r="CS348" s="279"/>
      <c r="CT348" s="52"/>
      <c r="CU348" s="105"/>
      <c r="CV348" s="98"/>
      <c r="CW348" s="279"/>
      <c r="CX348" s="52"/>
      <c r="CY348" s="105"/>
      <c r="CZ348" s="98"/>
      <c r="DA348" s="279"/>
      <c r="DB348" s="52"/>
      <c r="DC348" s="105"/>
      <c r="DD348" s="98"/>
      <c r="DE348" s="279"/>
      <c r="DF348" s="52"/>
      <c r="DG348" s="105"/>
      <c r="DH348" s="98"/>
      <c r="DI348" s="279"/>
      <c r="DJ348" s="52"/>
      <c r="DK348" s="105"/>
      <c r="DL348" s="98"/>
      <c r="DM348" s="279"/>
      <c r="DN348" s="52"/>
      <c r="DO348" s="105"/>
      <c r="DP348" s="98"/>
      <c r="DQ348" s="279"/>
      <c r="DR348" s="52"/>
      <c r="DS348" s="105"/>
      <c r="DT348" s="98"/>
      <c r="DU348" s="279"/>
      <c r="DV348" s="52"/>
      <c r="DW348" s="105"/>
      <c r="DX348" s="98"/>
      <c r="DY348" s="279"/>
      <c r="DZ348" s="52"/>
      <c r="EA348" s="105"/>
      <c r="EB348" s="98"/>
      <c r="EC348" s="279"/>
      <c r="ED348" s="52"/>
      <c r="EE348" s="105"/>
      <c r="EF348" s="98"/>
      <c r="EG348" s="159"/>
      <c r="EH348" s="277"/>
      <c r="EI348" s="50">
        <f t="shared" si="150"/>
        <v>0</v>
      </c>
      <c r="EJ348" s="103">
        <f t="shared" si="151"/>
        <v>0</v>
      </c>
      <c r="EK348" s="164">
        <f t="shared" si="152"/>
        <v>0</v>
      </c>
      <c r="EL348" s="280">
        <f t="shared" si="153"/>
        <v>0</v>
      </c>
      <c r="EM348" s="63">
        <f t="shared" si="154"/>
        <v>0</v>
      </c>
      <c r="EN348" s="359">
        <f t="shared" si="155"/>
        <v>0</v>
      </c>
      <c r="EO348" s="51">
        <f t="shared" si="156"/>
        <v>11</v>
      </c>
      <c r="EP348" s="361">
        <f t="shared" si="157"/>
        <v>6</v>
      </c>
      <c r="EQ348" s="281"/>
      <c r="ER348" s="277"/>
      <c r="ES348" s="281"/>
      <c r="ET348" s="277"/>
      <c r="EU348" s="281"/>
      <c r="EV348" s="277"/>
      <c r="EW348" s="281"/>
      <c r="EX348" s="277"/>
      <c r="EY348" s="281"/>
      <c r="EZ348" s="277"/>
      <c r="FA348" s="281"/>
      <c r="FB348" s="277"/>
      <c r="FC348" s="281"/>
      <c r="FD348" s="277"/>
      <c r="FE348" s="281"/>
      <c r="FF348" s="277"/>
      <c r="FG348" s="281"/>
      <c r="FH348" s="277"/>
      <c r="FI348" s="281"/>
      <c r="FJ348" s="277"/>
      <c r="FK348" s="50">
        <f t="shared" si="158"/>
        <v>0</v>
      </c>
      <c r="FL348" s="63">
        <f t="shared" si="159"/>
        <v>0</v>
      </c>
      <c r="FM348" s="50">
        <f t="shared" si="141"/>
        <v>715</v>
      </c>
      <c r="FN348" s="360">
        <f t="shared" si="142"/>
        <v>610</v>
      </c>
      <c r="FO348" s="3"/>
      <c r="FP348" s="279"/>
      <c r="FQ348" s="52"/>
      <c r="FR348" s="296"/>
      <c r="FS348" s="98"/>
      <c r="FT348" s="467"/>
      <c r="FU348" s="52"/>
      <c r="FV348" s="296"/>
      <c r="FW348" s="98"/>
      <c r="FX348" s="467"/>
      <c r="FY348" s="52"/>
      <c r="FZ348" s="296"/>
      <c r="GA348" s="98"/>
      <c r="GB348" s="467"/>
      <c r="GC348" s="52"/>
      <c r="GD348" s="296"/>
      <c r="GE348" s="98"/>
      <c r="GF348" s="467"/>
      <c r="GG348" s="52"/>
      <c r="GH348" s="296"/>
      <c r="GI348" s="98"/>
      <c r="GJ348" s="467"/>
      <c r="GK348" s="52"/>
      <c r="GL348" s="296"/>
      <c r="GM348" s="464"/>
      <c r="GN348" s="467"/>
      <c r="GO348" s="52"/>
      <c r="GP348" s="296"/>
      <c r="GQ348" s="464"/>
      <c r="GR348" s="467"/>
      <c r="GS348" s="52"/>
      <c r="GT348" s="296"/>
      <c r="GU348" s="464"/>
      <c r="GV348" s="467"/>
      <c r="GW348" s="52"/>
      <c r="GX348" s="296"/>
      <c r="GY348" s="464"/>
      <c r="GZ348" s="467"/>
      <c r="HA348" s="52"/>
      <c r="HB348" s="296"/>
      <c r="HC348" s="3"/>
    </row>
    <row r="349" spans="1:211" s="86" customFormat="1">
      <c r="A349" s="520" t="s">
        <v>984</v>
      </c>
      <c r="B349" s="322" t="s">
        <v>28</v>
      </c>
      <c r="C349" s="321">
        <v>199184</v>
      </c>
      <c r="D349" s="353">
        <v>15</v>
      </c>
      <c r="E349" s="460"/>
      <c r="F349" s="277"/>
      <c r="G349" s="158">
        <v>24</v>
      </c>
      <c r="H349" s="277">
        <v>25</v>
      </c>
      <c r="I349" s="158"/>
      <c r="J349" s="277"/>
      <c r="K349" s="160">
        <f t="shared" si="143"/>
        <v>0</v>
      </c>
      <c r="L349" s="161">
        <f t="shared" si="136"/>
        <v>0</v>
      </c>
      <c r="M349" s="54">
        <v>119</v>
      </c>
      <c r="N349" s="55"/>
      <c r="O349" s="55"/>
      <c r="P349" s="55"/>
      <c r="Q349" s="162">
        <f t="shared" si="144"/>
        <v>0</v>
      </c>
      <c r="R349" s="277">
        <v>150</v>
      </c>
      <c r="S349" s="277"/>
      <c r="T349" s="277"/>
      <c r="U349" s="277"/>
      <c r="V349" s="97">
        <f t="shared" si="145"/>
        <v>0</v>
      </c>
      <c r="W349" s="279"/>
      <c r="X349" s="52"/>
      <c r="Y349" s="99"/>
      <c r="Z349" s="53"/>
      <c r="AA349" s="228"/>
      <c r="AB349" s="52"/>
      <c r="AC349" s="99"/>
      <c r="AD349" s="53"/>
      <c r="AE349" s="228"/>
      <c r="AF349" s="52"/>
      <c r="AG349" s="99"/>
      <c r="AH349" s="53"/>
      <c r="AI349" s="228"/>
      <c r="AJ349" s="52"/>
      <c r="AK349" s="99"/>
      <c r="AL349" s="53"/>
      <c r="AM349" s="228"/>
      <c r="AN349" s="52"/>
      <c r="AO349" s="99"/>
      <c r="AP349" s="53"/>
      <c r="AQ349" s="50">
        <f t="shared" si="137"/>
        <v>0</v>
      </c>
      <c r="AR349" s="163">
        <f t="shared" si="138"/>
        <v>0.64324324324324322</v>
      </c>
      <c r="AS349" s="97">
        <f t="shared" si="139"/>
        <v>0</v>
      </c>
      <c r="AT349" s="278">
        <f t="shared" si="140"/>
        <v>0.70754716981132071</v>
      </c>
      <c r="AU349" s="55"/>
      <c r="AV349" s="277"/>
      <c r="AW349" s="279">
        <v>50</v>
      </c>
      <c r="AX349" s="52">
        <v>42</v>
      </c>
      <c r="AY349" s="105">
        <v>50</v>
      </c>
      <c r="AZ349" s="98">
        <v>37</v>
      </c>
      <c r="BA349" s="279"/>
      <c r="BB349" s="52"/>
      <c r="BC349" s="105"/>
      <c r="BD349" s="98"/>
      <c r="BE349" s="279"/>
      <c r="BF349" s="52"/>
      <c r="BG349" s="105"/>
      <c r="BH349" s="98"/>
      <c r="BI349" s="279"/>
      <c r="BJ349" s="52"/>
      <c r="BK349" s="105"/>
      <c r="BL349" s="98"/>
      <c r="BM349" s="279"/>
      <c r="BN349" s="52"/>
      <c r="BO349" s="105"/>
      <c r="BP349" s="98"/>
      <c r="BQ349" s="279"/>
      <c r="BR349" s="52"/>
      <c r="BS349" s="105"/>
      <c r="BT349" s="98"/>
      <c r="BU349" s="279"/>
      <c r="BV349" s="52"/>
      <c r="BW349" s="105"/>
      <c r="BX349" s="98"/>
      <c r="BY349" s="279"/>
      <c r="BZ349" s="52"/>
      <c r="CA349" s="105"/>
      <c r="CB349" s="98"/>
      <c r="CC349" s="279"/>
      <c r="CD349" s="52"/>
      <c r="CE349" s="105"/>
      <c r="CF349" s="98"/>
      <c r="CG349" s="279"/>
      <c r="CH349" s="52"/>
      <c r="CI349" s="105"/>
      <c r="CJ349" s="98"/>
      <c r="CK349" s="281"/>
      <c r="CL349" s="277"/>
      <c r="CM349" s="159"/>
      <c r="CN349" s="277"/>
      <c r="CO349" s="50">
        <f t="shared" si="146"/>
        <v>42</v>
      </c>
      <c r="CP349" s="103">
        <f t="shared" si="147"/>
        <v>1</v>
      </c>
      <c r="CQ349" s="280">
        <f t="shared" si="148"/>
        <v>37</v>
      </c>
      <c r="CR349" s="63">
        <f t="shared" si="149"/>
        <v>1</v>
      </c>
      <c r="CS349" s="279"/>
      <c r="CT349" s="52"/>
      <c r="CU349" s="105"/>
      <c r="CV349" s="98"/>
      <c r="CW349" s="279"/>
      <c r="CX349" s="52"/>
      <c r="CY349" s="105"/>
      <c r="CZ349" s="98"/>
      <c r="DA349" s="279"/>
      <c r="DB349" s="52"/>
      <c r="DC349" s="105"/>
      <c r="DD349" s="98"/>
      <c r="DE349" s="279"/>
      <c r="DF349" s="52"/>
      <c r="DG349" s="105"/>
      <c r="DH349" s="98"/>
      <c r="DI349" s="279"/>
      <c r="DJ349" s="52"/>
      <c r="DK349" s="105"/>
      <c r="DL349" s="98"/>
      <c r="DM349" s="279"/>
      <c r="DN349" s="52"/>
      <c r="DO349" s="105"/>
      <c r="DP349" s="98"/>
      <c r="DQ349" s="279"/>
      <c r="DR349" s="52"/>
      <c r="DS349" s="105"/>
      <c r="DT349" s="98"/>
      <c r="DU349" s="279"/>
      <c r="DV349" s="52"/>
      <c r="DW349" s="105"/>
      <c r="DX349" s="98"/>
      <c r="DY349" s="279"/>
      <c r="DZ349" s="52"/>
      <c r="EA349" s="105"/>
      <c r="EB349" s="98"/>
      <c r="EC349" s="279"/>
      <c r="ED349" s="52"/>
      <c r="EE349" s="105"/>
      <c r="EF349" s="98"/>
      <c r="EG349" s="159"/>
      <c r="EH349" s="277"/>
      <c r="EI349" s="50">
        <f t="shared" si="150"/>
        <v>0</v>
      </c>
      <c r="EJ349" s="103">
        <f t="shared" si="151"/>
        <v>0</v>
      </c>
      <c r="EK349" s="164">
        <f t="shared" si="152"/>
        <v>0</v>
      </c>
      <c r="EL349" s="280">
        <f t="shared" si="153"/>
        <v>0</v>
      </c>
      <c r="EM349" s="63">
        <f t="shared" si="154"/>
        <v>0</v>
      </c>
      <c r="EN349" s="359">
        <f t="shared" si="155"/>
        <v>0</v>
      </c>
      <c r="EO349" s="51">
        <f t="shared" si="156"/>
        <v>42</v>
      </c>
      <c r="EP349" s="361">
        <f t="shared" si="157"/>
        <v>37</v>
      </c>
      <c r="EQ349" s="281"/>
      <c r="ER349" s="277"/>
      <c r="ES349" s="281"/>
      <c r="ET349" s="277"/>
      <c r="EU349" s="281"/>
      <c r="EV349" s="277"/>
      <c r="EW349" s="281"/>
      <c r="EX349" s="277"/>
      <c r="EY349" s="281"/>
      <c r="EZ349" s="277"/>
      <c r="FA349" s="281"/>
      <c r="FB349" s="277"/>
      <c r="FC349" s="281"/>
      <c r="FD349" s="277"/>
      <c r="FE349" s="281"/>
      <c r="FF349" s="277"/>
      <c r="FG349" s="281"/>
      <c r="FH349" s="277"/>
      <c r="FI349" s="281"/>
      <c r="FJ349" s="277"/>
      <c r="FK349" s="50">
        <f t="shared" si="158"/>
        <v>0</v>
      </c>
      <c r="FL349" s="63">
        <f t="shared" si="159"/>
        <v>0</v>
      </c>
      <c r="FM349" s="50">
        <f t="shared" si="141"/>
        <v>185</v>
      </c>
      <c r="FN349" s="360">
        <f t="shared" si="142"/>
        <v>212</v>
      </c>
      <c r="FO349" s="3"/>
      <c r="FP349" s="279"/>
      <c r="FQ349" s="52"/>
      <c r="FR349" s="296"/>
      <c r="FS349" s="98"/>
      <c r="FT349" s="467"/>
      <c r="FU349" s="52"/>
      <c r="FV349" s="296"/>
      <c r="FW349" s="98"/>
      <c r="FX349" s="467"/>
      <c r="FY349" s="52"/>
      <c r="FZ349" s="296"/>
      <c r="GA349" s="98"/>
      <c r="GB349" s="467"/>
      <c r="GC349" s="52"/>
      <c r="GD349" s="296"/>
      <c r="GE349" s="98"/>
      <c r="GF349" s="467"/>
      <c r="GG349" s="52"/>
      <c r="GH349" s="296"/>
      <c r="GI349" s="98"/>
      <c r="GJ349" s="467"/>
      <c r="GK349" s="52"/>
      <c r="GL349" s="296"/>
      <c r="GM349" s="464"/>
      <c r="GN349" s="467"/>
      <c r="GO349" s="52"/>
      <c r="GP349" s="296"/>
      <c r="GQ349" s="464"/>
      <c r="GR349" s="467"/>
      <c r="GS349" s="52"/>
      <c r="GT349" s="296"/>
      <c r="GU349" s="464"/>
      <c r="GV349" s="467"/>
      <c r="GW349" s="52"/>
      <c r="GX349" s="296"/>
      <c r="GY349" s="464"/>
      <c r="GZ349" s="467"/>
      <c r="HA349" s="52"/>
      <c r="HB349" s="296"/>
      <c r="HC349" s="3"/>
    </row>
    <row r="350" spans="1:211" s="86" customFormat="1">
      <c r="A350" s="521" t="s">
        <v>984</v>
      </c>
      <c r="B350" s="318" t="s">
        <v>985</v>
      </c>
      <c r="C350" s="317">
        <v>197887</v>
      </c>
      <c r="D350" s="346">
        <v>8</v>
      </c>
      <c r="E350" s="460">
        <v>296</v>
      </c>
      <c r="F350" s="337">
        <v>261</v>
      </c>
      <c r="G350" s="158"/>
      <c r="H350" s="277"/>
      <c r="I350" s="158">
        <v>575</v>
      </c>
      <c r="J350" s="665">
        <v>561</v>
      </c>
      <c r="K350" s="160">
        <f t="shared" si="143"/>
        <v>0</v>
      </c>
      <c r="L350" s="161">
        <f t="shared" si="136"/>
        <v>0</v>
      </c>
      <c r="M350" s="54"/>
      <c r="N350" s="55"/>
      <c r="O350" s="55"/>
      <c r="P350" s="55"/>
      <c r="Q350" s="162">
        <f t="shared" si="144"/>
        <v>0</v>
      </c>
      <c r="R350" s="277"/>
      <c r="S350" s="277"/>
      <c r="T350" s="277"/>
      <c r="U350" s="277"/>
      <c r="V350" s="97">
        <f t="shared" si="145"/>
        <v>0</v>
      </c>
      <c r="W350" s="279"/>
      <c r="X350" s="52"/>
      <c r="Y350" s="99"/>
      <c r="Z350" s="53"/>
      <c r="AA350" s="228"/>
      <c r="AB350" s="52"/>
      <c r="AC350" s="99"/>
      <c r="AD350" s="53"/>
      <c r="AE350" s="228"/>
      <c r="AF350" s="52"/>
      <c r="AG350" s="99"/>
      <c r="AH350" s="53"/>
      <c r="AI350" s="228"/>
      <c r="AJ350" s="52"/>
      <c r="AK350" s="99"/>
      <c r="AL350" s="53"/>
      <c r="AM350" s="228"/>
      <c r="AN350" s="52"/>
      <c r="AO350" s="99"/>
      <c r="AP350" s="53"/>
      <c r="AQ350" s="50">
        <f t="shared" si="137"/>
        <v>0</v>
      </c>
      <c r="AR350" s="163">
        <f t="shared" si="138"/>
        <v>0</v>
      </c>
      <c r="AS350" s="97">
        <f t="shared" si="139"/>
        <v>0</v>
      </c>
      <c r="AT350" s="278">
        <f t="shared" si="140"/>
        <v>0</v>
      </c>
      <c r="AU350" s="55"/>
      <c r="AV350" s="277"/>
      <c r="AW350" s="279"/>
      <c r="AX350" s="52"/>
      <c r="AY350" s="105"/>
      <c r="AZ350" s="98"/>
      <c r="BA350" s="279"/>
      <c r="BB350" s="52"/>
      <c r="BC350" s="105"/>
      <c r="BD350" s="98"/>
      <c r="BE350" s="279"/>
      <c r="BF350" s="52"/>
      <c r="BG350" s="105"/>
      <c r="BH350" s="98"/>
      <c r="BI350" s="279"/>
      <c r="BJ350" s="52"/>
      <c r="BK350" s="105"/>
      <c r="BL350" s="98"/>
      <c r="BM350" s="279"/>
      <c r="BN350" s="52"/>
      <c r="BO350" s="105"/>
      <c r="BP350" s="98"/>
      <c r="BQ350" s="279"/>
      <c r="BR350" s="52"/>
      <c r="BS350" s="105"/>
      <c r="BT350" s="98"/>
      <c r="BU350" s="279"/>
      <c r="BV350" s="52"/>
      <c r="BW350" s="105"/>
      <c r="BX350" s="98"/>
      <c r="BY350" s="279"/>
      <c r="BZ350" s="52"/>
      <c r="CA350" s="105"/>
      <c r="CB350" s="98"/>
      <c r="CC350" s="279"/>
      <c r="CD350" s="52"/>
      <c r="CE350" s="105"/>
      <c r="CF350" s="98"/>
      <c r="CG350" s="279"/>
      <c r="CH350" s="52"/>
      <c r="CI350" s="105"/>
      <c r="CJ350" s="98"/>
      <c r="CK350" s="281"/>
      <c r="CL350" s="277"/>
      <c r="CM350" s="159"/>
      <c r="CN350" s="277"/>
      <c r="CO350" s="50">
        <f t="shared" si="146"/>
        <v>0</v>
      </c>
      <c r="CP350" s="103">
        <f t="shared" si="147"/>
        <v>0</v>
      </c>
      <c r="CQ350" s="280">
        <f t="shared" si="148"/>
        <v>0</v>
      </c>
      <c r="CR350" s="63">
        <f t="shared" si="149"/>
        <v>0</v>
      </c>
      <c r="CS350" s="279"/>
      <c r="CT350" s="52"/>
      <c r="CU350" s="105"/>
      <c r="CV350" s="98"/>
      <c r="CW350" s="279"/>
      <c r="CX350" s="52"/>
      <c r="CY350" s="105"/>
      <c r="CZ350" s="98"/>
      <c r="DA350" s="279"/>
      <c r="DB350" s="52"/>
      <c r="DC350" s="105"/>
      <c r="DD350" s="98"/>
      <c r="DE350" s="279"/>
      <c r="DF350" s="52"/>
      <c r="DG350" s="105"/>
      <c r="DH350" s="98"/>
      <c r="DI350" s="279"/>
      <c r="DJ350" s="52"/>
      <c r="DK350" s="105"/>
      <c r="DL350" s="98"/>
      <c r="DM350" s="279"/>
      <c r="DN350" s="52"/>
      <c r="DO350" s="105"/>
      <c r="DP350" s="98"/>
      <c r="DQ350" s="279"/>
      <c r="DR350" s="52"/>
      <c r="DS350" s="105"/>
      <c r="DT350" s="98"/>
      <c r="DU350" s="279"/>
      <c r="DV350" s="52"/>
      <c r="DW350" s="105"/>
      <c r="DX350" s="98"/>
      <c r="DY350" s="279"/>
      <c r="DZ350" s="52"/>
      <c r="EA350" s="105"/>
      <c r="EB350" s="98"/>
      <c r="EC350" s="279"/>
      <c r="ED350" s="52"/>
      <c r="EE350" s="105"/>
      <c r="EF350" s="98"/>
      <c r="EG350" s="159"/>
      <c r="EH350" s="277"/>
      <c r="EI350" s="50">
        <f t="shared" si="150"/>
        <v>0</v>
      </c>
      <c r="EJ350" s="103">
        <f t="shared" si="151"/>
        <v>0</v>
      </c>
      <c r="EK350" s="164">
        <f t="shared" si="152"/>
        <v>0</v>
      </c>
      <c r="EL350" s="280">
        <f t="shared" si="153"/>
        <v>0</v>
      </c>
      <c r="EM350" s="63">
        <f t="shared" si="154"/>
        <v>0</v>
      </c>
      <c r="EN350" s="359">
        <f t="shared" si="155"/>
        <v>0</v>
      </c>
      <c r="EO350" s="51">
        <f t="shared" si="156"/>
        <v>0</v>
      </c>
      <c r="EP350" s="361">
        <f t="shared" si="157"/>
        <v>0</v>
      </c>
      <c r="EQ350" s="281"/>
      <c r="ER350" s="277"/>
      <c r="ES350" s="281"/>
      <c r="ET350" s="277"/>
      <c r="EU350" s="281"/>
      <c r="EV350" s="277"/>
      <c r="EW350" s="281"/>
      <c r="EX350" s="277"/>
      <c r="EY350" s="281"/>
      <c r="EZ350" s="277"/>
      <c r="FA350" s="281"/>
      <c r="FB350" s="277"/>
      <c r="FC350" s="281"/>
      <c r="FD350" s="277"/>
      <c r="FE350" s="281"/>
      <c r="FF350" s="277"/>
      <c r="FG350" s="281"/>
      <c r="FH350" s="277"/>
      <c r="FI350" s="281"/>
      <c r="FJ350" s="277"/>
      <c r="FK350" s="50">
        <f t="shared" si="158"/>
        <v>0</v>
      </c>
      <c r="FL350" s="63">
        <f t="shared" si="159"/>
        <v>0</v>
      </c>
      <c r="FM350" s="50">
        <f t="shared" si="141"/>
        <v>871</v>
      </c>
      <c r="FN350" s="360">
        <f t="shared" si="142"/>
        <v>822</v>
      </c>
      <c r="FO350" s="3"/>
      <c r="FP350" s="279"/>
      <c r="FQ350" s="52"/>
      <c r="FR350" s="296"/>
      <c r="FS350" s="98"/>
      <c r="FT350" s="467"/>
      <c r="FU350" s="52"/>
      <c r="FV350" s="296"/>
      <c r="FW350" s="98"/>
      <c r="FX350" s="467"/>
      <c r="FY350" s="52"/>
      <c r="FZ350" s="296"/>
      <c r="GA350" s="98"/>
      <c r="GB350" s="467"/>
      <c r="GC350" s="52"/>
      <c r="GD350" s="296"/>
      <c r="GE350" s="98"/>
      <c r="GF350" s="467"/>
      <c r="GG350" s="52"/>
      <c r="GH350" s="296"/>
      <c r="GI350" s="98"/>
      <c r="GJ350" s="467"/>
      <c r="GK350" s="52"/>
      <c r="GL350" s="296"/>
      <c r="GM350" s="464"/>
      <c r="GN350" s="467"/>
      <c r="GO350" s="52"/>
      <c r="GP350" s="296"/>
      <c r="GQ350" s="464"/>
      <c r="GR350" s="467"/>
      <c r="GS350" s="52"/>
      <c r="GT350" s="296"/>
      <c r="GU350" s="464"/>
      <c r="GV350" s="467"/>
      <c r="GW350" s="52"/>
      <c r="GX350" s="296"/>
      <c r="GY350" s="464"/>
      <c r="GZ350" s="467"/>
      <c r="HA350" s="52"/>
      <c r="HB350" s="296"/>
      <c r="HC350" s="3"/>
    </row>
    <row r="351" spans="1:211" s="86" customFormat="1">
      <c r="A351" s="521" t="s">
        <v>984</v>
      </c>
      <c r="B351" s="318" t="s">
        <v>986</v>
      </c>
      <c r="C351" s="317">
        <v>198154</v>
      </c>
      <c r="D351" s="346">
        <v>8</v>
      </c>
      <c r="E351" s="460">
        <v>517</v>
      </c>
      <c r="F351" s="337">
        <v>480</v>
      </c>
      <c r="G351" s="158"/>
      <c r="H351" s="277"/>
      <c r="I351" s="158">
        <v>748</v>
      </c>
      <c r="J351" s="665">
        <v>831</v>
      </c>
      <c r="K351" s="160">
        <f t="shared" si="143"/>
        <v>0</v>
      </c>
      <c r="L351" s="161">
        <f t="shared" si="136"/>
        <v>0</v>
      </c>
      <c r="M351" s="54"/>
      <c r="N351" s="55"/>
      <c r="O351" s="55"/>
      <c r="P351" s="55"/>
      <c r="Q351" s="162">
        <f t="shared" si="144"/>
        <v>0</v>
      </c>
      <c r="R351" s="277"/>
      <c r="S351" s="277"/>
      <c r="T351" s="277"/>
      <c r="U351" s="277"/>
      <c r="V351" s="97">
        <f t="shared" si="145"/>
        <v>0</v>
      </c>
      <c r="W351" s="279"/>
      <c r="X351" s="52"/>
      <c r="Y351" s="99"/>
      <c r="Z351" s="53"/>
      <c r="AA351" s="228"/>
      <c r="AB351" s="52"/>
      <c r="AC351" s="99"/>
      <c r="AD351" s="53"/>
      <c r="AE351" s="228"/>
      <c r="AF351" s="52"/>
      <c r="AG351" s="99"/>
      <c r="AH351" s="53"/>
      <c r="AI351" s="228"/>
      <c r="AJ351" s="52"/>
      <c r="AK351" s="99"/>
      <c r="AL351" s="53"/>
      <c r="AM351" s="228"/>
      <c r="AN351" s="52"/>
      <c r="AO351" s="99"/>
      <c r="AP351" s="53"/>
      <c r="AQ351" s="50">
        <f t="shared" si="137"/>
        <v>0</v>
      </c>
      <c r="AR351" s="163">
        <f t="shared" si="138"/>
        <v>0</v>
      </c>
      <c r="AS351" s="97">
        <f t="shared" si="139"/>
        <v>0</v>
      </c>
      <c r="AT351" s="278">
        <f t="shared" si="140"/>
        <v>0</v>
      </c>
      <c r="AU351" s="55"/>
      <c r="AV351" s="277"/>
      <c r="AW351" s="279"/>
      <c r="AX351" s="52"/>
      <c r="AY351" s="105"/>
      <c r="AZ351" s="98"/>
      <c r="BA351" s="279"/>
      <c r="BB351" s="52"/>
      <c r="BC351" s="105"/>
      <c r="BD351" s="98"/>
      <c r="BE351" s="279"/>
      <c r="BF351" s="52"/>
      <c r="BG351" s="105"/>
      <c r="BH351" s="98"/>
      <c r="BI351" s="279"/>
      <c r="BJ351" s="52"/>
      <c r="BK351" s="105"/>
      <c r="BL351" s="98"/>
      <c r="BM351" s="279"/>
      <c r="BN351" s="52"/>
      <c r="BO351" s="105"/>
      <c r="BP351" s="98"/>
      <c r="BQ351" s="279"/>
      <c r="BR351" s="52"/>
      <c r="BS351" s="105"/>
      <c r="BT351" s="98"/>
      <c r="BU351" s="279"/>
      <c r="BV351" s="52"/>
      <c r="BW351" s="105"/>
      <c r="BX351" s="98"/>
      <c r="BY351" s="279"/>
      <c r="BZ351" s="52"/>
      <c r="CA351" s="105"/>
      <c r="CB351" s="98"/>
      <c r="CC351" s="279"/>
      <c r="CD351" s="52"/>
      <c r="CE351" s="105"/>
      <c r="CF351" s="98"/>
      <c r="CG351" s="279"/>
      <c r="CH351" s="52"/>
      <c r="CI351" s="105"/>
      <c r="CJ351" s="98"/>
      <c r="CK351" s="281"/>
      <c r="CL351" s="277"/>
      <c r="CM351" s="159"/>
      <c r="CN351" s="277"/>
      <c r="CO351" s="50">
        <f t="shared" si="146"/>
        <v>0</v>
      </c>
      <c r="CP351" s="103">
        <f t="shared" si="147"/>
        <v>0</v>
      </c>
      <c r="CQ351" s="280">
        <f t="shared" si="148"/>
        <v>0</v>
      </c>
      <c r="CR351" s="63">
        <f t="shared" si="149"/>
        <v>0</v>
      </c>
      <c r="CS351" s="279"/>
      <c r="CT351" s="52"/>
      <c r="CU351" s="105"/>
      <c r="CV351" s="98"/>
      <c r="CW351" s="279"/>
      <c r="CX351" s="52"/>
      <c r="CY351" s="105"/>
      <c r="CZ351" s="98"/>
      <c r="DA351" s="279"/>
      <c r="DB351" s="52"/>
      <c r="DC351" s="105"/>
      <c r="DD351" s="98"/>
      <c r="DE351" s="279"/>
      <c r="DF351" s="52"/>
      <c r="DG351" s="105"/>
      <c r="DH351" s="98"/>
      <c r="DI351" s="279"/>
      <c r="DJ351" s="52"/>
      <c r="DK351" s="105"/>
      <c r="DL351" s="98"/>
      <c r="DM351" s="279"/>
      <c r="DN351" s="52"/>
      <c r="DO351" s="105"/>
      <c r="DP351" s="98"/>
      <c r="DQ351" s="279"/>
      <c r="DR351" s="52"/>
      <c r="DS351" s="105"/>
      <c r="DT351" s="98"/>
      <c r="DU351" s="279"/>
      <c r="DV351" s="52"/>
      <c r="DW351" s="105"/>
      <c r="DX351" s="98"/>
      <c r="DY351" s="279"/>
      <c r="DZ351" s="52"/>
      <c r="EA351" s="105"/>
      <c r="EB351" s="98"/>
      <c r="EC351" s="279"/>
      <c r="ED351" s="52"/>
      <c r="EE351" s="105"/>
      <c r="EF351" s="98"/>
      <c r="EG351" s="159"/>
      <c r="EH351" s="277"/>
      <c r="EI351" s="50">
        <f t="shared" si="150"/>
        <v>0</v>
      </c>
      <c r="EJ351" s="103">
        <f t="shared" si="151"/>
        <v>0</v>
      </c>
      <c r="EK351" s="164">
        <f t="shared" si="152"/>
        <v>0</v>
      </c>
      <c r="EL351" s="280">
        <f t="shared" si="153"/>
        <v>0</v>
      </c>
      <c r="EM351" s="63">
        <f t="shared" si="154"/>
        <v>0</v>
      </c>
      <c r="EN351" s="359">
        <f t="shared" si="155"/>
        <v>0</v>
      </c>
      <c r="EO351" s="51">
        <f t="shared" si="156"/>
        <v>0</v>
      </c>
      <c r="EP351" s="361">
        <f t="shared" si="157"/>
        <v>0</v>
      </c>
      <c r="EQ351" s="281"/>
      <c r="ER351" s="277"/>
      <c r="ES351" s="281"/>
      <c r="ET351" s="277"/>
      <c r="EU351" s="281"/>
      <c r="EV351" s="277"/>
      <c r="EW351" s="281"/>
      <c r="EX351" s="277"/>
      <c r="EY351" s="281"/>
      <c r="EZ351" s="277"/>
      <c r="FA351" s="281"/>
      <c r="FB351" s="277"/>
      <c r="FC351" s="281"/>
      <c r="FD351" s="277"/>
      <c r="FE351" s="281"/>
      <c r="FF351" s="277"/>
      <c r="FG351" s="281"/>
      <c r="FH351" s="277"/>
      <c r="FI351" s="281"/>
      <c r="FJ351" s="277"/>
      <c r="FK351" s="50">
        <f t="shared" si="158"/>
        <v>0</v>
      </c>
      <c r="FL351" s="63">
        <f t="shared" si="159"/>
        <v>0</v>
      </c>
      <c r="FM351" s="50">
        <f t="shared" si="141"/>
        <v>1265</v>
      </c>
      <c r="FN351" s="360">
        <f t="shared" si="142"/>
        <v>1311</v>
      </c>
      <c r="FO351" s="3"/>
      <c r="FP351" s="279"/>
      <c r="FQ351" s="52"/>
      <c r="FR351" s="296"/>
      <c r="FS351" s="98"/>
      <c r="FT351" s="467"/>
      <c r="FU351" s="52"/>
      <c r="FV351" s="296"/>
      <c r="FW351" s="98"/>
      <c r="FX351" s="467"/>
      <c r="FY351" s="52"/>
      <c r="FZ351" s="296"/>
      <c r="GA351" s="98"/>
      <c r="GB351" s="467"/>
      <c r="GC351" s="52"/>
      <c r="GD351" s="296"/>
      <c r="GE351" s="98"/>
      <c r="GF351" s="467"/>
      <c r="GG351" s="52"/>
      <c r="GH351" s="296"/>
      <c r="GI351" s="98"/>
      <c r="GJ351" s="467"/>
      <c r="GK351" s="52"/>
      <c r="GL351" s="296"/>
      <c r="GM351" s="464"/>
      <c r="GN351" s="467"/>
      <c r="GO351" s="52"/>
      <c r="GP351" s="296"/>
      <c r="GQ351" s="464"/>
      <c r="GR351" s="467"/>
      <c r="GS351" s="52"/>
      <c r="GT351" s="296"/>
      <c r="GU351" s="464"/>
      <c r="GV351" s="467"/>
      <c r="GW351" s="52"/>
      <c r="GX351" s="296"/>
      <c r="GY351" s="464"/>
      <c r="GZ351" s="467"/>
      <c r="HA351" s="52"/>
      <c r="HB351" s="296"/>
      <c r="HC351" s="3"/>
    </row>
    <row r="352" spans="1:211" s="86" customFormat="1">
      <c r="A352" s="521" t="s">
        <v>984</v>
      </c>
      <c r="B352" s="318" t="s">
        <v>987</v>
      </c>
      <c r="C352" s="317">
        <v>198233</v>
      </c>
      <c r="D352" s="346">
        <v>8</v>
      </c>
      <c r="E352" s="460">
        <v>236</v>
      </c>
      <c r="F352" s="337">
        <v>212</v>
      </c>
      <c r="G352" s="158"/>
      <c r="H352" s="277"/>
      <c r="I352" s="158">
        <v>459</v>
      </c>
      <c r="J352" s="665">
        <v>467</v>
      </c>
      <c r="K352" s="160">
        <f t="shared" si="143"/>
        <v>0</v>
      </c>
      <c r="L352" s="161">
        <f t="shared" si="136"/>
        <v>0</v>
      </c>
      <c r="M352" s="54"/>
      <c r="N352" s="55"/>
      <c r="O352" s="55"/>
      <c r="P352" s="55"/>
      <c r="Q352" s="162">
        <f t="shared" si="144"/>
        <v>0</v>
      </c>
      <c r="R352" s="277"/>
      <c r="S352" s="277"/>
      <c r="T352" s="277"/>
      <c r="U352" s="277"/>
      <c r="V352" s="97">
        <f t="shared" si="145"/>
        <v>0</v>
      </c>
      <c r="W352" s="279"/>
      <c r="X352" s="52"/>
      <c r="Y352" s="99"/>
      <c r="Z352" s="53"/>
      <c r="AA352" s="228"/>
      <c r="AB352" s="52"/>
      <c r="AC352" s="99"/>
      <c r="AD352" s="53"/>
      <c r="AE352" s="228"/>
      <c r="AF352" s="52"/>
      <c r="AG352" s="99"/>
      <c r="AH352" s="53"/>
      <c r="AI352" s="228"/>
      <c r="AJ352" s="52"/>
      <c r="AK352" s="99"/>
      <c r="AL352" s="53"/>
      <c r="AM352" s="228"/>
      <c r="AN352" s="52"/>
      <c r="AO352" s="99"/>
      <c r="AP352" s="53"/>
      <c r="AQ352" s="50">
        <f t="shared" si="137"/>
        <v>0</v>
      </c>
      <c r="AR352" s="163">
        <f t="shared" si="138"/>
        <v>0</v>
      </c>
      <c r="AS352" s="97">
        <f t="shared" si="139"/>
        <v>0</v>
      </c>
      <c r="AT352" s="278">
        <f t="shared" si="140"/>
        <v>0</v>
      </c>
      <c r="AU352" s="55"/>
      <c r="AV352" s="277"/>
      <c r="AW352" s="279"/>
      <c r="AX352" s="52"/>
      <c r="AY352" s="105"/>
      <c r="AZ352" s="98"/>
      <c r="BA352" s="279"/>
      <c r="BB352" s="52"/>
      <c r="BC352" s="105"/>
      <c r="BD352" s="98"/>
      <c r="BE352" s="279"/>
      <c r="BF352" s="52"/>
      <c r="BG352" s="105"/>
      <c r="BH352" s="98"/>
      <c r="BI352" s="279"/>
      <c r="BJ352" s="52"/>
      <c r="BK352" s="105"/>
      <c r="BL352" s="98"/>
      <c r="BM352" s="279"/>
      <c r="BN352" s="52"/>
      <c r="BO352" s="105"/>
      <c r="BP352" s="98"/>
      <c r="BQ352" s="279"/>
      <c r="BR352" s="52"/>
      <c r="BS352" s="105"/>
      <c r="BT352" s="98"/>
      <c r="BU352" s="279"/>
      <c r="BV352" s="52"/>
      <c r="BW352" s="105"/>
      <c r="BX352" s="98"/>
      <c r="BY352" s="279"/>
      <c r="BZ352" s="52"/>
      <c r="CA352" s="105"/>
      <c r="CB352" s="98"/>
      <c r="CC352" s="279"/>
      <c r="CD352" s="52"/>
      <c r="CE352" s="105"/>
      <c r="CF352" s="98"/>
      <c r="CG352" s="279"/>
      <c r="CH352" s="52"/>
      <c r="CI352" s="105"/>
      <c r="CJ352" s="98"/>
      <c r="CK352" s="281"/>
      <c r="CL352" s="277"/>
      <c r="CM352" s="159"/>
      <c r="CN352" s="277"/>
      <c r="CO352" s="50">
        <f t="shared" si="146"/>
        <v>0</v>
      </c>
      <c r="CP352" s="103">
        <f t="shared" si="147"/>
        <v>0</v>
      </c>
      <c r="CQ352" s="280">
        <f t="shared" si="148"/>
        <v>0</v>
      </c>
      <c r="CR352" s="63">
        <f t="shared" si="149"/>
        <v>0</v>
      </c>
      <c r="CS352" s="279"/>
      <c r="CT352" s="52"/>
      <c r="CU352" s="105"/>
      <c r="CV352" s="98"/>
      <c r="CW352" s="279"/>
      <c r="CX352" s="52"/>
      <c r="CY352" s="105"/>
      <c r="CZ352" s="98"/>
      <c r="DA352" s="279"/>
      <c r="DB352" s="52"/>
      <c r="DC352" s="105"/>
      <c r="DD352" s="98"/>
      <c r="DE352" s="279"/>
      <c r="DF352" s="52"/>
      <c r="DG352" s="105"/>
      <c r="DH352" s="98"/>
      <c r="DI352" s="279"/>
      <c r="DJ352" s="52"/>
      <c r="DK352" s="105"/>
      <c r="DL352" s="98"/>
      <c r="DM352" s="279"/>
      <c r="DN352" s="52"/>
      <c r="DO352" s="105"/>
      <c r="DP352" s="98"/>
      <c r="DQ352" s="279"/>
      <c r="DR352" s="52"/>
      <c r="DS352" s="105"/>
      <c r="DT352" s="98"/>
      <c r="DU352" s="279"/>
      <c r="DV352" s="52"/>
      <c r="DW352" s="105"/>
      <c r="DX352" s="98"/>
      <c r="DY352" s="279"/>
      <c r="DZ352" s="52"/>
      <c r="EA352" s="105"/>
      <c r="EB352" s="98"/>
      <c r="EC352" s="279"/>
      <c r="ED352" s="52"/>
      <c r="EE352" s="105"/>
      <c r="EF352" s="98"/>
      <c r="EG352" s="159"/>
      <c r="EH352" s="277"/>
      <c r="EI352" s="50">
        <f t="shared" si="150"/>
        <v>0</v>
      </c>
      <c r="EJ352" s="103">
        <f t="shared" si="151"/>
        <v>0</v>
      </c>
      <c r="EK352" s="164">
        <f t="shared" si="152"/>
        <v>0</v>
      </c>
      <c r="EL352" s="280">
        <f t="shared" si="153"/>
        <v>0</v>
      </c>
      <c r="EM352" s="63">
        <f t="shared" si="154"/>
        <v>0</v>
      </c>
      <c r="EN352" s="359">
        <f t="shared" si="155"/>
        <v>0</v>
      </c>
      <c r="EO352" s="51">
        <f t="shared" si="156"/>
        <v>0</v>
      </c>
      <c r="EP352" s="361">
        <f t="shared" si="157"/>
        <v>0</v>
      </c>
      <c r="EQ352" s="281"/>
      <c r="ER352" s="277"/>
      <c r="ES352" s="281"/>
      <c r="ET352" s="277"/>
      <c r="EU352" s="281"/>
      <c r="EV352" s="277"/>
      <c r="EW352" s="281"/>
      <c r="EX352" s="277"/>
      <c r="EY352" s="281"/>
      <c r="EZ352" s="277"/>
      <c r="FA352" s="281"/>
      <c r="FB352" s="277"/>
      <c r="FC352" s="281"/>
      <c r="FD352" s="277"/>
      <c r="FE352" s="281"/>
      <c r="FF352" s="277"/>
      <c r="FG352" s="281"/>
      <c r="FH352" s="277"/>
      <c r="FI352" s="281"/>
      <c r="FJ352" s="277"/>
      <c r="FK352" s="50">
        <f t="shared" si="158"/>
        <v>0</v>
      </c>
      <c r="FL352" s="63">
        <f t="shared" si="159"/>
        <v>0</v>
      </c>
      <c r="FM352" s="50">
        <f t="shared" si="141"/>
        <v>695</v>
      </c>
      <c r="FN352" s="360">
        <f t="shared" si="142"/>
        <v>679</v>
      </c>
      <c r="FO352" s="3"/>
      <c r="FP352" s="279"/>
      <c r="FQ352" s="52"/>
      <c r="FR352" s="296"/>
      <c r="FS352" s="98"/>
      <c r="FT352" s="467"/>
      <c r="FU352" s="52"/>
      <c r="FV352" s="296"/>
      <c r="FW352" s="98"/>
      <c r="FX352" s="467"/>
      <c r="FY352" s="52"/>
      <c r="FZ352" s="296"/>
      <c r="GA352" s="98"/>
      <c r="GB352" s="467"/>
      <c r="GC352" s="52"/>
      <c r="GD352" s="296"/>
      <c r="GE352" s="98"/>
      <c r="GF352" s="467"/>
      <c r="GG352" s="52"/>
      <c r="GH352" s="296"/>
      <c r="GI352" s="98"/>
      <c r="GJ352" s="467"/>
      <c r="GK352" s="52"/>
      <c r="GL352" s="296"/>
      <c r="GM352" s="464"/>
      <c r="GN352" s="467"/>
      <c r="GO352" s="52"/>
      <c r="GP352" s="296"/>
      <c r="GQ352" s="464"/>
      <c r="GR352" s="467"/>
      <c r="GS352" s="52"/>
      <c r="GT352" s="296"/>
      <c r="GU352" s="464"/>
      <c r="GV352" s="467"/>
      <c r="GW352" s="52"/>
      <c r="GX352" s="296"/>
      <c r="GY352" s="464"/>
      <c r="GZ352" s="467"/>
      <c r="HA352" s="52"/>
      <c r="HB352" s="296"/>
      <c r="HC352" s="3"/>
    </row>
    <row r="353" spans="1:211" s="86" customFormat="1">
      <c r="A353" s="521" t="s">
        <v>984</v>
      </c>
      <c r="B353" s="318" t="s">
        <v>988</v>
      </c>
      <c r="C353" s="317">
        <v>198251</v>
      </c>
      <c r="D353" s="346">
        <v>8</v>
      </c>
      <c r="E353" s="460">
        <v>816</v>
      </c>
      <c r="F353" s="337">
        <v>789</v>
      </c>
      <c r="G353" s="158"/>
      <c r="H353" s="277"/>
      <c r="I353" s="158">
        <v>305</v>
      </c>
      <c r="J353" s="665">
        <v>379</v>
      </c>
      <c r="K353" s="160">
        <f t="shared" si="143"/>
        <v>0</v>
      </c>
      <c r="L353" s="161">
        <f t="shared" si="136"/>
        <v>0</v>
      </c>
      <c r="M353" s="54"/>
      <c r="N353" s="55"/>
      <c r="O353" s="55"/>
      <c r="P353" s="55"/>
      <c r="Q353" s="162">
        <f t="shared" si="144"/>
        <v>0</v>
      </c>
      <c r="R353" s="277"/>
      <c r="S353" s="277"/>
      <c r="T353" s="277"/>
      <c r="U353" s="277"/>
      <c r="V353" s="97">
        <f t="shared" si="145"/>
        <v>0</v>
      </c>
      <c r="W353" s="279"/>
      <c r="X353" s="52"/>
      <c r="Y353" s="99"/>
      <c r="Z353" s="53"/>
      <c r="AA353" s="228"/>
      <c r="AB353" s="52"/>
      <c r="AC353" s="99"/>
      <c r="AD353" s="53"/>
      <c r="AE353" s="228"/>
      <c r="AF353" s="52"/>
      <c r="AG353" s="99"/>
      <c r="AH353" s="53"/>
      <c r="AI353" s="228"/>
      <c r="AJ353" s="52"/>
      <c r="AK353" s="99"/>
      <c r="AL353" s="53"/>
      <c r="AM353" s="228"/>
      <c r="AN353" s="52"/>
      <c r="AO353" s="99"/>
      <c r="AP353" s="53"/>
      <c r="AQ353" s="50">
        <f t="shared" si="137"/>
        <v>0</v>
      </c>
      <c r="AR353" s="163">
        <f t="shared" si="138"/>
        <v>0</v>
      </c>
      <c r="AS353" s="97">
        <f t="shared" si="139"/>
        <v>0</v>
      </c>
      <c r="AT353" s="278">
        <f t="shared" si="140"/>
        <v>0</v>
      </c>
      <c r="AU353" s="55"/>
      <c r="AV353" s="277"/>
      <c r="AW353" s="279"/>
      <c r="AX353" s="52"/>
      <c r="AY353" s="105"/>
      <c r="AZ353" s="98"/>
      <c r="BA353" s="279"/>
      <c r="BB353" s="52"/>
      <c r="BC353" s="105"/>
      <c r="BD353" s="98"/>
      <c r="BE353" s="279"/>
      <c r="BF353" s="52"/>
      <c r="BG353" s="105"/>
      <c r="BH353" s="98"/>
      <c r="BI353" s="279"/>
      <c r="BJ353" s="52"/>
      <c r="BK353" s="105"/>
      <c r="BL353" s="98"/>
      <c r="BM353" s="279"/>
      <c r="BN353" s="52"/>
      <c r="BO353" s="105"/>
      <c r="BP353" s="98"/>
      <c r="BQ353" s="279"/>
      <c r="BR353" s="52"/>
      <c r="BS353" s="105"/>
      <c r="BT353" s="98"/>
      <c r="BU353" s="279"/>
      <c r="BV353" s="52"/>
      <c r="BW353" s="105"/>
      <c r="BX353" s="98"/>
      <c r="BY353" s="279"/>
      <c r="BZ353" s="52"/>
      <c r="CA353" s="105"/>
      <c r="CB353" s="98"/>
      <c r="CC353" s="279"/>
      <c r="CD353" s="52"/>
      <c r="CE353" s="105"/>
      <c r="CF353" s="98"/>
      <c r="CG353" s="279"/>
      <c r="CH353" s="52"/>
      <c r="CI353" s="105"/>
      <c r="CJ353" s="98"/>
      <c r="CK353" s="281"/>
      <c r="CL353" s="277"/>
      <c r="CM353" s="159"/>
      <c r="CN353" s="277"/>
      <c r="CO353" s="50">
        <f t="shared" si="146"/>
        <v>0</v>
      </c>
      <c r="CP353" s="103">
        <f t="shared" si="147"/>
        <v>0</v>
      </c>
      <c r="CQ353" s="280">
        <f t="shared" si="148"/>
        <v>0</v>
      </c>
      <c r="CR353" s="63">
        <f t="shared" si="149"/>
        <v>0</v>
      </c>
      <c r="CS353" s="279"/>
      <c r="CT353" s="52"/>
      <c r="CU353" s="105"/>
      <c r="CV353" s="98"/>
      <c r="CW353" s="279"/>
      <c r="CX353" s="52"/>
      <c r="CY353" s="105"/>
      <c r="CZ353" s="98"/>
      <c r="DA353" s="279"/>
      <c r="DB353" s="52"/>
      <c r="DC353" s="105"/>
      <c r="DD353" s="98"/>
      <c r="DE353" s="279"/>
      <c r="DF353" s="52"/>
      <c r="DG353" s="105"/>
      <c r="DH353" s="98"/>
      <c r="DI353" s="279"/>
      <c r="DJ353" s="52"/>
      <c r="DK353" s="105"/>
      <c r="DL353" s="98"/>
      <c r="DM353" s="279"/>
      <c r="DN353" s="52"/>
      <c r="DO353" s="105"/>
      <c r="DP353" s="98"/>
      <c r="DQ353" s="279"/>
      <c r="DR353" s="52"/>
      <c r="DS353" s="105"/>
      <c r="DT353" s="98"/>
      <c r="DU353" s="279"/>
      <c r="DV353" s="52"/>
      <c r="DW353" s="105"/>
      <c r="DX353" s="98"/>
      <c r="DY353" s="279"/>
      <c r="DZ353" s="52"/>
      <c r="EA353" s="105"/>
      <c r="EB353" s="98"/>
      <c r="EC353" s="279"/>
      <c r="ED353" s="52"/>
      <c r="EE353" s="105"/>
      <c r="EF353" s="98"/>
      <c r="EG353" s="159"/>
      <c r="EH353" s="277"/>
      <c r="EI353" s="50">
        <f t="shared" si="150"/>
        <v>0</v>
      </c>
      <c r="EJ353" s="103">
        <f t="shared" si="151"/>
        <v>0</v>
      </c>
      <c r="EK353" s="164">
        <f t="shared" si="152"/>
        <v>0</v>
      </c>
      <c r="EL353" s="280">
        <f t="shared" si="153"/>
        <v>0</v>
      </c>
      <c r="EM353" s="63">
        <f t="shared" si="154"/>
        <v>0</v>
      </c>
      <c r="EN353" s="359">
        <f t="shared" si="155"/>
        <v>0</v>
      </c>
      <c r="EO353" s="51">
        <f t="shared" si="156"/>
        <v>0</v>
      </c>
      <c r="EP353" s="361">
        <f t="shared" si="157"/>
        <v>0</v>
      </c>
      <c r="EQ353" s="281"/>
      <c r="ER353" s="277"/>
      <c r="ES353" s="281"/>
      <c r="ET353" s="277"/>
      <c r="EU353" s="281"/>
      <c r="EV353" s="277"/>
      <c r="EW353" s="281"/>
      <c r="EX353" s="277"/>
      <c r="EY353" s="281"/>
      <c r="EZ353" s="277"/>
      <c r="FA353" s="281"/>
      <c r="FB353" s="277"/>
      <c r="FC353" s="281"/>
      <c r="FD353" s="277"/>
      <c r="FE353" s="281"/>
      <c r="FF353" s="277"/>
      <c r="FG353" s="281"/>
      <c r="FH353" s="277"/>
      <c r="FI353" s="281"/>
      <c r="FJ353" s="277"/>
      <c r="FK353" s="50">
        <f t="shared" si="158"/>
        <v>0</v>
      </c>
      <c r="FL353" s="63">
        <f t="shared" si="159"/>
        <v>0</v>
      </c>
      <c r="FM353" s="50">
        <f t="shared" si="141"/>
        <v>1121</v>
      </c>
      <c r="FN353" s="360">
        <f t="shared" si="142"/>
        <v>1168</v>
      </c>
      <c r="FO353" s="3"/>
      <c r="FP353" s="279"/>
      <c r="FQ353" s="52"/>
      <c r="FR353" s="296"/>
      <c r="FS353" s="98"/>
      <c r="FT353" s="467"/>
      <c r="FU353" s="52"/>
      <c r="FV353" s="296"/>
      <c r="FW353" s="98"/>
      <c r="FX353" s="467"/>
      <c r="FY353" s="52"/>
      <c r="FZ353" s="296"/>
      <c r="GA353" s="98"/>
      <c r="GB353" s="467"/>
      <c r="GC353" s="52"/>
      <c r="GD353" s="296"/>
      <c r="GE353" s="98"/>
      <c r="GF353" s="467"/>
      <c r="GG353" s="52"/>
      <c r="GH353" s="296"/>
      <c r="GI353" s="98"/>
      <c r="GJ353" s="467"/>
      <c r="GK353" s="52"/>
      <c r="GL353" s="296"/>
      <c r="GM353" s="464"/>
      <c r="GN353" s="467"/>
      <c r="GO353" s="52"/>
      <c r="GP353" s="296"/>
      <c r="GQ353" s="464"/>
      <c r="GR353" s="467"/>
      <c r="GS353" s="52"/>
      <c r="GT353" s="296"/>
      <c r="GU353" s="464"/>
      <c r="GV353" s="467"/>
      <c r="GW353" s="52"/>
      <c r="GX353" s="296"/>
      <c r="GY353" s="464"/>
      <c r="GZ353" s="467"/>
      <c r="HA353" s="52"/>
      <c r="HB353" s="296"/>
      <c r="HC353" s="3"/>
    </row>
    <row r="354" spans="1:211" s="86" customFormat="1">
      <c r="A354" s="521" t="s">
        <v>984</v>
      </c>
      <c r="B354" s="318" t="s">
        <v>989</v>
      </c>
      <c r="C354" s="317">
        <v>198260</v>
      </c>
      <c r="D354" s="346">
        <v>8</v>
      </c>
      <c r="E354" s="460">
        <v>495</v>
      </c>
      <c r="F354" s="337">
        <v>354</v>
      </c>
      <c r="G354" s="158"/>
      <c r="H354" s="277"/>
      <c r="I354" s="158">
        <v>908</v>
      </c>
      <c r="J354" s="665">
        <v>1196</v>
      </c>
      <c r="K354" s="160">
        <f t="shared" si="143"/>
        <v>0</v>
      </c>
      <c r="L354" s="161">
        <f t="shared" si="136"/>
        <v>0</v>
      </c>
      <c r="M354" s="54"/>
      <c r="N354" s="55"/>
      <c r="O354" s="55"/>
      <c r="P354" s="55"/>
      <c r="Q354" s="162">
        <f t="shared" si="144"/>
        <v>0</v>
      </c>
      <c r="R354" s="277"/>
      <c r="S354" s="277"/>
      <c r="T354" s="277"/>
      <c r="U354" s="277"/>
      <c r="V354" s="97">
        <f t="shared" si="145"/>
        <v>0</v>
      </c>
      <c r="W354" s="279"/>
      <c r="X354" s="52"/>
      <c r="Y354" s="99"/>
      <c r="Z354" s="53"/>
      <c r="AA354" s="228"/>
      <c r="AB354" s="52"/>
      <c r="AC354" s="99"/>
      <c r="AD354" s="53"/>
      <c r="AE354" s="228"/>
      <c r="AF354" s="52"/>
      <c r="AG354" s="99"/>
      <c r="AH354" s="53"/>
      <c r="AI354" s="228"/>
      <c r="AJ354" s="52"/>
      <c r="AK354" s="99"/>
      <c r="AL354" s="53"/>
      <c r="AM354" s="228"/>
      <c r="AN354" s="52"/>
      <c r="AO354" s="99"/>
      <c r="AP354" s="53"/>
      <c r="AQ354" s="50">
        <f t="shared" si="137"/>
        <v>0</v>
      </c>
      <c r="AR354" s="163">
        <f t="shared" si="138"/>
        <v>0</v>
      </c>
      <c r="AS354" s="97">
        <f t="shared" si="139"/>
        <v>0</v>
      </c>
      <c r="AT354" s="278">
        <f t="shared" si="140"/>
        <v>0</v>
      </c>
      <c r="AU354" s="55"/>
      <c r="AV354" s="277"/>
      <c r="AW354" s="279"/>
      <c r="AX354" s="52"/>
      <c r="AY354" s="105"/>
      <c r="AZ354" s="98"/>
      <c r="BA354" s="279"/>
      <c r="BB354" s="52"/>
      <c r="BC354" s="105"/>
      <c r="BD354" s="98"/>
      <c r="BE354" s="279"/>
      <c r="BF354" s="52"/>
      <c r="BG354" s="105"/>
      <c r="BH354" s="98"/>
      <c r="BI354" s="279"/>
      <c r="BJ354" s="52"/>
      <c r="BK354" s="105"/>
      <c r="BL354" s="98"/>
      <c r="BM354" s="279"/>
      <c r="BN354" s="52"/>
      <c r="BO354" s="105"/>
      <c r="BP354" s="98"/>
      <c r="BQ354" s="279"/>
      <c r="BR354" s="52"/>
      <c r="BS354" s="105"/>
      <c r="BT354" s="98"/>
      <c r="BU354" s="279"/>
      <c r="BV354" s="52"/>
      <c r="BW354" s="105"/>
      <c r="BX354" s="98"/>
      <c r="BY354" s="279"/>
      <c r="BZ354" s="52"/>
      <c r="CA354" s="105"/>
      <c r="CB354" s="98"/>
      <c r="CC354" s="279"/>
      <c r="CD354" s="52"/>
      <c r="CE354" s="105"/>
      <c r="CF354" s="98"/>
      <c r="CG354" s="279"/>
      <c r="CH354" s="52"/>
      <c r="CI354" s="105"/>
      <c r="CJ354" s="98"/>
      <c r="CK354" s="281"/>
      <c r="CL354" s="277"/>
      <c r="CM354" s="159"/>
      <c r="CN354" s="277"/>
      <c r="CO354" s="50">
        <f t="shared" si="146"/>
        <v>0</v>
      </c>
      <c r="CP354" s="103">
        <f t="shared" si="147"/>
        <v>0</v>
      </c>
      <c r="CQ354" s="280">
        <f t="shared" si="148"/>
        <v>0</v>
      </c>
      <c r="CR354" s="63">
        <f t="shared" si="149"/>
        <v>0</v>
      </c>
      <c r="CS354" s="279"/>
      <c r="CT354" s="52"/>
      <c r="CU354" s="105"/>
      <c r="CV354" s="98"/>
      <c r="CW354" s="279"/>
      <c r="CX354" s="52"/>
      <c r="CY354" s="105"/>
      <c r="CZ354" s="98"/>
      <c r="DA354" s="279"/>
      <c r="DB354" s="52"/>
      <c r="DC354" s="105"/>
      <c r="DD354" s="98"/>
      <c r="DE354" s="279"/>
      <c r="DF354" s="52"/>
      <c r="DG354" s="105"/>
      <c r="DH354" s="98"/>
      <c r="DI354" s="279"/>
      <c r="DJ354" s="52"/>
      <c r="DK354" s="105"/>
      <c r="DL354" s="98"/>
      <c r="DM354" s="279"/>
      <c r="DN354" s="52"/>
      <c r="DO354" s="105"/>
      <c r="DP354" s="98"/>
      <c r="DQ354" s="279"/>
      <c r="DR354" s="52"/>
      <c r="DS354" s="105"/>
      <c r="DT354" s="98"/>
      <c r="DU354" s="279"/>
      <c r="DV354" s="52"/>
      <c r="DW354" s="105"/>
      <c r="DX354" s="98"/>
      <c r="DY354" s="279"/>
      <c r="DZ354" s="52"/>
      <c r="EA354" s="105"/>
      <c r="EB354" s="98"/>
      <c r="EC354" s="279"/>
      <c r="ED354" s="52"/>
      <c r="EE354" s="105"/>
      <c r="EF354" s="98"/>
      <c r="EG354" s="159"/>
      <c r="EH354" s="277"/>
      <c r="EI354" s="50">
        <f t="shared" si="150"/>
        <v>0</v>
      </c>
      <c r="EJ354" s="103">
        <f t="shared" si="151"/>
        <v>0</v>
      </c>
      <c r="EK354" s="164">
        <f t="shared" si="152"/>
        <v>0</v>
      </c>
      <c r="EL354" s="280">
        <f t="shared" si="153"/>
        <v>0</v>
      </c>
      <c r="EM354" s="63">
        <f t="shared" si="154"/>
        <v>0</v>
      </c>
      <c r="EN354" s="359">
        <f t="shared" si="155"/>
        <v>0</v>
      </c>
      <c r="EO354" s="51">
        <f t="shared" si="156"/>
        <v>0</v>
      </c>
      <c r="EP354" s="361">
        <f t="shared" si="157"/>
        <v>0</v>
      </c>
      <c r="EQ354" s="281"/>
      <c r="ER354" s="277"/>
      <c r="ES354" s="281"/>
      <c r="ET354" s="277"/>
      <c r="EU354" s="281"/>
      <c r="EV354" s="277"/>
      <c r="EW354" s="281"/>
      <c r="EX354" s="277"/>
      <c r="EY354" s="281"/>
      <c r="EZ354" s="277"/>
      <c r="FA354" s="281"/>
      <c r="FB354" s="277"/>
      <c r="FC354" s="281"/>
      <c r="FD354" s="277"/>
      <c r="FE354" s="281"/>
      <c r="FF354" s="277"/>
      <c r="FG354" s="281"/>
      <c r="FH354" s="277"/>
      <c r="FI354" s="281"/>
      <c r="FJ354" s="277"/>
      <c r="FK354" s="50">
        <f t="shared" si="158"/>
        <v>0</v>
      </c>
      <c r="FL354" s="63">
        <f t="shared" si="159"/>
        <v>0</v>
      </c>
      <c r="FM354" s="50">
        <f t="shared" si="141"/>
        <v>1403</v>
      </c>
      <c r="FN354" s="360">
        <f t="shared" si="142"/>
        <v>1550</v>
      </c>
      <c r="FO354" s="3"/>
      <c r="FP354" s="279"/>
      <c r="FQ354" s="52"/>
      <c r="FR354" s="296"/>
      <c r="FS354" s="98"/>
      <c r="FT354" s="467"/>
      <c r="FU354" s="52"/>
      <c r="FV354" s="296"/>
      <c r="FW354" s="98"/>
      <c r="FX354" s="467"/>
      <c r="FY354" s="52"/>
      <c r="FZ354" s="296"/>
      <c r="GA354" s="98"/>
      <c r="GB354" s="467"/>
      <c r="GC354" s="52"/>
      <c r="GD354" s="296"/>
      <c r="GE354" s="98"/>
      <c r="GF354" s="467"/>
      <c r="GG354" s="52"/>
      <c r="GH354" s="296"/>
      <c r="GI354" s="98"/>
      <c r="GJ354" s="467"/>
      <c r="GK354" s="52"/>
      <c r="GL354" s="296"/>
      <c r="GM354" s="464"/>
      <c r="GN354" s="467"/>
      <c r="GO354" s="52"/>
      <c r="GP354" s="296"/>
      <c r="GQ354" s="464"/>
      <c r="GR354" s="467"/>
      <c r="GS354" s="52"/>
      <c r="GT354" s="296"/>
      <c r="GU354" s="464"/>
      <c r="GV354" s="467"/>
      <c r="GW354" s="52"/>
      <c r="GX354" s="296"/>
      <c r="GY354" s="464"/>
      <c r="GZ354" s="467"/>
      <c r="HA354" s="52"/>
      <c r="HB354" s="296"/>
      <c r="HC354" s="3"/>
    </row>
    <row r="355" spans="1:211" s="86" customFormat="1">
      <c r="A355" s="522" t="s">
        <v>984</v>
      </c>
      <c r="B355" s="319" t="s">
        <v>1004</v>
      </c>
      <c r="C355" s="301">
        <v>198455</v>
      </c>
      <c r="D355" s="347">
        <v>8</v>
      </c>
      <c r="E355" s="460">
        <v>164</v>
      </c>
      <c r="F355" s="337">
        <v>477</v>
      </c>
      <c r="G355" s="158"/>
      <c r="H355" s="277"/>
      <c r="I355" s="158">
        <v>299</v>
      </c>
      <c r="J355" s="665">
        <v>290</v>
      </c>
      <c r="K355" s="160">
        <f t="shared" si="143"/>
        <v>0</v>
      </c>
      <c r="L355" s="161">
        <f t="shared" si="136"/>
        <v>0</v>
      </c>
      <c r="M355" s="54"/>
      <c r="N355" s="55"/>
      <c r="O355" s="55"/>
      <c r="P355" s="55"/>
      <c r="Q355" s="162">
        <f t="shared" si="144"/>
        <v>0</v>
      </c>
      <c r="R355" s="277"/>
      <c r="S355" s="277"/>
      <c r="T355" s="277"/>
      <c r="U355" s="277"/>
      <c r="V355" s="97">
        <f t="shared" si="145"/>
        <v>0</v>
      </c>
      <c r="W355" s="279"/>
      <c r="X355" s="52"/>
      <c r="Y355" s="99"/>
      <c r="Z355" s="53"/>
      <c r="AA355" s="228"/>
      <c r="AB355" s="52"/>
      <c r="AC355" s="99"/>
      <c r="AD355" s="53"/>
      <c r="AE355" s="228"/>
      <c r="AF355" s="52"/>
      <c r="AG355" s="99"/>
      <c r="AH355" s="53"/>
      <c r="AI355" s="228"/>
      <c r="AJ355" s="52"/>
      <c r="AK355" s="99"/>
      <c r="AL355" s="53"/>
      <c r="AM355" s="228"/>
      <c r="AN355" s="52"/>
      <c r="AO355" s="99"/>
      <c r="AP355" s="53"/>
      <c r="AQ355" s="50">
        <f t="shared" si="137"/>
        <v>0</v>
      </c>
      <c r="AR355" s="163">
        <f t="shared" si="138"/>
        <v>0</v>
      </c>
      <c r="AS355" s="97">
        <f t="shared" si="139"/>
        <v>0</v>
      </c>
      <c r="AT355" s="278">
        <f t="shared" si="140"/>
        <v>0</v>
      </c>
      <c r="AU355" s="55"/>
      <c r="AV355" s="277"/>
      <c r="AW355" s="279"/>
      <c r="AX355" s="52"/>
      <c r="AY355" s="105"/>
      <c r="AZ355" s="98"/>
      <c r="BA355" s="279"/>
      <c r="BB355" s="52"/>
      <c r="BC355" s="105"/>
      <c r="BD355" s="98"/>
      <c r="BE355" s="279"/>
      <c r="BF355" s="52"/>
      <c r="BG355" s="105"/>
      <c r="BH355" s="98"/>
      <c r="BI355" s="279"/>
      <c r="BJ355" s="52"/>
      <c r="BK355" s="105"/>
      <c r="BL355" s="98"/>
      <c r="BM355" s="279"/>
      <c r="BN355" s="52"/>
      <c r="BO355" s="105"/>
      <c r="BP355" s="98"/>
      <c r="BQ355" s="279"/>
      <c r="BR355" s="52"/>
      <c r="BS355" s="105"/>
      <c r="BT355" s="98"/>
      <c r="BU355" s="279"/>
      <c r="BV355" s="52"/>
      <c r="BW355" s="105"/>
      <c r="BX355" s="98"/>
      <c r="BY355" s="279"/>
      <c r="BZ355" s="52"/>
      <c r="CA355" s="105"/>
      <c r="CB355" s="98"/>
      <c r="CC355" s="279"/>
      <c r="CD355" s="52"/>
      <c r="CE355" s="105"/>
      <c r="CF355" s="98"/>
      <c r="CG355" s="279"/>
      <c r="CH355" s="52"/>
      <c r="CI355" s="105"/>
      <c r="CJ355" s="98"/>
      <c r="CK355" s="281"/>
      <c r="CL355" s="277"/>
      <c r="CM355" s="159"/>
      <c r="CN355" s="277"/>
      <c r="CO355" s="50">
        <f t="shared" si="146"/>
        <v>0</v>
      </c>
      <c r="CP355" s="103">
        <f t="shared" si="147"/>
        <v>0</v>
      </c>
      <c r="CQ355" s="280">
        <f t="shared" si="148"/>
        <v>0</v>
      </c>
      <c r="CR355" s="63">
        <f t="shared" si="149"/>
        <v>0</v>
      </c>
      <c r="CS355" s="279"/>
      <c r="CT355" s="52"/>
      <c r="CU355" s="105"/>
      <c r="CV355" s="98"/>
      <c r="CW355" s="279"/>
      <c r="CX355" s="52"/>
      <c r="CY355" s="105"/>
      <c r="CZ355" s="98"/>
      <c r="DA355" s="279"/>
      <c r="DB355" s="52"/>
      <c r="DC355" s="105"/>
      <c r="DD355" s="98"/>
      <c r="DE355" s="279"/>
      <c r="DF355" s="52"/>
      <c r="DG355" s="105"/>
      <c r="DH355" s="98"/>
      <c r="DI355" s="279"/>
      <c r="DJ355" s="52"/>
      <c r="DK355" s="105"/>
      <c r="DL355" s="98"/>
      <c r="DM355" s="279"/>
      <c r="DN355" s="52"/>
      <c r="DO355" s="105"/>
      <c r="DP355" s="98"/>
      <c r="DQ355" s="279"/>
      <c r="DR355" s="52"/>
      <c r="DS355" s="105"/>
      <c r="DT355" s="98"/>
      <c r="DU355" s="279"/>
      <c r="DV355" s="52"/>
      <c r="DW355" s="105"/>
      <c r="DX355" s="98"/>
      <c r="DY355" s="279"/>
      <c r="DZ355" s="52"/>
      <c r="EA355" s="105"/>
      <c r="EB355" s="98"/>
      <c r="EC355" s="279"/>
      <c r="ED355" s="52"/>
      <c r="EE355" s="105"/>
      <c r="EF355" s="98"/>
      <c r="EG355" s="159"/>
      <c r="EH355" s="277"/>
      <c r="EI355" s="50">
        <f t="shared" si="150"/>
        <v>0</v>
      </c>
      <c r="EJ355" s="103">
        <f t="shared" si="151"/>
        <v>0</v>
      </c>
      <c r="EK355" s="164">
        <f t="shared" si="152"/>
        <v>0</v>
      </c>
      <c r="EL355" s="280">
        <f t="shared" si="153"/>
        <v>0</v>
      </c>
      <c r="EM355" s="63">
        <f t="shared" si="154"/>
        <v>0</v>
      </c>
      <c r="EN355" s="359">
        <f t="shared" si="155"/>
        <v>0</v>
      </c>
      <c r="EO355" s="51">
        <f t="shared" si="156"/>
        <v>0</v>
      </c>
      <c r="EP355" s="361">
        <f t="shared" si="157"/>
        <v>0</v>
      </c>
      <c r="EQ355" s="281"/>
      <c r="ER355" s="277"/>
      <c r="ES355" s="281"/>
      <c r="ET355" s="277"/>
      <c r="EU355" s="281"/>
      <c r="EV355" s="277"/>
      <c r="EW355" s="281"/>
      <c r="EX355" s="277"/>
      <c r="EY355" s="281"/>
      <c r="EZ355" s="277"/>
      <c r="FA355" s="281"/>
      <c r="FB355" s="277"/>
      <c r="FC355" s="281"/>
      <c r="FD355" s="277"/>
      <c r="FE355" s="281"/>
      <c r="FF355" s="277"/>
      <c r="FG355" s="281"/>
      <c r="FH355" s="277"/>
      <c r="FI355" s="281"/>
      <c r="FJ355" s="277"/>
      <c r="FK355" s="50">
        <f t="shared" si="158"/>
        <v>0</v>
      </c>
      <c r="FL355" s="63">
        <f t="shared" si="159"/>
        <v>0</v>
      </c>
      <c r="FM355" s="50">
        <f t="shared" si="141"/>
        <v>463</v>
      </c>
      <c r="FN355" s="360">
        <f t="shared" si="142"/>
        <v>767</v>
      </c>
      <c r="FO355" s="3"/>
      <c r="FP355" s="279"/>
      <c r="FQ355" s="52"/>
      <c r="FR355" s="296"/>
      <c r="FS355" s="98"/>
      <c r="FT355" s="467"/>
      <c r="FU355" s="52"/>
      <c r="FV355" s="296"/>
      <c r="FW355" s="98"/>
      <c r="FX355" s="467"/>
      <c r="FY355" s="52"/>
      <c r="FZ355" s="296"/>
      <c r="GA355" s="98"/>
      <c r="GB355" s="467"/>
      <c r="GC355" s="52"/>
      <c r="GD355" s="296"/>
      <c r="GE355" s="98"/>
      <c r="GF355" s="467"/>
      <c r="GG355" s="52"/>
      <c r="GH355" s="296"/>
      <c r="GI355" s="98"/>
      <c r="GJ355" s="467"/>
      <c r="GK355" s="52"/>
      <c r="GL355" s="296"/>
      <c r="GM355" s="464"/>
      <c r="GN355" s="467"/>
      <c r="GO355" s="52"/>
      <c r="GP355" s="296"/>
      <c r="GQ355" s="464"/>
      <c r="GR355" s="467"/>
      <c r="GS355" s="52"/>
      <c r="GT355" s="296"/>
      <c r="GU355" s="464"/>
      <c r="GV355" s="467"/>
      <c r="GW355" s="52"/>
      <c r="GX355" s="296"/>
      <c r="GY355" s="464"/>
      <c r="GZ355" s="467"/>
      <c r="HA355" s="52"/>
      <c r="HB355" s="296"/>
      <c r="HC355" s="3"/>
    </row>
    <row r="356" spans="1:211" s="86" customFormat="1">
      <c r="A356" s="521" t="s">
        <v>984</v>
      </c>
      <c r="B356" s="318" t="s">
        <v>990</v>
      </c>
      <c r="C356" s="317">
        <v>198534</v>
      </c>
      <c r="D356" s="346">
        <v>8</v>
      </c>
      <c r="E356" s="460">
        <v>506</v>
      </c>
      <c r="F356" s="337">
        <v>495</v>
      </c>
      <c r="G356" s="158"/>
      <c r="H356" s="277"/>
      <c r="I356" s="158">
        <v>758</v>
      </c>
      <c r="J356" s="665">
        <v>802</v>
      </c>
      <c r="K356" s="160">
        <f t="shared" si="143"/>
        <v>0</v>
      </c>
      <c r="L356" s="161">
        <f t="shared" si="136"/>
        <v>0</v>
      </c>
      <c r="M356" s="54"/>
      <c r="N356" s="55"/>
      <c r="O356" s="55"/>
      <c r="P356" s="55"/>
      <c r="Q356" s="162">
        <f t="shared" si="144"/>
        <v>0</v>
      </c>
      <c r="R356" s="277"/>
      <c r="S356" s="277"/>
      <c r="T356" s="277"/>
      <c r="U356" s="277"/>
      <c r="V356" s="97">
        <f t="shared" si="145"/>
        <v>0</v>
      </c>
      <c r="W356" s="279"/>
      <c r="X356" s="52"/>
      <c r="Y356" s="99"/>
      <c r="Z356" s="53"/>
      <c r="AA356" s="228"/>
      <c r="AB356" s="52"/>
      <c r="AC356" s="99"/>
      <c r="AD356" s="53"/>
      <c r="AE356" s="228"/>
      <c r="AF356" s="52"/>
      <c r="AG356" s="99"/>
      <c r="AH356" s="53"/>
      <c r="AI356" s="228"/>
      <c r="AJ356" s="52"/>
      <c r="AK356" s="99"/>
      <c r="AL356" s="53"/>
      <c r="AM356" s="228"/>
      <c r="AN356" s="52"/>
      <c r="AO356" s="99"/>
      <c r="AP356" s="53"/>
      <c r="AQ356" s="50">
        <f t="shared" si="137"/>
        <v>0</v>
      </c>
      <c r="AR356" s="163">
        <f t="shared" si="138"/>
        <v>0</v>
      </c>
      <c r="AS356" s="97">
        <f t="shared" si="139"/>
        <v>0</v>
      </c>
      <c r="AT356" s="278">
        <f t="shared" si="140"/>
        <v>0</v>
      </c>
      <c r="AU356" s="55"/>
      <c r="AV356" s="277"/>
      <c r="AW356" s="279"/>
      <c r="AX356" s="52"/>
      <c r="AY356" s="105"/>
      <c r="AZ356" s="98"/>
      <c r="BA356" s="279"/>
      <c r="BB356" s="52"/>
      <c r="BC356" s="105"/>
      <c r="BD356" s="98"/>
      <c r="BE356" s="279"/>
      <c r="BF356" s="52"/>
      <c r="BG356" s="105"/>
      <c r="BH356" s="98"/>
      <c r="BI356" s="279"/>
      <c r="BJ356" s="52"/>
      <c r="BK356" s="105"/>
      <c r="BL356" s="98"/>
      <c r="BM356" s="279"/>
      <c r="BN356" s="52"/>
      <c r="BO356" s="105"/>
      <c r="BP356" s="98"/>
      <c r="BQ356" s="279"/>
      <c r="BR356" s="52"/>
      <c r="BS356" s="105"/>
      <c r="BT356" s="98"/>
      <c r="BU356" s="279"/>
      <c r="BV356" s="52"/>
      <c r="BW356" s="105"/>
      <c r="BX356" s="98"/>
      <c r="BY356" s="279"/>
      <c r="BZ356" s="52"/>
      <c r="CA356" s="105"/>
      <c r="CB356" s="98"/>
      <c r="CC356" s="279"/>
      <c r="CD356" s="52"/>
      <c r="CE356" s="105"/>
      <c r="CF356" s="98"/>
      <c r="CG356" s="279"/>
      <c r="CH356" s="52"/>
      <c r="CI356" s="105"/>
      <c r="CJ356" s="98"/>
      <c r="CK356" s="281"/>
      <c r="CL356" s="277"/>
      <c r="CM356" s="159"/>
      <c r="CN356" s="277"/>
      <c r="CO356" s="50">
        <f t="shared" si="146"/>
        <v>0</v>
      </c>
      <c r="CP356" s="103">
        <f t="shared" si="147"/>
        <v>0</v>
      </c>
      <c r="CQ356" s="280">
        <f t="shared" si="148"/>
        <v>0</v>
      </c>
      <c r="CR356" s="63">
        <f t="shared" si="149"/>
        <v>0</v>
      </c>
      <c r="CS356" s="279"/>
      <c r="CT356" s="52"/>
      <c r="CU356" s="105"/>
      <c r="CV356" s="98"/>
      <c r="CW356" s="279"/>
      <c r="CX356" s="52"/>
      <c r="CY356" s="105"/>
      <c r="CZ356" s="98"/>
      <c r="DA356" s="279"/>
      <c r="DB356" s="52"/>
      <c r="DC356" s="105"/>
      <c r="DD356" s="98"/>
      <c r="DE356" s="279"/>
      <c r="DF356" s="52"/>
      <c r="DG356" s="105"/>
      <c r="DH356" s="98"/>
      <c r="DI356" s="279"/>
      <c r="DJ356" s="52"/>
      <c r="DK356" s="105"/>
      <c r="DL356" s="98"/>
      <c r="DM356" s="279"/>
      <c r="DN356" s="52"/>
      <c r="DO356" s="105"/>
      <c r="DP356" s="98"/>
      <c r="DQ356" s="279"/>
      <c r="DR356" s="52"/>
      <c r="DS356" s="105"/>
      <c r="DT356" s="98"/>
      <c r="DU356" s="279"/>
      <c r="DV356" s="52"/>
      <c r="DW356" s="105"/>
      <c r="DX356" s="98"/>
      <c r="DY356" s="279"/>
      <c r="DZ356" s="52"/>
      <c r="EA356" s="105"/>
      <c r="EB356" s="98"/>
      <c r="EC356" s="279"/>
      <c r="ED356" s="52"/>
      <c r="EE356" s="105"/>
      <c r="EF356" s="98"/>
      <c r="EG356" s="159"/>
      <c r="EH356" s="277"/>
      <c r="EI356" s="50">
        <f t="shared" si="150"/>
        <v>0</v>
      </c>
      <c r="EJ356" s="103">
        <f t="shared" si="151"/>
        <v>0</v>
      </c>
      <c r="EK356" s="164">
        <f t="shared" si="152"/>
        <v>0</v>
      </c>
      <c r="EL356" s="280">
        <f t="shared" si="153"/>
        <v>0</v>
      </c>
      <c r="EM356" s="63">
        <f t="shared" si="154"/>
        <v>0</v>
      </c>
      <c r="EN356" s="359">
        <f t="shared" si="155"/>
        <v>0</v>
      </c>
      <c r="EO356" s="51">
        <f t="shared" si="156"/>
        <v>0</v>
      </c>
      <c r="EP356" s="361">
        <f t="shared" si="157"/>
        <v>0</v>
      </c>
      <c r="EQ356" s="281"/>
      <c r="ER356" s="277"/>
      <c r="ES356" s="281"/>
      <c r="ET356" s="277"/>
      <c r="EU356" s="281"/>
      <c r="EV356" s="277"/>
      <c r="EW356" s="281"/>
      <c r="EX356" s="277"/>
      <c r="EY356" s="281"/>
      <c r="EZ356" s="277"/>
      <c r="FA356" s="281"/>
      <c r="FB356" s="277"/>
      <c r="FC356" s="281"/>
      <c r="FD356" s="277"/>
      <c r="FE356" s="281"/>
      <c r="FF356" s="277"/>
      <c r="FG356" s="281"/>
      <c r="FH356" s="277"/>
      <c r="FI356" s="281"/>
      <c r="FJ356" s="277"/>
      <c r="FK356" s="50">
        <f t="shared" si="158"/>
        <v>0</v>
      </c>
      <c r="FL356" s="63">
        <f t="shared" si="159"/>
        <v>0</v>
      </c>
      <c r="FM356" s="50">
        <f t="shared" si="141"/>
        <v>1264</v>
      </c>
      <c r="FN356" s="360">
        <f t="shared" si="142"/>
        <v>1297</v>
      </c>
      <c r="FO356" s="3"/>
      <c r="FP356" s="279"/>
      <c r="FQ356" s="52"/>
      <c r="FR356" s="296"/>
      <c r="FS356" s="98"/>
      <c r="FT356" s="467"/>
      <c r="FU356" s="52"/>
      <c r="FV356" s="296"/>
      <c r="FW356" s="98"/>
      <c r="FX356" s="467"/>
      <c r="FY356" s="52"/>
      <c r="FZ356" s="296"/>
      <c r="GA356" s="98"/>
      <c r="GB356" s="467"/>
      <c r="GC356" s="52"/>
      <c r="GD356" s="296"/>
      <c r="GE356" s="98"/>
      <c r="GF356" s="467"/>
      <c r="GG356" s="52"/>
      <c r="GH356" s="296"/>
      <c r="GI356" s="98"/>
      <c r="GJ356" s="467"/>
      <c r="GK356" s="52"/>
      <c r="GL356" s="296"/>
      <c r="GM356" s="464"/>
      <c r="GN356" s="467"/>
      <c r="GO356" s="52"/>
      <c r="GP356" s="296"/>
      <c r="GQ356" s="464"/>
      <c r="GR356" s="467"/>
      <c r="GS356" s="52"/>
      <c r="GT356" s="296"/>
      <c r="GU356" s="464"/>
      <c r="GV356" s="467"/>
      <c r="GW356" s="52"/>
      <c r="GX356" s="296"/>
      <c r="GY356" s="464"/>
      <c r="GZ356" s="467"/>
      <c r="HA356" s="52"/>
      <c r="HB356" s="296"/>
      <c r="HC356" s="3"/>
    </row>
    <row r="357" spans="1:211" s="86" customFormat="1">
      <c r="A357" s="521" t="s">
        <v>984</v>
      </c>
      <c r="B357" s="318" t="s">
        <v>991</v>
      </c>
      <c r="C357" s="317">
        <v>198552</v>
      </c>
      <c r="D357" s="346">
        <v>8</v>
      </c>
      <c r="E357" s="460">
        <v>398</v>
      </c>
      <c r="F357" s="337">
        <v>485</v>
      </c>
      <c r="G357" s="158"/>
      <c r="H357" s="277"/>
      <c r="I357" s="158">
        <v>621</v>
      </c>
      <c r="J357" s="665">
        <v>702</v>
      </c>
      <c r="K357" s="160">
        <f t="shared" si="143"/>
        <v>0</v>
      </c>
      <c r="L357" s="161">
        <f t="shared" si="136"/>
        <v>0</v>
      </c>
      <c r="M357" s="54"/>
      <c r="N357" s="55"/>
      <c r="O357" s="55"/>
      <c r="P357" s="55"/>
      <c r="Q357" s="162">
        <f t="shared" si="144"/>
        <v>0</v>
      </c>
      <c r="R357" s="277"/>
      <c r="S357" s="277"/>
      <c r="T357" s="277"/>
      <c r="U357" s="277"/>
      <c r="V357" s="97">
        <f t="shared" si="145"/>
        <v>0</v>
      </c>
      <c r="W357" s="279"/>
      <c r="X357" s="52"/>
      <c r="Y357" s="99"/>
      <c r="Z357" s="53"/>
      <c r="AA357" s="228"/>
      <c r="AB357" s="52"/>
      <c r="AC357" s="99"/>
      <c r="AD357" s="53"/>
      <c r="AE357" s="228"/>
      <c r="AF357" s="52"/>
      <c r="AG357" s="99"/>
      <c r="AH357" s="53"/>
      <c r="AI357" s="228"/>
      <c r="AJ357" s="52"/>
      <c r="AK357" s="99"/>
      <c r="AL357" s="53"/>
      <c r="AM357" s="228"/>
      <c r="AN357" s="52"/>
      <c r="AO357" s="99"/>
      <c r="AP357" s="53"/>
      <c r="AQ357" s="50">
        <f t="shared" si="137"/>
        <v>0</v>
      </c>
      <c r="AR357" s="163">
        <f t="shared" si="138"/>
        <v>0</v>
      </c>
      <c r="AS357" s="97">
        <f t="shared" si="139"/>
        <v>0</v>
      </c>
      <c r="AT357" s="278">
        <f t="shared" si="140"/>
        <v>0</v>
      </c>
      <c r="AU357" s="55"/>
      <c r="AV357" s="277"/>
      <c r="AW357" s="279"/>
      <c r="AX357" s="52"/>
      <c r="AY357" s="105"/>
      <c r="AZ357" s="98"/>
      <c r="BA357" s="279"/>
      <c r="BB357" s="52"/>
      <c r="BC357" s="105"/>
      <c r="BD357" s="98"/>
      <c r="BE357" s="279"/>
      <c r="BF357" s="52"/>
      <c r="BG357" s="105"/>
      <c r="BH357" s="98"/>
      <c r="BI357" s="279"/>
      <c r="BJ357" s="52"/>
      <c r="BK357" s="105"/>
      <c r="BL357" s="98"/>
      <c r="BM357" s="279"/>
      <c r="BN357" s="52"/>
      <c r="BO357" s="105"/>
      <c r="BP357" s="98"/>
      <c r="BQ357" s="279"/>
      <c r="BR357" s="52"/>
      <c r="BS357" s="105"/>
      <c r="BT357" s="98"/>
      <c r="BU357" s="279"/>
      <c r="BV357" s="52"/>
      <c r="BW357" s="105"/>
      <c r="BX357" s="98"/>
      <c r="BY357" s="279"/>
      <c r="BZ357" s="52"/>
      <c r="CA357" s="105"/>
      <c r="CB357" s="98"/>
      <c r="CC357" s="279"/>
      <c r="CD357" s="52"/>
      <c r="CE357" s="105"/>
      <c r="CF357" s="98"/>
      <c r="CG357" s="279"/>
      <c r="CH357" s="52"/>
      <c r="CI357" s="105"/>
      <c r="CJ357" s="98"/>
      <c r="CK357" s="281"/>
      <c r="CL357" s="277"/>
      <c r="CM357" s="159"/>
      <c r="CN357" s="277"/>
      <c r="CO357" s="50">
        <f t="shared" si="146"/>
        <v>0</v>
      </c>
      <c r="CP357" s="103">
        <f t="shared" si="147"/>
        <v>0</v>
      </c>
      <c r="CQ357" s="280">
        <f t="shared" si="148"/>
        <v>0</v>
      </c>
      <c r="CR357" s="63">
        <f t="shared" si="149"/>
        <v>0</v>
      </c>
      <c r="CS357" s="279"/>
      <c r="CT357" s="52"/>
      <c r="CU357" s="105"/>
      <c r="CV357" s="98"/>
      <c r="CW357" s="279"/>
      <c r="CX357" s="52"/>
      <c r="CY357" s="105"/>
      <c r="CZ357" s="98"/>
      <c r="DA357" s="279"/>
      <c r="DB357" s="52"/>
      <c r="DC357" s="105"/>
      <c r="DD357" s="98"/>
      <c r="DE357" s="279"/>
      <c r="DF357" s="52"/>
      <c r="DG357" s="105"/>
      <c r="DH357" s="98"/>
      <c r="DI357" s="279"/>
      <c r="DJ357" s="52"/>
      <c r="DK357" s="105"/>
      <c r="DL357" s="98"/>
      <c r="DM357" s="279"/>
      <c r="DN357" s="52"/>
      <c r="DO357" s="105"/>
      <c r="DP357" s="98"/>
      <c r="DQ357" s="279"/>
      <c r="DR357" s="52"/>
      <c r="DS357" s="105"/>
      <c r="DT357" s="98"/>
      <c r="DU357" s="279"/>
      <c r="DV357" s="52"/>
      <c r="DW357" s="105"/>
      <c r="DX357" s="98"/>
      <c r="DY357" s="279"/>
      <c r="DZ357" s="52"/>
      <c r="EA357" s="105"/>
      <c r="EB357" s="98"/>
      <c r="EC357" s="279"/>
      <c r="ED357" s="52"/>
      <c r="EE357" s="105"/>
      <c r="EF357" s="98"/>
      <c r="EG357" s="159"/>
      <c r="EH357" s="277"/>
      <c r="EI357" s="50">
        <f t="shared" si="150"/>
        <v>0</v>
      </c>
      <c r="EJ357" s="103">
        <f t="shared" si="151"/>
        <v>0</v>
      </c>
      <c r="EK357" s="164">
        <f t="shared" si="152"/>
        <v>0</v>
      </c>
      <c r="EL357" s="280">
        <f t="shared" si="153"/>
        <v>0</v>
      </c>
      <c r="EM357" s="63">
        <f t="shared" si="154"/>
        <v>0</v>
      </c>
      <c r="EN357" s="359">
        <f t="shared" si="155"/>
        <v>0</v>
      </c>
      <c r="EO357" s="51">
        <f t="shared" si="156"/>
        <v>0</v>
      </c>
      <c r="EP357" s="361">
        <f t="shared" si="157"/>
        <v>0</v>
      </c>
      <c r="EQ357" s="281"/>
      <c r="ER357" s="277"/>
      <c r="ES357" s="281"/>
      <c r="ET357" s="277"/>
      <c r="EU357" s="281"/>
      <c r="EV357" s="277"/>
      <c r="EW357" s="281"/>
      <c r="EX357" s="277"/>
      <c r="EY357" s="281"/>
      <c r="EZ357" s="277"/>
      <c r="FA357" s="281"/>
      <c r="FB357" s="277"/>
      <c r="FC357" s="281"/>
      <c r="FD357" s="277"/>
      <c r="FE357" s="281"/>
      <c r="FF357" s="277"/>
      <c r="FG357" s="281"/>
      <c r="FH357" s="277"/>
      <c r="FI357" s="281"/>
      <c r="FJ357" s="277"/>
      <c r="FK357" s="50">
        <f t="shared" si="158"/>
        <v>0</v>
      </c>
      <c r="FL357" s="63">
        <f t="shared" si="159"/>
        <v>0</v>
      </c>
      <c r="FM357" s="50">
        <f t="shared" si="141"/>
        <v>1019</v>
      </c>
      <c r="FN357" s="360">
        <f t="shared" si="142"/>
        <v>1187</v>
      </c>
      <c r="FO357" s="3"/>
      <c r="FP357" s="279"/>
      <c r="FQ357" s="52"/>
      <c r="FR357" s="296"/>
      <c r="FS357" s="98"/>
      <c r="FT357" s="467"/>
      <c r="FU357" s="52"/>
      <c r="FV357" s="296"/>
      <c r="FW357" s="98"/>
      <c r="FX357" s="467"/>
      <c r="FY357" s="52"/>
      <c r="FZ357" s="296"/>
      <c r="GA357" s="98"/>
      <c r="GB357" s="467"/>
      <c r="GC357" s="52"/>
      <c r="GD357" s="296"/>
      <c r="GE357" s="98"/>
      <c r="GF357" s="467"/>
      <c r="GG357" s="52"/>
      <c r="GH357" s="296"/>
      <c r="GI357" s="98"/>
      <c r="GJ357" s="467"/>
      <c r="GK357" s="52"/>
      <c r="GL357" s="296"/>
      <c r="GM357" s="464"/>
      <c r="GN357" s="467"/>
      <c r="GO357" s="52"/>
      <c r="GP357" s="296"/>
      <c r="GQ357" s="464"/>
      <c r="GR357" s="467"/>
      <c r="GS357" s="52"/>
      <c r="GT357" s="296"/>
      <c r="GU357" s="464"/>
      <c r="GV357" s="467"/>
      <c r="GW357" s="52"/>
      <c r="GX357" s="296"/>
      <c r="GY357" s="464"/>
      <c r="GZ357" s="467"/>
      <c r="HA357" s="52"/>
      <c r="HB357" s="296"/>
      <c r="HC357" s="3"/>
    </row>
    <row r="358" spans="1:211" s="86" customFormat="1">
      <c r="A358" s="521" t="s">
        <v>984</v>
      </c>
      <c r="B358" s="318" t="s">
        <v>992</v>
      </c>
      <c r="C358" s="317">
        <v>198622</v>
      </c>
      <c r="D358" s="346">
        <v>8</v>
      </c>
      <c r="E358" s="460">
        <v>467</v>
      </c>
      <c r="F358" s="337">
        <v>207</v>
      </c>
      <c r="G358" s="158"/>
      <c r="H358" s="277"/>
      <c r="I358" s="158">
        <v>732</v>
      </c>
      <c r="J358" s="665">
        <v>1163</v>
      </c>
      <c r="K358" s="160">
        <f t="shared" si="143"/>
        <v>0</v>
      </c>
      <c r="L358" s="161">
        <f t="shared" si="136"/>
        <v>0</v>
      </c>
      <c r="M358" s="54"/>
      <c r="N358" s="55"/>
      <c r="O358" s="55"/>
      <c r="P358" s="55"/>
      <c r="Q358" s="162">
        <f t="shared" si="144"/>
        <v>0</v>
      </c>
      <c r="R358" s="277"/>
      <c r="S358" s="277"/>
      <c r="T358" s="277"/>
      <c r="U358" s="277"/>
      <c r="V358" s="97">
        <f t="shared" si="145"/>
        <v>0</v>
      </c>
      <c r="W358" s="279"/>
      <c r="X358" s="52"/>
      <c r="Y358" s="99"/>
      <c r="Z358" s="53"/>
      <c r="AA358" s="228"/>
      <c r="AB358" s="52"/>
      <c r="AC358" s="99"/>
      <c r="AD358" s="53"/>
      <c r="AE358" s="228"/>
      <c r="AF358" s="52"/>
      <c r="AG358" s="99"/>
      <c r="AH358" s="53"/>
      <c r="AI358" s="228"/>
      <c r="AJ358" s="52"/>
      <c r="AK358" s="99"/>
      <c r="AL358" s="53"/>
      <c r="AM358" s="228"/>
      <c r="AN358" s="52"/>
      <c r="AO358" s="99"/>
      <c r="AP358" s="53"/>
      <c r="AQ358" s="50">
        <f t="shared" si="137"/>
        <v>0</v>
      </c>
      <c r="AR358" s="163">
        <f t="shared" si="138"/>
        <v>0</v>
      </c>
      <c r="AS358" s="97">
        <f t="shared" si="139"/>
        <v>0</v>
      </c>
      <c r="AT358" s="278">
        <f t="shared" si="140"/>
        <v>0</v>
      </c>
      <c r="AU358" s="55"/>
      <c r="AV358" s="277"/>
      <c r="AW358" s="279"/>
      <c r="AX358" s="52"/>
      <c r="AY358" s="105"/>
      <c r="AZ358" s="98"/>
      <c r="BA358" s="279"/>
      <c r="BB358" s="52"/>
      <c r="BC358" s="105"/>
      <c r="BD358" s="98"/>
      <c r="BE358" s="279"/>
      <c r="BF358" s="52"/>
      <c r="BG358" s="105"/>
      <c r="BH358" s="98"/>
      <c r="BI358" s="279"/>
      <c r="BJ358" s="52"/>
      <c r="BK358" s="105"/>
      <c r="BL358" s="98"/>
      <c r="BM358" s="279"/>
      <c r="BN358" s="52"/>
      <c r="BO358" s="105"/>
      <c r="BP358" s="98"/>
      <c r="BQ358" s="279"/>
      <c r="BR358" s="52"/>
      <c r="BS358" s="105"/>
      <c r="BT358" s="98"/>
      <c r="BU358" s="279"/>
      <c r="BV358" s="52"/>
      <c r="BW358" s="105"/>
      <c r="BX358" s="98"/>
      <c r="BY358" s="279"/>
      <c r="BZ358" s="52"/>
      <c r="CA358" s="105"/>
      <c r="CB358" s="98"/>
      <c r="CC358" s="279"/>
      <c r="CD358" s="52"/>
      <c r="CE358" s="105"/>
      <c r="CF358" s="98"/>
      <c r="CG358" s="279"/>
      <c r="CH358" s="52"/>
      <c r="CI358" s="105"/>
      <c r="CJ358" s="98"/>
      <c r="CK358" s="281"/>
      <c r="CL358" s="277"/>
      <c r="CM358" s="159"/>
      <c r="CN358" s="277"/>
      <c r="CO358" s="50">
        <f t="shared" si="146"/>
        <v>0</v>
      </c>
      <c r="CP358" s="103">
        <f t="shared" si="147"/>
        <v>0</v>
      </c>
      <c r="CQ358" s="280">
        <f t="shared" si="148"/>
        <v>0</v>
      </c>
      <c r="CR358" s="63">
        <f t="shared" si="149"/>
        <v>0</v>
      </c>
      <c r="CS358" s="279"/>
      <c r="CT358" s="52"/>
      <c r="CU358" s="105"/>
      <c r="CV358" s="98"/>
      <c r="CW358" s="279"/>
      <c r="CX358" s="52"/>
      <c r="CY358" s="105"/>
      <c r="CZ358" s="98"/>
      <c r="DA358" s="279"/>
      <c r="DB358" s="52"/>
      <c r="DC358" s="105"/>
      <c r="DD358" s="98"/>
      <c r="DE358" s="279"/>
      <c r="DF358" s="52"/>
      <c r="DG358" s="105"/>
      <c r="DH358" s="98"/>
      <c r="DI358" s="279"/>
      <c r="DJ358" s="52"/>
      <c r="DK358" s="105"/>
      <c r="DL358" s="98"/>
      <c r="DM358" s="279"/>
      <c r="DN358" s="52"/>
      <c r="DO358" s="105"/>
      <c r="DP358" s="98"/>
      <c r="DQ358" s="279"/>
      <c r="DR358" s="52"/>
      <c r="DS358" s="105"/>
      <c r="DT358" s="98"/>
      <c r="DU358" s="279"/>
      <c r="DV358" s="52"/>
      <c r="DW358" s="105"/>
      <c r="DX358" s="98"/>
      <c r="DY358" s="279"/>
      <c r="DZ358" s="52"/>
      <c r="EA358" s="105"/>
      <c r="EB358" s="98"/>
      <c r="EC358" s="279"/>
      <c r="ED358" s="52"/>
      <c r="EE358" s="105"/>
      <c r="EF358" s="98"/>
      <c r="EG358" s="159"/>
      <c r="EH358" s="277"/>
      <c r="EI358" s="50">
        <f t="shared" si="150"/>
        <v>0</v>
      </c>
      <c r="EJ358" s="103">
        <f t="shared" si="151"/>
        <v>0</v>
      </c>
      <c r="EK358" s="164">
        <f t="shared" si="152"/>
        <v>0</v>
      </c>
      <c r="EL358" s="280">
        <f t="shared" si="153"/>
        <v>0</v>
      </c>
      <c r="EM358" s="63">
        <f t="shared" si="154"/>
        <v>0</v>
      </c>
      <c r="EN358" s="359">
        <f t="shared" si="155"/>
        <v>0</v>
      </c>
      <c r="EO358" s="51">
        <f t="shared" si="156"/>
        <v>0</v>
      </c>
      <c r="EP358" s="361">
        <f t="shared" si="157"/>
        <v>0</v>
      </c>
      <c r="EQ358" s="281"/>
      <c r="ER358" s="277"/>
      <c r="ES358" s="281"/>
      <c r="ET358" s="277"/>
      <c r="EU358" s="281"/>
      <c r="EV358" s="277"/>
      <c r="EW358" s="281"/>
      <c r="EX358" s="277"/>
      <c r="EY358" s="281"/>
      <c r="EZ358" s="277"/>
      <c r="FA358" s="281"/>
      <c r="FB358" s="277"/>
      <c r="FC358" s="281"/>
      <c r="FD358" s="277"/>
      <c r="FE358" s="281"/>
      <c r="FF358" s="277"/>
      <c r="FG358" s="281"/>
      <c r="FH358" s="277"/>
      <c r="FI358" s="281"/>
      <c r="FJ358" s="277"/>
      <c r="FK358" s="50">
        <f t="shared" si="158"/>
        <v>0</v>
      </c>
      <c r="FL358" s="63">
        <f t="shared" si="159"/>
        <v>0</v>
      </c>
      <c r="FM358" s="50">
        <f t="shared" si="141"/>
        <v>1199</v>
      </c>
      <c r="FN358" s="360">
        <f t="shared" si="142"/>
        <v>1370</v>
      </c>
      <c r="FO358" s="3"/>
      <c r="FP358" s="279"/>
      <c r="FQ358" s="52"/>
      <c r="FR358" s="296"/>
      <c r="FS358" s="98"/>
      <c r="FT358" s="467"/>
      <c r="FU358" s="52"/>
      <c r="FV358" s="296"/>
      <c r="FW358" s="98"/>
      <c r="FX358" s="467"/>
      <c r="FY358" s="52"/>
      <c r="FZ358" s="296"/>
      <c r="GA358" s="98"/>
      <c r="GB358" s="467"/>
      <c r="GC358" s="52"/>
      <c r="GD358" s="296"/>
      <c r="GE358" s="98"/>
      <c r="GF358" s="467"/>
      <c r="GG358" s="52"/>
      <c r="GH358" s="296"/>
      <c r="GI358" s="98"/>
      <c r="GJ358" s="467"/>
      <c r="GK358" s="52"/>
      <c r="GL358" s="296"/>
      <c r="GM358" s="464"/>
      <c r="GN358" s="467"/>
      <c r="GO358" s="52"/>
      <c r="GP358" s="296"/>
      <c r="GQ358" s="464"/>
      <c r="GR358" s="467"/>
      <c r="GS358" s="52"/>
      <c r="GT358" s="296"/>
      <c r="GU358" s="464"/>
      <c r="GV358" s="467"/>
      <c r="GW358" s="52"/>
      <c r="GX358" s="296"/>
      <c r="GY358" s="464"/>
      <c r="GZ358" s="467"/>
      <c r="HA358" s="52"/>
      <c r="HB358" s="296"/>
      <c r="HC358" s="3"/>
    </row>
    <row r="359" spans="1:211" s="86" customFormat="1">
      <c r="A359" s="521" t="s">
        <v>984</v>
      </c>
      <c r="B359" s="318" t="s">
        <v>993</v>
      </c>
      <c r="C359" s="317">
        <v>199333</v>
      </c>
      <c r="D359" s="346">
        <v>8</v>
      </c>
      <c r="E359" s="460">
        <v>399</v>
      </c>
      <c r="F359" s="337">
        <v>407</v>
      </c>
      <c r="G359" s="158"/>
      <c r="H359" s="277"/>
      <c r="I359" s="158">
        <v>691</v>
      </c>
      <c r="J359" s="665">
        <v>616</v>
      </c>
      <c r="K359" s="160">
        <f t="shared" si="143"/>
        <v>0</v>
      </c>
      <c r="L359" s="161">
        <f t="shared" si="136"/>
        <v>0</v>
      </c>
      <c r="M359" s="54"/>
      <c r="N359" s="55"/>
      <c r="O359" s="55"/>
      <c r="P359" s="55"/>
      <c r="Q359" s="162">
        <f t="shared" si="144"/>
        <v>0</v>
      </c>
      <c r="R359" s="277"/>
      <c r="S359" s="277"/>
      <c r="T359" s="277"/>
      <c r="U359" s="277"/>
      <c r="V359" s="97">
        <f t="shared" si="145"/>
        <v>0</v>
      </c>
      <c r="W359" s="279"/>
      <c r="X359" s="52"/>
      <c r="Y359" s="99"/>
      <c r="Z359" s="53"/>
      <c r="AA359" s="228"/>
      <c r="AB359" s="52"/>
      <c r="AC359" s="99"/>
      <c r="AD359" s="53"/>
      <c r="AE359" s="228"/>
      <c r="AF359" s="52"/>
      <c r="AG359" s="99"/>
      <c r="AH359" s="53"/>
      <c r="AI359" s="228"/>
      <c r="AJ359" s="52"/>
      <c r="AK359" s="99"/>
      <c r="AL359" s="53"/>
      <c r="AM359" s="228"/>
      <c r="AN359" s="52"/>
      <c r="AO359" s="99"/>
      <c r="AP359" s="53"/>
      <c r="AQ359" s="50">
        <f t="shared" si="137"/>
        <v>0</v>
      </c>
      <c r="AR359" s="163">
        <f t="shared" si="138"/>
        <v>0</v>
      </c>
      <c r="AS359" s="97">
        <f t="shared" si="139"/>
        <v>0</v>
      </c>
      <c r="AT359" s="278">
        <f t="shared" si="140"/>
        <v>0</v>
      </c>
      <c r="AU359" s="55"/>
      <c r="AV359" s="277"/>
      <c r="AW359" s="279"/>
      <c r="AX359" s="52"/>
      <c r="AY359" s="105"/>
      <c r="AZ359" s="98"/>
      <c r="BA359" s="279"/>
      <c r="BB359" s="52"/>
      <c r="BC359" s="105"/>
      <c r="BD359" s="98"/>
      <c r="BE359" s="279"/>
      <c r="BF359" s="52"/>
      <c r="BG359" s="105"/>
      <c r="BH359" s="98"/>
      <c r="BI359" s="279"/>
      <c r="BJ359" s="52"/>
      <c r="BK359" s="105"/>
      <c r="BL359" s="98"/>
      <c r="BM359" s="279"/>
      <c r="BN359" s="52"/>
      <c r="BO359" s="105"/>
      <c r="BP359" s="98"/>
      <c r="BQ359" s="279"/>
      <c r="BR359" s="52"/>
      <c r="BS359" s="105"/>
      <c r="BT359" s="98"/>
      <c r="BU359" s="279"/>
      <c r="BV359" s="52"/>
      <c r="BW359" s="105"/>
      <c r="BX359" s="98"/>
      <c r="BY359" s="279"/>
      <c r="BZ359" s="52"/>
      <c r="CA359" s="105"/>
      <c r="CB359" s="98"/>
      <c r="CC359" s="279"/>
      <c r="CD359" s="52"/>
      <c r="CE359" s="105"/>
      <c r="CF359" s="98"/>
      <c r="CG359" s="279"/>
      <c r="CH359" s="52"/>
      <c r="CI359" s="105"/>
      <c r="CJ359" s="98"/>
      <c r="CK359" s="281"/>
      <c r="CL359" s="277"/>
      <c r="CM359" s="159"/>
      <c r="CN359" s="277"/>
      <c r="CO359" s="50">
        <f t="shared" si="146"/>
        <v>0</v>
      </c>
      <c r="CP359" s="103">
        <f t="shared" si="147"/>
        <v>0</v>
      </c>
      <c r="CQ359" s="280">
        <f t="shared" si="148"/>
        <v>0</v>
      </c>
      <c r="CR359" s="63">
        <f t="shared" si="149"/>
        <v>0</v>
      </c>
      <c r="CS359" s="279"/>
      <c r="CT359" s="52"/>
      <c r="CU359" s="105"/>
      <c r="CV359" s="98"/>
      <c r="CW359" s="279"/>
      <c r="CX359" s="52"/>
      <c r="CY359" s="105"/>
      <c r="CZ359" s="98"/>
      <c r="DA359" s="279"/>
      <c r="DB359" s="52"/>
      <c r="DC359" s="105"/>
      <c r="DD359" s="98"/>
      <c r="DE359" s="279"/>
      <c r="DF359" s="52"/>
      <c r="DG359" s="105"/>
      <c r="DH359" s="98"/>
      <c r="DI359" s="279"/>
      <c r="DJ359" s="52"/>
      <c r="DK359" s="105"/>
      <c r="DL359" s="98"/>
      <c r="DM359" s="279"/>
      <c r="DN359" s="52"/>
      <c r="DO359" s="105"/>
      <c r="DP359" s="98"/>
      <c r="DQ359" s="279"/>
      <c r="DR359" s="52"/>
      <c r="DS359" s="105"/>
      <c r="DT359" s="98"/>
      <c r="DU359" s="279"/>
      <c r="DV359" s="52"/>
      <c r="DW359" s="105"/>
      <c r="DX359" s="98"/>
      <c r="DY359" s="279"/>
      <c r="DZ359" s="52"/>
      <c r="EA359" s="105"/>
      <c r="EB359" s="98"/>
      <c r="EC359" s="279"/>
      <c r="ED359" s="52"/>
      <c r="EE359" s="105"/>
      <c r="EF359" s="98"/>
      <c r="EG359" s="159"/>
      <c r="EH359" s="277"/>
      <c r="EI359" s="50">
        <f t="shared" si="150"/>
        <v>0</v>
      </c>
      <c r="EJ359" s="103">
        <f t="shared" si="151"/>
        <v>0</v>
      </c>
      <c r="EK359" s="164">
        <f t="shared" si="152"/>
        <v>0</v>
      </c>
      <c r="EL359" s="280">
        <f t="shared" si="153"/>
        <v>0</v>
      </c>
      <c r="EM359" s="63">
        <f t="shared" si="154"/>
        <v>0</v>
      </c>
      <c r="EN359" s="359">
        <f t="shared" si="155"/>
        <v>0</v>
      </c>
      <c r="EO359" s="51">
        <f t="shared" si="156"/>
        <v>0</v>
      </c>
      <c r="EP359" s="361">
        <f t="shared" si="157"/>
        <v>0</v>
      </c>
      <c r="EQ359" s="281"/>
      <c r="ER359" s="277"/>
      <c r="ES359" s="281"/>
      <c r="ET359" s="277"/>
      <c r="EU359" s="281"/>
      <c r="EV359" s="277"/>
      <c r="EW359" s="281"/>
      <c r="EX359" s="277"/>
      <c r="EY359" s="281"/>
      <c r="EZ359" s="277"/>
      <c r="FA359" s="281"/>
      <c r="FB359" s="277"/>
      <c r="FC359" s="281"/>
      <c r="FD359" s="277"/>
      <c r="FE359" s="281"/>
      <c r="FF359" s="277"/>
      <c r="FG359" s="281"/>
      <c r="FH359" s="277"/>
      <c r="FI359" s="281"/>
      <c r="FJ359" s="277"/>
      <c r="FK359" s="50">
        <f t="shared" si="158"/>
        <v>0</v>
      </c>
      <c r="FL359" s="63">
        <f t="shared" si="159"/>
        <v>0</v>
      </c>
      <c r="FM359" s="50">
        <f t="shared" si="141"/>
        <v>1090</v>
      </c>
      <c r="FN359" s="360">
        <f t="shared" si="142"/>
        <v>1023</v>
      </c>
      <c r="FO359" s="3"/>
      <c r="FP359" s="279"/>
      <c r="FQ359" s="52"/>
      <c r="FR359" s="296"/>
      <c r="FS359" s="98"/>
      <c r="FT359" s="467"/>
      <c r="FU359" s="52"/>
      <c r="FV359" s="296"/>
      <c r="FW359" s="98"/>
      <c r="FX359" s="467"/>
      <c r="FY359" s="52"/>
      <c r="FZ359" s="296"/>
      <c r="GA359" s="98"/>
      <c r="GB359" s="467"/>
      <c r="GC359" s="52"/>
      <c r="GD359" s="296"/>
      <c r="GE359" s="98"/>
      <c r="GF359" s="467"/>
      <c r="GG359" s="52"/>
      <c r="GH359" s="296"/>
      <c r="GI359" s="98"/>
      <c r="GJ359" s="467"/>
      <c r="GK359" s="52"/>
      <c r="GL359" s="296"/>
      <c r="GM359" s="464"/>
      <c r="GN359" s="467"/>
      <c r="GO359" s="52"/>
      <c r="GP359" s="296"/>
      <c r="GQ359" s="464"/>
      <c r="GR359" s="467"/>
      <c r="GS359" s="52"/>
      <c r="GT359" s="296"/>
      <c r="GU359" s="464"/>
      <c r="GV359" s="467"/>
      <c r="GW359" s="52"/>
      <c r="GX359" s="296"/>
      <c r="GY359" s="464"/>
      <c r="GZ359" s="467"/>
      <c r="HA359" s="52"/>
      <c r="HB359" s="296"/>
      <c r="HC359" s="3"/>
    </row>
    <row r="360" spans="1:211" s="86" customFormat="1">
      <c r="A360" s="522" t="s">
        <v>984</v>
      </c>
      <c r="B360" s="320" t="s">
        <v>1018</v>
      </c>
      <c r="C360" s="301">
        <v>199494</v>
      </c>
      <c r="D360" s="347">
        <v>8</v>
      </c>
      <c r="E360" s="460">
        <v>490</v>
      </c>
      <c r="F360" s="337">
        <v>377</v>
      </c>
      <c r="G360" s="158"/>
      <c r="H360" s="277"/>
      <c r="I360" s="158">
        <v>412</v>
      </c>
      <c r="J360" s="665">
        <v>484</v>
      </c>
      <c r="K360" s="160">
        <f t="shared" si="143"/>
        <v>0</v>
      </c>
      <c r="L360" s="161">
        <f t="shared" si="136"/>
        <v>0</v>
      </c>
      <c r="M360" s="54"/>
      <c r="N360" s="55"/>
      <c r="O360" s="55"/>
      <c r="P360" s="55"/>
      <c r="Q360" s="162">
        <f t="shared" si="144"/>
        <v>0</v>
      </c>
      <c r="R360" s="277"/>
      <c r="S360" s="277"/>
      <c r="T360" s="277"/>
      <c r="U360" s="277"/>
      <c r="V360" s="97">
        <f t="shared" si="145"/>
        <v>0</v>
      </c>
      <c r="W360" s="279"/>
      <c r="X360" s="52"/>
      <c r="Y360" s="99"/>
      <c r="Z360" s="53"/>
      <c r="AA360" s="228"/>
      <c r="AB360" s="52"/>
      <c r="AC360" s="99"/>
      <c r="AD360" s="53"/>
      <c r="AE360" s="228"/>
      <c r="AF360" s="52"/>
      <c r="AG360" s="99"/>
      <c r="AH360" s="53"/>
      <c r="AI360" s="228"/>
      <c r="AJ360" s="52"/>
      <c r="AK360" s="99"/>
      <c r="AL360" s="53"/>
      <c r="AM360" s="228"/>
      <c r="AN360" s="52"/>
      <c r="AO360" s="99"/>
      <c r="AP360" s="53"/>
      <c r="AQ360" s="50">
        <f t="shared" si="137"/>
        <v>0</v>
      </c>
      <c r="AR360" s="163">
        <f t="shared" si="138"/>
        <v>0</v>
      </c>
      <c r="AS360" s="97">
        <f t="shared" si="139"/>
        <v>0</v>
      </c>
      <c r="AT360" s="278">
        <f t="shared" si="140"/>
        <v>0</v>
      </c>
      <c r="AU360" s="55"/>
      <c r="AV360" s="277"/>
      <c r="AW360" s="279"/>
      <c r="AX360" s="52"/>
      <c r="AY360" s="105"/>
      <c r="AZ360" s="98"/>
      <c r="BA360" s="279"/>
      <c r="BB360" s="52"/>
      <c r="BC360" s="105"/>
      <c r="BD360" s="98"/>
      <c r="BE360" s="279"/>
      <c r="BF360" s="52"/>
      <c r="BG360" s="105"/>
      <c r="BH360" s="98"/>
      <c r="BI360" s="279"/>
      <c r="BJ360" s="52"/>
      <c r="BK360" s="105"/>
      <c r="BL360" s="98"/>
      <c r="BM360" s="279"/>
      <c r="BN360" s="52"/>
      <c r="BO360" s="105"/>
      <c r="BP360" s="98"/>
      <c r="BQ360" s="279"/>
      <c r="BR360" s="52"/>
      <c r="BS360" s="105"/>
      <c r="BT360" s="98"/>
      <c r="BU360" s="279"/>
      <c r="BV360" s="52"/>
      <c r="BW360" s="105"/>
      <c r="BX360" s="98"/>
      <c r="BY360" s="279"/>
      <c r="BZ360" s="52"/>
      <c r="CA360" s="105"/>
      <c r="CB360" s="98"/>
      <c r="CC360" s="279"/>
      <c r="CD360" s="52"/>
      <c r="CE360" s="105"/>
      <c r="CF360" s="98"/>
      <c r="CG360" s="279"/>
      <c r="CH360" s="52"/>
      <c r="CI360" s="105"/>
      <c r="CJ360" s="98"/>
      <c r="CK360" s="281"/>
      <c r="CL360" s="277"/>
      <c r="CM360" s="159"/>
      <c r="CN360" s="277"/>
      <c r="CO360" s="50">
        <f t="shared" si="146"/>
        <v>0</v>
      </c>
      <c r="CP360" s="103">
        <f t="shared" si="147"/>
        <v>0</v>
      </c>
      <c r="CQ360" s="280">
        <f t="shared" si="148"/>
        <v>0</v>
      </c>
      <c r="CR360" s="63">
        <f t="shared" si="149"/>
        <v>0</v>
      </c>
      <c r="CS360" s="279"/>
      <c r="CT360" s="52"/>
      <c r="CU360" s="105"/>
      <c r="CV360" s="98"/>
      <c r="CW360" s="279"/>
      <c r="CX360" s="52"/>
      <c r="CY360" s="105"/>
      <c r="CZ360" s="98"/>
      <c r="DA360" s="279"/>
      <c r="DB360" s="52"/>
      <c r="DC360" s="105"/>
      <c r="DD360" s="98"/>
      <c r="DE360" s="279"/>
      <c r="DF360" s="52"/>
      <c r="DG360" s="105"/>
      <c r="DH360" s="98"/>
      <c r="DI360" s="279"/>
      <c r="DJ360" s="52"/>
      <c r="DK360" s="105"/>
      <c r="DL360" s="98"/>
      <c r="DM360" s="279"/>
      <c r="DN360" s="52"/>
      <c r="DO360" s="105"/>
      <c r="DP360" s="98"/>
      <c r="DQ360" s="279"/>
      <c r="DR360" s="52"/>
      <c r="DS360" s="105"/>
      <c r="DT360" s="98"/>
      <c r="DU360" s="279"/>
      <c r="DV360" s="52"/>
      <c r="DW360" s="105"/>
      <c r="DX360" s="98"/>
      <c r="DY360" s="279"/>
      <c r="DZ360" s="52"/>
      <c r="EA360" s="105"/>
      <c r="EB360" s="98"/>
      <c r="EC360" s="279"/>
      <c r="ED360" s="52"/>
      <c r="EE360" s="105"/>
      <c r="EF360" s="98"/>
      <c r="EG360" s="159"/>
      <c r="EH360" s="277"/>
      <c r="EI360" s="50">
        <f t="shared" si="150"/>
        <v>0</v>
      </c>
      <c r="EJ360" s="103">
        <f t="shared" si="151"/>
        <v>0</v>
      </c>
      <c r="EK360" s="164">
        <f t="shared" si="152"/>
        <v>0</v>
      </c>
      <c r="EL360" s="280">
        <f t="shared" si="153"/>
        <v>0</v>
      </c>
      <c r="EM360" s="63">
        <f t="shared" si="154"/>
        <v>0</v>
      </c>
      <c r="EN360" s="359">
        <f t="shared" si="155"/>
        <v>0</v>
      </c>
      <c r="EO360" s="51">
        <f t="shared" si="156"/>
        <v>0</v>
      </c>
      <c r="EP360" s="361">
        <f t="shared" si="157"/>
        <v>0</v>
      </c>
      <c r="EQ360" s="281"/>
      <c r="ER360" s="277"/>
      <c r="ES360" s="281"/>
      <c r="ET360" s="277"/>
      <c r="EU360" s="281"/>
      <c r="EV360" s="277"/>
      <c r="EW360" s="281"/>
      <c r="EX360" s="277"/>
      <c r="EY360" s="281"/>
      <c r="EZ360" s="277"/>
      <c r="FA360" s="281"/>
      <c r="FB360" s="277"/>
      <c r="FC360" s="281"/>
      <c r="FD360" s="277"/>
      <c r="FE360" s="281"/>
      <c r="FF360" s="277"/>
      <c r="FG360" s="281"/>
      <c r="FH360" s="277"/>
      <c r="FI360" s="281"/>
      <c r="FJ360" s="277"/>
      <c r="FK360" s="50">
        <f t="shared" si="158"/>
        <v>0</v>
      </c>
      <c r="FL360" s="63">
        <f t="shared" si="159"/>
        <v>0</v>
      </c>
      <c r="FM360" s="50">
        <f t="shared" si="141"/>
        <v>902</v>
      </c>
      <c r="FN360" s="360">
        <f t="shared" si="142"/>
        <v>861</v>
      </c>
      <c r="FO360" s="3"/>
      <c r="FP360" s="279"/>
      <c r="FQ360" s="52"/>
      <c r="FR360" s="296"/>
      <c r="FS360" s="98"/>
      <c r="FT360" s="467"/>
      <c r="FU360" s="52"/>
      <c r="FV360" s="296"/>
      <c r="FW360" s="98"/>
      <c r="FX360" s="467"/>
      <c r="FY360" s="52"/>
      <c r="FZ360" s="296"/>
      <c r="GA360" s="98"/>
      <c r="GB360" s="467"/>
      <c r="GC360" s="52"/>
      <c r="GD360" s="296"/>
      <c r="GE360" s="98"/>
      <c r="GF360" s="467"/>
      <c r="GG360" s="52"/>
      <c r="GH360" s="296"/>
      <c r="GI360" s="98"/>
      <c r="GJ360" s="467"/>
      <c r="GK360" s="52"/>
      <c r="GL360" s="296"/>
      <c r="GM360" s="464"/>
      <c r="GN360" s="467"/>
      <c r="GO360" s="52"/>
      <c r="GP360" s="296"/>
      <c r="GQ360" s="464"/>
      <c r="GR360" s="467"/>
      <c r="GS360" s="52"/>
      <c r="GT360" s="296"/>
      <c r="GU360" s="464"/>
      <c r="GV360" s="467"/>
      <c r="GW360" s="52"/>
      <c r="GX360" s="296"/>
      <c r="GY360" s="464"/>
      <c r="GZ360" s="467"/>
      <c r="HA360" s="52"/>
      <c r="HB360" s="296"/>
      <c r="HC360" s="3"/>
    </row>
    <row r="361" spans="1:211" s="86" customFormat="1">
      <c r="A361" s="521" t="s">
        <v>984</v>
      </c>
      <c r="B361" s="318" t="s">
        <v>994</v>
      </c>
      <c r="C361" s="317">
        <v>199856</v>
      </c>
      <c r="D361" s="346">
        <v>8</v>
      </c>
      <c r="E361" s="460">
        <v>498</v>
      </c>
      <c r="F361" s="337">
        <v>418</v>
      </c>
      <c r="G361" s="158"/>
      <c r="H361" s="277"/>
      <c r="I361" s="158">
        <v>985</v>
      </c>
      <c r="J361" s="665">
        <v>866</v>
      </c>
      <c r="K361" s="160">
        <f t="shared" si="143"/>
        <v>0</v>
      </c>
      <c r="L361" s="161">
        <f t="shared" si="136"/>
        <v>0</v>
      </c>
      <c r="M361" s="54"/>
      <c r="N361" s="55"/>
      <c r="O361" s="55"/>
      <c r="P361" s="55"/>
      <c r="Q361" s="162">
        <f t="shared" si="144"/>
        <v>0</v>
      </c>
      <c r="R361" s="277"/>
      <c r="S361" s="277"/>
      <c r="T361" s="277"/>
      <c r="U361" s="277"/>
      <c r="V361" s="97">
        <f t="shared" si="145"/>
        <v>0</v>
      </c>
      <c r="W361" s="279"/>
      <c r="X361" s="52"/>
      <c r="Y361" s="99"/>
      <c r="Z361" s="53"/>
      <c r="AA361" s="228"/>
      <c r="AB361" s="52"/>
      <c r="AC361" s="99"/>
      <c r="AD361" s="53"/>
      <c r="AE361" s="228"/>
      <c r="AF361" s="52"/>
      <c r="AG361" s="99"/>
      <c r="AH361" s="53"/>
      <c r="AI361" s="228"/>
      <c r="AJ361" s="52"/>
      <c r="AK361" s="99"/>
      <c r="AL361" s="53"/>
      <c r="AM361" s="228"/>
      <c r="AN361" s="52"/>
      <c r="AO361" s="99"/>
      <c r="AP361" s="53"/>
      <c r="AQ361" s="50">
        <f t="shared" si="137"/>
        <v>0</v>
      </c>
      <c r="AR361" s="163">
        <f t="shared" si="138"/>
        <v>0</v>
      </c>
      <c r="AS361" s="97">
        <f t="shared" si="139"/>
        <v>0</v>
      </c>
      <c r="AT361" s="278">
        <f t="shared" si="140"/>
        <v>0</v>
      </c>
      <c r="AU361" s="55"/>
      <c r="AV361" s="277"/>
      <c r="AW361" s="279"/>
      <c r="AX361" s="52"/>
      <c r="AY361" s="105"/>
      <c r="AZ361" s="98"/>
      <c r="BA361" s="279"/>
      <c r="BB361" s="52"/>
      <c r="BC361" s="105"/>
      <c r="BD361" s="98"/>
      <c r="BE361" s="279"/>
      <c r="BF361" s="52"/>
      <c r="BG361" s="105"/>
      <c r="BH361" s="98"/>
      <c r="BI361" s="279"/>
      <c r="BJ361" s="52"/>
      <c r="BK361" s="105"/>
      <c r="BL361" s="98"/>
      <c r="BM361" s="279"/>
      <c r="BN361" s="52"/>
      <c r="BO361" s="105"/>
      <c r="BP361" s="98"/>
      <c r="BQ361" s="279"/>
      <c r="BR361" s="52"/>
      <c r="BS361" s="105"/>
      <c r="BT361" s="98"/>
      <c r="BU361" s="279"/>
      <c r="BV361" s="52"/>
      <c r="BW361" s="105"/>
      <c r="BX361" s="98"/>
      <c r="BY361" s="279"/>
      <c r="BZ361" s="52"/>
      <c r="CA361" s="105"/>
      <c r="CB361" s="98"/>
      <c r="CC361" s="279"/>
      <c r="CD361" s="52"/>
      <c r="CE361" s="105"/>
      <c r="CF361" s="98"/>
      <c r="CG361" s="279"/>
      <c r="CH361" s="52"/>
      <c r="CI361" s="105"/>
      <c r="CJ361" s="98"/>
      <c r="CK361" s="281"/>
      <c r="CL361" s="277"/>
      <c r="CM361" s="159"/>
      <c r="CN361" s="277"/>
      <c r="CO361" s="50">
        <f t="shared" si="146"/>
        <v>0</v>
      </c>
      <c r="CP361" s="103">
        <f t="shared" si="147"/>
        <v>0</v>
      </c>
      <c r="CQ361" s="280">
        <f t="shared" si="148"/>
        <v>0</v>
      </c>
      <c r="CR361" s="63">
        <f t="shared" si="149"/>
        <v>0</v>
      </c>
      <c r="CS361" s="279"/>
      <c r="CT361" s="52"/>
      <c r="CU361" s="105"/>
      <c r="CV361" s="98"/>
      <c r="CW361" s="279"/>
      <c r="CX361" s="52"/>
      <c r="CY361" s="105"/>
      <c r="CZ361" s="98"/>
      <c r="DA361" s="279"/>
      <c r="DB361" s="52"/>
      <c r="DC361" s="105"/>
      <c r="DD361" s="98"/>
      <c r="DE361" s="279"/>
      <c r="DF361" s="52"/>
      <c r="DG361" s="105"/>
      <c r="DH361" s="98"/>
      <c r="DI361" s="279"/>
      <c r="DJ361" s="52"/>
      <c r="DK361" s="105"/>
      <c r="DL361" s="98"/>
      <c r="DM361" s="279"/>
      <c r="DN361" s="52"/>
      <c r="DO361" s="105"/>
      <c r="DP361" s="98"/>
      <c r="DQ361" s="279"/>
      <c r="DR361" s="52"/>
      <c r="DS361" s="105"/>
      <c r="DT361" s="98"/>
      <c r="DU361" s="279"/>
      <c r="DV361" s="52"/>
      <c r="DW361" s="105"/>
      <c r="DX361" s="98"/>
      <c r="DY361" s="279"/>
      <c r="DZ361" s="52"/>
      <c r="EA361" s="105"/>
      <c r="EB361" s="98"/>
      <c r="EC361" s="279"/>
      <c r="ED361" s="52"/>
      <c r="EE361" s="105"/>
      <c r="EF361" s="98"/>
      <c r="EG361" s="159"/>
      <c r="EH361" s="277"/>
      <c r="EI361" s="50">
        <f t="shared" si="150"/>
        <v>0</v>
      </c>
      <c r="EJ361" s="103">
        <f t="shared" si="151"/>
        <v>0</v>
      </c>
      <c r="EK361" s="164">
        <f t="shared" si="152"/>
        <v>0</v>
      </c>
      <c r="EL361" s="280">
        <f t="shared" si="153"/>
        <v>0</v>
      </c>
      <c r="EM361" s="63">
        <f t="shared" si="154"/>
        <v>0</v>
      </c>
      <c r="EN361" s="359">
        <f t="shared" si="155"/>
        <v>0</v>
      </c>
      <c r="EO361" s="51">
        <f t="shared" si="156"/>
        <v>0</v>
      </c>
      <c r="EP361" s="361">
        <f t="shared" si="157"/>
        <v>0</v>
      </c>
      <c r="EQ361" s="281"/>
      <c r="ER361" s="277"/>
      <c r="ES361" s="281"/>
      <c r="ET361" s="277"/>
      <c r="EU361" s="281"/>
      <c r="EV361" s="277"/>
      <c r="EW361" s="281"/>
      <c r="EX361" s="277"/>
      <c r="EY361" s="281"/>
      <c r="EZ361" s="277"/>
      <c r="FA361" s="281"/>
      <c r="FB361" s="277"/>
      <c r="FC361" s="281"/>
      <c r="FD361" s="277"/>
      <c r="FE361" s="281"/>
      <c r="FF361" s="277"/>
      <c r="FG361" s="281"/>
      <c r="FH361" s="277"/>
      <c r="FI361" s="281"/>
      <c r="FJ361" s="277"/>
      <c r="FK361" s="50">
        <f t="shared" si="158"/>
        <v>0</v>
      </c>
      <c r="FL361" s="63">
        <f t="shared" si="159"/>
        <v>0</v>
      </c>
      <c r="FM361" s="50">
        <f t="shared" si="141"/>
        <v>1483</v>
      </c>
      <c r="FN361" s="360">
        <f t="shared" si="142"/>
        <v>1284</v>
      </c>
      <c r="FO361" s="3"/>
      <c r="FP361" s="279"/>
      <c r="FQ361" s="52"/>
      <c r="FR361" s="296"/>
      <c r="FS361" s="98"/>
      <c r="FT361" s="467"/>
      <c r="FU361" s="52"/>
      <c r="FV361" s="296"/>
      <c r="FW361" s="98"/>
      <c r="FX361" s="467"/>
      <c r="FY361" s="52"/>
      <c r="FZ361" s="296"/>
      <c r="GA361" s="98"/>
      <c r="GB361" s="467"/>
      <c r="GC361" s="52"/>
      <c r="GD361" s="296"/>
      <c r="GE361" s="98"/>
      <c r="GF361" s="467"/>
      <c r="GG361" s="52"/>
      <c r="GH361" s="296"/>
      <c r="GI361" s="98"/>
      <c r="GJ361" s="467"/>
      <c r="GK361" s="52"/>
      <c r="GL361" s="296"/>
      <c r="GM361" s="464"/>
      <c r="GN361" s="467"/>
      <c r="GO361" s="52"/>
      <c r="GP361" s="296"/>
      <c r="GQ361" s="464"/>
      <c r="GR361" s="467"/>
      <c r="GS361" s="52"/>
      <c r="GT361" s="296"/>
      <c r="GU361" s="464"/>
      <c r="GV361" s="467"/>
      <c r="GW361" s="52"/>
      <c r="GX361" s="296"/>
      <c r="GY361" s="464"/>
      <c r="GZ361" s="467"/>
      <c r="HA361" s="52"/>
      <c r="HB361" s="296"/>
      <c r="HC361" s="3"/>
    </row>
    <row r="362" spans="1:211" s="86" customFormat="1">
      <c r="A362" s="521" t="s">
        <v>984</v>
      </c>
      <c r="B362" s="318" t="s">
        <v>995</v>
      </c>
      <c r="C362" s="317">
        <v>199786</v>
      </c>
      <c r="D362" s="346">
        <v>9</v>
      </c>
      <c r="E362" s="460">
        <v>373</v>
      </c>
      <c r="F362" s="337">
        <v>419</v>
      </c>
      <c r="G362" s="158"/>
      <c r="H362" s="277"/>
      <c r="I362" s="158">
        <v>394</v>
      </c>
      <c r="J362" s="665">
        <v>437</v>
      </c>
      <c r="K362" s="160">
        <f t="shared" si="143"/>
        <v>0</v>
      </c>
      <c r="L362" s="161">
        <f t="shared" si="136"/>
        <v>0</v>
      </c>
      <c r="M362" s="54"/>
      <c r="N362" s="55"/>
      <c r="O362" s="55"/>
      <c r="P362" s="55"/>
      <c r="Q362" s="162">
        <f t="shared" si="144"/>
        <v>0</v>
      </c>
      <c r="R362" s="277"/>
      <c r="S362" s="277"/>
      <c r="T362" s="277"/>
      <c r="U362" s="277"/>
      <c r="V362" s="97">
        <f t="shared" si="145"/>
        <v>0</v>
      </c>
      <c r="W362" s="279"/>
      <c r="X362" s="52"/>
      <c r="Y362" s="99"/>
      <c r="Z362" s="53"/>
      <c r="AA362" s="228"/>
      <c r="AB362" s="52"/>
      <c r="AC362" s="99"/>
      <c r="AD362" s="53"/>
      <c r="AE362" s="228"/>
      <c r="AF362" s="52"/>
      <c r="AG362" s="99"/>
      <c r="AH362" s="53"/>
      <c r="AI362" s="228"/>
      <c r="AJ362" s="52"/>
      <c r="AK362" s="99"/>
      <c r="AL362" s="53"/>
      <c r="AM362" s="228"/>
      <c r="AN362" s="52"/>
      <c r="AO362" s="99"/>
      <c r="AP362" s="53"/>
      <c r="AQ362" s="50">
        <f t="shared" si="137"/>
        <v>0</v>
      </c>
      <c r="AR362" s="163">
        <f t="shared" si="138"/>
        <v>0</v>
      </c>
      <c r="AS362" s="97">
        <f t="shared" si="139"/>
        <v>0</v>
      </c>
      <c r="AT362" s="278">
        <f t="shared" si="140"/>
        <v>0</v>
      </c>
      <c r="AU362" s="55"/>
      <c r="AV362" s="277"/>
      <c r="AW362" s="279"/>
      <c r="AX362" s="52"/>
      <c r="AY362" s="105"/>
      <c r="AZ362" s="98"/>
      <c r="BA362" s="279"/>
      <c r="BB362" s="52"/>
      <c r="BC362" s="105"/>
      <c r="BD362" s="98"/>
      <c r="BE362" s="279"/>
      <c r="BF362" s="52"/>
      <c r="BG362" s="105"/>
      <c r="BH362" s="98"/>
      <c r="BI362" s="279"/>
      <c r="BJ362" s="52"/>
      <c r="BK362" s="105"/>
      <c r="BL362" s="98"/>
      <c r="BM362" s="279"/>
      <c r="BN362" s="52"/>
      <c r="BO362" s="105"/>
      <c r="BP362" s="98"/>
      <c r="BQ362" s="279"/>
      <c r="BR362" s="52"/>
      <c r="BS362" s="105"/>
      <c r="BT362" s="98"/>
      <c r="BU362" s="279"/>
      <c r="BV362" s="52"/>
      <c r="BW362" s="105"/>
      <c r="BX362" s="98"/>
      <c r="BY362" s="279"/>
      <c r="BZ362" s="52"/>
      <c r="CA362" s="105"/>
      <c r="CB362" s="98"/>
      <c r="CC362" s="279"/>
      <c r="CD362" s="52"/>
      <c r="CE362" s="105"/>
      <c r="CF362" s="98"/>
      <c r="CG362" s="279"/>
      <c r="CH362" s="52"/>
      <c r="CI362" s="105"/>
      <c r="CJ362" s="98"/>
      <c r="CK362" s="281"/>
      <c r="CL362" s="277"/>
      <c r="CM362" s="159"/>
      <c r="CN362" s="277"/>
      <c r="CO362" s="50">
        <f t="shared" si="146"/>
        <v>0</v>
      </c>
      <c r="CP362" s="103">
        <f t="shared" si="147"/>
        <v>0</v>
      </c>
      <c r="CQ362" s="280">
        <f t="shared" si="148"/>
        <v>0</v>
      </c>
      <c r="CR362" s="63">
        <f t="shared" si="149"/>
        <v>0</v>
      </c>
      <c r="CS362" s="279"/>
      <c r="CT362" s="52"/>
      <c r="CU362" s="105"/>
      <c r="CV362" s="98"/>
      <c r="CW362" s="279"/>
      <c r="CX362" s="52"/>
      <c r="CY362" s="105"/>
      <c r="CZ362" s="98"/>
      <c r="DA362" s="279"/>
      <c r="DB362" s="52"/>
      <c r="DC362" s="105"/>
      <c r="DD362" s="98"/>
      <c r="DE362" s="279"/>
      <c r="DF362" s="52"/>
      <c r="DG362" s="105"/>
      <c r="DH362" s="98"/>
      <c r="DI362" s="279"/>
      <c r="DJ362" s="52"/>
      <c r="DK362" s="105"/>
      <c r="DL362" s="98"/>
      <c r="DM362" s="279"/>
      <c r="DN362" s="52"/>
      <c r="DO362" s="105"/>
      <c r="DP362" s="98"/>
      <c r="DQ362" s="279"/>
      <c r="DR362" s="52"/>
      <c r="DS362" s="105"/>
      <c r="DT362" s="98"/>
      <c r="DU362" s="279"/>
      <c r="DV362" s="52"/>
      <c r="DW362" s="105"/>
      <c r="DX362" s="98"/>
      <c r="DY362" s="279"/>
      <c r="DZ362" s="52"/>
      <c r="EA362" s="105"/>
      <c r="EB362" s="98"/>
      <c r="EC362" s="279"/>
      <c r="ED362" s="52"/>
      <c r="EE362" s="105"/>
      <c r="EF362" s="98"/>
      <c r="EG362" s="159"/>
      <c r="EH362" s="277"/>
      <c r="EI362" s="50">
        <f t="shared" si="150"/>
        <v>0</v>
      </c>
      <c r="EJ362" s="103">
        <f t="shared" si="151"/>
        <v>0</v>
      </c>
      <c r="EK362" s="164">
        <f t="shared" si="152"/>
        <v>0</v>
      </c>
      <c r="EL362" s="280">
        <f t="shared" si="153"/>
        <v>0</v>
      </c>
      <c r="EM362" s="63">
        <f t="shared" si="154"/>
        <v>0</v>
      </c>
      <c r="EN362" s="359">
        <f t="shared" si="155"/>
        <v>0</v>
      </c>
      <c r="EO362" s="51">
        <f t="shared" si="156"/>
        <v>0</v>
      </c>
      <c r="EP362" s="361">
        <f t="shared" si="157"/>
        <v>0</v>
      </c>
      <c r="EQ362" s="281"/>
      <c r="ER362" s="277"/>
      <c r="ES362" s="281"/>
      <c r="ET362" s="277"/>
      <c r="EU362" s="281"/>
      <c r="EV362" s="277"/>
      <c r="EW362" s="281"/>
      <c r="EX362" s="277"/>
      <c r="EY362" s="281"/>
      <c r="EZ362" s="277"/>
      <c r="FA362" s="281"/>
      <c r="FB362" s="277"/>
      <c r="FC362" s="281"/>
      <c r="FD362" s="277"/>
      <c r="FE362" s="281"/>
      <c r="FF362" s="277"/>
      <c r="FG362" s="281"/>
      <c r="FH362" s="277"/>
      <c r="FI362" s="281"/>
      <c r="FJ362" s="277"/>
      <c r="FK362" s="50">
        <f t="shared" si="158"/>
        <v>0</v>
      </c>
      <c r="FL362" s="63">
        <f t="shared" si="159"/>
        <v>0</v>
      </c>
      <c r="FM362" s="50">
        <f t="shared" si="141"/>
        <v>767</v>
      </c>
      <c r="FN362" s="360">
        <f t="shared" si="142"/>
        <v>856</v>
      </c>
      <c r="FO362" s="3"/>
      <c r="FP362" s="279"/>
      <c r="FQ362" s="52"/>
      <c r="FR362" s="296"/>
      <c r="FS362" s="98"/>
      <c r="FT362" s="467"/>
      <c r="FU362" s="52"/>
      <c r="FV362" s="296"/>
      <c r="FW362" s="98"/>
      <c r="FX362" s="467"/>
      <c r="FY362" s="52"/>
      <c r="FZ362" s="296"/>
      <c r="GA362" s="98"/>
      <c r="GB362" s="467"/>
      <c r="GC362" s="52"/>
      <c r="GD362" s="296"/>
      <c r="GE362" s="98"/>
      <c r="GF362" s="467"/>
      <c r="GG362" s="52"/>
      <c r="GH362" s="296"/>
      <c r="GI362" s="98"/>
      <c r="GJ362" s="467"/>
      <c r="GK362" s="52"/>
      <c r="GL362" s="296"/>
      <c r="GM362" s="464"/>
      <c r="GN362" s="467"/>
      <c r="GO362" s="52"/>
      <c r="GP362" s="296"/>
      <c r="GQ362" s="464"/>
      <c r="GR362" s="467"/>
      <c r="GS362" s="52"/>
      <c r="GT362" s="296"/>
      <c r="GU362" s="464"/>
      <c r="GV362" s="467"/>
      <c r="GW362" s="52"/>
      <c r="GX362" s="296"/>
      <c r="GY362" s="464"/>
      <c r="GZ362" s="467"/>
      <c r="HA362" s="52"/>
      <c r="HB362" s="296"/>
      <c r="HC362" s="3"/>
    </row>
    <row r="363" spans="1:211" s="86" customFormat="1">
      <c r="A363" s="521" t="s">
        <v>984</v>
      </c>
      <c r="B363" s="318" t="s">
        <v>997</v>
      </c>
      <c r="C363" s="317">
        <v>198039</v>
      </c>
      <c r="D363" s="346">
        <v>9</v>
      </c>
      <c r="E363" s="460">
        <v>72</v>
      </c>
      <c r="F363" s="337">
        <v>76</v>
      </c>
      <c r="G363" s="158"/>
      <c r="H363" s="277"/>
      <c r="I363" s="158">
        <v>144</v>
      </c>
      <c r="J363" s="665">
        <v>149</v>
      </c>
      <c r="K363" s="160">
        <f t="shared" si="143"/>
        <v>0</v>
      </c>
      <c r="L363" s="161">
        <f t="shared" si="136"/>
        <v>0</v>
      </c>
      <c r="M363" s="54"/>
      <c r="N363" s="55"/>
      <c r="O363" s="55"/>
      <c r="P363" s="55"/>
      <c r="Q363" s="162">
        <f t="shared" si="144"/>
        <v>0</v>
      </c>
      <c r="R363" s="277"/>
      <c r="S363" s="277"/>
      <c r="T363" s="277"/>
      <c r="U363" s="277"/>
      <c r="V363" s="97">
        <f t="shared" si="145"/>
        <v>0</v>
      </c>
      <c r="W363" s="279"/>
      <c r="X363" s="52"/>
      <c r="Y363" s="99"/>
      <c r="Z363" s="53"/>
      <c r="AA363" s="228"/>
      <c r="AB363" s="52"/>
      <c r="AC363" s="99"/>
      <c r="AD363" s="53"/>
      <c r="AE363" s="228"/>
      <c r="AF363" s="52"/>
      <c r="AG363" s="99"/>
      <c r="AH363" s="53"/>
      <c r="AI363" s="228"/>
      <c r="AJ363" s="52"/>
      <c r="AK363" s="99"/>
      <c r="AL363" s="53"/>
      <c r="AM363" s="228"/>
      <c r="AN363" s="52"/>
      <c r="AO363" s="99"/>
      <c r="AP363" s="53"/>
      <c r="AQ363" s="50">
        <f t="shared" si="137"/>
        <v>0</v>
      </c>
      <c r="AR363" s="163">
        <f t="shared" si="138"/>
        <v>0</v>
      </c>
      <c r="AS363" s="97">
        <f t="shared" si="139"/>
        <v>0</v>
      </c>
      <c r="AT363" s="278">
        <f t="shared" si="140"/>
        <v>0</v>
      </c>
      <c r="AU363" s="55"/>
      <c r="AV363" s="277"/>
      <c r="AW363" s="279"/>
      <c r="AX363" s="52"/>
      <c r="AY363" s="105"/>
      <c r="AZ363" s="98"/>
      <c r="BA363" s="279"/>
      <c r="BB363" s="52"/>
      <c r="BC363" s="105"/>
      <c r="BD363" s="98"/>
      <c r="BE363" s="279"/>
      <c r="BF363" s="52"/>
      <c r="BG363" s="105"/>
      <c r="BH363" s="98"/>
      <c r="BI363" s="279"/>
      <c r="BJ363" s="52"/>
      <c r="BK363" s="105"/>
      <c r="BL363" s="98"/>
      <c r="BM363" s="279"/>
      <c r="BN363" s="52"/>
      <c r="BO363" s="105"/>
      <c r="BP363" s="98"/>
      <c r="BQ363" s="279"/>
      <c r="BR363" s="52"/>
      <c r="BS363" s="105"/>
      <c r="BT363" s="98"/>
      <c r="BU363" s="279"/>
      <c r="BV363" s="52"/>
      <c r="BW363" s="105"/>
      <c r="BX363" s="98"/>
      <c r="BY363" s="279"/>
      <c r="BZ363" s="52"/>
      <c r="CA363" s="105"/>
      <c r="CB363" s="98"/>
      <c r="CC363" s="279"/>
      <c r="CD363" s="52"/>
      <c r="CE363" s="105"/>
      <c r="CF363" s="98"/>
      <c r="CG363" s="279"/>
      <c r="CH363" s="52"/>
      <c r="CI363" s="105"/>
      <c r="CJ363" s="98"/>
      <c r="CK363" s="281"/>
      <c r="CL363" s="277"/>
      <c r="CM363" s="159"/>
      <c r="CN363" s="277"/>
      <c r="CO363" s="50">
        <f t="shared" si="146"/>
        <v>0</v>
      </c>
      <c r="CP363" s="103">
        <f t="shared" si="147"/>
        <v>0</v>
      </c>
      <c r="CQ363" s="280">
        <f t="shared" si="148"/>
        <v>0</v>
      </c>
      <c r="CR363" s="63">
        <f t="shared" si="149"/>
        <v>0</v>
      </c>
      <c r="CS363" s="279"/>
      <c r="CT363" s="52"/>
      <c r="CU363" s="105"/>
      <c r="CV363" s="98"/>
      <c r="CW363" s="279"/>
      <c r="CX363" s="52"/>
      <c r="CY363" s="105"/>
      <c r="CZ363" s="98"/>
      <c r="DA363" s="279"/>
      <c r="DB363" s="52"/>
      <c r="DC363" s="105"/>
      <c r="DD363" s="98"/>
      <c r="DE363" s="279"/>
      <c r="DF363" s="52"/>
      <c r="DG363" s="105"/>
      <c r="DH363" s="98"/>
      <c r="DI363" s="279"/>
      <c r="DJ363" s="52"/>
      <c r="DK363" s="105"/>
      <c r="DL363" s="98"/>
      <c r="DM363" s="279"/>
      <c r="DN363" s="52"/>
      <c r="DO363" s="105"/>
      <c r="DP363" s="98"/>
      <c r="DQ363" s="279"/>
      <c r="DR363" s="52"/>
      <c r="DS363" s="105"/>
      <c r="DT363" s="98"/>
      <c r="DU363" s="279"/>
      <c r="DV363" s="52"/>
      <c r="DW363" s="105"/>
      <c r="DX363" s="98"/>
      <c r="DY363" s="279"/>
      <c r="DZ363" s="52"/>
      <c r="EA363" s="105"/>
      <c r="EB363" s="98"/>
      <c r="EC363" s="279"/>
      <c r="ED363" s="52"/>
      <c r="EE363" s="105"/>
      <c r="EF363" s="98"/>
      <c r="EG363" s="159"/>
      <c r="EH363" s="277"/>
      <c r="EI363" s="50">
        <f t="shared" si="150"/>
        <v>0</v>
      </c>
      <c r="EJ363" s="103">
        <f t="shared" si="151"/>
        <v>0</v>
      </c>
      <c r="EK363" s="164">
        <f t="shared" si="152"/>
        <v>0</v>
      </c>
      <c r="EL363" s="280">
        <f t="shared" si="153"/>
        <v>0</v>
      </c>
      <c r="EM363" s="63">
        <f t="shared" si="154"/>
        <v>0</v>
      </c>
      <c r="EN363" s="359">
        <f t="shared" si="155"/>
        <v>0</v>
      </c>
      <c r="EO363" s="51">
        <f t="shared" si="156"/>
        <v>0</v>
      </c>
      <c r="EP363" s="361">
        <f t="shared" si="157"/>
        <v>0</v>
      </c>
      <c r="EQ363" s="281"/>
      <c r="ER363" s="277"/>
      <c r="ES363" s="281"/>
      <c r="ET363" s="277"/>
      <c r="EU363" s="281"/>
      <c r="EV363" s="277"/>
      <c r="EW363" s="281"/>
      <c r="EX363" s="277"/>
      <c r="EY363" s="281"/>
      <c r="EZ363" s="277"/>
      <c r="FA363" s="281"/>
      <c r="FB363" s="277"/>
      <c r="FC363" s="281"/>
      <c r="FD363" s="277"/>
      <c r="FE363" s="281"/>
      <c r="FF363" s="277"/>
      <c r="FG363" s="281"/>
      <c r="FH363" s="277"/>
      <c r="FI363" s="281"/>
      <c r="FJ363" s="277"/>
      <c r="FK363" s="50">
        <f t="shared" si="158"/>
        <v>0</v>
      </c>
      <c r="FL363" s="63">
        <f t="shared" si="159"/>
        <v>0</v>
      </c>
      <c r="FM363" s="50">
        <f t="shared" si="141"/>
        <v>216</v>
      </c>
      <c r="FN363" s="360">
        <f t="shared" si="142"/>
        <v>225</v>
      </c>
      <c r="FO363" s="3"/>
      <c r="FP363" s="279"/>
      <c r="FQ363" s="52"/>
      <c r="FR363" s="296"/>
      <c r="FS363" s="98"/>
      <c r="FT363" s="467"/>
      <c r="FU363" s="52"/>
      <c r="FV363" s="296"/>
      <c r="FW363" s="98"/>
      <c r="FX363" s="467"/>
      <c r="FY363" s="52"/>
      <c r="FZ363" s="296"/>
      <c r="GA363" s="98"/>
      <c r="GB363" s="467"/>
      <c r="GC363" s="52"/>
      <c r="GD363" s="296"/>
      <c r="GE363" s="98"/>
      <c r="GF363" s="467"/>
      <c r="GG363" s="52"/>
      <c r="GH363" s="296"/>
      <c r="GI363" s="98"/>
      <c r="GJ363" s="467"/>
      <c r="GK363" s="52"/>
      <c r="GL363" s="296"/>
      <c r="GM363" s="464"/>
      <c r="GN363" s="467"/>
      <c r="GO363" s="52"/>
      <c r="GP363" s="296"/>
      <c r="GQ363" s="464"/>
      <c r="GR363" s="467"/>
      <c r="GS363" s="52"/>
      <c r="GT363" s="296"/>
      <c r="GU363" s="464"/>
      <c r="GV363" s="467"/>
      <c r="GW363" s="52"/>
      <c r="GX363" s="296"/>
      <c r="GY363" s="464"/>
      <c r="GZ363" s="467"/>
      <c r="HA363" s="52"/>
      <c r="HB363" s="296"/>
      <c r="HC363" s="3"/>
    </row>
    <row r="364" spans="1:211" s="86" customFormat="1">
      <c r="A364" s="521" t="s">
        <v>984</v>
      </c>
      <c r="B364" s="318" t="s">
        <v>998</v>
      </c>
      <c r="C364" s="317">
        <v>198118</v>
      </c>
      <c r="D364" s="346">
        <v>9</v>
      </c>
      <c r="E364" s="460">
        <v>293</v>
      </c>
      <c r="F364" s="337">
        <v>402</v>
      </c>
      <c r="G364" s="158"/>
      <c r="H364" s="277"/>
      <c r="I364" s="158">
        <v>379</v>
      </c>
      <c r="J364" s="665">
        <v>433</v>
      </c>
      <c r="K364" s="160">
        <f t="shared" si="143"/>
        <v>0</v>
      </c>
      <c r="L364" s="161">
        <f t="shared" si="136"/>
        <v>0</v>
      </c>
      <c r="M364" s="54"/>
      <c r="N364" s="55"/>
      <c r="O364" s="55"/>
      <c r="P364" s="55"/>
      <c r="Q364" s="162">
        <f t="shared" si="144"/>
        <v>0</v>
      </c>
      <c r="R364" s="277"/>
      <c r="S364" s="277"/>
      <c r="T364" s="277"/>
      <c r="U364" s="277"/>
      <c r="V364" s="97">
        <f t="shared" si="145"/>
        <v>0</v>
      </c>
      <c r="W364" s="279"/>
      <c r="X364" s="52"/>
      <c r="Y364" s="99"/>
      <c r="Z364" s="53"/>
      <c r="AA364" s="228"/>
      <c r="AB364" s="52"/>
      <c r="AC364" s="99"/>
      <c r="AD364" s="53"/>
      <c r="AE364" s="228"/>
      <c r="AF364" s="52"/>
      <c r="AG364" s="99"/>
      <c r="AH364" s="53"/>
      <c r="AI364" s="228"/>
      <c r="AJ364" s="52"/>
      <c r="AK364" s="99"/>
      <c r="AL364" s="53"/>
      <c r="AM364" s="228"/>
      <c r="AN364" s="52"/>
      <c r="AO364" s="99"/>
      <c r="AP364" s="53"/>
      <c r="AQ364" s="50">
        <f t="shared" si="137"/>
        <v>0</v>
      </c>
      <c r="AR364" s="163">
        <f t="shared" si="138"/>
        <v>0</v>
      </c>
      <c r="AS364" s="97">
        <f t="shared" si="139"/>
        <v>0</v>
      </c>
      <c r="AT364" s="278">
        <f t="shared" si="140"/>
        <v>0</v>
      </c>
      <c r="AU364" s="55"/>
      <c r="AV364" s="277"/>
      <c r="AW364" s="279"/>
      <c r="AX364" s="52"/>
      <c r="AY364" s="105"/>
      <c r="AZ364" s="98"/>
      <c r="BA364" s="279"/>
      <c r="BB364" s="52"/>
      <c r="BC364" s="105"/>
      <c r="BD364" s="98"/>
      <c r="BE364" s="279"/>
      <c r="BF364" s="52"/>
      <c r="BG364" s="105"/>
      <c r="BH364" s="98"/>
      <c r="BI364" s="279"/>
      <c r="BJ364" s="52"/>
      <c r="BK364" s="105"/>
      <c r="BL364" s="98"/>
      <c r="BM364" s="279"/>
      <c r="BN364" s="52"/>
      <c r="BO364" s="105"/>
      <c r="BP364" s="98"/>
      <c r="BQ364" s="279"/>
      <c r="BR364" s="52"/>
      <c r="BS364" s="105"/>
      <c r="BT364" s="98"/>
      <c r="BU364" s="279"/>
      <c r="BV364" s="52"/>
      <c r="BW364" s="105"/>
      <c r="BX364" s="98"/>
      <c r="BY364" s="279"/>
      <c r="BZ364" s="52"/>
      <c r="CA364" s="105"/>
      <c r="CB364" s="98"/>
      <c r="CC364" s="279"/>
      <c r="CD364" s="52"/>
      <c r="CE364" s="105"/>
      <c r="CF364" s="98"/>
      <c r="CG364" s="279"/>
      <c r="CH364" s="52"/>
      <c r="CI364" s="105"/>
      <c r="CJ364" s="98"/>
      <c r="CK364" s="281"/>
      <c r="CL364" s="277"/>
      <c r="CM364" s="159"/>
      <c r="CN364" s="277"/>
      <c r="CO364" s="50">
        <f t="shared" si="146"/>
        <v>0</v>
      </c>
      <c r="CP364" s="103">
        <f t="shared" si="147"/>
        <v>0</v>
      </c>
      <c r="CQ364" s="280">
        <f t="shared" si="148"/>
        <v>0</v>
      </c>
      <c r="CR364" s="63">
        <f t="shared" si="149"/>
        <v>0</v>
      </c>
      <c r="CS364" s="279"/>
      <c r="CT364" s="52"/>
      <c r="CU364" s="105"/>
      <c r="CV364" s="98"/>
      <c r="CW364" s="279"/>
      <c r="CX364" s="52"/>
      <c r="CY364" s="105"/>
      <c r="CZ364" s="98"/>
      <c r="DA364" s="279"/>
      <c r="DB364" s="52"/>
      <c r="DC364" s="105"/>
      <c r="DD364" s="98"/>
      <c r="DE364" s="279"/>
      <c r="DF364" s="52"/>
      <c r="DG364" s="105"/>
      <c r="DH364" s="98"/>
      <c r="DI364" s="279"/>
      <c r="DJ364" s="52"/>
      <c r="DK364" s="105"/>
      <c r="DL364" s="98"/>
      <c r="DM364" s="279"/>
      <c r="DN364" s="52"/>
      <c r="DO364" s="105"/>
      <c r="DP364" s="98"/>
      <c r="DQ364" s="279"/>
      <c r="DR364" s="52"/>
      <c r="DS364" s="105"/>
      <c r="DT364" s="98"/>
      <c r="DU364" s="279"/>
      <c r="DV364" s="52"/>
      <c r="DW364" s="105"/>
      <c r="DX364" s="98"/>
      <c r="DY364" s="279"/>
      <c r="DZ364" s="52"/>
      <c r="EA364" s="105"/>
      <c r="EB364" s="98"/>
      <c r="EC364" s="279"/>
      <c r="ED364" s="52"/>
      <c r="EE364" s="105"/>
      <c r="EF364" s="98"/>
      <c r="EG364" s="159"/>
      <c r="EH364" s="277"/>
      <c r="EI364" s="50">
        <f t="shared" si="150"/>
        <v>0</v>
      </c>
      <c r="EJ364" s="103">
        <f t="shared" si="151"/>
        <v>0</v>
      </c>
      <c r="EK364" s="164">
        <f t="shared" si="152"/>
        <v>0</v>
      </c>
      <c r="EL364" s="280">
        <f t="shared" si="153"/>
        <v>0</v>
      </c>
      <c r="EM364" s="63">
        <f t="shared" si="154"/>
        <v>0</v>
      </c>
      <c r="EN364" s="359">
        <f t="shared" si="155"/>
        <v>0</v>
      </c>
      <c r="EO364" s="51">
        <f t="shared" si="156"/>
        <v>0</v>
      </c>
      <c r="EP364" s="361">
        <f t="shared" si="157"/>
        <v>0</v>
      </c>
      <c r="EQ364" s="281"/>
      <c r="ER364" s="277"/>
      <c r="ES364" s="281"/>
      <c r="ET364" s="277"/>
      <c r="EU364" s="281"/>
      <c r="EV364" s="277"/>
      <c r="EW364" s="281"/>
      <c r="EX364" s="277"/>
      <c r="EY364" s="281"/>
      <c r="EZ364" s="277"/>
      <c r="FA364" s="281"/>
      <c r="FB364" s="277"/>
      <c r="FC364" s="281"/>
      <c r="FD364" s="277"/>
      <c r="FE364" s="281"/>
      <c r="FF364" s="277"/>
      <c r="FG364" s="281"/>
      <c r="FH364" s="277"/>
      <c r="FI364" s="281"/>
      <c r="FJ364" s="277"/>
      <c r="FK364" s="50">
        <f t="shared" si="158"/>
        <v>0</v>
      </c>
      <c r="FL364" s="63">
        <f t="shared" si="159"/>
        <v>0</v>
      </c>
      <c r="FM364" s="50">
        <f t="shared" si="141"/>
        <v>672</v>
      </c>
      <c r="FN364" s="360">
        <f t="shared" si="142"/>
        <v>835</v>
      </c>
      <c r="FO364" s="3"/>
      <c r="FP364" s="279"/>
      <c r="FQ364" s="52"/>
      <c r="FR364" s="296"/>
      <c r="FS364" s="98"/>
      <c r="FT364" s="467"/>
      <c r="FU364" s="52"/>
      <c r="FV364" s="296"/>
      <c r="FW364" s="98"/>
      <c r="FX364" s="467"/>
      <c r="FY364" s="52"/>
      <c r="FZ364" s="296"/>
      <c r="GA364" s="98"/>
      <c r="GB364" s="467"/>
      <c r="GC364" s="52"/>
      <c r="GD364" s="296"/>
      <c r="GE364" s="98"/>
      <c r="GF364" s="467"/>
      <c r="GG364" s="52"/>
      <c r="GH364" s="296"/>
      <c r="GI364" s="98"/>
      <c r="GJ364" s="467"/>
      <c r="GK364" s="52"/>
      <c r="GL364" s="296"/>
      <c r="GM364" s="464"/>
      <c r="GN364" s="467"/>
      <c r="GO364" s="52"/>
      <c r="GP364" s="296"/>
      <c r="GQ364" s="464"/>
      <c r="GR364" s="467"/>
      <c r="GS364" s="52"/>
      <c r="GT364" s="296"/>
      <c r="GU364" s="464"/>
      <c r="GV364" s="467"/>
      <c r="GW364" s="52"/>
      <c r="GX364" s="296"/>
      <c r="GY364" s="464"/>
      <c r="GZ364" s="467"/>
      <c r="HA364" s="52"/>
      <c r="HB364" s="296"/>
      <c r="HC364" s="3"/>
    </row>
    <row r="365" spans="1:211" s="86" customFormat="1">
      <c r="A365" s="521" t="s">
        <v>984</v>
      </c>
      <c r="B365" s="318" t="s">
        <v>999</v>
      </c>
      <c r="C365" s="317">
        <v>198321</v>
      </c>
      <c r="D365" s="346">
        <v>9</v>
      </c>
      <c r="E365" s="460">
        <v>341</v>
      </c>
      <c r="F365" s="337">
        <v>324</v>
      </c>
      <c r="G365" s="158"/>
      <c r="H365" s="277"/>
      <c r="I365" s="158">
        <v>192</v>
      </c>
      <c r="J365" s="665">
        <v>195</v>
      </c>
      <c r="K365" s="160">
        <f t="shared" si="143"/>
        <v>0</v>
      </c>
      <c r="L365" s="161">
        <f t="shared" si="136"/>
        <v>0</v>
      </c>
      <c r="M365" s="54"/>
      <c r="N365" s="55"/>
      <c r="O365" s="55"/>
      <c r="P365" s="55"/>
      <c r="Q365" s="162">
        <f t="shared" si="144"/>
        <v>0</v>
      </c>
      <c r="R365" s="277"/>
      <c r="S365" s="277"/>
      <c r="T365" s="277"/>
      <c r="U365" s="277"/>
      <c r="V365" s="97">
        <f t="shared" si="145"/>
        <v>0</v>
      </c>
      <c r="W365" s="279"/>
      <c r="X365" s="52"/>
      <c r="Y365" s="99"/>
      <c r="Z365" s="53"/>
      <c r="AA365" s="228"/>
      <c r="AB365" s="52"/>
      <c r="AC365" s="99"/>
      <c r="AD365" s="53"/>
      <c r="AE365" s="228"/>
      <c r="AF365" s="52"/>
      <c r="AG365" s="99"/>
      <c r="AH365" s="53"/>
      <c r="AI365" s="228"/>
      <c r="AJ365" s="52"/>
      <c r="AK365" s="99"/>
      <c r="AL365" s="53"/>
      <c r="AM365" s="228"/>
      <c r="AN365" s="52"/>
      <c r="AO365" s="99"/>
      <c r="AP365" s="53"/>
      <c r="AQ365" s="50">
        <f t="shared" si="137"/>
        <v>0</v>
      </c>
      <c r="AR365" s="163">
        <f t="shared" si="138"/>
        <v>0</v>
      </c>
      <c r="AS365" s="97">
        <f t="shared" si="139"/>
        <v>0</v>
      </c>
      <c r="AT365" s="278">
        <f t="shared" si="140"/>
        <v>0</v>
      </c>
      <c r="AU365" s="55"/>
      <c r="AV365" s="277"/>
      <c r="AW365" s="279"/>
      <c r="AX365" s="52"/>
      <c r="AY365" s="105"/>
      <c r="AZ365" s="98"/>
      <c r="BA365" s="279"/>
      <c r="BB365" s="52"/>
      <c r="BC365" s="105"/>
      <c r="BD365" s="98"/>
      <c r="BE365" s="279"/>
      <c r="BF365" s="52"/>
      <c r="BG365" s="105"/>
      <c r="BH365" s="98"/>
      <c r="BI365" s="279"/>
      <c r="BJ365" s="52"/>
      <c r="BK365" s="105"/>
      <c r="BL365" s="98"/>
      <c r="BM365" s="279"/>
      <c r="BN365" s="52"/>
      <c r="BO365" s="105"/>
      <c r="BP365" s="98"/>
      <c r="BQ365" s="279"/>
      <c r="BR365" s="52"/>
      <c r="BS365" s="105"/>
      <c r="BT365" s="98"/>
      <c r="BU365" s="279"/>
      <c r="BV365" s="52"/>
      <c r="BW365" s="105"/>
      <c r="BX365" s="98"/>
      <c r="BY365" s="279"/>
      <c r="BZ365" s="52"/>
      <c r="CA365" s="105"/>
      <c r="CB365" s="98"/>
      <c r="CC365" s="279"/>
      <c r="CD365" s="52"/>
      <c r="CE365" s="105"/>
      <c r="CF365" s="98"/>
      <c r="CG365" s="279"/>
      <c r="CH365" s="52"/>
      <c r="CI365" s="105"/>
      <c r="CJ365" s="98"/>
      <c r="CK365" s="281"/>
      <c r="CL365" s="277"/>
      <c r="CM365" s="159"/>
      <c r="CN365" s="277"/>
      <c r="CO365" s="50">
        <f t="shared" si="146"/>
        <v>0</v>
      </c>
      <c r="CP365" s="103">
        <f t="shared" si="147"/>
        <v>0</v>
      </c>
      <c r="CQ365" s="280">
        <f t="shared" si="148"/>
        <v>0</v>
      </c>
      <c r="CR365" s="63">
        <f t="shared" si="149"/>
        <v>0</v>
      </c>
      <c r="CS365" s="279"/>
      <c r="CT365" s="52"/>
      <c r="CU365" s="105"/>
      <c r="CV365" s="98"/>
      <c r="CW365" s="279"/>
      <c r="CX365" s="52"/>
      <c r="CY365" s="105"/>
      <c r="CZ365" s="98"/>
      <c r="DA365" s="279"/>
      <c r="DB365" s="52"/>
      <c r="DC365" s="105"/>
      <c r="DD365" s="98"/>
      <c r="DE365" s="279"/>
      <c r="DF365" s="52"/>
      <c r="DG365" s="105"/>
      <c r="DH365" s="98"/>
      <c r="DI365" s="279"/>
      <c r="DJ365" s="52"/>
      <c r="DK365" s="105"/>
      <c r="DL365" s="98"/>
      <c r="DM365" s="279"/>
      <c r="DN365" s="52"/>
      <c r="DO365" s="105"/>
      <c r="DP365" s="98"/>
      <c r="DQ365" s="279"/>
      <c r="DR365" s="52"/>
      <c r="DS365" s="105"/>
      <c r="DT365" s="98"/>
      <c r="DU365" s="279"/>
      <c r="DV365" s="52"/>
      <c r="DW365" s="105"/>
      <c r="DX365" s="98"/>
      <c r="DY365" s="279"/>
      <c r="DZ365" s="52"/>
      <c r="EA365" s="105"/>
      <c r="EB365" s="98"/>
      <c r="EC365" s="279"/>
      <c r="ED365" s="52"/>
      <c r="EE365" s="105"/>
      <c r="EF365" s="98"/>
      <c r="EG365" s="159"/>
      <c r="EH365" s="277"/>
      <c r="EI365" s="50">
        <f t="shared" si="150"/>
        <v>0</v>
      </c>
      <c r="EJ365" s="103">
        <f t="shared" si="151"/>
        <v>0</v>
      </c>
      <c r="EK365" s="164">
        <f t="shared" si="152"/>
        <v>0</v>
      </c>
      <c r="EL365" s="280">
        <f t="shared" si="153"/>
        <v>0</v>
      </c>
      <c r="EM365" s="63">
        <f t="shared" si="154"/>
        <v>0</v>
      </c>
      <c r="EN365" s="359">
        <f t="shared" si="155"/>
        <v>0</v>
      </c>
      <c r="EO365" s="51">
        <f t="shared" si="156"/>
        <v>0</v>
      </c>
      <c r="EP365" s="361">
        <f t="shared" si="157"/>
        <v>0</v>
      </c>
      <c r="EQ365" s="281"/>
      <c r="ER365" s="277"/>
      <c r="ES365" s="281"/>
      <c r="ET365" s="277"/>
      <c r="EU365" s="281"/>
      <c r="EV365" s="277"/>
      <c r="EW365" s="281"/>
      <c r="EX365" s="277"/>
      <c r="EY365" s="281"/>
      <c r="EZ365" s="277"/>
      <c r="FA365" s="281"/>
      <c r="FB365" s="277"/>
      <c r="FC365" s="281"/>
      <c r="FD365" s="277"/>
      <c r="FE365" s="281"/>
      <c r="FF365" s="277"/>
      <c r="FG365" s="281"/>
      <c r="FH365" s="277"/>
      <c r="FI365" s="281"/>
      <c r="FJ365" s="277"/>
      <c r="FK365" s="50">
        <f t="shared" si="158"/>
        <v>0</v>
      </c>
      <c r="FL365" s="63">
        <f t="shared" si="159"/>
        <v>0</v>
      </c>
      <c r="FM365" s="50">
        <f t="shared" si="141"/>
        <v>533</v>
      </c>
      <c r="FN365" s="360">
        <f t="shared" si="142"/>
        <v>519</v>
      </c>
      <c r="FO365" s="3"/>
      <c r="FP365" s="279"/>
      <c r="FQ365" s="52"/>
      <c r="FR365" s="296"/>
      <c r="FS365" s="98"/>
      <c r="FT365" s="467"/>
      <c r="FU365" s="52"/>
      <c r="FV365" s="296"/>
      <c r="FW365" s="98"/>
      <c r="FX365" s="467"/>
      <c r="FY365" s="52"/>
      <c r="FZ365" s="296"/>
      <c r="GA365" s="98"/>
      <c r="GB365" s="467"/>
      <c r="GC365" s="52"/>
      <c r="GD365" s="296"/>
      <c r="GE365" s="98"/>
      <c r="GF365" s="467"/>
      <c r="GG365" s="52"/>
      <c r="GH365" s="296"/>
      <c r="GI365" s="98"/>
      <c r="GJ365" s="467"/>
      <c r="GK365" s="52"/>
      <c r="GL365" s="296"/>
      <c r="GM365" s="464"/>
      <c r="GN365" s="467"/>
      <c r="GO365" s="52"/>
      <c r="GP365" s="296"/>
      <c r="GQ365" s="464"/>
      <c r="GR365" s="467"/>
      <c r="GS365" s="52"/>
      <c r="GT365" s="296"/>
      <c r="GU365" s="464"/>
      <c r="GV365" s="467"/>
      <c r="GW365" s="52"/>
      <c r="GX365" s="296"/>
      <c r="GY365" s="464"/>
      <c r="GZ365" s="467"/>
      <c r="HA365" s="52"/>
      <c r="HB365" s="296"/>
      <c r="HC365" s="3"/>
    </row>
    <row r="366" spans="1:211" s="86" customFormat="1">
      <c r="A366" s="521" t="s">
        <v>984</v>
      </c>
      <c r="B366" s="371" t="s">
        <v>1000</v>
      </c>
      <c r="C366" s="317">
        <v>198330</v>
      </c>
      <c r="D366" s="346">
        <v>9</v>
      </c>
      <c r="E366" s="460">
        <v>428</v>
      </c>
      <c r="F366" s="337">
        <v>546</v>
      </c>
      <c r="G366" s="158"/>
      <c r="H366" s="277"/>
      <c r="I366" s="158">
        <v>518</v>
      </c>
      <c r="J366" s="665">
        <v>447</v>
      </c>
      <c r="K366" s="160">
        <f t="shared" si="143"/>
        <v>0</v>
      </c>
      <c r="L366" s="161">
        <f t="shared" si="136"/>
        <v>0</v>
      </c>
      <c r="M366" s="54"/>
      <c r="N366" s="55"/>
      <c r="O366" s="55"/>
      <c r="P366" s="55"/>
      <c r="Q366" s="162">
        <f t="shared" si="144"/>
        <v>0</v>
      </c>
      <c r="R366" s="277"/>
      <c r="S366" s="277"/>
      <c r="T366" s="277"/>
      <c r="U366" s="277"/>
      <c r="V366" s="97">
        <f t="shared" si="145"/>
        <v>0</v>
      </c>
      <c r="W366" s="279"/>
      <c r="X366" s="52"/>
      <c r="Y366" s="99"/>
      <c r="Z366" s="53"/>
      <c r="AA366" s="228"/>
      <c r="AB366" s="52"/>
      <c r="AC366" s="99"/>
      <c r="AD366" s="53"/>
      <c r="AE366" s="228"/>
      <c r="AF366" s="52"/>
      <c r="AG366" s="99"/>
      <c r="AH366" s="53"/>
      <c r="AI366" s="228"/>
      <c r="AJ366" s="52"/>
      <c r="AK366" s="99"/>
      <c r="AL366" s="53"/>
      <c r="AM366" s="228"/>
      <c r="AN366" s="52"/>
      <c r="AO366" s="99"/>
      <c r="AP366" s="53"/>
      <c r="AQ366" s="50">
        <f t="shared" si="137"/>
        <v>0</v>
      </c>
      <c r="AR366" s="163">
        <f t="shared" si="138"/>
        <v>0</v>
      </c>
      <c r="AS366" s="97">
        <f t="shared" si="139"/>
        <v>0</v>
      </c>
      <c r="AT366" s="278">
        <f t="shared" si="140"/>
        <v>0</v>
      </c>
      <c r="AU366" s="55"/>
      <c r="AV366" s="277"/>
      <c r="AW366" s="279"/>
      <c r="AX366" s="52"/>
      <c r="AY366" s="105"/>
      <c r="AZ366" s="98"/>
      <c r="BA366" s="279"/>
      <c r="BB366" s="52"/>
      <c r="BC366" s="105"/>
      <c r="BD366" s="98"/>
      <c r="BE366" s="279"/>
      <c r="BF366" s="52"/>
      <c r="BG366" s="105"/>
      <c r="BH366" s="98"/>
      <c r="BI366" s="279"/>
      <c r="BJ366" s="52"/>
      <c r="BK366" s="105"/>
      <c r="BL366" s="98"/>
      <c r="BM366" s="279"/>
      <c r="BN366" s="52"/>
      <c r="BO366" s="105"/>
      <c r="BP366" s="98"/>
      <c r="BQ366" s="279"/>
      <c r="BR366" s="52"/>
      <c r="BS366" s="105"/>
      <c r="BT366" s="98"/>
      <c r="BU366" s="279"/>
      <c r="BV366" s="52"/>
      <c r="BW366" s="105"/>
      <c r="BX366" s="98"/>
      <c r="BY366" s="279"/>
      <c r="BZ366" s="52"/>
      <c r="CA366" s="105"/>
      <c r="CB366" s="98"/>
      <c r="CC366" s="279"/>
      <c r="CD366" s="52"/>
      <c r="CE366" s="105"/>
      <c r="CF366" s="98"/>
      <c r="CG366" s="279"/>
      <c r="CH366" s="52"/>
      <c r="CI366" s="105"/>
      <c r="CJ366" s="98"/>
      <c r="CK366" s="281"/>
      <c r="CL366" s="277"/>
      <c r="CM366" s="159"/>
      <c r="CN366" s="277"/>
      <c r="CO366" s="50">
        <f t="shared" si="146"/>
        <v>0</v>
      </c>
      <c r="CP366" s="103">
        <f t="shared" si="147"/>
        <v>0</v>
      </c>
      <c r="CQ366" s="280">
        <f t="shared" si="148"/>
        <v>0</v>
      </c>
      <c r="CR366" s="63">
        <f t="shared" si="149"/>
        <v>0</v>
      </c>
      <c r="CS366" s="279"/>
      <c r="CT366" s="52"/>
      <c r="CU366" s="105"/>
      <c r="CV366" s="98"/>
      <c r="CW366" s="279"/>
      <c r="CX366" s="52"/>
      <c r="CY366" s="105"/>
      <c r="CZ366" s="98"/>
      <c r="DA366" s="279"/>
      <c r="DB366" s="52"/>
      <c r="DC366" s="105"/>
      <c r="DD366" s="98"/>
      <c r="DE366" s="279"/>
      <c r="DF366" s="52"/>
      <c r="DG366" s="105"/>
      <c r="DH366" s="98"/>
      <c r="DI366" s="279"/>
      <c r="DJ366" s="52"/>
      <c r="DK366" s="105"/>
      <c r="DL366" s="98"/>
      <c r="DM366" s="279"/>
      <c r="DN366" s="52"/>
      <c r="DO366" s="105"/>
      <c r="DP366" s="98"/>
      <c r="DQ366" s="279"/>
      <c r="DR366" s="52"/>
      <c r="DS366" s="105"/>
      <c r="DT366" s="98"/>
      <c r="DU366" s="279"/>
      <c r="DV366" s="52"/>
      <c r="DW366" s="105"/>
      <c r="DX366" s="98"/>
      <c r="DY366" s="279"/>
      <c r="DZ366" s="52"/>
      <c r="EA366" s="105"/>
      <c r="EB366" s="98"/>
      <c r="EC366" s="279"/>
      <c r="ED366" s="52"/>
      <c r="EE366" s="105"/>
      <c r="EF366" s="98"/>
      <c r="EG366" s="159"/>
      <c r="EH366" s="277"/>
      <c r="EI366" s="50">
        <f t="shared" si="150"/>
        <v>0</v>
      </c>
      <c r="EJ366" s="103">
        <f t="shared" si="151"/>
        <v>0</v>
      </c>
      <c r="EK366" s="164">
        <f t="shared" si="152"/>
        <v>0</v>
      </c>
      <c r="EL366" s="280">
        <f t="shared" si="153"/>
        <v>0</v>
      </c>
      <c r="EM366" s="63">
        <f t="shared" si="154"/>
        <v>0</v>
      </c>
      <c r="EN366" s="359">
        <f t="shared" si="155"/>
        <v>0</v>
      </c>
      <c r="EO366" s="51">
        <f t="shared" si="156"/>
        <v>0</v>
      </c>
      <c r="EP366" s="361">
        <f t="shared" si="157"/>
        <v>0</v>
      </c>
      <c r="EQ366" s="281"/>
      <c r="ER366" s="277"/>
      <c r="ES366" s="281"/>
      <c r="ET366" s="277"/>
      <c r="EU366" s="281"/>
      <c r="EV366" s="277"/>
      <c r="EW366" s="281"/>
      <c r="EX366" s="277"/>
      <c r="EY366" s="281"/>
      <c r="EZ366" s="277"/>
      <c r="FA366" s="281"/>
      <c r="FB366" s="277"/>
      <c r="FC366" s="281"/>
      <c r="FD366" s="277"/>
      <c r="FE366" s="281"/>
      <c r="FF366" s="277"/>
      <c r="FG366" s="281"/>
      <c r="FH366" s="277"/>
      <c r="FI366" s="281"/>
      <c r="FJ366" s="277"/>
      <c r="FK366" s="50">
        <f t="shared" si="158"/>
        <v>0</v>
      </c>
      <c r="FL366" s="63">
        <f t="shared" si="159"/>
        <v>0</v>
      </c>
      <c r="FM366" s="50">
        <f t="shared" si="141"/>
        <v>946</v>
      </c>
      <c r="FN366" s="360">
        <f t="shared" si="142"/>
        <v>993</v>
      </c>
      <c r="FO366" s="3"/>
      <c r="FP366" s="279"/>
      <c r="FQ366" s="52"/>
      <c r="FR366" s="296"/>
      <c r="FS366" s="98"/>
      <c r="FT366" s="467"/>
      <c r="FU366" s="52"/>
      <c r="FV366" s="296"/>
      <c r="FW366" s="98"/>
      <c r="FX366" s="467"/>
      <c r="FY366" s="52"/>
      <c r="FZ366" s="296"/>
      <c r="GA366" s="98"/>
      <c r="GB366" s="467"/>
      <c r="GC366" s="52"/>
      <c r="GD366" s="296"/>
      <c r="GE366" s="98"/>
      <c r="GF366" s="467"/>
      <c r="GG366" s="52"/>
      <c r="GH366" s="296"/>
      <c r="GI366" s="98"/>
      <c r="GJ366" s="467"/>
      <c r="GK366" s="52"/>
      <c r="GL366" s="296"/>
      <c r="GM366" s="464"/>
      <c r="GN366" s="467"/>
      <c r="GO366" s="52"/>
      <c r="GP366" s="296"/>
      <c r="GQ366" s="464"/>
      <c r="GR366" s="467"/>
      <c r="GS366" s="52"/>
      <c r="GT366" s="296"/>
      <c r="GU366" s="464"/>
      <c r="GV366" s="467"/>
      <c r="GW366" s="52"/>
      <c r="GX366" s="296"/>
      <c r="GY366" s="464"/>
      <c r="GZ366" s="467"/>
      <c r="HA366" s="52"/>
      <c r="HB366" s="296"/>
      <c r="HC366" s="3"/>
    </row>
    <row r="367" spans="1:211" s="86" customFormat="1">
      <c r="A367" s="521" t="s">
        <v>984</v>
      </c>
      <c r="B367" s="318" t="s">
        <v>1001</v>
      </c>
      <c r="C367" s="317">
        <v>197814</v>
      </c>
      <c r="D367" s="346">
        <v>9</v>
      </c>
      <c r="E367" s="460">
        <v>303</v>
      </c>
      <c r="F367" s="337">
        <v>293</v>
      </c>
      <c r="G367" s="158"/>
      <c r="H367" s="277"/>
      <c r="I367" s="158">
        <v>178</v>
      </c>
      <c r="J367" s="665">
        <v>144</v>
      </c>
      <c r="K367" s="160">
        <f t="shared" si="143"/>
        <v>0</v>
      </c>
      <c r="L367" s="161">
        <f t="shared" si="136"/>
        <v>0</v>
      </c>
      <c r="M367" s="54"/>
      <c r="N367" s="55"/>
      <c r="O367" s="55"/>
      <c r="P367" s="55"/>
      <c r="Q367" s="162">
        <f t="shared" si="144"/>
        <v>0</v>
      </c>
      <c r="R367" s="277"/>
      <c r="S367" s="277"/>
      <c r="T367" s="277"/>
      <c r="U367" s="277"/>
      <c r="V367" s="97">
        <f t="shared" si="145"/>
        <v>0</v>
      </c>
      <c r="W367" s="279"/>
      <c r="X367" s="52"/>
      <c r="Y367" s="99"/>
      <c r="Z367" s="53"/>
      <c r="AA367" s="228"/>
      <c r="AB367" s="52"/>
      <c r="AC367" s="99"/>
      <c r="AD367" s="53"/>
      <c r="AE367" s="228"/>
      <c r="AF367" s="52"/>
      <c r="AG367" s="99"/>
      <c r="AH367" s="53"/>
      <c r="AI367" s="228"/>
      <c r="AJ367" s="52"/>
      <c r="AK367" s="99"/>
      <c r="AL367" s="53"/>
      <c r="AM367" s="228"/>
      <c r="AN367" s="52"/>
      <c r="AO367" s="99"/>
      <c r="AP367" s="53"/>
      <c r="AQ367" s="50">
        <f t="shared" si="137"/>
        <v>0</v>
      </c>
      <c r="AR367" s="163">
        <f t="shared" si="138"/>
        <v>0</v>
      </c>
      <c r="AS367" s="97">
        <f t="shared" si="139"/>
        <v>0</v>
      </c>
      <c r="AT367" s="278">
        <f t="shared" si="140"/>
        <v>0</v>
      </c>
      <c r="AU367" s="55"/>
      <c r="AV367" s="277"/>
      <c r="AW367" s="279"/>
      <c r="AX367" s="52"/>
      <c r="AY367" s="105"/>
      <c r="AZ367" s="98"/>
      <c r="BA367" s="279"/>
      <c r="BB367" s="52"/>
      <c r="BC367" s="105"/>
      <c r="BD367" s="98"/>
      <c r="BE367" s="279"/>
      <c r="BF367" s="52"/>
      <c r="BG367" s="105"/>
      <c r="BH367" s="98"/>
      <c r="BI367" s="279"/>
      <c r="BJ367" s="52"/>
      <c r="BK367" s="105"/>
      <c r="BL367" s="98"/>
      <c r="BM367" s="279"/>
      <c r="BN367" s="52"/>
      <c r="BO367" s="105"/>
      <c r="BP367" s="98"/>
      <c r="BQ367" s="279"/>
      <c r="BR367" s="52"/>
      <c r="BS367" s="105"/>
      <c r="BT367" s="98"/>
      <c r="BU367" s="279"/>
      <c r="BV367" s="52"/>
      <c r="BW367" s="105"/>
      <c r="BX367" s="98"/>
      <c r="BY367" s="279"/>
      <c r="BZ367" s="52"/>
      <c r="CA367" s="105"/>
      <c r="CB367" s="98"/>
      <c r="CC367" s="279"/>
      <c r="CD367" s="52"/>
      <c r="CE367" s="105"/>
      <c r="CF367" s="98"/>
      <c r="CG367" s="279"/>
      <c r="CH367" s="52"/>
      <c r="CI367" s="105"/>
      <c r="CJ367" s="98"/>
      <c r="CK367" s="281"/>
      <c r="CL367" s="277"/>
      <c r="CM367" s="159"/>
      <c r="CN367" s="277"/>
      <c r="CO367" s="50">
        <f t="shared" si="146"/>
        <v>0</v>
      </c>
      <c r="CP367" s="103">
        <f t="shared" si="147"/>
        <v>0</v>
      </c>
      <c r="CQ367" s="280">
        <f t="shared" si="148"/>
        <v>0</v>
      </c>
      <c r="CR367" s="63">
        <f t="shared" si="149"/>
        <v>0</v>
      </c>
      <c r="CS367" s="279"/>
      <c r="CT367" s="52"/>
      <c r="CU367" s="105"/>
      <c r="CV367" s="98"/>
      <c r="CW367" s="279"/>
      <c r="CX367" s="52"/>
      <c r="CY367" s="105"/>
      <c r="CZ367" s="98"/>
      <c r="DA367" s="279"/>
      <c r="DB367" s="52"/>
      <c r="DC367" s="105"/>
      <c r="DD367" s="98"/>
      <c r="DE367" s="279"/>
      <c r="DF367" s="52"/>
      <c r="DG367" s="105"/>
      <c r="DH367" s="98"/>
      <c r="DI367" s="279"/>
      <c r="DJ367" s="52"/>
      <c r="DK367" s="105"/>
      <c r="DL367" s="98"/>
      <c r="DM367" s="279"/>
      <c r="DN367" s="52"/>
      <c r="DO367" s="105"/>
      <c r="DP367" s="98"/>
      <c r="DQ367" s="279"/>
      <c r="DR367" s="52"/>
      <c r="DS367" s="105"/>
      <c r="DT367" s="98"/>
      <c r="DU367" s="279"/>
      <c r="DV367" s="52"/>
      <c r="DW367" s="105"/>
      <c r="DX367" s="98"/>
      <c r="DY367" s="279"/>
      <c r="DZ367" s="52"/>
      <c r="EA367" s="105"/>
      <c r="EB367" s="98"/>
      <c r="EC367" s="279"/>
      <c r="ED367" s="52"/>
      <c r="EE367" s="105"/>
      <c r="EF367" s="98"/>
      <c r="EG367" s="159"/>
      <c r="EH367" s="277"/>
      <c r="EI367" s="50">
        <f t="shared" si="150"/>
        <v>0</v>
      </c>
      <c r="EJ367" s="103">
        <f t="shared" si="151"/>
        <v>0</v>
      </c>
      <c r="EK367" s="164">
        <f t="shared" si="152"/>
        <v>0</v>
      </c>
      <c r="EL367" s="280">
        <f t="shared" si="153"/>
        <v>0</v>
      </c>
      <c r="EM367" s="63">
        <f t="shared" si="154"/>
        <v>0</v>
      </c>
      <c r="EN367" s="359">
        <f t="shared" si="155"/>
        <v>0</v>
      </c>
      <c r="EO367" s="51">
        <f t="shared" si="156"/>
        <v>0</v>
      </c>
      <c r="EP367" s="361">
        <f t="shared" si="157"/>
        <v>0</v>
      </c>
      <c r="EQ367" s="281"/>
      <c r="ER367" s="277"/>
      <c r="ES367" s="281"/>
      <c r="ET367" s="277"/>
      <c r="EU367" s="281"/>
      <c r="EV367" s="277"/>
      <c r="EW367" s="281"/>
      <c r="EX367" s="277"/>
      <c r="EY367" s="281"/>
      <c r="EZ367" s="277"/>
      <c r="FA367" s="281"/>
      <c r="FB367" s="277"/>
      <c r="FC367" s="281"/>
      <c r="FD367" s="277"/>
      <c r="FE367" s="281"/>
      <c r="FF367" s="277"/>
      <c r="FG367" s="281"/>
      <c r="FH367" s="277"/>
      <c r="FI367" s="281"/>
      <c r="FJ367" s="277"/>
      <c r="FK367" s="50">
        <f t="shared" si="158"/>
        <v>0</v>
      </c>
      <c r="FL367" s="63">
        <f t="shared" si="159"/>
        <v>0</v>
      </c>
      <c r="FM367" s="50">
        <f t="shared" si="141"/>
        <v>481</v>
      </c>
      <c r="FN367" s="360">
        <f t="shared" si="142"/>
        <v>437</v>
      </c>
      <c r="FO367" s="3"/>
      <c r="FP367" s="279"/>
      <c r="FQ367" s="52"/>
      <c r="FR367" s="296"/>
      <c r="FS367" s="98"/>
      <c r="FT367" s="467"/>
      <c r="FU367" s="52"/>
      <c r="FV367" s="296"/>
      <c r="FW367" s="98"/>
      <c r="FX367" s="467"/>
      <c r="FY367" s="52"/>
      <c r="FZ367" s="296"/>
      <c r="GA367" s="98"/>
      <c r="GB367" s="467"/>
      <c r="GC367" s="52"/>
      <c r="GD367" s="296"/>
      <c r="GE367" s="98"/>
      <c r="GF367" s="467"/>
      <c r="GG367" s="52"/>
      <c r="GH367" s="296"/>
      <c r="GI367" s="98"/>
      <c r="GJ367" s="467"/>
      <c r="GK367" s="52"/>
      <c r="GL367" s="296"/>
      <c r="GM367" s="464"/>
      <c r="GN367" s="467"/>
      <c r="GO367" s="52"/>
      <c r="GP367" s="296"/>
      <c r="GQ367" s="464"/>
      <c r="GR367" s="467"/>
      <c r="GS367" s="52"/>
      <c r="GT367" s="296"/>
      <c r="GU367" s="464"/>
      <c r="GV367" s="467"/>
      <c r="GW367" s="52"/>
      <c r="GX367" s="296"/>
      <c r="GY367" s="464"/>
      <c r="GZ367" s="467"/>
      <c r="HA367" s="52"/>
      <c r="HB367" s="296"/>
      <c r="HC367" s="3"/>
    </row>
    <row r="368" spans="1:211" s="86" customFormat="1">
      <c r="A368" s="521" t="s">
        <v>984</v>
      </c>
      <c r="B368" s="318" t="s">
        <v>1002</v>
      </c>
      <c r="C368" s="317">
        <v>198367</v>
      </c>
      <c r="D368" s="346">
        <v>9</v>
      </c>
      <c r="E368" s="460">
        <v>168</v>
      </c>
      <c r="F368" s="337">
        <v>137</v>
      </c>
      <c r="G368" s="158"/>
      <c r="H368" s="277"/>
      <c r="I368" s="158">
        <v>323</v>
      </c>
      <c r="J368" s="665">
        <v>303</v>
      </c>
      <c r="K368" s="160">
        <f t="shared" si="143"/>
        <v>0</v>
      </c>
      <c r="L368" s="161">
        <f t="shared" si="136"/>
        <v>0</v>
      </c>
      <c r="M368" s="54"/>
      <c r="N368" s="55"/>
      <c r="O368" s="55"/>
      <c r="P368" s="55"/>
      <c r="Q368" s="162">
        <f t="shared" si="144"/>
        <v>0</v>
      </c>
      <c r="R368" s="277"/>
      <c r="S368" s="277"/>
      <c r="T368" s="277"/>
      <c r="U368" s="277"/>
      <c r="V368" s="97">
        <f t="shared" si="145"/>
        <v>0</v>
      </c>
      <c r="W368" s="279"/>
      <c r="X368" s="52"/>
      <c r="Y368" s="99"/>
      <c r="Z368" s="53"/>
      <c r="AA368" s="228"/>
      <c r="AB368" s="52"/>
      <c r="AC368" s="99"/>
      <c r="AD368" s="53"/>
      <c r="AE368" s="228"/>
      <c r="AF368" s="52"/>
      <c r="AG368" s="99"/>
      <c r="AH368" s="53"/>
      <c r="AI368" s="228"/>
      <c r="AJ368" s="52"/>
      <c r="AK368" s="99"/>
      <c r="AL368" s="53"/>
      <c r="AM368" s="228"/>
      <c r="AN368" s="52"/>
      <c r="AO368" s="99"/>
      <c r="AP368" s="53"/>
      <c r="AQ368" s="50">
        <f t="shared" si="137"/>
        <v>0</v>
      </c>
      <c r="AR368" s="163">
        <f t="shared" si="138"/>
        <v>0</v>
      </c>
      <c r="AS368" s="97">
        <f t="shared" si="139"/>
        <v>0</v>
      </c>
      <c r="AT368" s="278">
        <f t="shared" si="140"/>
        <v>0</v>
      </c>
      <c r="AU368" s="55"/>
      <c r="AV368" s="277"/>
      <c r="AW368" s="279"/>
      <c r="AX368" s="52"/>
      <c r="AY368" s="105"/>
      <c r="AZ368" s="98"/>
      <c r="BA368" s="279"/>
      <c r="BB368" s="52"/>
      <c r="BC368" s="105"/>
      <c r="BD368" s="98"/>
      <c r="BE368" s="279"/>
      <c r="BF368" s="52"/>
      <c r="BG368" s="105"/>
      <c r="BH368" s="98"/>
      <c r="BI368" s="279"/>
      <c r="BJ368" s="52"/>
      <c r="BK368" s="105"/>
      <c r="BL368" s="98"/>
      <c r="BM368" s="279"/>
      <c r="BN368" s="52"/>
      <c r="BO368" s="105"/>
      <c r="BP368" s="98"/>
      <c r="BQ368" s="279"/>
      <c r="BR368" s="52"/>
      <c r="BS368" s="105"/>
      <c r="BT368" s="98"/>
      <c r="BU368" s="279"/>
      <c r="BV368" s="52"/>
      <c r="BW368" s="105"/>
      <c r="BX368" s="98"/>
      <c r="BY368" s="279"/>
      <c r="BZ368" s="52"/>
      <c r="CA368" s="105"/>
      <c r="CB368" s="98"/>
      <c r="CC368" s="279"/>
      <c r="CD368" s="52"/>
      <c r="CE368" s="105"/>
      <c r="CF368" s="98"/>
      <c r="CG368" s="279"/>
      <c r="CH368" s="52"/>
      <c r="CI368" s="105"/>
      <c r="CJ368" s="98"/>
      <c r="CK368" s="281"/>
      <c r="CL368" s="277"/>
      <c r="CM368" s="159"/>
      <c r="CN368" s="277"/>
      <c r="CO368" s="50">
        <f t="shared" si="146"/>
        <v>0</v>
      </c>
      <c r="CP368" s="103">
        <f t="shared" si="147"/>
        <v>0</v>
      </c>
      <c r="CQ368" s="280">
        <f t="shared" si="148"/>
        <v>0</v>
      </c>
      <c r="CR368" s="63">
        <f t="shared" si="149"/>
        <v>0</v>
      </c>
      <c r="CS368" s="279"/>
      <c r="CT368" s="52"/>
      <c r="CU368" s="105"/>
      <c r="CV368" s="98"/>
      <c r="CW368" s="279"/>
      <c r="CX368" s="52"/>
      <c r="CY368" s="105"/>
      <c r="CZ368" s="98"/>
      <c r="DA368" s="279"/>
      <c r="DB368" s="52"/>
      <c r="DC368" s="105"/>
      <c r="DD368" s="98"/>
      <c r="DE368" s="279"/>
      <c r="DF368" s="52"/>
      <c r="DG368" s="105"/>
      <c r="DH368" s="98"/>
      <c r="DI368" s="279"/>
      <c r="DJ368" s="52"/>
      <c r="DK368" s="105"/>
      <c r="DL368" s="98"/>
      <c r="DM368" s="279"/>
      <c r="DN368" s="52"/>
      <c r="DO368" s="105"/>
      <c r="DP368" s="98"/>
      <c r="DQ368" s="279"/>
      <c r="DR368" s="52"/>
      <c r="DS368" s="105"/>
      <c r="DT368" s="98"/>
      <c r="DU368" s="279"/>
      <c r="DV368" s="52"/>
      <c r="DW368" s="105"/>
      <c r="DX368" s="98"/>
      <c r="DY368" s="279"/>
      <c r="DZ368" s="52"/>
      <c r="EA368" s="105"/>
      <c r="EB368" s="98"/>
      <c r="EC368" s="279"/>
      <c r="ED368" s="52"/>
      <c r="EE368" s="105"/>
      <c r="EF368" s="98"/>
      <c r="EG368" s="159"/>
      <c r="EH368" s="277"/>
      <c r="EI368" s="50">
        <f t="shared" si="150"/>
        <v>0</v>
      </c>
      <c r="EJ368" s="103">
        <f t="shared" si="151"/>
        <v>0</v>
      </c>
      <c r="EK368" s="164">
        <f t="shared" si="152"/>
        <v>0</v>
      </c>
      <c r="EL368" s="280">
        <f t="shared" si="153"/>
        <v>0</v>
      </c>
      <c r="EM368" s="63">
        <f t="shared" si="154"/>
        <v>0</v>
      </c>
      <c r="EN368" s="359">
        <f t="shared" si="155"/>
        <v>0</v>
      </c>
      <c r="EO368" s="51">
        <f t="shared" si="156"/>
        <v>0</v>
      </c>
      <c r="EP368" s="361">
        <f t="shared" si="157"/>
        <v>0</v>
      </c>
      <c r="EQ368" s="281"/>
      <c r="ER368" s="277"/>
      <c r="ES368" s="281"/>
      <c r="ET368" s="277"/>
      <c r="EU368" s="281"/>
      <c r="EV368" s="277"/>
      <c r="EW368" s="281"/>
      <c r="EX368" s="277"/>
      <c r="EY368" s="281"/>
      <c r="EZ368" s="277"/>
      <c r="FA368" s="281"/>
      <c r="FB368" s="277"/>
      <c r="FC368" s="281"/>
      <c r="FD368" s="277"/>
      <c r="FE368" s="281"/>
      <c r="FF368" s="277"/>
      <c r="FG368" s="281"/>
      <c r="FH368" s="277"/>
      <c r="FI368" s="281"/>
      <c r="FJ368" s="277"/>
      <c r="FK368" s="50">
        <f t="shared" si="158"/>
        <v>0</v>
      </c>
      <c r="FL368" s="63">
        <f t="shared" si="159"/>
        <v>0</v>
      </c>
      <c r="FM368" s="50">
        <f t="shared" si="141"/>
        <v>491</v>
      </c>
      <c r="FN368" s="360">
        <f t="shared" si="142"/>
        <v>440</v>
      </c>
      <c r="FO368" s="3"/>
      <c r="FP368" s="279"/>
      <c r="FQ368" s="52"/>
      <c r="FR368" s="296"/>
      <c r="FS368" s="98"/>
      <c r="FT368" s="467"/>
      <c r="FU368" s="52"/>
      <c r="FV368" s="296"/>
      <c r="FW368" s="98"/>
      <c r="FX368" s="467"/>
      <c r="FY368" s="52"/>
      <c r="FZ368" s="296"/>
      <c r="GA368" s="98"/>
      <c r="GB368" s="467"/>
      <c r="GC368" s="52"/>
      <c r="GD368" s="296"/>
      <c r="GE368" s="98"/>
      <c r="GF368" s="467"/>
      <c r="GG368" s="52"/>
      <c r="GH368" s="296"/>
      <c r="GI368" s="98"/>
      <c r="GJ368" s="467"/>
      <c r="GK368" s="52"/>
      <c r="GL368" s="296"/>
      <c r="GM368" s="464"/>
      <c r="GN368" s="467"/>
      <c r="GO368" s="52"/>
      <c r="GP368" s="296"/>
      <c r="GQ368" s="464"/>
      <c r="GR368" s="467"/>
      <c r="GS368" s="52"/>
      <c r="GT368" s="296"/>
      <c r="GU368" s="464"/>
      <c r="GV368" s="467"/>
      <c r="GW368" s="52"/>
      <c r="GX368" s="296"/>
      <c r="GY368" s="464"/>
      <c r="GZ368" s="467"/>
      <c r="HA368" s="52"/>
      <c r="HB368" s="296"/>
      <c r="HC368" s="3"/>
    </row>
    <row r="369" spans="1:211" s="86" customFormat="1">
      <c r="A369" s="521" t="s">
        <v>984</v>
      </c>
      <c r="B369" s="318" t="s">
        <v>1003</v>
      </c>
      <c r="C369" s="317">
        <v>198376</v>
      </c>
      <c r="D369" s="346">
        <v>9</v>
      </c>
      <c r="E369" s="460">
        <v>658</v>
      </c>
      <c r="F369" s="337">
        <v>318</v>
      </c>
      <c r="G369" s="158"/>
      <c r="H369" s="277"/>
      <c r="I369" s="158">
        <v>369</v>
      </c>
      <c r="J369" s="665">
        <v>309</v>
      </c>
      <c r="K369" s="160">
        <f t="shared" si="143"/>
        <v>0</v>
      </c>
      <c r="L369" s="161">
        <f t="shared" si="136"/>
        <v>0</v>
      </c>
      <c r="M369" s="54"/>
      <c r="N369" s="55"/>
      <c r="O369" s="55"/>
      <c r="P369" s="55"/>
      <c r="Q369" s="162">
        <f t="shared" si="144"/>
        <v>0</v>
      </c>
      <c r="R369" s="277"/>
      <c r="S369" s="277"/>
      <c r="T369" s="277"/>
      <c r="U369" s="277"/>
      <c r="V369" s="97">
        <f t="shared" si="145"/>
        <v>0</v>
      </c>
      <c r="W369" s="279"/>
      <c r="X369" s="52"/>
      <c r="Y369" s="99"/>
      <c r="Z369" s="53"/>
      <c r="AA369" s="228"/>
      <c r="AB369" s="52"/>
      <c r="AC369" s="99"/>
      <c r="AD369" s="53"/>
      <c r="AE369" s="228"/>
      <c r="AF369" s="52"/>
      <c r="AG369" s="99"/>
      <c r="AH369" s="53"/>
      <c r="AI369" s="228"/>
      <c r="AJ369" s="52"/>
      <c r="AK369" s="99"/>
      <c r="AL369" s="53"/>
      <c r="AM369" s="228"/>
      <c r="AN369" s="52"/>
      <c r="AO369" s="99"/>
      <c r="AP369" s="53"/>
      <c r="AQ369" s="50">
        <f t="shared" si="137"/>
        <v>0</v>
      </c>
      <c r="AR369" s="163">
        <f t="shared" si="138"/>
        <v>0</v>
      </c>
      <c r="AS369" s="97">
        <f t="shared" si="139"/>
        <v>0</v>
      </c>
      <c r="AT369" s="278">
        <f t="shared" si="140"/>
        <v>0</v>
      </c>
      <c r="AU369" s="55"/>
      <c r="AV369" s="277"/>
      <c r="AW369" s="279"/>
      <c r="AX369" s="52"/>
      <c r="AY369" s="105"/>
      <c r="AZ369" s="98"/>
      <c r="BA369" s="279"/>
      <c r="BB369" s="52"/>
      <c r="BC369" s="105"/>
      <c r="BD369" s="98"/>
      <c r="BE369" s="279"/>
      <c r="BF369" s="52"/>
      <c r="BG369" s="105"/>
      <c r="BH369" s="98"/>
      <c r="BI369" s="279"/>
      <c r="BJ369" s="52"/>
      <c r="BK369" s="105"/>
      <c r="BL369" s="98"/>
      <c r="BM369" s="279"/>
      <c r="BN369" s="52"/>
      <c r="BO369" s="105"/>
      <c r="BP369" s="98"/>
      <c r="BQ369" s="279"/>
      <c r="BR369" s="52"/>
      <c r="BS369" s="105"/>
      <c r="BT369" s="98"/>
      <c r="BU369" s="279"/>
      <c r="BV369" s="52"/>
      <c r="BW369" s="105"/>
      <c r="BX369" s="98"/>
      <c r="BY369" s="279"/>
      <c r="BZ369" s="52"/>
      <c r="CA369" s="105"/>
      <c r="CB369" s="98"/>
      <c r="CC369" s="279"/>
      <c r="CD369" s="52"/>
      <c r="CE369" s="105"/>
      <c r="CF369" s="98"/>
      <c r="CG369" s="279"/>
      <c r="CH369" s="52"/>
      <c r="CI369" s="105"/>
      <c r="CJ369" s="98"/>
      <c r="CK369" s="281"/>
      <c r="CL369" s="277"/>
      <c r="CM369" s="159"/>
      <c r="CN369" s="277"/>
      <c r="CO369" s="50">
        <f t="shared" si="146"/>
        <v>0</v>
      </c>
      <c r="CP369" s="103">
        <f t="shared" si="147"/>
        <v>0</v>
      </c>
      <c r="CQ369" s="280">
        <f t="shared" si="148"/>
        <v>0</v>
      </c>
      <c r="CR369" s="63">
        <f t="shared" si="149"/>
        <v>0</v>
      </c>
      <c r="CS369" s="279"/>
      <c r="CT369" s="52"/>
      <c r="CU369" s="105"/>
      <c r="CV369" s="98"/>
      <c r="CW369" s="279"/>
      <c r="CX369" s="52"/>
      <c r="CY369" s="105"/>
      <c r="CZ369" s="98"/>
      <c r="DA369" s="279"/>
      <c r="DB369" s="52"/>
      <c r="DC369" s="105"/>
      <c r="DD369" s="98"/>
      <c r="DE369" s="279"/>
      <c r="DF369" s="52"/>
      <c r="DG369" s="105"/>
      <c r="DH369" s="98"/>
      <c r="DI369" s="279"/>
      <c r="DJ369" s="52"/>
      <c r="DK369" s="105"/>
      <c r="DL369" s="98"/>
      <c r="DM369" s="279"/>
      <c r="DN369" s="52"/>
      <c r="DO369" s="105"/>
      <c r="DP369" s="98"/>
      <c r="DQ369" s="279"/>
      <c r="DR369" s="52"/>
      <c r="DS369" s="105"/>
      <c r="DT369" s="98"/>
      <c r="DU369" s="279"/>
      <c r="DV369" s="52"/>
      <c r="DW369" s="105"/>
      <c r="DX369" s="98"/>
      <c r="DY369" s="279"/>
      <c r="DZ369" s="52"/>
      <c r="EA369" s="105"/>
      <c r="EB369" s="98"/>
      <c r="EC369" s="279"/>
      <c r="ED369" s="52"/>
      <c r="EE369" s="105"/>
      <c r="EF369" s="98"/>
      <c r="EG369" s="159"/>
      <c r="EH369" s="277"/>
      <c r="EI369" s="50">
        <f t="shared" si="150"/>
        <v>0</v>
      </c>
      <c r="EJ369" s="103">
        <f t="shared" si="151"/>
        <v>0</v>
      </c>
      <c r="EK369" s="164">
        <f t="shared" si="152"/>
        <v>0</v>
      </c>
      <c r="EL369" s="280">
        <f t="shared" si="153"/>
        <v>0</v>
      </c>
      <c r="EM369" s="63">
        <f t="shared" si="154"/>
        <v>0</v>
      </c>
      <c r="EN369" s="359">
        <f t="shared" si="155"/>
        <v>0</v>
      </c>
      <c r="EO369" s="51">
        <f t="shared" si="156"/>
        <v>0</v>
      </c>
      <c r="EP369" s="361">
        <f t="shared" si="157"/>
        <v>0</v>
      </c>
      <c r="EQ369" s="281"/>
      <c r="ER369" s="277"/>
      <c r="ES369" s="281"/>
      <c r="ET369" s="277"/>
      <c r="EU369" s="281"/>
      <c r="EV369" s="277"/>
      <c r="EW369" s="281"/>
      <c r="EX369" s="277"/>
      <c r="EY369" s="281"/>
      <c r="EZ369" s="277"/>
      <c r="FA369" s="281"/>
      <c r="FB369" s="277"/>
      <c r="FC369" s="281"/>
      <c r="FD369" s="277"/>
      <c r="FE369" s="281"/>
      <c r="FF369" s="277"/>
      <c r="FG369" s="281"/>
      <c r="FH369" s="277"/>
      <c r="FI369" s="281"/>
      <c r="FJ369" s="277"/>
      <c r="FK369" s="50">
        <f t="shared" si="158"/>
        <v>0</v>
      </c>
      <c r="FL369" s="63">
        <f t="shared" si="159"/>
        <v>0</v>
      </c>
      <c r="FM369" s="50">
        <f t="shared" si="141"/>
        <v>1027</v>
      </c>
      <c r="FN369" s="360">
        <f t="shared" si="142"/>
        <v>627</v>
      </c>
      <c r="FO369" s="3"/>
      <c r="FP369" s="279"/>
      <c r="FQ369" s="52"/>
      <c r="FR369" s="296"/>
      <c r="FS369" s="98"/>
      <c r="FT369" s="467"/>
      <c r="FU369" s="52"/>
      <c r="FV369" s="296"/>
      <c r="FW369" s="98"/>
      <c r="FX369" s="467"/>
      <c r="FY369" s="52"/>
      <c r="FZ369" s="296"/>
      <c r="GA369" s="98"/>
      <c r="GB369" s="467"/>
      <c r="GC369" s="52"/>
      <c r="GD369" s="296"/>
      <c r="GE369" s="98"/>
      <c r="GF369" s="467"/>
      <c r="GG369" s="52"/>
      <c r="GH369" s="296"/>
      <c r="GI369" s="98"/>
      <c r="GJ369" s="467"/>
      <c r="GK369" s="52"/>
      <c r="GL369" s="296"/>
      <c r="GM369" s="464"/>
      <c r="GN369" s="467"/>
      <c r="GO369" s="52"/>
      <c r="GP369" s="296"/>
      <c r="GQ369" s="464"/>
      <c r="GR369" s="467"/>
      <c r="GS369" s="52"/>
      <c r="GT369" s="296"/>
      <c r="GU369" s="464"/>
      <c r="GV369" s="467"/>
      <c r="GW369" s="52"/>
      <c r="GX369" s="296"/>
      <c r="GY369" s="464"/>
      <c r="GZ369" s="467"/>
      <c r="HA369" s="52"/>
      <c r="HB369" s="296"/>
      <c r="HC369" s="3"/>
    </row>
    <row r="370" spans="1:211" s="86" customFormat="1">
      <c r="A370" s="521" t="s">
        <v>984</v>
      </c>
      <c r="B370" s="318" t="s">
        <v>1005</v>
      </c>
      <c r="C370" s="317">
        <v>198491</v>
      </c>
      <c r="D370" s="346">
        <v>9</v>
      </c>
      <c r="E370" s="460">
        <v>133</v>
      </c>
      <c r="F370" s="337">
        <v>117</v>
      </c>
      <c r="G370" s="158"/>
      <c r="H370" s="277"/>
      <c r="I370" s="158">
        <v>264</v>
      </c>
      <c r="J370" s="665">
        <v>183</v>
      </c>
      <c r="K370" s="160">
        <f t="shared" si="143"/>
        <v>0</v>
      </c>
      <c r="L370" s="161">
        <f t="shared" si="136"/>
        <v>0</v>
      </c>
      <c r="M370" s="54"/>
      <c r="N370" s="55"/>
      <c r="O370" s="55"/>
      <c r="P370" s="55"/>
      <c r="Q370" s="162">
        <f t="shared" si="144"/>
        <v>0</v>
      </c>
      <c r="R370" s="277"/>
      <c r="S370" s="277"/>
      <c r="T370" s="277"/>
      <c r="U370" s="277"/>
      <c r="V370" s="97">
        <f t="shared" si="145"/>
        <v>0</v>
      </c>
      <c r="W370" s="279"/>
      <c r="X370" s="52"/>
      <c r="Y370" s="99"/>
      <c r="Z370" s="53"/>
      <c r="AA370" s="228"/>
      <c r="AB370" s="52"/>
      <c r="AC370" s="99"/>
      <c r="AD370" s="53"/>
      <c r="AE370" s="228"/>
      <c r="AF370" s="52"/>
      <c r="AG370" s="99"/>
      <c r="AH370" s="53"/>
      <c r="AI370" s="228"/>
      <c r="AJ370" s="52"/>
      <c r="AK370" s="99"/>
      <c r="AL370" s="53"/>
      <c r="AM370" s="228"/>
      <c r="AN370" s="52"/>
      <c r="AO370" s="99"/>
      <c r="AP370" s="53"/>
      <c r="AQ370" s="50">
        <f t="shared" si="137"/>
        <v>0</v>
      </c>
      <c r="AR370" s="163">
        <f t="shared" si="138"/>
        <v>0</v>
      </c>
      <c r="AS370" s="97">
        <f t="shared" si="139"/>
        <v>0</v>
      </c>
      <c r="AT370" s="278">
        <f t="shared" si="140"/>
        <v>0</v>
      </c>
      <c r="AU370" s="55"/>
      <c r="AV370" s="277"/>
      <c r="AW370" s="279"/>
      <c r="AX370" s="52"/>
      <c r="AY370" s="105"/>
      <c r="AZ370" s="98"/>
      <c r="BA370" s="279"/>
      <c r="BB370" s="52"/>
      <c r="BC370" s="105"/>
      <c r="BD370" s="98"/>
      <c r="BE370" s="279"/>
      <c r="BF370" s="52"/>
      <c r="BG370" s="105"/>
      <c r="BH370" s="98"/>
      <c r="BI370" s="279"/>
      <c r="BJ370" s="52"/>
      <c r="BK370" s="105"/>
      <c r="BL370" s="98"/>
      <c r="BM370" s="279"/>
      <c r="BN370" s="52"/>
      <c r="BO370" s="105"/>
      <c r="BP370" s="98"/>
      <c r="BQ370" s="279"/>
      <c r="BR370" s="52"/>
      <c r="BS370" s="105"/>
      <c r="BT370" s="98"/>
      <c r="BU370" s="279"/>
      <c r="BV370" s="52"/>
      <c r="BW370" s="105"/>
      <c r="BX370" s="98"/>
      <c r="BY370" s="279"/>
      <c r="BZ370" s="52"/>
      <c r="CA370" s="105"/>
      <c r="CB370" s="98"/>
      <c r="CC370" s="279"/>
      <c r="CD370" s="52"/>
      <c r="CE370" s="105"/>
      <c r="CF370" s="98"/>
      <c r="CG370" s="279"/>
      <c r="CH370" s="52"/>
      <c r="CI370" s="105"/>
      <c r="CJ370" s="98"/>
      <c r="CK370" s="281"/>
      <c r="CL370" s="277"/>
      <c r="CM370" s="159"/>
      <c r="CN370" s="277"/>
      <c r="CO370" s="50">
        <f t="shared" si="146"/>
        <v>0</v>
      </c>
      <c r="CP370" s="103">
        <f t="shared" si="147"/>
        <v>0</v>
      </c>
      <c r="CQ370" s="280">
        <f t="shared" si="148"/>
        <v>0</v>
      </c>
      <c r="CR370" s="63">
        <f t="shared" si="149"/>
        <v>0</v>
      </c>
      <c r="CS370" s="279"/>
      <c r="CT370" s="52"/>
      <c r="CU370" s="105"/>
      <c r="CV370" s="98"/>
      <c r="CW370" s="279"/>
      <c r="CX370" s="52"/>
      <c r="CY370" s="105"/>
      <c r="CZ370" s="98"/>
      <c r="DA370" s="279"/>
      <c r="DB370" s="52"/>
      <c r="DC370" s="105"/>
      <c r="DD370" s="98"/>
      <c r="DE370" s="279"/>
      <c r="DF370" s="52"/>
      <c r="DG370" s="105"/>
      <c r="DH370" s="98"/>
      <c r="DI370" s="279"/>
      <c r="DJ370" s="52"/>
      <c r="DK370" s="105"/>
      <c r="DL370" s="98"/>
      <c r="DM370" s="279"/>
      <c r="DN370" s="52"/>
      <c r="DO370" s="105"/>
      <c r="DP370" s="98"/>
      <c r="DQ370" s="279"/>
      <c r="DR370" s="52"/>
      <c r="DS370" s="105"/>
      <c r="DT370" s="98"/>
      <c r="DU370" s="279"/>
      <c r="DV370" s="52"/>
      <c r="DW370" s="105"/>
      <c r="DX370" s="98"/>
      <c r="DY370" s="279"/>
      <c r="DZ370" s="52"/>
      <c r="EA370" s="105"/>
      <c r="EB370" s="98"/>
      <c r="EC370" s="279"/>
      <c r="ED370" s="52"/>
      <c r="EE370" s="105"/>
      <c r="EF370" s="98"/>
      <c r="EG370" s="159"/>
      <c r="EH370" s="277"/>
      <c r="EI370" s="50">
        <f t="shared" si="150"/>
        <v>0</v>
      </c>
      <c r="EJ370" s="103">
        <f t="shared" si="151"/>
        <v>0</v>
      </c>
      <c r="EK370" s="164">
        <f t="shared" si="152"/>
        <v>0</v>
      </c>
      <c r="EL370" s="280">
        <f t="shared" si="153"/>
        <v>0</v>
      </c>
      <c r="EM370" s="63">
        <f t="shared" si="154"/>
        <v>0</v>
      </c>
      <c r="EN370" s="359">
        <f t="shared" si="155"/>
        <v>0</v>
      </c>
      <c r="EO370" s="51">
        <f t="shared" si="156"/>
        <v>0</v>
      </c>
      <c r="EP370" s="361">
        <f t="shared" si="157"/>
        <v>0</v>
      </c>
      <c r="EQ370" s="281"/>
      <c r="ER370" s="277"/>
      <c r="ES370" s="281"/>
      <c r="ET370" s="277"/>
      <c r="EU370" s="281"/>
      <c r="EV370" s="277"/>
      <c r="EW370" s="281"/>
      <c r="EX370" s="277"/>
      <c r="EY370" s="281"/>
      <c r="EZ370" s="277"/>
      <c r="FA370" s="281"/>
      <c r="FB370" s="277"/>
      <c r="FC370" s="281"/>
      <c r="FD370" s="277"/>
      <c r="FE370" s="281"/>
      <c r="FF370" s="277"/>
      <c r="FG370" s="281"/>
      <c r="FH370" s="277"/>
      <c r="FI370" s="281"/>
      <c r="FJ370" s="277"/>
      <c r="FK370" s="50">
        <f t="shared" si="158"/>
        <v>0</v>
      </c>
      <c r="FL370" s="63">
        <f t="shared" si="159"/>
        <v>0</v>
      </c>
      <c r="FM370" s="50">
        <f t="shared" si="141"/>
        <v>397</v>
      </c>
      <c r="FN370" s="360">
        <f t="shared" si="142"/>
        <v>300</v>
      </c>
      <c r="FO370" s="3"/>
      <c r="FP370" s="279"/>
      <c r="FQ370" s="52"/>
      <c r="FR370" s="296"/>
      <c r="FS370" s="98"/>
      <c r="FT370" s="467"/>
      <c r="FU370" s="52"/>
      <c r="FV370" s="296"/>
      <c r="FW370" s="98"/>
      <c r="FX370" s="467"/>
      <c r="FY370" s="52"/>
      <c r="FZ370" s="296"/>
      <c r="GA370" s="98"/>
      <c r="GB370" s="467"/>
      <c r="GC370" s="52"/>
      <c r="GD370" s="296"/>
      <c r="GE370" s="98"/>
      <c r="GF370" s="467"/>
      <c r="GG370" s="52"/>
      <c r="GH370" s="296"/>
      <c r="GI370" s="98"/>
      <c r="GJ370" s="467"/>
      <c r="GK370" s="52"/>
      <c r="GL370" s="296"/>
      <c r="GM370" s="464"/>
      <c r="GN370" s="467"/>
      <c r="GO370" s="52"/>
      <c r="GP370" s="296"/>
      <c r="GQ370" s="464"/>
      <c r="GR370" s="467"/>
      <c r="GS370" s="52"/>
      <c r="GT370" s="296"/>
      <c r="GU370" s="464"/>
      <c r="GV370" s="467"/>
      <c r="GW370" s="52"/>
      <c r="GX370" s="296"/>
      <c r="GY370" s="464"/>
      <c r="GZ370" s="467"/>
      <c r="HA370" s="52"/>
      <c r="HB370" s="296"/>
      <c r="HC370" s="3"/>
    </row>
    <row r="371" spans="1:211" s="86" customFormat="1">
      <c r="A371" s="521" t="s">
        <v>984</v>
      </c>
      <c r="B371" s="371" t="s">
        <v>1006</v>
      </c>
      <c r="C371" s="317">
        <v>198570</v>
      </c>
      <c r="D371" s="346">
        <v>9</v>
      </c>
      <c r="E371" s="460">
        <v>346</v>
      </c>
      <c r="F371" s="337">
        <v>287</v>
      </c>
      <c r="G371" s="158"/>
      <c r="H371" s="277"/>
      <c r="I371" s="158">
        <v>497</v>
      </c>
      <c r="J371" s="665">
        <v>518</v>
      </c>
      <c r="K371" s="160">
        <f t="shared" si="143"/>
        <v>0</v>
      </c>
      <c r="L371" s="161">
        <f t="shared" si="136"/>
        <v>0</v>
      </c>
      <c r="M371" s="54"/>
      <c r="N371" s="55"/>
      <c r="O371" s="55"/>
      <c r="P371" s="55"/>
      <c r="Q371" s="162">
        <f t="shared" si="144"/>
        <v>0</v>
      </c>
      <c r="R371" s="277"/>
      <c r="S371" s="277"/>
      <c r="T371" s="277"/>
      <c r="U371" s="277"/>
      <c r="V371" s="97">
        <f t="shared" si="145"/>
        <v>0</v>
      </c>
      <c r="W371" s="279"/>
      <c r="X371" s="52"/>
      <c r="Y371" s="99"/>
      <c r="Z371" s="53"/>
      <c r="AA371" s="228"/>
      <c r="AB371" s="52"/>
      <c r="AC371" s="99"/>
      <c r="AD371" s="53"/>
      <c r="AE371" s="228"/>
      <c r="AF371" s="52"/>
      <c r="AG371" s="99"/>
      <c r="AH371" s="53"/>
      <c r="AI371" s="228"/>
      <c r="AJ371" s="52"/>
      <c r="AK371" s="99"/>
      <c r="AL371" s="53"/>
      <c r="AM371" s="228"/>
      <c r="AN371" s="52"/>
      <c r="AO371" s="99"/>
      <c r="AP371" s="53"/>
      <c r="AQ371" s="50">
        <f t="shared" si="137"/>
        <v>0</v>
      </c>
      <c r="AR371" s="163">
        <f t="shared" si="138"/>
        <v>0</v>
      </c>
      <c r="AS371" s="97">
        <f t="shared" si="139"/>
        <v>0</v>
      </c>
      <c r="AT371" s="278">
        <f t="shared" si="140"/>
        <v>0</v>
      </c>
      <c r="AU371" s="55"/>
      <c r="AV371" s="277"/>
      <c r="AW371" s="279"/>
      <c r="AX371" s="52"/>
      <c r="AY371" s="105"/>
      <c r="AZ371" s="98"/>
      <c r="BA371" s="279"/>
      <c r="BB371" s="52"/>
      <c r="BC371" s="105"/>
      <c r="BD371" s="98"/>
      <c r="BE371" s="279"/>
      <c r="BF371" s="52"/>
      <c r="BG371" s="105"/>
      <c r="BH371" s="98"/>
      <c r="BI371" s="279"/>
      <c r="BJ371" s="52"/>
      <c r="BK371" s="105"/>
      <c r="BL371" s="98"/>
      <c r="BM371" s="279"/>
      <c r="BN371" s="52"/>
      <c r="BO371" s="105"/>
      <c r="BP371" s="98"/>
      <c r="BQ371" s="279"/>
      <c r="BR371" s="52"/>
      <c r="BS371" s="105"/>
      <c r="BT371" s="98"/>
      <c r="BU371" s="279"/>
      <c r="BV371" s="52"/>
      <c r="BW371" s="105"/>
      <c r="BX371" s="98"/>
      <c r="BY371" s="279"/>
      <c r="BZ371" s="52"/>
      <c r="CA371" s="105"/>
      <c r="CB371" s="98"/>
      <c r="CC371" s="279"/>
      <c r="CD371" s="52"/>
      <c r="CE371" s="105"/>
      <c r="CF371" s="98"/>
      <c r="CG371" s="279"/>
      <c r="CH371" s="52"/>
      <c r="CI371" s="105"/>
      <c r="CJ371" s="98"/>
      <c r="CK371" s="281"/>
      <c r="CL371" s="277"/>
      <c r="CM371" s="159"/>
      <c r="CN371" s="277"/>
      <c r="CO371" s="50">
        <f t="shared" si="146"/>
        <v>0</v>
      </c>
      <c r="CP371" s="103">
        <f t="shared" si="147"/>
        <v>0</v>
      </c>
      <c r="CQ371" s="280">
        <f t="shared" si="148"/>
        <v>0</v>
      </c>
      <c r="CR371" s="63">
        <f t="shared" si="149"/>
        <v>0</v>
      </c>
      <c r="CS371" s="279"/>
      <c r="CT371" s="52"/>
      <c r="CU371" s="105"/>
      <c r="CV371" s="98"/>
      <c r="CW371" s="279"/>
      <c r="CX371" s="52"/>
      <c r="CY371" s="105"/>
      <c r="CZ371" s="98"/>
      <c r="DA371" s="279"/>
      <c r="DB371" s="52"/>
      <c r="DC371" s="105"/>
      <c r="DD371" s="98"/>
      <c r="DE371" s="279"/>
      <c r="DF371" s="52"/>
      <c r="DG371" s="105"/>
      <c r="DH371" s="98"/>
      <c r="DI371" s="279"/>
      <c r="DJ371" s="52"/>
      <c r="DK371" s="105"/>
      <c r="DL371" s="98"/>
      <c r="DM371" s="279"/>
      <c r="DN371" s="52"/>
      <c r="DO371" s="105"/>
      <c r="DP371" s="98"/>
      <c r="DQ371" s="279"/>
      <c r="DR371" s="52"/>
      <c r="DS371" s="105"/>
      <c r="DT371" s="98"/>
      <c r="DU371" s="279"/>
      <c r="DV371" s="52"/>
      <c r="DW371" s="105"/>
      <c r="DX371" s="98"/>
      <c r="DY371" s="279"/>
      <c r="DZ371" s="52"/>
      <c r="EA371" s="105"/>
      <c r="EB371" s="98"/>
      <c r="EC371" s="279"/>
      <c r="ED371" s="52"/>
      <c r="EE371" s="105"/>
      <c r="EF371" s="98"/>
      <c r="EG371" s="159"/>
      <c r="EH371" s="277"/>
      <c r="EI371" s="50">
        <f t="shared" si="150"/>
        <v>0</v>
      </c>
      <c r="EJ371" s="103">
        <f t="shared" si="151"/>
        <v>0</v>
      </c>
      <c r="EK371" s="164">
        <f t="shared" si="152"/>
        <v>0</v>
      </c>
      <c r="EL371" s="280">
        <f t="shared" si="153"/>
        <v>0</v>
      </c>
      <c r="EM371" s="63">
        <f t="shared" si="154"/>
        <v>0</v>
      </c>
      <c r="EN371" s="359">
        <f t="shared" si="155"/>
        <v>0</v>
      </c>
      <c r="EO371" s="51">
        <f t="shared" si="156"/>
        <v>0</v>
      </c>
      <c r="EP371" s="361">
        <f t="shared" si="157"/>
        <v>0</v>
      </c>
      <c r="EQ371" s="281"/>
      <c r="ER371" s="277"/>
      <c r="ES371" s="281"/>
      <c r="ET371" s="277"/>
      <c r="EU371" s="281"/>
      <c r="EV371" s="277"/>
      <c r="EW371" s="281"/>
      <c r="EX371" s="277"/>
      <c r="EY371" s="281"/>
      <c r="EZ371" s="277"/>
      <c r="FA371" s="281"/>
      <c r="FB371" s="277"/>
      <c r="FC371" s="281"/>
      <c r="FD371" s="277"/>
      <c r="FE371" s="281"/>
      <c r="FF371" s="277"/>
      <c r="FG371" s="281"/>
      <c r="FH371" s="277"/>
      <c r="FI371" s="281"/>
      <c r="FJ371" s="277"/>
      <c r="FK371" s="50">
        <f t="shared" si="158"/>
        <v>0</v>
      </c>
      <c r="FL371" s="63">
        <f t="shared" si="159"/>
        <v>0</v>
      </c>
      <c r="FM371" s="50">
        <f t="shared" si="141"/>
        <v>843</v>
      </c>
      <c r="FN371" s="360">
        <f t="shared" si="142"/>
        <v>805</v>
      </c>
      <c r="FO371" s="3"/>
      <c r="FP371" s="279"/>
      <c r="FQ371" s="52"/>
      <c r="FR371" s="296"/>
      <c r="FS371" s="98"/>
      <c r="FT371" s="467"/>
      <c r="FU371" s="52"/>
      <c r="FV371" s="296"/>
      <c r="FW371" s="98"/>
      <c r="FX371" s="467"/>
      <c r="FY371" s="52"/>
      <c r="FZ371" s="296"/>
      <c r="GA371" s="98"/>
      <c r="GB371" s="467"/>
      <c r="GC371" s="52"/>
      <c r="GD371" s="296"/>
      <c r="GE371" s="98"/>
      <c r="GF371" s="467"/>
      <c r="GG371" s="52"/>
      <c r="GH371" s="296"/>
      <c r="GI371" s="98"/>
      <c r="GJ371" s="467"/>
      <c r="GK371" s="52"/>
      <c r="GL371" s="296"/>
      <c r="GM371" s="464"/>
      <c r="GN371" s="467"/>
      <c r="GO371" s="52"/>
      <c r="GP371" s="296"/>
      <c r="GQ371" s="464"/>
      <c r="GR371" s="467"/>
      <c r="GS371" s="52"/>
      <c r="GT371" s="296"/>
      <c r="GU371" s="464"/>
      <c r="GV371" s="467"/>
      <c r="GW371" s="52"/>
      <c r="GX371" s="296"/>
      <c r="GY371" s="464"/>
      <c r="GZ371" s="467"/>
      <c r="HA371" s="52"/>
      <c r="HB371" s="296"/>
      <c r="HC371" s="3"/>
    </row>
    <row r="372" spans="1:211" s="86" customFormat="1">
      <c r="A372" s="521" t="s">
        <v>984</v>
      </c>
      <c r="B372" s="318" t="s">
        <v>1007</v>
      </c>
      <c r="C372" s="317">
        <v>198668</v>
      </c>
      <c r="D372" s="346">
        <v>9</v>
      </c>
      <c r="E372" s="460">
        <v>167</v>
      </c>
      <c r="F372" s="337">
        <v>173</v>
      </c>
      <c r="G372" s="158"/>
      <c r="H372" s="277"/>
      <c r="I372" s="158">
        <v>193</v>
      </c>
      <c r="J372" s="665">
        <v>181</v>
      </c>
      <c r="K372" s="160">
        <f t="shared" si="143"/>
        <v>0</v>
      </c>
      <c r="L372" s="161">
        <f t="shared" si="136"/>
        <v>0</v>
      </c>
      <c r="M372" s="54"/>
      <c r="N372" s="55"/>
      <c r="O372" s="55"/>
      <c r="P372" s="55"/>
      <c r="Q372" s="162">
        <f t="shared" si="144"/>
        <v>0</v>
      </c>
      <c r="R372" s="277"/>
      <c r="S372" s="277"/>
      <c r="T372" s="277"/>
      <c r="U372" s="277"/>
      <c r="V372" s="97">
        <f t="shared" si="145"/>
        <v>0</v>
      </c>
      <c r="W372" s="279"/>
      <c r="X372" s="52"/>
      <c r="Y372" s="99"/>
      <c r="Z372" s="53"/>
      <c r="AA372" s="228"/>
      <c r="AB372" s="52"/>
      <c r="AC372" s="99"/>
      <c r="AD372" s="53"/>
      <c r="AE372" s="228"/>
      <c r="AF372" s="52"/>
      <c r="AG372" s="99"/>
      <c r="AH372" s="53"/>
      <c r="AI372" s="228"/>
      <c r="AJ372" s="52"/>
      <c r="AK372" s="99"/>
      <c r="AL372" s="53"/>
      <c r="AM372" s="228"/>
      <c r="AN372" s="52"/>
      <c r="AO372" s="99"/>
      <c r="AP372" s="53"/>
      <c r="AQ372" s="50">
        <f t="shared" si="137"/>
        <v>0</v>
      </c>
      <c r="AR372" s="163">
        <f t="shared" si="138"/>
        <v>0</v>
      </c>
      <c r="AS372" s="97">
        <f t="shared" si="139"/>
        <v>0</v>
      </c>
      <c r="AT372" s="278">
        <f t="shared" si="140"/>
        <v>0</v>
      </c>
      <c r="AU372" s="55"/>
      <c r="AV372" s="277"/>
      <c r="AW372" s="279"/>
      <c r="AX372" s="52"/>
      <c r="AY372" s="105"/>
      <c r="AZ372" s="98"/>
      <c r="BA372" s="279"/>
      <c r="BB372" s="52"/>
      <c r="BC372" s="105"/>
      <c r="BD372" s="98"/>
      <c r="BE372" s="279"/>
      <c r="BF372" s="52"/>
      <c r="BG372" s="105"/>
      <c r="BH372" s="98"/>
      <c r="BI372" s="279"/>
      <c r="BJ372" s="52"/>
      <c r="BK372" s="105"/>
      <c r="BL372" s="98"/>
      <c r="BM372" s="279"/>
      <c r="BN372" s="52"/>
      <c r="BO372" s="105"/>
      <c r="BP372" s="98"/>
      <c r="BQ372" s="279"/>
      <c r="BR372" s="52"/>
      <c r="BS372" s="105"/>
      <c r="BT372" s="98"/>
      <c r="BU372" s="279"/>
      <c r="BV372" s="52"/>
      <c r="BW372" s="105"/>
      <c r="BX372" s="98"/>
      <c r="BY372" s="279"/>
      <c r="BZ372" s="52"/>
      <c r="CA372" s="105"/>
      <c r="CB372" s="98"/>
      <c r="CC372" s="279"/>
      <c r="CD372" s="52"/>
      <c r="CE372" s="105"/>
      <c r="CF372" s="98"/>
      <c r="CG372" s="279"/>
      <c r="CH372" s="52"/>
      <c r="CI372" s="105"/>
      <c r="CJ372" s="98"/>
      <c r="CK372" s="281"/>
      <c r="CL372" s="277"/>
      <c r="CM372" s="159"/>
      <c r="CN372" s="277"/>
      <c r="CO372" s="50">
        <f t="shared" si="146"/>
        <v>0</v>
      </c>
      <c r="CP372" s="103">
        <f t="shared" si="147"/>
        <v>0</v>
      </c>
      <c r="CQ372" s="280">
        <f t="shared" si="148"/>
        <v>0</v>
      </c>
      <c r="CR372" s="63">
        <f t="shared" si="149"/>
        <v>0</v>
      </c>
      <c r="CS372" s="279"/>
      <c r="CT372" s="52"/>
      <c r="CU372" s="105"/>
      <c r="CV372" s="98"/>
      <c r="CW372" s="279"/>
      <c r="CX372" s="52"/>
      <c r="CY372" s="105"/>
      <c r="CZ372" s="98"/>
      <c r="DA372" s="279"/>
      <c r="DB372" s="52"/>
      <c r="DC372" s="105"/>
      <c r="DD372" s="98"/>
      <c r="DE372" s="279"/>
      <c r="DF372" s="52"/>
      <c r="DG372" s="105"/>
      <c r="DH372" s="98"/>
      <c r="DI372" s="279"/>
      <c r="DJ372" s="52"/>
      <c r="DK372" s="105"/>
      <c r="DL372" s="98"/>
      <c r="DM372" s="279"/>
      <c r="DN372" s="52"/>
      <c r="DO372" s="105"/>
      <c r="DP372" s="98"/>
      <c r="DQ372" s="279"/>
      <c r="DR372" s="52"/>
      <c r="DS372" s="105"/>
      <c r="DT372" s="98"/>
      <c r="DU372" s="279"/>
      <c r="DV372" s="52"/>
      <c r="DW372" s="105"/>
      <c r="DX372" s="98"/>
      <c r="DY372" s="279"/>
      <c r="DZ372" s="52"/>
      <c r="EA372" s="105"/>
      <c r="EB372" s="98"/>
      <c r="EC372" s="279"/>
      <c r="ED372" s="52"/>
      <c r="EE372" s="105"/>
      <c r="EF372" s="98"/>
      <c r="EG372" s="159"/>
      <c r="EH372" s="277"/>
      <c r="EI372" s="50">
        <f t="shared" si="150"/>
        <v>0</v>
      </c>
      <c r="EJ372" s="103">
        <f t="shared" si="151"/>
        <v>0</v>
      </c>
      <c r="EK372" s="164">
        <f t="shared" si="152"/>
        <v>0</v>
      </c>
      <c r="EL372" s="280">
        <f t="shared" si="153"/>
        <v>0</v>
      </c>
      <c r="EM372" s="63">
        <f t="shared" si="154"/>
        <v>0</v>
      </c>
      <c r="EN372" s="359">
        <f t="shared" si="155"/>
        <v>0</v>
      </c>
      <c r="EO372" s="51">
        <f t="shared" si="156"/>
        <v>0</v>
      </c>
      <c r="EP372" s="361">
        <f t="shared" si="157"/>
        <v>0</v>
      </c>
      <c r="EQ372" s="281"/>
      <c r="ER372" s="277"/>
      <c r="ES372" s="281"/>
      <c r="ET372" s="277"/>
      <c r="EU372" s="281"/>
      <c r="EV372" s="277"/>
      <c r="EW372" s="281"/>
      <c r="EX372" s="277"/>
      <c r="EY372" s="281"/>
      <c r="EZ372" s="277"/>
      <c r="FA372" s="281"/>
      <c r="FB372" s="277"/>
      <c r="FC372" s="281"/>
      <c r="FD372" s="277"/>
      <c r="FE372" s="281"/>
      <c r="FF372" s="277"/>
      <c r="FG372" s="281"/>
      <c r="FH372" s="277"/>
      <c r="FI372" s="281"/>
      <c r="FJ372" s="277"/>
      <c r="FK372" s="50">
        <f t="shared" si="158"/>
        <v>0</v>
      </c>
      <c r="FL372" s="63">
        <f t="shared" si="159"/>
        <v>0</v>
      </c>
      <c r="FM372" s="50">
        <f t="shared" si="141"/>
        <v>360</v>
      </c>
      <c r="FN372" s="360">
        <f t="shared" si="142"/>
        <v>354</v>
      </c>
      <c r="FO372" s="3"/>
      <c r="FP372" s="279"/>
      <c r="FQ372" s="52"/>
      <c r="FR372" s="296"/>
      <c r="FS372" s="98"/>
      <c r="FT372" s="467"/>
      <c r="FU372" s="52"/>
      <c r="FV372" s="296"/>
      <c r="FW372" s="98"/>
      <c r="FX372" s="467"/>
      <c r="FY372" s="52"/>
      <c r="FZ372" s="296"/>
      <c r="GA372" s="98"/>
      <c r="GB372" s="467"/>
      <c r="GC372" s="52"/>
      <c r="GD372" s="296"/>
      <c r="GE372" s="98"/>
      <c r="GF372" s="467"/>
      <c r="GG372" s="52"/>
      <c r="GH372" s="296"/>
      <c r="GI372" s="98"/>
      <c r="GJ372" s="467"/>
      <c r="GK372" s="52"/>
      <c r="GL372" s="296"/>
      <c r="GM372" s="464"/>
      <c r="GN372" s="467"/>
      <c r="GO372" s="52"/>
      <c r="GP372" s="296"/>
      <c r="GQ372" s="464"/>
      <c r="GR372" s="467"/>
      <c r="GS372" s="52"/>
      <c r="GT372" s="296"/>
      <c r="GU372" s="464"/>
      <c r="GV372" s="467"/>
      <c r="GW372" s="52"/>
      <c r="GX372" s="296"/>
      <c r="GY372" s="464"/>
      <c r="GZ372" s="467"/>
      <c r="HA372" s="52"/>
      <c r="HB372" s="296"/>
      <c r="HC372" s="3"/>
    </row>
    <row r="373" spans="1:211" s="86" customFormat="1">
      <c r="A373" s="521" t="s">
        <v>984</v>
      </c>
      <c r="B373" s="318" t="s">
        <v>1008</v>
      </c>
      <c r="C373" s="317">
        <v>198710</v>
      </c>
      <c r="D373" s="346">
        <v>9</v>
      </c>
      <c r="E373" s="460">
        <v>143</v>
      </c>
      <c r="F373" s="337">
        <v>156</v>
      </c>
      <c r="G373" s="158"/>
      <c r="H373" s="277"/>
      <c r="I373" s="158">
        <v>201</v>
      </c>
      <c r="J373" s="665">
        <v>175</v>
      </c>
      <c r="K373" s="160">
        <f t="shared" si="143"/>
        <v>0</v>
      </c>
      <c r="L373" s="161">
        <f t="shared" si="136"/>
        <v>0</v>
      </c>
      <c r="M373" s="54"/>
      <c r="N373" s="55"/>
      <c r="O373" s="55"/>
      <c r="P373" s="55"/>
      <c r="Q373" s="162">
        <f t="shared" si="144"/>
        <v>0</v>
      </c>
      <c r="R373" s="277"/>
      <c r="S373" s="277"/>
      <c r="T373" s="277"/>
      <c r="U373" s="277"/>
      <c r="V373" s="97">
        <f t="shared" si="145"/>
        <v>0</v>
      </c>
      <c r="W373" s="279"/>
      <c r="X373" s="52"/>
      <c r="Y373" s="99"/>
      <c r="Z373" s="53"/>
      <c r="AA373" s="228"/>
      <c r="AB373" s="52"/>
      <c r="AC373" s="99"/>
      <c r="AD373" s="53"/>
      <c r="AE373" s="228"/>
      <c r="AF373" s="52"/>
      <c r="AG373" s="99"/>
      <c r="AH373" s="53"/>
      <c r="AI373" s="228"/>
      <c r="AJ373" s="52"/>
      <c r="AK373" s="99"/>
      <c r="AL373" s="53"/>
      <c r="AM373" s="228"/>
      <c r="AN373" s="52"/>
      <c r="AO373" s="99"/>
      <c r="AP373" s="53"/>
      <c r="AQ373" s="50">
        <f t="shared" si="137"/>
        <v>0</v>
      </c>
      <c r="AR373" s="163">
        <f t="shared" si="138"/>
        <v>0</v>
      </c>
      <c r="AS373" s="97">
        <f t="shared" si="139"/>
        <v>0</v>
      </c>
      <c r="AT373" s="278">
        <f t="shared" si="140"/>
        <v>0</v>
      </c>
      <c r="AU373" s="55"/>
      <c r="AV373" s="277"/>
      <c r="AW373" s="279"/>
      <c r="AX373" s="52"/>
      <c r="AY373" s="105"/>
      <c r="AZ373" s="98"/>
      <c r="BA373" s="279"/>
      <c r="BB373" s="52"/>
      <c r="BC373" s="105"/>
      <c r="BD373" s="98"/>
      <c r="BE373" s="279"/>
      <c r="BF373" s="52"/>
      <c r="BG373" s="105"/>
      <c r="BH373" s="98"/>
      <c r="BI373" s="279"/>
      <c r="BJ373" s="52"/>
      <c r="BK373" s="105"/>
      <c r="BL373" s="98"/>
      <c r="BM373" s="279"/>
      <c r="BN373" s="52"/>
      <c r="BO373" s="105"/>
      <c r="BP373" s="98"/>
      <c r="BQ373" s="279"/>
      <c r="BR373" s="52"/>
      <c r="BS373" s="105"/>
      <c r="BT373" s="98"/>
      <c r="BU373" s="279"/>
      <c r="BV373" s="52"/>
      <c r="BW373" s="105"/>
      <c r="BX373" s="98"/>
      <c r="BY373" s="279"/>
      <c r="BZ373" s="52"/>
      <c r="CA373" s="105"/>
      <c r="CB373" s="98"/>
      <c r="CC373" s="279"/>
      <c r="CD373" s="52"/>
      <c r="CE373" s="105"/>
      <c r="CF373" s="98"/>
      <c r="CG373" s="279"/>
      <c r="CH373" s="52"/>
      <c r="CI373" s="105"/>
      <c r="CJ373" s="98"/>
      <c r="CK373" s="281"/>
      <c r="CL373" s="277"/>
      <c r="CM373" s="159"/>
      <c r="CN373" s="277"/>
      <c r="CO373" s="50">
        <f t="shared" si="146"/>
        <v>0</v>
      </c>
      <c r="CP373" s="103">
        <f t="shared" si="147"/>
        <v>0</v>
      </c>
      <c r="CQ373" s="280">
        <f t="shared" si="148"/>
        <v>0</v>
      </c>
      <c r="CR373" s="63">
        <f t="shared" si="149"/>
        <v>0</v>
      </c>
      <c r="CS373" s="279"/>
      <c r="CT373" s="52"/>
      <c r="CU373" s="105"/>
      <c r="CV373" s="98"/>
      <c r="CW373" s="279"/>
      <c r="CX373" s="52"/>
      <c r="CY373" s="105"/>
      <c r="CZ373" s="98"/>
      <c r="DA373" s="279"/>
      <c r="DB373" s="52"/>
      <c r="DC373" s="105"/>
      <c r="DD373" s="98"/>
      <c r="DE373" s="279"/>
      <c r="DF373" s="52"/>
      <c r="DG373" s="105"/>
      <c r="DH373" s="98"/>
      <c r="DI373" s="279"/>
      <c r="DJ373" s="52"/>
      <c r="DK373" s="105"/>
      <c r="DL373" s="98"/>
      <c r="DM373" s="279"/>
      <c r="DN373" s="52"/>
      <c r="DO373" s="105"/>
      <c r="DP373" s="98"/>
      <c r="DQ373" s="279"/>
      <c r="DR373" s="52"/>
      <c r="DS373" s="105"/>
      <c r="DT373" s="98"/>
      <c r="DU373" s="279"/>
      <c r="DV373" s="52"/>
      <c r="DW373" s="105"/>
      <c r="DX373" s="98"/>
      <c r="DY373" s="279"/>
      <c r="DZ373" s="52"/>
      <c r="EA373" s="105"/>
      <c r="EB373" s="98"/>
      <c r="EC373" s="279"/>
      <c r="ED373" s="52"/>
      <c r="EE373" s="105"/>
      <c r="EF373" s="98"/>
      <c r="EG373" s="159"/>
      <c r="EH373" s="277"/>
      <c r="EI373" s="50">
        <f t="shared" si="150"/>
        <v>0</v>
      </c>
      <c r="EJ373" s="103">
        <f t="shared" si="151"/>
        <v>0</v>
      </c>
      <c r="EK373" s="164">
        <f t="shared" si="152"/>
        <v>0</v>
      </c>
      <c r="EL373" s="280">
        <f t="shared" si="153"/>
        <v>0</v>
      </c>
      <c r="EM373" s="63">
        <f t="shared" si="154"/>
        <v>0</v>
      </c>
      <c r="EN373" s="359">
        <f t="shared" si="155"/>
        <v>0</v>
      </c>
      <c r="EO373" s="51">
        <f t="shared" si="156"/>
        <v>0</v>
      </c>
      <c r="EP373" s="361">
        <f t="shared" si="157"/>
        <v>0</v>
      </c>
      <c r="EQ373" s="281"/>
      <c r="ER373" s="277"/>
      <c r="ES373" s="281"/>
      <c r="ET373" s="277"/>
      <c r="EU373" s="281"/>
      <c r="EV373" s="277"/>
      <c r="EW373" s="281"/>
      <c r="EX373" s="277"/>
      <c r="EY373" s="281"/>
      <c r="EZ373" s="277"/>
      <c r="FA373" s="281"/>
      <c r="FB373" s="277"/>
      <c r="FC373" s="281"/>
      <c r="FD373" s="277"/>
      <c r="FE373" s="281"/>
      <c r="FF373" s="277"/>
      <c r="FG373" s="281"/>
      <c r="FH373" s="277"/>
      <c r="FI373" s="281"/>
      <c r="FJ373" s="277"/>
      <c r="FK373" s="50">
        <f t="shared" si="158"/>
        <v>0</v>
      </c>
      <c r="FL373" s="63">
        <f t="shared" si="159"/>
        <v>0</v>
      </c>
      <c r="FM373" s="50">
        <f t="shared" si="141"/>
        <v>344</v>
      </c>
      <c r="FN373" s="360">
        <f t="shared" si="142"/>
        <v>331</v>
      </c>
      <c r="FO373" s="3"/>
      <c r="FP373" s="279"/>
      <c r="FQ373" s="52"/>
      <c r="FR373" s="296"/>
      <c r="FS373" s="98"/>
      <c r="FT373" s="467"/>
      <c r="FU373" s="52"/>
      <c r="FV373" s="296"/>
      <c r="FW373" s="98"/>
      <c r="FX373" s="467"/>
      <c r="FY373" s="52"/>
      <c r="FZ373" s="296"/>
      <c r="GA373" s="98"/>
      <c r="GB373" s="467"/>
      <c r="GC373" s="52"/>
      <c r="GD373" s="296"/>
      <c r="GE373" s="98"/>
      <c r="GF373" s="467"/>
      <c r="GG373" s="52"/>
      <c r="GH373" s="296"/>
      <c r="GI373" s="98"/>
      <c r="GJ373" s="467"/>
      <c r="GK373" s="52"/>
      <c r="GL373" s="296"/>
      <c r="GM373" s="464"/>
      <c r="GN373" s="467"/>
      <c r="GO373" s="52"/>
      <c r="GP373" s="296"/>
      <c r="GQ373" s="464"/>
      <c r="GR373" s="467"/>
      <c r="GS373" s="52"/>
      <c r="GT373" s="296"/>
      <c r="GU373" s="464"/>
      <c r="GV373" s="467"/>
      <c r="GW373" s="52"/>
      <c r="GX373" s="296"/>
      <c r="GY373" s="464"/>
      <c r="GZ373" s="467"/>
      <c r="HA373" s="52"/>
      <c r="HB373" s="296"/>
      <c r="HC373" s="3"/>
    </row>
    <row r="374" spans="1:211" s="86" customFormat="1">
      <c r="A374" s="521" t="s">
        <v>984</v>
      </c>
      <c r="B374" s="318" t="s">
        <v>1009</v>
      </c>
      <c r="C374" s="317">
        <v>198774</v>
      </c>
      <c r="D374" s="346">
        <v>9</v>
      </c>
      <c r="E374" s="460">
        <v>681</v>
      </c>
      <c r="F374" s="337">
        <v>370</v>
      </c>
      <c r="G374" s="158"/>
      <c r="H374" s="277"/>
      <c r="I374" s="158">
        <v>329</v>
      </c>
      <c r="J374" s="665">
        <v>300</v>
      </c>
      <c r="K374" s="160">
        <f t="shared" si="143"/>
        <v>0</v>
      </c>
      <c r="L374" s="161">
        <f t="shared" si="136"/>
        <v>0</v>
      </c>
      <c r="M374" s="54"/>
      <c r="N374" s="55"/>
      <c r="O374" s="55"/>
      <c r="P374" s="55"/>
      <c r="Q374" s="162">
        <f t="shared" si="144"/>
        <v>0</v>
      </c>
      <c r="R374" s="277"/>
      <c r="S374" s="277"/>
      <c r="T374" s="277"/>
      <c r="U374" s="277"/>
      <c r="V374" s="97">
        <f t="shared" si="145"/>
        <v>0</v>
      </c>
      <c r="W374" s="279"/>
      <c r="X374" s="52"/>
      <c r="Y374" s="99"/>
      <c r="Z374" s="53"/>
      <c r="AA374" s="228"/>
      <c r="AB374" s="52"/>
      <c r="AC374" s="99"/>
      <c r="AD374" s="53"/>
      <c r="AE374" s="228"/>
      <c r="AF374" s="52"/>
      <c r="AG374" s="99"/>
      <c r="AH374" s="53"/>
      <c r="AI374" s="228"/>
      <c r="AJ374" s="52"/>
      <c r="AK374" s="99"/>
      <c r="AL374" s="53"/>
      <c r="AM374" s="228"/>
      <c r="AN374" s="52"/>
      <c r="AO374" s="99"/>
      <c r="AP374" s="53"/>
      <c r="AQ374" s="50">
        <f t="shared" si="137"/>
        <v>0</v>
      </c>
      <c r="AR374" s="163">
        <f t="shared" si="138"/>
        <v>0</v>
      </c>
      <c r="AS374" s="97">
        <f t="shared" si="139"/>
        <v>0</v>
      </c>
      <c r="AT374" s="278">
        <f t="shared" si="140"/>
        <v>0</v>
      </c>
      <c r="AU374" s="55"/>
      <c r="AV374" s="277"/>
      <c r="AW374" s="279"/>
      <c r="AX374" s="52"/>
      <c r="AY374" s="105"/>
      <c r="AZ374" s="98"/>
      <c r="BA374" s="279"/>
      <c r="BB374" s="52"/>
      <c r="BC374" s="105"/>
      <c r="BD374" s="98"/>
      <c r="BE374" s="279"/>
      <c r="BF374" s="52"/>
      <c r="BG374" s="105"/>
      <c r="BH374" s="98"/>
      <c r="BI374" s="279"/>
      <c r="BJ374" s="52"/>
      <c r="BK374" s="105"/>
      <c r="BL374" s="98"/>
      <c r="BM374" s="279"/>
      <c r="BN374" s="52"/>
      <c r="BO374" s="105"/>
      <c r="BP374" s="98"/>
      <c r="BQ374" s="279"/>
      <c r="BR374" s="52"/>
      <c r="BS374" s="105"/>
      <c r="BT374" s="98"/>
      <c r="BU374" s="279"/>
      <c r="BV374" s="52"/>
      <c r="BW374" s="105"/>
      <c r="BX374" s="98"/>
      <c r="BY374" s="279"/>
      <c r="BZ374" s="52"/>
      <c r="CA374" s="105"/>
      <c r="CB374" s="98"/>
      <c r="CC374" s="279"/>
      <c r="CD374" s="52"/>
      <c r="CE374" s="105"/>
      <c r="CF374" s="98"/>
      <c r="CG374" s="279"/>
      <c r="CH374" s="52"/>
      <c r="CI374" s="105"/>
      <c r="CJ374" s="98"/>
      <c r="CK374" s="281"/>
      <c r="CL374" s="277"/>
      <c r="CM374" s="159"/>
      <c r="CN374" s="277"/>
      <c r="CO374" s="50">
        <f t="shared" si="146"/>
        <v>0</v>
      </c>
      <c r="CP374" s="103">
        <f t="shared" si="147"/>
        <v>0</v>
      </c>
      <c r="CQ374" s="280">
        <f t="shared" si="148"/>
        <v>0</v>
      </c>
      <c r="CR374" s="63">
        <f t="shared" si="149"/>
        <v>0</v>
      </c>
      <c r="CS374" s="279"/>
      <c r="CT374" s="52"/>
      <c r="CU374" s="105"/>
      <c r="CV374" s="98"/>
      <c r="CW374" s="279"/>
      <c r="CX374" s="52"/>
      <c r="CY374" s="105"/>
      <c r="CZ374" s="98"/>
      <c r="DA374" s="279"/>
      <c r="DB374" s="52"/>
      <c r="DC374" s="105"/>
      <c r="DD374" s="98"/>
      <c r="DE374" s="279"/>
      <c r="DF374" s="52"/>
      <c r="DG374" s="105"/>
      <c r="DH374" s="98"/>
      <c r="DI374" s="279"/>
      <c r="DJ374" s="52"/>
      <c r="DK374" s="105"/>
      <c r="DL374" s="98"/>
      <c r="DM374" s="279"/>
      <c r="DN374" s="52"/>
      <c r="DO374" s="105"/>
      <c r="DP374" s="98"/>
      <c r="DQ374" s="279"/>
      <c r="DR374" s="52"/>
      <c r="DS374" s="105"/>
      <c r="DT374" s="98"/>
      <c r="DU374" s="279"/>
      <c r="DV374" s="52"/>
      <c r="DW374" s="105"/>
      <c r="DX374" s="98"/>
      <c r="DY374" s="279"/>
      <c r="DZ374" s="52"/>
      <c r="EA374" s="105"/>
      <c r="EB374" s="98"/>
      <c r="EC374" s="279"/>
      <c r="ED374" s="52"/>
      <c r="EE374" s="105"/>
      <c r="EF374" s="98"/>
      <c r="EG374" s="159"/>
      <c r="EH374" s="277"/>
      <c r="EI374" s="50">
        <f t="shared" si="150"/>
        <v>0</v>
      </c>
      <c r="EJ374" s="103">
        <f t="shared" si="151"/>
        <v>0</v>
      </c>
      <c r="EK374" s="164">
        <f t="shared" si="152"/>
        <v>0</v>
      </c>
      <c r="EL374" s="280">
        <f t="shared" si="153"/>
        <v>0</v>
      </c>
      <c r="EM374" s="63">
        <f t="shared" si="154"/>
        <v>0</v>
      </c>
      <c r="EN374" s="359">
        <f t="shared" si="155"/>
        <v>0</v>
      </c>
      <c r="EO374" s="51">
        <f t="shared" si="156"/>
        <v>0</v>
      </c>
      <c r="EP374" s="361">
        <f t="shared" si="157"/>
        <v>0</v>
      </c>
      <c r="EQ374" s="281"/>
      <c r="ER374" s="277"/>
      <c r="ES374" s="281"/>
      <c r="ET374" s="277"/>
      <c r="EU374" s="281"/>
      <c r="EV374" s="277"/>
      <c r="EW374" s="281"/>
      <c r="EX374" s="277"/>
      <c r="EY374" s="281"/>
      <c r="EZ374" s="277"/>
      <c r="FA374" s="281"/>
      <c r="FB374" s="277"/>
      <c r="FC374" s="281"/>
      <c r="FD374" s="277"/>
      <c r="FE374" s="281"/>
      <c r="FF374" s="277"/>
      <c r="FG374" s="281"/>
      <c r="FH374" s="277"/>
      <c r="FI374" s="281"/>
      <c r="FJ374" s="277"/>
      <c r="FK374" s="50">
        <f t="shared" si="158"/>
        <v>0</v>
      </c>
      <c r="FL374" s="63">
        <f t="shared" si="159"/>
        <v>0</v>
      </c>
      <c r="FM374" s="50">
        <f t="shared" si="141"/>
        <v>1010</v>
      </c>
      <c r="FN374" s="360">
        <f t="shared" si="142"/>
        <v>670</v>
      </c>
      <c r="FO374" s="3"/>
      <c r="FP374" s="279"/>
      <c r="FQ374" s="52"/>
      <c r="FR374" s="296"/>
      <c r="FS374" s="98"/>
      <c r="FT374" s="467"/>
      <c r="FU374" s="52"/>
      <c r="FV374" s="296"/>
      <c r="FW374" s="98"/>
      <c r="FX374" s="467"/>
      <c r="FY374" s="52"/>
      <c r="FZ374" s="296"/>
      <c r="GA374" s="98"/>
      <c r="GB374" s="467"/>
      <c r="GC374" s="52"/>
      <c r="GD374" s="296"/>
      <c r="GE374" s="98"/>
      <c r="GF374" s="467"/>
      <c r="GG374" s="52"/>
      <c r="GH374" s="296"/>
      <c r="GI374" s="98"/>
      <c r="GJ374" s="467"/>
      <c r="GK374" s="52"/>
      <c r="GL374" s="296"/>
      <c r="GM374" s="464"/>
      <c r="GN374" s="467"/>
      <c r="GO374" s="52"/>
      <c r="GP374" s="296"/>
      <c r="GQ374" s="464"/>
      <c r="GR374" s="467"/>
      <c r="GS374" s="52"/>
      <c r="GT374" s="296"/>
      <c r="GU374" s="464"/>
      <c r="GV374" s="467"/>
      <c r="GW374" s="52"/>
      <c r="GX374" s="296"/>
      <c r="GY374" s="464"/>
      <c r="GZ374" s="467"/>
      <c r="HA374" s="52"/>
      <c r="HB374" s="296"/>
      <c r="HC374" s="3"/>
    </row>
    <row r="375" spans="1:211" s="86" customFormat="1">
      <c r="A375" s="521" t="s">
        <v>984</v>
      </c>
      <c r="B375" s="318" t="s">
        <v>1010</v>
      </c>
      <c r="C375" s="317">
        <v>198817</v>
      </c>
      <c r="D375" s="346">
        <v>9</v>
      </c>
      <c r="E375" s="460">
        <v>409</v>
      </c>
      <c r="F375" s="337">
        <v>300</v>
      </c>
      <c r="G375" s="158"/>
      <c r="H375" s="277"/>
      <c r="I375" s="158">
        <v>265</v>
      </c>
      <c r="J375" s="665">
        <v>253</v>
      </c>
      <c r="K375" s="160">
        <f t="shared" si="143"/>
        <v>0</v>
      </c>
      <c r="L375" s="161">
        <f t="shared" si="136"/>
        <v>0</v>
      </c>
      <c r="M375" s="54"/>
      <c r="N375" s="55"/>
      <c r="O375" s="55"/>
      <c r="P375" s="55"/>
      <c r="Q375" s="162">
        <f t="shared" si="144"/>
        <v>0</v>
      </c>
      <c r="R375" s="277"/>
      <c r="S375" s="277"/>
      <c r="T375" s="277"/>
      <c r="U375" s="277"/>
      <c r="V375" s="97">
        <f t="shared" si="145"/>
        <v>0</v>
      </c>
      <c r="W375" s="279"/>
      <c r="X375" s="52"/>
      <c r="Y375" s="99"/>
      <c r="Z375" s="53"/>
      <c r="AA375" s="228"/>
      <c r="AB375" s="52"/>
      <c r="AC375" s="99"/>
      <c r="AD375" s="53"/>
      <c r="AE375" s="228"/>
      <c r="AF375" s="52"/>
      <c r="AG375" s="99"/>
      <c r="AH375" s="53"/>
      <c r="AI375" s="228"/>
      <c r="AJ375" s="52"/>
      <c r="AK375" s="99"/>
      <c r="AL375" s="53"/>
      <c r="AM375" s="228"/>
      <c r="AN375" s="52"/>
      <c r="AO375" s="99"/>
      <c r="AP375" s="53"/>
      <c r="AQ375" s="50">
        <f t="shared" si="137"/>
        <v>0</v>
      </c>
      <c r="AR375" s="163">
        <f t="shared" si="138"/>
        <v>0</v>
      </c>
      <c r="AS375" s="97">
        <f t="shared" si="139"/>
        <v>0</v>
      </c>
      <c r="AT375" s="278">
        <f t="shared" si="140"/>
        <v>0</v>
      </c>
      <c r="AU375" s="55"/>
      <c r="AV375" s="277"/>
      <c r="AW375" s="279"/>
      <c r="AX375" s="52"/>
      <c r="AY375" s="105"/>
      <c r="AZ375" s="98"/>
      <c r="BA375" s="279"/>
      <c r="BB375" s="52"/>
      <c r="BC375" s="105"/>
      <c r="BD375" s="98"/>
      <c r="BE375" s="279"/>
      <c r="BF375" s="52"/>
      <c r="BG375" s="105"/>
      <c r="BH375" s="98"/>
      <c r="BI375" s="279"/>
      <c r="BJ375" s="52"/>
      <c r="BK375" s="105"/>
      <c r="BL375" s="98"/>
      <c r="BM375" s="279"/>
      <c r="BN375" s="52"/>
      <c r="BO375" s="105"/>
      <c r="BP375" s="98"/>
      <c r="BQ375" s="279"/>
      <c r="BR375" s="52"/>
      <c r="BS375" s="105"/>
      <c r="BT375" s="98"/>
      <c r="BU375" s="279"/>
      <c r="BV375" s="52"/>
      <c r="BW375" s="105"/>
      <c r="BX375" s="98"/>
      <c r="BY375" s="279"/>
      <c r="BZ375" s="52"/>
      <c r="CA375" s="105"/>
      <c r="CB375" s="98"/>
      <c r="CC375" s="279"/>
      <c r="CD375" s="52"/>
      <c r="CE375" s="105"/>
      <c r="CF375" s="98"/>
      <c r="CG375" s="279"/>
      <c r="CH375" s="52"/>
      <c r="CI375" s="105"/>
      <c r="CJ375" s="98"/>
      <c r="CK375" s="281"/>
      <c r="CL375" s="277"/>
      <c r="CM375" s="159"/>
      <c r="CN375" s="277"/>
      <c r="CO375" s="50">
        <f t="shared" si="146"/>
        <v>0</v>
      </c>
      <c r="CP375" s="103">
        <f t="shared" si="147"/>
        <v>0</v>
      </c>
      <c r="CQ375" s="280">
        <f t="shared" si="148"/>
        <v>0</v>
      </c>
      <c r="CR375" s="63">
        <f t="shared" si="149"/>
        <v>0</v>
      </c>
      <c r="CS375" s="279"/>
      <c r="CT375" s="52"/>
      <c r="CU375" s="105"/>
      <c r="CV375" s="98"/>
      <c r="CW375" s="279"/>
      <c r="CX375" s="52"/>
      <c r="CY375" s="105"/>
      <c r="CZ375" s="98"/>
      <c r="DA375" s="279"/>
      <c r="DB375" s="52"/>
      <c r="DC375" s="105"/>
      <c r="DD375" s="98"/>
      <c r="DE375" s="279"/>
      <c r="DF375" s="52"/>
      <c r="DG375" s="105"/>
      <c r="DH375" s="98"/>
      <c r="DI375" s="279"/>
      <c r="DJ375" s="52"/>
      <c r="DK375" s="105"/>
      <c r="DL375" s="98"/>
      <c r="DM375" s="279"/>
      <c r="DN375" s="52"/>
      <c r="DO375" s="105"/>
      <c r="DP375" s="98"/>
      <c r="DQ375" s="279"/>
      <c r="DR375" s="52"/>
      <c r="DS375" s="105"/>
      <c r="DT375" s="98"/>
      <c r="DU375" s="279"/>
      <c r="DV375" s="52"/>
      <c r="DW375" s="105"/>
      <c r="DX375" s="98"/>
      <c r="DY375" s="279"/>
      <c r="DZ375" s="52"/>
      <c r="EA375" s="105"/>
      <c r="EB375" s="98"/>
      <c r="EC375" s="279"/>
      <c r="ED375" s="52"/>
      <c r="EE375" s="105"/>
      <c r="EF375" s="98"/>
      <c r="EG375" s="159"/>
      <c r="EH375" s="277"/>
      <c r="EI375" s="50">
        <f t="shared" si="150"/>
        <v>0</v>
      </c>
      <c r="EJ375" s="103">
        <f t="shared" si="151"/>
        <v>0</v>
      </c>
      <c r="EK375" s="164">
        <f t="shared" si="152"/>
        <v>0</v>
      </c>
      <c r="EL375" s="280">
        <f t="shared" si="153"/>
        <v>0</v>
      </c>
      <c r="EM375" s="63">
        <f t="shared" si="154"/>
        <v>0</v>
      </c>
      <c r="EN375" s="359">
        <f t="shared" si="155"/>
        <v>0</v>
      </c>
      <c r="EO375" s="51">
        <f t="shared" si="156"/>
        <v>0</v>
      </c>
      <c r="EP375" s="361">
        <f t="shared" si="157"/>
        <v>0</v>
      </c>
      <c r="EQ375" s="281"/>
      <c r="ER375" s="277"/>
      <c r="ES375" s="281"/>
      <c r="ET375" s="277"/>
      <c r="EU375" s="281"/>
      <c r="EV375" s="277"/>
      <c r="EW375" s="281"/>
      <c r="EX375" s="277"/>
      <c r="EY375" s="281"/>
      <c r="EZ375" s="277"/>
      <c r="FA375" s="281"/>
      <c r="FB375" s="277"/>
      <c r="FC375" s="281"/>
      <c r="FD375" s="277"/>
      <c r="FE375" s="281"/>
      <c r="FF375" s="277"/>
      <c r="FG375" s="281"/>
      <c r="FH375" s="277"/>
      <c r="FI375" s="281"/>
      <c r="FJ375" s="277"/>
      <c r="FK375" s="50">
        <f t="shared" si="158"/>
        <v>0</v>
      </c>
      <c r="FL375" s="63">
        <f t="shared" si="159"/>
        <v>0</v>
      </c>
      <c r="FM375" s="50">
        <f t="shared" si="141"/>
        <v>674</v>
      </c>
      <c r="FN375" s="360">
        <f t="shared" si="142"/>
        <v>553</v>
      </c>
      <c r="FO375" s="3"/>
      <c r="FP375" s="279"/>
      <c r="FQ375" s="52"/>
      <c r="FR375" s="296"/>
      <c r="FS375" s="98"/>
      <c r="FT375" s="467"/>
      <c r="FU375" s="52"/>
      <c r="FV375" s="296"/>
      <c r="FW375" s="98"/>
      <c r="FX375" s="467"/>
      <c r="FY375" s="52"/>
      <c r="FZ375" s="296"/>
      <c r="GA375" s="98"/>
      <c r="GB375" s="467"/>
      <c r="GC375" s="52"/>
      <c r="GD375" s="296"/>
      <c r="GE375" s="98"/>
      <c r="GF375" s="467"/>
      <c r="GG375" s="52"/>
      <c r="GH375" s="296"/>
      <c r="GI375" s="98"/>
      <c r="GJ375" s="467"/>
      <c r="GK375" s="52"/>
      <c r="GL375" s="296"/>
      <c r="GM375" s="464"/>
      <c r="GN375" s="467"/>
      <c r="GO375" s="52"/>
      <c r="GP375" s="296"/>
      <c r="GQ375" s="464"/>
      <c r="GR375" s="467"/>
      <c r="GS375" s="52"/>
      <c r="GT375" s="296"/>
      <c r="GU375" s="464"/>
      <c r="GV375" s="467"/>
      <c r="GW375" s="52"/>
      <c r="GX375" s="296"/>
      <c r="GY375" s="464"/>
      <c r="GZ375" s="467"/>
      <c r="HA375" s="52"/>
      <c r="HB375" s="296"/>
      <c r="HC375" s="3"/>
    </row>
    <row r="376" spans="1:211" s="86" customFormat="1">
      <c r="A376" s="522" t="s">
        <v>984</v>
      </c>
      <c r="B376" s="318" t="s">
        <v>7</v>
      </c>
      <c r="C376" s="317">
        <v>198914</v>
      </c>
      <c r="D376" s="346">
        <v>9</v>
      </c>
      <c r="E376" s="460">
        <v>582</v>
      </c>
      <c r="F376" s="337">
        <v>247</v>
      </c>
      <c r="G376" s="158"/>
      <c r="H376" s="277"/>
      <c r="I376" s="158">
        <v>111</v>
      </c>
      <c r="J376" s="665">
        <v>99</v>
      </c>
      <c r="K376" s="160">
        <f t="shared" si="143"/>
        <v>0</v>
      </c>
      <c r="L376" s="161">
        <f t="shared" si="136"/>
        <v>0</v>
      </c>
      <c r="M376" s="54"/>
      <c r="N376" s="55"/>
      <c r="O376" s="55"/>
      <c r="P376" s="55"/>
      <c r="Q376" s="162">
        <f t="shared" si="144"/>
        <v>0</v>
      </c>
      <c r="R376" s="277"/>
      <c r="S376" s="277"/>
      <c r="T376" s="277"/>
      <c r="U376" s="277"/>
      <c r="V376" s="97">
        <f t="shared" si="145"/>
        <v>0</v>
      </c>
      <c r="W376" s="279"/>
      <c r="X376" s="52"/>
      <c r="Y376" s="99"/>
      <c r="Z376" s="53"/>
      <c r="AA376" s="228"/>
      <c r="AB376" s="52"/>
      <c r="AC376" s="99"/>
      <c r="AD376" s="53"/>
      <c r="AE376" s="228"/>
      <c r="AF376" s="52"/>
      <c r="AG376" s="99"/>
      <c r="AH376" s="53"/>
      <c r="AI376" s="228"/>
      <c r="AJ376" s="52"/>
      <c r="AK376" s="99"/>
      <c r="AL376" s="53"/>
      <c r="AM376" s="228"/>
      <c r="AN376" s="52"/>
      <c r="AO376" s="99"/>
      <c r="AP376" s="53"/>
      <c r="AQ376" s="50">
        <f t="shared" si="137"/>
        <v>0</v>
      </c>
      <c r="AR376" s="163">
        <f t="shared" si="138"/>
        <v>0</v>
      </c>
      <c r="AS376" s="97">
        <f t="shared" si="139"/>
        <v>0</v>
      </c>
      <c r="AT376" s="278">
        <f t="shared" si="140"/>
        <v>0</v>
      </c>
      <c r="AU376" s="55"/>
      <c r="AV376" s="277"/>
      <c r="AW376" s="279"/>
      <c r="AX376" s="52"/>
      <c r="AY376" s="105"/>
      <c r="AZ376" s="98"/>
      <c r="BA376" s="279"/>
      <c r="BB376" s="52"/>
      <c r="BC376" s="105"/>
      <c r="BD376" s="98"/>
      <c r="BE376" s="279"/>
      <c r="BF376" s="52"/>
      <c r="BG376" s="105"/>
      <c r="BH376" s="98"/>
      <c r="BI376" s="279"/>
      <c r="BJ376" s="52"/>
      <c r="BK376" s="105"/>
      <c r="BL376" s="98"/>
      <c r="BM376" s="279"/>
      <c r="BN376" s="52"/>
      <c r="BO376" s="105"/>
      <c r="BP376" s="98"/>
      <c r="BQ376" s="279"/>
      <c r="BR376" s="52"/>
      <c r="BS376" s="105"/>
      <c r="BT376" s="98"/>
      <c r="BU376" s="279"/>
      <c r="BV376" s="52"/>
      <c r="BW376" s="105"/>
      <c r="BX376" s="98"/>
      <c r="BY376" s="279"/>
      <c r="BZ376" s="52"/>
      <c r="CA376" s="105"/>
      <c r="CB376" s="98"/>
      <c r="CC376" s="279"/>
      <c r="CD376" s="52"/>
      <c r="CE376" s="105"/>
      <c r="CF376" s="98"/>
      <c r="CG376" s="279"/>
      <c r="CH376" s="52"/>
      <c r="CI376" s="105"/>
      <c r="CJ376" s="98"/>
      <c r="CK376" s="281"/>
      <c r="CL376" s="277"/>
      <c r="CM376" s="159"/>
      <c r="CN376" s="277"/>
      <c r="CO376" s="50">
        <f t="shared" si="146"/>
        <v>0</v>
      </c>
      <c r="CP376" s="103">
        <f t="shared" si="147"/>
        <v>0</v>
      </c>
      <c r="CQ376" s="280">
        <f t="shared" si="148"/>
        <v>0</v>
      </c>
      <c r="CR376" s="63">
        <f t="shared" si="149"/>
        <v>0</v>
      </c>
      <c r="CS376" s="279"/>
      <c r="CT376" s="52"/>
      <c r="CU376" s="105"/>
      <c r="CV376" s="98"/>
      <c r="CW376" s="279"/>
      <c r="CX376" s="52"/>
      <c r="CY376" s="105"/>
      <c r="CZ376" s="98"/>
      <c r="DA376" s="279"/>
      <c r="DB376" s="52"/>
      <c r="DC376" s="105"/>
      <c r="DD376" s="98"/>
      <c r="DE376" s="279"/>
      <c r="DF376" s="52"/>
      <c r="DG376" s="105"/>
      <c r="DH376" s="98"/>
      <c r="DI376" s="279"/>
      <c r="DJ376" s="52"/>
      <c r="DK376" s="105"/>
      <c r="DL376" s="98"/>
      <c r="DM376" s="279"/>
      <c r="DN376" s="52"/>
      <c r="DO376" s="105"/>
      <c r="DP376" s="98"/>
      <c r="DQ376" s="279"/>
      <c r="DR376" s="52"/>
      <c r="DS376" s="105"/>
      <c r="DT376" s="98"/>
      <c r="DU376" s="279"/>
      <c r="DV376" s="52"/>
      <c r="DW376" s="105"/>
      <c r="DX376" s="98"/>
      <c r="DY376" s="279"/>
      <c r="DZ376" s="52"/>
      <c r="EA376" s="105"/>
      <c r="EB376" s="98"/>
      <c r="EC376" s="279"/>
      <c r="ED376" s="52"/>
      <c r="EE376" s="105"/>
      <c r="EF376" s="98"/>
      <c r="EG376" s="159"/>
      <c r="EH376" s="277"/>
      <c r="EI376" s="50">
        <f t="shared" si="150"/>
        <v>0</v>
      </c>
      <c r="EJ376" s="103">
        <f t="shared" si="151"/>
        <v>0</v>
      </c>
      <c r="EK376" s="164">
        <f t="shared" si="152"/>
        <v>0</v>
      </c>
      <c r="EL376" s="280">
        <f t="shared" si="153"/>
        <v>0</v>
      </c>
      <c r="EM376" s="63">
        <f t="shared" si="154"/>
        <v>0</v>
      </c>
      <c r="EN376" s="359">
        <f t="shared" si="155"/>
        <v>0</v>
      </c>
      <c r="EO376" s="51">
        <f t="shared" si="156"/>
        <v>0</v>
      </c>
      <c r="EP376" s="361">
        <f t="shared" si="157"/>
        <v>0</v>
      </c>
      <c r="EQ376" s="281"/>
      <c r="ER376" s="277"/>
      <c r="ES376" s="281"/>
      <c r="ET376" s="277"/>
      <c r="EU376" s="281"/>
      <c r="EV376" s="277"/>
      <c r="EW376" s="281"/>
      <c r="EX376" s="277"/>
      <c r="EY376" s="281"/>
      <c r="EZ376" s="277"/>
      <c r="FA376" s="281"/>
      <c r="FB376" s="277"/>
      <c r="FC376" s="281"/>
      <c r="FD376" s="277"/>
      <c r="FE376" s="281"/>
      <c r="FF376" s="277"/>
      <c r="FG376" s="281"/>
      <c r="FH376" s="277"/>
      <c r="FI376" s="281"/>
      <c r="FJ376" s="277"/>
      <c r="FK376" s="50">
        <f t="shared" si="158"/>
        <v>0</v>
      </c>
      <c r="FL376" s="63">
        <f t="shared" si="159"/>
        <v>0</v>
      </c>
      <c r="FM376" s="50">
        <f t="shared" si="141"/>
        <v>693</v>
      </c>
      <c r="FN376" s="360">
        <f t="shared" si="142"/>
        <v>346</v>
      </c>
      <c r="FO376" s="3"/>
      <c r="FP376" s="279"/>
      <c r="FQ376" s="52"/>
      <c r="FR376" s="296"/>
      <c r="FS376" s="98"/>
      <c r="FT376" s="467"/>
      <c r="FU376" s="52"/>
      <c r="FV376" s="296"/>
      <c r="FW376" s="98"/>
      <c r="FX376" s="467"/>
      <c r="FY376" s="52"/>
      <c r="FZ376" s="296"/>
      <c r="GA376" s="98"/>
      <c r="GB376" s="467"/>
      <c r="GC376" s="52"/>
      <c r="GD376" s="296"/>
      <c r="GE376" s="98"/>
      <c r="GF376" s="467"/>
      <c r="GG376" s="52"/>
      <c r="GH376" s="296"/>
      <c r="GI376" s="98"/>
      <c r="GJ376" s="467"/>
      <c r="GK376" s="52"/>
      <c r="GL376" s="296"/>
      <c r="GM376" s="464"/>
      <c r="GN376" s="467"/>
      <c r="GO376" s="52"/>
      <c r="GP376" s="296"/>
      <c r="GQ376" s="464"/>
      <c r="GR376" s="467"/>
      <c r="GS376" s="52"/>
      <c r="GT376" s="296"/>
      <c r="GU376" s="464"/>
      <c r="GV376" s="467"/>
      <c r="GW376" s="52"/>
      <c r="GX376" s="296"/>
      <c r="GY376" s="464"/>
      <c r="GZ376" s="467"/>
      <c r="HA376" s="52"/>
      <c r="HB376" s="296"/>
      <c r="HC376" s="3"/>
    </row>
    <row r="377" spans="1:211" s="86" customFormat="1">
      <c r="A377" s="521" t="s">
        <v>984</v>
      </c>
      <c r="B377" s="318" t="s">
        <v>1011</v>
      </c>
      <c r="C377" s="317">
        <v>198987</v>
      </c>
      <c r="D377" s="346">
        <v>9</v>
      </c>
      <c r="E377" s="460">
        <v>121</v>
      </c>
      <c r="F377" s="337">
        <v>161</v>
      </c>
      <c r="G377" s="158"/>
      <c r="H377" s="277"/>
      <c r="I377" s="158">
        <v>210</v>
      </c>
      <c r="J377" s="665">
        <v>229</v>
      </c>
      <c r="K377" s="160">
        <f t="shared" si="143"/>
        <v>0</v>
      </c>
      <c r="L377" s="161">
        <f t="shared" si="136"/>
        <v>0</v>
      </c>
      <c r="M377" s="54"/>
      <c r="N377" s="55"/>
      <c r="O377" s="55"/>
      <c r="P377" s="55"/>
      <c r="Q377" s="162">
        <f t="shared" si="144"/>
        <v>0</v>
      </c>
      <c r="R377" s="277"/>
      <c r="S377" s="277"/>
      <c r="T377" s="277"/>
      <c r="U377" s="277"/>
      <c r="V377" s="97">
        <f t="shared" si="145"/>
        <v>0</v>
      </c>
      <c r="W377" s="279"/>
      <c r="X377" s="52"/>
      <c r="Y377" s="99"/>
      <c r="Z377" s="53"/>
      <c r="AA377" s="228"/>
      <c r="AB377" s="52"/>
      <c r="AC377" s="99"/>
      <c r="AD377" s="53"/>
      <c r="AE377" s="228"/>
      <c r="AF377" s="52"/>
      <c r="AG377" s="99"/>
      <c r="AH377" s="53"/>
      <c r="AI377" s="228"/>
      <c r="AJ377" s="52"/>
      <c r="AK377" s="99"/>
      <c r="AL377" s="53"/>
      <c r="AM377" s="228"/>
      <c r="AN377" s="52"/>
      <c r="AO377" s="99"/>
      <c r="AP377" s="53"/>
      <c r="AQ377" s="50">
        <f t="shared" si="137"/>
        <v>0</v>
      </c>
      <c r="AR377" s="163">
        <f t="shared" si="138"/>
        <v>0</v>
      </c>
      <c r="AS377" s="97">
        <f t="shared" si="139"/>
        <v>0</v>
      </c>
      <c r="AT377" s="278">
        <f t="shared" si="140"/>
        <v>0</v>
      </c>
      <c r="AU377" s="55"/>
      <c r="AV377" s="277"/>
      <c r="AW377" s="279"/>
      <c r="AX377" s="52"/>
      <c r="AY377" s="105"/>
      <c r="AZ377" s="98"/>
      <c r="BA377" s="279"/>
      <c r="BB377" s="52"/>
      <c r="BC377" s="105"/>
      <c r="BD377" s="98"/>
      <c r="BE377" s="279"/>
      <c r="BF377" s="52"/>
      <c r="BG377" s="105"/>
      <c r="BH377" s="98"/>
      <c r="BI377" s="279"/>
      <c r="BJ377" s="52"/>
      <c r="BK377" s="105"/>
      <c r="BL377" s="98"/>
      <c r="BM377" s="279"/>
      <c r="BN377" s="52"/>
      <c r="BO377" s="105"/>
      <c r="BP377" s="98"/>
      <c r="BQ377" s="279"/>
      <c r="BR377" s="52"/>
      <c r="BS377" s="105"/>
      <c r="BT377" s="98"/>
      <c r="BU377" s="279"/>
      <c r="BV377" s="52"/>
      <c r="BW377" s="105"/>
      <c r="BX377" s="98"/>
      <c r="BY377" s="279"/>
      <c r="BZ377" s="52"/>
      <c r="CA377" s="105"/>
      <c r="CB377" s="98"/>
      <c r="CC377" s="279"/>
      <c r="CD377" s="52"/>
      <c r="CE377" s="105"/>
      <c r="CF377" s="98"/>
      <c r="CG377" s="279"/>
      <c r="CH377" s="52"/>
      <c r="CI377" s="105"/>
      <c r="CJ377" s="98"/>
      <c r="CK377" s="281"/>
      <c r="CL377" s="277"/>
      <c r="CM377" s="159"/>
      <c r="CN377" s="277"/>
      <c r="CO377" s="50">
        <f t="shared" si="146"/>
        <v>0</v>
      </c>
      <c r="CP377" s="103">
        <f t="shared" si="147"/>
        <v>0</v>
      </c>
      <c r="CQ377" s="280">
        <f t="shared" si="148"/>
        <v>0</v>
      </c>
      <c r="CR377" s="63">
        <f t="shared" si="149"/>
        <v>0</v>
      </c>
      <c r="CS377" s="279"/>
      <c r="CT377" s="52"/>
      <c r="CU377" s="105"/>
      <c r="CV377" s="98"/>
      <c r="CW377" s="279"/>
      <c r="CX377" s="52"/>
      <c r="CY377" s="105"/>
      <c r="CZ377" s="98"/>
      <c r="DA377" s="279"/>
      <c r="DB377" s="52"/>
      <c r="DC377" s="105"/>
      <c r="DD377" s="98"/>
      <c r="DE377" s="279"/>
      <c r="DF377" s="52"/>
      <c r="DG377" s="105"/>
      <c r="DH377" s="98"/>
      <c r="DI377" s="279"/>
      <c r="DJ377" s="52"/>
      <c r="DK377" s="105"/>
      <c r="DL377" s="98"/>
      <c r="DM377" s="279"/>
      <c r="DN377" s="52"/>
      <c r="DO377" s="105"/>
      <c r="DP377" s="98"/>
      <c r="DQ377" s="279"/>
      <c r="DR377" s="52"/>
      <c r="DS377" s="105"/>
      <c r="DT377" s="98"/>
      <c r="DU377" s="279"/>
      <c r="DV377" s="52"/>
      <c r="DW377" s="105"/>
      <c r="DX377" s="98"/>
      <c r="DY377" s="279"/>
      <c r="DZ377" s="52"/>
      <c r="EA377" s="105"/>
      <c r="EB377" s="98"/>
      <c r="EC377" s="279"/>
      <c r="ED377" s="52"/>
      <c r="EE377" s="105"/>
      <c r="EF377" s="98"/>
      <c r="EG377" s="159"/>
      <c r="EH377" s="277"/>
      <c r="EI377" s="50">
        <f t="shared" si="150"/>
        <v>0</v>
      </c>
      <c r="EJ377" s="103">
        <f t="shared" si="151"/>
        <v>0</v>
      </c>
      <c r="EK377" s="164">
        <f t="shared" si="152"/>
        <v>0</v>
      </c>
      <c r="EL377" s="280">
        <f t="shared" si="153"/>
        <v>0</v>
      </c>
      <c r="EM377" s="63">
        <f t="shared" si="154"/>
        <v>0</v>
      </c>
      <c r="EN377" s="359">
        <f t="shared" si="155"/>
        <v>0</v>
      </c>
      <c r="EO377" s="51">
        <f t="shared" si="156"/>
        <v>0</v>
      </c>
      <c r="EP377" s="361">
        <f t="shared" si="157"/>
        <v>0</v>
      </c>
      <c r="EQ377" s="281"/>
      <c r="ER377" s="277"/>
      <c r="ES377" s="281"/>
      <c r="ET377" s="277"/>
      <c r="EU377" s="281"/>
      <c r="EV377" s="277"/>
      <c r="EW377" s="281"/>
      <c r="EX377" s="277"/>
      <c r="EY377" s="281"/>
      <c r="EZ377" s="277"/>
      <c r="FA377" s="281"/>
      <c r="FB377" s="277"/>
      <c r="FC377" s="281"/>
      <c r="FD377" s="277"/>
      <c r="FE377" s="281"/>
      <c r="FF377" s="277"/>
      <c r="FG377" s="281"/>
      <c r="FH377" s="277"/>
      <c r="FI377" s="281"/>
      <c r="FJ377" s="277"/>
      <c r="FK377" s="50">
        <f t="shared" si="158"/>
        <v>0</v>
      </c>
      <c r="FL377" s="63">
        <f t="shared" si="159"/>
        <v>0</v>
      </c>
      <c r="FM377" s="50">
        <f t="shared" si="141"/>
        <v>331</v>
      </c>
      <c r="FN377" s="360">
        <f t="shared" si="142"/>
        <v>390</v>
      </c>
      <c r="FO377" s="3"/>
      <c r="FP377" s="279"/>
      <c r="FQ377" s="52"/>
      <c r="FR377" s="296"/>
      <c r="FS377" s="98"/>
      <c r="FT377" s="467"/>
      <c r="FU377" s="52"/>
      <c r="FV377" s="296"/>
      <c r="FW377" s="98"/>
      <c r="FX377" s="467"/>
      <c r="FY377" s="52"/>
      <c r="FZ377" s="296"/>
      <c r="GA377" s="98"/>
      <c r="GB377" s="467"/>
      <c r="GC377" s="52"/>
      <c r="GD377" s="296"/>
      <c r="GE377" s="98"/>
      <c r="GF377" s="467"/>
      <c r="GG377" s="52"/>
      <c r="GH377" s="296"/>
      <c r="GI377" s="98"/>
      <c r="GJ377" s="467"/>
      <c r="GK377" s="52"/>
      <c r="GL377" s="296"/>
      <c r="GM377" s="464"/>
      <c r="GN377" s="467"/>
      <c r="GO377" s="52"/>
      <c r="GP377" s="296"/>
      <c r="GQ377" s="464"/>
      <c r="GR377" s="467"/>
      <c r="GS377" s="52"/>
      <c r="GT377" s="296"/>
      <c r="GU377" s="464"/>
      <c r="GV377" s="467"/>
      <c r="GW377" s="52"/>
      <c r="GX377" s="296"/>
      <c r="GY377" s="464"/>
      <c r="GZ377" s="467"/>
      <c r="HA377" s="52"/>
      <c r="HB377" s="296"/>
      <c r="HC377" s="3"/>
    </row>
    <row r="378" spans="1:211" s="86" customFormat="1">
      <c r="A378" s="521" t="s">
        <v>984</v>
      </c>
      <c r="B378" s="318" t="s">
        <v>1012</v>
      </c>
      <c r="C378" s="317">
        <v>199087</v>
      </c>
      <c r="D378" s="346">
        <v>9</v>
      </c>
      <c r="E378" s="460">
        <v>114</v>
      </c>
      <c r="F378" s="337">
        <v>152</v>
      </c>
      <c r="G378" s="158"/>
      <c r="H378" s="277"/>
      <c r="I378" s="158">
        <v>214</v>
      </c>
      <c r="J378" s="665">
        <v>201</v>
      </c>
      <c r="K378" s="160">
        <f t="shared" si="143"/>
        <v>0</v>
      </c>
      <c r="L378" s="161">
        <f t="shared" si="136"/>
        <v>0</v>
      </c>
      <c r="M378" s="54"/>
      <c r="N378" s="55"/>
      <c r="O378" s="55"/>
      <c r="P378" s="55"/>
      <c r="Q378" s="162">
        <f t="shared" si="144"/>
        <v>0</v>
      </c>
      <c r="R378" s="277"/>
      <c r="S378" s="277"/>
      <c r="T378" s="277"/>
      <c r="U378" s="277"/>
      <c r="V378" s="97">
        <f t="shared" si="145"/>
        <v>0</v>
      </c>
      <c r="W378" s="279"/>
      <c r="X378" s="52"/>
      <c r="Y378" s="99"/>
      <c r="Z378" s="53"/>
      <c r="AA378" s="228"/>
      <c r="AB378" s="52"/>
      <c r="AC378" s="99"/>
      <c r="AD378" s="53"/>
      <c r="AE378" s="228"/>
      <c r="AF378" s="52"/>
      <c r="AG378" s="99"/>
      <c r="AH378" s="53"/>
      <c r="AI378" s="228"/>
      <c r="AJ378" s="52"/>
      <c r="AK378" s="99"/>
      <c r="AL378" s="53"/>
      <c r="AM378" s="228"/>
      <c r="AN378" s="52"/>
      <c r="AO378" s="99"/>
      <c r="AP378" s="53"/>
      <c r="AQ378" s="50">
        <f t="shared" si="137"/>
        <v>0</v>
      </c>
      <c r="AR378" s="163">
        <f t="shared" si="138"/>
        <v>0</v>
      </c>
      <c r="AS378" s="97">
        <f t="shared" si="139"/>
        <v>0</v>
      </c>
      <c r="AT378" s="278">
        <f t="shared" si="140"/>
        <v>0</v>
      </c>
      <c r="AU378" s="55"/>
      <c r="AV378" s="277"/>
      <c r="AW378" s="279"/>
      <c r="AX378" s="52"/>
      <c r="AY378" s="105"/>
      <c r="AZ378" s="98"/>
      <c r="BA378" s="279"/>
      <c r="BB378" s="52"/>
      <c r="BC378" s="105"/>
      <c r="BD378" s="98"/>
      <c r="BE378" s="279"/>
      <c r="BF378" s="52"/>
      <c r="BG378" s="105"/>
      <c r="BH378" s="98"/>
      <c r="BI378" s="279"/>
      <c r="BJ378" s="52"/>
      <c r="BK378" s="105"/>
      <c r="BL378" s="98"/>
      <c r="BM378" s="279"/>
      <c r="BN378" s="52"/>
      <c r="BO378" s="105"/>
      <c r="BP378" s="98"/>
      <c r="BQ378" s="279"/>
      <c r="BR378" s="52"/>
      <c r="BS378" s="105"/>
      <c r="BT378" s="98"/>
      <c r="BU378" s="279"/>
      <c r="BV378" s="52"/>
      <c r="BW378" s="105"/>
      <c r="BX378" s="98"/>
      <c r="BY378" s="279"/>
      <c r="BZ378" s="52"/>
      <c r="CA378" s="105"/>
      <c r="CB378" s="98"/>
      <c r="CC378" s="279"/>
      <c r="CD378" s="52"/>
      <c r="CE378" s="105"/>
      <c r="CF378" s="98"/>
      <c r="CG378" s="279"/>
      <c r="CH378" s="52"/>
      <c r="CI378" s="105"/>
      <c r="CJ378" s="98"/>
      <c r="CK378" s="281"/>
      <c r="CL378" s="277"/>
      <c r="CM378" s="159"/>
      <c r="CN378" s="277"/>
      <c r="CO378" s="50">
        <f t="shared" si="146"/>
        <v>0</v>
      </c>
      <c r="CP378" s="103">
        <f t="shared" si="147"/>
        <v>0</v>
      </c>
      <c r="CQ378" s="280">
        <f t="shared" si="148"/>
        <v>0</v>
      </c>
      <c r="CR378" s="63">
        <f t="shared" si="149"/>
        <v>0</v>
      </c>
      <c r="CS378" s="279"/>
      <c r="CT378" s="52"/>
      <c r="CU378" s="105"/>
      <c r="CV378" s="98"/>
      <c r="CW378" s="279"/>
      <c r="CX378" s="52"/>
      <c r="CY378" s="105"/>
      <c r="CZ378" s="98"/>
      <c r="DA378" s="279"/>
      <c r="DB378" s="52"/>
      <c r="DC378" s="105"/>
      <c r="DD378" s="98"/>
      <c r="DE378" s="279"/>
      <c r="DF378" s="52"/>
      <c r="DG378" s="105"/>
      <c r="DH378" s="98"/>
      <c r="DI378" s="279"/>
      <c r="DJ378" s="52"/>
      <c r="DK378" s="105"/>
      <c r="DL378" s="98"/>
      <c r="DM378" s="279"/>
      <c r="DN378" s="52"/>
      <c r="DO378" s="105"/>
      <c r="DP378" s="98"/>
      <c r="DQ378" s="279"/>
      <c r="DR378" s="52"/>
      <c r="DS378" s="105"/>
      <c r="DT378" s="98"/>
      <c r="DU378" s="279"/>
      <c r="DV378" s="52"/>
      <c r="DW378" s="105"/>
      <c r="DX378" s="98"/>
      <c r="DY378" s="279"/>
      <c r="DZ378" s="52"/>
      <c r="EA378" s="105"/>
      <c r="EB378" s="98"/>
      <c r="EC378" s="279"/>
      <c r="ED378" s="52"/>
      <c r="EE378" s="105"/>
      <c r="EF378" s="98"/>
      <c r="EG378" s="159"/>
      <c r="EH378" s="277"/>
      <c r="EI378" s="50">
        <f t="shared" si="150"/>
        <v>0</v>
      </c>
      <c r="EJ378" s="103">
        <f t="shared" si="151"/>
        <v>0</v>
      </c>
      <c r="EK378" s="164">
        <f t="shared" si="152"/>
        <v>0</v>
      </c>
      <c r="EL378" s="280">
        <f t="shared" si="153"/>
        <v>0</v>
      </c>
      <c r="EM378" s="63">
        <f t="shared" si="154"/>
        <v>0</v>
      </c>
      <c r="EN378" s="359">
        <f t="shared" si="155"/>
        <v>0</v>
      </c>
      <c r="EO378" s="51">
        <f t="shared" si="156"/>
        <v>0</v>
      </c>
      <c r="EP378" s="361">
        <f t="shared" si="157"/>
        <v>0</v>
      </c>
      <c r="EQ378" s="281"/>
      <c r="ER378" s="277"/>
      <c r="ES378" s="281"/>
      <c r="ET378" s="277"/>
      <c r="EU378" s="281"/>
      <c r="EV378" s="277"/>
      <c r="EW378" s="281"/>
      <c r="EX378" s="277"/>
      <c r="EY378" s="281"/>
      <c r="EZ378" s="277"/>
      <c r="FA378" s="281"/>
      <c r="FB378" s="277"/>
      <c r="FC378" s="281"/>
      <c r="FD378" s="277"/>
      <c r="FE378" s="281"/>
      <c r="FF378" s="277"/>
      <c r="FG378" s="281"/>
      <c r="FH378" s="277"/>
      <c r="FI378" s="281"/>
      <c r="FJ378" s="277"/>
      <c r="FK378" s="50">
        <f t="shared" si="158"/>
        <v>0</v>
      </c>
      <c r="FL378" s="63">
        <f t="shared" si="159"/>
        <v>0</v>
      </c>
      <c r="FM378" s="50">
        <f t="shared" si="141"/>
        <v>328</v>
      </c>
      <c r="FN378" s="360">
        <f t="shared" si="142"/>
        <v>353</v>
      </c>
      <c r="FO378" s="3"/>
      <c r="FP378" s="279"/>
      <c r="FQ378" s="52"/>
      <c r="FR378" s="296"/>
      <c r="FS378" s="98"/>
      <c r="FT378" s="467"/>
      <c r="FU378" s="52"/>
      <c r="FV378" s="296"/>
      <c r="FW378" s="98"/>
      <c r="FX378" s="467"/>
      <c r="FY378" s="52"/>
      <c r="FZ378" s="296"/>
      <c r="GA378" s="98"/>
      <c r="GB378" s="467"/>
      <c r="GC378" s="52"/>
      <c r="GD378" s="296"/>
      <c r="GE378" s="98"/>
      <c r="GF378" s="467"/>
      <c r="GG378" s="52"/>
      <c r="GH378" s="296"/>
      <c r="GI378" s="98"/>
      <c r="GJ378" s="467"/>
      <c r="GK378" s="52"/>
      <c r="GL378" s="296"/>
      <c r="GM378" s="464"/>
      <c r="GN378" s="467"/>
      <c r="GO378" s="52"/>
      <c r="GP378" s="296"/>
      <c r="GQ378" s="464"/>
      <c r="GR378" s="467"/>
      <c r="GS378" s="52"/>
      <c r="GT378" s="296"/>
      <c r="GU378" s="464"/>
      <c r="GV378" s="467"/>
      <c r="GW378" s="52"/>
      <c r="GX378" s="296"/>
      <c r="GY378" s="464"/>
      <c r="GZ378" s="467"/>
      <c r="HA378" s="52"/>
      <c r="HB378" s="296"/>
      <c r="HC378" s="3"/>
    </row>
    <row r="379" spans="1:211" s="86" customFormat="1">
      <c r="A379" s="521" t="s">
        <v>984</v>
      </c>
      <c r="B379" s="318" t="s">
        <v>1013</v>
      </c>
      <c r="C379" s="317">
        <v>199324</v>
      </c>
      <c r="D379" s="346">
        <v>9</v>
      </c>
      <c r="E379" s="460">
        <v>457</v>
      </c>
      <c r="F379" s="337">
        <v>466</v>
      </c>
      <c r="G379" s="158"/>
      <c r="H379" s="277"/>
      <c r="I379" s="158">
        <v>206</v>
      </c>
      <c r="J379" s="665">
        <v>202</v>
      </c>
      <c r="K379" s="160">
        <f t="shared" si="143"/>
        <v>0</v>
      </c>
      <c r="L379" s="161">
        <f t="shared" si="136"/>
        <v>0</v>
      </c>
      <c r="M379" s="54"/>
      <c r="N379" s="55"/>
      <c r="O379" s="55"/>
      <c r="P379" s="55"/>
      <c r="Q379" s="162">
        <f t="shared" si="144"/>
        <v>0</v>
      </c>
      <c r="R379" s="277"/>
      <c r="S379" s="277"/>
      <c r="T379" s="277"/>
      <c r="U379" s="277"/>
      <c r="V379" s="97">
        <f t="shared" si="145"/>
        <v>0</v>
      </c>
      <c r="W379" s="279"/>
      <c r="X379" s="52"/>
      <c r="Y379" s="99"/>
      <c r="Z379" s="53"/>
      <c r="AA379" s="228"/>
      <c r="AB379" s="52"/>
      <c r="AC379" s="99"/>
      <c r="AD379" s="53"/>
      <c r="AE379" s="228"/>
      <c r="AF379" s="52"/>
      <c r="AG379" s="99"/>
      <c r="AH379" s="53"/>
      <c r="AI379" s="228"/>
      <c r="AJ379" s="52"/>
      <c r="AK379" s="99"/>
      <c r="AL379" s="53"/>
      <c r="AM379" s="228"/>
      <c r="AN379" s="52"/>
      <c r="AO379" s="99"/>
      <c r="AP379" s="53"/>
      <c r="AQ379" s="50">
        <f t="shared" si="137"/>
        <v>0</v>
      </c>
      <c r="AR379" s="163">
        <f t="shared" si="138"/>
        <v>0</v>
      </c>
      <c r="AS379" s="97">
        <f t="shared" si="139"/>
        <v>0</v>
      </c>
      <c r="AT379" s="278">
        <f t="shared" si="140"/>
        <v>0</v>
      </c>
      <c r="AU379" s="55"/>
      <c r="AV379" s="277"/>
      <c r="AW379" s="279"/>
      <c r="AX379" s="52"/>
      <c r="AY379" s="105"/>
      <c r="AZ379" s="98"/>
      <c r="BA379" s="279"/>
      <c r="BB379" s="52"/>
      <c r="BC379" s="105"/>
      <c r="BD379" s="98"/>
      <c r="BE379" s="279"/>
      <c r="BF379" s="52"/>
      <c r="BG379" s="105"/>
      <c r="BH379" s="98"/>
      <c r="BI379" s="279"/>
      <c r="BJ379" s="52"/>
      <c r="BK379" s="105"/>
      <c r="BL379" s="98"/>
      <c r="BM379" s="279"/>
      <c r="BN379" s="52"/>
      <c r="BO379" s="105"/>
      <c r="BP379" s="98"/>
      <c r="BQ379" s="279"/>
      <c r="BR379" s="52"/>
      <c r="BS379" s="105"/>
      <c r="BT379" s="98"/>
      <c r="BU379" s="279"/>
      <c r="BV379" s="52"/>
      <c r="BW379" s="105"/>
      <c r="BX379" s="98"/>
      <c r="BY379" s="279"/>
      <c r="BZ379" s="52"/>
      <c r="CA379" s="105"/>
      <c r="CB379" s="98"/>
      <c r="CC379" s="279"/>
      <c r="CD379" s="52"/>
      <c r="CE379" s="105"/>
      <c r="CF379" s="98"/>
      <c r="CG379" s="279"/>
      <c r="CH379" s="52"/>
      <c r="CI379" s="105"/>
      <c r="CJ379" s="98"/>
      <c r="CK379" s="281"/>
      <c r="CL379" s="277"/>
      <c r="CM379" s="159"/>
      <c r="CN379" s="277"/>
      <c r="CO379" s="50">
        <f t="shared" si="146"/>
        <v>0</v>
      </c>
      <c r="CP379" s="103">
        <f t="shared" si="147"/>
        <v>0</v>
      </c>
      <c r="CQ379" s="280">
        <f t="shared" si="148"/>
        <v>0</v>
      </c>
      <c r="CR379" s="63">
        <f t="shared" si="149"/>
        <v>0</v>
      </c>
      <c r="CS379" s="279"/>
      <c r="CT379" s="52"/>
      <c r="CU379" s="105"/>
      <c r="CV379" s="98"/>
      <c r="CW379" s="279"/>
      <c r="CX379" s="52"/>
      <c r="CY379" s="105"/>
      <c r="CZ379" s="98"/>
      <c r="DA379" s="279"/>
      <c r="DB379" s="52"/>
      <c r="DC379" s="105"/>
      <c r="DD379" s="98"/>
      <c r="DE379" s="279"/>
      <c r="DF379" s="52"/>
      <c r="DG379" s="105"/>
      <c r="DH379" s="98"/>
      <c r="DI379" s="279"/>
      <c r="DJ379" s="52"/>
      <c r="DK379" s="105"/>
      <c r="DL379" s="98"/>
      <c r="DM379" s="279"/>
      <c r="DN379" s="52"/>
      <c r="DO379" s="105"/>
      <c r="DP379" s="98"/>
      <c r="DQ379" s="279"/>
      <c r="DR379" s="52"/>
      <c r="DS379" s="105"/>
      <c r="DT379" s="98"/>
      <c r="DU379" s="279"/>
      <c r="DV379" s="52"/>
      <c r="DW379" s="105"/>
      <c r="DX379" s="98"/>
      <c r="DY379" s="279"/>
      <c r="DZ379" s="52"/>
      <c r="EA379" s="105"/>
      <c r="EB379" s="98"/>
      <c r="EC379" s="279"/>
      <c r="ED379" s="52"/>
      <c r="EE379" s="105"/>
      <c r="EF379" s="98"/>
      <c r="EG379" s="159"/>
      <c r="EH379" s="277"/>
      <c r="EI379" s="50">
        <f t="shared" si="150"/>
        <v>0</v>
      </c>
      <c r="EJ379" s="103">
        <f t="shared" si="151"/>
        <v>0</v>
      </c>
      <c r="EK379" s="164">
        <f t="shared" si="152"/>
        <v>0</v>
      </c>
      <c r="EL379" s="280">
        <f t="shared" si="153"/>
        <v>0</v>
      </c>
      <c r="EM379" s="63">
        <f t="shared" si="154"/>
        <v>0</v>
      </c>
      <c r="EN379" s="359">
        <f t="shared" si="155"/>
        <v>0</v>
      </c>
      <c r="EO379" s="51">
        <f t="shared" si="156"/>
        <v>0</v>
      </c>
      <c r="EP379" s="361">
        <f t="shared" si="157"/>
        <v>0</v>
      </c>
      <c r="EQ379" s="281"/>
      <c r="ER379" s="277"/>
      <c r="ES379" s="281"/>
      <c r="ET379" s="277"/>
      <c r="EU379" s="281"/>
      <c r="EV379" s="277"/>
      <c r="EW379" s="281"/>
      <c r="EX379" s="277"/>
      <c r="EY379" s="281"/>
      <c r="EZ379" s="277"/>
      <c r="FA379" s="281"/>
      <c r="FB379" s="277"/>
      <c r="FC379" s="281"/>
      <c r="FD379" s="277"/>
      <c r="FE379" s="281"/>
      <c r="FF379" s="277"/>
      <c r="FG379" s="281"/>
      <c r="FH379" s="277"/>
      <c r="FI379" s="281"/>
      <c r="FJ379" s="277"/>
      <c r="FK379" s="50">
        <f t="shared" si="158"/>
        <v>0</v>
      </c>
      <c r="FL379" s="63">
        <f t="shared" si="159"/>
        <v>0</v>
      </c>
      <c r="FM379" s="50">
        <f t="shared" si="141"/>
        <v>663</v>
      </c>
      <c r="FN379" s="360">
        <f t="shared" si="142"/>
        <v>668</v>
      </c>
      <c r="FO379" s="3"/>
      <c r="FP379" s="279"/>
      <c r="FQ379" s="52"/>
      <c r="FR379" s="296"/>
      <c r="FS379" s="98"/>
      <c r="FT379" s="467"/>
      <c r="FU379" s="52"/>
      <c r="FV379" s="296"/>
      <c r="FW379" s="98"/>
      <c r="FX379" s="467"/>
      <c r="FY379" s="52"/>
      <c r="FZ379" s="296"/>
      <c r="GA379" s="98"/>
      <c r="GB379" s="467"/>
      <c r="GC379" s="52"/>
      <c r="GD379" s="296"/>
      <c r="GE379" s="98"/>
      <c r="GF379" s="467"/>
      <c r="GG379" s="52"/>
      <c r="GH379" s="296"/>
      <c r="GI379" s="98"/>
      <c r="GJ379" s="467"/>
      <c r="GK379" s="52"/>
      <c r="GL379" s="296"/>
      <c r="GM379" s="464"/>
      <c r="GN379" s="467"/>
      <c r="GO379" s="52"/>
      <c r="GP379" s="296"/>
      <c r="GQ379" s="464"/>
      <c r="GR379" s="467"/>
      <c r="GS379" s="52"/>
      <c r="GT379" s="296"/>
      <c r="GU379" s="464"/>
      <c r="GV379" s="467"/>
      <c r="GW379" s="52"/>
      <c r="GX379" s="296"/>
      <c r="GY379" s="464"/>
      <c r="GZ379" s="467"/>
      <c r="HA379" s="52"/>
      <c r="HB379" s="296"/>
      <c r="HC379" s="3"/>
    </row>
    <row r="380" spans="1:211" s="86" customFormat="1">
      <c r="A380" s="521" t="s">
        <v>984</v>
      </c>
      <c r="B380" s="318" t="s">
        <v>1014</v>
      </c>
      <c r="C380" s="317">
        <v>199421</v>
      </c>
      <c r="D380" s="346">
        <v>9</v>
      </c>
      <c r="E380" s="460">
        <v>68</v>
      </c>
      <c r="F380" s="337">
        <v>49</v>
      </c>
      <c r="G380" s="158"/>
      <c r="H380" s="277"/>
      <c r="I380" s="158">
        <v>219</v>
      </c>
      <c r="J380" s="665">
        <v>218</v>
      </c>
      <c r="K380" s="160">
        <f t="shared" si="143"/>
        <v>0</v>
      </c>
      <c r="L380" s="161">
        <f t="shared" si="136"/>
        <v>0</v>
      </c>
      <c r="M380" s="54"/>
      <c r="N380" s="55"/>
      <c r="O380" s="55"/>
      <c r="P380" s="55"/>
      <c r="Q380" s="162">
        <f t="shared" si="144"/>
        <v>0</v>
      </c>
      <c r="R380" s="277"/>
      <c r="S380" s="277"/>
      <c r="T380" s="277"/>
      <c r="U380" s="277"/>
      <c r="V380" s="97">
        <f t="shared" si="145"/>
        <v>0</v>
      </c>
      <c r="W380" s="279"/>
      <c r="X380" s="52"/>
      <c r="Y380" s="99"/>
      <c r="Z380" s="53"/>
      <c r="AA380" s="228"/>
      <c r="AB380" s="52"/>
      <c r="AC380" s="99"/>
      <c r="AD380" s="53"/>
      <c r="AE380" s="228"/>
      <c r="AF380" s="52"/>
      <c r="AG380" s="99"/>
      <c r="AH380" s="53"/>
      <c r="AI380" s="228"/>
      <c r="AJ380" s="52"/>
      <c r="AK380" s="99"/>
      <c r="AL380" s="53"/>
      <c r="AM380" s="228"/>
      <c r="AN380" s="52"/>
      <c r="AO380" s="99"/>
      <c r="AP380" s="53"/>
      <c r="AQ380" s="50">
        <f t="shared" si="137"/>
        <v>0</v>
      </c>
      <c r="AR380" s="163">
        <f t="shared" si="138"/>
        <v>0</v>
      </c>
      <c r="AS380" s="97">
        <f t="shared" si="139"/>
        <v>0</v>
      </c>
      <c r="AT380" s="278">
        <f t="shared" si="140"/>
        <v>0</v>
      </c>
      <c r="AU380" s="55"/>
      <c r="AV380" s="277"/>
      <c r="AW380" s="279"/>
      <c r="AX380" s="52"/>
      <c r="AY380" s="105"/>
      <c r="AZ380" s="98"/>
      <c r="BA380" s="279"/>
      <c r="BB380" s="52"/>
      <c r="BC380" s="105"/>
      <c r="BD380" s="98"/>
      <c r="BE380" s="279"/>
      <c r="BF380" s="52"/>
      <c r="BG380" s="105"/>
      <c r="BH380" s="98"/>
      <c r="BI380" s="279"/>
      <c r="BJ380" s="52"/>
      <c r="BK380" s="105"/>
      <c r="BL380" s="98"/>
      <c r="BM380" s="279"/>
      <c r="BN380" s="52"/>
      <c r="BO380" s="105"/>
      <c r="BP380" s="98"/>
      <c r="BQ380" s="279"/>
      <c r="BR380" s="52"/>
      <c r="BS380" s="105"/>
      <c r="BT380" s="98"/>
      <c r="BU380" s="279"/>
      <c r="BV380" s="52"/>
      <c r="BW380" s="105"/>
      <c r="BX380" s="98"/>
      <c r="BY380" s="279"/>
      <c r="BZ380" s="52"/>
      <c r="CA380" s="105"/>
      <c r="CB380" s="98"/>
      <c r="CC380" s="279"/>
      <c r="CD380" s="52"/>
      <c r="CE380" s="105"/>
      <c r="CF380" s="98"/>
      <c r="CG380" s="279"/>
      <c r="CH380" s="52"/>
      <c r="CI380" s="105"/>
      <c r="CJ380" s="98"/>
      <c r="CK380" s="281"/>
      <c r="CL380" s="277"/>
      <c r="CM380" s="159"/>
      <c r="CN380" s="277"/>
      <c r="CO380" s="50">
        <f t="shared" si="146"/>
        <v>0</v>
      </c>
      <c r="CP380" s="103">
        <f t="shared" si="147"/>
        <v>0</v>
      </c>
      <c r="CQ380" s="280">
        <f t="shared" si="148"/>
        <v>0</v>
      </c>
      <c r="CR380" s="63">
        <f t="shared" si="149"/>
        <v>0</v>
      </c>
      <c r="CS380" s="279"/>
      <c r="CT380" s="52"/>
      <c r="CU380" s="105"/>
      <c r="CV380" s="98"/>
      <c r="CW380" s="279"/>
      <c r="CX380" s="52"/>
      <c r="CY380" s="105"/>
      <c r="CZ380" s="98"/>
      <c r="DA380" s="279"/>
      <c r="DB380" s="52"/>
      <c r="DC380" s="105"/>
      <c r="DD380" s="98"/>
      <c r="DE380" s="279"/>
      <c r="DF380" s="52"/>
      <c r="DG380" s="105"/>
      <c r="DH380" s="98"/>
      <c r="DI380" s="279"/>
      <c r="DJ380" s="52"/>
      <c r="DK380" s="105"/>
      <c r="DL380" s="98"/>
      <c r="DM380" s="279"/>
      <c r="DN380" s="52"/>
      <c r="DO380" s="105"/>
      <c r="DP380" s="98"/>
      <c r="DQ380" s="279"/>
      <c r="DR380" s="52"/>
      <c r="DS380" s="105"/>
      <c r="DT380" s="98"/>
      <c r="DU380" s="279"/>
      <c r="DV380" s="52"/>
      <c r="DW380" s="105"/>
      <c r="DX380" s="98"/>
      <c r="DY380" s="279"/>
      <c r="DZ380" s="52"/>
      <c r="EA380" s="105"/>
      <c r="EB380" s="98"/>
      <c r="EC380" s="279"/>
      <c r="ED380" s="52"/>
      <c r="EE380" s="105"/>
      <c r="EF380" s="98"/>
      <c r="EG380" s="159"/>
      <c r="EH380" s="277"/>
      <c r="EI380" s="50">
        <f t="shared" si="150"/>
        <v>0</v>
      </c>
      <c r="EJ380" s="103">
        <f t="shared" si="151"/>
        <v>0</v>
      </c>
      <c r="EK380" s="164">
        <f t="shared" si="152"/>
        <v>0</v>
      </c>
      <c r="EL380" s="280">
        <f t="shared" si="153"/>
        <v>0</v>
      </c>
      <c r="EM380" s="63">
        <f t="shared" si="154"/>
        <v>0</v>
      </c>
      <c r="EN380" s="359">
        <f t="shared" si="155"/>
        <v>0</v>
      </c>
      <c r="EO380" s="51">
        <f t="shared" si="156"/>
        <v>0</v>
      </c>
      <c r="EP380" s="361">
        <f t="shared" si="157"/>
        <v>0</v>
      </c>
      <c r="EQ380" s="281"/>
      <c r="ER380" s="277"/>
      <c r="ES380" s="281"/>
      <c r="ET380" s="277"/>
      <c r="EU380" s="281"/>
      <c r="EV380" s="277"/>
      <c r="EW380" s="281"/>
      <c r="EX380" s="277"/>
      <c r="EY380" s="281"/>
      <c r="EZ380" s="277"/>
      <c r="FA380" s="281"/>
      <c r="FB380" s="277"/>
      <c r="FC380" s="281"/>
      <c r="FD380" s="277"/>
      <c r="FE380" s="281"/>
      <c r="FF380" s="277"/>
      <c r="FG380" s="281"/>
      <c r="FH380" s="277"/>
      <c r="FI380" s="281"/>
      <c r="FJ380" s="277"/>
      <c r="FK380" s="50">
        <f t="shared" si="158"/>
        <v>0</v>
      </c>
      <c r="FL380" s="63">
        <f t="shared" si="159"/>
        <v>0</v>
      </c>
      <c r="FM380" s="50">
        <f t="shared" si="141"/>
        <v>287</v>
      </c>
      <c r="FN380" s="360">
        <f t="shared" si="142"/>
        <v>267</v>
      </c>
      <c r="FO380" s="3"/>
      <c r="FP380" s="279"/>
      <c r="FQ380" s="52"/>
      <c r="FR380" s="296"/>
      <c r="FS380" s="98"/>
      <c r="FT380" s="467"/>
      <c r="FU380" s="52"/>
      <c r="FV380" s="296"/>
      <c r="FW380" s="98"/>
      <c r="FX380" s="467"/>
      <c r="FY380" s="52"/>
      <c r="FZ380" s="296"/>
      <c r="GA380" s="98"/>
      <c r="GB380" s="467"/>
      <c r="GC380" s="52"/>
      <c r="GD380" s="296"/>
      <c r="GE380" s="98"/>
      <c r="GF380" s="467"/>
      <c r="GG380" s="52"/>
      <c r="GH380" s="296"/>
      <c r="GI380" s="98"/>
      <c r="GJ380" s="467"/>
      <c r="GK380" s="52"/>
      <c r="GL380" s="296"/>
      <c r="GM380" s="464"/>
      <c r="GN380" s="467"/>
      <c r="GO380" s="52"/>
      <c r="GP380" s="296"/>
      <c r="GQ380" s="464"/>
      <c r="GR380" s="467"/>
      <c r="GS380" s="52"/>
      <c r="GT380" s="296"/>
      <c r="GU380" s="464"/>
      <c r="GV380" s="467"/>
      <c r="GW380" s="52"/>
      <c r="GX380" s="296"/>
      <c r="GY380" s="464"/>
      <c r="GZ380" s="467"/>
      <c r="HA380" s="52"/>
      <c r="HB380" s="296"/>
      <c r="HC380" s="3"/>
    </row>
    <row r="381" spans="1:211" s="86" customFormat="1">
      <c r="A381" s="521" t="s">
        <v>984</v>
      </c>
      <c r="B381" s="318" t="s">
        <v>1015</v>
      </c>
      <c r="C381" s="317">
        <v>199449</v>
      </c>
      <c r="D381" s="346">
        <v>9</v>
      </c>
      <c r="E381" s="460">
        <v>79</v>
      </c>
      <c r="F381" s="337">
        <v>34</v>
      </c>
      <c r="G381" s="158"/>
      <c r="H381" s="277"/>
      <c r="I381" s="158">
        <v>176</v>
      </c>
      <c r="J381" s="665">
        <v>175</v>
      </c>
      <c r="K381" s="160">
        <f t="shared" si="143"/>
        <v>0</v>
      </c>
      <c r="L381" s="161">
        <f t="shared" si="136"/>
        <v>0</v>
      </c>
      <c r="M381" s="54"/>
      <c r="N381" s="55"/>
      <c r="O381" s="55"/>
      <c r="P381" s="55"/>
      <c r="Q381" s="162">
        <f t="shared" si="144"/>
        <v>0</v>
      </c>
      <c r="R381" s="277"/>
      <c r="S381" s="277"/>
      <c r="T381" s="277"/>
      <c r="U381" s="277"/>
      <c r="V381" s="97">
        <f t="shared" si="145"/>
        <v>0</v>
      </c>
      <c r="W381" s="279"/>
      <c r="X381" s="52"/>
      <c r="Y381" s="99"/>
      <c r="Z381" s="53"/>
      <c r="AA381" s="228"/>
      <c r="AB381" s="52"/>
      <c r="AC381" s="99"/>
      <c r="AD381" s="53"/>
      <c r="AE381" s="228"/>
      <c r="AF381" s="52"/>
      <c r="AG381" s="99"/>
      <c r="AH381" s="53"/>
      <c r="AI381" s="228"/>
      <c r="AJ381" s="52"/>
      <c r="AK381" s="99"/>
      <c r="AL381" s="53"/>
      <c r="AM381" s="228"/>
      <c r="AN381" s="52"/>
      <c r="AO381" s="99"/>
      <c r="AP381" s="53"/>
      <c r="AQ381" s="50">
        <f t="shared" si="137"/>
        <v>0</v>
      </c>
      <c r="AR381" s="163">
        <f t="shared" si="138"/>
        <v>0</v>
      </c>
      <c r="AS381" s="97">
        <f t="shared" si="139"/>
        <v>0</v>
      </c>
      <c r="AT381" s="278">
        <f t="shared" si="140"/>
        <v>0</v>
      </c>
      <c r="AU381" s="55"/>
      <c r="AV381" s="277"/>
      <c r="AW381" s="279"/>
      <c r="AX381" s="52"/>
      <c r="AY381" s="105"/>
      <c r="AZ381" s="98"/>
      <c r="BA381" s="279"/>
      <c r="BB381" s="52"/>
      <c r="BC381" s="105"/>
      <c r="BD381" s="98"/>
      <c r="BE381" s="279"/>
      <c r="BF381" s="52"/>
      <c r="BG381" s="105"/>
      <c r="BH381" s="98"/>
      <c r="BI381" s="279"/>
      <c r="BJ381" s="52"/>
      <c r="BK381" s="105"/>
      <c r="BL381" s="98"/>
      <c r="BM381" s="279"/>
      <c r="BN381" s="52"/>
      <c r="BO381" s="105"/>
      <c r="BP381" s="98"/>
      <c r="BQ381" s="279"/>
      <c r="BR381" s="52"/>
      <c r="BS381" s="105"/>
      <c r="BT381" s="98"/>
      <c r="BU381" s="279"/>
      <c r="BV381" s="52"/>
      <c r="BW381" s="105"/>
      <c r="BX381" s="98"/>
      <c r="BY381" s="279"/>
      <c r="BZ381" s="52"/>
      <c r="CA381" s="105"/>
      <c r="CB381" s="98"/>
      <c r="CC381" s="279"/>
      <c r="CD381" s="52"/>
      <c r="CE381" s="105"/>
      <c r="CF381" s="98"/>
      <c r="CG381" s="279"/>
      <c r="CH381" s="52"/>
      <c r="CI381" s="105"/>
      <c r="CJ381" s="98"/>
      <c r="CK381" s="281"/>
      <c r="CL381" s="277"/>
      <c r="CM381" s="159"/>
      <c r="CN381" s="277"/>
      <c r="CO381" s="50">
        <f t="shared" si="146"/>
        <v>0</v>
      </c>
      <c r="CP381" s="103">
        <f t="shared" si="147"/>
        <v>0</v>
      </c>
      <c r="CQ381" s="280">
        <f t="shared" si="148"/>
        <v>0</v>
      </c>
      <c r="CR381" s="63">
        <f t="shared" si="149"/>
        <v>0</v>
      </c>
      <c r="CS381" s="279"/>
      <c r="CT381" s="52"/>
      <c r="CU381" s="105"/>
      <c r="CV381" s="98"/>
      <c r="CW381" s="279"/>
      <c r="CX381" s="52"/>
      <c r="CY381" s="105"/>
      <c r="CZ381" s="98"/>
      <c r="DA381" s="279"/>
      <c r="DB381" s="52"/>
      <c r="DC381" s="105"/>
      <c r="DD381" s="98"/>
      <c r="DE381" s="279"/>
      <c r="DF381" s="52"/>
      <c r="DG381" s="105"/>
      <c r="DH381" s="98"/>
      <c r="DI381" s="279"/>
      <c r="DJ381" s="52"/>
      <c r="DK381" s="105"/>
      <c r="DL381" s="98"/>
      <c r="DM381" s="279"/>
      <c r="DN381" s="52"/>
      <c r="DO381" s="105"/>
      <c r="DP381" s="98"/>
      <c r="DQ381" s="279"/>
      <c r="DR381" s="52"/>
      <c r="DS381" s="105"/>
      <c r="DT381" s="98"/>
      <c r="DU381" s="279"/>
      <c r="DV381" s="52"/>
      <c r="DW381" s="105"/>
      <c r="DX381" s="98"/>
      <c r="DY381" s="279"/>
      <c r="DZ381" s="52"/>
      <c r="EA381" s="105"/>
      <c r="EB381" s="98"/>
      <c r="EC381" s="279"/>
      <c r="ED381" s="52"/>
      <c r="EE381" s="105"/>
      <c r="EF381" s="98"/>
      <c r="EG381" s="159"/>
      <c r="EH381" s="277"/>
      <c r="EI381" s="50">
        <f t="shared" si="150"/>
        <v>0</v>
      </c>
      <c r="EJ381" s="103">
        <f t="shared" si="151"/>
        <v>0</v>
      </c>
      <c r="EK381" s="164">
        <f t="shared" si="152"/>
        <v>0</v>
      </c>
      <c r="EL381" s="280">
        <f t="shared" si="153"/>
        <v>0</v>
      </c>
      <c r="EM381" s="63">
        <f t="shared" si="154"/>
        <v>0</v>
      </c>
      <c r="EN381" s="359">
        <f t="shared" si="155"/>
        <v>0</v>
      </c>
      <c r="EO381" s="51">
        <f t="shared" si="156"/>
        <v>0</v>
      </c>
      <c r="EP381" s="361">
        <f t="shared" si="157"/>
        <v>0</v>
      </c>
      <c r="EQ381" s="281"/>
      <c r="ER381" s="277"/>
      <c r="ES381" s="281"/>
      <c r="ET381" s="277"/>
      <c r="EU381" s="281"/>
      <c r="EV381" s="277"/>
      <c r="EW381" s="281"/>
      <c r="EX381" s="277"/>
      <c r="EY381" s="281"/>
      <c r="EZ381" s="277"/>
      <c r="FA381" s="281"/>
      <c r="FB381" s="277"/>
      <c r="FC381" s="281"/>
      <c r="FD381" s="277"/>
      <c r="FE381" s="281"/>
      <c r="FF381" s="277"/>
      <c r="FG381" s="281"/>
      <c r="FH381" s="277"/>
      <c r="FI381" s="281"/>
      <c r="FJ381" s="277"/>
      <c r="FK381" s="50">
        <f t="shared" si="158"/>
        <v>0</v>
      </c>
      <c r="FL381" s="63">
        <f t="shared" si="159"/>
        <v>0</v>
      </c>
      <c r="FM381" s="50">
        <f t="shared" si="141"/>
        <v>255</v>
      </c>
      <c r="FN381" s="360">
        <f t="shared" si="142"/>
        <v>209</v>
      </c>
      <c r="FO381" s="3"/>
      <c r="FP381" s="279"/>
      <c r="FQ381" s="52"/>
      <c r="FR381" s="296"/>
      <c r="FS381" s="98"/>
      <c r="FT381" s="467"/>
      <c r="FU381" s="52"/>
      <c r="FV381" s="296"/>
      <c r="FW381" s="98"/>
      <c r="FX381" s="467"/>
      <c r="FY381" s="52"/>
      <c r="FZ381" s="296"/>
      <c r="GA381" s="98"/>
      <c r="GB381" s="467"/>
      <c r="GC381" s="52"/>
      <c r="GD381" s="296"/>
      <c r="GE381" s="98"/>
      <c r="GF381" s="467"/>
      <c r="GG381" s="52"/>
      <c r="GH381" s="296"/>
      <c r="GI381" s="98"/>
      <c r="GJ381" s="467"/>
      <c r="GK381" s="52"/>
      <c r="GL381" s="296"/>
      <c r="GM381" s="464"/>
      <c r="GN381" s="467"/>
      <c r="GO381" s="52"/>
      <c r="GP381" s="296"/>
      <c r="GQ381" s="464"/>
      <c r="GR381" s="467"/>
      <c r="GS381" s="52"/>
      <c r="GT381" s="296"/>
      <c r="GU381" s="464"/>
      <c r="GV381" s="467"/>
      <c r="GW381" s="52"/>
      <c r="GX381" s="296"/>
      <c r="GY381" s="464"/>
      <c r="GZ381" s="467"/>
      <c r="HA381" s="52"/>
      <c r="HB381" s="296"/>
      <c r="HC381" s="3"/>
    </row>
    <row r="382" spans="1:211" s="86" customFormat="1">
      <c r="A382" s="521" t="s">
        <v>984</v>
      </c>
      <c r="B382" s="318" t="s">
        <v>1016</v>
      </c>
      <c r="C382" s="317">
        <v>199476</v>
      </c>
      <c r="D382" s="346">
        <v>9</v>
      </c>
      <c r="E382" s="460">
        <v>209</v>
      </c>
      <c r="F382" s="337">
        <v>224</v>
      </c>
      <c r="G382" s="158"/>
      <c r="H382" s="277"/>
      <c r="I382" s="158">
        <v>170</v>
      </c>
      <c r="J382" s="665">
        <v>208</v>
      </c>
      <c r="K382" s="160">
        <f t="shared" si="143"/>
        <v>0</v>
      </c>
      <c r="L382" s="161">
        <f t="shared" si="136"/>
        <v>0</v>
      </c>
      <c r="M382" s="54"/>
      <c r="N382" s="55"/>
      <c r="O382" s="55"/>
      <c r="P382" s="55"/>
      <c r="Q382" s="162">
        <f t="shared" si="144"/>
        <v>0</v>
      </c>
      <c r="R382" s="277"/>
      <c r="S382" s="277"/>
      <c r="T382" s="277"/>
      <c r="U382" s="277"/>
      <c r="V382" s="97">
        <f t="shared" si="145"/>
        <v>0</v>
      </c>
      <c r="W382" s="279"/>
      <c r="X382" s="52"/>
      <c r="Y382" s="99"/>
      <c r="Z382" s="53"/>
      <c r="AA382" s="228"/>
      <c r="AB382" s="52"/>
      <c r="AC382" s="99"/>
      <c r="AD382" s="53"/>
      <c r="AE382" s="228"/>
      <c r="AF382" s="52"/>
      <c r="AG382" s="99"/>
      <c r="AH382" s="53"/>
      <c r="AI382" s="228"/>
      <c r="AJ382" s="52"/>
      <c r="AK382" s="99"/>
      <c r="AL382" s="53"/>
      <c r="AM382" s="228"/>
      <c r="AN382" s="52"/>
      <c r="AO382" s="99"/>
      <c r="AP382" s="53"/>
      <c r="AQ382" s="50">
        <f t="shared" si="137"/>
        <v>0</v>
      </c>
      <c r="AR382" s="163">
        <f t="shared" si="138"/>
        <v>0</v>
      </c>
      <c r="AS382" s="97">
        <f t="shared" si="139"/>
        <v>0</v>
      </c>
      <c r="AT382" s="278">
        <f t="shared" si="140"/>
        <v>0</v>
      </c>
      <c r="AU382" s="55"/>
      <c r="AV382" s="277"/>
      <c r="AW382" s="279"/>
      <c r="AX382" s="52"/>
      <c r="AY382" s="105"/>
      <c r="AZ382" s="98"/>
      <c r="BA382" s="279"/>
      <c r="BB382" s="52"/>
      <c r="BC382" s="105"/>
      <c r="BD382" s="98"/>
      <c r="BE382" s="279"/>
      <c r="BF382" s="52"/>
      <c r="BG382" s="105"/>
      <c r="BH382" s="98"/>
      <c r="BI382" s="279"/>
      <c r="BJ382" s="52"/>
      <c r="BK382" s="105"/>
      <c r="BL382" s="98"/>
      <c r="BM382" s="279"/>
      <c r="BN382" s="52"/>
      <c r="BO382" s="105"/>
      <c r="BP382" s="98"/>
      <c r="BQ382" s="279"/>
      <c r="BR382" s="52"/>
      <c r="BS382" s="105"/>
      <c r="BT382" s="98"/>
      <c r="BU382" s="279"/>
      <c r="BV382" s="52"/>
      <c r="BW382" s="105"/>
      <c r="BX382" s="98"/>
      <c r="BY382" s="279"/>
      <c r="BZ382" s="52"/>
      <c r="CA382" s="105"/>
      <c r="CB382" s="98"/>
      <c r="CC382" s="279"/>
      <c r="CD382" s="52"/>
      <c r="CE382" s="105"/>
      <c r="CF382" s="98"/>
      <c r="CG382" s="279"/>
      <c r="CH382" s="52"/>
      <c r="CI382" s="105"/>
      <c r="CJ382" s="98"/>
      <c r="CK382" s="281"/>
      <c r="CL382" s="277"/>
      <c r="CM382" s="159"/>
      <c r="CN382" s="277"/>
      <c r="CO382" s="50">
        <f t="shared" si="146"/>
        <v>0</v>
      </c>
      <c r="CP382" s="103">
        <f t="shared" si="147"/>
        <v>0</v>
      </c>
      <c r="CQ382" s="280">
        <f t="shared" si="148"/>
        <v>0</v>
      </c>
      <c r="CR382" s="63">
        <f t="shared" si="149"/>
        <v>0</v>
      </c>
      <c r="CS382" s="279"/>
      <c r="CT382" s="52"/>
      <c r="CU382" s="105"/>
      <c r="CV382" s="98"/>
      <c r="CW382" s="279"/>
      <c r="CX382" s="52"/>
      <c r="CY382" s="105"/>
      <c r="CZ382" s="98"/>
      <c r="DA382" s="279"/>
      <c r="DB382" s="52"/>
      <c r="DC382" s="105"/>
      <c r="DD382" s="98"/>
      <c r="DE382" s="279"/>
      <c r="DF382" s="52"/>
      <c r="DG382" s="105"/>
      <c r="DH382" s="98"/>
      <c r="DI382" s="279"/>
      <c r="DJ382" s="52"/>
      <c r="DK382" s="105"/>
      <c r="DL382" s="98"/>
      <c r="DM382" s="279"/>
      <c r="DN382" s="52"/>
      <c r="DO382" s="105"/>
      <c r="DP382" s="98"/>
      <c r="DQ382" s="279"/>
      <c r="DR382" s="52"/>
      <c r="DS382" s="105"/>
      <c r="DT382" s="98"/>
      <c r="DU382" s="279"/>
      <c r="DV382" s="52"/>
      <c r="DW382" s="105"/>
      <c r="DX382" s="98"/>
      <c r="DY382" s="279"/>
      <c r="DZ382" s="52"/>
      <c r="EA382" s="105"/>
      <c r="EB382" s="98"/>
      <c r="EC382" s="279"/>
      <c r="ED382" s="52"/>
      <c r="EE382" s="105"/>
      <c r="EF382" s="98"/>
      <c r="EG382" s="159"/>
      <c r="EH382" s="277"/>
      <c r="EI382" s="50">
        <f t="shared" si="150"/>
        <v>0</v>
      </c>
      <c r="EJ382" s="103">
        <f t="shared" si="151"/>
        <v>0</v>
      </c>
      <c r="EK382" s="164">
        <f t="shared" si="152"/>
        <v>0</v>
      </c>
      <c r="EL382" s="280">
        <f t="shared" si="153"/>
        <v>0</v>
      </c>
      <c r="EM382" s="63">
        <f t="shared" si="154"/>
        <v>0</v>
      </c>
      <c r="EN382" s="359">
        <f t="shared" si="155"/>
        <v>0</v>
      </c>
      <c r="EO382" s="51">
        <f t="shared" si="156"/>
        <v>0</v>
      </c>
      <c r="EP382" s="361">
        <f t="shared" si="157"/>
        <v>0</v>
      </c>
      <c r="EQ382" s="281"/>
      <c r="ER382" s="277"/>
      <c r="ES382" s="281"/>
      <c r="ET382" s="277"/>
      <c r="EU382" s="281"/>
      <c r="EV382" s="277"/>
      <c r="EW382" s="281"/>
      <c r="EX382" s="277"/>
      <c r="EY382" s="281"/>
      <c r="EZ382" s="277"/>
      <c r="FA382" s="281"/>
      <c r="FB382" s="277"/>
      <c r="FC382" s="281"/>
      <c r="FD382" s="277"/>
      <c r="FE382" s="281"/>
      <c r="FF382" s="277"/>
      <c r="FG382" s="281"/>
      <c r="FH382" s="277"/>
      <c r="FI382" s="281"/>
      <c r="FJ382" s="277"/>
      <c r="FK382" s="50">
        <f t="shared" si="158"/>
        <v>0</v>
      </c>
      <c r="FL382" s="63">
        <f t="shared" si="159"/>
        <v>0</v>
      </c>
      <c r="FM382" s="50">
        <f t="shared" si="141"/>
        <v>379</v>
      </c>
      <c r="FN382" s="360">
        <f t="shared" si="142"/>
        <v>432</v>
      </c>
      <c r="FO382" s="3"/>
      <c r="FP382" s="279"/>
      <c r="FQ382" s="52"/>
      <c r="FR382" s="296"/>
      <c r="FS382" s="98"/>
      <c r="FT382" s="467"/>
      <c r="FU382" s="52"/>
      <c r="FV382" s="296"/>
      <c r="FW382" s="98"/>
      <c r="FX382" s="467"/>
      <c r="FY382" s="52"/>
      <c r="FZ382" s="296"/>
      <c r="GA382" s="98"/>
      <c r="GB382" s="467"/>
      <c r="GC382" s="52"/>
      <c r="GD382" s="296"/>
      <c r="GE382" s="98"/>
      <c r="GF382" s="467"/>
      <c r="GG382" s="52"/>
      <c r="GH382" s="296"/>
      <c r="GI382" s="98"/>
      <c r="GJ382" s="467"/>
      <c r="GK382" s="52"/>
      <c r="GL382" s="296"/>
      <c r="GM382" s="464"/>
      <c r="GN382" s="467"/>
      <c r="GO382" s="52"/>
      <c r="GP382" s="296"/>
      <c r="GQ382" s="464"/>
      <c r="GR382" s="467"/>
      <c r="GS382" s="52"/>
      <c r="GT382" s="296"/>
      <c r="GU382" s="464"/>
      <c r="GV382" s="467"/>
      <c r="GW382" s="52"/>
      <c r="GX382" s="296"/>
      <c r="GY382" s="464"/>
      <c r="GZ382" s="467"/>
      <c r="HA382" s="52"/>
      <c r="HB382" s="296"/>
      <c r="HC382" s="3"/>
    </row>
    <row r="383" spans="1:211" s="86" customFormat="1">
      <c r="A383" s="521" t="s">
        <v>984</v>
      </c>
      <c r="B383" s="318" t="s">
        <v>1017</v>
      </c>
      <c r="C383" s="317">
        <v>199485</v>
      </c>
      <c r="D383" s="346">
        <v>9</v>
      </c>
      <c r="E383" s="460">
        <v>157</v>
      </c>
      <c r="F383" s="337">
        <v>150</v>
      </c>
      <c r="G383" s="158"/>
      <c r="H383" s="277"/>
      <c r="I383" s="158">
        <v>166</v>
      </c>
      <c r="J383" s="665">
        <v>176</v>
      </c>
      <c r="K383" s="160">
        <f t="shared" si="143"/>
        <v>0</v>
      </c>
      <c r="L383" s="161">
        <f t="shared" si="136"/>
        <v>0</v>
      </c>
      <c r="M383" s="54"/>
      <c r="N383" s="55"/>
      <c r="O383" s="55"/>
      <c r="P383" s="55"/>
      <c r="Q383" s="162">
        <f t="shared" si="144"/>
        <v>0</v>
      </c>
      <c r="R383" s="277"/>
      <c r="S383" s="277"/>
      <c r="T383" s="277"/>
      <c r="U383" s="277"/>
      <c r="V383" s="97">
        <f t="shared" si="145"/>
        <v>0</v>
      </c>
      <c r="W383" s="279"/>
      <c r="X383" s="52"/>
      <c r="Y383" s="99"/>
      <c r="Z383" s="53"/>
      <c r="AA383" s="228"/>
      <c r="AB383" s="52"/>
      <c r="AC383" s="99"/>
      <c r="AD383" s="53"/>
      <c r="AE383" s="228"/>
      <c r="AF383" s="52"/>
      <c r="AG383" s="99"/>
      <c r="AH383" s="53"/>
      <c r="AI383" s="228"/>
      <c r="AJ383" s="52"/>
      <c r="AK383" s="99"/>
      <c r="AL383" s="53"/>
      <c r="AM383" s="228"/>
      <c r="AN383" s="52"/>
      <c r="AO383" s="99"/>
      <c r="AP383" s="53"/>
      <c r="AQ383" s="50">
        <f t="shared" si="137"/>
        <v>0</v>
      </c>
      <c r="AR383" s="163">
        <f t="shared" si="138"/>
        <v>0</v>
      </c>
      <c r="AS383" s="97">
        <f t="shared" si="139"/>
        <v>0</v>
      </c>
      <c r="AT383" s="278">
        <f t="shared" si="140"/>
        <v>0</v>
      </c>
      <c r="AU383" s="55"/>
      <c r="AV383" s="277"/>
      <c r="AW383" s="279"/>
      <c r="AX383" s="52"/>
      <c r="AY383" s="105"/>
      <c r="AZ383" s="98"/>
      <c r="BA383" s="279"/>
      <c r="BB383" s="52"/>
      <c r="BC383" s="105"/>
      <c r="BD383" s="98"/>
      <c r="BE383" s="279"/>
      <c r="BF383" s="52"/>
      <c r="BG383" s="105"/>
      <c r="BH383" s="98"/>
      <c r="BI383" s="279"/>
      <c r="BJ383" s="52"/>
      <c r="BK383" s="105"/>
      <c r="BL383" s="98"/>
      <c r="BM383" s="279"/>
      <c r="BN383" s="52"/>
      <c r="BO383" s="105"/>
      <c r="BP383" s="98"/>
      <c r="BQ383" s="279"/>
      <c r="BR383" s="52"/>
      <c r="BS383" s="105"/>
      <c r="BT383" s="98"/>
      <c r="BU383" s="279"/>
      <c r="BV383" s="52"/>
      <c r="BW383" s="105"/>
      <c r="BX383" s="98"/>
      <c r="BY383" s="279"/>
      <c r="BZ383" s="52"/>
      <c r="CA383" s="105"/>
      <c r="CB383" s="98"/>
      <c r="CC383" s="279"/>
      <c r="CD383" s="52"/>
      <c r="CE383" s="105"/>
      <c r="CF383" s="98"/>
      <c r="CG383" s="279"/>
      <c r="CH383" s="52"/>
      <c r="CI383" s="105"/>
      <c r="CJ383" s="98"/>
      <c r="CK383" s="281"/>
      <c r="CL383" s="277"/>
      <c r="CM383" s="159"/>
      <c r="CN383" s="277"/>
      <c r="CO383" s="50">
        <f t="shared" si="146"/>
        <v>0</v>
      </c>
      <c r="CP383" s="103">
        <f t="shared" si="147"/>
        <v>0</v>
      </c>
      <c r="CQ383" s="280">
        <f t="shared" si="148"/>
        <v>0</v>
      </c>
      <c r="CR383" s="63">
        <f t="shared" si="149"/>
        <v>0</v>
      </c>
      <c r="CS383" s="279"/>
      <c r="CT383" s="52"/>
      <c r="CU383" s="105"/>
      <c r="CV383" s="98"/>
      <c r="CW383" s="279"/>
      <c r="CX383" s="52"/>
      <c r="CY383" s="105"/>
      <c r="CZ383" s="98"/>
      <c r="DA383" s="279"/>
      <c r="DB383" s="52"/>
      <c r="DC383" s="105"/>
      <c r="DD383" s="98"/>
      <c r="DE383" s="279"/>
      <c r="DF383" s="52"/>
      <c r="DG383" s="105"/>
      <c r="DH383" s="98"/>
      <c r="DI383" s="279"/>
      <c r="DJ383" s="52"/>
      <c r="DK383" s="105"/>
      <c r="DL383" s="98"/>
      <c r="DM383" s="279"/>
      <c r="DN383" s="52"/>
      <c r="DO383" s="105"/>
      <c r="DP383" s="98"/>
      <c r="DQ383" s="279"/>
      <c r="DR383" s="52"/>
      <c r="DS383" s="105"/>
      <c r="DT383" s="98"/>
      <c r="DU383" s="279"/>
      <c r="DV383" s="52"/>
      <c r="DW383" s="105"/>
      <c r="DX383" s="98"/>
      <c r="DY383" s="279"/>
      <c r="DZ383" s="52"/>
      <c r="EA383" s="105"/>
      <c r="EB383" s="98"/>
      <c r="EC383" s="279"/>
      <c r="ED383" s="52"/>
      <c r="EE383" s="105"/>
      <c r="EF383" s="98"/>
      <c r="EG383" s="159"/>
      <c r="EH383" s="277"/>
      <c r="EI383" s="50">
        <f t="shared" si="150"/>
        <v>0</v>
      </c>
      <c r="EJ383" s="103">
        <f t="shared" si="151"/>
        <v>0</v>
      </c>
      <c r="EK383" s="164">
        <f t="shared" si="152"/>
        <v>0</v>
      </c>
      <c r="EL383" s="280">
        <f t="shared" si="153"/>
        <v>0</v>
      </c>
      <c r="EM383" s="63">
        <f t="shared" si="154"/>
        <v>0</v>
      </c>
      <c r="EN383" s="359">
        <f t="shared" si="155"/>
        <v>0</v>
      </c>
      <c r="EO383" s="51">
        <f t="shared" si="156"/>
        <v>0</v>
      </c>
      <c r="EP383" s="361">
        <f t="shared" si="157"/>
        <v>0</v>
      </c>
      <c r="EQ383" s="281"/>
      <c r="ER383" s="277"/>
      <c r="ES383" s="281"/>
      <c r="ET383" s="277"/>
      <c r="EU383" s="281"/>
      <c r="EV383" s="277"/>
      <c r="EW383" s="281"/>
      <c r="EX383" s="277"/>
      <c r="EY383" s="281"/>
      <c r="EZ383" s="277"/>
      <c r="FA383" s="281"/>
      <c r="FB383" s="277"/>
      <c r="FC383" s="281"/>
      <c r="FD383" s="277"/>
      <c r="FE383" s="281"/>
      <c r="FF383" s="277"/>
      <c r="FG383" s="281"/>
      <c r="FH383" s="277"/>
      <c r="FI383" s="281"/>
      <c r="FJ383" s="277"/>
      <c r="FK383" s="50">
        <f t="shared" si="158"/>
        <v>0</v>
      </c>
      <c r="FL383" s="63">
        <f t="shared" si="159"/>
        <v>0</v>
      </c>
      <c r="FM383" s="50">
        <f t="shared" si="141"/>
        <v>323</v>
      </c>
      <c r="FN383" s="360">
        <f t="shared" si="142"/>
        <v>326</v>
      </c>
      <c r="FO383" s="3"/>
      <c r="FP383" s="279"/>
      <c r="FQ383" s="52"/>
      <c r="FR383" s="296"/>
      <c r="FS383" s="98"/>
      <c r="FT383" s="467"/>
      <c r="FU383" s="52"/>
      <c r="FV383" s="296"/>
      <c r="FW383" s="98"/>
      <c r="FX383" s="467"/>
      <c r="FY383" s="52"/>
      <c r="FZ383" s="296"/>
      <c r="GA383" s="98"/>
      <c r="GB383" s="467"/>
      <c r="GC383" s="52"/>
      <c r="GD383" s="296"/>
      <c r="GE383" s="98"/>
      <c r="GF383" s="467"/>
      <c r="GG383" s="52"/>
      <c r="GH383" s="296"/>
      <c r="GI383" s="98"/>
      <c r="GJ383" s="467"/>
      <c r="GK383" s="52"/>
      <c r="GL383" s="296"/>
      <c r="GM383" s="464"/>
      <c r="GN383" s="467"/>
      <c r="GO383" s="52"/>
      <c r="GP383" s="296"/>
      <c r="GQ383" s="464"/>
      <c r="GR383" s="467"/>
      <c r="GS383" s="52"/>
      <c r="GT383" s="296"/>
      <c r="GU383" s="464"/>
      <c r="GV383" s="467"/>
      <c r="GW383" s="52"/>
      <c r="GX383" s="296"/>
      <c r="GY383" s="464"/>
      <c r="GZ383" s="467"/>
      <c r="HA383" s="52"/>
      <c r="HB383" s="296"/>
      <c r="HC383" s="3"/>
    </row>
    <row r="384" spans="1:211" s="86" customFormat="1">
      <c r="A384" s="521" t="s">
        <v>984</v>
      </c>
      <c r="B384" s="318" t="s">
        <v>1019</v>
      </c>
      <c r="C384" s="317">
        <v>199634</v>
      </c>
      <c r="D384" s="346">
        <v>9</v>
      </c>
      <c r="E384" s="460">
        <v>145</v>
      </c>
      <c r="F384" s="337">
        <v>121</v>
      </c>
      <c r="G384" s="158"/>
      <c r="H384" s="277"/>
      <c r="I384" s="158">
        <v>341</v>
      </c>
      <c r="J384" s="665">
        <v>376</v>
      </c>
      <c r="K384" s="160">
        <f t="shared" si="143"/>
        <v>0</v>
      </c>
      <c r="L384" s="161">
        <f t="shared" si="136"/>
        <v>0</v>
      </c>
      <c r="M384" s="54"/>
      <c r="N384" s="55"/>
      <c r="O384" s="55"/>
      <c r="P384" s="55"/>
      <c r="Q384" s="162">
        <f t="shared" si="144"/>
        <v>0</v>
      </c>
      <c r="R384" s="277"/>
      <c r="S384" s="277"/>
      <c r="T384" s="277"/>
      <c r="U384" s="277"/>
      <c r="V384" s="97">
        <f t="shared" si="145"/>
        <v>0</v>
      </c>
      <c r="W384" s="279"/>
      <c r="X384" s="52"/>
      <c r="Y384" s="99"/>
      <c r="Z384" s="53"/>
      <c r="AA384" s="228"/>
      <c r="AB384" s="52"/>
      <c r="AC384" s="99"/>
      <c r="AD384" s="53"/>
      <c r="AE384" s="228"/>
      <c r="AF384" s="52"/>
      <c r="AG384" s="99"/>
      <c r="AH384" s="53"/>
      <c r="AI384" s="228"/>
      <c r="AJ384" s="52"/>
      <c r="AK384" s="99"/>
      <c r="AL384" s="53"/>
      <c r="AM384" s="228"/>
      <c r="AN384" s="52"/>
      <c r="AO384" s="99"/>
      <c r="AP384" s="53"/>
      <c r="AQ384" s="50">
        <f t="shared" si="137"/>
        <v>0</v>
      </c>
      <c r="AR384" s="163">
        <f t="shared" si="138"/>
        <v>0</v>
      </c>
      <c r="AS384" s="97">
        <f t="shared" si="139"/>
        <v>0</v>
      </c>
      <c r="AT384" s="278">
        <f t="shared" si="140"/>
        <v>0</v>
      </c>
      <c r="AU384" s="55"/>
      <c r="AV384" s="277"/>
      <c r="AW384" s="279"/>
      <c r="AX384" s="52"/>
      <c r="AY384" s="105"/>
      <c r="AZ384" s="98"/>
      <c r="BA384" s="279"/>
      <c r="BB384" s="52"/>
      <c r="BC384" s="105"/>
      <c r="BD384" s="98"/>
      <c r="BE384" s="279"/>
      <c r="BF384" s="52"/>
      <c r="BG384" s="105"/>
      <c r="BH384" s="98"/>
      <c r="BI384" s="279"/>
      <c r="BJ384" s="52"/>
      <c r="BK384" s="105"/>
      <c r="BL384" s="98"/>
      <c r="BM384" s="279"/>
      <c r="BN384" s="52"/>
      <c r="BO384" s="105"/>
      <c r="BP384" s="98"/>
      <c r="BQ384" s="279"/>
      <c r="BR384" s="52"/>
      <c r="BS384" s="105"/>
      <c r="BT384" s="98"/>
      <c r="BU384" s="279"/>
      <c r="BV384" s="52"/>
      <c r="BW384" s="105"/>
      <c r="BX384" s="98"/>
      <c r="BY384" s="279"/>
      <c r="BZ384" s="52"/>
      <c r="CA384" s="105"/>
      <c r="CB384" s="98"/>
      <c r="CC384" s="279"/>
      <c r="CD384" s="52"/>
      <c r="CE384" s="105"/>
      <c r="CF384" s="98"/>
      <c r="CG384" s="279"/>
      <c r="CH384" s="52"/>
      <c r="CI384" s="105"/>
      <c r="CJ384" s="98"/>
      <c r="CK384" s="281"/>
      <c r="CL384" s="277"/>
      <c r="CM384" s="159"/>
      <c r="CN384" s="277"/>
      <c r="CO384" s="50">
        <f t="shared" si="146"/>
        <v>0</v>
      </c>
      <c r="CP384" s="103">
        <f t="shared" si="147"/>
        <v>0</v>
      </c>
      <c r="CQ384" s="280">
        <f t="shared" si="148"/>
        <v>0</v>
      </c>
      <c r="CR384" s="63">
        <f t="shared" si="149"/>
        <v>0</v>
      </c>
      <c r="CS384" s="279"/>
      <c r="CT384" s="52"/>
      <c r="CU384" s="105"/>
      <c r="CV384" s="98"/>
      <c r="CW384" s="279"/>
      <c r="CX384" s="52"/>
      <c r="CY384" s="105"/>
      <c r="CZ384" s="98"/>
      <c r="DA384" s="279"/>
      <c r="DB384" s="52"/>
      <c r="DC384" s="105"/>
      <c r="DD384" s="98"/>
      <c r="DE384" s="279"/>
      <c r="DF384" s="52"/>
      <c r="DG384" s="105"/>
      <c r="DH384" s="98"/>
      <c r="DI384" s="279"/>
      <c r="DJ384" s="52"/>
      <c r="DK384" s="105"/>
      <c r="DL384" s="98"/>
      <c r="DM384" s="279"/>
      <c r="DN384" s="52"/>
      <c r="DO384" s="105"/>
      <c r="DP384" s="98"/>
      <c r="DQ384" s="279"/>
      <c r="DR384" s="52"/>
      <c r="DS384" s="105"/>
      <c r="DT384" s="98"/>
      <c r="DU384" s="279"/>
      <c r="DV384" s="52"/>
      <c r="DW384" s="105"/>
      <c r="DX384" s="98"/>
      <c r="DY384" s="279"/>
      <c r="DZ384" s="52"/>
      <c r="EA384" s="105"/>
      <c r="EB384" s="98"/>
      <c r="EC384" s="279"/>
      <c r="ED384" s="52"/>
      <c r="EE384" s="105"/>
      <c r="EF384" s="98"/>
      <c r="EG384" s="159"/>
      <c r="EH384" s="277"/>
      <c r="EI384" s="50">
        <f t="shared" si="150"/>
        <v>0</v>
      </c>
      <c r="EJ384" s="103">
        <f t="shared" si="151"/>
        <v>0</v>
      </c>
      <c r="EK384" s="164">
        <f t="shared" si="152"/>
        <v>0</v>
      </c>
      <c r="EL384" s="280">
        <f t="shared" si="153"/>
        <v>0</v>
      </c>
      <c r="EM384" s="63">
        <f t="shared" si="154"/>
        <v>0</v>
      </c>
      <c r="EN384" s="359">
        <f t="shared" si="155"/>
        <v>0</v>
      </c>
      <c r="EO384" s="51">
        <f t="shared" si="156"/>
        <v>0</v>
      </c>
      <c r="EP384" s="361">
        <f t="shared" si="157"/>
        <v>0</v>
      </c>
      <c r="EQ384" s="281"/>
      <c r="ER384" s="277"/>
      <c r="ES384" s="281"/>
      <c r="ET384" s="277"/>
      <c r="EU384" s="281"/>
      <c r="EV384" s="277"/>
      <c r="EW384" s="281"/>
      <c r="EX384" s="277"/>
      <c r="EY384" s="281"/>
      <c r="EZ384" s="277"/>
      <c r="FA384" s="281"/>
      <c r="FB384" s="277"/>
      <c r="FC384" s="281"/>
      <c r="FD384" s="277"/>
      <c r="FE384" s="281"/>
      <c r="FF384" s="277"/>
      <c r="FG384" s="281"/>
      <c r="FH384" s="277"/>
      <c r="FI384" s="281"/>
      <c r="FJ384" s="277"/>
      <c r="FK384" s="50">
        <f t="shared" si="158"/>
        <v>0</v>
      </c>
      <c r="FL384" s="63">
        <f t="shared" si="159"/>
        <v>0</v>
      </c>
      <c r="FM384" s="50">
        <f t="shared" si="141"/>
        <v>486</v>
      </c>
      <c r="FN384" s="360">
        <f t="shared" si="142"/>
        <v>497</v>
      </c>
      <c r="FO384" s="3"/>
      <c r="FP384" s="279"/>
      <c r="FQ384" s="52"/>
      <c r="FR384" s="296"/>
      <c r="FS384" s="98"/>
      <c r="FT384" s="467"/>
      <c r="FU384" s="52"/>
      <c r="FV384" s="296"/>
      <c r="FW384" s="98"/>
      <c r="FX384" s="467"/>
      <c r="FY384" s="52"/>
      <c r="FZ384" s="296"/>
      <c r="GA384" s="98"/>
      <c r="GB384" s="467"/>
      <c r="GC384" s="52"/>
      <c r="GD384" s="296"/>
      <c r="GE384" s="98"/>
      <c r="GF384" s="467"/>
      <c r="GG384" s="52"/>
      <c r="GH384" s="296"/>
      <c r="GI384" s="98"/>
      <c r="GJ384" s="467"/>
      <c r="GK384" s="52"/>
      <c r="GL384" s="296"/>
      <c r="GM384" s="464"/>
      <c r="GN384" s="467"/>
      <c r="GO384" s="52"/>
      <c r="GP384" s="296"/>
      <c r="GQ384" s="464"/>
      <c r="GR384" s="467"/>
      <c r="GS384" s="52"/>
      <c r="GT384" s="296"/>
      <c r="GU384" s="464"/>
      <c r="GV384" s="467"/>
      <c r="GW384" s="52"/>
      <c r="GX384" s="296"/>
      <c r="GY384" s="464"/>
      <c r="GZ384" s="467"/>
      <c r="HA384" s="52"/>
      <c r="HB384" s="296"/>
      <c r="HC384" s="3"/>
    </row>
    <row r="385" spans="1:211" s="86" customFormat="1">
      <c r="A385" s="521" t="s">
        <v>984</v>
      </c>
      <c r="B385" s="318" t="s">
        <v>1020</v>
      </c>
      <c r="C385" s="317">
        <v>197850</v>
      </c>
      <c r="D385" s="346">
        <v>9</v>
      </c>
      <c r="E385" s="460">
        <v>241</v>
      </c>
      <c r="F385" s="337">
        <v>266</v>
      </c>
      <c r="G385" s="158"/>
      <c r="H385" s="277"/>
      <c r="I385" s="158">
        <v>143</v>
      </c>
      <c r="J385" s="665">
        <v>142</v>
      </c>
      <c r="K385" s="160">
        <f t="shared" si="143"/>
        <v>0</v>
      </c>
      <c r="L385" s="161">
        <f t="shared" si="136"/>
        <v>0</v>
      </c>
      <c r="M385" s="54"/>
      <c r="N385" s="55"/>
      <c r="O385" s="55"/>
      <c r="P385" s="55"/>
      <c r="Q385" s="162">
        <f t="shared" si="144"/>
        <v>0</v>
      </c>
      <c r="R385" s="277"/>
      <c r="S385" s="277"/>
      <c r="T385" s="277"/>
      <c r="U385" s="277"/>
      <c r="V385" s="97">
        <f t="shared" si="145"/>
        <v>0</v>
      </c>
      <c r="W385" s="279"/>
      <c r="X385" s="52"/>
      <c r="Y385" s="99"/>
      <c r="Z385" s="53"/>
      <c r="AA385" s="228"/>
      <c r="AB385" s="52"/>
      <c r="AC385" s="99"/>
      <c r="AD385" s="53"/>
      <c r="AE385" s="228"/>
      <c r="AF385" s="52"/>
      <c r="AG385" s="99"/>
      <c r="AH385" s="53"/>
      <c r="AI385" s="228"/>
      <c r="AJ385" s="52"/>
      <c r="AK385" s="99"/>
      <c r="AL385" s="53"/>
      <c r="AM385" s="228"/>
      <c r="AN385" s="52"/>
      <c r="AO385" s="99"/>
      <c r="AP385" s="53"/>
      <c r="AQ385" s="50">
        <f t="shared" si="137"/>
        <v>0</v>
      </c>
      <c r="AR385" s="163">
        <f t="shared" si="138"/>
        <v>0</v>
      </c>
      <c r="AS385" s="97">
        <f t="shared" si="139"/>
        <v>0</v>
      </c>
      <c r="AT385" s="278">
        <f t="shared" si="140"/>
        <v>0</v>
      </c>
      <c r="AU385" s="55"/>
      <c r="AV385" s="277"/>
      <c r="AW385" s="279"/>
      <c r="AX385" s="52"/>
      <c r="AY385" s="105"/>
      <c r="AZ385" s="98"/>
      <c r="BA385" s="279"/>
      <c r="BB385" s="52"/>
      <c r="BC385" s="105"/>
      <c r="BD385" s="98"/>
      <c r="BE385" s="279"/>
      <c r="BF385" s="52"/>
      <c r="BG385" s="105"/>
      <c r="BH385" s="98"/>
      <c r="BI385" s="279"/>
      <c r="BJ385" s="52"/>
      <c r="BK385" s="105"/>
      <c r="BL385" s="98"/>
      <c r="BM385" s="279"/>
      <c r="BN385" s="52"/>
      <c r="BO385" s="105"/>
      <c r="BP385" s="98"/>
      <c r="BQ385" s="279"/>
      <c r="BR385" s="52"/>
      <c r="BS385" s="105"/>
      <c r="BT385" s="98"/>
      <c r="BU385" s="279"/>
      <c r="BV385" s="52"/>
      <c r="BW385" s="105"/>
      <c r="BX385" s="98"/>
      <c r="BY385" s="279"/>
      <c r="BZ385" s="52"/>
      <c r="CA385" s="105"/>
      <c r="CB385" s="98"/>
      <c r="CC385" s="279"/>
      <c r="CD385" s="52"/>
      <c r="CE385" s="105"/>
      <c r="CF385" s="98"/>
      <c r="CG385" s="279"/>
      <c r="CH385" s="52"/>
      <c r="CI385" s="105"/>
      <c r="CJ385" s="98"/>
      <c r="CK385" s="281"/>
      <c r="CL385" s="277"/>
      <c r="CM385" s="159"/>
      <c r="CN385" s="277"/>
      <c r="CO385" s="50">
        <f t="shared" si="146"/>
        <v>0</v>
      </c>
      <c r="CP385" s="103">
        <f t="shared" si="147"/>
        <v>0</v>
      </c>
      <c r="CQ385" s="280">
        <f t="shared" si="148"/>
        <v>0</v>
      </c>
      <c r="CR385" s="63">
        <f t="shared" si="149"/>
        <v>0</v>
      </c>
      <c r="CS385" s="279"/>
      <c r="CT385" s="52"/>
      <c r="CU385" s="105"/>
      <c r="CV385" s="98"/>
      <c r="CW385" s="279"/>
      <c r="CX385" s="52"/>
      <c r="CY385" s="105"/>
      <c r="CZ385" s="98"/>
      <c r="DA385" s="279"/>
      <c r="DB385" s="52"/>
      <c r="DC385" s="105"/>
      <c r="DD385" s="98"/>
      <c r="DE385" s="279"/>
      <c r="DF385" s="52"/>
      <c r="DG385" s="105"/>
      <c r="DH385" s="98"/>
      <c r="DI385" s="279"/>
      <c r="DJ385" s="52"/>
      <c r="DK385" s="105"/>
      <c r="DL385" s="98"/>
      <c r="DM385" s="279"/>
      <c r="DN385" s="52"/>
      <c r="DO385" s="105"/>
      <c r="DP385" s="98"/>
      <c r="DQ385" s="279"/>
      <c r="DR385" s="52"/>
      <c r="DS385" s="105"/>
      <c r="DT385" s="98"/>
      <c r="DU385" s="279"/>
      <c r="DV385" s="52"/>
      <c r="DW385" s="105"/>
      <c r="DX385" s="98"/>
      <c r="DY385" s="279"/>
      <c r="DZ385" s="52"/>
      <c r="EA385" s="105"/>
      <c r="EB385" s="98"/>
      <c r="EC385" s="279"/>
      <c r="ED385" s="52"/>
      <c r="EE385" s="105"/>
      <c r="EF385" s="98"/>
      <c r="EG385" s="159"/>
      <c r="EH385" s="277"/>
      <c r="EI385" s="50">
        <f t="shared" si="150"/>
        <v>0</v>
      </c>
      <c r="EJ385" s="103">
        <f t="shared" si="151"/>
        <v>0</v>
      </c>
      <c r="EK385" s="164">
        <f t="shared" si="152"/>
        <v>0</v>
      </c>
      <c r="EL385" s="280">
        <f t="shared" si="153"/>
        <v>0</v>
      </c>
      <c r="EM385" s="63">
        <f t="shared" si="154"/>
        <v>0</v>
      </c>
      <c r="EN385" s="359">
        <f t="shared" si="155"/>
        <v>0</v>
      </c>
      <c r="EO385" s="51">
        <f t="shared" si="156"/>
        <v>0</v>
      </c>
      <c r="EP385" s="361">
        <f t="shared" si="157"/>
        <v>0</v>
      </c>
      <c r="EQ385" s="281"/>
      <c r="ER385" s="277"/>
      <c r="ES385" s="281"/>
      <c r="ET385" s="277"/>
      <c r="EU385" s="281"/>
      <c r="EV385" s="277"/>
      <c r="EW385" s="281"/>
      <c r="EX385" s="277"/>
      <c r="EY385" s="281"/>
      <c r="EZ385" s="277"/>
      <c r="FA385" s="281"/>
      <c r="FB385" s="277"/>
      <c r="FC385" s="281"/>
      <c r="FD385" s="277"/>
      <c r="FE385" s="281"/>
      <c r="FF385" s="277"/>
      <c r="FG385" s="281"/>
      <c r="FH385" s="277"/>
      <c r="FI385" s="281"/>
      <c r="FJ385" s="277"/>
      <c r="FK385" s="50">
        <f t="shared" si="158"/>
        <v>0</v>
      </c>
      <c r="FL385" s="63">
        <f t="shared" si="159"/>
        <v>0</v>
      </c>
      <c r="FM385" s="50">
        <f t="shared" si="141"/>
        <v>384</v>
      </c>
      <c r="FN385" s="360">
        <f t="shared" si="142"/>
        <v>408</v>
      </c>
      <c r="FO385" s="3"/>
      <c r="FP385" s="279"/>
      <c r="FQ385" s="52"/>
      <c r="FR385" s="296"/>
      <c r="FS385" s="98"/>
      <c r="FT385" s="467"/>
      <c r="FU385" s="52"/>
      <c r="FV385" s="296"/>
      <c r="FW385" s="98"/>
      <c r="FX385" s="467"/>
      <c r="FY385" s="52"/>
      <c r="FZ385" s="296"/>
      <c r="GA385" s="98"/>
      <c r="GB385" s="467"/>
      <c r="GC385" s="52"/>
      <c r="GD385" s="296"/>
      <c r="GE385" s="98"/>
      <c r="GF385" s="467"/>
      <c r="GG385" s="52"/>
      <c r="GH385" s="296"/>
      <c r="GI385" s="98"/>
      <c r="GJ385" s="467"/>
      <c r="GK385" s="52"/>
      <c r="GL385" s="296"/>
      <c r="GM385" s="464"/>
      <c r="GN385" s="467"/>
      <c r="GO385" s="52"/>
      <c r="GP385" s="296"/>
      <c r="GQ385" s="464"/>
      <c r="GR385" s="467"/>
      <c r="GS385" s="52"/>
      <c r="GT385" s="296"/>
      <c r="GU385" s="464"/>
      <c r="GV385" s="467"/>
      <c r="GW385" s="52"/>
      <c r="GX385" s="296"/>
      <c r="GY385" s="464"/>
      <c r="GZ385" s="467"/>
      <c r="HA385" s="52"/>
      <c r="HB385" s="296"/>
      <c r="HC385" s="3"/>
    </row>
    <row r="386" spans="1:211" s="86" customFormat="1">
      <c r="A386" s="521" t="s">
        <v>984</v>
      </c>
      <c r="B386" s="318" t="s">
        <v>1021</v>
      </c>
      <c r="C386" s="317">
        <v>199722</v>
      </c>
      <c r="D386" s="346">
        <v>9</v>
      </c>
      <c r="E386" s="460">
        <v>132</v>
      </c>
      <c r="F386" s="337">
        <v>177</v>
      </c>
      <c r="G386" s="158"/>
      <c r="H386" s="277"/>
      <c r="I386" s="158">
        <v>121</v>
      </c>
      <c r="J386" s="665">
        <v>106</v>
      </c>
      <c r="K386" s="160">
        <f t="shared" si="143"/>
        <v>0</v>
      </c>
      <c r="L386" s="161">
        <f t="shared" si="136"/>
        <v>0</v>
      </c>
      <c r="M386" s="54"/>
      <c r="N386" s="55"/>
      <c r="O386" s="55"/>
      <c r="P386" s="55"/>
      <c r="Q386" s="162">
        <f t="shared" si="144"/>
        <v>0</v>
      </c>
      <c r="R386" s="277"/>
      <c r="S386" s="277"/>
      <c r="T386" s="277"/>
      <c r="U386" s="277"/>
      <c r="V386" s="97">
        <f t="shared" si="145"/>
        <v>0</v>
      </c>
      <c r="W386" s="279"/>
      <c r="X386" s="52"/>
      <c r="Y386" s="99"/>
      <c r="Z386" s="53"/>
      <c r="AA386" s="228"/>
      <c r="AB386" s="52"/>
      <c r="AC386" s="99"/>
      <c r="AD386" s="53"/>
      <c r="AE386" s="228"/>
      <c r="AF386" s="52"/>
      <c r="AG386" s="99"/>
      <c r="AH386" s="53"/>
      <c r="AI386" s="228"/>
      <c r="AJ386" s="52"/>
      <c r="AK386" s="99"/>
      <c r="AL386" s="53"/>
      <c r="AM386" s="228"/>
      <c r="AN386" s="52"/>
      <c r="AO386" s="99"/>
      <c r="AP386" s="53"/>
      <c r="AQ386" s="50">
        <f t="shared" si="137"/>
        <v>0</v>
      </c>
      <c r="AR386" s="163">
        <f t="shared" si="138"/>
        <v>0</v>
      </c>
      <c r="AS386" s="97">
        <f t="shared" si="139"/>
        <v>0</v>
      </c>
      <c r="AT386" s="278">
        <f t="shared" si="140"/>
        <v>0</v>
      </c>
      <c r="AU386" s="55"/>
      <c r="AV386" s="277"/>
      <c r="AW386" s="279"/>
      <c r="AX386" s="52"/>
      <c r="AY386" s="105"/>
      <c r="AZ386" s="98"/>
      <c r="BA386" s="279"/>
      <c r="BB386" s="52"/>
      <c r="BC386" s="105"/>
      <c r="BD386" s="98"/>
      <c r="BE386" s="279"/>
      <c r="BF386" s="52"/>
      <c r="BG386" s="105"/>
      <c r="BH386" s="98"/>
      <c r="BI386" s="279"/>
      <c r="BJ386" s="52"/>
      <c r="BK386" s="105"/>
      <c r="BL386" s="98"/>
      <c r="BM386" s="279"/>
      <c r="BN386" s="52"/>
      <c r="BO386" s="105"/>
      <c r="BP386" s="98"/>
      <c r="BQ386" s="279"/>
      <c r="BR386" s="52"/>
      <c r="BS386" s="105"/>
      <c r="BT386" s="98"/>
      <c r="BU386" s="279"/>
      <c r="BV386" s="52"/>
      <c r="BW386" s="105"/>
      <c r="BX386" s="98"/>
      <c r="BY386" s="279"/>
      <c r="BZ386" s="52"/>
      <c r="CA386" s="105"/>
      <c r="CB386" s="98"/>
      <c r="CC386" s="279"/>
      <c r="CD386" s="52"/>
      <c r="CE386" s="105"/>
      <c r="CF386" s="98"/>
      <c r="CG386" s="279"/>
      <c r="CH386" s="52"/>
      <c r="CI386" s="105"/>
      <c r="CJ386" s="98"/>
      <c r="CK386" s="281"/>
      <c r="CL386" s="277"/>
      <c r="CM386" s="159"/>
      <c r="CN386" s="277"/>
      <c r="CO386" s="50">
        <f t="shared" si="146"/>
        <v>0</v>
      </c>
      <c r="CP386" s="103">
        <f t="shared" si="147"/>
        <v>0</v>
      </c>
      <c r="CQ386" s="280">
        <f t="shared" si="148"/>
        <v>0</v>
      </c>
      <c r="CR386" s="63">
        <f t="shared" si="149"/>
        <v>0</v>
      </c>
      <c r="CS386" s="279"/>
      <c r="CT386" s="52"/>
      <c r="CU386" s="105"/>
      <c r="CV386" s="98"/>
      <c r="CW386" s="279"/>
      <c r="CX386" s="52"/>
      <c r="CY386" s="105"/>
      <c r="CZ386" s="98"/>
      <c r="DA386" s="279"/>
      <c r="DB386" s="52"/>
      <c r="DC386" s="105"/>
      <c r="DD386" s="98"/>
      <c r="DE386" s="279"/>
      <c r="DF386" s="52"/>
      <c r="DG386" s="105"/>
      <c r="DH386" s="98"/>
      <c r="DI386" s="279"/>
      <c r="DJ386" s="52"/>
      <c r="DK386" s="105"/>
      <c r="DL386" s="98"/>
      <c r="DM386" s="279"/>
      <c r="DN386" s="52"/>
      <c r="DO386" s="105"/>
      <c r="DP386" s="98"/>
      <c r="DQ386" s="279"/>
      <c r="DR386" s="52"/>
      <c r="DS386" s="105"/>
      <c r="DT386" s="98"/>
      <c r="DU386" s="279"/>
      <c r="DV386" s="52"/>
      <c r="DW386" s="105"/>
      <c r="DX386" s="98"/>
      <c r="DY386" s="279"/>
      <c r="DZ386" s="52"/>
      <c r="EA386" s="105"/>
      <c r="EB386" s="98"/>
      <c r="EC386" s="279"/>
      <c r="ED386" s="52"/>
      <c r="EE386" s="105"/>
      <c r="EF386" s="98"/>
      <c r="EG386" s="159"/>
      <c r="EH386" s="277"/>
      <c r="EI386" s="50">
        <f t="shared" si="150"/>
        <v>0</v>
      </c>
      <c r="EJ386" s="103">
        <f t="shared" si="151"/>
        <v>0</v>
      </c>
      <c r="EK386" s="164">
        <f t="shared" si="152"/>
        <v>0</v>
      </c>
      <c r="EL386" s="280">
        <f t="shared" si="153"/>
        <v>0</v>
      </c>
      <c r="EM386" s="63">
        <f t="shared" si="154"/>
        <v>0</v>
      </c>
      <c r="EN386" s="359">
        <f t="shared" si="155"/>
        <v>0</v>
      </c>
      <c r="EO386" s="51">
        <f t="shared" si="156"/>
        <v>0</v>
      </c>
      <c r="EP386" s="361">
        <f t="shared" si="157"/>
        <v>0</v>
      </c>
      <c r="EQ386" s="281"/>
      <c r="ER386" s="277"/>
      <c r="ES386" s="281"/>
      <c r="ET386" s="277"/>
      <c r="EU386" s="281"/>
      <c r="EV386" s="277"/>
      <c r="EW386" s="281"/>
      <c r="EX386" s="277"/>
      <c r="EY386" s="281"/>
      <c r="EZ386" s="277"/>
      <c r="FA386" s="281"/>
      <c r="FB386" s="277"/>
      <c r="FC386" s="281"/>
      <c r="FD386" s="277"/>
      <c r="FE386" s="281"/>
      <c r="FF386" s="277"/>
      <c r="FG386" s="281"/>
      <c r="FH386" s="277"/>
      <c r="FI386" s="281"/>
      <c r="FJ386" s="277"/>
      <c r="FK386" s="50">
        <f t="shared" si="158"/>
        <v>0</v>
      </c>
      <c r="FL386" s="63">
        <f t="shared" si="159"/>
        <v>0</v>
      </c>
      <c r="FM386" s="50">
        <f t="shared" si="141"/>
        <v>253</v>
      </c>
      <c r="FN386" s="360">
        <f t="shared" si="142"/>
        <v>283</v>
      </c>
      <c r="FO386" s="3"/>
      <c r="FP386" s="279"/>
      <c r="FQ386" s="52"/>
      <c r="FR386" s="296"/>
      <c r="FS386" s="98"/>
      <c r="FT386" s="467"/>
      <c r="FU386" s="52"/>
      <c r="FV386" s="296"/>
      <c r="FW386" s="98"/>
      <c r="FX386" s="467"/>
      <c r="FY386" s="52"/>
      <c r="FZ386" s="296"/>
      <c r="GA386" s="98"/>
      <c r="GB386" s="467"/>
      <c r="GC386" s="52"/>
      <c r="GD386" s="296"/>
      <c r="GE386" s="98"/>
      <c r="GF386" s="467"/>
      <c r="GG386" s="52"/>
      <c r="GH386" s="296"/>
      <c r="GI386" s="98"/>
      <c r="GJ386" s="467"/>
      <c r="GK386" s="52"/>
      <c r="GL386" s="296"/>
      <c r="GM386" s="464"/>
      <c r="GN386" s="467"/>
      <c r="GO386" s="52"/>
      <c r="GP386" s="296"/>
      <c r="GQ386" s="464"/>
      <c r="GR386" s="467"/>
      <c r="GS386" s="52"/>
      <c r="GT386" s="296"/>
      <c r="GU386" s="464"/>
      <c r="GV386" s="467"/>
      <c r="GW386" s="52"/>
      <c r="GX386" s="296"/>
      <c r="GY386" s="464"/>
      <c r="GZ386" s="467"/>
      <c r="HA386" s="52"/>
      <c r="HB386" s="296"/>
      <c r="HC386" s="3"/>
    </row>
    <row r="387" spans="1:211" s="86" customFormat="1">
      <c r="A387" s="521" t="s">
        <v>984</v>
      </c>
      <c r="B387" s="318" t="s">
        <v>1022</v>
      </c>
      <c r="C387" s="317">
        <v>199731</v>
      </c>
      <c r="D387" s="346">
        <v>9</v>
      </c>
      <c r="E387" s="460">
        <v>108</v>
      </c>
      <c r="F387" s="337">
        <v>114</v>
      </c>
      <c r="G387" s="158"/>
      <c r="H387" s="277"/>
      <c r="I387" s="158">
        <v>252</v>
      </c>
      <c r="J387" s="665">
        <v>248</v>
      </c>
      <c r="K387" s="160">
        <f t="shared" si="143"/>
        <v>0</v>
      </c>
      <c r="L387" s="161">
        <f t="shared" si="136"/>
        <v>0</v>
      </c>
      <c r="M387" s="54"/>
      <c r="N387" s="55"/>
      <c r="O387" s="55"/>
      <c r="P387" s="55"/>
      <c r="Q387" s="162">
        <f t="shared" si="144"/>
        <v>0</v>
      </c>
      <c r="R387" s="277"/>
      <c r="S387" s="277"/>
      <c r="T387" s="277"/>
      <c r="U387" s="277"/>
      <c r="V387" s="97">
        <f t="shared" si="145"/>
        <v>0</v>
      </c>
      <c r="W387" s="279"/>
      <c r="X387" s="52"/>
      <c r="Y387" s="99"/>
      <c r="Z387" s="53"/>
      <c r="AA387" s="228"/>
      <c r="AB387" s="52"/>
      <c r="AC387" s="99"/>
      <c r="AD387" s="53"/>
      <c r="AE387" s="228"/>
      <c r="AF387" s="52"/>
      <c r="AG387" s="99"/>
      <c r="AH387" s="53"/>
      <c r="AI387" s="228"/>
      <c r="AJ387" s="52"/>
      <c r="AK387" s="99"/>
      <c r="AL387" s="53"/>
      <c r="AM387" s="228"/>
      <c r="AN387" s="52"/>
      <c r="AO387" s="99"/>
      <c r="AP387" s="53"/>
      <c r="AQ387" s="50">
        <f t="shared" si="137"/>
        <v>0</v>
      </c>
      <c r="AR387" s="163">
        <f t="shared" si="138"/>
        <v>0</v>
      </c>
      <c r="AS387" s="97">
        <f t="shared" si="139"/>
        <v>0</v>
      </c>
      <c r="AT387" s="278">
        <f t="shared" si="140"/>
        <v>0</v>
      </c>
      <c r="AU387" s="55"/>
      <c r="AV387" s="277"/>
      <c r="AW387" s="279"/>
      <c r="AX387" s="52"/>
      <c r="AY387" s="105"/>
      <c r="AZ387" s="98"/>
      <c r="BA387" s="279"/>
      <c r="BB387" s="52"/>
      <c r="BC387" s="105"/>
      <c r="BD387" s="98"/>
      <c r="BE387" s="279"/>
      <c r="BF387" s="52"/>
      <c r="BG387" s="105"/>
      <c r="BH387" s="98"/>
      <c r="BI387" s="279"/>
      <c r="BJ387" s="52"/>
      <c r="BK387" s="105"/>
      <c r="BL387" s="98"/>
      <c r="BM387" s="279"/>
      <c r="BN387" s="52"/>
      <c r="BO387" s="105"/>
      <c r="BP387" s="98"/>
      <c r="BQ387" s="279"/>
      <c r="BR387" s="52"/>
      <c r="BS387" s="105"/>
      <c r="BT387" s="98"/>
      <c r="BU387" s="279"/>
      <c r="BV387" s="52"/>
      <c r="BW387" s="105"/>
      <c r="BX387" s="98"/>
      <c r="BY387" s="279"/>
      <c r="BZ387" s="52"/>
      <c r="CA387" s="105"/>
      <c r="CB387" s="98"/>
      <c r="CC387" s="279"/>
      <c r="CD387" s="52"/>
      <c r="CE387" s="105"/>
      <c r="CF387" s="98"/>
      <c r="CG387" s="279"/>
      <c r="CH387" s="52"/>
      <c r="CI387" s="105"/>
      <c r="CJ387" s="98"/>
      <c r="CK387" s="281"/>
      <c r="CL387" s="277"/>
      <c r="CM387" s="159"/>
      <c r="CN387" s="277"/>
      <c r="CO387" s="50">
        <f t="shared" si="146"/>
        <v>0</v>
      </c>
      <c r="CP387" s="103">
        <f t="shared" si="147"/>
        <v>0</v>
      </c>
      <c r="CQ387" s="280">
        <f t="shared" si="148"/>
        <v>0</v>
      </c>
      <c r="CR387" s="63">
        <f t="shared" si="149"/>
        <v>0</v>
      </c>
      <c r="CS387" s="279"/>
      <c r="CT387" s="52"/>
      <c r="CU387" s="105"/>
      <c r="CV387" s="98"/>
      <c r="CW387" s="279"/>
      <c r="CX387" s="52"/>
      <c r="CY387" s="105"/>
      <c r="CZ387" s="98"/>
      <c r="DA387" s="279"/>
      <c r="DB387" s="52"/>
      <c r="DC387" s="105"/>
      <c r="DD387" s="98"/>
      <c r="DE387" s="279"/>
      <c r="DF387" s="52"/>
      <c r="DG387" s="105"/>
      <c r="DH387" s="98"/>
      <c r="DI387" s="279"/>
      <c r="DJ387" s="52"/>
      <c r="DK387" s="105"/>
      <c r="DL387" s="98"/>
      <c r="DM387" s="279"/>
      <c r="DN387" s="52"/>
      <c r="DO387" s="105"/>
      <c r="DP387" s="98"/>
      <c r="DQ387" s="279"/>
      <c r="DR387" s="52"/>
      <c r="DS387" s="105"/>
      <c r="DT387" s="98"/>
      <c r="DU387" s="279"/>
      <c r="DV387" s="52"/>
      <c r="DW387" s="105"/>
      <c r="DX387" s="98"/>
      <c r="DY387" s="279"/>
      <c r="DZ387" s="52"/>
      <c r="EA387" s="105"/>
      <c r="EB387" s="98"/>
      <c r="EC387" s="279"/>
      <c r="ED387" s="52"/>
      <c r="EE387" s="105"/>
      <c r="EF387" s="98"/>
      <c r="EG387" s="159"/>
      <c r="EH387" s="277"/>
      <c r="EI387" s="50">
        <f t="shared" si="150"/>
        <v>0</v>
      </c>
      <c r="EJ387" s="103">
        <f t="shared" si="151"/>
        <v>0</v>
      </c>
      <c r="EK387" s="164">
        <f t="shared" si="152"/>
        <v>0</v>
      </c>
      <c r="EL387" s="280">
        <f t="shared" si="153"/>
        <v>0</v>
      </c>
      <c r="EM387" s="63">
        <f t="shared" si="154"/>
        <v>0</v>
      </c>
      <c r="EN387" s="359">
        <f t="shared" si="155"/>
        <v>0</v>
      </c>
      <c r="EO387" s="51">
        <f t="shared" si="156"/>
        <v>0</v>
      </c>
      <c r="EP387" s="361">
        <f t="shared" si="157"/>
        <v>0</v>
      </c>
      <c r="EQ387" s="281"/>
      <c r="ER387" s="277"/>
      <c r="ES387" s="281"/>
      <c r="ET387" s="277"/>
      <c r="EU387" s="281"/>
      <c r="EV387" s="277"/>
      <c r="EW387" s="281"/>
      <c r="EX387" s="277"/>
      <c r="EY387" s="281"/>
      <c r="EZ387" s="277"/>
      <c r="FA387" s="281"/>
      <c r="FB387" s="277"/>
      <c r="FC387" s="281"/>
      <c r="FD387" s="277"/>
      <c r="FE387" s="281"/>
      <c r="FF387" s="277"/>
      <c r="FG387" s="281"/>
      <c r="FH387" s="277"/>
      <c r="FI387" s="281"/>
      <c r="FJ387" s="277"/>
      <c r="FK387" s="50">
        <f t="shared" si="158"/>
        <v>0</v>
      </c>
      <c r="FL387" s="63">
        <f t="shared" si="159"/>
        <v>0</v>
      </c>
      <c r="FM387" s="50">
        <f t="shared" si="141"/>
        <v>360</v>
      </c>
      <c r="FN387" s="360">
        <f t="shared" si="142"/>
        <v>362</v>
      </c>
      <c r="FO387" s="3"/>
      <c r="FP387" s="279"/>
      <c r="FQ387" s="52"/>
      <c r="FR387" s="296"/>
      <c r="FS387" s="98"/>
      <c r="FT387" s="467"/>
      <c r="FU387" s="52"/>
      <c r="FV387" s="296"/>
      <c r="FW387" s="98"/>
      <c r="FX387" s="467"/>
      <c r="FY387" s="52"/>
      <c r="FZ387" s="296"/>
      <c r="GA387" s="98"/>
      <c r="GB387" s="467"/>
      <c r="GC387" s="52"/>
      <c r="GD387" s="296"/>
      <c r="GE387" s="98"/>
      <c r="GF387" s="467"/>
      <c r="GG387" s="52"/>
      <c r="GH387" s="296"/>
      <c r="GI387" s="98"/>
      <c r="GJ387" s="467"/>
      <c r="GK387" s="52"/>
      <c r="GL387" s="296"/>
      <c r="GM387" s="464"/>
      <c r="GN387" s="467"/>
      <c r="GO387" s="52"/>
      <c r="GP387" s="296"/>
      <c r="GQ387" s="464"/>
      <c r="GR387" s="467"/>
      <c r="GS387" s="52"/>
      <c r="GT387" s="296"/>
      <c r="GU387" s="464"/>
      <c r="GV387" s="467"/>
      <c r="GW387" s="52"/>
      <c r="GX387" s="296"/>
      <c r="GY387" s="464"/>
      <c r="GZ387" s="467"/>
      <c r="HA387" s="52"/>
      <c r="HB387" s="296"/>
      <c r="HC387" s="3"/>
    </row>
    <row r="388" spans="1:211" s="86" customFormat="1">
      <c r="A388" s="521" t="s">
        <v>984</v>
      </c>
      <c r="B388" s="318" t="s">
        <v>1023</v>
      </c>
      <c r="C388" s="317">
        <v>199740</v>
      </c>
      <c r="D388" s="346">
        <v>9</v>
      </c>
      <c r="E388" s="460">
        <v>283</v>
      </c>
      <c r="F388" s="337">
        <v>279</v>
      </c>
      <c r="G388" s="158"/>
      <c r="H388" s="277"/>
      <c r="I388" s="158">
        <v>253</v>
      </c>
      <c r="J388" s="665">
        <v>273</v>
      </c>
      <c r="K388" s="160">
        <f t="shared" si="143"/>
        <v>0</v>
      </c>
      <c r="L388" s="161">
        <f t="shared" si="136"/>
        <v>0</v>
      </c>
      <c r="M388" s="54"/>
      <c r="N388" s="55"/>
      <c r="O388" s="55"/>
      <c r="P388" s="55"/>
      <c r="Q388" s="162">
        <f t="shared" si="144"/>
        <v>0</v>
      </c>
      <c r="R388" s="277"/>
      <c r="S388" s="277"/>
      <c r="T388" s="277"/>
      <c r="U388" s="277"/>
      <c r="V388" s="97">
        <f t="shared" si="145"/>
        <v>0</v>
      </c>
      <c r="W388" s="279"/>
      <c r="X388" s="52"/>
      <c r="Y388" s="99"/>
      <c r="Z388" s="53"/>
      <c r="AA388" s="228"/>
      <c r="AB388" s="52"/>
      <c r="AC388" s="99"/>
      <c r="AD388" s="53"/>
      <c r="AE388" s="228"/>
      <c r="AF388" s="52"/>
      <c r="AG388" s="99"/>
      <c r="AH388" s="53"/>
      <c r="AI388" s="228"/>
      <c r="AJ388" s="52"/>
      <c r="AK388" s="99"/>
      <c r="AL388" s="53"/>
      <c r="AM388" s="228"/>
      <c r="AN388" s="52"/>
      <c r="AO388" s="99"/>
      <c r="AP388" s="53"/>
      <c r="AQ388" s="50">
        <f t="shared" si="137"/>
        <v>0</v>
      </c>
      <c r="AR388" s="163">
        <f t="shared" si="138"/>
        <v>0</v>
      </c>
      <c r="AS388" s="97">
        <f t="shared" si="139"/>
        <v>0</v>
      </c>
      <c r="AT388" s="278">
        <f t="shared" si="140"/>
        <v>0</v>
      </c>
      <c r="AU388" s="55"/>
      <c r="AV388" s="277"/>
      <c r="AW388" s="279"/>
      <c r="AX388" s="52"/>
      <c r="AY388" s="105"/>
      <c r="AZ388" s="98"/>
      <c r="BA388" s="279"/>
      <c r="BB388" s="52"/>
      <c r="BC388" s="105"/>
      <c r="BD388" s="98"/>
      <c r="BE388" s="279"/>
      <c r="BF388" s="52"/>
      <c r="BG388" s="105"/>
      <c r="BH388" s="98"/>
      <c r="BI388" s="279"/>
      <c r="BJ388" s="52"/>
      <c r="BK388" s="105"/>
      <c r="BL388" s="98"/>
      <c r="BM388" s="279"/>
      <c r="BN388" s="52"/>
      <c r="BO388" s="105"/>
      <c r="BP388" s="98"/>
      <c r="BQ388" s="279"/>
      <c r="BR388" s="52"/>
      <c r="BS388" s="105"/>
      <c r="BT388" s="98"/>
      <c r="BU388" s="279"/>
      <c r="BV388" s="52"/>
      <c r="BW388" s="105"/>
      <c r="BX388" s="98"/>
      <c r="BY388" s="279"/>
      <c r="BZ388" s="52"/>
      <c r="CA388" s="105"/>
      <c r="CB388" s="98"/>
      <c r="CC388" s="279"/>
      <c r="CD388" s="52"/>
      <c r="CE388" s="105"/>
      <c r="CF388" s="98"/>
      <c r="CG388" s="279"/>
      <c r="CH388" s="52"/>
      <c r="CI388" s="105"/>
      <c r="CJ388" s="98"/>
      <c r="CK388" s="281"/>
      <c r="CL388" s="277"/>
      <c r="CM388" s="159"/>
      <c r="CN388" s="277"/>
      <c r="CO388" s="50">
        <f t="shared" si="146"/>
        <v>0</v>
      </c>
      <c r="CP388" s="103">
        <f t="shared" si="147"/>
        <v>0</v>
      </c>
      <c r="CQ388" s="280">
        <f t="shared" si="148"/>
        <v>0</v>
      </c>
      <c r="CR388" s="63">
        <f t="shared" si="149"/>
        <v>0</v>
      </c>
      <c r="CS388" s="279"/>
      <c r="CT388" s="52"/>
      <c r="CU388" s="105"/>
      <c r="CV388" s="98"/>
      <c r="CW388" s="279"/>
      <c r="CX388" s="52"/>
      <c r="CY388" s="105"/>
      <c r="CZ388" s="98"/>
      <c r="DA388" s="279"/>
      <c r="DB388" s="52"/>
      <c r="DC388" s="105"/>
      <c r="DD388" s="98"/>
      <c r="DE388" s="279"/>
      <c r="DF388" s="52"/>
      <c r="DG388" s="105"/>
      <c r="DH388" s="98"/>
      <c r="DI388" s="279"/>
      <c r="DJ388" s="52"/>
      <c r="DK388" s="105"/>
      <c r="DL388" s="98"/>
      <c r="DM388" s="279"/>
      <c r="DN388" s="52"/>
      <c r="DO388" s="105"/>
      <c r="DP388" s="98"/>
      <c r="DQ388" s="279"/>
      <c r="DR388" s="52"/>
      <c r="DS388" s="105"/>
      <c r="DT388" s="98"/>
      <c r="DU388" s="279"/>
      <c r="DV388" s="52"/>
      <c r="DW388" s="105"/>
      <c r="DX388" s="98"/>
      <c r="DY388" s="279"/>
      <c r="DZ388" s="52"/>
      <c r="EA388" s="105"/>
      <c r="EB388" s="98"/>
      <c r="EC388" s="279"/>
      <c r="ED388" s="52"/>
      <c r="EE388" s="105"/>
      <c r="EF388" s="98"/>
      <c r="EG388" s="159"/>
      <c r="EH388" s="277"/>
      <c r="EI388" s="50">
        <f t="shared" si="150"/>
        <v>0</v>
      </c>
      <c r="EJ388" s="103">
        <f t="shared" si="151"/>
        <v>0</v>
      </c>
      <c r="EK388" s="164">
        <f t="shared" si="152"/>
        <v>0</v>
      </c>
      <c r="EL388" s="280">
        <f t="shared" si="153"/>
        <v>0</v>
      </c>
      <c r="EM388" s="63">
        <f t="shared" si="154"/>
        <v>0</v>
      </c>
      <c r="EN388" s="359">
        <f t="shared" si="155"/>
        <v>0</v>
      </c>
      <c r="EO388" s="51">
        <f t="shared" si="156"/>
        <v>0</v>
      </c>
      <c r="EP388" s="361">
        <f t="shared" si="157"/>
        <v>0</v>
      </c>
      <c r="EQ388" s="281"/>
      <c r="ER388" s="277"/>
      <c r="ES388" s="281"/>
      <c r="ET388" s="277"/>
      <c r="EU388" s="281"/>
      <c r="EV388" s="277"/>
      <c r="EW388" s="281"/>
      <c r="EX388" s="277"/>
      <c r="EY388" s="281"/>
      <c r="EZ388" s="277"/>
      <c r="FA388" s="281"/>
      <c r="FB388" s="277"/>
      <c r="FC388" s="281"/>
      <c r="FD388" s="277"/>
      <c r="FE388" s="281"/>
      <c r="FF388" s="277"/>
      <c r="FG388" s="281"/>
      <c r="FH388" s="277"/>
      <c r="FI388" s="281"/>
      <c r="FJ388" s="277"/>
      <c r="FK388" s="50">
        <f t="shared" si="158"/>
        <v>0</v>
      </c>
      <c r="FL388" s="63">
        <f t="shared" si="159"/>
        <v>0</v>
      </c>
      <c r="FM388" s="50">
        <f t="shared" si="141"/>
        <v>536</v>
      </c>
      <c r="FN388" s="360">
        <f t="shared" si="142"/>
        <v>552</v>
      </c>
      <c r="FO388" s="3"/>
      <c r="FP388" s="279"/>
      <c r="FQ388" s="52"/>
      <c r="FR388" s="296"/>
      <c r="FS388" s="98"/>
      <c r="FT388" s="467"/>
      <c r="FU388" s="52"/>
      <c r="FV388" s="296"/>
      <c r="FW388" s="98"/>
      <c r="FX388" s="467"/>
      <c r="FY388" s="52"/>
      <c r="FZ388" s="296"/>
      <c r="GA388" s="98"/>
      <c r="GB388" s="467"/>
      <c r="GC388" s="52"/>
      <c r="GD388" s="296"/>
      <c r="GE388" s="98"/>
      <c r="GF388" s="467"/>
      <c r="GG388" s="52"/>
      <c r="GH388" s="296"/>
      <c r="GI388" s="98"/>
      <c r="GJ388" s="467"/>
      <c r="GK388" s="52"/>
      <c r="GL388" s="296"/>
      <c r="GM388" s="464"/>
      <c r="GN388" s="467"/>
      <c r="GO388" s="52"/>
      <c r="GP388" s="296"/>
      <c r="GQ388" s="464"/>
      <c r="GR388" s="467"/>
      <c r="GS388" s="52"/>
      <c r="GT388" s="296"/>
      <c r="GU388" s="464"/>
      <c r="GV388" s="467"/>
      <c r="GW388" s="52"/>
      <c r="GX388" s="296"/>
      <c r="GY388" s="464"/>
      <c r="GZ388" s="467"/>
      <c r="HA388" s="52"/>
      <c r="HB388" s="296"/>
      <c r="HC388" s="3"/>
    </row>
    <row r="389" spans="1:211" s="86" customFormat="1">
      <c r="A389" s="521" t="s">
        <v>984</v>
      </c>
      <c r="B389" s="318" t="s">
        <v>1024</v>
      </c>
      <c r="C389" s="317">
        <v>199768</v>
      </c>
      <c r="D389" s="346">
        <v>9</v>
      </c>
      <c r="E389" s="460">
        <v>71</v>
      </c>
      <c r="F389" s="337">
        <v>96</v>
      </c>
      <c r="G389" s="158"/>
      <c r="H389" s="277"/>
      <c r="I389" s="158">
        <v>347</v>
      </c>
      <c r="J389" s="665">
        <v>371</v>
      </c>
      <c r="K389" s="160">
        <f t="shared" si="143"/>
        <v>0</v>
      </c>
      <c r="L389" s="161">
        <f t="shared" si="136"/>
        <v>0</v>
      </c>
      <c r="M389" s="54"/>
      <c r="N389" s="55"/>
      <c r="O389" s="55"/>
      <c r="P389" s="55"/>
      <c r="Q389" s="162">
        <f t="shared" si="144"/>
        <v>0</v>
      </c>
      <c r="R389" s="277"/>
      <c r="S389" s="277"/>
      <c r="T389" s="277"/>
      <c r="U389" s="277"/>
      <c r="V389" s="97">
        <f t="shared" si="145"/>
        <v>0</v>
      </c>
      <c r="W389" s="279"/>
      <c r="X389" s="52"/>
      <c r="Y389" s="99"/>
      <c r="Z389" s="53"/>
      <c r="AA389" s="228"/>
      <c r="AB389" s="52"/>
      <c r="AC389" s="99"/>
      <c r="AD389" s="53"/>
      <c r="AE389" s="228"/>
      <c r="AF389" s="52"/>
      <c r="AG389" s="99"/>
      <c r="AH389" s="53"/>
      <c r="AI389" s="228"/>
      <c r="AJ389" s="52"/>
      <c r="AK389" s="99"/>
      <c r="AL389" s="53"/>
      <c r="AM389" s="228"/>
      <c r="AN389" s="52"/>
      <c r="AO389" s="99"/>
      <c r="AP389" s="53"/>
      <c r="AQ389" s="50">
        <f t="shared" si="137"/>
        <v>0</v>
      </c>
      <c r="AR389" s="163">
        <f t="shared" si="138"/>
        <v>0</v>
      </c>
      <c r="AS389" s="97">
        <f t="shared" si="139"/>
        <v>0</v>
      </c>
      <c r="AT389" s="278">
        <f t="shared" si="140"/>
        <v>0</v>
      </c>
      <c r="AU389" s="55"/>
      <c r="AV389" s="277"/>
      <c r="AW389" s="279"/>
      <c r="AX389" s="52"/>
      <c r="AY389" s="105"/>
      <c r="AZ389" s="98"/>
      <c r="BA389" s="279"/>
      <c r="BB389" s="52"/>
      <c r="BC389" s="105"/>
      <c r="BD389" s="98"/>
      <c r="BE389" s="279"/>
      <c r="BF389" s="52"/>
      <c r="BG389" s="105"/>
      <c r="BH389" s="98"/>
      <c r="BI389" s="279"/>
      <c r="BJ389" s="52"/>
      <c r="BK389" s="105"/>
      <c r="BL389" s="98"/>
      <c r="BM389" s="279"/>
      <c r="BN389" s="52"/>
      <c r="BO389" s="105"/>
      <c r="BP389" s="98"/>
      <c r="BQ389" s="279"/>
      <c r="BR389" s="52"/>
      <c r="BS389" s="105"/>
      <c r="BT389" s="98"/>
      <c r="BU389" s="279"/>
      <c r="BV389" s="52"/>
      <c r="BW389" s="105"/>
      <c r="BX389" s="98"/>
      <c r="BY389" s="279"/>
      <c r="BZ389" s="52"/>
      <c r="CA389" s="105"/>
      <c r="CB389" s="98"/>
      <c r="CC389" s="279"/>
      <c r="CD389" s="52"/>
      <c r="CE389" s="105"/>
      <c r="CF389" s="98"/>
      <c r="CG389" s="279"/>
      <c r="CH389" s="52"/>
      <c r="CI389" s="105"/>
      <c r="CJ389" s="98"/>
      <c r="CK389" s="281"/>
      <c r="CL389" s="277"/>
      <c r="CM389" s="159"/>
      <c r="CN389" s="277"/>
      <c r="CO389" s="50">
        <f t="shared" si="146"/>
        <v>0</v>
      </c>
      <c r="CP389" s="103">
        <f t="shared" si="147"/>
        <v>0</v>
      </c>
      <c r="CQ389" s="280">
        <f t="shared" si="148"/>
        <v>0</v>
      </c>
      <c r="CR389" s="63">
        <f t="shared" si="149"/>
        <v>0</v>
      </c>
      <c r="CS389" s="279"/>
      <c r="CT389" s="52"/>
      <c r="CU389" s="105"/>
      <c r="CV389" s="98"/>
      <c r="CW389" s="279"/>
      <c r="CX389" s="52"/>
      <c r="CY389" s="105"/>
      <c r="CZ389" s="98"/>
      <c r="DA389" s="279"/>
      <c r="DB389" s="52"/>
      <c r="DC389" s="105"/>
      <c r="DD389" s="98"/>
      <c r="DE389" s="279"/>
      <c r="DF389" s="52"/>
      <c r="DG389" s="105"/>
      <c r="DH389" s="98"/>
      <c r="DI389" s="279"/>
      <c r="DJ389" s="52"/>
      <c r="DK389" s="105"/>
      <c r="DL389" s="98"/>
      <c r="DM389" s="279"/>
      <c r="DN389" s="52"/>
      <c r="DO389" s="105"/>
      <c r="DP389" s="98"/>
      <c r="DQ389" s="279"/>
      <c r="DR389" s="52"/>
      <c r="DS389" s="105"/>
      <c r="DT389" s="98"/>
      <c r="DU389" s="279"/>
      <c r="DV389" s="52"/>
      <c r="DW389" s="105"/>
      <c r="DX389" s="98"/>
      <c r="DY389" s="279"/>
      <c r="DZ389" s="52"/>
      <c r="EA389" s="105"/>
      <c r="EB389" s="98"/>
      <c r="EC389" s="279"/>
      <c r="ED389" s="52"/>
      <c r="EE389" s="105"/>
      <c r="EF389" s="98"/>
      <c r="EG389" s="159"/>
      <c r="EH389" s="277"/>
      <c r="EI389" s="50">
        <f t="shared" si="150"/>
        <v>0</v>
      </c>
      <c r="EJ389" s="103">
        <f t="shared" si="151"/>
        <v>0</v>
      </c>
      <c r="EK389" s="164">
        <f t="shared" si="152"/>
        <v>0</v>
      </c>
      <c r="EL389" s="280">
        <f t="shared" si="153"/>
        <v>0</v>
      </c>
      <c r="EM389" s="63">
        <f t="shared" si="154"/>
        <v>0</v>
      </c>
      <c r="EN389" s="359">
        <f t="shared" si="155"/>
        <v>0</v>
      </c>
      <c r="EO389" s="51">
        <f t="shared" si="156"/>
        <v>0</v>
      </c>
      <c r="EP389" s="361">
        <f t="shared" si="157"/>
        <v>0</v>
      </c>
      <c r="EQ389" s="281"/>
      <c r="ER389" s="277"/>
      <c r="ES389" s="281"/>
      <c r="ET389" s="277"/>
      <c r="EU389" s="281"/>
      <c r="EV389" s="277"/>
      <c r="EW389" s="281"/>
      <c r="EX389" s="277"/>
      <c r="EY389" s="281"/>
      <c r="EZ389" s="277"/>
      <c r="FA389" s="281"/>
      <c r="FB389" s="277"/>
      <c r="FC389" s="281"/>
      <c r="FD389" s="277"/>
      <c r="FE389" s="281"/>
      <c r="FF389" s="277"/>
      <c r="FG389" s="281"/>
      <c r="FH389" s="277"/>
      <c r="FI389" s="281"/>
      <c r="FJ389" s="277"/>
      <c r="FK389" s="50">
        <f t="shared" si="158"/>
        <v>0</v>
      </c>
      <c r="FL389" s="63">
        <f t="shared" si="159"/>
        <v>0</v>
      </c>
      <c r="FM389" s="50">
        <f t="shared" si="141"/>
        <v>418</v>
      </c>
      <c r="FN389" s="360">
        <f t="shared" si="142"/>
        <v>467</v>
      </c>
      <c r="FO389" s="3"/>
      <c r="FP389" s="279"/>
      <c r="FQ389" s="52"/>
      <c r="FR389" s="296"/>
      <c r="FS389" s="98"/>
      <c r="FT389" s="467"/>
      <c r="FU389" s="52"/>
      <c r="FV389" s="296"/>
      <c r="FW389" s="98"/>
      <c r="FX389" s="467"/>
      <c r="FY389" s="52"/>
      <c r="FZ389" s="296"/>
      <c r="GA389" s="98"/>
      <c r="GB389" s="467"/>
      <c r="GC389" s="52"/>
      <c r="GD389" s="296"/>
      <c r="GE389" s="98"/>
      <c r="GF389" s="467"/>
      <c r="GG389" s="52"/>
      <c r="GH389" s="296"/>
      <c r="GI389" s="98"/>
      <c r="GJ389" s="467"/>
      <c r="GK389" s="52"/>
      <c r="GL389" s="296"/>
      <c r="GM389" s="464"/>
      <c r="GN389" s="467"/>
      <c r="GO389" s="52"/>
      <c r="GP389" s="296"/>
      <c r="GQ389" s="464"/>
      <c r="GR389" s="467"/>
      <c r="GS389" s="52"/>
      <c r="GT389" s="296"/>
      <c r="GU389" s="464"/>
      <c r="GV389" s="467"/>
      <c r="GW389" s="52"/>
      <c r="GX389" s="296"/>
      <c r="GY389" s="464"/>
      <c r="GZ389" s="467"/>
      <c r="HA389" s="52"/>
      <c r="HB389" s="296"/>
      <c r="HC389" s="3"/>
    </row>
    <row r="390" spans="1:211" s="86" customFormat="1">
      <c r="A390" s="521" t="s">
        <v>984</v>
      </c>
      <c r="B390" s="318" t="s">
        <v>1025</v>
      </c>
      <c r="C390" s="317">
        <v>199838</v>
      </c>
      <c r="D390" s="346">
        <v>9</v>
      </c>
      <c r="E390" s="460">
        <v>264</v>
      </c>
      <c r="F390" s="337">
        <v>320</v>
      </c>
      <c r="G390" s="158"/>
      <c r="H390" s="277"/>
      <c r="I390" s="158">
        <v>328</v>
      </c>
      <c r="J390" s="665">
        <v>323</v>
      </c>
      <c r="K390" s="160">
        <f t="shared" si="143"/>
        <v>0</v>
      </c>
      <c r="L390" s="161">
        <f t="shared" si="136"/>
        <v>0</v>
      </c>
      <c r="M390" s="54"/>
      <c r="N390" s="55"/>
      <c r="O390" s="55"/>
      <c r="P390" s="55"/>
      <c r="Q390" s="162">
        <f t="shared" si="144"/>
        <v>0</v>
      </c>
      <c r="R390" s="277"/>
      <c r="S390" s="277"/>
      <c r="T390" s="277"/>
      <c r="U390" s="277"/>
      <c r="V390" s="97">
        <f t="shared" si="145"/>
        <v>0</v>
      </c>
      <c r="W390" s="279"/>
      <c r="X390" s="52"/>
      <c r="Y390" s="99"/>
      <c r="Z390" s="53"/>
      <c r="AA390" s="228"/>
      <c r="AB390" s="52"/>
      <c r="AC390" s="99"/>
      <c r="AD390" s="53"/>
      <c r="AE390" s="228"/>
      <c r="AF390" s="52"/>
      <c r="AG390" s="99"/>
      <c r="AH390" s="53"/>
      <c r="AI390" s="228"/>
      <c r="AJ390" s="52"/>
      <c r="AK390" s="99"/>
      <c r="AL390" s="53"/>
      <c r="AM390" s="228"/>
      <c r="AN390" s="52"/>
      <c r="AO390" s="99"/>
      <c r="AP390" s="53"/>
      <c r="AQ390" s="50">
        <f t="shared" si="137"/>
        <v>0</v>
      </c>
      <c r="AR390" s="163">
        <f t="shared" si="138"/>
        <v>0</v>
      </c>
      <c r="AS390" s="97">
        <f t="shared" si="139"/>
        <v>0</v>
      </c>
      <c r="AT390" s="278">
        <f t="shared" si="140"/>
        <v>0</v>
      </c>
      <c r="AU390" s="55"/>
      <c r="AV390" s="277"/>
      <c r="AW390" s="279"/>
      <c r="AX390" s="52"/>
      <c r="AY390" s="105"/>
      <c r="AZ390" s="98"/>
      <c r="BA390" s="279"/>
      <c r="BB390" s="52"/>
      <c r="BC390" s="105"/>
      <c r="BD390" s="98"/>
      <c r="BE390" s="279"/>
      <c r="BF390" s="52"/>
      <c r="BG390" s="105"/>
      <c r="BH390" s="98"/>
      <c r="BI390" s="279"/>
      <c r="BJ390" s="52"/>
      <c r="BK390" s="105"/>
      <c r="BL390" s="98"/>
      <c r="BM390" s="279"/>
      <c r="BN390" s="52"/>
      <c r="BO390" s="105"/>
      <c r="BP390" s="98"/>
      <c r="BQ390" s="279"/>
      <c r="BR390" s="52"/>
      <c r="BS390" s="105"/>
      <c r="BT390" s="98"/>
      <c r="BU390" s="279"/>
      <c r="BV390" s="52"/>
      <c r="BW390" s="105"/>
      <c r="BX390" s="98"/>
      <c r="BY390" s="279"/>
      <c r="BZ390" s="52"/>
      <c r="CA390" s="105"/>
      <c r="CB390" s="98"/>
      <c r="CC390" s="279"/>
      <c r="CD390" s="52"/>
      <c r="CE390" s="105"/>
      <c r="CF390" s="98"/>
      <c r="CG390" s="279"/>
      <c r="CH390" s="52"/>
      <c r="CI390" s="105"/>
      <c r="CJ390" s="98"/>
      <c r="CK390" s="281"/>
      <c r="CL390" s="277"/>
      <c r="CM390" s="159"/>
      <c r="CN390" s="277"/>
      <c r="CO390" s="50">
        <f t="shared" si="146"/>
        <v>0</v>
      </c>
      <c r="CP390" s="103">
        <f t="shared" si="147"/>
        <v>0</v>
      </c>
      <c r="CQ390" s="280">
        <f t="shared" si="148"/>
        <v>0</v>
      </c>
      <c r="CR390" s="63">
        <f t="shared" si="149"/>
        <v>0</v>
      </c>
      <c r="CS390" s="279"/>
      <c r="CT390" s="52"/>
      <c r="CU390" s="105"/>
      <c r="CV390" s="98"/>
      <c r="CW390" s="279"/>
      <c r="CX390" s="52"/>
      <c r="CY390" s="105"/>
      <c r="CZ390" s="98"/>
      <c r="DA390" s="279"/>
      <c r="DB390" s="52"/>
      <c r="DC390" s="105"/>
      <c r="DD390" s="98"/>
      <c r="DE390" s="279"/>
      <c r="DF390" s="52"/>
      <c r="DG390" s="105"/>
      <c r="DH390" s="98"/>
      <c r="DI390" s="279"/>
      <c r="DJ390" s="52"/>
      <c r="DK390" s="105"/>
      <c r="DL390" s="98"/>
      <c r="DM390" s="279"/>
      <c r="DN390" s="52"/>
      <c r="DO390" s="105"/>
      <c r="DP390" s="98"/>
      <c r="DQ390" s="279"/>
      <c r="DR390" s="52"/>
      <c r="DS390" s="105"/>
      <c r="DT390" s="98"/>
      <c r="DU390" s="279"/>
      <c r="DV390" s="52"/>
      <c r="DW390" s="105"/>
      <c r="DX390" s="98"/>
      <c r="DY390" s="279"/>
      <c r="DZ390" s="52"/>
      <c r="EA390" s="105"/>
      <c r="EB390" s="98"/>
      <c r="EC390" s="279"/>
      <c r="ED390" s="52"/>
      <c r="EE390" s="105"/>
      <c r="EF390" s="98"/>
      <c r="EG390" s="159"/>
      <c r="EH390" s="277"/>
      <c r="EI390" s="50">
        <f t="shared" si="150"/>
        <v>0</v>
      </c>
      <c r="EJ390" s="103">
        <f t="shared" si="151"/>
        <v>0</v>
      </c>
      <c r="EK390" s="164">
        <f t="shared" si="152"/>
        <v>0</v>
      </c>
      <c r="EL390" s="280">
        <f t="shared" si="153"/>
        <v>0</v>
      </c>
      <c r="EM390" s="63">
        <f t="shared" si="154"/>
        <v>0</v>
      </c>
      <c r="EN390" s="359">
        <f t="shared" si="155"/>
        <v>0</v>
      </c>
      <c r="EO390" s="51">
        <f t="shared" si="156"/>
        <v>0</v>
      </c>
      <c r="EP390" s="361">
        <f t="shared" si="157"/>
        <v>0</v>
      </c>
      <c r="EQ390" s="281"/>
      <c r="ER390" s="277"/>
      <c r="ES390" s="281"/>
      <c r="ET390" s="277"/>
      <c r="EU390" s="281"/>
      <c r="EV390" s="277"/>
      <c r="EW390" s="281"/>
      <c r="EX390" s="277"/>
      <c r="EY390" s="281"/>
      <c r="EZ390" s="277"/>
      <c r="FA390" s="281"/>
      <c r="FB390" s="277"/>
      <c r="FC390" s="281"/>
      <c r="FD390" s="277"/>
      <c r="FE390" s="281"/>
      <c r="FF390" s="277"/>
      <c r="FG390" s="281"/>
      <c r="FH390" s="277"/>
      <c r="FI390" s="281"/>
      <c r="FJ390" s="277"/>
      <c r="FK390" s="50">
        <f t="shared" si="158"/>
        <v>0</v>
      </c>
      <c r="FL390" s="63">
        <f t="shared" si="159"/>
        <v>0</v>
      </c>
      <c r="FM390" s="50">
        <f t="shared" si="141"/>
        <v>592</v>
      </c>
      <c r="FN390" s="360">
        <f t="shared" si="142"/>
        <v>643</v>
      </c>
      <c r="FO390" s="3"/>
      <c r="FP390" s="279"/>
      <c r="FQ390" s="52"/>
      <c r="FR390" s="296"/>
      <c r="FS390" s="98"/>
      <c r="FT390" s="467"/>
      <c r="FU390" s="52"/>
      <c r="FV390" s="296"/>
      <c r="FW390" s="98"/>
      <c r="FX390" s="467"/>
      <c r="FY390" s="52"/>
      <c r="FZ390" s="296"/>
      <c r="GA390" s="98"/>
      <c r="GB390" s="467"/>
      <c r="GC390" s="52"/>
      <c r="GD390" s="296"/>
      <c r="GE390" s="98"/>
      <c r="GF390" s="467"/>
      <c r="GG390" s="52"/>
      <c r="GH390" s="296"/>
      <c r="GI390" s="98"/>
      <c r="GJ390" s="467"/>
      <c r="GK390" s="52"/>
      <c r="GL390" s="296"/>
      <c r="GM390" s="464"/>
      <c r="GN390" s="467"/>
      <c r="GO390" s="52"/>
      <c r="GP390" s="296"/>
      <c r="GQ390" s="464"/>
      <c r="GR390" s="467"/>
      <c r="GS390" s="52"/>
      <c r="GT390" s="296"/>
      <c r="GU390" s="464"/>
      <c r="GV390" s="467"/>
      <c r="GW390" s="52"/>
      <c r="GX390" s="296"/>
      <c r="GY390" s="464"/>
      <c r="GZ390" s="467"/>
      <c r="HA390" s="52"/>
      <c r="HB390" s="296"/>
      <c r="HC390" s="3"/>
    </row>
    <row r="391" spans="1:211" s="86" customFormat="1">
      <c r="A391" s="521" t="s">
        <v>984</v>
      </c>
      <c r="B391" s="318" t="s">
        <v>1026</v>
      </c>
      <c r="C391" s="317">
        <v>199892</v>
      </c>
      <c r="D391" s="346">
        <v>9</v>
      </c>
      <c r="E391" s="460">
        <v>124</v>
      </c>
      <c r="F391" s="337">
        <v>159</v>
      </c>
      <c r="G391" s="158"/>
      <c r="H391" s="277"/>
      <c r="I391" s="158">
        <v>350</v>
      </c>
      <c r="J391" s="665">
        <v>357</v>
      </c>
      <c r="K391" s="160">
        <f t="shared" si="143"/>
        <v>0</v>
      </c>
      <c r="L391" s="161">
        <f t="shared" si="136"/>
        <v>0</v>
      </c>
      <c r="M391" s="54"/>
      <c r="N391" s="55"/>
      <c r="O391" s="55"/>
      <c r="P391" s="55"/>
      <c r="Q391" s="162">
        <f t="shared" si="144"/>
        <v>0</v>
      </c>
      <c r="R391" s="277"/>
      <c r="S391" s="277"/>
      <c r="T391" s="277"/>
      <c r="U391" s="277"/>
      <c r="V391" s="97">
        <f t="shared" si="145"/>
        <v>0</v>
      </c>
      <c r="W391" s="279"/>
      <c r="X391" s="52"/>
      <c r="Y391" s="99"/>
      <c r="Z391" s="53"/>
      <c r="AA391" s="228"/>
      <c r="AB391" s="52"/>
      <c r="AC391" s="99"/>
      <c r="AD391" s="53"/>
      <c r="AE391" s="228"/>
      <c r="AF391" s="52"/>
      <c r="AG391" s="99"/>
      <c r="AH391" s="53"/>
      <c r="AI391" s="228"/>
      <c r="AJ391" s="52"/>
      <c r="AK391" s="99"/>
      <c r="AL391" s="53"/>
      <c r="AM391" s="228"/>
      <c r="AN391" s="52"/>
      <c r="AO391" s="99"/>
      <c r="AP391" s="53"/>
      <c r="AQ391" s="50">
        <f t="shared" si="137"/>
        <v>0</v>
      </c>
      <c r="AR391" s="163">
        <f t="shared" si="138"/>
        <v>0</v>
      </c>
      <c r="AS391" s="97">
        <f t="shared" si="139"/>
        <v>0</v>
      </c>
      <c r="AT391" s="278">
        <f t="shared" si="140"/>
        <v>0</v>
      </c>
      <c r="AU391" s="55"/>
      <c r="AV391" s="277"/>
      <c r="AW391" s="279"/>
      <c r="AX391" s="52"/>
      <c r="AY391" s="105"/>
      <c r="AZ391" s="98"/>
      <c r="BA391" s="279"/>
      <c r="BB391" s="52"/>
      <c r="BC391" s="105"/>
      <c r="BD391" s="98"/>
      <c r="BE391" s="279"/>
      <c r="BF391" s="52"/>
      <c r="BG391" s="105"/>
      <c r="BH391" s="98"/>
      <c r="BI391" s="279"/>
      <c r="BJ391" s="52"/>
      <c r="BK391" s="105"/>
      <c r="BL391" s="98"/>
      <c r="BM391" s="279"/>
      <c r="BN391" s="52"/>
      <c r="BO391" s="105"/>
      <c r="BP391" s="98"/>
      <c r="BQ391" s="279"/>
      <c r="BR391" s="52"/>
      <c r="BS391" s="105"/>
      <c r="BT391" s="98"/>
      <c r="BU391" s="279"/>
      <c r="BV391" s="52"/>
      <c r="BW391" s="105"/>
      <c r="BX391" s="98"/>
      <c r="BY391" s="279"/>
      <c r="BZ391" s="52"/>
      <c r="CA391" s="105"/>
      <c r="CB391" s="98"/>
      <c r="CC391" s="279"/>
      <c r="CD391" s="52"/>
      <c r="CE391" s="105"/>
      <c r="CF391" s="98"/>
      <c r="CG391" s="279"/>
      <c r="CH391" s="52"/>
      <c r="CI391" s="105"/>
      <c r="CJ391" s="98"/>
      <c r="CK391" s="281"/>
      <c r="CL391" s="277"/>
      <c r="CM391" s="159"/>
      <c r="CN391" s="277"/>
      <c r="CO391" s="50">
        <f t="shared" si="146"/>
        <v>0</v>
      </c>
      <c r="CP391" s="103">
        <f t="shared" si="147"/>
        <v>0</v>
      </c>
      <c r="CQ391" s="280">
        <f t="shared" si="148"/>
        <v>0</v>
      </c>
      <c r="CR391" s="63">
        <f t="shared" si="149"/>
        <v>0</v>
      </c>
      <c r="CS391" s="279"/>
      <c r="CT391" s="52"/>
      <c r="CU391" s="105"/>
      <c r="CV391" s="98"/>
      <c r="CW391" s="279"/>
      <c r="CX391" s="52"/>
      <c r="CY391" s="105"/>
      <c r="CZ391" s="98"/>
      <c r="DA391" s="279"/>
      <c r="DB391" s="52"/>
      <c r="DC391" s="105"/>
      <c r="DD391" s="98"/>
      <c r="DE391" s="279"/>
      <c r="DF391" s="52"/>
      <c r="DG391" s="105"/>
      <c r="DH391" s="98"/>
      <c r="DI391" s="279"/>
      <c r="DJ391" s="52"/>
      <c r="DK391" s="105"/>
      <c r="DL391" s="98"/>
      <c r="DM391" s="279"/>
      <c r="DN391" s="52"/>
      <c r="DO391" s="105"/>
      <c r="DP391" s="98"/>
      <c r="DQ391" s="279"/>
      <c r="DR391" s="52"/>
      <c r="DS391" s="105"/>
      <c r="DT391" s="98"/>
      <c r="DU391" s="279"/>
      <c r="DV391" s="52"/>
      <c r="DW391" s="105"/>
      <c r="DX391" s="98"/>
      <c r="DY391" s="279"/>
      <c r="DZ391" s="52"/>
      <c r="EA391" s="105"/>
      <c r="EB391" s="98"/>
      <c r="EC391" s="279"/>
      <c r="ED391" s="52"/>
      <c r="EE391" s="105"/>
      <c r="EF391" s="98"/>
      <c r="EG391" s="159"/>
      <c r="EH391" s="277"/>
      <c r="EI391" s="50">
        <f t="shared" si="150"/>
        <v>0</v>
      </c>
      <c r="EJ391" s="103">
        <f t="shared" si="151"/>
        <v>0</v>
      </c>
      <c r="EK391" s="164">
        <f t="shared" si="152"/>
        <v>0</v>
      </c>
      <c r="EL391" s="280">
        <f t="shared" si="153"/>
        <v>0</v>
      </c>
      <c r="EM391" s="63">
        <f t="shared" si="154"/>
        <v>0</v>
      </c>
      <c r="EN391" s="359">
        <f t="shared" si="155"/>
        <v>0</v>
      </c>
      <c r="EO391" s="51">
        <f t="shared" si="156"/>
        <v>0</v>
      </c>
      <c r="EP391" s="361">
        <f t="shared" si="157"/>
        <v>0</v>
      </c>
      <c r="EQ391" s="281"/>
      <c r="ER391" s="277"/>
      <c r="ES391" s="281"/>
      <c r="ET391" s="277"/>
      <c r="EU391" s="281"/>
      <c r="EV391" s="277"/>
      <c r="EW391" s="281"/>
      <c r="EX391" s="277"/>
      <c r="EY391" s="281"/>
      <c r="EZ391" s="277"/>
      <c r="FA391" s="281"/>
      <c r="FB391" s="277"/>
      <c r="FC391" s="281"/>
      <c r="FD391" s="277"/>
      <c r="FE391" s="281"/>
      <c r="FF391" s="277"/>
      <c r="FG391" s="281"/>
      <c r="FH391" s="277"/>
      <c r="FI391" s="281"/>
      <c r="FJ391" s="277"/>
      <c r="FK391" s="50">
        <f t="shared" si="158"/>
        <v>0</v>
      </c>
      <c r="FL391" s="63">
        <f t="shared" si="159"/>
        <v>0</v>
      </c>
      <c r="FM391" s="50">
        <f t="shared" si="141"/>
        <v>474</v>
      </c>
      <c r="FN391" s="360">
        <f t="shared" si="142"/>
        <v>516</v>
      </c>
      <c r="FO391" s="3"/>
      <c r="FP391" s="279"/>
      <c r="FQ391" s="52"/>
      <c r="FR391" s="296"/>
      <c r="FS391" s="98"/>
      <c r="FT391" s="467"/>
      <c r="FU391" s="52"/>
      <c r="FV391" s="296"/>
      <c r="FW391" s="98"/>
      <c r="FX391" s="467"/>
      <c r="FY391" s="52"/>
      <c r="FZ391" s="296"/>
      <c r="GA391" s="98"/>
      <c r="GB391" s="467"/>
      <c r="GC391" s="52"/>
      <c r="GD391" s="296"/>
      <c r="GE391" s="98"/>
      <c r="GF391" s="467"/>
      <c r="GG391" s="52"/>
      <c r="GH391" s="296"/>
      <c r="GI391" s="98"/>
      <c r="GJ391" s="467"/>
      <c r="GK391" s="52"/>
      <c r="GL391" s="296"/>
      <c r="GM391" s="464"/>
      <c r="GN391" s="467"/>
      <c r="GO391" s="52"/>
      <c r="GP391" s="296"/>
      <c r="GQ391" s="464"/>
      <c r="GR391" s="467"/>
      <c r="GS391" s="52"/>
      <c r="GT391" s="296"/>
      <c r="GU391" s="464"/>
      <c r="GV391" s="467"/>
      <c r="GW391" s="52"/>
      <c r="GX391" s="296"/>
      <c r="GY391" s="464"/>
      <c r="GZ391" s="467"/>
      <c r="HA391" s="52"/>
      <c r="HB391" s="296"/>
      <c r="HC391" s="3"/>
    </row>
    <row r="392" spans="1:211" s="86" customFormat="1">
      <c r="A392" s="521" t="s">
        <v>984</v>
      </c>
      <c r="B392" s="318" t="s">
        <v>1027</v>
      </c>
      <c r="C392" s="317">
        <v>199908</v>
      </c>
      <c r="D392" s="346">
        <v>9</v>
      </c>
      <c r="E392" s="460">
        <v>267</v>
      </c>
      <c r="F392" s="337">
        <v>145</v>
      </c>
      <c r="G392" s="158"/>
      <c r="H392" s="277"/>
      <c r="I392" s="158">
        <v>357</v>
      </c>
      <c r="J392" s="665">
        <v>357</v>
      </c>
      <c r="K392" s="160">
        <f t="shared" si="143"/>
        <v>0</v>
      </c>
      <c r="L392" s="161">
        <f t="shared" si="136"/>
        <v>0</v>
      </c>
      <c r="M392" s="54"/>
      <c r="N392" s="55"/>
      <c r="O392" s="55"/>
      <c r="P392" s="55"/>
      <c r="Q392" s="162">
        <f t="shared" si="144"/>
        <v>0</v>
      </c>
      <c r="R392" s="277"/>
      <c r="S392" s="277"/>
      <c r="T392" s="277"/>
      <c r="U392" s="277"/>
      <c r="V392" s="97">
        <f t="shared" si="145"/>
        <v>0</v>
      </c>
      <c r="W392" s="279"/>
      <c r="X392" s="52"/>
      <c r="Y392" s="99"/>
      <c r="Z392" s="53"/>
      <c r="AA392" s="228"/>
      <c r="AB392" s="52"/>
      <c r="AC392" s="99"/>
      <c r="AD392" s="53"/>
      <c r="AE392" s="228"/>
      <c r="AF392" s="52"/>
      <c r="AG392" s="99"/>
      <c r="AH392" s="53"/>
      <c r="AI392" s="228"/>
      <c r="AJ392" s="52"/>
      <c r="AK392" s="99"/>
      <c r="AL392" s="53"/>
      <c r="AM392" s="228"/>
      <c r="AN392" s="52"/>
      <c r="AO392" s="99"/>
      <c r="AP392" s="53"/>
      <c r="AQ392" s="50">
        <f t="shared" si="137"/>
        <v>0</v>
      </c>
      <c r="AR392" s="163">
        <f t="shared" si="138"/>
        <v>0</v>
      </c>
      <c r="AS392" s="97">
        <f t="shared" si="139"/>
        <v>0</v>
      </c>
      <c r="AT392" s="278">
        <f t="shared" si="140"/>
        <v>0</v>
      </c>
      <c r="AU392" s="55"/>
      <c r="AV392" s="277"/>
      <c r="AW392" s="279"/>
      <c r="AX392" s="52"/>
      <c r="AY392" s="105"/>
      <c r="AZ392" s="98"/>
      <c r="BA392" s="279"/>
      <c r="BB392" s="52"/>
      <c r="BC392" s="105"/>
      <c r="BD392" s="98"/>
      <c r="BE392" s="279"/>
      <c r="BF392" s="52"/>
      <c r="BG392" s="105"/>
      <c r="BH392" s="98"/>
      <c r="BI392" s="279"/>
      <c r="BJ392" s="52"/>
      <c r="BK392" s="105"/>
      <c r="BL392" s="98"/>
      <c r="BM392" s="279"/>
      <c r="BN392" s="52"/>
      <c r="BO392" s="105"/>
      <c r="BP392" s="98"/>
      <c r="BQ392" s="279"/>
      <c r="BR392" s="52"/>
      <c r="BS392" s="105"/>
      <c r="BT392" s="98"/>
      <c r="BU392" s="279"/>
      <c r="BV392" s="52"/>
      <c r="BW392" s="105"/>
      <c r="BX392" s="98"/>
      <c r="BY392" s="279"/>
      <c r="BZ392" s="52"/>
      <c r="CA392" s="105"/>
      <c r="CB392" s="98"/>
      <c r="CC392" s="279"/>
      <c r="CD392" s="52"/>
      <c r="CE392" s="105"/>
      <c r="CF392" s="98"/>
      <c r="CG392" s="279"/>
      <c r="CH392" s="52"/>
      <c r="CI392" s="105"/>
      <c r="CJ392" s="98"/>
      <c r="CK392" s="281"/>
      <c r="CL392" s="277"/>
      <c r="CM392" s="159"/>
      <c r="CN392" s="277"/>
      <c r="CO392" s="50">
        <f t="shared" si="146"/>
        <v>0</v>
      </c>
      <c r="CP392" s="103">
        <f t="shared" si="147"/>
        <v>0</v>
      </c>
      <c r="CQ392" s="280">
        <f t="shared" si="148"/>
        <v>0</v>
      </c>
      <c r="CR392" s="63">
        <f t="shared" si="149"/>
        <v>0</v>
      </c>
      <c r="CS392" s="279"/>
      <c r="CT392" s="52"/>
      <c r="CU392" s="105"/>
      <c r="CV392" s="98"/>
      <c r="CW392" s="279"/>
      <c r="CX392" s="52"/>
      <c r="CY392" s="105"/>
      <c r="CZ392" s="98"/>
      <c r="DA392" s="279"/>
      <c r="DB392" s="52"/>
      <c r="DC392" s="105"/>
      <c r="DD392" s="98"/>
      <c r="DE392" s="279"/>
      <c r="DF392" s="52"/>
      <c r="DG392" s="105"/>
      <c r="DH392" s="98"/>
      <c r="DI392" s="279"/>
      <c r="DJ392" s="52"/>
      <c r="DK392" s="105"/>
      <c r="DL392" s="98"/>
      <c r="DM392" s="279"/>
      <c r="DN392" s="52"/>
      <c r="DO392" s="105"/>
      <c r="DP392" s="98"/>
      <c r="DQ392" s="279"/>
      <c r="DR392" s="52"/>
      <c r="DS392" s="105"/>
      <c r="DT392" s="98"/>
      <c r="DU392" s="279"/>
      <c r="DV392" s="52"/>
      <c r="DW392" s="105"/>
      <c r="DX392" s="98"/>
      <c r="DY392" s="279"/>
      <c r="DZ392" s="52"/>
      <c r="EA392" s="105"/>
      <c r="EB392" s="98"/>
      <c r="EC392" s="279"/>
      <c r="ED392" s="52"/>
      <c r="EE392" s="105"/>
      <c r="EF392" s="98"/>
      <c r="EG392" s="159"/>
      <c r="EH392" s="277"/>
      <c r="EI392" s="50">
        <f t="shared" si="150"/>
        <v>0</v>
      </c>
      <c r="EJ392" s="103">
        <f t="shared" si="151"/>
        <v>0</v>
      </c>
      <c r="EK392" s="164">
        <f t="shared" si="152"/>
        <v>0</v>
      </c>
      <c r="EL392" s="280">
        <f t="shared" si="153"/>
        <v>0</v>
      </c>
      <c r="EM392" s="63">
        <f t="shared" si="154"/>
        <v>0</v>
      </c>
      <c r="EN392" s="359">
        <f t="shared" si="155"/>
        <v>0</v>
      </c>
      <c r="EO392" s="51">
        <f t="shared" si="156"/>
        <v>0</v>
      </c>
      <c r="EP392" s="361">
        <f t="shared" si="157"/>
        <v>0</v>
      </c>
      <c r="EQ392" s="281"/>
      <c r="ER392" s="277"/>
      <c r="ES392" s="281"/>
      <c r="ET392" s="277"/>
      <c r="EU392" s="281"/>
      <c r="EV392" s="277"/>
      <c r="EW392" s="281"/>
      <c r="EX392" s="277"/>
      <c r="EY392" s="281"/>
      <c r="EZ392" s="277"/>
      <c r="FA392" s="281"/>
      <c r="FB392" s="277"/>
      <c r="FC392" s="281"/>
      <c r="FD392" s="277"/>
      <c r="FE392" s="281"/>
      <c r="FF392" s="277"/>
      <c r="FG392" s="281"/>
      <c r="FH392" s="277"/>
      <c r="FI392" s="281"/>
      <c r="FJ392" s="277"/>
      <c r="FK392" s="50">
        <f t="shared" si="158"/>
        <v>0</v>
      </c>
      <c r="FL392" s="63">
        <f t="shared" si="159"/>
        <v>0</v>
      </c>
      <c r="FM392" s="50">
        <f t="shared" si="141"/>
        <v>624</v>
      </c>
      <c r="FN392" s="360">
        <f t="shared" si="142"/>
        <v>502</v>
      </c>
      <c r="FO392" s="3"/>
      <c r="FP392" s="279"/>
      <c r="FQ392" s="52"/>
      <c r="FR392" s="296"/>
      <c r="FS392" s="98"/>
      <c r="FT392" s="467"/>
      <c r="FU392" s="52"/>
      <c r="FV392" s="296"/>
      <c r="FW392" s="98"/>
      <c r="FX392" s="467"/>
      <c r="FY392" s="52"/>
      <c r="FZ392" s="296"/>
      <c r="GA392" s="98"/>
      <c r="GB392" s="467"/>
      <c r="GC392" s="52"/>
      <c r="GD392" s="296"/>
      <c r="GE392" s="98"/>
      <c r="GF392" s="467"/>
      <c r="GG392" s="52"/>
      <c r="GH392" s="296"/>
      <c r="GI392" s="98"/>
      <c r="GJ392" s="467"/>
      <c r="GK392" s="52"/>
      <c r="GL392" s="296"/>
      <c r="GM392" s="464"/>
      <c r="GN392" s="467"/>
      <c r="GO392" s="52"/>
      <c r="GP392" s="296"/>
      <c r="GQ392" s="464"/>
      <c r="GR392" s="467"/>
      <c r="GS392" s="52"/>
      <c r="GT392" s="296"/>
      <c r="GU392" s="464"/>
      <c r="GV392" s="467"/>
      <c r="GW392" s="52"/>
      <c r="GX392" s="296"/>
      <c r="GY392" s="464"/>
      <c r="GZ392" s="467"/>
      <c r="HA392" s="52"/>
      <c r="HB392" s="296"/>
      <c r="HC392" s="3"/>
    </row>
    <row r="393" spans="1:211" s="86" customFormat="1">
      <c r="A393" s="521" t="s">
        <v>984</v>
      </c>
      <c r="B393" s="318" t="s">
        <v>1028</v>
      </c>
      <c r="C393" s="317">
        <v>199926</v>
      </c>
      <c r="D393" s="346">
        <v>9</v>
      </c>
      <c r="E393" s="460">
        <v>115</v>
      </c>
      <c r="F393" s="337">
        <v>147</v>
      </c>
      <c r="G393" s="158"/>
      <c r="H393" s="277"/>
      <c r="I393" s="158">
        <v>279</v>
      </c>
      <c r="J393" s="665">
        <v>300</v>
      </c>
      <c r="K393" s="160">
        <f t="shared" si="143"/>
        <v>0</v>
      </c>
      <c r="L393" s="161">
        <f t="shared" si="136"/>
        <v>0</v>
      </c>
      <c r="M393" s="54"/>
      <c r="N393" s="55"/>
      <c r="O393" s="55"/>
      <c r="P393" s="55"/>
      <c r="Q393" s="162">
        <f t="shared" si="144"/>
        <v>0</v>
      </c>
      <c r="R393" s="277"/>
      <c r="S393" s="277"/>
      <c r="T393" s="277"/>
      <c r="U393" s="277"/>
      <c r="V393" s="97">
        <f t="shared" si="145"/>
        <v>0</v>
      </c>
      <c r="W393" s="279"/>
      <c r="X393" s="52"/>
      <c r="Y393" s="99"/>
      <c r="Z393" s="53"/>
      <c r="AA393" s="228"/>
      <c r="AB393" s="52"/>
      <c r="AC393" s="99"/>
      <c r="AD393" s="53"/>
      <c r="AE393" s="228"/>
      <c r="AF393" s="52"/>
      <c r="AG393" s="99"/>
      <c r="AH393" s="53"/>
      <c r="AI393" s="228"/>
      <c r="AJ393" s="52"/>
      <c r="AK393" s="99"/>
      <c r="AL393" s="53"/>
      <c r="AM393" s="228"/>
      <c r="AN393" s="52"/>
      <c r="AO393" s="99"/>
      <c r="AP393" s="53"/>
      <c r="AQ393" s="50">
        <f t="shared" si="137"/>
        <v>0</v>
      </c>
      <c r="AR393" s="163">
        <f t="shared" si="138"/>
        <v>0</v>
      </c>
      <c r="AS393" s="97">
        <f t="shared" si="139"/>
        <v>0</v>
      </c>
      <c r="AT393" s="278">
        <f t="shared" si="140"/>
        <v>0</v>
      </c>
      <c r="AU393" s="55"/>
      <c r="AV393" s="277"/>
      <c r="AW393" s="279"/>
      <c r="AX393" s="52"/>
      <c r="AY393" s="105"/>
      <c r="AZ393" s="98"/>
      <c r="BA393" s="279"/>
      <c r="BB393" s="52"/>
      <c r="BC393" s="105"/>
      <c r="BD393" s="98"/>
      <c r="BE393" s="279"/>
      <c r="BF393" s="52"/>
      <c r="BG393" s="105"/>
      <c r="BH393" s="98"/>
      <c r="BI393" s="279"/>
      <c r="BJ393" s="52"/>
      <c r="BK393" s="105"/>
      <c r="BL393" s="98"/>
      <c r="BM393" s="279"/>
      <c r="BN393" s="52"/>
      <c r="BO393" s="105"/>
      <c r="BP393" s="98"/>
      <c r="BQ393" s="279"/>
      <c r="BR393" s="52"/>
      <c r="BS393" s="105"/>
      <c r="BT393" s="98"/>
      <c r="BU393" s="279"/>
      <c r="BV393" s="52"/>
      <c r="BW393" s="105"/>
      <c r="BX393" s="98"/>
      <c r="BY393" s="279"/>
      <c r="BZ393" s="52"/>
      <c r="CA393" s="105"/>
      <c r="CB393" s="98"/>
      <c r="CC393" s="279"/>
      <c r="CD393" s="52"/>
      <c r="CE393" s="105"/>
      <c r="CF393" s="98"/>
      <c r="CG393" s="279"/>
      <c r="CH393" s="52"/>
      <c r="CI393" s="105"/>
      <c r="CJ393" s="98"/>
      <c r="CK393" s="281"/>
      <c r="CL393" s="277"/>
      <c r="CM393" s="159"/>
      <c r="CN393" s="277"/>
      <c r="CO393" s="50">
        <f t="shared" si="146"/>
        <v>0</v>
      </c>
      <c r="CP393" s="103">
        <f t="shared" si="147"/>
        <v>0</v>
      </c>
      <c r="CQ393" s="280">
        <f t="shared" si="148"/>
        <v>0</v>
      </c>
      <c r="CR393" s="63">
        <f t="shared" si="149"/>
        <v>0</v>
      </c>
      <c r="CS393" s="279"/>
      <c r="CT393" s="52"/>
      <c r="CU393" s="105"/>
      <c r="CV393" s="98"/>
      <c r="CW393" s="279"/>
      <c r="CX393" s="52"/>
      <c r="CY393" s="105"/>
      <c r="CZ393" s="98"/>
      <c r="DA393" s="279"/>
      <c r="DB393" s="52"/>
      <c r="DC393" s="105"/>
      <c r="DD393" s="98"/>
      <c r="DE393" s="279"/>
      <c r="DF393" s="52"/>
      <c r="DG393" s="105"/>
      <c r="DH393" s="98"/>
      <c r="DI393" s="279"/>
      <c r="DJ393" s="52"/>
      <c r="DK393" s="105"/>
      <c r="DL393" s="98"/>
      <c r="DM393" s="279"/>
      <c r="DN393" s="52"/>
      <c r="DO393" s="105"/>
      <c r="DP393" s="98"/>
      <c r="DQ393" s="279"/>
      <c r="DR393" s="52"/>
      <c r="DS393" s="105"/>
      <c r="DT393" s="98"/>
      <c r="DU393" s="279"/>
      <c r="DV393" s="52"/>
      <c r="DW393" s="105"/>
      <c r="DX393" s="98"/>
      <c r="DY393" s="279"/>
      <c r="DZ393" s="52"/>
      <c r="EA393" s="105"/>
      <c r="EB393" s="98"/>
      <c r="EC393" s="279"/>
      <c r="ED393" s="52"/>
      <c r="EE393" s="105"/>
      <c r="EF393" s="98"/>
      <c r="EG393" s="159"/>
      <c r="EH393" s="277"/>
      <c r="EI393" s="50">
        <f t="shared" si="150"/>
        <v>0</v>
      </c>
      <c r="EJ393" s="103">
        <f t="shared" si="151"/>
        <v>0</v>
      </c>
      <c r="EK393" s="164">
        <f t="shared" si="152"/>
        <v>0</v>
      </c>
      <c r="EL393" s="280">
        <f t="shared" si="153"/>
        <v>0</v>
      </c>
      <c r="EM393" s="63">
        <f t="shared" si="154"/>
        <v>0</v>
      </c>
      <c r="EN393" s="359">
        <f t="shared" si="155"/>
        <v>0</v>
      </c>
      <c r="EO393" s="51">
        <f t="shared" si="156"/>
        <v>0</v>
      </c>
      <c r="EP393" s="361">
        <f t="shared" si="157"/>
        <v>0</v>
      </c>
      <c r="EQ393" s="281"/>
      <c r="ER393" s="277"/>
      <c r="ES393" s="281"/>
      <c r="ET393" s="277"/>
      <c r="EU393" s="281"/>
      <c r="EV393" s="277"/>
      <c r="EW393" s="281"/>
      <c r="EX393" s="277"/>
      <c r="EY393" s="281"/>
      <c r="EZ393" s="277"/>
      <c r="FA393" s="281"/>
      <c r="FB393" s="277"/>
      <c r="FC393" s="281"/>
      <c r="FD393" s="277"/>
      <c r="FE393" s="281"/>
      <c r="FF393" s="277"/>
      <c r="FG393" s="281"/>
      <c r="FH393" s="277"/>
      <c r="FI393" s="281"/>
      <c r="FJ393" s="277"/>
      <c r="FK393" s="50">
        <f t="shared" si="158"/>
        <v>0</v>
      </c>
      <c r="FL393" s="63">
        <f t="shared" si="159"/>
        <v>0</v>
      </c>
      <c r="FM393" s="50">
        <f t="shared" si="141"/>
        <v>394</v>
      </c>
      <c r="FN393" s="360">
        <f t="shared" si="142"/>
        <v>447</v>
      </c>
      <c r="FO393" s="3"/>
      <c r="FP393" s="279"/>
      <c r="FQ393" s="52"/>
      <c r="FR393" s="296"/>
      <c r="FS393" s="98"/>
      <c r="FT393" s="467"/>
      <c r="FU393" s="52"/>
      <c r="FV393" s="296"/>
      <c r="FW393" s="98"/>
      <c r="FX393" s="467"/>
      <c r="FY393" s="52"/>
      <c r="FZ393" s="296"/>
      <c r="GA393" s="98"/>
      <c r="GB393" s="467"/>
      <c r="GC393" s="52"/>
      <c r="GD393" s="296"/>
      <c r="GE393" s="98"/>
      <c r="GF393" s="467"/>
      <c r="GG393" s="52"/>
      <c r="GH393" s="296"/>
      <c r="GI393" s="98"/>
      <c r="GJ393" s="467"/>
      <c r="GK393" s="52"/>
      <c r="GL393" s="296"/>
      <c r="GM393" s="464"/>
      <c r="GN393" s="467"/>
      <c r="GO393" s="52"/>
      <c r="GP393" s="296"/>
      <c r="GQ393" s="464"/>
      <c r="GR393" s="467"/>
      <c r="GS393" s="52"/>
      <c r="GT393" s="296"/>
      <c r="GU393" s="464"/>
      <c r="GV393" s="467"/>
      <c r="GW393" s="52"/>
      <c r="GX393" s="296"/>
      <c r="GY393" s="464"/>
      <c r="GZ393" s="467"/>
      <c r="HA393" s="52"/>
      <c r="HB393" s="296"/>
      <c r="HC393" s="3"/>
    </row>
    <row r="394" spans="1:211" s="86" customFormat="1">
      <c r="A394" s="521" t="s">
        <v>984</v>
      </c>
      <c r="B394" s="318" t="s">
        <v>0</v>
      </c>
      <c r="C394" s="317">
        <v>199953</v>
      </c>
      <c r="D394" s="346">
        <v>9</v>
      </c>
      <c r="E394" s="460">
        <v>191</v>
      </c>
      <c r="F394" s="337">
        <v>135</v>
      </c>
      <c r="G394" s="158"/>
      <c r="H394" s="277"/>
      <c r="I394" s="158">
        <v>197</v>
      </c>
      <c r="J394" s="665">
        <v>173</v>
      </c>
      <c r="K394" s="160">
        <f t="shared" si="143"/>
        <v>0</v>
      </c>
      <c r="L394" s="161">
        <f t="shared" ref="L394:L457" si="160">IF(R394&gt;0,J394/R394, )</f>
        <v>0</v>
      </c>
      <c r="M394" s="54"/>
      <c r="N394" s="55"/>
      <c r="O394" s="55"/>
      <c r="P394" s="55"/>
      <c r="Q394" s="162">
        <f t="shared" si="144"/>
        <v>0</v>
      </c>
      <c r="R394" s="277"/>
      <c r="S394" s="277"/>
      <c r="T394" s="277"/>
      <c r="U394" s="277"/>
      <c r="V394" s="97">
        <f t="shared" si="145"/>
        <v>0</v>
      </c>
      <c r="W394" s="279"/>
      <c r="X394" s="52"/>
      <c r="Y394" s="99"/>
      <c r="Z394" s="53"/>
      <c r="AA394" s="228"/>
      <c r="AB394" s="52"/>
      <c r="AC394" s="99"/>
      <c r="AD394" s="53"/>
      <c r="AE394" s="228"/>
      <c r="AF394" s="52"/>
      <c r="AG394" s="99"/>
      <c r="AH394" s="53"/>
      <c r="AI394" s="228"/>
      <c r="AJ394" s="52"/>
      <c r="AK394" s="99"/>
      <c r="AL394" s="53"/>
      <c r="AM394" s="228"/>
      <c r="AN394" s="52"/>
      <c r="AO394" s="99"/>
      <c r="AP394" s="53"/>
      <c r="AQ394" s="50">
        <f t="shared" ref="AQ394:AQ457" si="161">COUNTA(W394,AA394,AE394,AI394,AM394)</f>
        <v>0</v>
      </c>
      <c r="AR394" s="163">
        <f t="shared" ref="AR394:AR457" si="162">IF(FM394&gt;0,M394/FM394,)</f>
        <v>0</v>
      </c>
      <c r="AS394" s="97">
        <f t="shared" ref="AS394:AS457" si="163">COUNTA(Y394,AC394,AG394,AK394,AO394)</f>
        <v>0</v>
      </c>
      <c r="AT394" s="278">
        <f t="shared" ref="AT394:AT457" si="164">IF(FN394&gt;0,R394/FN394,)</f>
        <v>0</v>
      </c>
      <c r="AU394" s="55"/>
      <c r="AV394" s="277"/>
      <c r="AW394" s="279"/>
      <c r="AX394" s="52"/>
      <c r="AY394" s="105"/>
      <c r="AZ394" s="98"/>
      <c r="BA394" s="279"/>
      <c r="BB394" s="52"/>
      <c r="BC394" s="105"/>
      <c r="BD394" s="98"/>
      <c r="BE394" s="279"/>
      <c r="BF394" s="52"/>
      <c r="BG394" s="105"/>
      <c r="BH394" s="98"/>
      <c r="BI394" s="279"/>
      <c r="BJ394" s="52"/>
      <c r="BK394" s="105"/>
      <c r="BL394" s="98"/>
      <c r="BM394" s="279"/>
      <c r="BN394" s="52"/>
      <c r="BO394" s="105"/>
      <c r="BP394" s="98"/>
      <c r="BQ394" s="279"/>
      <c r="BR394" s="52"/>
      <c r="BS394" s="105"/>
      <c r="BT394" s="98"/>
      <c r="BU394" s="279"/>
      <c r="BV394" s="52"/>
      <c r="BW394" s="105"/>
      <c r="BX394" s="98"/>
      <c r="BY394" s="279"/>
      <c r="BZ394" s="52"/>
      <c r="CA394" s="105"/>
      <c r="CB394" s="98"/>
      <c r="CC394" s="279"/>
      <c r="CD394" s="52"/>
      <c r="CE394" s="105"/>
      <c r="CF394" s="98"/>
      <c r="CG394" s="279"/>
      <c r="CH394" s="52"/>
      <c r="CI394" s="105"/>
      <c r="CJ394" s="98"/>
      <c r="CK394" s="281"/>
      <c r="CL394" s="277"/>
      <c r="CM394" s="159"/>
      <c r="CN394" s="277"/>
      <c r="CO394" s="50">
        <f t="shared" si="146"/>
        <v>0</v>
      </c>
      <c r="CP394" s="103">
        <f t="shared" si="147"/>
        <v>0</v>
      </c>
      <c r="CQ394" s="280">
        <f t="shared" si="148"/>
        <v>0</v>
      </c>
      <c r="CR394" s="63">
        <f t="shared" si="149"/>
        <v>0</v>
      </c>
      <c r="CS394" s="279"/>
      <c r="CT394" s="52"/>
      <c r="CU394" s="105"/>
      <c r="CV394" s="98"/>
      <c r="CW394" s="279"/>
      <c r="CX394" s="52"/>
      <c r="CY394" s="105"/>
      <c r="CZ394" s="98"/>
      <c r="DA394" s="279"/>
      <c r="DB394" s="52"/>
      <c r="DC394" s="105"/>
      <c r="DD394" s="98"/>
      <c r="DE394" s="279"/>
      <c r="DF394" s="52"/>
      <c r="DG394" s="105"/>
      <c r="DH394" s="98"/>
      <c r="DI394" s="279"/>
      <c r="DJ394" s="52"/>
      <c r="DK394" s="105"/>
      <c r="DL394" s="98"/>
      <c r="DM394" s="279"/>
      <c r="DN394" s="52"/>
      <c r="DO394" s="105"/>
      <c r="DP394" s="98"/>
      <c r="DQ394" s="279"/>
      <c r="DR394" s="52"/>
      <c r="DS394" s="105"/>
      <c r="DT394" s="98"/>
      <c r="DU394" s="279"/>
      <c r="DV394" s="52"/>
      <c r="DW394" s="105"/>
      <c r="DX394" s="98"/>
      <c r="DY394" s="279"/>
      <c r="DZ394" s="52"/>
      <c r="EA394" s="105"/>
      <c r="EB394" s="98"/>
      <c r="EC394" s="279"/>
      <c r="ED394" s="52"/>
      <c r="EE394" s="105"/>
      <c r="EF394" s="98"/>
      <c r="EG394" s="159"/>
      <c r="EH394" s="277"/>
      <c r="EI394" s="50">
        <f t="shared" si="150"/>
        <v>0</v>
      </c>
      <c r="EJ394" s="103">
        <f t="shared" si="151"/>
        <v>0</v>
      </c>
      <c r="EK394" s="164">
        <f t="shared" si="152"/>
        <v>0</v>
      </c>
      <c r="EL394" s="280">
        <f t="shared" si="153"/>
        <v>0</v>
      </c>
      <c r="EM394" s="63">
        <f t="shared" si="154"/>
        <v>0</v>
      </c>
      <c r="EN394" s="359">
        <f t="shared" si="155"/>
        <v>0</v>
      </c>
      <c r="EO394" s="51">
        <f t="shared" si="156"/>
        <v>0</v>
      </c>
      <c r="EP394" s="361">
        <f t="shared" si="157"/>
        <v>0</v>
      </c>
      <c r="EQ394" s="281"/>
      <c r="ER394" s="277"/>
      <c r="ES394" s="281"/>
      <c r="ET394" s="277"/>
      <c r="EU394" s="281"/>
      <c r="EV394" s="277"/>
      <c r="EW394" s="281"/>
      <c r="EX394" s="277"/>
      <c r="EY394" s="281"/>
      <c r="EZ394" s="277"/>
      <c r="FA394" s="281"/>
      <c r="FB394" s="277"/>
      <c r="FC394" s="281"/>
      <c r="FD394" s="277"/>
      <c r="FE394" s="281"/>
      <c r="FF394" s="277"/>
      <c r="FG394" s="281"/>
      <c r="FH394" s="277"/>
      <c r="FI394" s="281"/>
      <c r="FJ394" s="277"/>
      <c r="FK394" s="50">
        <f t="shared" si="158"/>
        <v>0</v>
      </c>
      <c r="FL394" s="63">
        <f t="shared" si="159"/>
        <v>0</v>
      </c>
      <c r="FM394" s="50">
        <f t="shared" ref="FM394:FM457" si="165">E394+G394+I394+M394+AU394+EO394+FK394</f>
        <v>388</v>
      </c>
      <c r="FN394" s="360">
        <f t="shared" ref="FN394:FN457" si="166">F394+H394+J394+R394+AV394+EP394+FL394</f>
        <v>308</v>
      </c>
      <c r="FO394" s="3"/>
      <c r="FP394" s="279"/>
      <c r="FQ394" s="52"/>
      <c r="FR394" s="296"/>
      <c r="FS394" s="98"/>
      <c r="FT394" s="467"/>
      <c r="FU394" s="52"/>
      <c r="FV394" s="296"/>
      <c r="FW394" s="98"/>
      <c r="FX394" s="467"/>
      <c r="FY394" s="52"/>
      <c r="FZ394" s="296"/>
      <c r="GA394" s="98"/>
      <c r="GB394" s="467"/>
      <c r="GC394" s="52"/>
      <c r="GD394" s="296"/>
      <c r="GE394" s="98"/>
      <c r="GF394" s="467"/>
      <c r="GG394" s="52"/>
      <c r="GH394" s="296"/>
      <c r="GI394" s="98"/>
      <c r="GJ394" s="467"/>
      <c r="GK394" s="52"/>
      <c r="GL394" s="296"/>
      <c r="GM394" s="464"/>
      <c r="GN394" s="467"/>
      <c r="GO394" s="52"/>
      <c r="GP394" s="296"/>
      <c r="GQ394" s="464"/>
      <c r="GR394" s="467"/>
      <c r="GS394" s="52"/>
      <c r="GT394" s="296"/>
      <c r="GU394" s="464"/>
      <c r="GV394" s="467"/>
      <c r="GW394" s="52"/>
      <c r="GX394" s="296"/>
      <c r="GY394" s="464"/>
      <c r="GZ394" s="467"/>
      <c r="HA394" s="52"/>
      <c r="HB394" s="296"/>
      <c r="HC394" s="3"/>
    </row>
    <row r="395" spans="1:211" s="86" customFormat="1">
      <c r="A395" s="522" t="s">
        <v>984</v>
      </c>
      <c r="B395" s="318" t="s">
        <v>996</v>
      </c>
      <c r="C395" s="317">
        <v>197966</v>
      </c>
      <c r="D395" s="346">
        <v>10</v>
      </c>
      <c r="E395" s="460">
        <v>128</v>
      </c>
      <c r="F395" s="337">
        <v>122</v>
      </c>
      <c r="G395" s="158"/>
      <c r="H395" s="277"/>
      <c r="I395" s="158">
        <v>149</v>
      </c>
      <c r="J395" s="665">
        <v>168</v>
      </c>
      <c r="K395" s="160">
        <f t="shared" ref="K395:K458" si="167">IF(M395&gt;0,I395/M395, )</f>
        <v>0</v>
      </c>
      <c r="L395" s="161">
        <f t="shared" si="160"/>
        <v>0</v>
      </c>
      <c r="M395" s="54"/>
      <c r="N395" s="55"/>
      <c r="O395" s="55"/>
      <c r="P395" s="55"/>
      <c r="Q395" s="162">
        <f t="shared" ref="Q395:Q458" si="168">SUM(N395:P395)</f>
        <v>0</v>
      </c>
      <c r="R395" s="277"/>
      <c r="S395" s="277"/>
      <c r="T395" s="277"/>
      <c r="U395" s="277"/>
      <c r="V395" s="97">
        <f t="shared" ref="V395:V458" si="169">SUM(S395:U395)</f>
        <v>0</v>
      </c>
      <c r="W395" s="279"/>
      <c r="X395" s="52"/>
      <c r="Y395" s="99"/>
      <c r="Z395" s="53"/>
      <c r="AA395" s="228"/>
      <c r="AB395" s="52"/>
      <c r="AC395" s="99"/>
      <c r="AD395" s="53"/>
      <c r="AE395" s="228"/>
      <c r="AF395" s="52"/>
      <c r="AG395" s="99"/>
      <c r="AH395" s="53"/>
      <c r="AI395" s="228"/>
      <c r="AJ395" s="52"/>
      <c r="AK395" s="99"/>
      <c r="AL395" s="53"/>
      <c r="AM395" s="228"/>
      <c r="AN395" s="52"/>
      <c r="AO395" s="99"/>
      <c r="AP395" s="53"/>
      <c r="AQ395" s="50">
        <f t="shared" si="161"/>
        <v>0</v>
      </c>
      <c r="AR395" s="163">
        <f t="shared" si="162"/>
        <v>0</v>
      </c>
      <c r="AS395" s="97">
        <f t="shared" si="163"/>
        <v>0</v>
      </c>
      <c r="AT395" s="278">
        <f t="shared" si="164"/>
        <v>0</v>
      </c>
      <c r="AU395" s="55"/>
      <c r="AV395" s="277"/>
      <c r="AW395" s="279"/>
      <c r="AX395" s="52"/>
      <c r="AY395" s="105"/>
      <c r="AZ395" s="98"/>
      <c r="BA395" s="279"/>
      <c r="BB395" s="52"/>
      <c r="BC395" s="105"/>
      <c r="BD395" s="98"/>
      <c r="BE395" s="279"/>
      <c r="BF395" s="52"/>
      <c r="BG395" s="105"/>
      <c r="BH395" s="98"/>
      <c r="BI395" s="279"/>
      <c r="BJ395" s="52"/>
      <c r="BK395" s="105"/>
      <c r="BL395" s="98"/>
      <c r="BM395" s="279"/>
      <c r="BN395" s="52"/>
      <c r="BO395" s="105"/>
      <c r="BP395" s="98"/>
      <c r="BQ395" s="279"/>
      <c r="BR395" s="52"/>
      <c r="BS395" s="105"/>
      <c r="BT395" s="98"/>
      <c r="BU395" s="279"/>
      <c r="BV395" s="52"/>
      <c r="BW395" s="105"/>
      <c r="BX395" s="98"/>
      <c r="BY395" s="279"/>
      <c r="BZ395" s="52"/>
      <c r="CA395" s="105"/>
      <c r="CB395" s="98"/>
      <c r="CC395" s="279"/>
      <c r="CD395" s="52"/>
      <c r="CE395" s="105"/>
      <c r="CF395" s="98"/>
      <c r="CG395" s="279"/>
      <c r="CH395" s="52"/>
      <c r="CI395" s="105"/>
      <c r="CJ395" s="98"/>
      <c r="CK395" s="281"/>
      <c r="CL395" s="277"/>
      <c r="CM395" s="159"/>
      <c r="CN395" s="277"/>
      <c r="CO395" s="50">
        <f t="shared" ref="CO395:CO458" si="170">AX395+BB395+BF395+BJ395+BN395+BR395+BV395+BZ395+CD395+CH395+CK395+CM395</f>
        <v>0</v>
      </c>
      <c r="CP395" s="103">
        <f t="shared" ref="CP395:CP458" si="171">COUNTA(AW395,BA395,BE395,BI395,BM395,BQ395,BU395,BY395,CC395,CG395)</f>
        <v>0</v>
      </c>
      <c r="CQ395" s="280">
        <f t="shared" ref="CQ395:CQ458" si="172">AZ395+BD395+BH395+BL395+BP395+BT395+BX395+CF395+CB395+CJ395+CL395+CN395</f>
        <v>0</v>
      </c>
      <c r="CR395" s="63">
        <f t="shared" ref="CR395:CR458" si="173">COUNTA(AY395,BC395,BG395,BK395,BO395,BS395,BW395,CE395,CA395,CI395)</f>
        <v>0</v>
      </c>
      <c r="CS395" s="279"/>
      <c r="CT395" s="52"/>
      <c r="CU395" s="105"/>
      <c r="CV395" s="98"/>
      <c r="CW395" s="279"/>
      <c r="CX395" s="52"/>
      <c r="CY395" s="105"/>
      <c r="CZ395" s="98"/>
      <c r="DA395" s="279"/>
      <c r="DB395" s="52"/>
      <c r="DC395" s="105"/>
      <c r="DD395" s="98"/>
      <c r="DE395" s="279"/>
      <c r="DF395" s="52"/>
      <c r="DG395" s="105"/>
      <c r="DH395" s="98"/>
      <c r="DI395" s="279"/>
      <c r="DJ395" s="52"/>
      <c r="DK395" s="105"/>
      <c r="DL395" s="98"/>
      <c r="DM395" s="279"/>
      <c r="DN395" s="52"/>
      <c r="DO395" s="105"/>
      <c r="DP395" s="98"/>
      <c r="DQ395" s="279"/>
      <c r="DR395" s="52"/>
      <c r="DS395" s="105"/>
      <c r="DT395" s="98"/>
      <c r="DU395" s="279"/>
      <c r="DV395" s="52"/>
      <c r="DW395" s="105"/>
      <c r="DX395" s="98"/>
      <c r="DY395" s="279"/>
      <c r="DZ395" s="52"/>
      <c r="EA395" s="105"/>
      <c r="EB395" s="98"/>
      <c r="EC395" s="279"/>
      <c r="ED395" s="52"/>
      <c r="EE395" s="105"/>
      <c r="EF395" s="98"/>
      <c r="EG395" s="159"/>
      <c r="EH395" s="277"/>
      <c r="EI395" s="50">
        <f t="shared" ref="EI395:EI458" si="174">CT395+CX395+DB395+DF395+DJ395+DN395+DR395+DV395+DZ395+ED395+EG395</f>
        <v>0</v>
      </c>
      <c r="EJ395" s="103">
        <f t="shared" ref="EJ395:EJ458" si="175">COUNTA(CS395,CW395,DA395,DE395,DI395,DM395,DQ395,DU395,DY395,EC395)</f>
        <v>0</v>
      </c>
      <c r="EK395" s="164">
        <f t="shared" ref="EK395:EK458" si="176">IF(EI395&gt;0,CT395/EI395,)</f>
        <v>0</v>
      </c>
      <c r="EL395" s="280">
        <f t="shared" ref="EL395:EL458" si="177">CV395+CZ395+DD395+DH395+DL395+DP395+DT395+DX395+EB395+EF395+EH395</f>
        <v>0</v>
      </c>
      <c r="EM395" s="63">
        <f t="shared" ref="EM395:EM458" si="178">COUNTA(CU395,CY395,DC395,DG395,DK395,DO395,DS395,DW395,EA395,EE395)</f>
        <v>0</v>
      </c>
      <c r="EN395" s="359">
        <f t="shared" ref="EN395:EN458" si="179">IF(EL395&gt;0,CV395/EL395,)</f>
        <v>0</v>
      </c>
      <c r="EO395" s="51">
        <f t="shared" ref="EO395:EO458" si="180">CO395+EI395</f>
        <v>0</v>
      </c>
      <c r="EP395" s="361">
        <f t="shared" ref="EP395:EP458" si="181">CQ395+EL395</f>
        <v>0</v>
      </c>
      <c r="EQ395" s="281"/>
      <c r="ER395" s="277"/>
      <c r="ES395" s="281"/>
      <c r="ET395" s="277"/>
      <c r="EU395" s="281"/>
      <c r="EV395" s="277"/>
      <c r="EW395" s="281"/>
      <c r="EX395" s="277"/>
      <c r="EY395" s="281"/>
      <c r="EZ395" s="277"/>
      <c r="FA395" s="281"/>
      <c r="FB395" s="277"/>
      <c r="FC395" s="281"/>
      <c r="FD395" s="277"/>
      <c r="FE395" s="281"/>
      <c r="FF395" s="277"/>
      <c r="FG395" s="281"/>
      <c r="FH395" s="277"/>
      <c r="FI395" s="281"/>
      <c r="FJ395" s="277"/>
      <c r="FK395" s="50">
        <f t="shared" ref="FK395:FK458" si="182">EQ395+ES395+EU395+EW395+EY395+FA395+FC395+FE395+FG395+FI395</f>
        <v>0</v>
      </c>
      <c r="FL395" s="63">
        <f t="shared" ref="FL395:FL458" si="183">ER395+ET395+EV395+EX395+EZ395+FB395+FD395+FF395+FH395+FJ395</f>
        <v>0</v>
      </c>
      <c r="FM395" s="50">
        <f t="shared" si="165"/>
        <v>277</v>
      </c>
      <c r="FN395" s="360">
        <f t="shared" si="166"/>
        <v>290</v>
      </c>
      <c r="FO395" s="3"/>
      <c r="FP395" s="279"/>
      <c r="FQ395" s="52"/>
      <c r="FR395" s="296"/>
      <c r="FS395" s="98"/>
      <c r="FT395" s="467"/>
      <c r="FU395" s="52"/>
      <c r="FV395" s="296"/>
      <c r="FW395" s="98"/>
      <c r="FX395" s="467"/>
      <c r="FY395" s="52"/>
      <c r="FZ395" s="296"/>
      <c r="GA395" s="98"/>
      <c r="GB395" s="467"/>
      <c r="GC395" s="52"/>
      <c r="GD395" s="296"/>
      <c r="GE395" s="98"/>
      <c r="GF395" s="467"/>
      <c r="GG395" s="52"/>
      <c r="GH395" s="296"/>
      <c r="GI395" s="98"/>
      <c r="GJ395" s="467"/>
      <c r="GK395" s="52"/>
      <c r="GL395" s="296"/>
      <c r="GM395" s="464"/>
      <c r="GN395" s="467"/>
      <c r="GO395" s="52"/>
      <c r="GP395" s="296"/>
      <c r="GQ395" s="464"/>
      <c r="GR395" s="467"/>
      <c r="GS395" s="52"/>
      <c r="GT395" s="296"/>
      <c r="GU395" s="464"/>
      <c r="GV395" s="467"/>
      <c r="GW395" s="52"/>
      <c r="GX395" s="296"/>
      <c r="GY395" s="464"/>
      <c r="GZ395" s="467"/>
      <c r="HA395" s="52"/>
      <c r="HB395" s="296"/>
      <c r="HC395" s="3"/>
    </row>
    <row r="396" spans="1:211" s="86" customFormat="1">
      <c r="A396" s="521" t="s">
        <v>984</v>
      </c>
      <c r="B396" s="318" t="s">
        <v>1</v>
      </c>
      <c r="C396" s="317">
        <v>198011</v>
      </c>
      <c r="D396" s="346">
        <v>10</v>
      </c>
      <c r="E396" s="460">
        <v>110</v>
      </c>
      <c r="F396" s="337">
        <v>119</v>
      </c>
      <c r="G396" s="158"/>
      <c r="H396" s="277"/>
      <c r="I396" s="158">
        <v>102</v>
      </c>
      <c r="J396" s="665">
        <v>102</v>
      </c>
      <c r="K396" s="160">
        <f t="shared" si="167"/>
        <v>0</v>
      </c>
      <c r="L396" s="161">
        <f t="shared" si="160"/>
        <v>0</v>
      </c>
      <c r="M396" s="54"/>
      <c r="N396" s="55"/>
      <c r="O396" s="55"/>
      <c r="P396" s="55"/>
      <c r="Q396" s="162">
        <f t="shared" si="168"/>
        <v>0</v>
      </c>
      <c r="R396" s="277"/>
      <c r="S396" s="277"/>
      <c r="T396" s="277"/>
      <c r="U396" s="277"/>
      <c r="V396" s="97">
        <f t="shared" si="169"/>
        <v>0</v>
      </c>
      <c r="W396" s="279"/>
      <c r="X396" s="52"/>
      <c r="Y396" s="99"/>
      <c r="Z396" s="53"/>
      <c r="AA396" s="228"/>
      <c r="AB396" s="52"/>
      <c r="AC396" s="99"/>
      <c r="AD396" s="53"/>
      <c r="AE396" s="228"/>
      <c r="AF396" s="52"/>
      <c r="AG396" s="99"/>
      <c r="AH396" s="53"/>
      <c r="AI396" s="228"/>
      <c r="AJ396" s="52"/>
      <c r="AK396" s="99"/>
      <c r="AL396" s="53"/>
      <c r="AM396" s="228"/>
      <c r="AN396" s="52"/>
      <c r="AO396" s="99"/>
      <c r="AP396" s="53"/>
      <c r="AQ396" s="50">
        <f t="shared" si="161"/>
        <v>0</v>
      </c>
      <c r="AR396" s="163">
        <f t="shared" si="162"/>
        <v>0</v>
      </c>
      <c r="AS396" s="97">
        <f t="shared" si="163"/>
        <v>0</v>
      </c>
      <c r="AT396" s="278">
        <f t="shared" si="164"/>
        <v>0</v>
      </c>
      <c r="AU396" s="55"/>
      <c r="AV396" s="277"/>
      <c r="AW396" s="279"/>
      <c r="AX396" s="52"/>
      <c r="AY396" s="105"/>
      <c r="AZ396" s="98"/>
      <c r="BA396" s="279"/>
      <c r="BB396" s="52"/>
      <c r="BC396" s="105"/>
      <c r="BD396" s="98"/>
      <c r="BE396" s="279"/>
      <c r="BF396" s="52"/>
      <c r="BG396" s="105"/>
      <c r="BH396" s="98"/>
      <c r="BI396" s="279"/>
      <c r="BJ396" s="52"/>
      <c r="BK396" s="105"/>
      <c r="BL396" s="98"/>
      <c r="BM396" s="279"/>
      <c r="BN396" s="52"/>
      <c r="BO396" s="105"/>
      <c r="BP396" s="98"/>
      <c r="BQ396" s="279"/>
      <c r="BR396" s="52"/>
      <c r="BS396" s="105"/>
      <c r="BT396" s="98"/>
      <c r="BU396" s="279"/>
      <c r="BV396" s="52"/>
      <c r="BW396" s="105"/>
      <c r="BX396" s="98"/>
      <c r="BY396" s="279"/>
      <c r="BZ396" s="52"/>
      <c r="CA396" s="105"/>
      <c r="CB396" s="98"/>
      <c r="CC396" s="279"/>
      <c r="CD396" s="52"/>
      <c r="CE396" s="105"/>
      <c r="CF396" s="98"/>
      <c r="CG396" s="279"/>
      <c r="CH396" s="52"/>
      <c r="CI396" s="105"/>
      <c r="CJ396" s="98"/>
      <c r="CK396" s="281"/>
      <c r="CL396" s="277"/>
      <c r="CM396" s="159"/>
      <c r="CN396" s="277"/>
      <c r="CO396" s="50">
        <f t="shared" si="170"/>
        <v>0</v>
      </c>
      <c r="CP396" s="103">
        <f t="shared" si="171"/>
        <v>0</v>
      </c>
      <c r="CQ396" s="280">
        <f t="shared" si="172"/>
        <v>0</v>
      </c>
      <c r="CR396" s="63">
        <f t="shared" si="173"/>
        <v>0</v>
      </c>
      <c r="CS396" s="279"/>
      <c r="CT396" s="52"/>
      <c r="CU396" s="105"/>
      <c r="CV396" s="98"/>
      <c r="CW396" s="279"/>
      <c r="CX396" s="52"/>
      <c r="CY396" s="105"/>
      <c r="CZ396" s="98"/>
      <c r="DA396" s="279"/>
      <c r="DB396" s="52"/>
      <c r="DC396" s="105"/>
      <c r="DD396" s="98"/>
      <c r="DE396" s="279"/>
      <c r="DF396" s="52"/>
      <c r="DG396" s="105"/>
      <c r="DH396" s="98"/>
      <c r="DI396" s="279"/>
      <c r="DJ396" s="52"/>
      <c r="DK396" s="105"/>
      <c r="DL396" s="98"/>
      <c r="DM396" s="279"/>
      <c r="DN396" s="52"/>
      <c r="DO396" s="105"/>
      <c r="DP396" s="98"/>
      <c r="DQ396" s="279"/>
      <c r="DR396" s="52"/>
      <c r="DS396" s="105"/>
      <c r="DT396" s="98"/>
      <c r="DU396" s="279"/>
      <c r="DV396" s="52"/>
      <c r="DW396" s="105"/>
      <c r="DX396" s="98"/>
      <c r="DY396" s="279"/>
      <c r="DZ396" s="52"/>
      <c r="EA396" s="105"/>
      <c r="EB396" s="98"/>
      <c r="EC396" s="279"/>
      <c r="ED396" s="52"/>
      <c r="EE396" s="105"/>
      <c r="EF396" s="98"/>
      <c r="EG396" s="159"/>
      <c r="EH396" s="277"/>
      <c r="EI396" s="50">
        <f t="shared" si="174"/>
        <v>0</v>
      </c>
      <c r="EJ396" s="103">
        <f t="shared" si="175"/>
        <v>0</v>
      </c>
      <c r="EK396" s="164">
        <f t="shared" si="176"/>
        <v>0</v>
      </c>
      <c r="EL396" s="280">
        <f t="shared" si="177"/>
        <v>0</v>
      </c>
      <c r="EM396" s="63">
        <f t="shared" si="178"/>
        <v>0</v>
      </c>
      <c r="EN396" s="359">
        <f t="shared" si="179"/>
        <v>0</v>
      </c>
      <c r="EO396" s="51">
        <f t="shared" si="180"/>
        <v>0</v>
      </c>
      <c r="EP396" s="361">
        <f t="shared" si="181"/>
        <v>0</v>
      </c>
      <c r="EQ396" s="281"/>
      <c r="ER396" s="277"/>
      <c r="ES396" s="281"/>
      <c r="ET396" s="277"/>
      <c r="EU396" s="281"/>
      <c r="EV396" s="277"/>
      <c r="EW396" s="281"/>
      <c r="EX396" s="277"/>
      <c r="EY396" s="281"/>
      <c r="EZ396" s="277"/>
      <c r="FA396" s="281"/>
      <c r="FB396" s="277"/>
      <c r="FC396" s="281"/>
      <c r="FD396" s="277"/>
      <c r="FE396" s="281"/>
      <c r="FF396" s="277"/>
      <c r="FG396" s="281"/>
      <c r="FH396" s="277"/>
      <c r="FI396" s="281"/>
      <c r="FJ396" s="277"/>
      <c r="FK396" s="50">
        <f t="shared" si="182"/>
        <v>0</v>
      </c>
      <c r="FL396" s="63">
        <f t="shared" si="183"/>
        <v>0</v>
      </c>
      <c r="FM396" s="50">
        <f t="shared" si="165"/>
        <v>212</v>
      </c>
      <c r="FN396" s="360">
        <f t="shared" si="166"/>
        <v>221</v>
      </c>
      <c r="FO396" s="3"/>
      <c r="FP396" s="279"/>
      <c r="FQ396" s="52"/>
      <c r="FR396" s="296"/>
      <c r="FS396" s="98"/>
      <c r="FT396" s="467"/>
      <c r="FU396" s="52"/>
      <c r="FV396" s="296"/>
      <c r="FW396" s="98"/>
      <c r="FX396" s="467"/>
      <c r="FY396" s="52"/>
      <c r="FZ396" s="296"/>
      <c r="GA396" s="98"/>
      <c r="GB396" s="467"/>
      <c r="GC396" s="52"/>
      <c r="GD396" s="296"/>
      <c r="GE396" s="98"/>
      <c r="GF396" s="467"/>
      <c r="GG396" s="52"/>
      <c r="GH396" s="296"/>
      <c r="GI396" s="98"/>
      <c r="GJ396" s="467"/>
      <c r="GK396" s="52"/>
      <c r="GL396" s="296"/>
      <c r="GM396" s="464"/>
      <c r="GN396" s="467"/>
      <c r="GO396" s="52"/>
      <c r="GP396" s="296"/>
      <c r="GQ396" s="464"/>
      <c r="GR396" s="467"/>
      <c r="GS396" s="52"/>
      <c r="GT396" s="296"/>
      <c r="GU396" s="464"/>
      <c r="GV396" s="467"/>
      <c r="GW396" s="52"/>
      <c r="GX396" s="296"/>
      <c r="GY396" s="464"/>
      <c r="GZ396" s="467"/>
      <c r="HA396" s="52"/>
      <c r="HB396" s="296"/>
      <c r="HC396" s="3"/>
    </row>
    <row r="397" spans="1:211" s="86" customFormat="1">
      <c r="A397" s="521" t="s">
        <v>984</v>
      </c>
      <c r="B397" s="318" t="s">
        <v>2</v>
      </c>
      <c r="C397" s="317">
        <v>198084</v>
      </c>
      <c r="D397" s="346">
        <v>10</v>
      </c>
      <c r="E397" s="460">
        <v>187</v>
      </c>
      <c r="F397" s="337">
        <v>190</v>
      </c>
      <c r="G397" s="158"/>
      <c r="H397" s="277"/>
      <c r="I397" s="158">
        <v>119</v>
      </c>
      <c r="J397" s="665">
        <v>92</v>
      </c>
      <c r="K397" s="160">
        <f t="shared" si="167"/>
        <v>0</v>
      </c>
      <c r="L397" s="161">
        <f t="shared" si="160"/>
        <v>0</v>
      </c>
      <c r="M397" s="54"/>
      <c r="N397" s="55"/>
      <c r="O397" s="55"/>
      <c r="P397" s="55"/>
      <c r="Q397" s="162">
        <f t="shared" si="168"/>
        <v>0</v>
      </c>
      <c r="R397" s="277"/>
      <c r="S397" s="277"/>
      <c r="T397" s="277"/>
      <c r="U397" s="277"/>
      <c r="V397" s="97">
        <f t="shared" si="169"/>
        <v>0</v>
      </c>
      <c r="W397" s="279"/>
      <c r="X397" s="52"/>
      <c r="Y397" s="99"/>
      <c r="Z397" s="53"/>
      <c r="AA397" s="228"/>
      <c r="AB397" s="52"/>
      <c r="AC397" s="99"/>
      <c r="AD397" s="53"/>
      <c r="AE397" s="228"/>
      <c r="AF397" s="52"/>
      <c r="AG397" s="99"/>
      <c r="AH397" s="53"/>
      <c r="AI397" s="228"/>
      <c r="AJ397" s="52"/>
      <c r="AK397" s="99"/>
      <c r="AL397" s="53"/>
      <c r="AM397" s="228"/>
      <c r="AN397" s="52"/>
      <c r="AO397" s="99"/>
      <c r="AP397" s="53"/>
      <c r="AQ397" s="50">
        <f t="shared" si="161"/>
        <v>0</v>
      </c>
      <c r="AR397" s="163">
        <f t="shared" si="162"/>
        <v>0</v>
      </c>
      <c r="AS397" s="97">
        <f t="shared" si="163"/>
        <v>0</v>
      </c>
      <c r="AT397" s="278">
        <f t="shared" si="164"/>
        <v>0</v>
      </c>
      <c r="AU397" s="55"/>
      <c r="AV397" s="277"/>
      <c r="AW397" s="279"/>
      <c r="AX397" s="52"/>
      <c r="AY397" s="105"/>
      <c r="AZ397" s="98"/>
      <c r="BA397" s="279"/>
      <c r="BB397" s="52"/>
      <c r="BC397" s="105"/>
      <c r="BD397" s="98"/>
      <c r="BE397" s="279"/>
      <c r="BF397" s="52"/>
      <c r="BG397" s="105"/>
      <c r="BH397" s="98"/>
      <c r="BI397" s="279"/>
      <c r="BJ397" s="52"/>
      <c r="BK397" s="105"/>
      <c r="BL397" s="98"/>
      <c r="BM397" s="279"/>
      <c r="BN397" s="52"/>
      <c r="BO397" s="105"/>
      <c r="BP397" s="98"/>
      <c r="BQ397" s="279"/>
      <c r="BR397" s="52"/>
      <c r="BS397" s="105"/>
      <c r="BT397" s="98"/>
      <c r="BU397" s="279"/>
      <c r="BV397" s="52"/>
      <c r="BW397" s="105"/>
      <c r="BX397" s="98"/>
      <c r="BY397" s="279"/>
      <c r="BZ397" s="52"/>
      <c r="CA397" s="105"/>
      <c r="CB397" s="98"/>
      <c r="CC397" s="279"/>
      <c r="CD397" s="52"/>
      <c r="CE397" s="105"/>
      <c r="CF397" s="98"/>
      <c r="CG397" s="279"/>
      <c r="CH397" s="52"/>
      <c r="CI397" s="105"/>
      <c r="CJ397" s="98"/>
      <c r="CK397" s="281"/>
      <c r="CL397" s="277"/>
      <c r="CM397" s="159"/>
      <c r="CN397" s="277"/>
      <c r="CO397" s="50">
        <f t="shared" si="170"/>
        <v>0</v>
      </c>
      <c r="CP397" s="103">
        <f t="shared" si="171"/>
        <v>0</v>
      </c>
      <c r="CQ397" s="280">
        <f t="shared" si="172"/>
        <v>0</v>
      </c>
      <c r="CR397" s="63">
        <f t="shared" si="173"/>
        <v>0</v>
      </c>
      <c r="CS397" s="279"/>
      <c r="CT397" s="52"/>
      <c r="CU397" s="105"/>
      <c r="CV397" s="98"/>
      <c r="CW397" s="279"/>
      <c r="CX397" s="52"/>
      <c r="CY397" s="105"/>
      <c r="CZ397" s="98"/>
      <c r="DA397" s="279"/>
      <c r="DB397" s="52"/>
      <c r="DC397" s="105"/>
      <c r="DD397" s="98"/>
      <c r="DE397" s="279"/>
      <c r="DF397" s="52"/>
      <c r="DG397" s="105"/>
      <c r="DH397" s="98"/>
      <c r="DI397" s="279"/>
      <c r="DJ397" s="52"/>
      <c r="DK397" s="105"/>
      <c r="DL397" s="98"/>
      <c r="DM397" s="279"/>
      <c r="DN397" s="52"/>
      <c r="DO397" s="105"/>
      <c r="DP397" s="98"/>
      <c r="DQ397" s="279"/>
      <c r="DR397" s="52"/>
      <c r="DS397" s="105"/>
      <c r="DT397" s="98"/>
      <c r="DU397" s="279"/>
      <c r="DV397" s="52"/>
      <c r="DW397" s="105"/>
      <c r="DX397" s="98"/>
      <c r="DY397" s="279"/>
      <c r="DZ397" s="52"/>
      <c r="EA397" s="105"/>
      <c r="EB397" s="98"/>
      <c r="EC397" s="279"/>
      <c r="ED397" s="52"/>
      <c r="EE397" s="105"/>
      <c r="EF397" s="98"/>
      <c r="EG397" s="159"/>
      <c r="EH397" s="277"/>
      <c r="EI397" s="50">
        <f t="shared" si="174"/>
        <v>0</v>
      </c>
      <c r="EJ397" s="103">
        <f t="shared" si="175"/>
        <v>0</v>
      </c>
      <c r="EK397" s="164">
        <f t="shared" si="176"/>
        <v>0</v>
      </c>
      <c r="EL397" s="280">
        <f t="shared" si="177"/>
        <v>0</v>
      </c>
      <c r="EM397" s="63">
        <f t="shared" si="178"/>
        <v>0</v>
      </c>
      <c r="EN397" s="359">
        <f t="shared" si="179"/>
        <v>0</v>
      </c>
      <c r="EO397" s="51">
        <f t="shared" si="180"/>
        <v>0</v>
      </c>
      <c r="EP397" s="361">
        <f t="shared" si="181"/>
        <v>0</v>
      </c>
      <c r="EQ397" s="281"/>
      <c r="ER397" s="277"/>
      <c r="ES397" s="281"/>
      <c r="ET397" s="277"/>
      <c r="EU397" s="281"/>
      <c r="EV397" s="277"/>
      <c r="EW397" s="281"/>
      <c r="EX397" s="277"/>
      <c r="EY397" s="281"/>
      <c r="EZ397" s="277"/>
      <c r="FA397" s="281"/>
      <c r="FB397" s="277"/>
      <c r="FC397" s="281"/>
      <c r="FD397" s="277"/>
      <c r="FE397" s="281"/>
      <c r="FF397" s="277"/>
      <c r="FG397" s="281"/>
      <c r="FH397" s="277"/>
      <c r="FI397" s="281"/>
      <c r="FJ397" s="277"/>
      <c r="FK397" s="50">
        <f t="shared" si="182"/>
        <v>0</v>
      </c>
      <c r="FL397" s="63">
        <f t="shared" si="183"/>
        <v>0</v>
      </c>
      <c r="FM397" s="50">
        <f t="shared" si="165"/>
        <v>306</v>
      </c>
      <c r="FN397" s="360">
        <f t="shared" si="166"/>
        <v>282</v>
      </c>
      <c r="FO397" s="3"/>
      <c r="FP397" s="279"/>
      <c r="FQ397" s="52"/>
      <c r="FR397" s="296"/>
      <c r="FS397" s="98"/>
      <c r="FT397" s="467"/>
      <c r="FU397" s="52"/>
      <c r="FV397" s="296"/>
      <c r="FW397" s="98"/>
      <c r="FX397" s="467"/>
      <c r="FY397" s="52"/>
      <c r="FZ397" s="296"/>
      <c r="GA397" s="98"/>
      <c r="GB397" s="467"/>
      <c r="GC397" s="52"/>
      <c r="GD397" s="296"/>
      <c r="GE397" s="98"/>
      <c r="GF397" s="467"/>
      <c r="GG397" s="52"/>
      <c r="GH397" s="296"/>
      <c r="GI397" s="98"/>
      <c r="GJ397" s="467"/>
      <c r="GK397" s="52"/>
      <c r="GL397" s="296"/>
      <c r="GM397" s="464"/>
      <c r="GN397" s="467"/>
      <c r="GO397" s="52"/>
      <c r="GP397" s="296"/>
      <c r="GQ397" s="464"/>
      <c r="GR397" s="467"/>
      <c r="GS397" s="52"/>
      <c r="GT397" s="296"/>
      <c r="GU397" s="464"/>
      <c r="GV397" s="467"/>
      <c r="GW397" s="52"/>
      <c r="GX397" s="296"/>
      <c r="GY397" s="464"/>
      <c r="GZ397" s="467"/>
      <c r="HA397" s="52"/>
      <c r="HB397" s="296"/>
      <c r="HC397" s="3"/>
    </row>
    <row r="398" spans="1:211" s="86" customFormat="1">
      <c r="A398" s="521" t="s">
        <v>984</v>
      </c>
      <c r="B398" s="318" t="s">
        <v>3</v>
      </c>
      <c r="C398" s="317">
        <v>198206</v>
      </c>
      <c r="D398" s="346">
        <v>10</v>
      </c>
      <c r="E398" s="460">
        <v>155</v>
      </c>
      <c r="F398" s="337">
        <v>145</v>
      </c>
      <c r="G398" s="158"/>
      <c r="H398" s="277"/>
      <c r="I398" s="158">
        <v>154</v>
      </c>
      <c r="J398" s="665">
        <v>128</v>
      </c>
      <c r="K398" s="160">
        <f t="shared" si="167"/>
        <v>0</v>
      </c>
      <c r="L398" s="161">
        <f t="shared" si="160"/>
        <v>0</v>
      </c>
      <c r="M398" s="54"/>
      <c r="N398" s="55"/>
      <c r="O398" s="55"/>
      <c r="P398" s="55"/>
      <c r="Q398" s="162">
        <f t="shared" si="168"/>
        <v>0</v>
      </c>
      <c r="R398" s="277"/>
      <c r="S398" s="277"/>
      <c r="T398" s="277"/>
      <c r="U398" s="277"/>
      <c r="V398" s="97">
        <f t="shared" si="169"/>
        <v>0</v>
      </c>
      <c r="W398" s="279"/>
      <c r="X398" s="52"/>
      <c r="Y398" s="99"/>
      <c r="Z398" s="53"/>
      <c r="AA398" s="228"/>
      <c r="AB398" s="52"/>
      <c r="AC398" s="99"/>
      <c r="AD398" s="53"/>
      <c r="AE398" s="228"/>
      <c r="AF398" s="52"/>
      <c r="AG398" s="99"/>
      <c r="AH398" s="53"/>
      <c r="AI398" s="228"/>
      <c r="AJ398" s="52"/>
      <c r="AK398" s="99"/>
      <c r="AL398" s="53"/>
      <c r="AM398" s="228"/>
      <c r="AN398" s="52"/>
      <c r="AO398" s="99"/>
      <c r="AP398" s="53"/>
      <c r="AQ398" s="50">
        <f t="shared" si="161"/>
        <v>0</v>
      </c>
      <c r="AR398" s="163">
        <f t="shared" si="162"/>
        <v>0</v>
      </c>
      <c r="AS398" s="97">
        <f t="shared" si="163"/>
        <v>0</v>
      </c>
      <c r="AT398" s="278">
        <f t="shared" si="164"/>
        <v>0</v>
      </c>
      <c r="AU398" s="55"/>
      <c r="AV398" s="277"/>
      <c r="AW398" s="279"/>
      <c r="AX398" s="52"/>
      <c r="AY398" s="105"/>
      <c r="AZ398" s="98"/>
      <c r="BA398" s="279"/>
      <c r="BB398" s="52"/>
      <c r="BC398" s="105"/>
      <c r="BD398" s="98"/>
      <c r="BE398" s="279"/>
      <c r="BF398" s="52"/>
      <c r="BG398" s="105"/>
      <c r="BH398" s="98"/>
      <c r="BI398" s="279"/>
      <c r="BJ398" s="52"/>
      <c r="BK398" s="105"/>
      <c r="BL398" s="98"/>
      <c r="BM398" s="279"/>
      <c r="BN398" s="52"/>
      <c r="BO398" s="105"/>
      <c r="BP398" s="98"/>
      <c r="BQ398" s="279"/>
      <c r="BR398" s="52"/>
      <c r="BS398" s="105"/>
      <c r="BT398" s="98"/>
      <c r="BU398" s="279"/>
      <c r="BV398" s="52"/>
      <c r="BW398" s="105"/>
      <c r="BX398" s="98"/>
      <c r="BY398" s="279"/>
      <c r="BZ398" s="52"/>
      <c r="CA398" s="105"/>
      <c r="CB398" s="98"/>
      <c r="CC398" s="279"/>
      <c r="CD398" s="52"/>
      <c r="CE398" s="105"/>
      <c r="CF398" s="98"/>
      <c r="CG398" s="279"/>
      <c r="CH398" s="52"/>
      <c r="CI398" s="105"/>
      <c r="CJ398" s="98"/>
      <c r="CK398" s="281"/>
      <c r="CL398" s="277"/>
      <c r="CM398" s="159"/>
      <c r="CN398" s="277"/>
      <c r="CO398" s="50">
        <f t="shared" si="170"/>
        <v>0</v>
      </c>
      <c r="CP398" s="103">
        <f t="shared" si="171"/>
        <v>0</v>
      </c>
      <c r="CQ398" s="280">
        <f t="shared" si="172"/>
        <v>0</v>
      </c>
      <c r="CR398" s="63">
        <f t="shared" si="173"/>
        <v>0</v>
      </c>
      <c r="CS398" s="279"/>
      <c r="CT398" s="52"/>
      <c r="CU398" s="105"/>
      <c r="CV398" s="98"/>
      <c r="CW398" s="279"/>
      <c r="CX398" s="52"/>
      <c r="CY398" s="105"/>
      <c r="CZ398" s="98"/>
      <c r="DA398" s="279"/>
      <c r="DB398" s="52"/>
      <c r="DC398" s="105"/>
      <c r="DD398" s="98"/>
      <c r="DE398" s="279"/>
      <c r="DF398" s="52"/>
      <c r="DG398" s="105"/>
      <c r="DH398" s="98"/>
      <c r="DI398" s="279"/>
      <c r="DJ398" s="52"/>
      <c r="DK398" s="105"/>
      <c r="DL398" s="98"/>
      <c r="DM398" s="279"/>
      <c r="DN398" s="52"/>
      <c r="DO398" s="105"/>
      <c r="DP398" s="98"/>
      <c r="DQ398" s="279"/>
      <c r="DR398" s="52"/>
      <c r="DS398" s="105"/>
      <c r="DT398" s="98"/>
      <c r="DU398" s="279"/>
      <c r="DV398" s="52"/>
      <c r="DW398" s="105"/>
      <c r="DX398" s="98"/>
      <c r="DY398" s="279"/>
      <c r="DZ398" s="52"/>
      <c r="EA398" s="105"/>
      <c r="EB398" s="98"/>
      <c r="EC398" s="279"/>
      <c r="ED398" s="52"/>
      <c r="EE398" s="105"/>
      <c r="EF398" s="98"/>
      <c r="EG398" s="159"/>
      <c r="EH398" s="277"/>
      <c r="EI398" s="50">
        <f t="shared" si="174"/>
        <v>0</v>
      </c>
      <c r="EJ398" s="103">
        <f t="shared" si="175"/>
        <v>0</v>
      </c>
      <c r="EK398" s="164">
        <f t="shared" si="176"/>
        <v>0</v>
      </c>
      <c r="EL398" s="280">
        <f t="shared" si="177"/>
        <v>0</v>
      </c>
      <c r="EM398" s="63">
        <f t="shared" si="178"/>
        <v>0</v>
      </c>
      <c r="EN398" s="359">
        <f t="shared" si="179"/>
        <v>0</v>
      </c>
      <c r="EO398" s="51">
        <f t="shared" si="180"/>
        <v>0</v>
      </c>
      <c r="EP398" s="361">
        <f t="shared" si="181"/>
        <v>0</v>
      </c>
      <c r="EQ398" s="281"/>
      <c r="ER398" s="277"/>
      <c r="ES398" s="281"/>
      <c r="ET398" s="277"/>
      <c r="EU398" s="281"/>
      <c r="EV398" s="277"/>
      <c r="EW398" s="281"/>
      <c r="EX398" s="277"/>
      <c r="EY398" s="281"/>
      <c r="EZ398" s="277"/>
      <c r="FA398" s="281"/>
      <c r="FB398" s="277"/>
      <c r="FC398" s="281"/>
      <c r="FD398" s="277"/>
      <c r="FE398" s="281"/>
      <c r="FF398" s="277"/>
      <c r="FG398" s="281"/>
      <c r="FH398" s="277"/>
      <c r="FI398" s="281"/>
      <c r="FJ398" s="277"/>
      <c r="FK398" s="50">
        <f t="shared" si="182"/>
        <v>0</v>
      </c>
      <c r="FL398" s="63">
        <f t="shared" si="183"/>
        <v>0</v>
      </c>
      <c r="FM398" s="50">
        <f t="shared" si="165"/>
        <v>309</v>
      </c>
      <c r="FN398" s="360">
        <f t="shared" si="166"/>
        <v>273</v>
      </c>
      <c r="FO398" s="3"/>
      <c r="FP398" s="279"/>
      <c r="FQ398" s="52"/>
      <c r="FR398" s="296"/>
      <c r="FS398" s="98"/>
      <c r="FT398" s="467"/>
      <c r="FU398" s="52"/>
      <c r="FV398" s="296"/>
      <c r="FW398" s="98"/>
      <c r="FX398" s="467"/>
      <c r="FY398" s="52"/>
      <c r="FZ398" s="296"/>
      <c r="GA398" s="98"/>
      <c r="GB398" s="467"/>
      <c r="GC398" s="52"/>
      <c r="GD398" s="296"/>
      <c r="GE398" s="98"/>
      <c r="GF398" s="467"/>
      <c r="GG398" s="52"/>
      <c r="GH398" s="296"/>
      <c r="GI398" s="98"/>
      <c r="GJ398" s="467"/>
      <c r="GK398" s="52"/>
      <c r="GL398" s="296"/>
      <c r="GM398" s="464"/>
      <c r="GN398" s="467"/>
      <c r="GO398" s="52"/>
      <c r="GP398" s="296"/>
      <c r="GQ398" s="464"/>
      <c r="GR398" s="467"/>
      <c r="GS398" s="52"/>
      <c r="GT398" s="296"/>
      <c r="GU398" s="464"/>
      <c r="GV398" s="467"/>
      <c r="GW398" s="52"/>
      <c r="GX398" s="296"/>
      <c r="GY398" s="464"/>
      <c r="GZ398" s="467"/>
      <c r="HA398" s="52"/>
      <c r="HB398" s="296"/>
      <c r="HC398" s="3"/>
    </row>
    <row r="399" spans="1:211" s="86" customFormat="1">
      <c r="A399" s="521" t="s">
        <v>984</v>
      </c>
      <c r="B399" s="318" t="s">
        <v>4</v>
      </c>
      <c r="C399" s="317">
        <v>198640</v>
      </c>
      <c r="D399" s="346">
        <v>10</v>
      </c>
      <c r="E399" s="460">
        <v>279</v>
      </c>
      <c r="F399" s="337">
        <v>263</v>
      </c>
      <c r="G399" s="158"/>
      <c r="H399" s="277"/>
      <c r="I399" s="158">
        <v>120</v>
      </c>
      <c r="J399" s="665">
        <v>101</v>
      </c>
      <c r="K399" s="160">
        <f t="shared" si="167"/>
        <v>0</v>
      </c>
      <c r="L399" s="161">
        <f t="shared" si="160"/>
        <v>0</v>
      </c>
      <c r="M399" s="54"/>
      <c r="N399" s="55"/>
      <c r="O399" s="55"/>
      <c r="P399" s="55"/>
      <c r="Q399" s="162">
        <f t="shared" si="168"/>
        <v>0</v>
      </c>
      <c r="R399" s="277"/>
      <c r="S399" s="277"/>
      <c r="T399" s="277"/>
      <c r="U399" s="277"/>
      <c r="V399" s="97">
        <f t="shared" si="169"/>
        <v>0</v>
      </c>
      <c r="W399" s="279"/>
      <c r="X399" s="52"/>
      <c r="Y399" s="99"/>
      <c r="Z399" s="53"/>
      <c r="AA399" s="228"/>
      <c r="AB399" s="52"/>
      <c r="AC399" s="99"/>
      <c r="AD399" s="53"/>
      <c r="AE399" s="228"/>
      <c r="AF399" s="52"/>
      <c r="AG399" s="99"/>
      <c r="AH399" s="53"/>
      <c r="AI399" s="228"/>
      <c r="AJ399" s="52"/>
      <c r="AK399" s="99"/>
      <c r="AL399" s="53"/>
      <c r="AM399" s="228"/>
      <c r="AN399" s="52"/>
      <c r="AO399" s="99"/>
      <c r="AP399" s="53"/>
      <c r="AQ399" s="50">
        <f t="shared" si="161"/>
        <v>0</v>
      </c>
      <c r="AR399" s="163">
        <f t="shared" si="162"/>
        <v>0</v>
      </c>
      <c r="AS399" s="97">
        <f t="shared" si="163"/>
        <v>0</v>
      </c>
      <c r="AT399" s="278">
        <f t="shared" si="164"/>
        <v>0</v>
      </c>
      <c r="AU399" s="55"/>
      <c r="AV399" s="277"/>
      <c r="AW399" s="279"/>
      <c r="AX399" s="52"/>
      <c r="AY399" s="105"/>
      <c r="AZ399" s="98"/>
      <c r="BA399" s="279"/>
      <c r="BB399" s="52"/>
      <c r="BC399" s="105"/>
      <c r="BD399" s="98"/>
      <c r="BE399" s="279"/>
      <c r="BF399" s="52"/>
      <c r="BG399" s="105"/>
      <c r="BH399" s="98"/>
      <c r="BI399" s="279"/>
      <c r="BJ399" s="52"/>
      <c r="BK399" s="105"/>
      <c r="BL399" s="98"/>
      <c r="BM399" s="279"/>
      <c r="BN399" s="52"/>
      <c r="BO399" s="105"/>
      <c r="BP399" s="98"/>
      <c r="BQ399" s="279"/>
      <c r="BR399" s="52"/>
      <c r="BS399" s="105"/>
      <c r="BT399" s="98"/>
      <c r="BU399" s="279"/>
      <c r="BV399" s="52"/>
      <c r="BW399" s="105"/>
      <c r="BX399" s="98"/>
      <c r="BY399" s="279"/>
      <c r="BZ399" s="52"/>
      <c r="CA399" s="105"/>
      <c r="CB399" s="98"/>
      <c r="CC399" s="279"/>
      <c r="CD399" s="52"/>
      <c r="CE399" s="105"/>
      <c r="CF399" s="98"/>
      <c r="CG399" s="279"/>
      <c r="CH399" s="52"/>
      <c r="CI399" s="105"/>
      <c r="CJ399" s="98"/>
      <c r="CK399" s="281"/>
      <c r="CL399" s="277"/>
      <c r="CM399" s="159"/>
      <c r="CN399" s="277"/>
      <c r="CO399" s="50">
        <f t="shared" si="170"/>
        <v>0</v>
      </c>
      <c r="CP399" s="103">
        <f t="shared" si="171"/>
        <v>0</v>
      </c>
      <c r="CQ399" s="280">
        <f t="shared" si="172"/>
        <v>0</v>
      </c>
      <c r="CR399" s="63">
        <f t="shared" si="173"/>
        <v>0</v>
      </c>
      <c r="CS399" s="279"/>
      <c r="CT399" s="52"/>
      <c r="CU399" s="105"/>
      <c r="CV399" s="98"/>
      <c r="CW399" s="279"/>
      <c r="CX399" s="52"/>
      <c r="CY399" s="105"/>
      <c r="CZ399" s="98"/>
      <c r="DA399" s="279"/>
      <c r="DB399" s="52"/>
      <c r="DC399" s="105"/>
      <c r="DD399" s="98"/>
      <c r="DE399" s="279"/>
      <c r="DF399" s="52"/>
      <c r="DG399" s="105"/>
      <c r="DH399" s="98"/>
      <c r="DI399" s="279"/>
      <c r="DJ399" s="52"/>
      <c r="DK399" s="105"/>
      <c r="DL399" s="98"/>
      <c r="DM399" s="279"/>
      <c r="DN399" s="52"/>
      <c r="DO399" s="105"/>
      <c r="DP399" s="98"/>
      <c r="DQ399" s="279"/>
      <c r="DR399" s="52"/>
      <c r="DS399" s="105"/>
      <c r="DT399" s="98"/>
      <c r="DU399" s="279"/>
      <c r="DV399" s="52"/>
      <c r="DW399" s="105"/>
      <c r="DX399" s="98"/>
      <c r="DY399" s="279"/>
      <c r="DZ399" s="52"/>
      <c r="EA399" s="105"/>
      <c r="EB399" s="98"/>
      <c r="EC399" s="279"/>
      <c r="ED399" s="52"/>
      <c r="EE399" s="105"/>
      <c r="EF399" s="98"/>
      <c r="EG399" s="159"/>
      <c r="EH399" s="277"/>
      <c r="EI399" s="50">
        <f t="shared" si="174"/>
        <v>0</v>
      </c>
      <c r="EJ399" s="103">
        <f t="shared" si="175"/>
        <v>0</v>
      </c>
      <c r="EK399" s="164">
        <f t="shared" si="176"/>
        <v>0</v>
      </c>
      <c r="EL399" s="280">
        <f t="shared" si="177"/>
        <v>0</v>
      </c>
      <c r="EM399" s="63">
        <f t="shared" si="178"/>
        <v>0</v>
      </c>
      <c r="EN399" s="359">
        <f t="shared" si="179"/>
        <v>0</v>
      </c>
      <c r="EO399" s="51">
        <f t="shared" si="180"/>
        <v>0</v>
      </c>
      <c r="EP399" s="361">
        <f t="shared" si="181"/>
        <v>0</v>
      </c>
      <c r="EQ399" s="281"/>
      <c r="ER399" s="277"/>
      <c r="ES399" s="281"/>
      <c r="ET399" s="277"/>
      <c r="EU399" s="281"/>
      <c r="EV399" s="277"/>
      <c r="EW399" s="281"/>
      <c r="EX399" s="277"/>
      <c r="EY399" s="281"/>
      <c r="EZ399" s="277"/>
      <c r="FA399" s="281"/>
      <c r="FB399" s="277"/>
      <c r="FC399" s="281"/>
      <c r="FD399" s="277"/>
      <c r="FE399" s="281"/>
      <c r="FF399" s="277"/>
      <c r="FG399" s="281"/>
      <c r="FH399" s="277"/>
      <c r="FI399" s="281"/>
      <c r="FJ399" s="277"/>
      <c r="FK399" s="50">
        <f t="shared" si="182"/>
        <v>0</v>
      </c>
      <c r="FL399" s="63">
        <f t="shared" si="183"/>
        <v>0</v>
      </c>
      <c r="FM399" s="50">
        <f t="shared" si="165"/>
        <v>399</v>
      </c>
      <c r="FN399" s="360">
        <f t="shared" si="166"/>
        <v>364</v>
      </c>
      <c r="FO399" s="3"/>
      <c r="FP399" s="279"/>
      <c r="FQ399" s="52"/>
      <c r="FR399" s="296"/>
      <c r="FS399" s="98"/>
      <c r="FT399" s="467"/>
      <c r="FU399" s="52"/>
      <c r="FV399" s="296"/>
      <c r="FW399" s="98"/>
      <c r="FX399" s="467"/>
      <c r="FY399" s="52"/>
      <c r="FZ399" s="296"/>
      <c r="GA399" s="98"/>
      <c r="GB399" s="467"/>
      <c r="GC399" s="52"/>
      <c r="GD399" s="296"/>
      <c r="GE399" s="98"/>
      <c r="GF399" s="467"/>
      <c r="GG399" s="52"/>
      <c r="GH399" s="296"/>
      <c r="GI399" s="98"/>
      <c r="GJ399" s="467"/>
      <c r="GK399" s="52"/>
      <c r="GL399" s="296"/>
      <c r="GM399" s="464"/>
      <c r="GN399" s="467"/>
      <c r="GO399" s="52"/>
      <c r="GP399" s="296"/>
      <c r="GQ399" s="464"/>
      <c r="GR399" s="467"/>
      <c r="GS399" s="52"/>
      <c r="GT399" s="296"/>
      <c r="GU399" s="464"/>
      <c r="GV399" s="467"/>
      <c r="GW399" s="52"/>
      <c r="GX399" s="296"/>
      <c r="GY399" s="464"/>
      <c r="GZ399" s="467"/>
      <c r="HA399" s="52"/>
      <c r="HB399" s="296"/>
      <c r="HC399" s="3"/>
    </row>
    <row r="400" spans="1:211" s="86" customFormat="1">
      <c r="A400" s="521" t="s">
        <v>984</v>
      </c>
      <c r="B400" s="318" t="s">
        <v>5</v>
      </c>
      <c r="C400" s="317">
        <v>198729</v>
      </c>
      <c r="D400" s="346">
        <v>10</v>
      </c>
      <c r="E400" s="460">
        <v>206</v>
      </c>
      <c r="F400" s="337">
        <v>194</v>
      </c>
      <c r="G400" s="158"/>
      <c r="H400" s="277"/>
      <c r="I400" s="158">
        <v>161</v>
      </c>
      <c r="J400" s="665">
        <v>128</v>
      </c>
      <c r="K400" s="160">
        <f t="shared" si="167"/>
        <v>0</v>
      </c>
      <c r="L400" s="161">
        <f t="shared" si="160"/>
        <v>0</v>
      </c>
      <c r="M400" s="54"/>
      <c r="N400" s="55"/>
      <c r="O400" s="55"/>
      <c r="P400" s="55"/>
      <c r="Q400" s="162">
        <f t="shared" si="168"/>
        <v>0</v>
      </c>
      <c r="R400" s="277"/>
      <c r="S400" s="277"/>
      <c r="T400" s="277"/>
      <c r="U400" s="277"/>
      <c r="V400" s="97">
        <f t="shared" si="169"/>
        <v>0</v>
      </c>
      <c r="W400" s="279"/>
      <c r="X400" s="52"/>
      <c r="Y400" s="99"/>
      <c r="Z400" s="53"/>
      <c r="AA400" s="228"/>
      <c r="AB400" s="52"/>
      <c r="AC400" s="99"/>
      <c r="AD400" s="53"/>
      <c r="AE400" s="228"/>
      <c r="AF400" s="52"/>
      <c r="AG400" s="99"/>
      <c r="AH400" s="53"/>
      <c r="AI400" s="228"/>
      <c r="AJ400" s="52"/>
      <c r="AK400" s="99"/>
      <c r="AL400" s="53"/>
      <c r="AM400" s="228"/>
      <c r="AN400" s="52"/>
      <c r="AO400" s="99"/>
      <c r="AP400" s="53"/>
      <c r="AQ400" s="50">
        <f t="shared" si="161"/>
        <v>0</v>
      </c>
      <c r="AR400" s="163">
        <f t="shared" si="162"/>
        <v>0</v>
      </c>
      <c r="AS400" s="97">
        <f t="shared" si="163"/>
        <v>0</v>
      </c>
      <c r="AT400" s="278">
        <f t="shared" si="164"/>
        <v>0</v>
      </c>
      <c r="AU400" s="55"/>
      <c r="AV400" s="277"/>
      <c r="AW400" s="279"/>
      <c r="AX400" s="52"/>
      <c r="AY400" s="105"/>
      <c r="AZ400" s="98"/>
      <c r="BA400" s="279"/>
      <c r="BB400" s="52"/>
      <c r="BC400" s="105"/>
      <c r="BD400" s="98"/>
      <c r="BE400" s="279"/>
      <c r="BF400" s="52"/>
      <c r="BG400" s="105"/>
      <c r="BH400" s="98"/>
      <c r="BI400" s="279"/>
      <c r="BJ400" s="52"/>
      <c r="BK400" s="105"/>
      <c r="BL400" s="98"/>
      <c r="BM400" s="279"/>
      <c r="BN400" s="52"/>
      <c r="BO400" s="105"/>
      <c r="BP400" s="98"/>
      <c r="BQ400" s="279"/>
      <c r="BR400" s="52"/>
      <c r="BS400" s="105"/>
      <c r="BT400" s="98"/>
      <c r="BU400" s="279"/>
      <c r="BV400" s="52"/>
      <c r="BW400" s="105"/>
      <c r="BX400" s="98"/>
      <c r="BY400" s="279"/>
      <c r="BZ400" s="52"/>
      <c r="CA400" s="105"/>
      <c r="CB400" s="98"/>
      <c r="CC400" s="279"/>
      <c r="CD400" s="52"/>
      <c r="CE400" s="105"/>
      <c r="CF400" s="98"/>
      <c r="CG400" s="279"/>
      <c r="CH400" s="52"/>
      <c r="CI400" s="105"/>
      <c r="CJ400" s="98"/>
      <c r="CK400" s="281"/>
      <c r="CL400" s="277"/>
      <c r="CM400" s="159"/>
      <c r="CN400" s="277"/>
      <c r="CO400" s="50">
        <f t="shared" si="170"/>
        <v>0</v>
      </c>
      <c r="CP400" s="103">
        <f t="shared" si="171"/>
        <v>0</v>
      </c>
      <c r="CQ400" s="280">
        <f t="shared" si="172"/>
        <v>0</v>
      </c>
      <c r="CR400" s="63">
        <f t="shared" si="173"/>
        <v>0</v>
      </c>
      <c r="CS400" s="279"/>
      <c r="CT400" s="52"/>
      <c r="CU400" s="105"/>
      <c r="CV400" s="98"/>
      <c r="CW400" s="279"/>
      <c r="CX400" s="52"/>
      <c r="CY400" s="105"/>
      <c r="CZ400" s="98"/>
      <c r="DA400" s="279"/>
      <c r="DB400" s="52"/>
      <c r="DC400" s="105"/>
      <c r="DD400" s="98"/>
      <c r="DE400" s="279"/>
      <c r="DF400" s="52"/>
      <c r="DG400" s="105"/>
      <c r="DH400" s="98"/>
      <c r="DI400" s="279"/>
      <c r="DJ400" s="52"/>
      <c r="DK400" s="105"/>
      <c r="DL400" s="98"/>
      <c r="DM400" s="279"/>
      <c r="DN400" s="52"/>
      <c r="DO400" s="105"/>
      <c r="DP400" s="98"/>
      <c r="DQ400" s="279"/>
      <c r="DR400" s="52"/>
      <c r="DS400" s="105"/>
      <c r="DT400" s="98"/>
      <c r="DU400" s="279"/>
      <c r="DV400" s="52"/>
      <c r="DW400" s="105"/>
      <c r="DX400" s="98"/>
      <c r="DY400" s="279"/>
      <c r="DZ400" s="52"/>
      <c r="EA400" s="105"/>
      <c r="EB400" s="98"/>
      <c r="EC400" s="279"/>
      <c r="ED400" s="52"/>
      <c r="EE400" s="105"/>
      <c r="EF400" s="98"/>
      <c r="EG400" s="159"/>
      <c r="EH400" s="277"/>
      <c r="EI400" s="50">
        <f t="shared" si="174"/>
        <v>0</v>
      </c>
      <c r="EJ400" s="103">
        <f t="shared" si="175"/>
        <v>0</v>
      </c>
      <c r="EK400" s="164">
        <f t="shared" si="176"/>
        <v>0</v>
      </c>
      <c r="EL400" s="280">
        <f t="shared" si="177"/>
        <v>0</v>
      </c>
      <c r="EM400" s="63">
        <f t="shared" si="178"/>
        <v>0</v>
      </c>
      <c r="EN400" s="359">
        <f t="shared" si="179"/>
        <v>0</v>
      </c>
      <c r="EO400" s="51">
        <f t="shared" si="180"/>
        <v>0</v>
      </c>
      <c r="EP400" s="361">
        <f t="shared" si="181"/>
        <v>0</v>
      </c>
      <c r="EQ400" s="281"/>
      <c r="ER400" s="277"/>
      <c r="ES400" s="281"/>
      <c r="ET400" s="277"/>
      <c r="EU400" s="281"/>
      <c r="EV400" s="277"/>
      <c r="EW400" s="281"/>
      <c r="EX400" s="277"/>
      <c r="EY400" s="281"/>
      <c r="EZ400" s="277"/>
      <c r="FA400" s="281"/>
      <c r="FB400" s="277"/>
      <c r="FC400" s="281"/>
      <c r="FD400" s="277"/>
      <c r="FE400" s="281"/>
      <c r="FF400" s="277"/>
      <c r="FG400" s="281"/>
      <c r="FH400" s="277"/>
      <c r="FI400" s="281"/>
      <c r="FJ400" s="277"/>
      <c r="FK400" s="50">
        <f t="shared" si="182"/>
        <v>0</v>
      </c>
      <c r="FL400" s="63">
        <f t="shared" si="183"/>
        <v>0</v>
      </c>
      <c r="FM400" s="50">
        <f t="shared" si="165"/>
        <v>367</v>
      </c>
      <c r="FN400" s="360">
        <f t="shared" si="166"/>
        <v>322</v>
      </c>
      <c r="FO400" s="3"/>
      <c r="FP400" s="279"/>
      <c r="FQ400" s="52"/>
      <c r="FR400" s="296"/>
      <c r="FS400" s="98"/>
      <c r="FT400" s="467"/>
      <c r="FU400" s="52"/>
      <c r="FV400" s="296"/>
      <c r="FW400" s="98"/>
      <c r="FX400" s="467"/>
      <c r="FY400" s="52"/>
      <c r="FZ400" s="296"/>
      <c r="GA400" s="98"/>
      <c r="GB400" s="467"/>
      <c r="GC400" s="52"/>
      <c r="GD400" s="296"/>
      <c r="GE400" s="98"/>
      <c r="GF400" s="467"/>
      <c r="GG400" s="52"/>
      <c r="GH400" s="296"/>
      <c r="GI400" s="98"/>
      <c r="GJ400" s="467"/>
      <c r="GK400" s="52"/>
      <c r="GL400" s="296"/>
      <c r="GM400" s="464"/>
      <c r="GN400" s="467"/>
      <c r="GO400" s="52"/>
      <c r="GP400" s="296"/>
      <c r="GQ400" s="464"/>
      <c r="GR400" s="467"/>
      <c r="GS400" s="52"/>
      <c r="GT400" s="296"/>
      <c r="GU400" s="464"/>
      <c r="GV400" s="467"/>
      <c r="GW400" s="52"/>
      <c r="GX400" s="296"/>
      <c r="GY400" s="464"/>
      <c r="GZ400" s="467"/>
      <c r="HA400" s="52"/>
      <c r="HB400" s="296"/>
      <c r="HC400" s="3"/>
    </row>
    <row r="401" spans="1:211" s="86" customFormat="1">
      <c r="A401" s="521" t="s">
        <v>984</v>
      </c>
      <c r="B401" s="318" t="s">
        <v>6</v>
      </c>
      <c r="C401" s="317">
        <v>198905</v>
      </c>
      <c r="D401" s="346">
        <v>10</v>
      </c>
      <c r="E401" s="460">
        <v>24</v>
      </c>
      <c r="F401" s="337">
        <v>53</v>
      </c>
      <c r="G401" s="158"/>
      <c r="H401" s="277"/>
      <c r="I401" s="158">
        <v>55</v>
      </c>
      <c r="J401" s="665">
        <v>50</v>
      </c>
      <c r="K401" s="160">
        <f t="shared" si="167"/>
        <v>0</v>
      </c>
      <c r="L401" s="161">
        <f t="shared" si="160"/>
        <v>0</v>
      </c>
      <c r="M401" s="54"/>
      <c r="N401" s="55"/>
      <c r="O401" s="55"/>
      <c r="P401" s="55"/>
      <c r="Q401" s="162">
        <f t="shared" si="168"/>
        <v>0</v>
      </c>
      <c r="R401" s="277"/>
      <c r="S401" s="277"/>
      <c r="T401" s="277"/>
      <c r="U401" s="277"/>
      <c r="V401" s="97">
        <f t="shared" si="169"/>
        <v>0</v>
      </c>
      <c r="W401" s="279"/>
      <c r="X401" s="52"/>
      <c r="Y401" s="99"/>
      <c r="Z401" s="53"/>
      <c r="AA401" s="228"/>
      <c r="AB401" s="52"/>
      <c r="AC401" s="99"/>
      <c r="AD401" s="53"/>
      <c r="AE401" s="228"/>
      <c r="AF401" s="52"/>
      <c r="AG401" s="99"/>
      <c r="AH401" s="53"/>
      <c r="AI401" s="228"/>
      <c r="AJ401" s="52"/>
      <c r="AK401" s="99"/>
      <c r="AL401" s="53"/>
      <c r="AM401" s="228"/>
      <c r="AN401" s="52"/>
      <c r="AO401" s="99"/>
      <c r="AP401" s="53"/>
      <c r="AQ401" s="50">
        <f t="shared" si="161"/>
        <v>0</v>
      </c>
      <c r="AR401" s="163">
        <f t="shared" si="162"/>
        <v>0</v>
      </c>
      <c r="AS401" s="97">
        <f t="shared" si="163"/>
        <v>0</v>
      </c>
      <c r="AT401" s="278">
        <f t="shared" si="164"/>
        <v>0</v>
      </c>
      <c r="AU401" s="55"/>
      <c r="AV401" s="277"/>
      <c r="AW401" s="279"/>
      <c r="AX401" s="52"/>
      <c r="AY401" s="105"/>
      <c r="AZ401" s="98"/>
      <c r="BA401" s="279"/>
      <c r="BB401" s="52"/>
      <c r="BC401" s="105"/>
      <c r="BD401" s="98"/>
      <c r="BE401" s="279"/>
      <c r="BF401" s="52"/>
      <c r="BG401" s="105"/>
      <c r="BH401" s="98"/>
      <c r="BI401" s="279"/>
      <c r="BJ401" s="52"/>
      <c r="BK401" s="105"/>
      <c r="BL401" s="98"/>
      <c r="BM401" s="279"/>
      <c r="BN401" s="52"/>
      <c r="BO401" s="105"/>
      <c r="BP401" s="98"/>
      <c r="BQ401" s="279"/>
      <c r="BR401" s="52"/>
      <c r="BS401" s="105"/>
      <c r="BT401" s="98"/>
      <c r="BU401" s="279"/>
      <c r="BV401" s="52"/>
      <c r="BW401" s="105"/>
      <c r="BX401" s="98"/>
      <c r="BY401" s="279"/>
      <c r="BZ401" s="52"/>
      <c r="CA401" s="105"/>
      <c r="CB401" s="98"/>
      <c r="CC401" s="279"/>
      <c r="CD401" s="52"/>
      <c r="CE401" s="105"/>
      <c r="CF401" s="98"/>
      <c r="CG401" s="279"/>
      <c r="CH401" s="52"/>
      <c r="CI401" s="105"/>
      <c r="CJ401" s="98"/>
      <c r="CK401" s="281"/>
      <c r="CL401" s="277"/>
      <c r="CM401" s="159"/>
      <c r="CN401" s="277"/>
      <c r="CO401" s="50">
        <f t="shared" si="170"/>
        <v>0</v>
      </c>
      <c r="CP401" s="103">
        <f t="shared" si="171"/>
        <v>0</v>
      </c>
      <c r="CQ401" s="280">
        <f t="shared" si="172"/>
        <v>0</v>
      </c>
      <c r="CR401" s="63">
        <f t="shared" si="173"/>
        <v>0</v>
      </c>
      <c r="CS401" s="279"/>
      <c r="CT401" s="52"/>
      <c r="CU401" s="105"/>
      <c r="CV401" s="98"/>
      <c r="CW401" s="279"/>
      <c r="CX401" s="52"/>
      <c r="CY401" s="105"/>
      <c r="CZ401" s="98"/>
      <c r="DA401" s="279"/>
      <c r="DB401" s="52"/>
      <c r="DC401" s="105"/>
      <c r="DD401" s="98"/>
      <c r="DE401" s="279"/>
      <c r="DF401" s="52"/>
      <c r="DG401" s="105"/>
      <c r="DH401" s="98"/>
      <c r="DI401" s="279"/>
      <c r="DJ401" s="52"/>
      <c r="DK401" s="105"/>
      <c r="DL401" s="98"/>
      <c r="DM401" s="279"/>
      <c r="DN401" s="52"/>
      <c r="DO401" s="105"/>
      <c r="DP401" s="98"/>
      <c r="DQ401" s="279"/>
      <c r="DR401" s="52"/>
      <c r="DS401" s="105"/>
      <c r="DT401" s="98"/>
      <c r="DU401" s="279"/>
      <c r="DV401" s="52"/>
      <c r="DW401" s="105"/>
      <c r="DX401" s="98"/>
      <c r="DY401" s="279"/>
      <c r="DZ401" s="52"/>
      <c r="EA401" s="105"/>
      <c r="EB401" s="98"/>
      <c r="EC401" s="279"/>
      <c r="ED401" s="52"/>
      <c r="EE401" s="105"/>
      <c r="EF401" s="98"/>
      <c r="EG401" s="159"/>
      <c r="EH401" s="277"/>
      <c r="EI401" s="50">
        <f t="shared" si="174"/>
        <v>0</v>
      </c>
      <c r="EJ401" s="103">
        <f t="shared" si="175"/>
        <v>0</v>
      </c>
      <c r="EK401" s="164">
        <f t="shared" si="176"/>
        <v>0</v>
      </c>
      <c r="EL401" s="280">
        <f t="shared" si="177"/>
        <v>0</v>
      </c>
      <c r="EM401" s="63">
        <f t="shared" si="178"/>
        <v>0</v>
      </c>
      <c r="EN401" s="359">
        <f t="shared" si="179"/>
        <v>0</v>
      </c>
      <c r="EO401" s="51">
        <f t="shared" si="180"/>
        <v>0</v>
      </c>
      <c r="EP401" s="361">
        <f t="shared" si="181"/>
        <v>0</v>
      </c>
      <c r="EQ401" s="281"/>
      <c r="ER401" s="277"/>
      <c r="ES401" s="281"/>
      <c r="ET401" s="277"/>
      <c r="EU401" s="281"/>
      <c r="EV401" s="277"/>
      <c r="EW401" s="281"/>
      <c r="EX401" s="277"/>
      <c r="EY401" s="281"/>
      <c r="EZ401" s="277"/>
      <c r="FA401" s="281"/>
      <c r="FB401" s="277"/>
      <c r="FC401" s="281"/>
      <c r="FD401" s="277"/>
      <c r="FE401" s="281"/>
      <c r="FF401" s="277"/>
      <c r="FG401" s="281"/>
      <c r="FH401" s="277"/>
      <c r="FI401" s="281"/>
      <c r="FJ401" s="277"/>
      <c r="FK401" s="50">
        <f t="shared" si="182"/>
        <v>0</v>
      </c>
      <c r="FL401" s="63">
        <f t="shared" si="183"/>
        <v>0</v>
      </c>
      <c r="FM401" s="50">
        <f t="shared" si="165"/>
        <v>79</v>
      </c>
      <c r="FN401" s="360">
        <f t="shared" si="166"/>
        <v>103</v>
      </c>
      <c r="FO401" s="3"/>
      <c r="FP401" s="279"/>
      <c r="FQ401" s="52"/>
      <c r="FR401" s="296"/>
      <c r="FS401" s="98"/>
      <c r="FT401" s="467"/>
      <c r="FU401" s="52"/>
      <c r="FV401" s="296"/>
      <c r="FW401" s="98"/>
      <c r="FX401" s="467"/>
      <c r="FY401" s="52"/>
      <c r="FZ401" s="296"/>
      <c r="GA401" s="98"/>
      <c r="GB401" s="467"/>
      <c r="GC401" s="52"/>
      <c r="GD401" s="296"/>
      <c r="GE401" s="98"/>
      <c r="GF401" s="467"/>
      <c r="GG401" s="52"/>
      <c r="GH401" s="296"/>
      <c r="GI401" s="98"/>
      <c r="GJ401" s="467"/>
      <c r="GK401" s="52"/>
      <c r="GL401" s="296"/>
      <c r="GM401" s="464"/>
      <c r="GN401" s="467"/>
      <c r="GO401" s="52"/>
      <c r="GP401" s="296"/>
      <c r="GQ401" s="464"/>
      <c r="GR401" s="467"/>
      <c r="GS401" s="52"/>
      <c r="GT401" s="296"/>
      <c r="GU401" s="464"/>
      <c r="GV401" s="467"/>
      <c r="GW401" s="52"/>
      <c r="GX401" s="296"/>
      <c r="GY401" s="464"/>
      <c r="GZ401" s="467"/>
      <c r="HA401" s="52"/>
      <c r="HB401" s="296"/>
      <c r="HC401" s="3"/>
    </row>
    <row r="402" spans="1:211" s="86" customFormat="1">
      <c r="A402" s="521" t="s">
        <v>984</v>
      </c>
      <c r="B402" s="318" t="s">
        <v>8</v>
      </c>
      <c r="C402" s="317">
        <v>198923</v>
      </c>
      <c r="D402" s="346">
        <v>10</v>
      </c>
      <c r="E402" s="460">
        <v>106</v>
      </c>
      <c r="F402" s="337">
        <v>121</v>
      </c>
      <c r="G402" s="158"/>
      <c r="H402" s="277"/>
      <c r="I402" s="158">
        <v>118</v>
      </c>
      <c r="J402" s="665">
        <v>81</v>
      </c>
      <c r="K402" s="160">
        <f t="shared" si="167"/>
        <v>0</v>
      </c>
      <c r="L402" s="161">
        <f t="shared" si="160"/>
        <v>0</v>
      </c>
      <c r="M402" s="54"/>
      <c r="N402" s="55"/>
      <c r="O402" s="55"/>
      <c r="P402" s="55"/>
      <c r="Q402" s="162">
        <f t="shared" si="168"/>
        <v>0</v>
      </c>
      <c r="R402" s="277"/>
      <c r="S402" s="277"/>
      <c r="T402" s="277"/>
      <c r="U402" s="277"/>
      <c r="V402" s="97">
        <f t="shared" si="169"/>
        <v>0</v>
      </c>
      <c r="W402" s="279"/>
      <c r="X402" s="52"/>
      <c r="Y402" s="99"/>
      <c r="Z402" s="53"/>
      <c r="AA402" s="228"/>
      <c r="AB402" s="52"/>
      <c r="AC402" s="99"/>
      <c r="AD402" s="53"/>
      <c r="AE402" s="228"/>
      <c r="AF402" s="52"/>
      <c r="AG402" s="99"/>
      <c r="AH402" s="53"/>
      <c r="AI402" s="228"/>
      <c r="AJ402" s="52"/>
      <c r="AK402" s="99"/>
      <c r="AL402" s="53"/>
      <c r="AM402" s="228"/>
      <c r="AN402" s="52"/>
      <c r="AO402" s="99"/>
      <c r="AP402" s="53"/>
      <c r="AQ402" s="50">
        <f t="shared" si="161"/>
        <v>0</v>
      </c>
      <c r="AR402" s="163">
        <f t="shared" si="162"/>
        <v>0</v>
      </c>
      <c r="AS402" s="97">
        <f t="shared" si="163"/>
        <v>0</v>
      </c>
      <c r="AT402" s="278">
        <f t="shared" si="164"/>
        <v>0</v>
      </c>
      <c r="AU402" s="55"/>
      <c r="AV402" s="277"/>
      <c r="AW402" s="279"/>
      <c r="AX402" s="52"/>
      <c r="AY402" s="105"/>
      <c r="AZ402" s="98"/>
      <c r="BA402" s="279"/>
      <c r="BB402" s="52"/>
      <c r="BC402" s="105"/>
      <c r="BD402" s="98"/>
      <c r="BE402" s="279"/>
      <c r="BF402" s="52"/>
      <c r="BG402" s="105"/>
      <c r="BH402" s="98"/>
      <c r="BI402" s="279"/>
      <c r="BJ402" s="52"/>
      <c r="BK402" s="105"/>
      <c r="BL402" s="98"/>
      <c r="BM402" s="279"/>
      <c r="BN402" s="52"/>
      <c r="BO402" s="105"/>
      <c r="BP402" s="98"/>
      <c r="BQ402" s="279"/>
      <c r="BR402" s="52"/>
      <c r="BS402" s="105"/>
      <c r="BT402" s="98"/>
      <c r="BU402" s="279"/>
      <c r="BV402" s="52"/>
      <c r="BW402" s="105"/>
      <c r="BX402" s="98"/>
      <c r="BY402" s="279"/>
      <c r="BZ402" s="52"/>
      <c r="CA402" s="105"/>
      <c r="CB402" s="98"/>
      <c r="CC402" s="279"/>
      <c r="CD402" s="52"/>
      <c r="CE402" s="105"/>
      <c r="CF402" s="98"/>
      <c r="CG402" s="279"/>
      <c r="CH402" s="52"/>
      <c r="CI402" s="105"/>
      <c r="CJ402" s="98"/>
      <c r="CK402" s="281"/>
      <c r="CL402" s="277"/>
      <c r="CM402" s="159"/>
      <c r="CN402" s="277"/>
      <c r="CO402" s="50">
        <f t="shared" si="170"/>
        <v>0</v>
      </c>
      <c r="CP402" s="103">
        <f t="shared" si="171"/>
        <v>0</v>
      </c>
      <c r="CQ402" s="280">
        <f t="shared" si="172"/>
        <v>0</v>
      </c>
      <c r="CR402" s="63">
        <f t="shared" si="173"/>
        <v>0</v>
      </c>
      <c r="CS402" s="279"/>
      <c r="CT402" s="52"/>
      <c r="CU402" s="105"/>
      <c r="CV402" s="98"/>
      <c r="CW402" s="279"/>
      <c r="CX402" s="52"/>
      <c r="CY402" s="105"/>
      <c r="CZ402" s="98"/>
      <c r="DA402" s="279"/>
      <c r="DB402" s="52"/>
      <c r="DC402" s="105"/>
      <c r="DD402" s="98"/>
      <c r="DE402" s="279"/>
      <c r="DF402" s="52"/>
      <c r="DG402" s="105"/>
      <c r="DH402" s="98"/>
      <c r="DI402" s="279"/>
      <c r="DJ402" s="52"/>
      <c r="DK402" s="105"/>
      <c r="DL402" s="98"/>
      <c r="DM402" s="279"/>
      <c r="DN402" s="52"/>
      <c r="DO402" s="105"/>
      <c r="DP402" s="98"/>
      <c r="DQ402" s="279"/>
      <c r="DR402" s="52"/>
      <c r="DS402" s="105"/>
      <c r="DT402" s="98"/>
      <c r="DU402" s="279"/>
      <c r="DV402" s="52"/>
      <c r="DW402" s="105"/>
      <c r="DX402" s="98"/>
      <c r="DY402" s="279"/>
      <c r="DZ402" s="52"/>
      <c r="EA402" s="105"/>
      <c r="EB402" s="98"/>
      <c r="EC402" s="279"/>
      <c r="ED402" s="52"/>
      <c r="EE402" s="105"/>
      <c r="EF402" s="98"/>
      <c r="EG402" s="159"/>
      <c r="EH402" s="277"/>
      <c r="EI402" s="50">
        <f t="shared" si="174"/>
        <v>0</v>
      </c>
      <c r="EJ402" s="103">
        <f t="shared" si="175"/>
        <v>0</v>
      </c>
      <c r="EK402" s="164">
        <f t="shared" si="176"/>
        <v>0</v>
      </c>
      <c r="EL402" s="280">
        <f t="shared" si="177"/>
        <v>0</v>
      </c>
      <c r="EM402" s="63">
        <f t="shared" si="178"/>
        <v>0</v>
      </c>
      <c r="EN402" s="359">
        <f t="shared" si="179"/>
        <v>0</v>
      </c>
      <c r="EO402" s="51">
        <f t="shared" si="180"/>
        <v>0</v>
      </c>
      <c r="EP402" s="361">
        <f t="shared" si="181"/>
        <v>0</v>
      </c>
      <c r="EQ402" s="281"/>
      <c r="ER402" s="277"/>
      <c r="ES402" s="281"/>
      <c r="ET402" s="277"/>
      <c r="EU402" s="281"/>
      <c r="EV402" s="277"/>
      <c r="EW402" s="281"/>
      <c r="EX402" s="277"/>
      <c r="EY402" s="281"/>
      <c r="EZ402" s="277"/>
      <c r="FA402" s="281"/>
      <c r="FB402" s="277"/>
      <c r="FC402" s="281"/>
      <c r="FD402" s="277"/>
      <c r="FE402" s="281"/>
      <c r="FF402" s="277"/>
      <c r="FG402" s="281"/>
      <c r="FH402" s="277"/>
      <c r="FI402" s="281"/>
      <c r="FJ402" s="277"/>
      <c r="FK402" s="50">
        <f t="shared" si="182"/>
        <v>0</v>
      </c>
      <c r="FL402" s="63">
        <f t="shared" si="183"/>
        <v>0</v>
      </c>
      <c r="FM402" s="50">
        <f t="shared" si="165"/>
        <v>224</v>
      </c>
      <c r="FN402" s="360">
        <f t="shared" si="166"/>
        <v>202</v>
      </c>
      <c r="FO402" s="3"/>
      <c r="FP402" s="279"/>
      <c r="FQ402" s="52"/>
      <c r="FR402" s="296"/>
      <c r="FS402" s="98"/>
      <c r="FT402" s="467"/>
      <c r="FU402" s="52"/>
      <c r="FV402" s="296"/>
      <c r="FW402" s="98"/>
      <c r="FX402" s="467"/>
      <c r="FY402" s="52"/>
      <c r="FZ402" s="296"/>
      <c r="GA402" s="98"/>
      <c r="GB402" s="467"/>
      <c r="GC402" s="52"/>
      <c r="GD402" s="296"/>
      <c r="GE402" s="98"/>
      <c r="GF402" s="467"/>
      <c r="GG402" s="52"/>
      <c r="GH402" s="296"/>
      <c r="GI402" s="98"/>
      <c r="GJ402" s="467"/>
      <c r="GK402" s="52"/>
      <c r="GL402" s="296"/>
      <c r="GM402" s="464"/>
      <c r="GN402" s="467"/>
      <c r="GO402" s="52"/>
      <c r="GP402" s="296"/>
      <c r="GQ402" s="464"/>
      <c r="GR402" s="467"/>
      <c r="GS402" s="52"/>
      <c r="GT402" s="296"/>
      <c r="GU402" s="464"/>
      <c r="GV402" s="467"/>
      <c r="GW402" s="52"/>
      <c r="GX402" s="296"/>
      <c r="GY402" s="464"/>
      <c r="GZ402" s="467"/>
      <c r="HA402" s="52"/>
      <c r="HB402" s="296"/>
      <c r="HC402" s="3"/>
    </row>
    <row r="403" spans="1:211" s="86" customFormat="1">
      <c r="A403" s="521" t="s">
        <v>984</v>
      </c>
      <c r="B403" s="318" t="s">
        <v>9</v>
      </c>
      <c r="C403" s="317">
        <v>199023</v>
      </c>
      <c r="D403" s="346">
        <v>10</v>
      </c>
      <c r="E403" s="460">
        <v>156</v>
      </c>
      <c r="F403" s="337">
        <v>164</v>
      </c>
      <c r="G403" s="158"/>
      <c r="H403" s="277"/>
      <c r="I403" s="158">
        <v>102</v>
      </c>
      <c r="J403" s="665">
        <v>96</v>
      </c>
      <c r="K403" s="160">
        <f t="shared" si="167"/>
        <v>0</v>
      </c>
      <c r="L403" s="161">
        <f t="shared" si="160"/>
        <v>0</v>
      </c>
      <c r="M403" s="54"/>
      <c r="N403" s="55"/>
      <c r="O403" s="55"/>
      <c r="P403" s="55"/>
      <c r="Q403" s="162">
        <f t="shared" si="168"/>
        <v>0</v>
      </c>
      <c r="R403" s="277"/>
      <c r="S403" s="277"/>
      <c r="T403" s="277"/>
      <c r="U403" s="277"/>
      <c r="V403" s="97">
        <f t="shared" si="169"/>
        <v>0</v>
      </c>
      <c r="W403" s="279"/>
      <c r="X403" s="52"/>
      <c r="Y403" s="99"/>
      <c r="Z403" s="53"/>
      <c r="AA403" s="228"/>
      <c r="AB403" s="52"/>
      <c r="AC403" s="99"/>
      <c r="AD403" s="53"/>
      <c r="AE403" s="228"/>
      <c r="AF403" s="52"/>
      <c r="AG403" s="99"/>
      <c r="AH403" s="53"/>
      <c r="AI403" s="228"/>
      <c r="AJ403" s="52"/>
      <c r="AK403" s="99"/>
      <c r="AL403" s="53"/>
      <c r="AM403" s="228"/>
      <c r="AN403" s="52"/>
      <c r="AO403" s="99"/>
      <c r="AP403" s="53"/>
      <c r="AQ403" s="50">
        <f t="shared" si="161"/>
        <v>0</v>
      </c>
      <c r="AR403" s="163">
        <f t="shared" si="162"/>
        <v>0</v>
      </c>
      <c r="AS403" s="97">
        <f t="shared" si="163"/>
        <v>0</v>
      </c>
      <c r="AT403" s="278">
        <f t="shared" si="164"/>
        <v>0</v>
      </c>
      <c r="AU403" s="55"/>
      <c r="AV403" s="277"/>
      <c r="AW403" s="279"/>
      <c r="AX403" s="52"/>
      <c r="AY403" s="105"/>
      <c r="AZ403" s="98"/>
      <c r="BA403" s="279"/>
      <c r="BB403" s="52"/>
      <c r="BC403" s="105"/>
      <c r="BD403" s="98"/>
      <c r="BE403" s="279"/>
      <c r="BF403" s="52"/>
      <c r="BG403" s="105"/>
      <c r="BH403" s="98"/>
      <c r="BI403" s="279"/>
      <c r="BJ403" s="52"/>
      <c r="BK403" s="105"/>
      <c r="BL403" s="98"/>
      <c r="BM403" s="279"/>
      <c r="BN403" s="52"/>
      <c r="BO403" s="105"/>
      <c r="BP403" s="98"/>
      <c r="BQ403" s="279"/>
      <c r="BR403" s="52"/>
      <c r="BS403" s="105"/>
      <c r="BT403" s="98"/>
      <c r="BU403" s="279"/>
      <c r="BV403" s="52"/>
      <c r="BW403" s="105"/>
      <c r="BX403" s="98"/>
      <c r="BY403" s="279"/>
      <c r="BZ403" s="52"/>
      <c r="CA403" s="105"/>
      <c r="CB403" s="98"/>
      <c r="CC403" s="279"/>
      <c r="CD403" s="52"/>
      <c r="CE403" s="105"/>
      <c r="CF403" s="98"/>
      <c r="CG403" s="279"/>
      <c r="CH403" s="52"/>
      <c r="CI403" s="105"/>
      <c r="CJ403" s="98"/>
      <c r="CK403" s="281"/>
      <c r="CL403" s="277"/>
      <c r="CM403" s="159"/>
      <c r="CN403" s="277"/>
      <c r="CO403" s="50">
        <f t="shared" si="170"/>
        <v>0</v>
      </c>
      <c r="CP403" s="103">
        <f t="shared" si="171"/>
        <v>0</v>
      </c>
      <c r="CQ403" s="280">
        <f t="shared" si="172"/>
        <v>0</v>
      </c>
      <c r="CR403" s="63">
        <f t="shared" si="173"/>
        <v>0</v>
      </c>
      <c r="CS403" s="279"/>
      <c r="CT403" s="52"/>
      <c r="CU403" s="105"/>
      <c r="CV403" s="98"/>
      <c r="CW403" s="279"/>
      <c r="CX403" s="52"/>
      <c r="CY403" s="105"/>
      <c r="CZ403" s="98"/>
      <c r="DA403" s="279"/>
      <c r="DB403" s="52"/>
      <c r="DC403" s="105"/>
      <c r="DD403" s="98"/>
      <c r="DE403" s="279"/>
      <c r="DF403" s="52"/>
      <c r="DG403" s="105"/>
      <c r="DH403" s="98"/>
      <c r="DI403" s="279"/>
      <c r="DJ403" s="52"/>
      <c r="DK403" s="105"/>
      <c r="DL403" s="98"/>
      <c r="DM403" s="279"/>
      <c r="DN403" s="52"/>
      <c r="DO403" s="105"/>
      <c r="DP403" s="98"/>
      <c r="DQ403" s="279"/>
      <c r="DR403" s="52"/>
      <c r="DS403" s="105"/>
      <c r="DT403" s="98"/>
      <c r="DU403" s="279"/>
      <c r="DV403" s="52"/>
      <c r="DW403" s="105"/>
      <c r="DX403" s="98"/>
      <c r="DY403" s="279"/>
      <c r="DZ403" s="52"/>
      <c r="EA403" s="105"/>
      <c r="EB403" s="98"/>
      <c r="EC403" s="279"/>
      <c r="ED403" s="52"/>
      <c r="EE403" s="105"/>
      <c r="EF403" s="98"/>
      <c r="EG403" s="159"/>
      <c r="EH403" s="277"/>
      <c r="EI403" s="50">
        <f t="shared" si="174"/>
        <v>0</v>
      </c>
      <c r="EJ403" s="103">
        <f t="shared" si="175"/>
        <v>0</v>
      </c>
      <c r="EK403" s="164">
        <f t="shared" si="176"/>
        <v>0</v>
      </c>
      <c r="EL403" s="280">
        <f t="shared" si="177"/>
        <v>0</v>
      </c>
      <c r="EM403" s="63">
        <f t="shared" si="178"/>
        <v>0</v>
      </c>
      <c r="EN403" s="359">
        <f t="shared" si="179"/>
        <v>0</v>
      </c>
      <c r="EO403" s="51">
        <f t="shared" si="180"/>
        <v>0</v>
      </c>
      <c r="EP403" s="361">
        <f t="shared" si="181"/>
        <v>0</v>
      </c>
      <c r="EQ403" s="281"/>
      <c r="ER403" s="277"/>
      <c r="ES403" s="281"/>
      <c r="ET403" s="277"/>
      <c r="EU403" s="281"/>
      <c r="EV403" s="277"/>
      <c r="EW403" s="281"/>
      <c r="EX403" s="277"/>
      <c r="EY403" s="281"/>
      <c r="EZ403" s="277"/>
      <c r="FA403" s="281"/>
      <c r="FB403" s="277"/>
      <c r="FC403" s="281"/>
      <c r="FD403" s="277"/>
      <c r="FE403" s="281"/>
      <c r="FF403" s="277"/>
      <c r="FG403" s="281"/>
      <c r="FH403" s="277"/>
      <c r="FI403" s="281"/>
      <c r="FJ403" s="277"/>
      <c r="FK403" s="50">
        <f t="shared" si="182"/>
        <v>0</v>
      </c>
      <c r="FL403" s="63">
        <f t="shared" si="183"/>
        <v>0</v>
      </c>
      <c r="FM403" s="50">
        <f t="shared" si="165"/>
        <v>258</v>
      </c>
      <c r="FN403" s="360">
        <f t="shared" si="166"/>
        <v>260</v>
      </c>
      <c r="FO403" s="3"/>
      <c r="FP403" s="279"/>
      <c r="FQ403" s="52"/>
      <c r="FR403" s="296"/>
      <c r="FS403" s="98"/>
      <c r="FT403" s="467"/>
      <c r="FU403" s="52"/>
      <c r="FV403" s="296"/>
      <c r="FW403" s="98"/>
      <c r="FX403" s="467"/>
      <c r="FY403" s="52"/>
      <c r="FZ403" s="296"/>
      <c r="GA403" s="98"/>
      <c r="GB403" s="467"/>
      <c r="GC403" s="52"/>
      <c r="GD403" s="296"/>
      <c r="GE403" s="98"/>
      <c r="GF403" s="467"/>
      <c r="GG403" s="52"/>
      <c r="GH403" s="296"/>
      <c r="GI403" s="98"/>
      <c r="GJ403" s="467"/>
      <c r="GK403" s="52"/>
      <c r="GL403" s="296"/>
      <c r="GM403" s="464"/>
      <c r="GN403" s="467"/>
      <c r="GO403" s="52"/>
      <c r="GP403" s="296"/>
      <c r="GQ403" s="464"/>
      <c r="GR403" s="467"/>
      <c r="GS403" s="52"/>
      <c r="GT403" s="296"/>
      <c r="GU403" s="464"/>
      <c r="GV403" s="467"/>
      <c r="GW403" s="52"/>
      <c r="GX403" s="296"/>
      <c r="GY403" s="464"/>
      <c r="GZ403" s="467"/>
      <c r="HA403" s="52"/>
      <c r="HB403" s="296"/>
      <c r="HC403" s="3"/>
    </row>
    <row r="404" spans="1:211" s="86" customFormat="1">
      <c r="A404" s="521" t="s">
        <v>984</v>
      </c>
      <c r="B404" s="318" t="s">
        <v>10</v>
      </c>
      <c r="C404" s="317">
        <v>199263</v>
      </c>
      <c r="D404" s="346">
        <v>10</v>
      </c>
      <c r="E404" s="460">
        <v>169</v>
      </c>
      <c r="F404" s="337">
        <v>170</v>
      </c>
      <c r="G404" s="158"/>
      <c r="H404" s="277"/>
      <c r="I404" s="158">
        <v>41</v>
      </c>
      <c r="J404" s="665">
        <v>24</v>
      </c>
      <c r="K404" s="160">
        <f t="shared" si="167"/>
        <v>0</v>
      </c>
      <c r="L404" s="161">
        <f t="shared" si="160"/>
        <v>0</v>
      </c>
      <c r="M404" s="54"/>
      <c r="N404" s="55"/>
      <c r="O404" s="55"/>
      <c r="P404" s="55"/>
      <c r="Q404" s="162">
        <f t="shared" si="168"/>
        <v>0</v>
      </c>
      <c r="R404" s="277"/>
      <c r="S404" s="277"/>
      <c r="T404" s="277"/>
      <c r="U404" s="277"/>
      <c r="V404" s="97">
        <f t="shared" si="169"/>
        <v>0</v>
      </c>
      <c r="W404" s="279"/>
      <c r="X404" s="52"/>
      <c r="Y404" s="99"/>
      <c r="Z404" s="53"/>
      <c r="AA404" s="228"/>
      <c r="AB404" s="52"/>
      <c r="AC404" s="99"/>
      <c r="AD404" s="53"/>
      <c r="AE404" s="228"/>
      <c r="AF404" s="52"/>
      <c r="AG404" s="99"/>
      <c r="AH404" s="53"/>
      <c r="AI404" s="228"/>
      <c r="AJ404" s="52"/>
      <c r="AK404" s="99"/>
      <c r="AL404" s="53"/>
      <c r="AM404" s="228"/>
      <c r="AN404" s="52"/>
      <c r="AO404" s="99"/>
      <c r="AP404" s="53"/>
      <c r="AQ404" s="50">
        <f t="shared" si="161"/>
        <v>0</v>
      </c>
      <c r="AR404" s="163">
        <f t="shared" si="162"/>
        <v>0</v>
      </c>
      <c r="AS404" s="97">
        <f t="shared" si="163"/>
        <v>0</v>
      </c>
      <c r="AT404" s="278">
        <f t="shared" si="164"/>
        <v>0</v>
      </c>
      <c r="AU404" s="55"/>
      <c r="AV404" s="277"/>
      <c r="AW404" s="279"/>
      <c r="AX404" s="52"/>
      <c r="AY404" s="105"/>
      <c r="AZ404" s="98"/>
      <c r="BA404" s="279"/>
      <c r="BB404" s="52"/>
      <c r="BC404" s="105"/>
      <c r="BD404" s="98"/>
      <c r="BE404" s="279"/>
      <c r="BF404" s="52"/>
      <c r="BG404" s="105"/>
      <c r="BH404" s="98"/>
      <c r="BI404" s="279"/>
      <c r="BJ404" s="52"/>
      <c r="BK404" s="105"/>
      <c r="BL404" s="98"/>
      <c r="BM404" s="279"/>
      <c r="BN404" s="52"/>
      <c r="BO404" s="105"/>
      <c r="BP404" s="98"/>
      <c r="BQ404" s="279"/>
      <c r="BR404" s="52"/>
      <c r="BS404" s="105"/>
      <c r="BT404" s="98"/>
      <c r="BU404" s="279"/>
      <c r="BV404" s="52"/>
      <c r="BW404" s="105"/>
      <c r="BX404" s="98"/>
      <c r="BY404" s="279"/>
      <c r="BZ404" s="52"/>
      <c r="CA404" s="105"/>
      <c r="CB404" s="98"/>
      <c r="CC404" s="279"/>
      <c r="CD404" s="52"/>
      <c r="CE404" s="105"/>
      <c r="CF404" s="98"/>
      <c r="CG404" s="279"/>
      <c r="CH404" s="52"/>
      <c r="CI404" s="105"/>
      <c r="CJ404" s="98"/>
      <c r="CK404" s="281"/>
      <c r="CL404" s="277"/>
      <c r="CM404" s="159"/>
      <c r="CN404" s="277"/>
      <c r="CO404" s="50">
        <f t="shared" si="170"/>
        <v>0</v>
      </c>
      <c r="CP404" s="103">
        <f t="shared" si="171"/>
        <v>0</v>
      </c>
      <c r="CQ404" s="280">
        <f t="shared" si="172"/>
        <v>0</v>
      </c>
      <c r="CR404" s="63">
        <f t="shared" si="173"/>
        <v>0</v>
      </c>
      <c r="CS404" s="279"/>
      <c r="CT404" s="52"/>
      <c r="CU404" s="105"/>
      <c r="CV404" s="98"/>
      <c r="CW404" s="279"/>
      <c r="CX404" s="52"/>
      <c r="CY404" s="105"/>
      <c r="CZ404" s="98"/>
      <c r="DA404" s="279"/>
      <c r="DB404" s="52"/>
      <c r="DC404" s="105"/>
      <c r="DD404" s="98"/>
      <c r="DE404" s="279"/>
      <c r="DF404" s="52"/>
      <c r="DG404" s="105"/>
      <c r="DH404" s="98"/>
      <c r="DI404" s="279"/>
      <c r="DJ404" s="52"/>
      <c r="DK404" s="105"/>
      <c r="DL404" s="98"/>
      <c r="DM404" s="279"/>
      <c r="DN404" s="52"/>
      <c r="DO404" s="105"/>
      <c r="DP404" s="98"/>
      <c r="DQ404" s="279"/>
      <c r="DR404" s="52"/>
      <c r="DS404" s="105"/>
      <c r="DT404" s="98"/>
      <c r="DU404" s="279"/>
      <c r="DV404" s="52"/>
      <c r="DW404" s="105"/>
      <c r="DX404" s="98"/>
      <c r="DY404" s="279"/>
      <c r="DZ404" s="52"/>
      <c r="EA404" s="105"/>
      <c r="EB404" s="98"/>
      <c r="EC404" s="279"/>
      <c r="ED404" s="52"/>
      <c r="EE404" s="105"/>
      <c r="EF404" s="98"/>
      <c r="EG404" s="159"/>
      <c r="EH404" s="277"/>
      <c r="EI404" s="50">
        <f t="shared" si="174"/>
        <v>0</v>
      </c>
      <c r="EJ404" s="103">
        <f t="shared" si="175"/>
        <v>0</v>
      </c>
      <c r="EK404" s="164">
        <f t="shared" si="176"/>
        <v>0</v>
      </c>
      <c r="EL404" s="280">
        <f t="shared" si="177"/>
        <v>0</v>
      </c>
      <c r="EM404" s="63">
        <f t="shared" si="178"/>
        <v>0</v>
      </c>
      <c r="EN404" s="359">
        <f t="shared" si="179"/>
        <v>0</v>
      </c>
      <c r="EO404" s="51">
        <f t="shared" si="180"/>
        <v>0</v>
      </c>
      <c r="EP404" s="361">
        <f t="shared" si="181"/>
        <v>0</v>
      </c>
      <c r="EQ404" s="281"/>
      <c r="ER404" s="277"/>
      <c r="ES404" s="281"/>
      <c r="ET404" s="277"/>
      <c r="EU404" s="281"/>
      <c r="EV404" s="277"/>
      <c r="EW404" s="281"/>
      <c r="EX404" s="277"/>
      <c r="EY404" s="281"/>
      <c r="EZ404" s="277"/>
      <c r="FA404" s="281"/>
      <c r="FB404" s="277"/>
      <c r="FC404" s="281"/>
      <c r="FD404" s="277"/>
      <c r="FE404" s="281"/>
      <c r="FF404" s="277"/>
      <c r="FG404" s="281"/>
      <c r="FH404" s="277"/>
      <c r="FI404" s="281"/>
      <c r="FJ404" s="277"/>
      <c r="FK404" s="50">
        <f t="shared" si="182"/>
        <v>0</v>
      </c>
      <c r="FL404" s="63">
        <f t="shared" si="183"/>
        <v>0</v>
      </c>
      <c r="FM404" s="50">
        <f t="shared" si="165"/>
        <v>210</v>
      </c>
      <c r="FN404" s="360">
        <f t="shared" si="166"/>
        <v>194</v>
      </c>
      <c r="FO404" s="3"/>
      <c r="FP404" s="279"/>
      <c r="FQ404" s="52"/>
      <c r="FR404" s="296"/>
      <c r="FS404" s="98"/>
      <c r="FT404" s="467"/>
      <c r="FU404" s="52"/>
      <c r="FV404" s="296"/>
      <c r="FW404" s="98"/>
      <c r="FX404" s="467"/>
      <c r="FY404" s="52"/>
      <c r="FZ404" s="296"/>
      <c r="GA404" s="98"/>
      <c r="GB404" s="467"/>
      <c r="GC404" s="52"/>
      <c r="GD404" s="296"/>
      <c r="GE404" s="98"/>
      <c r="GF404" s="467"/>
      <c r="GG404" s="52"/>
      <c r="GH404" s="296"/>
      <c r="GI404" s="98"/>
      <c r="GJ404" s="467"/>
      <c r="GK404" s="52"/>
      <c r="GL404" s="296"/>
      <c r="GM404" s="464"/>
      <c r="GN404" s="467"/>
      <c r="GO404" s="52"/>
      <c r="GP404" s="296"/>
      <c r="GQ404" s="464"/>
      <c r="GR404" s="467"/>
      <c r="GS404" s="52"/>
      <c r="GT404" s="296"/>
      <c r="GU404" s="464"/>
      <c r="GV404" s="467"/>
      <c r="GW404" s="52"/>
      <c r="GX404" s="296"/>
      <c r="GY404" s="464"/>
      <c r="GZ404" s="467"/>
      <c r="HA404" s="52"/>
      <c r="HB404" s="296"/>
      <c r="HC404" s="3"/>
    </row>
    <row r="405" spans="1:211" s="86" customFormat="1">
      <c r="A405" s="521" t="s">
        <v>984</v>
      </c>
      <c r="B405" s="318" t="s">
        <v>11</v>
      </c>
      <c r="C405" s="317">
        <v>199467</v>
      </c>
      <c r="D405" s="346">
        <v>10</v>
      </c>
      <c r="E405" s="460">
        <v>148</v>
      </c>
      <c r="F405" s="337">
        <v>123</v>
      </c>
      <c r="G405" s="158"/>
      <c r="H405" s="277"/>
      <c r="I405" s="158">
        <v>68</v>
      </c>
      <c r="J405" s="665">
        <v>68</v>
      </c>
      <c r="K405" s="160">
        <f t="shared" si="167"/>
        <v>0</v>
      </c>
      <c r="L405" s="161">
        <f t="shared" si="160"/>
        <v>0</v>
      </c>
      <c r="M405" s="54"/>
      <c r="N405" s="55"/>
      <c r="O405" s="55"/>
      <c r="P405" s="55"/>
      <c r="Q405" s="162">
        <f t="shared" si="168"/>
        <v>0</v>
      </c>
      <c r="R405" s="277"/>
      <c r="S405" s="277"/>
      <c r="T405" s="277"/>
      <c r="U405" s="277"/>
      <c r="V405" s="97">
        <f t="shared" si="169"/>
        <v>0</v>
      </c>
      <c r="W405" s="279"/>
      <c r="X405" s="52"/>
      <c r="Y405" s="99"/>
      <c r="Z405" s="53"/>
      <c r="AA405" s="228"/>
      <c r="AB405" s="52"/>
      <c r="AC405" s="99"/>
      <c r="AD405" s="53"/>
      <c r="AE405" s="228"/>
      <c r="AF405" s="52"/>
      <c r="AG405" s="99"/>
      <c r="AH405" s="53"/>
      <c r="AI405" s="228"/>
      <c r="AJ405" s="52"/>
      <c r="AK405" s="99"/>
      <c r="AL405" s="53"/>
      <c r="AM405" s="228"/>
      <c r="AN405" s="52"/>
      <c r="AO405" s="99"/>
      <c r="AP405" s="53"/>
      <c r="AQ405" s="50">
        <f t="shared" si="161"/>
        <v>0</v>
      </c>
      <c r="AR405" s="163">
        <f t="shared" si="162"/>
        <v>0</v>
      </c>
      <c r="AS405" s="97">
        <f t="shared" si="163"/>
        <v>0</v>
      </c>
      <c r="AT405" s="278">
        <f t="shared" si="164"/>
        <v>0</v>
      </c>
      <c r="AU405" s="55"/>
      <c r="AV405" s="277"/>
      <c r="AW405" s="279"/>
      <c r="AX405" s="52"/>
      <c r="AY405" s="105"/>
      <c r="AZ405" s="98"/>
      <c r="BA405" s="279"/>
      <c r="BB405" s="52"/>
      <c r="BC405" s="105"/>
      <c r="BD405" s="98"/>
      <c r="BE405" s="279"/>
      <c r="BF405" s="52"/>
      <c r="BG405" s="105"/>
      <c r="BH405" s="98"/>
      <c r="BI405" s="279"/>
      <c r="BJ405" s="52"/>
      <c r="BK405" s="105"/>
      <c r="BL405" s="98"/>
      <c r="BM405" s="279"/>
      <c r="BN405" s="52"/>
      <c r="BO405" s="105"/>
      <c r="BP405" s="98"/>
      <c r="BQ405" s="279"/>
      <c r="BR405" s="52"/>
      <c r="BS405" s="105"/>
      <c r="BT405" s="98"/>
      <c r="BU405" s="279"/>
      <c r="BV405" s="52"/>
      <c r="BW405" s="105"/>
      <c r="BX405" s="98"/>
      <c r="BY405" s="279"/>
      <c r="BZ405" s="52"/>
      <c r="CA405" s="105"/>
      <c r="CB405" s="98"/>
      <c r="CC405" s="279"/>
      <c r="CD405" s="52"/>
      <c r="CE405" s="105"/>
      <c r="CF405" s="98"/>
      <c r="CG405" s="279"/>
      <c r="CH405" s="52"/>
      <c r="CI405" s="105"/>
      <c r="CJ405" s="98"/>
      <c r="CK405" s="281"/>
      <c r="CL405" s="277"/>
      <c r="CM405" s="159"/>
      <c r="CN405" s="277"/>
      <c r="CO405" s="50">
        <f t="shared" si="170"/>
        <v>0</v>
      </c>
      <c r="CP405" s="103">
        <f t="shared" si="171"/>
        <v>0</v>
      </c>
      <c r="CQ405" s="280">
        <f t="shared" si="172"/>
        <v>0</v>
      </c>
      <c r="CR405" s="63">
        <f t="shared" si="173"/>
        <v>0</v>
      </c>
      <c r="CS405" s="279"/>
      <c r="CT405" s="52"/>
      <c r="CU405" s="105"/>
      <c r="CV405" s="98"/>
      <c r="CW405" s="279"/>
      <c r="CX405" s="52"/>
      <c r="CY405" s="105"/>
      <c r="CZ405" s="98"/>
      <c r="DA405" s="279"/>
      <c r="DB405" s="52"/>
      <c r="DC405" s="105"/>
      <c r="DD405" s="98"/>
      <c r="DE405" s="279"/>
      <c r="DF405" s="52"/>
      <c r="DG405" s="105"/>
      <c r="DH405" s="98"/>
      <c r="DI405" s="279"/>
      <c r="DJ405" s="52"/>
      <c r="DK405" s="105"/>
      <c r="DL405" s="98"/>
      <c r="DM405" s="279"/>
      <c r="DN405" s="52"/>
      <c r="DO405" s="105"/>
      <c r="DP405" s="98"/>
      <c r="DQ405" s="279"/>
      <c r="DR405" s="52"/>
      <c r="DS405" s="105"/>
      <c r="DT405" s="98"/>
      <c r="DU405" s="279"/>
      <c r="DV405" s="52"/>
      <c r="DW405" s="105"/>
      <c r="DX405" s="98"/>
      <c r="DY405" s="279"/>
      <c r="DZ405" s="52"/>
      <c r="EA405" s="105"/>
      <c r="EB405" s="98"/>
      <c r="EC405" s="279"/>
      <c r="ED405" s="52"/>
      <c r="EE405" s="105"/>
      <c r="EF405" s="98"/>
      <c r="EG405" s="159"/>
      <c r="EH405" s="277"/>
      <c r="EI405" s="50">
        <f t="shared" si="174"/>
        <v>0</v>
      </c>
      <c r="EJ405" s="103">
        <f t="shared" si="175"/>
        <v>0</v>
      </c>
      <c r="EK405" s="164">
        <f t="shared" si="176"/>
        <v>0</v>
      </c>
      <c r="EL405" s="280">
        <f t="shared" si="177"/>
        <v>0</v>
      </c>
      <c r="EM405" s="63">
        <f t="shared" si="178"/>
        <v>0</v>
      </c>
      <c r="EN405" s="359">
        <f t="shared" si="179"/>
        <v>0</v>
      </c>
      <c r="EO405" s="51">
        <f t="shared" si="180"/>
        <v>0</v>
      </c>
      <c r="EP405" s="361">
        <f t="shared" si="181"/>
        <v>0</v>
      </c>
      <c r="EQ405" s="281"/>
      <c r="ER405" s="277"/>
      <c r="ES405" s="281"/>
      <c r="ET405" s="277"/>
      <c r="EU405" s="281"/>
      <c r="EV405" s="277"/>
      <c r="EW405" s="281"/>
      <c r="EX405" s="277"/>
      <c r="EY405" s="281"/>
      <c r="EZ405" s="277"/>
      <c r="FA405" s="281"/>
      <c r="FB405" s="277"/>
      <c r="FC405" s="281"/>
      <c r="FD405" s="277"/>
      <c r="FE405" s="281"/>
      <c r="FF405" s="277"/>
      <c r="FG405" s="281"/>
      <c r="FH405" s="277"/>
      <c r="FI405" s="281"/>
      <c r="FJ405" s="277"/>
      <c r="FK405" s="50">
        <f t="shared" si="182"/>
        <v>0</v>
      </c>
      <c r="FL405" s="63">
        <f t="shared" si="183"/>
        <v>0</v>
      </c>
      <c r="FM405" s="50">
        <f t="shared" si="165"/>
        <v>216</v>
      </c>
      <c r="FN405" s="360">
        <f t="shared" si="166"/>
        <v>191</v>
      </c>
      <c r="FO405" s="3"/>
      <c r="FP405" s="279"/>
      <c r="FQ405" s="52"/>
      <c r="FR405" s="296"/>
      <c r="FS405" s="98"/>
      <c r="FT405" s="467"/>
      <c r="FU405" s="52"/>
      <c r="FV405" s="296"/>
      <c r="FW405" s="98"/>
      <c r="FX405" s="467"/>
      <c r="FY405" s="52"/>
      <c r="FZ405" s="296"/>
      <c r="GA405" s="98"/>
      <c r="GB405" s="467"/>
      <c r="GC405" s="52"/>
      <c r="GD405" s="296"/>
      <c r="GE405" s="98"/>
      <c r="GF405" s="467"/>
      <c r="GG405" s="52"/>
      <c r="GH405" s="296"/>
      <c r="GI405" s="98"/>
      <c r="GJ405" s="467"/>
      <c r="GK405" s="52"/>
      <c r="GL405" s="296"/>
      <c r="GM405" s="464"/>
      <c r="GN405" s="467"/>
      <c r="GO405" s="52"/>
      <c r="GP405" s="296"/>
      <c r="GQ405" s="464"/>
      <c r="GR405" s="467"/>
      <c r="GS405" s="52"/>
      <c r="GT405" s="296"/>
      <c r="GU405" s="464"/>
      <c r="GV405" s="467"/>
      <c r="GW405" s="52"/>
      <c r="GX405" s="296"/>
      <c r="GY405" s="464"/>
      <c r="GZ405" s="467"/>
      <c r="HA405" s="52"/>
      <c r="HB405" s="296"/>
      <c r="HC405" s="3"/>
    </row>
    <row r="406" spans="1:211" s="86" customFormat="1">
      <c r="A406" s="521" t="s">
        <v>984</v>
      </c>
      <c r="B406" s="318" t="s">
        <v>12</v>
      </c>
      <c r="C406" s="317">
        <v>199625</v>
      </c>
      <c r="D406" s="346">
        <v>10</v>
      </c>
      <c r="E406" s="460">
        <v>324</v>
      </c>
      <c r="F406" s="337">
        <v>294</v>
      </c>
      <c r="G406" s="158"/>
      <c r="H406" s="277"/>
      <c r="I406" s="158">
        <v>101</v>
      </c>
      <c r="J406" s="665">
        <v>122</v>
      </c>
      <c r="K406" s="160">
        <f t="shared" si="167"/>
        <v>0</v>
      </c>
      <c r="L406" s="161">
        <f t="shared" si="160"/>
        <v>0</v>
      </c>
      <c r="M406" s="54"/>
      <c r="N406" s="55"/>
      <c r="O406" s="55"/>
      <c r="P406" s="55"/>
      <c r="Q406" s="162">
        <f t="shared" si="168"/>
        <v>0</v>
      </c>
      <c r="R406" s="277"/>
      <c r="S406" s="277"/>
      <c r="T406" s="277"/>
      <c r="U406" s="277"/>
      <c r="V406" s="97">
        <f t="shared" si="169"/>
        <v>0</v>
      </c>
      <c r="W406" s="279"/>
      <c r="X406" s="52"/>
      <c r="Y406" s="99"/>
      <c r="Z406" s="53"/>
      <c r="AA406" s="228"/>
      <c r="AB406" s="52"/>
      <c r="AC406" s="99"/>
      <c r="AD406" s="53"/>
      <c r="AE406" s="228"/>
      <c r="AF406" s="52"/>
      <c r="AG406" s="99"/>
      <c r="AH406" s="53"/>
      <c r="AI406" s="228"/>
      <c r="AJ406" s="52"/>
      <c r="AK406" s="99"/>
      <c r="AL406" s="53"/>
      <c r="AM406" s="228"/>
      <c r="AN406" s="52"/>
      <c r="AO406" s="99"/>
      <c r="AP406" s="53"/>
      <c r="AQ406" s="50">
        <f t="shared" si="161"/>
        <v>0</v>
      </c>
      <c r="AR406" s="163">
        <f t="shared" si="162"/>
        <v>0</v>
      </c>
      <c r="AS406" s="97">
        <f t="shared" si="163"/>
        <v>0</v>
      </c>
      <c r="AT406" s="278">
        <f t="shared" si="164"/>
        <v>0</v>
      </c>
      <c r="AU406" s="55"/>
      <c r="AV406" s="277"/>
      <c r="AW406" s="279"/>
      <c r="AX406" s="52"/>
      <c r="AY406" s="105"/>
      <c r="AZ406" s="98"/>
      <c r="BA406" s="279"/>
      <c r="BB406" s="52"/>
      <c r="BC406" s="105"/>
      <c r="BD406" s="98"/>
      <c r="BE406" s="279"/>
      <c r="BF406" s="52"/>
      <c r="BG406" s="105"/>
      <c r="BH406" s="98"/>
      <c r="BI406" s="279"/>
      <c r="BJ406" s="52"/>
      <c r="BK406" s="105"/>
      <c r="BL406" s="98"/>
      <c r="BM406" s="279"/>
      <c r="BN406" s="52"/>
      <c r="BO406" s="105"/>
      <c r="BP406" s="98"/>
      <c r="BQ406" s="279"/>
      <c r="BR406" s="52"/>
      <c r="BS406" s="105"/>
      <c r="BT406" s="98"/>
      <c r="BU406" s="279"/>
      <c r="BV406" s="52"/>
      <c r="BW406" s="98"/>
      <c r="BX406" s="98"/>
      <c r="BY406" s="279"/>
      <c r="BZ406" s="52"/>
      <c r="CA406" s="105"/>
      <c r="CB406" s="98"/>
      <c r="CC406" s="279"/>
      <c r="CD406" s="52"/>
      <c r="CE406" s="105"/>
      <c r="CF406" s="98"/>
      <c r="CG406" s="279"/>
      <c r="CH406" s="52"/>
      <c r="CI406" s="105"/>
      <c r="CJ406" s="98"/>
      <c r="CK406" s="281"/>
      <c r="CL406" s="277"/>
      <c r="CM406" s="159"/>
      <c r="CN406" s="277"/>
      <c r="CO406" s="50">
        <f t="shared" si="170"/>
        <v>0</v>
      </c>
      <c r="CP406" s="103">
        <f t="shared" si="171"/>
        <v>0</v>
      </c>
      <c r="CQ406" s="280">
        <f t="shared" si="172"/>
        <v>0</v>
      </c>
      <c r="CR406" s="63">
        <f t="shared" si="173"/>
        <v>0</v>
      </c>
      <c r="CS406" s="279"/>
      <c r="CT406" s="52"/>
      <c r="CU406" s="105"/>
      <c r="CV406" s="98"/>
      <c r="CW406" s="279"/>
      <c r="CX406" s="52"/>
      <c r="CY406" s="105"/>
      <c r="CZ406" s="98"/>
      <c r="DA406" s="279"/>
      <c r="DB406" s="52"/>
      <c r="DC406" s="105"/>
      <c r="DD406" s="98"/>
      <c r="DE406" s="279"/>
      <c r="DF406" s="52"/>
      <c r="DG406" s="105"/>
      <c r="DH406" s="98"/>
      <c r="DI406" s="279"/>
      <c r="DJ406" s="52"/>
      <c r="DK406" s="105"/>
      <c r="DL406" s="98"/>
      <c r="DM406" s="279"/>
      <c r="DN406" s="52"/>
      <c r="DO406" s="105"/>
      <c r="DP406" s="98"/>
      <c r="DQ406" s="279"/>
      <c r="DR406" s="52"/>
      <c r="DS406" s="105"/>
      <c r="DT406" s="98"/>
      <c r="DU406" s="279"/>
      <c r="DV406" s="52"/>
      <c r="DW406" s="105"/>
      <c r="DX406" s="98"/>
      <c r="DY406" s="279"/>
      <c r="DZ406" s="52"/>
      <c r="EA406" s="105"/>
      <c r="EB406" s="98"/>
      <c r="EC406" s="279"/>
      <c r="ED406" s="52"/>
      <c r="EE406" s="105"/>
      <c r="EF406" s="98"/>
      <c r="EG406" s="159"/>
      <c r="EH406" s="277"/>
      <c r="EI406" s="50">
        <f t="shared" si="174"/>
        <v>0</v>
      </c>
      <c r="EJ406" s="103">
        <f t="shared" si="175"/>
        <v>0</v>
      </c>
      <c r="EK406" s="164">
        <f t="shared" si="176"/>
        <v>0</v>
      </c>
      <c r="EL406" s="280">
        <f t="shared" si="177"/>
        <v>0</v>
      </c>
      <c r="EM406" s="63">
        <f t="shared" si="178"/>
        <v>0</v>
      </c>
      <c r="EN406" s="359">
        <f t="shared" si="179"/>
        <v>0</v>
      </c>
      <c r="EO406" s="51">
        <f t="shared" si="180"/>
        <v>0</v>
      </c>
      <c r="EP406" s="361">
        <f t="shared" si="181"/>
        <v>0</v>
      </c>
      <c r="EQ406" s="281"/>
      <c r="ER406" s="277"/>
      <c r="ES406" s="281"/>
      <c r="ET406" s="277"/>
      <c r="EU406" s="281"/>
      <c r="EV406" s="277"/>
      <c r="EW406" s="281"/>
      <c r="EX406" s="277"/>
      <c r="EY406" s="281"/>
      <c r="EZ406" s="277"/>
      <c r="FA406" s="281"/>
      <c r="FB406" s="277"/>
      <c r="FC406" s="281"/>
      <c r="FD406" s="277"/>
      <c r="FE406" s="281"/>
      <c r="FF406" s="277"/>
      <c r="FG406" s="281"/>
      <c r="FH406" s="277"/>
      <c r="FI406" s="281"/>
      <c r="FJ406" s="277"/>
      <c r="FK406" s="50">
        <f t="shared" si="182"/>
        <v>0</v>
      </c>
      <c r="FL406" s="63">
        <f t="shared" si="183"/>
        <v>0</v>
      </c>
      <c r="FM406" s="50">
        <f t="shared" si="165"/>
        <v>425</v>
      </c>
      <c r="FN406" s="360">
        <f t="shared" si="166"/>
        <v>416</v>
      </c>
      <c r="FO406" s="3"/>
      <c r="FP406" s="279"/>
      <c r="FQ406" s="52"/>
      <c r="FR406" s="296"/>
      <c r="FS406" s="98"/>
      <c r="FT406" s="467"/>
      <c r="FU406" s="52"/>
      <c r="FV406" s="296"/>
      <c r="FW406" s="98"/>
      <c r="FX406" s="467"/>
      <c r="FY406" s="52"/>
      <c r="FZ406" s="296"/>
      <c r="GA406" s="98"/>
      <c r="GB406" s="467"/>
      <c r="GC406" s="52"/>
      <c r="GD406" s="296"/>
      <c r="GE406" s="98"/>
      <c r="GF406" s="467"/>
      <c r="GG406" s="52"/>
      <c r="GH406" s="296"/>
      <c r="GI406" s="98"/>
      <c r="GJ406" s="467"/>
      <c r="GK406" s="52"/>
      <c r="GL406" s="296"/>
      <c r="GM406" s="464"/>
      <c r="GN406" s="467"/>
      <c r="GO406" s="52"/>
      <c r="GP406" s="296"/>
      <c r="GQ406" s="464"/>
      <c r="GR406" s="467"/>
      <c r="GS406" s="52"/>
      <c r="GT406" s="296"/>
      <c r="GU406" s="464"/>
      <c r="GV406" s="467"/>
      <c r="GW406" s="52"/>
      <c r="GX406" s="296"/>
      <c r="GY406" s="464"/>
      <c r="GZ406" s="467"/>
      <c r="HA406" s="52"/>
      <c r="HB406" s="296"/>
      <c r="HC406" s="3"/>
    </row>
    <row r="407" spans="1:211" s="86" customFormat="1">
      <c r="A407" s="521" t="s">
        <v>984</v>
      </c>
      <c r="B407" s="318" t="s">
        <v>13</v>
      </c>
      <c r="C407" s="317">
        <v>199795</v>
      </c>
      <c r="D407" s="346">
        <v>10</v>
      </c>
      <c r="E407" s="460">
        <v>10</v>
      </c>
      <c r="F407" s="337">
        <v>35</v>
      </c>
      <c r="G407" s="158"/>
      <c r="H407" s="277"/>
      <c r="I407" s="158">
        <v>77</v>
      </c>
      <c r="J407" s="665">
        <v>103</v>
      </c>
      <c r="K407" s="160">
        <f t="shared" si="167"/>
        <v>0</v>
      </c>
      <c r="L407" s="161">
        <f t="shared" si="160"/>
        <v>0</v>
      </c>
      <c r="M407" s="54"/>
      <c r="N407" s="55"/>
      <c r="O407" s="55"/>
      <c r="P407" s="55"/>
      <c r="Q407" s="162">
        <f t="shared" si="168"/>
        <v>0</v>
      </c>
      <c r="R407" s="277"/>
      <c r="S407" s="277"/>
      <c r="T407" s="277"/>
      <c r="U407" s="277"/>
      <c r="V407" s="97">
        <f t="shared" si="169"/>
        <v>0</v>
      </c>
      <c r="W407" s="279"/>
      <c r="X407" s="52"/>
      <c r="Y407" s="99"/>
      <c r="Z407" s="53"/>
      <c r="AA407" s="228"/>
      <c r="AB407" s="52"/>
      <c r="AC407" s="99"/>
      <c r="AD407" s="53"/>
      <c r="AE407" s="228"/>
      <c r="AF407" s="52"/>
      <c r="AG407" s="99"/>
      <c r="AH407" s="53"/>
      <c r="AI407" s="228"/>
      <c r="AJ407" s="52"/>
      <c r="AK407" s="99"/>
      <c r="AL407" s="53"/>
      <c r="AM407" s="228"/>
      <c r="AN407" s="52"/>
      <c r="AO407" s="99"/>
      <c r="AP407" s="53"/>
      <c r="AQ407" s="50">
        <f t="shared" si="161"/>
        <v>0</v>
      </c>
      <c r="AR407" s="163">
        <f t="shared" si="162"/>
        <v>0</v>
      </c>
      <c r="AS407" s="97">
        <f t="shared" si="163"/>
        <v>0</v>
      </c>
      <c r="AT407" s="278">
        <f t="shared" si="164"/>
        <v>0</v>
      </c>
      <c r="AU407" s="55"/>
      <c r="AV407" s="277"/>
      <c r="AW407" s="279"/>
      <c r="AX407" s="52"/>
      <c r="AY407" s="105"/>
      <c r="AZ407" s="98"/>
      <c r="BA407" s="279"/>
      <c r="BB407" s="52"/>
      <c r="BC407" s="105"/>
      <c r="BD407" s="98"/>
      <c r="BE407" s="279"/>
      <c r="BF407" s="52"/>
      <c r="BG407" s="105"/>
      <c r="BH407" s="98"/>
      <c r="BI407" s="279"/>
      <c r="BJ407" s="52"/>
      <c r="BK407" s="105"/>
      <c r="BL407" s="98"/>
      <c r="BM407" s="279"/>
      <c r="BN407" s="52"/>
      <c r="BO407" s="105"/>
      <c r="BP407" s="98"/>
      <c r="BQ407" s="279"/>
      <c r="BR407" s="52"/>
      <c r="BS407" s="105"/>
      <c r="BT407" s="98"/>
      <c r="BU407" s="279"/>
      <c r="BV407" s="52"/>
      <c r="BW407" s="105"/>
      <c r="BX407" s="98"/>
      <c r="BY407" s="279"/>
      <c r="BZ407" s="52"/>
      <c r="CA407" s="105"/>
      <c r="CB407" s="98"/>
      <c r="CC407" s="279"/>
      <c r="CD407" s="52"/>
      <c r="CE407" s="105"/>
      <c r="CF407" s="98"/>
      <c r="CG407" s="279"/>
      <c r="CH407" s="52"/>
      <c r="CI407" s="105"/>
      <c r="CJ407" s="98"/>
      <c r="CK407" s="281"/>
      <c r="CL407" s="277"/>
      <c r="CM407" s="159"/>
      <c r="CN407" s="277"/>
      <c r="CO407" s="50">
        <f t="shared" si="170"/>
        <v>0</v>
      </c>
      <c r="CP407" s="103">
        <f t="shared" si="171"/>
        <v>0</v>
      </c>
      <c r="CQ407" s="280">
        <f t="shared" si="172"/>
        <v>0</v>
      </c>
      <c r="CR407" s="63">
        <f t="shared" si="173"/>
        <v>0</v>
      </c>
      <c r="CS407" s="279"/>
      <c r="CT407" s="52"/>
      <c r="CU407" s="105"/>
      <c r="CV407" s="98"/>
      <c r="CW407" s="279"/>
      <c r="CX407" s="52"/>
      <c r="CY407" s="105"/>
      <c r="CZ407" s="98"/>
      <c r="DA407" s="279"/>
      <c r="DB407" s="52"/>
      <c r="DC407" s="105"/>
      <c r="DD407" s="98"/>
      <c r="DE407" s="279"/>
      <c r="DF407" s="52"/>
      <c r="DG407" s="105"/>
      <c r="DH407" s="98"/>
      <c r="DI407" s="279"/>
      <c r="DJ407" s="52"/>
      <c r="DK407" s="105"/>
      <c r="DL407" s="98"/>
      <c r="DM407" s="279"/>
      <c r="DN407" s="52"/>
      <c r="DO407" s="105"/>
      <c r="DP407" s="98"/>
      <c r="DQ407" s="279"/>
      <c r="DR407" s="52"/>
      <c r="DS407" s="105"/>
      <c r="DT407" s="98"/>
      <c r="DU407" s="279"/>
      <c r="DV407" s="52"/>
      <c r="DW407" s="105"/>
      <c r="DX407" s="98"/>
      <c r="DY407" s="279"/>
      <c r="DZ407" s="52"/>
      <c r="EA407" s="105"/>
      <c r="EB407" s="98"/>
      <c r="EC407" s="279"/>
      <c r="ED407" s="52"/>
      <c r="EE407" s="105"/>
      <c r="EF407" s="98"/>
      <c r="EG407" s="159"/>
      <c r="EH407" s="277"/>
      <c r="EI407" s="50">
        <f t="shared" si="174"/>
        <v>0</v>
      </c>
      <c r="EJ407" s="103">
        <f t="shared" si="175"/>
        <v>0</v>
      </c>
      <c r="EK407" s="164">
        <f t="shared" si="176"/>
        <v>0</v>
      </c>
      <c r="EL407" s="280">
        <f t="shared" si="177"/>
        <v>0</v>
      </c>
      <c r="EM407" s="63">
        <f t="shared" si="178"/>
        <v>0</v>
      </c>
      <c r="EN407" s="359">
        <f t="shared" si="179"/>
        <v>0</v>
      </c>
      <c r="EO407" s="51">
        <f t="shared" si="180"/>
        <v>0</v>
      </c>
      <c r="EP407" s="361">
        <f t="shared" si="181"/>
        <v>0</v>
      </c>
      <c r="EQ407" s="281"/>
      <c r="ER407" s="277"/>
      <c r="ES407" s="281"/>
      <c r="ET407" s="277"/>
      <c r="EU407" s="281"/>
      <c r="EV407" s="277"/>
      <c r="EW407" s="281"/>
      <c r="EX407" s="277"/>
      <c r="EY407" s="281"/>
      <c r="EZ407" s="277"/>
      <c r="FA407" s="281"/>
      <c r="FB407" s="277"/>
      <c r="FC407" s="281"/>
      <c r="FD407" s="277"/>
      <c r="FE407" s="281"/>
      <c r="FF407" s="277"/>
      <c r="FG407" s="281"/>
      <c r="FH407" s="277"/>
      <c r="FI407" s="281"/>
      <c r="FJ407" s="277"/>
      <c r="FK407" s="50">
        <f t="shared" si="182"/>
        <v>0</v>
      </c>
      <c r="FL407" s="63">
        <f t="shared" si="183"/>
        <v>0</v>
      </c>
      <c r="FM407" s="50">
        <f t="shared" si="165"/>
        <v>87</v>
      </c>
      <c r="FN407" s="360">
        <f t="shared" si="166"/>
        <v>138</v>
      </c>
      <c r="FO407" s="3"/>
      <c r="FP407" s="279"/>
      <c r="FQ407" s="52"/>
      <c r="FR407" s="296"/>
      <c r="FS407" s="98"/>
      <c r="FT407" s="467"/>
      <c r="FU407" s="52"/>
      <c r="FV407" s="296"/>
      <c r="FW407" s="98"/>
      <c r="FX407" s="467"/>
      <c r="FY407" s="52"/>
      <c r="FZ407" s="296"/>
      <c r="GA407" s="98"/>
      <c r="GB407" s="467"/>
      <c r="GC407" s="52"/>
      <c r="GD407" s="296"/>
      <c r="GE407" s="98"/>
      <c r="GF407" s="467"/>
      <c r="GG407" s="52"/>
      <c r="GH407" s="296"/>
      <c r="GI407" s="98"/>
      <c r="GJ407" s="467"/>
      <c r="GK407" s="52"/>
      <c r="GL407" s="296"/>
      <c r="GM407" s="464"/>
      <c r="GN407" s="467"/>
      <c r="GO407" s="52"/>
      <c r="GP407" s="296"/>
      <c r="GQ407" s="464"/>
      <c r="GR407" s="467"/>
      <c r="GS407" s="52"/>
      <c r="GT407" s="296"/>
      <c r="GU407" s="464"/>
      <c r="GV407" s="467"/>
      <c r="GW407" s="52"/>
      <c r="GX407" s="296"/>
      <c r="GY407" s="464"/>
      <c r="GZ407" s="467"/>
      <c r="HA407" s="52"/>
      <c r="HB407" s="296"/>
      <c r="HC407" s="3"/>
    </row>
    <row r="408" spans="1:211" s="86" customFormat="1">
      <c r="A408" s="487" t="s">
        <v>31</v>
      </c>
      <c r="B408" s="303" t="s">
        <v>611</v>
      </c>
      <c r="C408" s="302">
        <v>207388</v>
      </c>
      <c r="D408" s="340">
        <v>1</v>
      </c>
      <c r="E408" s="460"/>
      <c r="F408" s="277"/>
      <c r="G408" s="158"/>
      <c r="H408" s="277"/>
      <c r="I408" s="158"/>
      <c r="J408" s="277"/>
      <c r="K408" s="160">
        <f t="shared" si="167"/>
        <v>0</v>
      </c>
      <c r="L408" s="161">
        <f t="shared" si="160"/>
        <v>0</v>
      </c>
      <c r="M408" s="54">
        <v>3818</v>
      </c>
      <c r="N408" s="55">
        <v>296</v>
      </c>
      <c r="O408" s="55"/>
      <c r="P408" s="55"/>
      <c r="Q408" s="162">
        <f t="shared" si="168"/>
        <v>296</v>
      </c>
      <c r="R408" s="277">
        <v>3829</v>
      </c>
      <c r="S408" s="277">
        <v>272</v>
      </c>
      <c r="T408" s="277"/>
      <c r="U408" s="277"/>
      <c r="V408" s="97">
        <f t="shared" si="169"/>
        <v>272</v>
      </c>
      <c r="W408" s="279"/>
      <c r="X408" s="52"/>
      <c r="Y408" s="99"/>
      <c r="Z408" s="53"/>
      <c r="AA408" s="228"/>
      <c r="AB408" s="52"/>
      <c r="AC408" s="99"/>
      <c r="AD408" s="53"/>
      <c r="AE408" s="228"/>
      <c r="AF408" s="52"/>
      <c r="AG408" s="99"/>
      <c r="AH408" s="53"/>
      <c r="AI408" s="228"/>
      <c r="AJ408" s="52"/>
      <c r="AK408" s="99"/>
      <c r="AL408" s="53"/>
      <c r="AM408" s="228"/>
      <c r="AN408" s="52"/>
      <c r="AO408" s="99"/>
      <c r="AP408" s="53"/>
      <c r="AQ408" s="50">
        <f t="shared" si="161"/>
        <v>0</v>
      </c>
      <c r="AR408" s="163">
        <f t="shared" si="162"/>
        <v>0.76851851851851849</v>
      </c>
      <c r="AS408" s="97">
        <f t="shared" si="163"/>
        <v>0</v>
      </c>
      <c r="AT408" s="278">
        <f t="shared" si="164"/>
        <v>0.73705486044273338</v>
      </c>
      <c r="AU408" s="523">
        <v>8</v>
      </c>
      <c r="AV408" s="277">
        <v>24</v>
      </c>
      <c r="AW408" s="279">
        <v>52</v>
      </c>
      <c r="AX408" s="52">
        <v>225</v>
      </c>
      <c r="AY408" s="105">
        <v>52</v>
      </c>
      <c r="AZ408" s="98">
        <f>243+11</f>
        <v>254</v>
      </c>
      <c r="BA408" s="279">
        <v>14</v>
      </c>
      <c r="BB408" s="52">
        <v>133</v>
      </c>
      <c r="BC408" s="105">
        <v>14</v>
      </c>
      <c r="BD408" s="98">
        <f>209+2</f>
        <v>211</v>
      </c>
      <c r="BE408" s="279">
        <v>13</v>
      </c>
      <c r="BF408" s="52">
        <v>109</v>
      </c>
      <c r="BG408" s="105">
        <v>13</v>
      </c>
      <c r="BH408" s="98">
        <f>113+1</f>
        <v>114</v>
      </c>
      <c r="BI408" s="279">
        <v>30</v>
      </c>
      <c r="BJ408" s="52">
        <v>69</v>
      </c>
      <c r="BK408" s="105">
        <v>30</v>
      </c>
      <c r="BL408" s="98">
        <v>80</v>
      </c>
      <c r="BM408" s="279">
        <v>1</v>
      </c>
      <c r="BN408" s="52">
        <v>59</v>
      </c>
      <c r="BO408" s="105">
        <v>1</v>
      </c>
      <c r="BP408" s="98">
        <v>61</v>
      </c>
      <c r="BQ408" s="279">
        <v>19</v>
      </c>
      <c r="BR408" s="52">
        <v>39</v>
      </c>
      <c r="BS408" s="105">
        <v>11</v>
      </c>
      <c r="BT408" s="98">
        <f>45+9</f>
        <v>54</v>
      </c>
      <c r="BU408" s="279">
        <v>11</v>
      </c>
      <c r="BV408" s="52">
        <v>38</v>
      </c>
      <c r="BW408" s="524" t="s">
        <v>377</v>
      </c>
      <c r="BX408" s="172">
        <v>46</v>
      </c>
      <c r="BY408" s="279">
        <v>42</v>
      </c>
      <c r="BZ408" s="52">
        <v>34</v>
      </c>
      <c r="CA408" s="105">
        <v>42</v>
      </c>
      <c r="CB408" s="98">
        <v>30</v>
      </c>
      <c r="CC408" s="279">
        <v>26</v>
      </c>
      <c r="CD408" s="52">
        <v>23</v>
      </c>
      <c r="CE408" s="105">
        <v>51</v>
      </c>
      <c r="CF408" s="98">
        <v>27</v>
      </c>
      <c r="CG408" s="279">
        <v>45</v>
      </c>
      <c r="CH408" s="52">
        <v>21</v>
      </c>
      <c r="CI408" s="105">
        <v>26</v>
      </c>
      <c r="CJ408" s="98">
        <v>26</v>
      </c>
      <c r="CK408" s="281"/>
      <c r="CL408" s="277"/>
      <c r="CM408" s="159">
        <v>97</v>
      </c>
      <c r="CN408" s="277">
        <v>114</v>
      </c>
      <c r="CO408" s="50">
        <f t="shared" si="170"/>
        <v>847</v>
      </c>
      <c r="CP408" s="103">
        <f t="shared" si="171"/>
        <v>10</v>
      </c>
      <c r="CQ408" s="280">
        <f t="shared" si="172"/>
        <v>1017</v>
      </c>
      <c r="CR408" s="63">
        <f t="shared" si="173"/>
        <v>10</v>
      </c>
      <c r="CS408" s="279">
        <v>42</v>
      </c>
      <c r="CT408" s="52">
        <v>25</v>
      </c>
      <c r="CU408" s="105">
        <v>42</v>
      </c>
      <c r="CV408" s="98">
        <v>33</v>
      </c>
      <c r="CW408" s="279">
        <v>13</v>
      </c>
      <c r="CX408" s="52">
        <v>19</v>
      </c>
      <c r="CY408" s="105">
        <v>13</v>
      </c>
      <c r="CZ408" s="98">
        <v>25</v>
      </c>
      <c r="DA408" s="279">
        <v>1</v>
      </c>
      <c r="DB408" s="52">
        <v>18</v>
      </c>
      <c r="DC408" s="105">
        <v>14</v>
      </c>
      <c r="DD408" s="98">
        <v>21</v>
      </c>
      <c r="DE408" s="279">
        <v>14</v>
      </c>
      <c r="DF408" s="52">
        <v>15</v>
      </c>
      <c r="DG408" s="105">
        <v>1</v>
      </c>
      <c r="DH408" s="98">
        <v>15</v>
      </c>
      <c r="DI408" s="279">
        <v>26</v>
      </c>
      <c r="DJ408" s="52">
        <v>11</v>
      </c>
      <c r="DK408" s="105">
        <v>26</v>
      </c>
      <c r="DL408" s="98">
        <v>15</v>
      </c>
      <c r="DM408" s="279">
        <v>19</v>
      </c>
      <c r="DN408" s="52">
        <v>9</v>
      </c>
      <c r="DO408" s="105">
        <v>40</v>
      </c>
      <c r="DP408" s="98">
        <v>15</v>
      </c>
      <c r="DQ408" s="279">
        <v>40</v>
      </c>
      <c r="DR408" s="52">
        <v>9</v>
      </c>
      <c r="DS408" s="105">
        <v>52</v>
      </c>
      <c r="DT408" s="98">
        <v>9</v>
      </c>
      <c r="DU408" s="279">
        <v>52</v>
      </c>
      <c r="DV408" s="52">
        <v>9</v>
      </c>
      <c r="DW408" s="105">
        <v>45</v>
      </c>
      <c r="DX408" s="98">
        <v>8</v>
      </c>
      <c r="DY408" s="279">
        <v>23</v>
      </c>
      <c r="DZ408" s="52">
        <v>6</v>
      </c>
      <c r="EA408" s="105">
        <v>51</v>
      </c>
      <c r="EB408" s="98">
        <v>7</v>
      </c>
      <c r="EC408" s="279">
        <v>3</v>
      </c>
      <c r="ED408" s="52">
        <v>4</v>
      </c>
      <c r="EE408" s="105">
        <v>31</v>
      </c>
      <c r="EF408" s="98">
        <v>6</v>
      </c>
      <c r="EG408" s="159">
        <v>16</v>
      </c>
      <c r="EH408" s="277">
        <v>18</v>
      </c>
      <c r="EI408" s="50">
        <f t="shared" si="174"/>
        <v>141</v>
      </c>
      <c r="EJ408" s="103">
        <f t="shared" si="175"/>
        <v>10</v>
      </c>
      <c r="EK408" s="164">
        <f t="shared" si="176"/>
        <v>0.1773049645390071</v>
      </c>
      <c r="EL408" s="280">
        <f t="shared" si="177"/>
        <v>172</v>
      </c>
      <c r="EM408" s="63">
        <f t="shared" si="178"/>
        <v>10</v>
      </c>
      <c r="EN408" s="359">
        <f t="shared" si="179"/>
        <v>0.19186046511627908</v>
      </c>
      <c r="EO408" s="51">
        <f t="shared" si="180"/>
        <v>988</v>
      </c>
      <c r="EP408" s="361">
        <f t="shared" si="181"/>
        <v>1189</v>
      </c>
      <c r="EQ408" s="281"/>
      <c r="ER408" s="277"/>
      <c r="ES408" s="281"/>
      <c r="ET408" s="277"/>
      <c r="EU408" s="281"/>
      <c r="EV408" s="277"/>
      <c r="EW408" s="281"/>
      <c r="EX408" s="277"/>
      <c r="EY408" s="281"/>
      <c r="EZ408" s="277"/>
      <c r="FA408" s="281"/>
      <c r="FB408" s="277"/>
      <c r="FC408" s="281">
        <v>76</v>
      </c>
      <c r="FD408" s="277">
        <v>75</v>
      </c>
      <c r="FE408" s="281">
        <v>78</v>
      </c>
      <c r="FF408" s="277">
        <v>78</v>
      </c>
      <c r="FG408" s="281"/>
      <c r="FH408" s="277"/>
      <c r="FI408" s="281"/>
      <c r="FJ408" s="277"/>
      <c r="FK408" s="50">
        <f t="shared" si="182"/>
        <v>154</v>
      </c>
      <c r="FL408" s="63">
        <f t="shared" si="183"/>
        <v>153</v>
      </c>
      <c r="FM408" s="50">
        <f t="shared" si="165"/>
        <v>4968</v>
      </c>
      <c r="FN408" s="360">
        <f t="shared" si="166"/>
        <v>5195</v>
      </c>
      <c r="FO408" s="3"/>
      <c r="FP408" s="279"/>
      <c r="FQ408" s="52"/>
      <c r="FR408" s="296"/>
      <c r="FS408" s="98"/>
      <c r="FT408" s="467"/>
      <c r="FU408" s="52"/>
      <c r="FV408" s="296"/>
      <c r="FW408" s="98"/>
      <c r="FX408" s="467"/>
      <c r="FY408" s="52"/>
      <c r="FZ408" s="296"/>
      <c r="GA408" s="98"/>
      <c r="GB408" s="467"/>
      <c r="GC408" s="52"/>
      <c r="GD408" s="296"/>
      <c r="GE408" s="98"/>
      <c r="GF408" s="467"/>
      <c r="GG408" s="52"/>
      <c r="GH408" s="296"/>
      <c r="GI408" s="98"/>
      <c r="GJ408" s="467"/>
      <c r="GK408" s="52"/>
      <c r="GL408" s="296"/>
      <c r="GM408" s="464"/>
      <c r="GN408" s="467"/>
      <c r="GO408" s="52"/>
      <c r="GP408" s="296"/>
      <c r="GQ408" s="464"/>
      <c r="GR408" s="467"/>
      <c r="GS408" s="52"/>
      <c r="GT408" s="296"/>
      <c r="GU408" s="464"/>
      <c r="GV408" s="467"/>
      <c r="GW408" s="52"/>
      <c r="GX408" s="296"/>
      <c r="GY408" s="464"/>
      <c r="GZ408" s="467"/>
      <c r="HA408" s="52"/>
      <c r="HB408" s="296"/>
      <c r="HC408" s="3"/>
    </row>
    <row r="409" spans="1:211" s="86" customFormat="1">
      <c r="A409" s="487" t="s">
        <v>31</v>
      </c>
      <c r="B409" s="303" t="s">
        <v>612</v>
      </c>
      <c r="C409" s="302">
        <v>207500</v>
      </c>
      <c r="D409" s="340">
        <v>1</v>
      </c>
      <c r="E409" s="460"/>
      <c r="F409" s="277"/>
      <c r="G409" s="158"/>
      <c r="H409" s="277"/>
      <c r="I409" s="158"/>
      <c r="J409" s="277"/>
      <c r="K409" s="160">
        <f t="shared" si="167"/>
        <v>0</v>
      </c>
      <c r="L409" s="161">
        <f t="shared" si="160"/>
        <v>0</v>
      </c>
      <c r="M409" s="54">
        <v>4419</v>
      </c>
      <c r="N409" s="55">
        <v>190</v>
      </c>
      <c r="O409" s="55"/>
      <c r="P409" s="55"/>
      <c r="Q409" s="162">
        <f t="shared" si="168"/>
        <v>190</v>
      </c>
      <c r="R409" s="277">
        <f>3862+618</f>
        <v>4480</v>
      </c>
      <c r="S409" s="277">
        <v>180</v>
      </c>
      <c r="T409" s="277"/>
      <c r="U409" s="277"/>
      <c r="V409" s="97">
        <f t="shared" si="169"/>
        <v>180</v>
      </c>
      <c r="W409" s="279"/>
      <c r="X409" s="52"/>
      <c r="Y409" s="99"/>
      <c r="Z409" s="53"/>
      <c r="AA409" s="228"/>
      <c r="AB409" s="52"/>
      <c r="AC409" s="99"/>
      <c r="AD409" s="53"/>
      <c r="AE409" s="228"/>
      <c r="AF409" s="52"/>
      <c r="AG409" s="99"/>
      <c r="AH409" s="53"/>
      <c r="AI409" s="228"/>
      <c r="AJ409" s="52"/>
      <c r="AK409" s="99"/>
      <c r="AL409" s="53"/>
      <c r="AM409" s="228"/>
      <c r="AN409" s="52"/>
      <c r="AO409" s="99"/>
      <c r="AP409" s="53"/>
      <c r="AQ409" s="50">
        <f t="shared" si="161"/>
        <v>0</v>
      </c>
      <c r="AR409" s="163">
        <f t="shared" si="162"/>
        <v>0.64220316814416512</v>
      </c>
      <c r="AS409" s="97">
        <f t="shared" si="163"/>
        <v>0</v>
      </c>
      <c r="AT409" s="278">
        <f t="shared" si="164"/>
        <v>0.61344652882377104</v>
      </c>
      <c r="AU409" s="523">
        <v>26</v>
      </c>
      <c r="AV409" s="277">
        <v>62</v>
      </c>
      <c r="AW409" s="279">
        <v>52</v>
      </c>
      <c r="AX409" s="52">
        <v>543</v>
      </c>
      <c r="AY409" s="105">
        <v>52</v>
      </c>
      <c r="AZ409" s="98">
        <v>566</v>
      </c>
      <c r="BA409" s="279">
        <v>51</v>
      </c>
      <c r="BB409" s="52">
        <v>185</v>
      </c>
      <c r="BC409" s="105">
        <v>51</v>
      </c>
      <c r="BD409" s="525">
        <v>363</v>
      </c>
      <c r="BE409" s="279">
        <v>44</v>
      </c>
      <c r="BF409" s="52">
        <v>152</v>
      </c>
      <c r="BG409" s="105">
        <v>44</v>
      </c>
      <c r="BH409" s="98">
        <v>180</v>
      </c>
      <c r="BI409" s="279">
        <v>30</v>
      </c>
      <c r="BJ409" s="52">
        <v>128</v>
      </c>
      <c r="BK409" s="105">
        <v>30</v>
      </c>
      <c r="BL409" s="525">
        <v>155</v>
      </c>
      <c r="BM409" s="279">
        <v>13</v>
      </c>
      <c r="BN409" s="52">
        <v>96</v>
      </c>
      <c r="BO409" s="105">
        <v>13</v>
      </c>
      <c r="BP409" s="98">
        <v>149</v>
      </c>
      <c r="BQ409" s="279">
        <v>14</v>
      </c>
      <c r="BR409" s="52">
        <v>92</v>
      </c>
      <c r="BS409" s="105">
        <v>14</v>
      </c>
      <c r="BT409" s="98">
        <v>110</v>
      </c>
      <c r="BU409" s="279">
        <v>45</v>
      </c>
      <c r="BV409" s="52">
        <v>81</v>
      </c>
      <c r="BW409" s="105">
        <v>24</v>
      </c>
      <c r="BX409" s="98">
        <v>95</v>
      </c>
      <c r="BY409" s="279">
        <v>25</v>
      </c>
      <c r="BZ409" s="52">
        <v>69</v>
      </c>
      <c r="CA409" s="105">
        <v>25</v>
      </c>
      <c r="CB409" s="98">
        <v>68</v>
      </c>
      <c r="CC409" s="279">
        <v>24</v>
      </c>
      <c r="CD409" s="52">
        <v>65</v>
      </c>
      <c r="CE409" s="105">
        <v>45</v>
      </c>
      <c r="CF409" s="98">
        <v>58</v>
      </c>
      <c r="CG409" s="279">
        <v>40</v>
      </c>
      <c r="CH409" s="52">
        <v>56</v>
      </c>
      <c r="CI409" s="105">
        <v>40</v>
      </c>
      <c r="CJ409" s="98">
        <v>44</v>
      </c>
      <c r="CK409" s="281"/>
      <c r="CL409" s="277"/>
      <c r="CM409" s="159">
        <v>223</v>
      </c>
      <c r="CN409" s="526">
        <v>215</v>
      </c>
      <c r="CO409" s="50">
        <f t="shared" si="170"/>
        <v>1690</v>
      </c>
      <c r="CP409" s="103">
        <f t="shared" si="171"/>
        <v>10</v>
      </c>
      <c r="CQ409" s="280">
        <f t="shared" si="172"/>
        <v>2003</v>
      </c>
      <c r="CR409" s="63">
        <f t="shared" si="173"/>
        <v>10</v>
      </c>
      <c r="CS409" s="279">
        <v>13</v>
      </c>
      <c r="CT409" s="52">
        <v>36</v>
      </c>
      <c r="CU409" s="105">
        <v>40</v>
      </c>
      <c r="CV409" s="98">
        <v>40</v>
      </c>
      <c r="CW409" s="279">
        <v>14</v>
      </c>
      <c r="CX409" s="52">
        <v>30</v>
      </c>
      <c r="CY409" s="105">
        <v>13</v>
      </c>
      <c r="CZ409" s="98">
        <v>28</v>
      </c>
      <c r="DA409" s="279">
        <v>26</v>
      </c>
      <c r="DB409" s="52">
        <v>29</v>
      </c>
      <c r="DC409" s="105">
        <v>14</v>
      </c>
      <c r="DD409" s="98">
        <v>27</v>
      </c>
      <c r="DE409" s="279">
        <v>40</v>
      </c>
      <c r="DF409" s="52">
        <v>25</v>
      </c>
      <c r="DG409" s="105">
        <v>45</v>
      </c>
      <c r="DH409" s="98">
        <v>18</v>
      </c>
      <c r="DI409" s="279">
        <v>45</v>
      </c>
      <c r="DJ409" s="52">
        <v>15</v>
      </c>
      <c r="DK409" s="105">
        <v>42</v>
      </c>
      <c r="DL409" s="98">
        <v>17</v>
      </c>
      <c r="DM409" s="279">
        <v>42</v>
      </c>
      <c r="DN409" s="52">
        <v>13</v>
      </c>
      <c r="DO409" s="105">
        <v>26</v>
      </c>
      <c r="DP409" s="98">
        <v>13</v>
      </c>
      <c r="DQ409" s="279">
        <v>52</v>
      </c>
      <c r="DR409" s="52">
        <v>11</v>
      </c>
      <c r="DS409" s="105">
        <v>50</v>
      </c>
      <c r="DT409" s="98">
        <v>13</v>
      </c>
      <c r="DU409" s="279">
        <v>50</v>
      </c>
      <c r="DV409" s="52">
        <v>7</v>
      </c>
      <c r="DW409" s="105">
        <v>30</v>
      </c>
      <c r="DX409" s="98">
        <v>9</v>
      </c>
      <c r="DY409" s="279">
        <v>31</v>
      </c>
      <c r="DZ409" s="52">
        <v>6</v>
      </c>
      <c r="EA409" s="105">
        <v>54</v>
      </c>
      <c r="EB409" s="98">
        <v>8</v>
      </c>
      <c r="EC409" s="279">
        <v>23</v>
      </c>
      <c r="ED409" s="52">
        <v>5</v>
      </c>
      <c r="EE409" s="105">
        <v>52</v>
      </c>
      <c r="EF409" s="98">
        <v>6</v>
      </c>
      <c r="EG409" s="159">
        <v>22</v>
      </c>
      <c r="EH409" s="277">
        <v>26</v>
      </c>
      <c r="EI409" s="50">
        <f t="shared" si="174"/>
        <v>199</v>
      </c>
      <c r="EJ409" s="103">
        <f t="shared" si="175"/>
        <v>10</v>
      </c>
      <c r="EK409" s="164">
        <f t="shared" si="176"/>
        <v>0.18090452261306533</v>
      </c>
      <c r="EL409" s="280">
        <f t="shared" si="177"/>
        <v>205</v>
      </c>
      <c r="EM409" s="63">
        <f t="shared" si="178"/>
        <v>10</v>
      </c>
      <c r="EN409" s="359">
        <f t="shared" si="179"/>
        <v>0.1951219512195122</v>
      </c>
      <c r="EO409" s="51">
        <f t="shared" si="180"/>
        <v>1889</v>
      </c>
      <c r="EP409" s="361">
        <f t="shared" si="181"/>
        <v>2208</v>
      </c>
      <c r="EQ409" s="281">
        <v>164</v>
      </c>
      <c r="ER409" s="277">
        <v>156</v>
      </c>
      <c r="ES409" s="281">
        <v>139</v>
      </c>
      <c r="ET409" s="277">
        <v>148</v>
      </c>
      <c r="EU409" s="281">
        <v>58</v>
      </c>
      <c r="EV409" s="277">
        <v>55</v>
      </c>
      <c r="EW409" s="281">
        <v>119</v>
      </c>
      <c r="EX409" s="277">
        <v>130</v>
      </c>
      <c r="EY409" s="281"/>
      <c r="EZ409" s="277"/>
      <c r="FA409" s="281"/>
      <c r="FB409" s="277"/>
      <c r="FC409" s="281"/>
      <c r="FD409" s="277"/>
      <c r="FE409" s="281"/>
      <c r="FF409" s="277"/>
      <c r="FG409" s="281"/>
      <c r="FH409" s="277"/>
      <c r="FI409" s="527">
        <v>67</v>
      </c>
      <c r="FJ409" s="526">
        <v>64</v>
      </c>
      <c r="FK409" s="50">
        <f t="shared" si="182"/>
        <v>547</v>
      </c>
      <c r="FL409" s="63">
        <f t="shared" si="183"/>
        <v>553</v>
      </c>
      <c r="FM409" s="50">
        <f t="shared" si="165"/>
        <v>6881</v>
      </c>
      <c r="FN409" s="360">
        <f t="shared" si="166"/>
        <v>7303</v>
      </c>
      <c r="FO409" s="3"/>
      <c r="FP409" s="279"/>
      <c r="FQ409" s="52"/>
      <c r="FR409" s="296">
        <v>512201</v>
      </c>
      <c r="FS409" s="98">
        <v>56</v>
      </c>
      <c r="FT409" s="467"/>
      <c r="FU409" s="52"/>
      <c r="FV409" s="296">
        <v>510202</v>
      </c>
      <c r="FW409" s="98">
        <v>8</v>
      </c>
      <c r="FX409" s="467"/>
      <c r="FY409" s="52"/>
      <c r="FZ409" s="296"/>
      <c r="GA409" s="98"/>
      <c r="GB409" s="467"/>
      <c r="GC409" s="52"/>
      <c r="GD409" s="296"/>
      <c r="GE409" s="98"/>
      <c r="GF409" s="467"/>
      <c r="GG409" s="52"/>
      <c r="GH409" s="296"/>
      <c r="GI409" s="98"/>
      <c r="GJ409" s="467"/>
      <c r="GK409" s="52"/>
      <c r="GL409" s="296"/>
      <c r="GM409" s="464"/>
      <c r="GN409" s="467"/>
      <c r="GO409" s="52"/>
      <c r="GP409" s="296"/>
      <c r="GQ409" s="464"/>
      <c r="GR409" s="467"/>
      <c r="GS409" s="52"/>
      <c r="GT409" s="296"/>
      <c r="GU409" s="464"/>
      <c r="GV409" s="467"/>
      <c r="GW409" s="52"/>
      <c r="GX409" s="296"/>
      <c r="GY409" s="464"/>
      <c r="GZ409" s="467"/>
      <c r="HA409" s="52"/>
      <c r="HB409" s="296"/>
      <c r="HC409" s="3"/>
    </row>
    <row r="410" spans="1:211" s="86" customFormat="1">
      <c r="A410" s="487" t="s">
        <v>31</v>
      </c>
      <c r="B410" s="303" t="s">
        <v>613</v>
      </c>
      <c r="C410" s="302">
        <v>207263</v>
      </c>
      <c r="D410" s="340">
        <v>3</v>
      </c>
      <c r="E410" s="460"/>
      <c r="F410" s="277"/>
      <c r="G410" s="158"/>
      <c r="H410" s="277"/>
      <c r="I410" s="158"/>
      <c r="J410" s="277"/>
      <c r="K410" s="160">
        <f t="shared" si="167"/>
        <v>0</v>
      </c>
      <c r="L410" s="161">
        <f t="shared" si="160"/>
        <v>0</v>
      </c>
      <c r="M410" s="54">
        <v>1526</v>
      </c>
      <c r="N410" s="55">
        <v>406</v>
      </c>
      <c r="O410" s="55"/>
      <c r="P410" s="55"/>
      <c r="Q410" s="162">
        <f t="shared" si="168"/>
        <v>406</v>
      </c>
      <c r="R410" s="277">
        <v>1536</v>
      </c>
      <c r="S410" s="277">
        <v>427</v>
      </c>
      <c r="T410" s="277"/>
      <c r="U410" s="277"/>
      <c r="V410" s="97">
        <f t="shared" si="169"/>
        <v>427</v>
      </c>
      <c r="W410" s="279"/>
      <c r="X410" s="52"/>
      <c r="Y410" s="99"/>
      <c r="Z410" s="53"/>
      <c r="AA410" s="228"/>
      <c r="AB410" s="52"/>
      <c r="AC410" s="99"/>
      <c r="AD410" s="53"/>
      <c r="AE410" s="228"/>
      <c r="AF410" s="52"/>
      <c r="AG410" s="99"/>
      <c r="AH410" s="53"/>
      <c r="AI410" s="228"/>
      <c r="AJ410" s="52"/>
      <c r="AK410" s="99"/>
      <c r="AL410" s="53"/>
      <c r="AM410" s="228"/>
      <c r="AN410" s="52"/>
      <c r="AO410" s="99"/>
      <c r="AP410" s="53"/>
      <c r="AQ410" s="50">
        <f t="shared" si="161"/>
        <v>0</v>
      </c>
      <c r="AR410" s="163">
        <f t="shared" si="162"/>
        <v>0.84123484013230432</v>
      </c>
      <c r="AS410" s="97">
        <f t="shared" si="163"/>
        <v>0</v>
      </c>
      <c r="AT410" s="278">
        <f t="shared" si="164"/>
        <v>0.84072249589490966</v>
      </c>
      <c r="AU410" s="55"/>
      <c r="AV410" s="277"/>
      <c r="AW410" s="279">
        <v>13</v>
      </c>
      <c r="AX410" s="52">
        <v>129</v>
      </c>
      <c r="AY410" s="105">
        <v>13</v>
      </c>
      <c r="AZ410" s="98">
        <v>121</v>
      </c>
      <c r="BA410" s="279">
        <v>52</v>
      </c>
      <c r="BB410" s="52">
        <v>31</v>
      </c>
      <c r="BC410" s="105">
        <v>52</v>
      </c>
      <c r="BD410" s="98">
        <v>35</v>
      </c>
      <c r="BE410" s="279">
        <v>42</v>
      </c>
      <c r="BF410" s="52">
        <v>20</v>
      </c>
      <c r="BG410" s="105">
        <v>42</v>
      </c>
      <c r="BH410" s="98">
        <v>32</v>
      </c>
      <c r="BI410" s="279">
        <v>25</v>
      </c>
      <c r="BJ410" s="52">
        <v>19</v>
      </c>
      <c r="BK410" s="105">
        <v>51</v>
      </c>
      <c r="BL410" s="98">
        <v>19</v>
      </c>
      <c r="BM410" s="279">
        <v>51</v>
      </c>
      <c r="BN410" s="52">
        <v>18</v>
      </c>
      <c r="BO410" s="105">
        <v>31</v>
      </c>
      <c r="BP410" s="98">
        <v>13</v>
      </c>
      <c r="BQ410" s="279">
        <v>31</v>
      </c>
      <c r="BR410" s="52">
        <v>13</v>
      </c>
      <c r="BS410" s="105">
        <v>25</v>
      </c>
      <c r="BT410" s="98">
        <v>12</v>
      </c>
      <c r="BU410" s="279">
        <v>15</v>
      </c>
      <c r="BV410" s="52">
        <v>8</v>
      </c>
      <c r="BW410" s="105">
        <v>43</v>
      </c>
      <c r="BX410" s="98">
        <v>12</v>
      </c>
      <c r="BY410" s="279">
        <v>23</v>
      </c>
      <c r="BZ410" s="52">
        <v>8</v>
      </c>
      <c r="CA410" s="105">
        <v>23</v>
      </c>
      <c r="CB410" s="98">
        <v>10</v>
      </c>
      <c r="CC410" s="279">
        <v>43</v>
      </c>
      <c r="CD410" s="52">
        <v>7</v>
      </c>
      <c r="CE410" s="105">
        <v>9</v>
      </c>
      <c r="CF410" s="98">
        <v>7</v>
      </c>
      <c r="CG410" s="279">
        <v>9</v>
      </c>
      <c r="CH410" s="52">
        <v>6</v>
      </c>
      <c r="CI410" s="105">
        <v>5</v>
      </c>
      <c r="CJ410" s="98">
        <v>2</v>
      </c>
      <c r="CK410" s="281"/>
      <c r="CL410" s="277"/>
      <c r="CM410" s="159">
        <v>2</v>
      </c>
      <c r="CN410" s="277">
        <v>2</v>
      </c>
      <c r="CO410" s="50">
        <f t="shared" si="170"/>
        <v>261</v>
      </c>
      <c r="CP410" s="103">
        <f t="shared" si="171"/>
        <v>10</v>
      </c>
      <c r="CQ410" s="280">
        <f t="shared" si="172"/>
        <v>265</v>
      </c>
      <c r="CR410" s="63">
        <f t="shared" si="173"/>
        <v>10</v>
      </c>
      <c r="CS410" s="279"/>
      <c r="CT410" s="52"/>
      <c r="CU410" s="105"/>
      <c r="CV410" s="98"/>
      <c r="CW410" s="279"/>
      <c r="CX410" s="52"/>
      <c r="CY410" s="105"/>
      <c r="CZ410" s="98"/>
      <c r="DA410" s="279"/>
      <c r="DB410" s="52"/>
      <c r="DC410" s="105"/>
      <c r="DD410" s="98"/>
      <c r="DE410" s="279"/>
      <c r="DF410" s="52"/>
      <c r="DG410" s="105"/>
      <c r="DH410" s="98"/>
      <c r="DI410" s="279"/>
      <c r="DJ410" s="52"/>
      <c r="DK410" s="105"/>
      <c r="DL410" s="98"/>
      <c r="DM410" s="279"/>
      <c r="DN410" s="52"/>
      <c r="DO410" s="105"/>
      <c r="DP410" s="98"/>
      <c r="DQ410" s="279"/>
      <c r="DR410" s="52"/>
      <c r="DS410" s="105"/>
      <c r="DT410" s="98"/>
      <c r="DU410" s="279"/>
      <c r="DV410" s="52"/>
      <c r="DW410" s="105"/>
      <c r="DX410" s="98"/>
      <c r="DY410" s="279"/>
      <c r="DZ410" s="52"/>
      <c r="EA410" s="105"/>
      <c r="EB410" s="98"/>
      <c r="EC410" s="279"/>
      <c r="ED410" s="52"/>
      <c r="EE410" s="105"/>
      <c r="EF410" s="98"/>
      <c r="EG410" s="159"/>
      <c r="EH410" s="277"/>
      <c r="EI410" s="50">
        <f t="shared" si="174"/>
        <v>0</v>
      </c>
      <c r="EJ410" s="103">
        <f t="shared" si="175"/>
        <v>0</v>
      </c>
      <c r="EK410" s="164">
        <f t="shared" si="176"/>
        <v>0</v>
      </c>
      <c r="EL410" s="280">
        <f t="shared" si="177"/>
        <v>0</v>
      </c>
      <c r="EM410" s="63">
        <f t="shared" si="178"/>
        <v>0</v>
      </c>
      <c r="EN410" s="359">
        <f t="shared" si="179"/>
        <v>0</v>
      </c>
      <c r="EO410" s="51">
        <f t="shared" si="180"/>
        <v>261</v>
      </c>
      <c r="EP410" s="361">
        <f t="shared" si="181"/>
        <v>265</v>
      </c>
      <c r="EQ410" s="281"/>
      <c r="ER410" s="277"/>
      <c r="ES410" s="281"/>
      <c r="ET410" s="277"/>
      <c r="EU410" s="281"/>
      <c r="EV410" s="277"/>
      <c r="EW410" s="281"/>
      <c r="EX410" s="277"/>
      <c r="EY410" s="281"/>
      <c r="EZ410" s="277"/>
      <c r="FA410" s="281">
        <v>27</v>
      </c>
      <c r="FB410" s="277">
        <v>26</v>
      </c>
      <c r="FC410" s="281"/>
      <c r="FD410" s="277"/>
      <c r="FE410" s="281"/>
      <c r="FF410" s="277"/>
      <c r="FG410" s="281"/>
      <c r="FH410" s="277"/>
      <c r="FI410" s="281"/>
      <c r="FJ410" s="277"/>
      <c r="FK410" s="50">
        <f t="shared" si="182"/>
        <v>27</v>
      </c>
      <c r="FL410" s="63">
        <f t="shared" si="183"/>
        <v>26</v>
      </c>
      <c r="FM410" s="50">
        <f t="shared" si="165"/>
        <v>1814</v>
      </c>
      <c r="FN410" s="360">
        <f t="shared" si="166"/>
        <v>1827</v>
      </c>
      <c r="FO410" s="3"/>
      <c r="FP410" s="279"/>
      <c r="FQ410" s="52"/>
      <c r="FR410" s="296"/>
      <c r="FS410" s="98"/>
      <c r="FT410" s="467"/>
      <c r="FU410" s="52"/>
      <c r="FV410" s="296"/>
      <c r="FW410" s="98"/>
      <c r="FX410" s="467"/>
      <c r="FY410" s="52"/>
      <c r="FZ410" s="296"/>
      <c r="GA410" s="98"/>
      <c r="GB410" s="467"/>
      <c r="GC410" s="52"/>
      <c r="GD410" s="296"/>
      <c r="GE410" s="98"/>
      <c r="GF410" s="467"/>
      <c r="GG410" s="52"/>
      <c r="GH410" s="296"/>
      <c r="GI410" s="98"/>
      <c r="GJ410" s="467"/>
      <c r="GK410" s="52"/>
      <c r="GL410" s="296"/>
      <c r="GM410" s="464"/>
      <c r="GN410" s="467"/>
      <c r="GO410" s="52"/>
      <c r="GP410" s="296"/>
      <c r="GQ410" s="464"/>
      <c r="GR410" s="467"/>
      <c r="GS410" s="52"/>
      <c r="GT410" s="296"/>
      <c r="GU410" s="464"/>
      <c r="GV410" s="467"/>
      <c r="GW410" s="52"/>
      <c r="GX410" s="296"/>
      <c r="GY410" s="464"/>
      <c r="GZ410" s="467"/>
      <c r="HA410" s="52"/>
      <c r="HB410" s="296"/>
      <c r="HC410" s="3"/>
    </row>
    <row r="411" spans="1:211" s="86" customFormat="1">
      <c r="A411" s="487" t="s">
        <v>31</v>
      </c>
      <c r="B411" s="303" t="s">
        <v>614</v>
      </c>
      <c r="C411" s="302">
        <v>206941</v>
      </c>
      <c r="D411" s="340">
        <v>3</v>
      </c>
      <c r="E411" s="460"/>
      <c r="F411" s="277"/>
      <c r="G411" s="158"/>
      <c r="H411" s="277"/>
      <c r="I411" s="158"/>
      <c r="J411" s="277"/>
      <c r="K411" s="160">
        <f t="shared" si="167"/>
        <v>0</v>
      </c>
      <c r="L411" s="161">
        <f t="shared" si="160"/>
        <v>0</v>
      </c>
      <c r="M411" s="54">
        <v>2199</v>
      </c>
      <c r="N411" s="55">
        <v>269</v>
      </c>
      <c r="O411" s="55"/>
      <c r="P411" s="55"/>
      <c r="Q411" s="162">
        <f t="shared" si="168"/>
        <v>269</v>
      </c>
      <c r="R411" s="277">
        <v>2320</v>
      </c>
      <c r="S411" s="277">
        <v>265</v>
      </c>
      <c r="T411" s="277"/>
      <c r="U411" s="277"/>
      <c r="V411" s="97">
        <f t="shared" si="169"/>
        <v>265</v>
      </c>
      <c r="W411" s="279"/>
      <c r="X411" s="52"/>
      <c r="Y411" s="99"/>
      <c r="Z411" s="53"/>
      <c r="AA411" s="228"/>
      <c r="AB411" s="52"/>
      <c r="AC411" s="99"/>
      <c r="AD411" s="53"/>
      <c r="AE411" s="228"/>
      <c r="AF411" s="52"/>
      <c r="AG411" s="99"/>
      <c r="AH411" s="53"/>
      <c r="AI411" s="228"/>
      <c r="AJ411" s="52"/>
      <c r="AK411" s="99"/>
      <c r="AL411" s="53"/>
      <c r="AM411" s="228"/>
      <c r="AN411" s="52"/>
      <c r="AO411" s="99"/>
      <c r="AP411" s="53"/>
      <c r="AQ411" s="50">
        <f t="shared" si="161"/>
        <v>0</v>
      </c>
      <c r="AR411" s="163">
        <f t="shared" si="162"/>
        <v>0.84511913912375092</v>
      </c>
      <c r="AS411" s="97">
        <f t="shared" si="163"/>
        <v>0</v>
      </c>
      <c r="AT411" s="278">
        <f t="shared" si="164"/>
        <v>0.84149437794704385</v>
      </c>
      <c r="AU411" s="528">
        <v>1</v>
      </c>
      <c r="AV411" s="277">
        <v>1</v>
      </c>
      <c r="AW411" s="279">
        <v>13</v>
      </c>
      <c r="AX411" s="52">
        <v>165</v>
      </c>
      <c r="AY411" s="105">
        <v>13</v>
      </c>
      <c r="AZ411" s="98">
        <v>207</v>
      </c>
      <c r="BA411" s="279">
        <v>52</v>
      </c>
      <c r="BB411" s="52">
        <v>69</v>
      </c>
      <c r="BC411" s="105">
        <v>52</v>
      </c>
      <c r="BD411" s="98">
        <v>51</v>
      </c>
      <c r="BE411" s="279">
        <v>42</v>
      </c>
      <c r="BF411" s="52">
        <v>38</v>
      </c>
      <c r="BG411" s="105">
        <v>24</v>
      </c>
      <c r="BH411" s="98">
        <v>34</v>
      </c>
      <c r="BI411" s="279">
        <v>51</v>
      </c>
      <c r="BJ411" s="52">
        <v>26</v>
      </c>
      <c r="BK411" s="105">
        <v>51</v>
      </c>
      <c r="BL411" s="98">
        <v>34</v>
      </c>
      <c r="BM411" s="279">
        <v>43</v>
      </c>
      <c r="BN411" s="52">
        <v>24</v>
      </c>
      <c r="BO411" s="105">
        <v>43</v>
      </c>
      <c r="BP411" s="98">
        <v>23</v>
      </c>
      <c r="BQ411" s="279">
        <v>23</v>
      </c>
      <c r="BR411" s="52">
        <v>17</v>
      </c>
      <c r="BS411" s="105">
        <v>50</v>
      </c>
      <c r="BT411" s="98">
        <v>19</v>
      </c>
      <c r="BU411" s="279">
        <v>26</v>
      </c>
      <c r="BV411" s="52">
        <v>17</v>
      </c>
      <c r="BW411" s="105">
        <v>26</v>
      </c>
      <c r="BX411" s="98">
        <v>17</v>
      </c>
      <c r="BY411" s="279">
        <v>19</v>
      </c>
      <c r="BZ411" s="52">
        <v>12</v>
      </c>
      <c r="CA411" s="105">
        <v>19</v>
      </c>
      <c r="CB411" s="98">
        <v>17</v>
      </c>
      <c r="CC411" s="279">
        <v>31</v>
      </c>
      <c r="CD411" s="52">
        <v>7</v>
      </c>
      <c r="CE411" s="105">
        <v>23</v>
      </c>
      <c r="CF411" s="98">
        <v>11</v>
      </c>
      <c r="CG411" s="279">
        <v>45</v>
      </c>
      <c r="CH411" s="52">
        <v>7</v>
      </c>
      <c r="CI411" s="105">
        <v>31</v>
      </c>
      <c r="CJ411" s="98">
        <v>8</v>
      </c>
      <c r="CK411" s="281"/>
      <c r="CL411" s="277"/>
      <c r="CM411" s="159">
        <v>20</v>
      </c>
      <c r="CN411" s="277">
        <v>15</v>
      </c>
      <c r="CO411" s="50">
        <f t="shared" si="170"/>
        <v>402</v>
      </c>
      <c r="CP411" s="103">
        <f t="shared" si="171"/>
        <v>10</v>
      </c>
      <c r="CQ411" s="280">
        <f t="shared" si="172"/>
        <v>436</v>
      </c>
      <c r="CR411" s="63">
        <f t="shared" si="173"/>
        <v>10</v>
      </c>
      <c r="CS411" s="279"/>
      <c r="CT411" s="52"/>
      <c r="CU411" s="105"/>
      <c r="CV411" s="98"/>
      <c r="CW411" s="279"/>
      <c r="CX411" s="52"/>
      <c r="CY411" s="105"/>
      <c r="CZ411" s="98"/>
      <c r="DA411" s="279"/>
      <c r="DB411" s="52"/>
      <c r="DC411" s="105"/>
      <c r="DD411" s="98"/>
      <c r="DE411" s="279"/>
      <c r="DF411" s="52"/>
      <c r="DG411" s="105"/>
      <c r="DH411" s="98"/>
      <c r="DI411" s="279"/>
      <c r="DJ411" s="52"/>
      <c r="DK411" s="105"/>
      <c r="DL411" s="98"/>
      <c r="DM411" s="279"/>
      <c r="DN411" s="52"/>
      <c r="DO411" s="105"/>
      <c r="DP411" s="98"/>
      <c r="DQ411" s="279"/>
      <c r="DR411" s="52"/>
      <c r="DS411" s="105"/>
      <c r="DT411" s="98"/>
      <c r="DU411" s="279"/>
      <c r="DV411" s="52"/>
      <c r="DW411" s="105"/>
      <c r="DX411" s="98"/>
      <c r="DY411" s="279"/>
      <c r="DZ411" s="52"/>
      <c r="EA411" s="105"/>
      <c r="EB411" s="98"/>
      <c r="EC411" s="279"/>
      <c r="ED411" s="52"/>
      <c r="EE411" s="105"/>
      <c r="EF411" s="98"/>
      <c r="EG411" s="159"/>
      <c r="EH411" s="277"/>
      <c r="EI411" s="50">
        <f t="shared" si="174"/>
        <v>0</v>
      </c>
      <c r="EJ411" s="103">
        <f t="shared" si="175"/>
        <v>0</v>
      </c>
      <c r="EK411" s="164">
        <f t="shared" si="176"/>
        <v>0</v>
      </c>
      <c r="EL411" s="280">
        <f t="shared" si="177"/>
        <v>0</v>
      </c>
      <c r="EM411" s="63">
        <f t="shared" si="178"/>
        <v>0</v>
      </c>
      <c r="EN411" s="359">
        <f t="shared" si="179"/>
        <v>0</v>
      </c>
      <c r="EO411" s="51">
        <f t="shared" si="180"/>
        <v>402</v>
      </c>
      <c r="EP411" s="361">
        <f t="shared" si="181"/>
        <v>436</v>
      </c>
      <c r="EQ411" s="281"/>
      <c r="ER411" s="277"/>
      <c r="ES411" s="281"/>
      <c r="ET411" s="277"/>
      <c r="EU411" s="281"/>
      <c r="EV411" s="277"/>
      <c r="EW411" s="281"/>
      <c r="EX411" s="277"/>
      <c r="EY411" s="281"/>
      <c r="EZ411" s="277"/>
      <c r="FA411" s="281"/>
      <c r="FB411" s="277"/>
      <c r="FC411" s="281"/>
      <c r="FD411" s="277"/>
      <c r="FE411" s="281"/>
      <c r="FF411" s="277"/>
      <c r="FG411" s="281"/>
      <c r="FH411" s="277"/>
      <c r="FI411" s="281"/>
      <c r="FJ411" s="277"/>
      <c r="FK411" s="50">
        <f t="shared" si="182"/>
        <v>0</v>
      </c>
      <c r="FL411" s="63">
        <f t="shared" si="183"/>
        <v>0</v>
      </c>
      <c r="FM411" s="50">
        <f t="shared" si="165"/>
        <v>2602</v>
      </c>
      <c r="FN411" s="360">
        <f t="shared" si="166"/>
        <v>2757</v>
      </c>
      <c r="FO411" s="3"/>
      <c r="FP411" s="279"/>
      <c r="FQ411" s="52"/>
      <c r="FR411" s="296"/>
      <c r="FS411" s="98"/>
      <c r="FT411" s="467"/>
      <c r="FU411" s="52"/>
      <c r="FV411" s="296"/>
      <c r="FW411" s="98"/>
      <c r="FX411" s="467"/>
      <c r="FY411" s="52"/>
      <c r="FZ411" s="296"/>
      <c r="GA411" s="98"/>
      <c r="GB411" s="467"/>
      <c r="GC411" s="52"/>
      <c r="GD411" s="296"/>
      <c r="GE411" s="98"/>
      <c r="GF411" s="467"/>
      <c r="GG411" s="52"/>
      <c r="GH411" s="296"/>
      <c r="GI411" s="98"/>
      <c r="GJ411" s="467"/>
      <c r="GK411" s="52"/>
      <c r="GL411" s="296"/>
      <c r="GM411" s="464"/>
      <c r="GN411" s="467"/>
      <c r="GO411" s="52"/>
      <c r="GP411" s="296"/>
      <c r="GQ411" s="464"/>
      <c r="GR411" s="467"/>
      <c r="GS411" s="52"/>
      <c r="GT411" s="296"/>
      <c r="GU411" s="464"/>
      <c r="GV411" s="467"/>
      <c r="GW411" s="52"/>
      <c r="GX411" s="296"/>
      <c r="GY411" s="464"/>
      <c r="GZ411" s="467"/>
      <c r="HA411" s="52"/>
      <c r="HB411" s="296"/>
      <c r="HC411" s="3"/>
    </row>
    <row r="412" spans="1:211" s="86" customFormat="1">
      <c r="A412" s="487" t="s">
        <v>31</v>
      </c>
      <c r="B412" s="303" t="s">
        <v>615</v>
      </c>
      <c r="C412" s="302">
        <v>206914</v>
      </c>
      <c r="D412" s="340">
        <v>5</v>
      </c>
      <c r="E412" s="460"/>
      <c r="F412" s="277"/>
      <c r="G412" s="158"/>
      <c r="H412" s="277"/>
      <c r="I412" s="158">
        <v>191</v>
      </c>
      <c r="J412" s="277">
        <v>186</v>
      </c>
      <c r="K412" s="160">
        <f t="shared" si="167"/>
        <v>0.36242884250474383</v>
      </c>
      <c r="L412" s="161">
        <f t="shared" si="160"/>
        <v>0.34508348794063082</v>
      </c>
      <c r="M412" s="54">
        <v>527</v>
      </c>
      <c r="N412" s="55">
        <v>82</v>
      </c>
      <c r="O412" s="55"/>
      <c r="P412" s="55"/>
      <c r="Q412" s="162">
        <f t="shared" si="168"/>
        <v>82</v>
      </c>
      <c r="R412" s="277">
        <v>539</v>
      </c>
      <c r="S412" s="277">
        <v>101</v>
      </c>
      <c r="T412" s="277"/>
      <c r="U412" s="277"/>
      <c r="V412" s="97">
        <f t="shared" si="169"/>
        <v>101</v>
      </c>
      <c r="W412" s="279"/>
      <c r="X412" s="52"/>
      <c r="Y412" s="99"/>
      <c r="Z412" s="53"/>
      <c r="AA412" s="228"/>
      <c r="AB412" s="52"/>
      <c r="AC412" s="99"/>
      <c r="AD412" s="53"/>
      <c r="AE412" s="228"/>
      <c r="AF412" s="52"/>
      <c r="AG412" s="99"/>
      <c r="AH412" s="53"/>
      <c r="AI412" s="228"/>
      <c r="AJ412" s="52"/>
      <c r="AK412" s="99"/>
      <c r="AL412" s="53"/>
      <c r="AM412" s="228"/>
      <c r="AN412" s="52"/>
      <c r="AO412" s="99"/>
      <c r="AP412" s="53"/>
      <c r="AQ412" s="50">
        <f t="shared" si="161"/>
        <v>0</v>
      </c>
      <c r="AR412" s="163">
        <f t="shared" si="162"/>
        <v>0.64268292682926831</v>
      </c>
      <c r="AS412" s="97">
        <f t="shared" si="163"/>
        <v>0</v>
      </c>
      <c r="AT412" s="278">
        <f t="shared" si="164"/>
        <v>0.65731707317073174</v>
      </c>
      <c r="AU412" s="55"/>
      <c r="AV412" s="277"/>
      <c r="AW412" s="279">
        <v>13</v>
      </c>
      <c r="AX412" s="52">
        <v>51</v>
      </c>
      <c r="AY412" s="105">
        <v>13</v>
      </c>
      <c r="AZ412" s="98">
        <v>39</v>
      </c>
      <c r="BA412" s="279">
        <v>42</v>
      </c>
      <c r="BB412" s="52">
        <v>32</v>
      </c>
      <c r="BC412" s="105">
        <v>42</v>
      </c>
      <c r="BD412" s="98">
        <v>35</v>
      </c>
      <c r="BE412" s="279">
        <v>52</v>
      </c>
      <c r="BF412" s="52">
        <v>18</v>
      </c>
      <c r="BG412" s="105">
        <v>52</v>
      </c>
      <c r="BH412" s="98">
        <v>21</v>
      </c>
      <c r="BI412" s="279">
        <v>24</v>
      </c>
      <c r="BJ412" s="52">
        <v>1</v>
      </c>
      <c r="BK412" s="105"/>
      <c r="BL412" s="98"/>
      <c r="BM412" s="279"/>
      <c r="BN412" s="52"/>
      <c r="BO412" s="105"/>
      <c r="BP412" s="98"/>
      <c r="BQ412" s="279"/>
      <c r="BR412" s="52"/>
      <c r="BS412" s="105"/>
      <c r="BT412" s="98"/>
      <c r="BU412" s="279"/>
      <c r="BV412" s="52"/>
      <c r="BW412" s="105"/>
      <c r="BX412" s="98"/>
      <c r="BY412" s="279"/>
      <c r="BZ412" s="52"/>
      <c r="CA412" s="105"/>
      <c r="CB412" s="98"/>
      <c r="CC412" s="279"/>
      <c r="CD412" s="52"/>
      <c r="CE412" s="105"/>
      <c r="CF412" s="98"/>
      <c r="CG412" s="279"/>
      <c r="CH412" s="52"/>
      <c r="CI412" s="105"/>
      <c r="CJ412" s="98"/>
      <c r="CK412" s="281"/>
      <c r="CL412" s="277"/>
      <c r="CM412" s="159"/>
      <c r="CN412" s="277"/>
      <c r="CO412" s="50">
        <f t="shared" si="170"/>
        <v>102</v>
      </c>
      <c r="CP412" s="103">
        <f t="shared" si="171"/>
        <v>4</v>
      </c>
      <c r="CQ412" s="280">
        <f t="shared" si="172"/>
        <v>95</v>
      </c>
      <c r="CR412" s="63">
        <f t="shared" si="173"/>
        <v>3</v>
      </c>
      <c r="CS412" s="279"/>
      <c r="CT412" s="52"/>
      <c r="CU412" s="105"/>
      <c r="CV412" s="98"/>
      <c r="CW412" s="279"/>
      <c r="CX412" s="52"/>
      <c r="CY412" s="105"/>
      <c r="CZ412" s="98"/>
      <c r="DA412" s="279"/>
      <c r="DB412" s="52"/>
      <c r="DC412" s="105"/>
      <c r="DD412" s="98"/>
      <c r="DE412" s="279"/>
      <c r="DF412" s="52"/>
      <c r="DG412" s="105"/>
      <c r="DH412" s="98"/>
      <c r="DI412" s="279"/>
      <c r="DJ412" s="52"/>
      <c r="DK412" s="105"/>
      <c r="DL412" s="98"/>
      <c r="DM412" s="279"/>
      <c r="DN412" s="52"/>
      <c r="DO412" s="105"/>
      <c r="DP412" s="98"/>
      <c r="DQ412" s="279"/>
      <c r="DR412" s="52"/>
      <c r="DS412" s="105"/>
      <c r="DT412" s="98"/>
      <c r="DU412" s="279"/>
      <c r="DV412" s="52"/>
      <c r="DW412" s="105"/>
      <c r="DX412" s="98"/>
      <c r="DY412" s="279"/>
      <c r="DZ412" s="52"/>
      <c r="EA412" s="105"/>
      <c r="EB412" s="98"/>
      <c r="EC412" s="279"/>
      <c r="ED412" s="52"/>
      <c r="EE412" s="105"/>
      <c r="EF412" s="98"/>
      <c r="EG412" s="159"/>
      <c r="EH412" s="277"/>
      <c r="EI412" s="50">
        <f t="shared" si="174"/>
        <v>0</v>
      </c>
      <c r="EJ412" s="103">
        <f t="shared" si="175"/>
        <v>0</v>
      </c>
      <c r="EK412" s="164">
        <f t="shared" si="176"/>
        <v>0</v>
      </c>
      <c r="EL412" s="280">
        <f t="shared" si="177"/>
        <v>0</v>
      </c>
      <c r="EM412" s="63">
        <f t="shared" si="178"/>
        <v>0</v>
      </c>
      <c r="EN412" s="359">
        <f t="shared" si="179"/>
        <v>0</v>
      </c>
      <c r="EO412" s="51">
        <f t="shared" si="180"/>
        <v>102</v>
      </c>
      <c r="EP412" s="361">
        <f t="shared" si="181"/>
        <v>95</v>
      </c>
      <c r="EQ412" s="281"/>
      <c r="ER412" s="277"/>
      <c r="ES412" s="281"/>
      <c r="ET412" s="277"/>
      <c r="EU412" s="281"/>
      <c r="EV412" s="277"/>
      <c r="EW412" s="281"/>
      <c r="EX412" s="277"/>
      <c r="EY412" s="281"/>
      <c r="EZ412" s="277"/>
      <c r="FA412" s="281"/>
      <c r="FB412" s="277"/>
      <c r="FC412" s="281"/>
      <c r="FD412" s="277"/>
      <c r="FE412" s="281"/>
      <c r="FF412" s="277"/>
      <c r="FG412" s="281"/>
      <c r="FH412" s="277"/>
      <c r="FI412" s="281"/>
      <c r="FJ412" s="277"/>
      <c r="FK412" s="50">
        <f t="shared" si="182"/>
        <v>0</v>
      </c>
      <c r="FL412" s="63">
        <f t="shared" si="183"/>
        <v>0</v>
      </c>
      <c r="FM412" s="50">
        <f t="shared" si="165"/>
        <v>820</v>
      </c>
      <c r="FN412" s="360">
        <f t="shared" si="166"/>
        <v>820</v>
      </c>
      <c r="FO412" s="3"/>
      <c r="FP412" s="279"/>
      <c r="FQ412" s="52"/>
      <c r="FR412" s="296"/>
      <c r="FS412" s="98"/>
      <c r="FT412" s="467"/>
      <c r="FU412" s="52"/>
      <c r="FV412" s="296"/>
      <c r="FW412" s="98"/>
      <c r="FX412" s="467"/>
      <c r="FY412" s="52"/>
      <c r="FZ412" s="296"/>
      <c r="GA412" s="98"/>
      <c r="GB412" s="467"/>
      <c r="GC412" s="52"/>
      <c r="GD412" s="296"/>
      <c r="GE412" s="98"/>
      <c r="GF412" s="467"/>
      <c r="GG412" s="52"/>
      <c r="GH412" s="296"/>
      <c r="GI412" s="98"/>
      <c r="GJ412" s="467"/>
      <c r="GK412" s="52"/>
      <c r="GL412" s="296"/>
      <c r="GM412" s="464"/>
      <c r="GN412" s="467"/>
      <c r="GO412" s="52"/>
      <c r="GP412" s="296"/>
      <c r="GQ412" s="464"/>
      <c r="GR412" s="467"/>
      <c r="GS412" s="52"/>
      <c r="GT412" s="296"/>
      <c r="GU412" s="464"/>
      <c r="GV412" s="467"/>
      <c r="GW412" s="52"/>
      <c r="GX412" s="296"/>
      <c r="GY412" s="464"/>
      <c r="GZ412" s="467"/>
      <c r="HA412" s="52"/>
      <c r="HB412" s="296"/>
      <c r="HC412" s="3"/>
    </row>
    <row r="413" spans="1:211" s="86" customFormat="1">
      <c r="A413" s="487" t="s">
        <v>31</v>
      </c>
      <c r="B413" s="303" t="s">
        <v>616</v>
      </c>
      <c r="C413" s="302">
        <v>207041</v>
      </c>
      <c r="D413" s="340">
        <v>5</v>
      </c>
      <c r="E413" s="460"/>
      <c r="F413" s="277"/>
      <c r="G413" s="158"/>
      <c r="H413" s="277"/>
      <c r="I413" s="158"/>
      <c r="J413" s="277"/>
      <c r="K413" s="160">
        <f t="shared" si="167"/>
        <v>0</v>
      </c>
      <c r="L413" s="161">
        <f t="shared" si="160"/>
        <v>0</v>
      </c>
      <c r="M413" s="54">
        <v>654</v>
      </c>
      <c r="N413" s="55">
        <v>105</v>
      </c>
      <c r="O413" s="55"/>
      <c r="P413" s="55"/>
      <c r="Q413" s="162">
        <f t="shared" si="168"/>
        <v>105</v>
      </c>
      <c r="R413" s="277">
        <v>669</v>
      </c>
      <c r="S413" s="277">
        <v>97</v>
      </c>
      <c r="T413" s="277"/>
      <c r="U413" s="277"/>
      <c r="V413" s="97">
        <f t="shared" si="169"/>
        <v>97</v>
      </c>
      <c r="W413" s="279"/>
      <c r="X413" s="52"/>
      <c r="Y413" s="99"/>
      <c r="Z413" s="53"/>
      <c r="AA413" s="228"/>
      <c r="AB413" s="52"/>
      <c r="AC413" s="99"/>
      <c r="AD413" s="53"/>
      <c r="AE413" s="228"/>
      <c r="AF413" s="52"/>
      <c r="AG413" s="99"/>
      <c r="AH413" s="53"/>
      <c r="AI413" s="228"/>
      <c r="AJ413" s="52"/>
      <c r="AK413" s="99"/>
      <c r="AL413" s="53"/>
      <c r="AM413" s="228"/>
      <c r="AN413" s="52"/>
      <c r="AO413" s="99"/>
      <c r="AP413" s="53"/>
      <c r="AQ413" s="50">
        <f t="shared" si="161"/>
        <v>0</v>
      </c>
      <c r="AR413" s="163">
        <f t="shared" si="162"/>
        <v>0.70932754880694138</v>
      </c>
      <c r="AS413" s="97">
        <f t="shared" si="163"/>
        <v>0</v>
      </c>
      <c r="AT413" s="278">
        <f t="shared" si="164"/>
        <v>0.68126272912423624</v>
      </c>
      <c r="AU413" s="55"/>
      <c r="AV413" s="277"/>
      <c r="AW413" s="279">
        <v>13</v>
      </c>
      <c r="AX413" s="52">
        <v>205</v>
      </c>
      <c r="AY413" s="105">
        <v>13</v>
      </c>
      <c r="AZ413" s="98">
        <v>247</v>
      </c>
      <c r="BA413" s="279">
        <v>44</v>
      </c>
      <c r="BB413" s="52">
        <v>56</v>
      </c>
      <c r="BC413" s="105">
        <v>44</v>
      </c>
      <c r="BD413" s="98">
        <v>64</v>
      </c>
      <c r="BE413" s="279">
        <v>42</v>
      </c>
      <c r="BF413" s="52">
        <v>7</v>
      </c>
      <c r="BG413" s="105">
        <v>42</v>
      </c>
      <c r="BH413" s="98">
        <v>2</v>
      </c>
      <c r="BI413" s="279"/>
      <c r="BJ413" s="52"/>
      <c r="BK413" s="105"/>
      <c r="BL413" s="98"/>
      <c r="BM413" s="279"/>
      <c r="BN413" s="52"/>
      <c r="BO413" s="105"/>
      <c r="BP413" s="98"/>
      <c r="BQ413" s="279"/>
      <c r="BR413" s="52"/>
      <c r="BS413" s="105"/>
      <c r="BT413" s="98"/>
      <c r="BU413" s="279"/>
      <c r="BV413" s="52"/>
      <c r="BW413" s="105"/>
      <c r="BX413" s="98"/>
      <c r="BY413" s="279"/>
      <c r="BZ413" s="52"/>
      <c r="CA413" s="105"/>
      <c r="CB413" s="98"/>
      <c r="CC413" s="279"/>
      <c r="CD413" s="52"/>
      <c r="CE413" s="105"/>
      <c r="CF413" s="98"/>
      <c r="CG413" s="279"/>
      <c r="CH413" s="52"/>
      <c r="CI413" s="105"/>
      <c r="CJ413" s="98"/>
      <c r="CK413" s="281"/>
      <c r="CL413" s="277"/>
      <c r="CM413" s="159"/>
      <c r="CN413" s="277"/>
      <c r="CO413" s="50">
        <f t="shared" si="170"/>
        <v>268</v>
      </c>
      <c r="CP413" s="103">
        <f t="shared" si="171"/>
        <v>3</v>
      </c>
      <c r="CQ413" s="280">
        <f t="shared" si="172"/>
        <v>313</v>
      </c>
      <c r="CR413" s="63">
        <f t="shared" si="173"/>
        <v>3</v>
      </c>
      <c r="CS413" s="279"/>
      <c r="CT413" s="52"/>
      <c r="CU413" s="105"/>
      <c r="CV413" s="98"/>
      <c r="CW413" s="279"/>
      <c r="CX413" s="52"/>
      <c r="CY413" s="105"/>
      <c r="CZ413" s="98"/>
      <c r="DA413" s="279"/>
      <c r="DB413" s="52"/>
      <c r="DC413" s="105"/>
      <c r="DD413" s="98"/>
      <c r="DE413" s="279"/>
      <c r="DF413" s="52"/>
      <c r="DG413" s="105"/>
      <c r="DH413" s="98"/>
      <c r="DI413" s="279"/>
      <c r="DJ413" s="52"/>
      <c r="DK413" s="105"/>
      <c r="DL413" s="98"/>
      <c r="DM413" s="279"/>
      <c r="DN413" s="52"/>
      <c r="DO413" s="105"/>
      <c r="DP413" s="98"/>
      <c r="DQ413" s="279"/>
      <c r="DR413" s="52"/>
      <c r="DS413" s="105"/>
      <c r="DT413" s="98"/>
      <c r="DU413" s="279"/>
      <c r="DV413" s="52"/>
      <c r="DW413" s="105"/>
      <c r="DX413" s="98"/>
      <c r="DY413" s="279"/>
      <c r="DZ413" s="52"/>
      <c r="EA413" s="105"/>
      <c r="EB413" s="98"/>
      <c r="EC413" s="279"/>
      <c r="ED413" s="52"/>
      <c r="EE413" s="105"/>
      <c r="EF413" s="98"/>
      <c r="EG413" s="159"/>
      <c r="EH413" s="277"/>
      <c r="EI413" s="50">
        <f t="shared" si="174"/>
        <v>0</v>
      </c>
      <c r="EJ413" s="103">
        <f t="shared" si="175"/>
        <v>0</v>
      </c>
      <c r="EK413" s="164">
        <f t="shared" si="176"/>
        <v>0</v>
      </c>
      <c r="EL413" s="280">
        <f t="shared" si="177"/>
        <v>0</v>
      </c>
      <c r="EM413" s="63">
        <f t="shared" si="178"/>
        <v>0</v>
      </c>
      <c r="EN413" s="359">
        <f t="shared" si="179"/>
        <v>0</v>
      </c>
      <c r="EO413" s="51">
        <f t="shared" si="180"/>
        <v>268</v>
      </c>
      <c r="EP413" s="361">
        <f t="shared" si="181"/>
        <v>313</v>
      </c>
      <c r="EQ413" s="281"/>
      <c r="ER413" s="277"/>
      <c r="ES413" s="281"/>
      <c r="ET413" s="277"/>
      <c r="EU413" s="281"/>
      <c r="EV413" s="277"/>
      <c r="EW413" s="281"/>
      <c r="EX413" s="277"/>
      <c r="EY413" s="281"/>
      <c r="EZ413" s="277"/>
      <c r="FA413" s="281"/>
      <c r="FB413" s="277"/>
      <c r="FC413" s="281"/>
      <c r="FD413" s="277"/>
      <c r="FE413" s="281"/>
      <c r="FF413" s="277"/>
      <c r="FG413" s="281"/>
      <c r="FH413" s="277"/>
      <c r="FI413" s="281"/>
      <c r="FJ413" s="277"/>
      <c r="FK413" s="50">
        <f t="shared" si="182"/>
        <v>0</v>
      </c>
      <c r="FL413" s="63">
        <f t="shared" si="183"/>
        <v>0</v>
      </c>
      <c r="FM413" s="50">
        <f t="shared" si="165"/>
        <v>922</v>
      </c>
      <c r="FN413" s="360">
        <f t="shared" si="166"/>
        <v>982</v>
      </c>
      <c r="FO413" s="3"/>
      <c r="FP413" s="279"/>
      <c r="FQ413" s="52"/>
      <c r="FR413" s="296"/>
      <c r="FS413" s="98"/>
      <c r="FT413" s="467"/>
      <c r="FU413" s="52"/>
      <c r="FV413" s="296"/>
      <c r="FW413" s="98"/>
      <c r="FX413" s="467"/>
      <c r="FY413" s="52"/>
      <c r="FZ413" s="296"/>
      <c r="GA413" s="98"/>
      <c r="GB413" s="467"/>
      <c r="GC413" s="52"/>
      <c r="GD413" s="296"/>
      <c r="GE413" s="98"/>
      <c r="GF413" s="467"/>
      <c r="GG413" s="52"/>
      <c r="GH413" s="296"/>
      <c r="GI413" s="98"/>
      <c r="GJ413" s="467"/>
      <c r="GK413" s="52"/>
      <c r="GL413" s="296"/>
      <c r="GM413" s="464"/>
      <c r="GN413" s="467"/>
      <c r="GO413" s="52"/>
      <c r="GP413" s="296"/>
      <c r="GQ413" s="464"/>
      <c r="GR413" s="467"/>
      <c r="GS413" s="52"/>
      <c r="GT413" s="296"/>
      <c r="GU413" s="464"/>
      <c r="GV413" s="467"/>
      <c r="GW413" s="52"/>
      <c r="GX413" s="296"/>
      <c r="GY413" s="464"/>
      <c r="GZ413" s="467"/>
      <c r="HA413" s="52"/>
      <c r="HB413" s="296"/>
      <c r="HC413" s="3"/>
    </row>
    <row r="414" spans="1:211" s="86" customFormat="1">
      <c r="A414" s="487" t="s">
        <v>31</v>
      </c>
      <c r="B414" s="303" t="s">
        <v>617</v>
      </c>
      <c r="C414" s="302">
        <v>207209</v>
      </c>
      <c r="D414" s="340">
        <v>5</v>
      </c>
      <c r="E414" s="460"/>
      <c r="F414" s="277"/>
      <c r="G414" s="158"/>
      <c r="H414" s="277"/>
      <c r="I414" s="158">
        <v>9</v>
      </c>
      <c r="J414" s="277">
        <v>12</v>
      </c>
      <c r="K414" s="160">
        <f t="shared" si="167"/>
        <v>2.9508196721311476E-2</v>
      </c>
      <c r="L414" s="161">
        <f t="shared" si="160"/>
        <v>3.6036036036036036E-2</v>
      </c>
      <c r="M414" s="54">
        <v>305</v>
      </c>
      <c r="N414" s="55">
        <v>19</v>
      </c>
      <c r="O414" s="55"/>
      <c r="P414" s="55"/>
      <c r="Q414" s="162">
        <f t="shared" si="168"/>
        <v>19</v>
      </c>
      <c r="R414" s="277">
        <v>333</v>
      </c>
      <c r="S414" s="277">
        <v>26</v>
      </c>
      <c r="T414" s="277"/>
      <c r="U414" s="277"/>
      <c r="V414" s="97">
        <f t="shared" si="169"/>
        <v>26</v>
      </c>
      <c r="W414" s="279"/>
      <c r="X414" s="52"/>
      <c r="Y414" s="99"/>
      <c r="Z414" s="53"/>
      <c r="AA414" s="228"/>
      <c r="AB414" s="52"/>
      <c r="AC414" s="99"/>
      <c r="AD414" s="53"/>
      <c r="AE414" s="228"/>
      <c r="AF414" s="52"/>
      <c r="AG414" s="99"/>
      <c r="AH414" s="53"/>
      <c r="AI414" s="228"/>
      <c r="AJ414" s="52"/>
      <c r="AK414" s="99"/>
      <c r="AL414" s="53"/>
      <c r="AM414" s="228"/>
      <c r="AN414" s="52"/>
      <c r="AO414" s="99"/>
      <c r="AP414" s="53"/>
      <c r="AQ414" s="50">
        <f t="shared" si="161"/>
        <v>0</v>
      </c>
      <c r="AR414" s="163">
        <f t="shared" si="162"/>
        <v>0.87142857142857144</v>
      </c>
      <c r="AS414" s="97">
        <f t="shared" si="163"/>
        <v>0</v>
      </c>
      <c r="AT414" s="278">
        <f t="shared" si="164"/>
        <v>0.78169014084507038</v>
      </c>
      <c r="AU414" s="55"/>
      <c r="AV414" s="277"/>
      <c r="AW414" s="279">
        <v>13</v>
      </c>
      <c r="AX414" s="52">
        <v>18</v>
      </c>
      <c r="AY414" s="105">
        <v>51</v>
      </c>
      <c r="AZ414" s="98">
        <v>45</v>
      </c>
      <c r="BA414" s="279">
        <v>51</v>
      </c>
      <c r="BB414" s="52">
        <v>18</v>
      </c>
      <c r="BC414" s="105">
        <v>13</v>
      </c>
      <c r="BD414" s="98">
        <v>20</v>
      </c>
      <c r="BE414" s="279"/>
      <c r="BF414" s="52"/>
      <c r="BG414" s="105">
        <v>52</v>
      </c>
      <c r="BH414" s="98">
        <v>5</v>
      </c>
      <c r="BI414" s="279"/>
      <c r="BJ414" s="52"/>
      <c r="BK414" s="105"/>
      <c r="BL414" s="98"/>
      <c r="BM414" s="279"/>
      <c r="BN414" s="52"/>
      <c r="BO414" s="105"/>
      <c r="BP414" s="98"/>
      <c r="BQ414" s="279"/>
      <c r="BR414" s="52"/>
      <c r="BS414" s="105"/>
      <c r="BT414" s="98"/>
      <c r="BU414" s="279"/>
      <c r="BV414" s="52"/>
      <c r="BW414" s="105"/>
      <c r="BX414" s="98"/>
      <c r="BY414" s="279"/>
      <c r="BZ414" s="52"/>
      <c r="CA414" s="105"/>
      <c r="CB414" s="98"/>
      <c r="CC414" s="279"/>
      <c r="CD414" s="52"/>
      <c r="CE414" s="105"/>
      <c r="CF414" s="98"/>
      <c r="CG414" s="279"/>
      <c r="CH414" s="52"/>
      <c r="CI414" s="105"/>
      <c r="CJ414" s="98"/>
      <c r="CK414" s="281"/>
      <c r="CL414" s="277"/>
      <c r="CM414" s="159"/>
      <c r="CN414" s="277"/>
      <c r="CO414" s="50">
        <f t="shared" si="170"/>
        <v>36</v>
      </c>
      <c r="CP414" s="103">
        <f t="shared" si="171"/>
        <v>2</v>
      </c>
      <c r="CQ414" s="280">
        <f t="shared" si="172"/>
        <v>70</v>
      </c>
      <c r="CR414" s="63">
        <f t="shared" si="173"/>
        <v>3</v>
      </c>
      <c r="CS414" s="279"/>
      <c r="CT414" s="52"/>
      <c r="CU414" s="105"/>
      <c r="CV414" s="98"/>
      <c r="CW414" s="279"/>
      <c r="CX414" s="52"/>
      <c r="CY414" s="105"/>
      <c r="CZ414" s="98"/>
      <c r="DA414" s="279"/>
      <c r="DB414" s="52"/>
      <c r="DC414" s="105"/>
      <c r="DD414" s="98"/>
      <c r="DE414" s="279"/>
      <c r="DF414" s="52"/>
      <c r="DG414" s="105"/>
      <c r="DH414" s="98"/>
      <c r="DI414" s="279"/>
      <c r="DJ414" s="52"/>
      <c r="DK414" s="105"/>
      <c r="DL414" s="98"/>
      <c r="DM414" s="279"/>
      <c r="DN414" s="52"/>
      <c r="DO414" s="105"/>
      <c r="DP414" s="98"/>
      <c r="DQ414" s="279"/>
      <c r="DR414" s="52"/>
      <c r="DS414" s="105"/>
      <c r="DT414" s="98"/>
      <c r="DU414" s="279"/>
      <c r="DV414" s="52"/>
      <c r="DW414" s="105"/>
      <c r="DX414" s="98"/>
      <c r="DY414" s="279"/>
      <c r="DZ414" s="52"/>
      <c r="EA414" s="105"/>
      <c r="EB414" s="98"/>
      <c r="EC414" s="279"/>
      <c r="ED414" s="52"/>
      <c r="EE414" s="105"/>
      <c r="EF414" s="98"/>
      <c r="EG414" s="159"/>
      <c r="EH414" s="277"/>
      <c r="EI414" s="50">
        <f t="shared" si="174"/>
        <v>0</v>
      </c>
      <c r="EJ414" s="103">
        <f t="shared" si="175"/>
        <v>0</v>
      </c>
      <c r="EK414" s="164">
        <f t="shared" si="176"/>
        <v>0</v>
      </c>
      <c r="EL414" s="280">
        <f t="shared" si="177"/>
        <v>0</v>
      </c>
      <c r="EM414" s="63">
        <f t="shared" si="178"/>
        <v>0</v>
      </c>
      <c r="EN414" s="359">
        <f t="shared" si="179"/>
        <v>0</v>
      </c>
      <c r="EO414" s="51">
        <f t="shared" si="180"/>
        <v>36</v>
      </c>
      <c r="EP414" s="361">
        <f t="shared" si="181"/>
        <v>70</v>
      </c>
      <c r="EQ414" s="281"/>
      <c r="ER414" s="277"/>
      <c r="ES414" s="281"/>
      <c r="ET414" s="277"/>
      <c r="EU414" s="281"/>
      <c r="EV414" s="277"/>
      <c r="EW414" s="281"/>
      <c r="EX414" s="277"/>
      <c r="EY414" s="281"/>
      <c r="EZ414" s="277"/>
      <c r="FA414" s="281"/>
      <c r="FB414" s="277"/>
      <c r="FC414" s="281"/>
      <c r="FD414" s="277"/>
      <c r="FE414" s="281"/>
      <c r="FF414" s="277"/>
      <c r="FG414" s="281"/>
      <c r="FH414" s="277"/>
      <c r="FI414" s="529"/>
      <c r="FJ414" s="277">
        <v>11</v>
      </c>
      <c r="FK414" s="50">
        <f t="shared" si="182"/>
        <v>0</v>
      </c>
      <c r="FL414" s="63">
        <f t="shared" si="183"/>
        <v>11</v>
      </c>
      <c r="FM414" s="50">
        <f t="shared" si="165"/>
        <v>350</v>
      </c>
      <c r="FN414" s="360">
        <f t="shared" si="166"/>
        <v>426</v>
      </c>
      <c r="FO414" s="3"/>
      <c r="FP414" s="279"/>
      <c r="FQ414" s="52"/>
      <c r="FR414" s="296">
        <v>512308</v>
      </c>
      <c r="FS414" s="98">
        <v>11</v>
      </c>
      <c r="FT414" s="467"/>
      <c r="FU414" s="52"/>
      <c r="FV414" s="296"/>
      <c r="FW414" s="98"/>
      <c r="FX414" s="467"/>
      <c r="FY414" s="52"/>
      <c r="FZ414" s="296"/>
      <c r="GA414" s="98"/>
      <c r="GB414" s="467"/>
      <c r="GC414" s="52"/>
      <c r="GD414" s="296"/>
      <c r="GE414" s="98"/>
      <c r="GF414" s="467"/>
      <c r="GG414" s="52"/>
      <c r="GH414" s="296"/>
      <c r="GI414" s="98"/>
      <c r="GJ414" s="467"/>
      <c r="GK414" s="52"/>
      <c r="GL414" s="296"/>
      <c r="GM414" s="464"/>
      <c r="GN414" s="467"/>
      <c r="GO414" s="52"/>
      <c r="GP414" s="296"/>
      <c r="GQ414" s="464"/>
      <c r="GR414" s="467"/>
      <c r="GS414" s="52"/>
      <c r="GT414" s="296"/>
      <c r="GU414" s="464"/>
      <c r="GV414" s="467"/>
      <c r="GW414" s="52"/>
      <c r="GX414" s="296"/>
      <c r="GY414" s="464"/>
      <c r="GZ414" s="467"/>
      <c r="HA414" s="52"/>
      <c r="HB414" s="296"/>
      <c r="HC414" s="3"/>
    </row>
    <row r="415" spans="1:211" s="86" customFormat="1">
      <c r="A415" s="487" t="s">
        <v>31</v>
      </c>
      <c r="B415" s="303" t="s">
        <v>618</v>
      </c>
      <c r="C415" s="302">
        <v>207306</v>
      </c>
      <c r="D415" s="340">
        <v>5</v>
      </c>
      <c r="E415" s="460"/>
      <c r="F415" s="277"/>
      <c r="G415" s="158"/>
      <c r="H415" s="277"/>
      <c r="I415" s="158"/>
      <c r="J415" s="277"/>
      <c r="K415" s="160">
        <f t="shared" si="167"/>
        <v>0</v>
      </c>
      <c r="L415" s="161">
        <f t="shared" si="160"/>
        <v>0</v>
      </c>
      <c r="M415" s="54">
        <v>320</v>
      </c>
      <c r="N415" s="55">
        <v>77</v>
      </c>
      <c r="O415" s="55"/>
      <c r="P415" s="55"/>
      <c r="Q415" s="162">
        <f t="shared" si="168"/>
        <v>77</v>
      </c>
      <c r="R415" s="277">
        <v>340</v>
      </c>
      <c r="S415" s="277">
        <v>65</v>
      </c>
      <c r="T415" s="277"/>
      <c r="U415" s="277"/>
      <c r="V415" s="97">
        <f t="shared" si="169"/>
        <v>65</v>
      </c>
      <c r="W415" s="279"/>
      <c r="X415" s="52"/>
      <c r="Y415" s="99"/>
      <c r="Z415" s="53"/>
      <c r="AA415" s="228"/>
      <c r="AB415" s="52"/>
      <c r="AC415" s="99"/>
      <c r="AD415" s="53"/>
      <c r="AE415" s="228"/>
      <c r="AF415" s="52"/>
      <c r="AG415" s="99"/>
      <c r="AH415" s="53"/>
      <c r="AI415" s="228"/>
      <c r="AJ415" s="52"/>
      <c r="AK415" s="99"/>
      <c r="AL415" s="53"/>
      <c r="AM415" s="228"/>
      <c r="AN415" s="52"/>
      <c r="AO415" s="99"/>
      <c r="AP415" s="53"/>
      <c r="AQ415" s="50">
        <f t="shared" si="161"/>
        <v>0</v>
      </c>
      <c r="AR415" s="163">
        <f t="shared" si="162"/>
        <v>0.83769633507853403</v>
      </c>
      <c r="AS415" s="97">
        <f t="shared" si="163"/>
        <v>0</v>
      </c>
      <c r="AT415" s="278">
        <f t="shared" si="164"/>
        <v>0.85642317380352639</v>
      </c>
      <c r="AU415" s="55"/>
      <c r="AV415" s="277"/>
      <c r="AW415" s="279">
        <v>13</v>
      </c>
      <c r="AX415" s="52">
        <v>40</v>
      </c>
      <c r="AY415" s="105">
        <v>13</v>
      </c>
      <c r="AZ415" s="98">
        <v>35</v>
      </c>
      <c r="BA415" s="279">
        <v>42</v>
      </c>
      <c r="BB415" s="52">
        <v>22</v>
      </c>
      <c r="BC415" s="105">
        <v>42</v>
      </c>
      <c r="BD415" s="98">
        <v>22</v>
      </c>
      <c r="BE415" s="279"/>
      <c r="BF415" s="52"/>
      <c r="BG415" s="105"/>
      <c r="BH415" s="98"/>
      <c r="BI415" s="279"/>
      <c r="BJ415" s="52"/>
      <c r="BK415" s="105"/>
      <c r="BL415" s="98"/>
      <c r="BM415" s="279"/>
      <c r="BN415" s="52"/>
      <c r="BO415" s="105"/>
      <c r="BP415" s="98"/>
      <c r="BQ415" s="279"/>
      <c r="BR415" s="52"/>
      <c r="BS415" s="105"/>
      <c r="BT415" s="98"/>
      <c r="BU415" s="279"/>
      <c r="BV415" s="52"/>
      <c r="BW415" s="105"/>
      <c r="BX415" s="98"/>
      <c r="BY415" s="279"/>
      <c r="BZ415" s="52"/>
      <c r="CA415" s="105"/>
      <c r="CB415" s="98"/>
      <c r="CC415" s="279"/>
      <c r="CD415" s="52"/>
      <c r="CE415" s="105"/>
      <c r="CF415" s="98"/>
      <c r="CG415" s="279"/>
      <c r="CH415" s="52"/>
      <c r="CI415" s="105"/>
      <c r="CJ415" s="98"/>
      <c r="CK415" s="281"/>
      <c r="CL415" s="277"/>
      <c r="CM415" s="159"/>
      <c r="CN415" s="277"/>
      <c r="CO415" s="50">
        <f t="shared" si="170"/>
        <v>62</v>
      </c>
      <c r="CP415" s="103">
        <f t="shared" si="171"/>
        <v>2</v>
      </c>
      <c r="CQ415" s="280">
        <f t="shared" si="172"/>
        <v>57</v>
      </c>
      <c r="CR415" s="63">
        <f t="shared" si="173"/>
        <v>2</v>
      </c>
      <c r="CS415" s="279"/>
      <c r="CT415" s="52"/>
      <c r="CU415" s="105"/>
      <c r="CV415" s="98"/>
      <c r="CW415" s="279"/>
      <c r="CX415" s="52"/>
      <c r="CY415" s="105"/>
      <c r="CZ415" s="98"/>
      <c r="DA415" s="279"/>
      <c r="DB415" s="52"/>
      <c r="DC415" s="105"/>
      <c r="DD415" s="98"/>
      <c r="DE415" s="279"/>
      <c r="DF415" s="52"/>
      <c r="DG415" s="105"/>
      <c r="DH415" s="98"/>
      <c r="DI415" s="279"/>
      <c r="DJ415" s="52"/>
      <c r="DK415" s="105"/>
      <c r="DL415" s="98"/>
      <c r="DM415" s="279"/>
      <c r="DN415" s="52"/>
      <c r="DO415" s="105"/>
      <c r="DP415" s="98"/>
      <c r="DQ415" s="279"/>
      <c r="DR415" s="52"/>
      <c r="DS415" s="105"/>
      <c r="DT415" s="98"/>
      <c r="DU415" s="279"/>
      <c r="DV415" s="52"/>
      <c r="DW415" s="105"/>
      <c r="DX415" s="98"/>
      <c r="DY415" s="279"/>
      <c r="DZ415" s="52"/>
      <c r="EA415" s="105"/>
      <c r="EB415" s="98"/>
      <c r="EC415" s="279"/>
      <c r="ED415" s="52"/>
      <c r="EE415" s="105"/>
      <c r="EF415" s="98"/>
      <c r="EG415" s="159"/>
      <c r="EH415" s="277"/>
      <c r="EI415" s="50">
        <f t="shared" si="174"/>
        <v>0</v>
      </c>
      <c r="EJ415" s="103">
        <f t="shared" si="175"/>
        <v>0</v>
      </c>
      <c r="EK415" s="164">
        <f t="shared" si="176"/>
        <v>0</v>
      </c>
      <c r="EL415" s="280">
        <f t="shared" si="177"/>
        <v>0</v>
      </c>
      <c r="EM415" s="63">
        <f t="shared" si="178"/>
        <v>0</v>
      </c>
      <c r="EN415" s="359">
        <f t="shared" si="179"/>
        <v>0</v>
      </c>
      <c r="EO415" s="51">
        <f t="shared" si="180"/>
        <v>62</v>
      </c>
      <c r="EP415" s="361">
        <f t="shared" si="181"/>
        <v>57</v>
      </c>
      <c r="EQ415" s="281"/>
      <c r="ER415" s="277"/>
      <c r="ES415" s="281"/>
      <c r="ET415" s="277"/>
      <c r="EU415" s="281"/>
      <c r="EV415" s="277"/>
      <c r="EW415" s="281"/>
      <c r="EX415" s="277"/>
      <c r="EY415" s="281"/>
      <c r="EZ415" s="277"/>
      <c r="FA415" s="281"/>
      <c r="FB415" s="277"/>
      <c r="FC415" s="281"/>
      <c r="FD415" s="277"/>
      <c r="FE415" s="281"/>
      <c r="FF415" s="277"/>
      <c r="FG415" s="281"/>
      <c r="FH415" s="277"/>
      <c r="FI415" s="281"/>
      <c r="FJ415" s="277"/>
      <c r="FK415" s="50">
        <f t="shared" si="182"/>
        <v>0</v>
      </c>
      <c r="FL415" s="63">
        <f t="shared" si="183"/>
        <v>0</v>
      </c>
      <c r="FM415" s="50">
        <f t="shared" si="165"/>
        <v>382</v>
      </c>
      <c r="FN415" s="360">
        <f t="shared" si="166"/>
        <v>397</v>
      </c>
      <c r="FO415" s="3"/>
      <c r="FP415" s="279"/>
      <c r="FQ415" s="52"/>
      <c r="FR415" s="296"/>
      <c r="FS415" s="98"/>
      <c r="FT415" s="467"/>
      <c r="FU415" s="52"/>
      <c r="FV415" s="296"/>
      <c r="FW415" s="98"/>
      <c r="FX415" s="467"/>
      <c r="FY415" s="52"/>
      <c r="FZ415" s="296"/>
      <c r="GA415" s="98"/>
      <c r="GB415" s="467"/>
      <c r="GC415" s="52"/>
      <c r="GD415" s="296"/>
      <c r="GE415" s="98"/>
      <c r="GF415" s="467"/>
      <c r="GG415" s="52"/>
      <c r="GH415" s="296"/>
      <c r="GI415" s="98"/>
      <c r="GJ415" s="467"/>
      <c r="GK415" s="52"/>
      <c r="GL415" s="296"/>
      <c r="GM415" s="464"/>
      <c r="GN415" s="467"/>
      <c r="GO415" s="52"/>
      <c r="GP415" s="296"/>
      <c r="GQ415" s="464"/>
      <c r="GR415" s="467"/>
      <c r="GS415" s="52"/>
      <c r="GT415" s="296"/>
      <c r="GU415" s="464"/>
      <c r="GV415" s="467"/>
      <c r="GW415" s="52"/>
      <c r="GX415" s="296"/>
      <c r="GY415" s="464"/>
      <c r="GZ415" s="467"/>
      <c r="HA415" s="52"/>
      <c r="HB415" s="296"/>
      <c r="HC415" s="3"/>
    </row>
    <row r="416" spans="1:211" s="86" customFormat="1">
      <c r="A416" s="487" t="s">
        <v>31</v>
      </c>
      <c r="B416" s="303" t="s">
        <v>619</v>
      </c>
      <c r="C416" s="302">
        <v>207847</v>
      </c>
      <c r="D416" s="340">
        <v>5</v>
      </c>
      <c r="E416" s="460"/>
      <c r="F416" s="277"/>
      <c r="G416" s="158"/>
      <c r="H416" s="277"/>
      <c r="I416" s="158"/>
      <c r="J416" s="277"/>
      <c r="K416" s="160">
        <f t="shared" si="167"/>
        <v>0</v>
      </c>
      <c r="L416" s="161">
        <f t="shared" si="160"/>
        <v>0</v>
      </c>
      <c r="M416" s="159">
        <v>637</v>
      </c>
      <c r="N416" s="55">
        <v>127</v>
      </c>
      <c r="O416" s="530"/>
      <c r="P416" s="55"/>
      <c r="Q416" s="162">
        <f t="shared" si="168"/>
        <v>127</v>
      </c>
      <c r="R416" s="277">
        <v>625</v>
      </c>
      <c r="S416" s="277">
        <v>123</v>
      </c>
      <c r="T416" s="277"/>
      <c r="U416" s="277"/>
      <c r="V416" s="97">
        <f t="shared" si="169"/>
        <v>123</v>
      </c>
      <c r="W416" s="279"/>
      <c r="X416" s="52"/>
      <c r="Y416" s="99"/>
      <c r="Z416" s="53"/>
      <c r="AA416" s="228"/>
      <c r="AB416" s="52"/>
      <c r="AC416" s="99"/>
      <c r="AD416" s="53"/>
      <c r="AE416" s="228"/>
      <c r="AF416" s="52"/>
      <c r="AG416" s="99"/>
      <c r="AH416" s="53"/>
      <c r="AI416" s="228"/>
      <c r="AJ416" s="52"/>
      <c r="AK416" s="99"/>
      <c r="AL416" s="53"/>
      <c r="AM416" s="228"/>
      <c r="AN416" s="52"/>
      <c r="AO416" s="99"/>
      <c r="AP416" s="53"/>
      <c r="AQ416" s="50">
        <f t="shared" si="161"/>
        <v>0</v>
      </c>
      <c r="AR416" s="163">
        <f t="shared" si="162"/>
        <v>0.85733512786002697</v>
      </c>
      <c r="AS416" s="97">
        <f t="shared" si="163"/>
        <v>0</v>
      </c>
      <c r="AT416" s="278">
        <f t="shared" si="164"/>
        <v>0.81168831168831168</v>
      </c>
      <c r="AU416" s="55"/>
      <c r="AV416" s="277"/>
      <c r="AW416" s="279">
        <v>14</v>
      </c>
      <c r="AX416" s="52">
        <v>52</v>
      </c>
      <c r="AY416" s="105">
        <v>14</v>
      </c>
      <c r="AZ416" s="98">
        <v>77</v>
      </c>
      <c r="BA416" s="279">
        <v>13</v>
      </c>
      <c r="BB416" s="52">
        <v>35</v>
      </c>
      <c r="BC416" s="105">
        <v>13</v>
      </c>
      <c r="BD416" s="98">
        <v>46</v>
      </c>
      <c r="BE416" s="279">
        <v>52</v>
      </c>
      <c r="BF416" s="52">
        <v>10</v>
      </c>
      <c r="BG416" s="105">
        <v>52</v>
      </c>
      <c r="BH416" s="98">
        <v>13</v>
      </c>
      <c r="BI416" s="279">
        <v>42</v>
      </c>
      <c r="BJ416" s="52">
        <v>9</v>
      </c>
      <c r="BK416" s="105">
        <v>42</v>
      </c>
      <c r="BL416" s="98">
        <v>9</v>
      </c>
      <c r="BM416" s="279"/>
      <c r="BN416" s="52"/>
      <c r="BO416" s="105"/>
      <c r="BP416" s="98"/>
      <c r="BQ416" s="279"/>
      <c r="BR416" s="52"/>
      <c r="BS416" s="105"/>
      <c r="BT416" s="98"/>
      <c r="BU416" s="279"/>
      <c r="BV416" s="52"/>
      <c r="BW416" s="105"/>
      <c r="BX416" s="98"/>
      <c r="BY416" s="279"/>
      <c r="BZ416" s="52"/>
      <c r="CA416" s="105"/>
      <c r="CB416" s="98"/>
      <c r="CC416" s="279"/>
      <c r="CD416" s="52"/>
      <c r="CE416" s="105"/>
      <c r="CF416" s="98"/>
      <c r="CG416" s="279"/>
      <c r="CH416" s="52"/>
      <c r="CI416" s="105"/>
      <c r="CJ416" s="98"/>
      <c r="CK416" s="281"/>
      <c r="CL416" s="277"/>
      <c r="CM416" s="159"/>
      <c r="CN416" s="277"/>
      <c r="CO416" s="50">
        <f t="shared" si="170"/>
        <v>106</v>
      </c>
      <c r="CP416" s="103">
        <f t="shared" si="171"/>
        <v>4</v>
      </c>
      <c r="CQ416" s="280">
        <f t="shared" si="172"/>
        <v>145</v>
      </c>
      <c r="CR416" s="63">
        <f t="shared" si="173"/>
        <v>4</v>
      </c>
      <c r="CS416" s="279"/>
      <c r="CT416" s="52"/>
      <c r="CU416" s="105"/>
      <c r="CV416" s="98"/>
      <c r="CW416" s="279"/>
      <c r="CX416" s="52"/>
      <c r="CY416" s="105"/>
      <c r="CZ416" s="98"/>
      <c r="DA416" s="279"/>
      <c r="DB416" s="52"/>
      <c r="DC416" s="105"/>
      <c r="DD416" s="98"/>
      <c r="DE416" s="279"/>
      <c r="DF416" s="52"/>
      <c r="DG416" s="105"/>
      <c r="DH416" s="98"/>
      <c r="DI416" s="279"/>
      <c r="DJ416" s="52"/>
      <c r="DK416" s="105"/>
      <c r="DL416" s="98"/>
      <c r="DM416" s="279"/>
      <c r="DN416" s="52"/>
      <c r="DO416" s="105"/>
      <c r="DP416" s="98"/>
      <c r="DQ416" s="279"/>
      <c r="DR416" s="52"/>
      <c r="DS416" s="105"/>
      <c r="DT416" s="98"/>
      <c r="DU416" s="279"/>
      <c r="DV416" s="52"/>
      <c r="DW416" s="105"/>
      <c r="DX416" s="98"/>
      <c r="DY416" s="279"/>
      <c r="DZ416" s="52"/>
      <c r="EA416" s="105"/>
      <c r="EB416" s="98"/>
      <c r="EC416" s="279"/>
      <c r="ED416" s="52"/>
      <c r="EE416" s="105"/>
      <c r="EF416" s="98"/>
      <c r="EG416" s="159"/>
      <c r="EH416" s="277"/>
      <c r="EI416" s="50">
        <f t="shared" si="174"/>
        <v>0</v>
      </c>
      <c r="EJ416" s="103">
        <f t="shared" si="175"/>
        <v>0</v>
      </c>
      <c r="EK416" s="164">
        <f t="shared" si="176"/>
        <v>0</v>
      </c>
      <c r="EL416" s="280">
        <f t="shared" si="177"/>
        <v>0</v>
      </c>
      <c r="EM416" s="63">
        <f t="shared" si="178"/>
        <v>0</v>
      </c>
      <c r="EN416" s="359">
        <f t="shared" si="179"/>
        <v>0</v>
      </c>
      <c r="EO416" s="51">
        <f t="shared" si="180"/>
        <v>106</v>
      </c>
      <c r="EP416" s="361">
        <f t="shared" si="181"/>
        <v>145</v>
      </c>
      <c r="EQ416" s="281"/>
      <c r="ER416" s="277"/>
      <c r="ES416" s="281"/>
      <c r="ET416" s="277"/>
      <c r="EU416" s="281"/>
      <c r="EV416" s="277"/>
      <c r="EW416" s="281"/>
      <c r="EX416" s="277"/>
      <c r="EY416" s="281"/>
      <c r="EZ416" s="277"/>
      <c r="FA416" s="281"/>
      <c r="FB416" s="277"/>
      <c r="FC416" s="281"/>
      <c r="FD416" s="277"/>
      <c r="FE416" s="281"/>
      <c r="FF416" s="277"/>
      <c r="FG416" s="281"/>
      <c r="FH416" s="277"/>
      <c r="FI416" s="281"/>
      <c r="FJ416" s="277"/>
      <c r="FK416" s="50">
        <f t="shared" si="182"/>
        <v>0</v>
      </c>
      <c r="FL416" s="63">
        <f t="shared" si="183"/>
        <v>0</v>
      </c>
      <c r="FM416" s="50">
        <f t="shared" si="165"/>
        <v>743</v>
      </c>
      <c r="FN416" s="360">
        <f t="shared" si="166"/>
        <v>770</v>
      </c>
      <c r="FO416" s="3"/>
      <c r="FP416" s="279"/>
      <c r="FQ416" s="52"/>
      <c r="FR416" s="296"/>
      <c r="FS416" s="98"/>
      <c r="FT416" s="467"/>
      <c r="FU416" s="52"/>
      <c r="FV416" s="296"/>
      <c r="FW416" s="98"/>
      <c r="FX416" s="467"/>
      <c r="FY416" s="52"/>
      <c r="FZ416" s="296"/>
      <c r="GA416" s="98"/>
      <c r="GB416" s="467"/>
      <c r="GC416" s="52"/>
      <c r="GD416" s="296"/>
      <c r="GE416" s="98"/>
      <c r="GF416" s="467"/>
      <c r="GG416" s="52"/>
      <c r="GH416" s="296"/>
      <c r="GI416" s="98"/>
      <c r="GJ416" s="467"/>
      <c r="GK416" s="52"/>
      <c r="GL416" s="296"/>
      <c r="GM416" s="464"/>
      <c r="GN416" s="467"/>
      <c r="GO416" s="52"/>
      <c r="GP416" s="296"/>
      <c r="GQ416" s="464"/>
      <c r="GR416" s="467"/>
      <c r="GS416" s="52"/>
      <c r="GT416" s="296"/>
      <c r="GU416" s="464"/>
      <c r="GV416" s="467"/>
      <c r="GW416" s="52"/>
      <c r="GX416" s="296"/>
      <c r="GY416" s="464"/>
      <c r="GZ416" s="467"/>
      <c r="HA416" s="52"/>
      <c r="HB416" s="296"/>
      <c r="HC416" s="3"/>
    </row>
    <row r="417" spans="1:211" s="86" customFormat="1">
      <c r="A417" s="487" t="s">
        <v>31</v>
      </c>
      <c r="B417" s="303" t="s">
        <v>620</v>
      </c>
      <c r="C417" s="302">
        <v>207865</v>
      </c>
      <c r="D417" s="340">
        <v>5</v>
      </c>
      <c r="E417" s="460"/>
      <c r="F417" s="277"/>
      <c r="G417" s="158"/>
      <c r="H417" s="277"/>
      <c r="I417" s="158">
        <v>101</v>
      </c>
      <c r="J417" s="277">
        <v>109</v>
      </c>
      <c r="K417" s="160">
        <f t="shared" si="167"/>
        <v>0.17176870748299319</v>
      </c>
      <c r="L417" s="161">
        <f t="shared" si="160"/>
        <v>0.17723577235772359</v>
      </c>
      <c r="M417" s="54">
        <v>588</v>
      </c>
      <c r="N417" s="55">
        <v>112</v>
      </c>
      <c r="O417" s="55"/>
      <c r="P417" s="55"/>
      <c r="Q417" s="162">
        <f t="shared" si="168"/>
        <v>112</v>
      </c>
      <c r="R417" s="277">
        <v>615</v>
      </c>
      <c r="S417" s="277">
        <v>102</v>
      </c>
      <c r="T417" s="277"/>
      <c r="U417" s="277"/>
      <c r="V417" s="97">
        <f t="shared" si="169"/>
        <v>102</v>
      </c>
      <c r="W417" s="279"/>
      <c r="X417" s="52"/>
      <c r="Y417" s="99"/>
      <c r="Z417" s="53"/>
      <c r="AA417" s="228"/>
      <c r="AB417" s="52"/>
      <c r="AC417" s="99"/>
      <c r="AD417" s="53"/>
      <c r="AE417" s="228"/>
      <c r="AF417" s="52"/>
      <c r="AG417" s="99"/>
      <c r="AH417" s="53"/>
      <c r="AI417" s="228"/>
      <c r="AJ417" s="52"/>
      <c r="AK417" s="99"/>
      <c r="AL417" s="53"/>
      <c r="AM417" s="228"/>
      <c r="AN417" s="52"/>
      <c r="AO417" s="99"/>
      <c r="AP417" s="53"/>
      <c r="AQ417" s="50">
        <f t="shared" si="161"/>
        <v>0</v>
      </c>
      <c r="AR417" s="163">
        <f t="shared" si="162"/>
        <v>0.59514170040485825</v>
      </c>
      <c r="AS417" s="97">
        <f t="shared" si="163"/>
        <v>0</v>
      </c>
      <c r="AT417" s="278">
        <f t="shared" si="164"/>
        <v>0.63271604938271608</v>
      </c>
      <c r="AU417" s="55"/>
      <c r="AV417" s="277"/>
      <c r="AW417" s="279">
        <v>13</v>
      </c>
      <c r="AX417" s="52">
        <v>187</v>
      </c>
      <c r="AY417" s="105">
        <v>13</v>
      </c>
      <c r="AZ417" s="98">
        <v>142</v>
      </c>
      <c r="BA417" s="279">
        <v>52</v>
      </c>
      <c r="BB417" s="52">
        <v>23</v>
      </c>
      <c r="BC417" s="105">
        <v>52</v>
      </c>
      <c r="BD417" s="98">
        <v>13</v>
      </c>
      <c r="BE417" s="279">
        <v>42</v>
      </c>
      <c r="BF417" s="52">
        <v>2</v>
      </c>
      <c r="BG417" s="105">
        <v>42</v>
      </c>
      <c r="BH417" s="98">
        <v>12</v>
      </c>
      <c r="BI417" s="279">
        <v>50</v>
      </c>
      <c r="BJ417" s="52">
        <v>2</v>
      </c>
      <c r="BK417" s="105">
        <v>50</v>
      </c>
      <c r="BL417" s="98">
        <v>1</v>
      </c>
      <c r="BM417" s="279"/>
      <c r="BN417" s="52"/>
      <c r="BO417" s="105"/>
      <c r="BP417" s="98"/>
      <c r="BQ417" s="279"/>
      <c r="BR417" s="52"/>
      <c r="BS417" s="105"/>
      <c r="BT417" s="98"/>
      <c r="BU417" s="279"/>
      <c r="BV417" s="52"/>
      <c r="BW417" s="105"/>
      <c r="BX417" s="98"/>
      <c r="BY417" s="279"/>
      <c r="BZ417" s="52"/>
      <c r="CA417" s="105"/>
      <c r="CB417" s="98"/>
      <c r="CC417" s="279"/>
      <c r="CD417" s="52"/>
      <c r="CE417" s="105"/>
      <c r="CF417" s="98"/>
      <c r="CG417" s="279"/>
      <c r="CH417" s="52"/>
      <c r="CI417" s="105"/>
      <c r="CJ417" s="98"/>
      <c r="CK417" s="281"/>
      <c r="CL417" s="277"/>
      <c r="CM417" s="159"/>
      <c r="CN417" s="277"/>
      <c r="CO417" s="50">
        <f t="shared" si="170"/>
        <v>214</v>
      </c>
      <c r="CP417" s="103">
        <f t="shared" si="171"/>
        <v>4</v>
      </c>
      <c r="CQ417" s="280">
        <f t="shared" si="172"/>
        <v>168</v>
      </c>
      <c r="CR417" s="63">
        <f t="shared" si="173"/>
        <v>4</v>
      </c>
      <c r="CS417" s="279"/>
      <c r="CT417" s="52"/>
      <c r="CU417" s="105"/>
      <c r="CV417" s="98"/>
      <c r="CW417" s="279"/>
      <c r="CX417" s="52"/>
      <c r="CY417" s="105"/>
      <c r="CZ417" s="98"/>
      <c r="DA417" s="279"/>
      <c r="DB417" s="52"/>
      <c r="DC417" s="105"/>
      <c r="DD417" s="98"/>
      <c r="DE417" s="279"/>
      <c r="DF417" s="52"/>
      <c r="DG417" s="105"/>
      <c r="DH417" s="98"/>
      <c r="DI417" s="279"/>
      <c r="DJ417" s="52"/>
      <c r="DK417" s="105"/>
      <c r="DL417" s="98"/>
      <c r="DM417" s="279"/>
      <c r="DN417" s="52"/>
      <c r="DO417" s="105"/>
      <c r="DP417" s="98"/>
      <c r="DQ417" s="279"/>
      <c r="DR417" s="52"/>
      <c r="DS417" s="105"/>
      <c r="DT417" s="98"/>
      <c r="DU417" s="279"/>
      <c r="DV417" s="52"/>
      <c r="DW417" s="105"/>
      <c r="DX417" s="98"/>
      <c r="DY417" s="279"/>
      <c r="DZ417" s="52"/>
      <c r="EA417" s="105"/>
      <c r="EB417" s="98"/>
      <c r="EC417" s="279"/>
      <c r="ED417" s="52"/>
      <c r="EE417" s="105"/>
      <c r="EF417" s="98"/>
      <c r="EG417" s="159"/>
      <c r="EH417" s="277"/>
      <c r="EI417" s="50">
        <f t="shared" si="174"/>
        <v>0</v>
      </c>
      <c r="EJ417" s="103">
        <f t="shared" si="175"/>
        <v>0</v>
      </c>
      <c r="EK417" s="164">
        <f t="shared" si="176"/>
        <v>0</v>
      </c>
      <c r="EL417" s="280">
        <f t="shared" si="177"/>
        <v>0</v>
      </c>
      <c r="EM417" s="63">
        <f t="shared" si="178"/>
        <v>0</v>
      </c>
      <c r="EN417" s="359">
        <f t="shared" si="179"/>
        <v>0</v>
      </c>
      <c r="EO417" s="51">
        <f t="shared" si="180"/>
        <v>214</v>
      </c>
      <c r="EP417" s="361">
        <f t="shared" si="181"/>
        <v>168</v>
      </c>
      <c r="EQ417" s="281"/>
      <c r="ER417" s="277"/>
      <c r="ES417" s="281"/>
      <c r="ET417" s="277"/>
      <c r="EU417" s="281"/>
      <c r="EV417" s="277"/>
      <c r="EW417" s="281">
        <v>85</v>
      </c>
      <c r="EX417" s="277">
        <v>80</v>
      </c>
      <c r="EY417" s="281"/>
      <c r="EZ417" s="277"/>
      <c r="FA417" s="281"/>
      <c r="FB417" s="277"/>
      <c r="FC417" s="281"/>
      <c r="FD417" s="277"/>
      <c r="FE417" s="281"/>
      <c r="FF417" s="277"/>
      <c r="FG417" s="281"/>
      <c r="FH417" s="277"/>
      <c r="FI417" s="281"/>
      <c r="FJ417" s="277"/>
      <c r="FK417" s="50">
        <f t="shared" si="182"/>
        <v>85</v>
      </c>
      <c r="FL417" s="63">
        <f t="shared" si="183"/>
        <v>80</v>
      </c>
      <c r="FM417" s="50">
        <f t="shared" si="165"/>
        <v>988</v>
      </c>
      <c r="FN417" s="360">
        <f t="shared" si="166"/>
        <v>972</v>
      </c>
      <c r="FO417" s="3"/>
      <c r="FP417" s="279"/>
      <c r="FQ417" s="52"/>
      <c r="FR417" s="296"/>
      <c r="FS417" s="98"/>
      <c r="FT417" s="467"/>
      <c r="FU417" s="52"/>
      <c r="FV417" s="296"/>
      <c r="FW417" s="98"/>
      <c r="FX417" s="467"/>
      <c r="FY417" s="52"/>
      <c r="FZ417" s="296"/>
      <c r="GA417" s="98"/>
      <c r="GB417" s="467"/>
      <c r="GC417" s="52"/>
      <c r="GD417" s="296"/>
      <c r="GE417" s="98"/>
      <c r="GF417" s="467"/>
      <c r="GG417" s="52"/>
      <c r="GH417" s="296"/>
      <c r="GI417" s="98"/>
      <c r="GJ417" s="467"/>
      <c r="GK417" s="52"/>
      <c r="GL417" s="296"/>
      <c r="GM417" s="464"/>
      <c r="GN417" s="467"/>
      <c r="GO417" s="52"/>
      <c r="GP417" s="296"/>
      <c r="GQ417" s="464"/>
      <c r="GR417" s="467"/>
      <c r="GS417" s="52"/>
      <c r="GT417" s="296"/>
      <c r="GU417" s="464"/>
      <c r="GV417" s="467"/>
      <c r="GW417" s="52"/>
      <c r="GX417" s="296"/>
      <c r="GY417" s="464"/>
      <c r="GZ417" s="467"/>
      <c r="HA417" s="52"/>
      <c r="HB417" s="296"/>
      <c r="HC417" s="3"/>
    </row>
    <row r="418" spans="1:211" s="86" customFormat="1">
      <c r="A418" s="487" t="s">
        <v>31</v>
      </c>
      <c r="B418" s="303" t="s">
        <v>621</v>
      </c>
      <c r="C418" s="302">
        <v>207351</v>
      </c>
      <c r="D418" s="340">
        <v>6</v>
      </c>
      <c r="E418" s="460"/>
      <c r="F418" s="277"/>
      <c r="G418" s="158"/>
      <c r="H418" s="277"/>
      <c r="I418" s="158">
        <v>22</v>
      </c>
      <c r="J418" s="277">
        <v>41</v>
      </c>
      <c r="K418" s="160">
        <f t="shared" si="167"/>
        <v>0.12021857923497267</v>
      </c>
      <c r="L418" s="161">
        <f t="shared" si="160"/>
        <v>0.20707070707070707</v>
      </c>
      <c r="M418" s="54">
        <v>183</v>
      </c>
      <c r="N418" s="55">
        <v>10</v>
      </c>
      <c r="O418" s="55"/>
      <c r="P418" s="55"/>
      <c r="Q418" s="162">
        <f t="shared" si="168"/>
        <v>10</v>
      </c>
      <c r="R418" s="277">
        <v>198</v>
      </c>
      <c r="S418" s="277">
        <v>15</v>
      </c>
      <c r="T418" s="277"/>
      <c r="U418" s="277"/>
      <c r="V418" s="97">
        <f t="shared" si="169"/>
        <v>15</v>
      </c>
      <c r="W418" s="279"/>
      <c r="X418" s="52"/>
      <c r="Y418" s="99"/>
      <c r="Z418" s="53"/>
      <c r="AA418" s="228"/>
      <c r="AB418" s="52"/>
      <c r="AC418" s="99"/>
      <c r="AD418" s="53"/>
      <c r="AE418" s="228"/>
      <c r="AF418" s="52"/>
      <c r="AG418" s="99"/>
      <c r="AH418" s="53"/>
      <c r="AI418" s="228"/>
      <c r="AJ418" s="52"/>
      <c r="AK418" s="99"/>
      <c r="AL418" s="53"/>
      <c r="AM418" s="228"/>
      <c r="AN418" s="52"/>
      <c r="AO418" s="99"/>
      <c r="AP418" s="53"/>
      <c r="AQ418" s="50">
        <f t="shared" si="161"/>
        <v>0</v>
      </c>
      <c r="AR418" s="163">
        <f t="shared" si="162"/>
        <v>0.89268292682926831</v>
      </c>
      <c r="AS418" s="97">
        <f t="shared" si="163"/>
        <v>0</v>
      </c>
      <c r="AT418" s="278">
        <f t="shared" si="164"/>
        <v>0.82845188284518834</v>
      </c>
      <c r="AU418" s="55"/>
      <c r="AV418" s="277"/>
      <c r="AW418" s="279"/>
      <c r="AX418" s="52"/>
      <c r="AY418" s="105"/>
      <c r="AZ418" s="98"/>
      <c r="BA418" s="279"/>
      <c r="BB418" s="52"/>
      <c r="BC418" s="105"/>
      <c r="BD418" s="98"/>
      <c r="BE418" s="279"/>
      <c r="BF418" s="52"/>
      <c r="BG418" s="105"/>
      <c r="BH418" s="98"/>
      <c r="BI418" s="279"/>
      <c r="BJ418" s="52"/>
      <c r="BK418" s="105"/>
      <c r="BL418" s="98"/>
      <c r="BM418" s="279"/>
      <c r="BN418" s="52"/>
      <c r="BO418" s="105"/>
      <c r="BP418" s="98"/>
      <c r="BQ418" s="279"/>
      <c r="BR418" s="52"/>
      <c r="BS418" s="105"/>
      <c r="BT418" s="98"/>
      <c r="BU418" s="279"/>
      <c r="BV418" s="52"/>
      <c r="BW418" s="105"/>
      <c r="BX418" s="98"/>
      <c r="BY418" s="279"/>
      <c r="BZ418" s="52"/>
      <c r="CA418" s="105"/>
      <c r="CB418" s="98"/>
      <c r="CC418" s="279"/>
      <c r="CD418" s="52"/>
      <c r="CE418" s="105"/>
      <c r="CF418" s="98"/>
      <c r="CG418" s="279"/>
      <c r="CH418" s="52"/>
      <c r="CI418" s="105"/>
      <c r="CJ418" s="98"/>
      <c r="CK418" s="281"/>
      <c r="CL418" s="277"/>
      <c r="CM418" s="159"/>
      <c r="CN418" s="277"/>
      <c r="CO418" s="50">
        <f t="shared" si="170"/>
        <v>0</v>
      </c>
      <c r="CP418" s="103">
        <f t="shared" si="171"/>
        <v>0</v>
      </c>
      <c r="CQ418" s="280">
        <f t="shared" si="172"/>
        <v>0</v>
      </c>
      <c r="CR418" s="63">
        <f t="shared" si="173"/>
        <v>0</v>
      </c>
      <c r="CS418" s="279"/>
      <c r="CT418" s="52"/>
      <c r="CU418" s="105"/>
      <c r="CV418" s="98"/>
      <c r="CW418" s="279"/>
      <c r="CX418" s="52"/>
      <c r="CY418" s="105"/>
      <c r="CZ418" s="98"/>
      <c r="DA418" s="279"/>
      <c r="DB418" s="52"/>
      <c r="DC418" s="105"/>
      <c r="DD418" s="98"/>
      <c r="DE418" s="279"/>
      <c r="DF418" s="52"/>
      <c r="DG418" s="105"/>
      <c r="DH418" s="98"/>
      <c r="DI418" s="279"/>
      <c r="DJ418" s="52"/>
      <c r="DK418" s="105"/>
      <c r="DL418" s="98"/>
      <c r="DM418" s="279"/>
      <c r="DN418" s="52"/>
      <c r="DO418" s="105"/>
      <c r="DP418" s="98"/>
      <c r="DQ418" s="279"/>
      <c r="DR418" s="52"/>
      <c r="DS418" s="105"/>
      <c r="DT418" s="98"/>
      <c r="DU418" s="279"/>
      <c r="DV418" s="52"/>
      <c r="DW418" s="105"/>
      <c r="DX418" s="98"/>
      <c r="DY418" s="279"/>
      <c r="DZ418" s="52"/>
      <c r="EA418" s="105"/>
      <c r="EB418" s="98"/>
      <c r="EC418" s="279"/>
      <c r="ED418" s="52"/>
      <c r="EE418" s="105"/>
      <c r="EF418" s="98"/>
      <c r="EG418" s="159"/>
      <c r="EH418" s="277"/>
      <c r="EI418" s="50">
        <f t="shared" si="174"/>
        <v>0</v>
      </c>
      <c r="EJ418" s="103">
        <f t="shared" si="175"/>
        <v>0</v>
      </c>
      <c r="EK418" s="164">
        <f t="shared" si="176"/>
        <v>0</v>
      </c>
      <c r="EL418" s="280">
        <f t="shared" si="177"/>
        <v>0</v>
      </c>
      <c r="EM418" s="63">
        <f t="shared" si="178"/>
        <v>0</v>
      </c>
      <c r="EN418" s="359">
        <f t="shared" si="179"/>
        <v>0</v>
      </c>
      <c r="EO418" s="51">
        <f t="shared" si="180"/>
        <v>0</v>
      </c>
      <c r="EP418" s="361">
        <f t="shared" si="181"/>
        <v>0</v>
      </c>
      <c r="EQ418" s="281"/>
      <c r="ER418" s="277"/>
      <c r="ES418" s="281"/>
      <c r="ET418" s="277"/>
      <c r="EU418" s="281"/>
      <c r="EV418" s="277"/>
      <c r="EW418" s="281"/>
      <c r="EX418" s="277"/>
      <c r="EY418" s="281"/>
      <c r="EZ418" s="277"/>
      <c r="FA418" s="281"/>
      <c r="FB418" s="277"/>
      <c r="FC418" s="281"/>
      <c r="FD418" s="277"/>
      <c r="FE418" s="281"/>
      <c r="FF418" s="277"/>
      <c r="FG418" s="281"/>
      <c r="FH418" s="277"/>
      <c r="FI418" s="281"/>
      <c r="FJ418" s="277"/>
      <c r="FK418" s="50">
        <f t="shared" si="182"/>
        <v>0</v>
      </c>
      <c r="FL418" s="63">
        <f t="shared" si="183"/>
        <v>0</v>
      </c>
      <c r="FM418" s="50">
        <f t="shared" si="165"/>
        <v>205</v>
      </c>
      <c r="FN418" s="360">
        <f t="shared" si="166"/>
        <v>239</v>
      </c>
      <c r="FO418" s="3"/>
      <c r="FP418" s="279"/>
      <c r="FQ418" s="52"/>
      <c r="FR418" s="296"/>
      <c r="FS418" s="98"/>
      <c r="FT418" s="467"/>
      <c r="FU418" s="52"/>
      <c r="FV418" s="296"/>
      <c r="FW418" s="98"/>
      <c r="FX418" s="467"/>
      <c r="FY418" s="52"/>
      <c r="FZ418" s="296"/>
      <c r="GA418" s="98"/>
      <c r="GB418" s="467"/>
      <c r="GC418" s="52"/>
      <c r="GD418" s="296"/>
      <c r="GE418" s="98"/>
      <c r="GF418" s="467"/>
      <c r="GG418" s="52"/>
      <c r="GH418" s="296"/>
      <c r="GI418" s="98"/>
      <c r="GJ418" s="467"/>
      <c r="GK418" s="52"/>
      <c r="GL418" s="296"/>
      <c r="GM418" s="464"/>
      <c r="GN418" s="467"/>
      <c r="GO418" s="52"/>
      <c r="GP418" s="296"/>
      <c r="GQ418" s="464"/>
      <c r="GR418" s="467"/>
      <c r="GS418" s="52"/>
      <c r="GT418" s="296"/>
      <c r="GU418" s="464"/>
      <c r="GV418" s="467"/>
      <c r="GW418" s="52"/>
      <c r="GX418" s="296"/>
      <c r="GY418" s="464"/>
      <c r="GZ418" s="467"/>
      <c r="HA418" s="52"/>
      <c r="HB418" s="296"/>
      <c r="HC418" s="3"/>
    </row>
    <row r="419" spans="1:211" s="86" customFormat="1">
      <c r="A419" s="488" t="s">
        <v>31</v>
      </c>
      <c r="B419" s="306" t="s">
        <v>623</v>
      </c>
      <c r="C419" s="304">
        <v>207661</v>
      </c>
      <c r="D419" s="348">
        <v>6</v>
      </c>
      <c r="E419" s="460"/>
      <c r="F419" s="277"/>
      <c r="G419" s="158"/>
      <c r="H419" s="277"/>
      <c r="I419" s="158">
        <v>201</v>
      </c>
      <c r="J419" s="277">
        <v>211</v>
      </c>
      <c r="K419" s="160">
        <f t="shared" si="167"/>
        <v>1.2562500000000001</v>
      </c>
      <c r="L419" s="161">
        <f t="shared" si="160"/>
        <v>1.1164021164021165</v>
      </c>
      <c r="M419" s="54">
        <v>160</v>
      </c>
      <c r="N419" s="55"/>
      <c r="O419" s="55"/>
      <c r="P419" s="55"/>
      <c r="Q419" s="162">
        <f t="shared" si="168"/>
        <v>0</v>
      </c>
      <c r="R419" s="277">
        <v>189</v>
      </c>
      <c r="S419" s="277"/>
      <c r="T419" s="277"/>
      <c r="U419" s="277"/>
      <c r="V419" s="97">
        <f t="shared" si="169"/>
        <v>0</v>
      </c>
      <c r="W419" s="279" t="s">
        <v>731</v>
      </c>
      <c r="X419" s="52">
        <v>60</v>
      </c>
      <c r="Y419" s="99"/>
      <c r="Z419" s="53"/>
      <c r="AA419" s="228" t="s">
        <v>732</v>
      </c>
      <c r="AB419" s="52">
        <v>24</v>
      </c>
      <c r="AC419" s="99"/>
      <c r="AD419" s="53"/>
      <c r="AE419" s="228" t="s">
        <v>72</v>
      </c>
      <c r="AF419" s="52">
        <v>22</v>
      </c>
      <c r="AG419" s="99"/>
      <c r="AH419" s="53"/>
      <c r="AI419" s="228" t="s">
        <v>738</v>
      </c>
      <c r="AJ419" s="52">
        <v>22</v>
      </c>
      <c r="AK419" s="99"/>
      <c r="AL419" s="53"/>
      <c r="AM419" s="228" t="s">
        <v>96</v>
      </c>
      <c r="AN419" s="52">
        <v>16</v>
      </c>
      <c r="AO419" s="99"/>
      <c r="AP419" s="53"/>
      <c r="AQ419" s="50">
        <f t="shared" si="161"/>
        <v>5</v>
      </c>
      <c r="AR419" s="163">
        <f t="shared" si="162"/>
        <v>0.44321329639889195</v>
      </c>
      <c r="AS419" s="97">
        <f t="shared" si="163"/>
        <v>0</v>
      </c>
      <c r="AT419" s="278">
        <f t="shared" si="164"/>
        <v>0.47249999999999998</v>
      </c>
      <c r="AU419" s="55"/>
      <c r="AV419" s="277"/>
      <c r="AW419" s="279"/>
      <c r="AX419" s="52"/>
      <c r="AY419" s="105"/>
      <c r="AZ419" s="98"/>
      <c r="BA419" s="279"/>
      <c r="BB419" s="52"/>
      <c r="BC419" s="105"/>
      <c r="BD419" s="98"/>
      <c r="BE419" s="279"/>
      <c r="BF419" s="52"/>
      <c r="BG419" s="105"/>
      <c r="BH419" s="98"/>
      <c r="BI419" s="279"/>
      <c r="BJ419" s="52"/>
      <c r="BK419" s="105"/>
      <c r="BL419" s="98"/>
      <c r="BM419" s="279"/>
      <c r="BN419" s="52"/>
      <c r="BO419" s="105"/>
      <c r="BP419" s="98"/>
      <c r="BQ419" s="279"/>
      <c r="BR419" s="52"/>
      <c r="BS419" s="105"/>
      <c r="BT419" s="98"/>
      <c r="BU419" s="279"/>
      <c r="BV419" s="52"/>
      <c r="BW419" s="105"/>
      <c r="BX419" s="98"/>
      <c r="BY419" s="279"/>
      <c r="BZ419" s="52"/>
      <c r="CA419" s="105"/>
      <c r="CB419" s="98"/>
      <c r="CC419" s="279"/>
      <c r="CD419" s="52"/>
      <c r="CE419" s="105"/>
      <c r="CF419" s="98"/>
      <c r="CG419" s="279"/>
      <c r="CH419" s="52"/>
      <c r="CI419" s="105"/>
      <c r="CJ419" s="98"/>
      <c r="CK419" s="281"/>
      <c r="CL419" s="277"/>
      <c r="CM419" s="159"/>
      <c r="CN419" s="277"/>
      <c r="CO419" s="50">
        <f t="shared" si="170"/>
        <v>0</v>
      </c>
      <c r="CP419" s="103">
        <f t="shared" si="171"/>
        <v>0</v>
      </c>
      <c r="CQ419" s="280">
        <f t="shared" si="172"/>
        <v>0</v>
      </c>
      <c r="CR419" s="63">
        <f t="shared" si="173"/>
        <v>0</v>
      </c>
      <c r="CS419" s="279"/>
      <c r="CT419" s="52"/>
      <c r="CU419" s="105"/>
      <c r="CV419" s="98"/>
      <c r="CW419" s="279"/>
      <c r="CX419" s="52"/>
      <c r="CY419" s="105"/>
      <c r="CZ419" s="98"/>
      <c r="DA419" s="279"/>
      <c r="DB419" s="52"/>
      <c r="DC419" s="105"/>
      <c r="DD419" s="98"/>
      <c r="DE419" s="279"/>
      <c r="DF419" s="52"/>
      <c r="DG419" s="105"/>
      <c r="DH419" s="98"/>
      <c r="DI419" s="279"/>
      <c r="DJ419" s="52"/>
      <c r="DK419" s="105"/>
      <c r="DL419" s="98"/>
      <c r="DM419" s="279"/>
      <c r="DN419" s="52"/>
      <c r="DO419" s="105"/>
      <c r="DP419" s="98"/>
      <c r="DQ419" s="279"/>
      <c r="DR419" s="52"/>
      <c r="DS419" s="105"/>
      <c r="DT419" s="98"/>
      <c r="DU419" s="279"/>
      <c r="DV419" s="52"/>
      <c r="DW419" s="105"/>
      <c r="DX419" s="98"/>
      <c r="DY419" s="279"/>
      <c r="DZ419" s="52"/>
      <c r="EA419" s="105"/>
      <c r="EB419" s="98"/>
      <c r="EC419" s="279"/>
      <c r="ED419" s="52"/>
      <c r="EE419" s="105"/>
      <c r="EF419" s="98"/>
      <c r="EG419" s="159"/>
      <c r="EH419" s="277"/>
      <c r="EI419" s="50">
        <f t="shared" si="174"/>
        <v>0</v>
      </c>
      <c r="EJ419" s="103">
        <f t="shared" si="175"/>
        <v>0</v>
      </c>
      <c r="EK419" s="164">
        <f t="shared" si="176"/>
        <v>0</v>
      </c>
      <c r="EL419" s="280">
        <f t="shared" si="177"/>
        <v>0</v>
      </c>
      <c r="EM419" s="63">
        <f t="shared" si="178"/>
        <v>0</v>
      </c>
      <c r="EN419" s="359">
        <f t="shared" si="179"/>
        <v>0</v>
      </c>
      <c r="EO419" s="51">
        <f t="shared" si="180"/>
        <v>0</v>
      </c>
      <c r="EP419" s="361">
        <f t="shared" si="181"/>
        <v>0</v>
      </c>
      <c r="EQ419" s="281"/>
      <c r="ER419" s="277"/>
      <c r="ES419" s="281"/>
      <c r="ET419" s="277"/>
      <c r="EU419" s="281"/>
      <c r="EV419" s="277"/>
      <c r="EW419" s="281"/>
      <c r="EX419" s="277"/>
      <c r="EY419" s="281"/>
      <c r="EZ419" s="277"/>
      <c r="FA419" s="281"/>
      <c r="FB419" s="277"/>
      <c r="FC419" s="281"/>
      <c r="FD419" s="277"/>
      <c r="FE419" s="281"/>
      <c r="FF419" s="277"/>
      <c r="FG419" s="281"/>
      <c r="FH419" s="277"/>
      <c r="FI419" s="281"/>
      <c r="FJ419" s="277"/>
      <c r="FK419" s="50">
        <f t="shared" si="182"/>
        <v>0</v>
      </c>
      <c r="FL419" s="63">
        <f t="shared" si="183"/>
        <v>0</v>
      </c>
      <c r="FM419" s="50">
        <f t="shared" si="165"/>
        <v>361</v>
      </c>
      <c r="FN419" s="360">
        <f t="shared" si="166"/>
        <v>400</v>
      </c>
      <c r="FO419" s="3"/>
      <c r="FP419" s="279"/>
      <c r="FQ419" s="52"/>
      <c r="FR419" s="296"/>
      <c r="FS419" s="98"/>
      <c r="FT419" s="467"/>
      <c r="FU419" s="52"/>
      <c r="FV419" s="296"/>
      <c r="FW419" s="98"/>
      <c r="FX419" s="467"/>
      <c r="FY419" s="52"/>
      <c r="FZ419" s="296"/>
      <c r="GA419" s="98"/>
      <c r="GB419" s="467"/>
      <c r="GC419" s="52"/>
      <c r="GD419" s="296"/>
      <c r="GE419" s="98"/>
      <c r="GF419" s="467"/>
      <c r="GG419" s="52"/>
      <c r="GH419" s="296"/>
      <c r="GI419" s="98"/>
      <c r="GJ419" s="467"/>
      <c r="GK419" s="52"/>
      <c r="GL419" s="296"/>
      <c r="GM419" s="464"/>
      <c r="GN419" s="467"/>
      <c r="GO419" s="52"/>
      <c r="GP419" s="296"/>
      <c r="GQ419" s="464"/>
      <c r="GR419" s="467"/>
      <c r="GS419" s="52"/>
      <c r="GT419" s="296"/>
      <c r="GU419" s="464"/>
      <c r="GV419" s="467"/>
      <c r="GW419" s="52"/>
      <c r="GX419" s="296"/>
      <c r="GY419" s="464"/>
      <c r="GZ419" s="467"/>
      <c r="HA419" s="52"/>
      <c r="HB419" s="296"/>
      <c r="HC419" s="3"/>
    </row>
    <row r="420" spans="1:211" s="86" customFormat="1">
      <c r="A420" s="487" t="s">
        <v>31</v>
      </c>
      <c r="B420" s="303" t="s">
        <v>622</v>
      </c>
      <c r="C420" s="302">
        <v>207722</v>
      </c>
      <c r="D420" s="340">
        <v>6</v>
      </c>
      <c r="E420" s="460"/>
      <c r="F420" s="277"/>
      <c r="G420" s="158"/>
      <c r="H420" s="277"/>
      <c r="I420" s="158"/>
      <c r="J420" s="277"/>
      <c r="K420" s="160">
        <f t="shared" si="167"/>
        <v>0</v>
      </c>
      <c r="L420" s="161">
        <f t="shared" si="160"/>
        <v>0</v>
      </c>
      <c r="M420" s="54">
        <v>217</v>
      </c>
      <c r="N420" s="55">
        <v>39</v>
      </c>
      <c r="O420" s="55"/>
      <c r="P420" s="55"/>
      <c r="Q420" s="162">
        <f t="shared" si="168"/>
        <v>39</v>
      </c>
      <c r="R420" s="277">
        <v>201</v>
      </c>
      <c r="S420" s="277">
        <v>37</v>
      </c>
      <c r="T420" s="277"/>
      <c r="U420" s="277"/>
      <c r="V420" s="97">
        <f t="shared" si="169"/>
        <v>37</v>
      </c>
      <c r="W420" s="279"/>
      <c r="X420" s="52"/>
      <c r="Y420" s="99"/>
      <c r="Z420" s="53"/>
      <c r="AA420" s="228"/>
      <c r="AB420" s="52"/>
      <c r="AC420" s="99"/>
      <c r="AD420" s="53"/>
      <c r="AE420" s="228"/>
      <c r="AF420" s="52"/>
      <c r="AG420" s="99"/>
      <c r="AH420" s="53"/>
      <c r="AI420" s="228"/>
      <c r="AJ420" s="52"/>
      <c r="AK420" s="99"/>
      <c r="AL420" s="53"/>
      <c r="AM420" s="228"/>
      <c r="AN420" s="52"/>
      <c r="AO420" s="99"/>
      <c r="AP420" s="53"/>
      <c r="AQ420" s="50">
        <f t="shared" si="161"/>
        <v>0</v>
      </c>
      <c r="AR420" s="163">
        <f t="shared" si="162"/>
        <v>1</v>
      </c>
      <c r="AS420" s="97">
        <f t="shared" si="163"/>
        <v>0</v>
      </c>
      <c r="AT420" s="278">
        <f t="shared" si="164"/>
        <v>1</v>
      </c>
      <c r="AU420" s="55"/>
      <c r="AV420" s="277"/>
      <c r="AW420" s="279"/>
      <c r="AX420" s="52"/>
      <c r="AY420" s="105"/>
      <c r="AZ420" s="98"/>
      <c r="BA420" s="279"/>
      <c r="BB420" s="52"/>
      <c r="BC420" s="105"/>
      <c r="BD420" s="98"/>
      <c r="BE420" s="279"/>
      <c r="BF420" s="52"/>
      <c r="BG420" s="105"/>
      <c r="BH420" s="98"/>
      <c r="BI420" s="279"/>
      <c r="BJ420" s="52"/>
      <c r="BK420" s="105"/>
      <c r="BL420" s="98"/>
      <c r="BM420" s="279"/>
      <c r="BN420" s="52"/>
      <c r="BO420" s="105"/>
      <c r="BP420" s="98"/>
      <c r="BQ420" s="279"/>
      <c r="BR420" s="52"/>
      <c r="BS420" s="105"/>
      <c r="BT420" s="98"/>
      <c r="BU420" s="279"/>
      <c r="BV420" s="52"/>
      <c r="BW420" s="105"/>
      <c r="BX420" s="98"/>
      <c r="BY420" s="279"/>
      <c r="BZ420" s="52"/>
      <c r="CA420" s="105"/>
      <c r="CB420" s="98"/>
      <c r="CC420" s="279"/>
      <c r="CD420" s="52"/>
      <c r="CE420" s="105"/>
      <c r="CF420" s="98"/>
      <c r="CG420" s="279"/>
      <c r="CH420" s="52"/>
      <c r="CI420" s="105"/>
      <c r="CJ420" s="98"/>
      <c r="CK420" s="281"/>
      <c r="CL420" s="277"/>
      <c r="CM420" s="159"/>
      <c r="CN420" s="277"/>
      <c r="CO420" s="50">
        <f t="shared" si="170"/>
        <v>0</v>
      </c>
      <c r="CP420" s="103">
        <f t="shared" si="171"/>
        <v>0</v>
      </c>
      <c r="CQ420" s="280">
        <f t="shared" si="172"/>
        <v>0</v>
      </c>
      <c r="CR420" s="63">
        <f t="shared" si="173"/>
        <v>0</v>
      </c>
      <c r="CS420" s="279"/>
      <c r="CT420" s="52"/>
      <c r="CU420" s="105"/>
      <c r="CV420" s="98"/>
      <c r="CW420" s="279"/>
      <c r="CX420" s="52"/>
      <c r="CY420" s="105"/>
      <c r="CZ420" s="98"/>
      <c r="DA420" s="279"/>
      <c r="DB420" s="52"/>
      <c r="DC420" s="105"/>
      <c r="DD420" s="98"/>
      <c r="DE420" s="279"/>
      <c r="DF420" s="52"/>
      <c r="DG420" s="105"/>
      <c r="DH420" s="98"/>
      <c r="DI420" s="279"/>
      <c r="DJ420" s="52"/>
      <c r="DK420" s="105"/>
      <c r="DL420" s="98"/>
      <c r="DM420" s="279"/>
      <c r="DN420" s="52"/>
      <c r="DO420" s="105"/>
      <c r="DP420" s="98"/>
      <c r="DQ420" s="279"/>
      <c r="DR420" s="52"/>
      <c r="DS420" s="105"/>
      <c r="DT420" s="98"/>
      <c r="DU420" s="279"/>
      <c r="DV420" s="52"/>
      <c r="DW420" s="105"/>
      <c r="DX420" s="98"/>
      <c r="DY420" s="279"/>
      <c r="DZ420" s="52"/>
      <c r="EA420" s="105"/>
      <c r="EB420" s="98"/>
      <c r="EC420" s="279"/>
      <c r="ED420" s="52"/>
      <c r="EE420" s="105"/>
      <c r="EF420" s="98"/>
      <c r="EG420" s="159"/>
      <c r="EH420" s="277"/>
      <c r="EI420" s="50">
        <f t="shared" si="174"/>
        <v>0</v>
      </c>
      <c r="EJ420" s="103">
        <f t="shared" si="175"/>
        <v>0</v>
      </c>
      <c r="EK420" s="164">
        <f t="shared" si="176"/>
        <v>0</v>
      </c>
      <c r="EL420" s="280">
        <f t="shared" si="177"/>
        <v>0</v>
      </c>
      <c r="EM420" s="63">
        <f t="shared" si="178"/>
        <v>0</v>
      </c>
      <c r="EN420" s="359">
        <f t="shared" si="179"/>
        <v>0</v>
      </c>
      <c r="EO420" s="51">
        <f t="shared" si="180"/>
        <v>0</v>
      </c>
      <c r="EP420" s="361">
        <f t="shared" si="181"/>
        <v>0</v>
      </c>
      <c r="EQ420" s="281"/>
      <c r="ER420" s="277"/>
      <c r="ES420" s="281"/>
      <c r="ET420" s="277"/>
      <c r="EU420" s="281"/>
      <c r="EV420" s="277"/>
      <c r="EW420" s="281"/>
      <c r="EX420" s="277"/>
      <c r="EY420" s="281"/>
      <c r="EZ420" s="277"/>
      <c r="FA420" s="281"/>
      <c r="FB420" s="277"/>
      <c r="FC420" s="281"/>
      <c r="FD420" s="277"/>
      <c r="FE420" s="281"/>
      <c r="FF420" s="277"/>
      <c r="FG420" s="281"/>
      <c r="FH420" s="277"/>
      <c r="FI420" s="281"/>
      <c r="FJ420" s="277"/>
      <c r="FK420" s="50">
        <f t="shared" si="182"/>
        <v>0</v>
      </c>
      <c r="FL420" s="63">
        <f t="shared" si="183"/>
        <v>0</v>
      </c>
      <c r="FM420" s="50">
        <f t="shared" si="165"/>
        <v>217</v>
      </c>
      <c r="FN420" s="360">
        <f t="shared" si="166"/>
        <v>201</v>
      </c>
      <c r="FO420" s="3"/>
      <c r="FP420" s="279"/>
      <c r="FQ420" s="52"/>
      <c r="FR420" s="296"/>
      <c r="FS420" s="98"/>
      <c r="FT420" s="467"/>
      <c r="FU420" s="52"/>
      <c r="FV420" s="296"/>
      <c r="FW420" s="98"/>
      <c r="FX420" s="467"/>
      <c r="FY420" s="52"/>
      <c r="FZ420" s="296"/>
      <c r="GA420" s="98"/>
      <c r="GB420" s="467"/>
      <c r="GC420" s="52"/>
      <c r="GD420" s="296"/>
      <c r="GE420" s="98"/>
      <c r="GF420" s="467"/>
      <c r="GG420" s="52"/>
      <c r="GH420" s="296"/>
      <c r="GI420" s="98"/>
      <c r="GJ420" s="467"/>
      <c r="GK420" s="52"/>
      <c r="GL420" s="296"/>
      <c r="GM420" s="464"/>
      <c r="GN420" s="467"/>
      <c r="GO420" s="52"/>
      <c r="GP420" s="296"/>
      <c r="GQ420" s="464"/>
      <c r="GR420" s="467"/>
      <c r="GS420" s="52"/>
      <c r="GT420" s="296"/>
      <c r="GU420" s="464"/>
      <c r="GV420" s="467"/>
      <c r="GW420" s="52"/>
      <c r="GX420" s="296"/>
      <c r="GY420" s="464"/>
      <c r="GZ420" s="467"/>
      <c r="HA420" s="52"/>
      <c r="HB420" s="296"/>
      <c r="HC420" s="3"/>
    </row>
    <row r="421" spans="1:211" s="86" customFormat="1">
      <c r="A421" s="488" t="s">
        <v>31</v>
      </c>
      <c r="B421" s="303" t="s">
        <v>627</v>
      </c>
      <c r="C421" s="302">
        <v>207564</v>
      </c>
      <c r="D421" s="340">
        <v>7</v>
      </c>
      <c r="E421" s="460"/>
      <c r="F421" s="277"/>
      <c r="G421" s="158"/>
      <c r="H421" s="277"/>
      <c r="I421" s="158">
        <v>488</v>
      </c>
      <c r="J421" s="277">
        <v>516</v>
      </c>
      <c r="K421" s="160">
        <f t="shared" si="167"/>
        <v>8.5614035087719298</v>
      </c>
      <c r="L421" s="161">
        <f t="shared" si="160"/>
        <v>12</v>
      </c>
      <c r="M421" s="54">
        <v>57</v>
      </c>
      <c r="N421" s="55"/>
      <c r="O421" s="55"/>
      <c r="P421" s="55"/>
      <c r="Q421" s="162">
        <f t="shared" si="168"/>
        <v>0</v>
      </c>
      <c r="R421" s="277">
        <v>43</v>
      </c>
      <c r="S421" s="277"/>
      <c r="T421" s="277"/>
      <c r="U421" s="277"/>
      <c r="V421" s="97">
        <f t="shared" si="169"/>
        <v>0</v>
      </c>
      <c r="W421" s="279" t="s">
        <v>747</v>
      </c>
      <c r="X421" s="52">
        <v>36</v>
      </c>
      <c r="Y421" s="99" t="s">
        <v>747</v>
      </c>
      <c r="Z421" s="53">
        <v>29</v>
      </c>
      <c r="AA421" s="228" t="s">
        <v>72</v>
      </c>
      <c r="AB421" s="52">
        <v>21</v>
      </c>
      <c r="AC421" s="99" t="s">
        <v>72</v>
      </c>
      <c r="AD421" s="53">
        <v>14</v>
      </c>
      <c r="AE421" s="228"/>
      <c r="AF421" s="52"/>
      <c r="AG421" s="99"/>
      <c r="AH421" s="53"/>
      <c r="AI421" s="228"/>
      <c r="AJ421" s="52"/>
      <c r="AK421" s="99"/>
      <c r="AL421" s="53"/>
      <c r="AM421" s="228"/>
      <c r="AN421" s="52"/>
      <c r="AO421" s="99"/>
      <c r="AP421" s="53"/>
      <c r="AQ421" s="50">
        <f t="shared" si="161"/>
        <v>2</v>
      </c>
      <c r="AR421" s="163">
        <f t="shared" si="162"/>
        <v>0.10458715596330276</v>
      </c>
      <c r="AS421" s="97">
        <f t="shared" si="163"/>
        <v>2</v>
      </c>
      <c r="AT421" s="278">
        <f t="shared" si="164"/>
        <v>7.6923076923076927E-2</v>
      </c>
      <c r="AU421" s="55"/>
      <c r="AV421" s="277"/>
      <c r="AW421" s="279"/>
      <c r="AX421" s="52"/>
      <c r="AY421" s="105"/>
      <c r="AZ421" s="98"/>
      <c r="BA421" s="279"/>
      <c r="BB421" s="52"/>
      <c r="BC421" s="105"/>
      <c r="BD421" s="98"/>
      <c r="BE421" s="279"/>
      <c r="BF421" s="52"/>
      <c r="BG421" s="105"/>
      <c r="BH421" s="98"/>
      <c r="BI421" s="279"/>
      <c r="BJ421" s="52"/>
      <c r="BK421" s="105"/>
      <c r="BL421" s="98"/>
      <c r="BM421" s="279"/>
      <c r="BN421" s="52"/>
      <c r="BO421" s="105"/>
      <c r="BP421" s="98"/>
      <c r="BQ421" s="279"/>
      <c r="BR421" s="52"/>
      <c r="BS421" s="105"/>
      <c r="BT421" s="98"/>
      <c r="BU421" s="279"/>
      <c r="BV421" s="52"/>
      <c r="BW421" s="105"/>
      <c r="BX421" s="98"/>
      <c r="BY421" s="279"/>
      <c r="BZ421" s="52"/>
      <c r="CA421" s="105"/>
      <c r="CB421" s="98"/>
      <c r="CC421" s="279"/>
      <c r="CD421" s="52"/>
      <c r="CE421" s="105"/>
      <c r="CF421" s="98"/>
      <c r="CG421" s="279"/>
      <c r="CH421" s="52"/>
      <c r="CI421" s="105"/>
      <c r="CJ421" s="98"/>
      <c r="CK421" s="281"/>
      <c r="CL421" s="277"/>
      <c r="CM421" s="159"/>
      <c r="CN421" s="277"/>
      <c r="CO421" s="50">
        <f t="shared" si="170"/>
        <v>0</v>
      </c>
      <c r="CP421" s="103">
        <f t="shared" si="171"/>
        <v>0</v>
      </c>
      <c r="CQ421" s="280">
        <f t="shared" si="172"/>
        <v>0</v>
      </c>
      <c r="CR421" s="63">
        <f t="shared" si="173"/>
        <v>0</v>
      </c>
      <c r="CS421" s="279"/>
      <c r="CT421" s="52"/>
      <c r="CU421" s="105"/>
      <c r="CV421" s="98"/>
      <c r="CW421" s="279"/>
      <c r="CX421" s="52"/>
      <c r="CY421" s="105"/>
      <c r="CZ421" s="98"/>
      <c r="DA421" s="279"/>
      <c r="DB421" s="52"/>
      <c r="DC421" s="105"/>
      <c r="DD421" s="98"/>
      <c r="DE421" s="279"/>
      <c r="DF421" s="52"/>
      <c r="DG421" s="105"/>
      <c r="DH421" s="98"/>
      <c r="DI421" s="279"/>
      <c r="DJ421" s="52"/>
      <c r="DK421" s="105"/>
      <c r="DL421" s="98"/>
      <c r="DM421" s="279"/>
      <c r="DN421" s="52"/>
      <c r="DO421" s="105"/>
      <c r="DP421" s="98"/>
      <c r="DQ421" s="279"/>
      <c r="DR421" s="52"/>
      <c r="DS421" s="105"/>
      <c r="DT421" s="98"/>
      <c r="DU421" s="279"/>
      <c r="DV421" s="52"/>
      <c r="DW421" s="105"/>
      <c r="DX421" s="98"/>
      <c r="DY421" s="279"/>
      <c r="DZ421" s="52"/>
      <c r="EA421" s="105"/>
      <c r="EB421" s="98"/>
      <c r="EC421" s="279"/>
      <c r="ED421" s="52"/>
      <c r="EE421" s="105"/>
      <c r="EF421" s="98"/>
      <c r="EG421" s="159"/>
      <c r="EH421" s="277"/>
      <c r="EI421" s="50">
        <f t="shared" si="174"/>
        <v>0</v>
      </c>
      <c r="EJ421" s="103">
        <f t="shared" si="175"/>
        <v>0</v>
      </c>
      <c r="EK421" s="164">
        <f t="shared" si="176"/>
        <v>0</v>
      </c>
      <c r="EL421" s="280">
        <f t="shared" si="177"/>
        <v>0</v>
      </c>
      <c r="EM421" s="63">
        <f t="shared" si="178"/>
        <v>0</v>
      </c>
      <c r="EN421" s="359">
        <f t="shared" si="179"/>
        <v>0</v>
      </c>
      <c r="EO421" s="51">
        <f t="shared" si="180"/>
        <v>0</v>
      </c>
      <c r="EP421" s="361">
        <f t="shared" si="181"/>
        <v>0</v>
      </c>
      <c r="EQ421" s="281"/>
      <c r="ER421" s="277"/>
      <c r="ES421" s="281"/>
      <c r="ET421" s="277"/>
      <c r="EU421" s="281"/>
      <c r="EV421" s="277"/>
      <c r="EW421" s="281"/>
      <c r="EX421" s="277"/>
      <c r="EY421" s="281"/>
      <c r="EZ421" s="277"/>
      <c r="FA421" s="281"/>
      <c r="FB421" s="277"/>
      <c r="FC421" s="281"/>
      <c r="FD421" s="277"/>
      <c r="FE421" s="281"/>
      <c r="FF421" s="277"/>
      <c r="FG421" s="281"/>
      <c r="FH421" s="277"/>
      <c r="FI421" s="281"/>
      <c r="FJ421" s="277"/>
      <c r="FK421" s="50">
        <f t="shared" si="182"/>
        <v>0</v>
      </c>
      <c r="FL421" s="63">
        <f t="shared" si="183"/>
        <v>0</v>
      </c>
      <c r="FM421" s="50">
        <f t="shared" si="165"/>
        <v>545</v>
      </c>
      <c r="FN421" s="360">
        <f t="shared" si="166"/>
        <v>559</v>
      </c>
      <c r="FO421" s="3"/>
      <c r="FP421" s="279"/>
      <c r="FQ421" s="52"/>
      <c r="FR421" s="296"/>
      <c r="FS421" s="98"/>
      <c r="FT421" s="467"/>
      <c r="FU421" s="52"/>
      <c r="FV421" s="296"/>
      <c r="FW421" s="98"/>
      <c r="FX421" s="467"/>
      <c r="FY421" s="52"/>
      <c r="FZ421" s="296"/>
      <c r="GA421" s="98"/>
      <c r="GB421" s="467"/>
      <c r="GC421" s="52"/>
      <c r="GD421" s="296"/>
      <c r="GE421" s="98"/>
      <c r="GF421" s="467"/>
      <c r="GG421" s="52"/>
      <c r="GH421" s="296"/>
      <c r="GI421" s="98"/>
      <c r="GJ421" s="467"/>
      <c r="GK421" s="52"/>
      <c r="GL421" s="296"/>
      <c r="GM421" s="464"/>
      <c r="GN421" s="467"/>
      <c r="GO421" s="52"/>
      <c r="GP421" s="296"/>
      <c r="GQ421" s="464"/>
      <c r="GR421" s="467"/>
      <c r="GS421" s="52"/>
      <c r="GT421" s="296"/>
      <c r="GU421" s="464"/>
      <c r="GV421" s="467"/>
      <c r="GW421" s="52"/>
      <c r="GX421" s="296"/>
      <c r="GY421" s="464"/>
      <c r="GZ421" s="467"/>
      <c r="HA421" s="52"/>
      <c r="HB421" s="296"/>
      <c r="HC421" s="3"/>
    </row>
    <row r="422" spans="1:211" s="86" customFormat="1">
      <c r="A422" s="487" t="s">
        <v>31</v>
      </c>
      <c r="B422" s="367" t="s">
        <v>624</v>
      </c>
      <c r="C422" s="302">
        <v>207449</v>
      </c>
      <c r="D422" s="340">
        <v>8</v>
      </c>
      <c r="E422" s="460">
        <v>54</v>
      </c>
      <c r="F422" s="277">
        <v>123</v>
      </c>
      <c r="G422" s="158"/>
      <c r="H422" s="277"/>
      <c r="I422" s="158">
        <v>1000</v>
      </c>
      <c r="J422" s="277">
        <v>1180</v>
      </c>
      <c r="K422" s="160">
        <f t="shared" si="167"/>
        <v>0</v>
      </c>
      <c r="L422" s="161">
        <f t="shared" si="160"/>
        <v>0</v>
      </c>
      <c r="M422" s="54"/>
      <c r="N422" s="55"/>
      <c r="O422" s="55"/>
      <c r="P422" s="55"/>
      <c r="Q422" s="162">
        <f t="shared" si="168"/>
        <v>0</v>
      </c>
      <c r="R422" s="277"/>
      <c r="S422" s="277"/>
      <c r="T422" s="277"/>
      <c r="U422" s="277"/>
      <c r="V422" s="97">
        <f t="shared" si="169"/>
        <v>0</v>
      </c>
      <c r="W422" s="279"/>
      <c r="X422" s="52"/>
      <c r="Y422" s="99"/>
      <c r="Z422" s="53"/>
      <c r="AA422" s="228"/>
      <c r="AB422" s="52"/>
      <c r="AC422" s="99"/>
      <c r="AD422" s="53"/>
      <c r="AE422" s="228"/>
      <c r="AF422" s="52"/>
      <c r="AG422" s="99"/>
      <c r="AH422" s="53"/>
      <c r="AI422" s="228"/>
      <c r="AJ422" s="52"/>
      <c r="AK422" s="99"/>
      <c r="AL422" s="53"/>
      <c r="AM422" s="228"/>
      <c r="AN422" s="52"/>
      <c r="AO422" s="99"/>
      <c r="AP422" s="53"/>
      <c r="AQ422" s="50">
        <f t="shared" si="161"/>
        <v>0</v>
      </c>
      <c r="AR422" s="163">
        <f t="shared" si="162"/>
        <v>0</v>
      </c>
      <c r="AS422" s="97">
        <f t="shared" si="163"/>
        <v>0</v>
      </c>
      <c r="AT422" s="278">
        <f t="shared" si="164"/>
        <v>0</v>
      </c>
      <c r="AU422" s="55"/>
      <c r="AV422" s="277"/>
      <c r="AW422" s="279"/>
      <c r="AX422" s="52"/>
      <c r="AY422" s="105"/>
      <c r="AZ422" s="98"/>
      <c r="BA422" s="279"/>
      <c r="BB422" s="52"/>
      <c r="BC422" s="105"/>
      <c r="BD422" s="98"/>
      <c r="BE422" s="279"/>
      <c r="BF422" s="52"/>
      <c r="BG422" s="105"/>
      <c r="BH422" s="98"/>
      <c r="BI422" s="279"/>
      <c r="BJ422" s="52"/>
      <c r="BK422" s="105"/>
      <c r="BL422" s="98"/>
      <c r="BM422" s="279"/>
      <c r="BN422" s="52"/>
      <c r="BO422" s="105"/>
      <c r="BP422" s="98"/>
      <c r="BQ422" s="279"/>
      <c r="BR422" s="52"/>
      <c r="BS422" s="105"/>
      <c r="BT422" s="98"/>
      <c r="BU422" s="279"/>
      <c r="BV422" s="52"/>
      <c r="BW422" s="105"/>
      <c r="BX422" s="98"/>
      <c r="BY422" s="279"/>
      <c r="BZ422" s="52"/>
      <c r="CA422" s="105"/>
      <c r="CB422" s="98"/>
      <c r="CC422" s="279"/>
      <c r="CD422" s="52"/>
      <c r="CE422" s="105"/>
      <c r="CF422" s="98"/>
      <c r="CG422" s="279"/>
      <c r="CH422" s="52"/>
      <c r="CI422" s="105"/>
      <c r="CJ422" s="98"/>
      <c r="CK422" s="281"/>
      <c r="CL422" s="277"/>
      <c r="CM422" s="159"/>
      <c r="CN422" s="277"/>
      <c r="CO422" s="50">
        <f t="shared" si="170"/>
        <v>0</v>
      </c>
      <c r="CP422" s="103">
        <f t="shared" si="171"/>
        <v>0</v>
      </c>
      <c r="CQ422" s="280">
        <f t="shared" si="172"/>
        <v>0</v>
      </c>
      <c r="CR422" s="63">
        <f t="shared" si="173"/>
        <v>0</v>
      </c>
      <c r="CS422" s="279"/>
      <c r="CT422" s="52"/>
      <c r="CU422" s="105"/>
      <c r="CV422" s="98"/>
      <c r="CW422" s="279"/>
      <c r="CX422" s="52"/>
      <c r="CY422" s="105"/>
      <c r="CZ422" s="98"/>
      <c r="DA422" s="279"/>
      <c r="DB422" s="52"/>
      <c r="DC422" s="105"/>
      <c r="DD422" s="98"/>
      <c r="DE422" s="279"/>
      <c r="DF422" s="52"/>
      <c r="DG422" s="105"/>
      <c r="DH422" s="98"/>
      <c r="DI422" s="279"/>
      <c r="DJ422" s="52"/>
      <c r="DK422" s="105"/>
      <c r="DL422" s="98"/>
      <c r="DM422" s="279"/>
      <c r="DN422" s="52"/>
      <c r="DO422" s="105"/>
      <c r="DP422" s="98"/>
      <c r="DQ422" s="279"/>
      <c r="DR422" s="52"/>
      <c r="DS422" s="105"/>
      <c r="DT422" s="98"/>
      <c r="DU422" s="279"/>
      <c r="DV422" s="52"/>
      <c r="DW422" s="105"/>
      <c r="DX422" s="98"/>
      <c r="DY422" s="279"/>
      <c r="DZ422" s="52"/>
      <c r="EA422" s="105"/>
      <c r="EB422" s="98"/>
      <c r="EC422" s="279"/>
      <c r="ED422" s="52"/>
      <c r="EE422" s="105"/>
      <c r="EF422" s="98"/>
      <c r="EG422" s="159"/>
      <c r="EH422" s="277"/>
      <c r="EI422" s="50">
        <f t="shared" si="174"/>
        <v>0</v>
      </c>
      <c r="EJ422" s="103">
        <f t="shared" si="175"/>
        <v>0</v>
      </c>
      <c r="EK422" s="164">
        <f t="shared" si="176"/>
        <v>0</v>
      </c>
      <c r="EL422" s="280">
        <f t="shared" si="177"/>
        <v>0</v>
      </c>
      <c r="EM422" s="63">
        <f t="shared" si="178"/>
        <v>0</v>
      </c>
      <c r="EN422" s="359">
        <f t="shared" si="179"/>
        <v>0</v>
      </c>
      <c r="EO422" s="51">
        <f t="shared" si="180"/>
        <v>0</v>
      </c>
      <c r="EP422" s="361">
        <f t="shared" si="181"/>
        <v>0</v>
      </c>
      <c r="EQ422" s="281"/>
      <c r="ER422" s="277"/>
      <c r="ES422" s="281"/>
      <c r="ET422" s="277"/>
      <c r="EU422" s="281"/>
      <c r="EV422" s="277"/>
      <c r="EW422" s="281"/>
      <c r="EX422" s="277"/>
      <c r="EY422" s="281"/>
      <c r="EZ422" s="277"/>
      <c r="FA422" s="281"/>
      <c r="FB422" s="277"/>
      <c r="FC422" s="281"/>
      <c r="FD422" s="277"/>
      <c r="FE422" s="281"/>
      <c r="FF422" s="277"/>
      <c r="FG422" s="281"/>
      <c r="FH422" s="277"/>
      <c r="FI422" s="281"/>
      <c r="FJ422" s="277"/>
      <c r="FK422" s="50">
        <f t="shared" si="182"/>
        <v>0</v>
      </c>
      <c r="FL422" s="63">
        <f t="shared" si="183"/>
        <v>0</v>
      </c>
      <c r="FM422" s="50">
        <f t="shared" si="165"/>
        <v>1054</v>
      </c>
      <c r="FN422" s="360">
        <f t="shared" si="166"/>
        <v>1303</v>
      </c>
      <c r="FO422" s="3"/>
      <c r="FP422" s="279"/>
      <c r="FQ422" s="52"/>
      <c r="FR422" s="296"/>
      <c r="FS422" s="98"/>
      <c r="FT422" s="467"/>
      <c r="FU422" s="52"/>
      <c r="FV422" s="296"/>
      <c r="FW422" s="98"/>
      <c r="FX422" s="467"/>
      <c r="FY422" s="52"/>
      <c r="FZ422" s="296"/>
      <c r="GA422" s="98"/>
      <c r="GB422" s="467"/>
      <c r="GC422" s="52"/>
      <c r="GD422" s="296"/>
      <c r="GE422" s="98"/>
      <c r="GF422" s="467"/>
      <c r="GG422" s="52"/>
      <c r="GH422" s="296"/>
      <c r="GI422" s="98"/>
      <c r="GJ422" s="467"/>
      <c r="GK422" s="52"/>
      <c r="GL422" s="296"/>
      <c r="GM422" s="464"/>
      <c r="GN422" s="467"/>
      <c r="GO422" s="52"/>
      <c r="GP422" s="296"/>
      <c r="GQ422" s="464"/>
      <c r="GR422" s="467"/>
      <c r="GS422" s="52"/>
      <c r="GT422" s="296"/>
      <c r="GU422" s="464"/>
      <c r="GV422" s="467"/>
      <c r="GW422" s="52"/>
      <c r="GX422" s="296"/>
      <c r="GY422" s="464"/>
      <c r="GZ422" s="467"/>
      <c r="HA422" s="52"/>
      <c r="HB422" s="296"/>
      <c r="HC422" s="3"/>
    </row>
    <row r="423" spans="1:211" s="86" customFormat="1">
      <c r="A423" s="487" t="s">
        <v>31</v>
      </c>
      <c r="B423" s="303" t="s">
        <v>625</v>
      </c>
      <c r="C423" s="302">
        <v>207935</v>
      </c>
      <c r="D423" s="340">
        <v>8</v>
      </c>
      <c r="E423" s="460">
        <v>296</v>
      </c>
      <c r="F423" s="277">
        <v>255</v>
      </c>
      <c r="G423" s="158"/>
      <c r="H423" s="277"/>
      <c r="I423" s="158">
        <v>2023</v>
      </c>
      <c r="J423" s="277">
        <v>1719</v>
      </c>
      <c r="K423" s="160">
        <f t="shared" si="167"/>
        <v>0</v>
      </c>
      <c r="L423" s="161">
        <f t="shared" si="160"/>
        <v>0</v>
      </c>
      <c r="M423" s="54"/>
      <c r="N423" s="55"/>
      <c r="O423" s="55"/>
      <c r="P423" s="55"/>
      <c r="Q423" s="162">
        <f t="shared" si="168"/>
        <v>0</v>
      </c>
      <c r="R423" s="277"/>
      <c r="S423" s="277"/>
      <c r="T423" s="277"/>
      <c r="U423" s="277"/>
      <c r="V423" s="97">
        <f t="shared" si="169"/>
        <v>0</v>
      </c>
      <c r="W423" s="279"/>
      <c r="X423" s="52"/>
      <c r="Y423" s="99"/>
      <c r="Z423" s="53"/>
      <c r="AA423" s="228"/>
      <c r="AB423" s="52"/>
      <c r="AC423" s="99"/>
      <c r="AD423" s="53"/>
      <c r="AE423" s="228"/>
      <c r="AF423" s="52"/>
      <c r="AG423" s="99"/>
      <c r="AH423" s="53"/>
      <c r="AI423" s="228"/>
      <c r="AJ423" s="52"/>
      <c r="AK423" s="99"/>
      <c r="AL423" s="53"/>
      <c r="AM423" s="228"/>
      <c r="AN423" s="52"/>
      <c r="AO423" s="99"/>
      <c r="AP423" s="53"/>
      <c r="AQ423" s="50">
        <f t="shared" si="161"/>
        <v>0</v>
      </c>
      <c r="AR423" s="163">
        <f t="shared" si="162"/>
        <v>0</v>
      </c>
      <c r="AS423" s="97">
        <f t="shared" si="163"/>
        <v>0</v>
      </c>
      <c r="AT423" s="278">
        <f t="shared" si="164"/>
        <v>0</v>
      </c>
      <c r="AU423" s="55"/>
      <c r="AV423" s="277"/>
      <c r="AW423" s="279"/>
      <c r="AX423" s="52"/>
      <c r="AY423" s="105"/>
      <c r="AZ423" s="98"/>
      <c r="BA423" s="279"/>
      <c r="BB423" s="52"/>
      <c r="BC423" s="105"/>
      <c r="BD423" s="98"/>
      <c r="BE423" s="279"/>
      <c r="BF423" s="52"/>
      <c r="BG423" s="105"/>
      <c r="BH423" s="98"/>
      <c r="BI423" s="279"/>
      <c r="BJ423" s="52"/>
      <c r="BK423" s="105"/>
      <c r="BL423" s="98"/>
      <c r="BM423" s="279"/>
      <c r="BN423" s="52"/>
      <c r="BO423" s="105"/>
      <c r="BP423" s="98"/>
      <c r="BQ423" s="279"/>
      <c r="BR423" s="52"/>
      <c r="BS423" s="105"/>
      <c r="BT423" s="98"/>
      <c r="BU423" s="279"/>
      <c r="BV423" s="52"/>
      <c r="BW423" s="105"/>
      <c r="BX423" s="98"/>
      <c r="BY423" s="279"/>
      <c r="BZ423" s="52"/>
      <c r="CA423" s="105"/>
      <c r="CB423" s="98"/>
      <c r="CC423" s="279"/>
      <c r="CD423" s="52"/>
      <c r="CE423" s="105"/>
      <c r="CF423" s="98"/>
      <c r="CG423" s="279"/>
      <c r="CH423" s="52"/>
      <c r="CI423" s="105"/>
      <c r="CJ423" s="98"/>
      <c r="CK423" s="281"/>
      <c r="CL423" s="277"/>
      <c r="CM423" s="159"/>
      <c r="CN423" s="277"/>
      <c r="CO423" s="50">
        <f t="shared" si="170"/>
        <v>0</v>
      </c>
      <c r="CP423" s="103">
        <f t="shared" si="171"/>
        <v>0</v>
      </c>
      <c r="CQ423" s="280">
        <f t="shared" si="172"/>
        <v>0</v>
      </c>
      <c r="CR423" s="63">
        <f t="shared" si="173"/>
        <v>0</v>
      </c>
      <c r="CS423" s="279"/>
      <c r="CT423" s="52"/>
      <c r="CU423" s="105"/>
      <c r="CV423" s="98"/>
      <c r="CW423" s="279"/>
      <c r="CX423" s="52"/>
      <c r="CY423" s="105"/>
      <c r="CZ423" s="98"/>
      <c r="DA423" s="279"/>
      <c r="DB423" s="52"/>
      <c r="DC423" s="105"/>
      <c r="DD423" s="98"/>
      <c r="DE423" s="279"/>
      <c r="DF423" s="52"/>
      <c r="DG423" s="105"/>
      <c r="DH423" s="98"/>
      <c r="DI423" s="279"/>
      <c r="DJ423" s="52"/>
      <c r="DK423" s="105"/>
      <c r="DL423" s="98"/>
      <c r="DM423" s="279"/>
      <c r="DN423" s="52"/>
      <c r="DO423" s="105"/>
      <c r="DP423" s="98"/>
      <c r="DQ423" s="279"/>
      <c r="DR423" s="52"/>
      <c r="DS423" s="105"/>
      <c r="DT423" s="98"/>
      <c r="DU423" s="279"/>
      <c r="DV423" s="52"/>
      <c r="DW423" s="105"/>
      <c r="DX423" s="98"/>
      <c r="DY423" s="279"/>
      <c r="DZ423" s="52"/>
      <c r="EA423" s="105"/>
      <c r="EB423" s="98"/>
      <c r="EC423" s="279"/>
      <c r="ED423" s="52"/>
      <c r="EE423" s="105"/>
      <c r="EF423" s="98"/>
      <c r="EG423" s="159"/>
      <c r="EH423" s="277"/>
      <c r="EI423" s="50">
        <f t="shared" si="174"/>
        <v>0</v>
      </c>
      <c r="EJ423" s="103">
        <f t="shared" si="175"/>
        <v>0</v>
      </c>
      <c r="EK423" s="164">
        <f t="shared" si="176"/>
        <v>0</v>
      </c>
      <c r="EL423" s="280">
        <f t="shared" si="177"/>
        <v>0</v>
      </c>
      <c r="EM423" s="63">
        <f t="shared" si="178"/>
        <v>0</v>
      </c>
      <c r="EN423" s="359">
        <f t="shared" si="179"/>
        <v>0</v>
      </c>
      <c r="EO423" s="51">
        <f t="shared" si="180"/>
        <v>0</v>
      </c>
      <c r="EP423" s="361">
        <f t="shared" si="181"/>
        <v>0</v>
      </c>
      <c r="EQ423" s="281"/>
      <c r="ER423" s="277"/>
      <c r="ES423" s="281"/>
      <c r="ET423" s="277"/>
      <c r="EU423" s="281"/>
      <c r="EV423" s="277"/>
      <c r="EW423" s="281"/>
      <c r="EX423" s="277"/>
      <c r="EY423" s="281"/>
      <c r="EZ423" s="277"/>
      <c r="FA423" s="281"/>
      <c r="FB423" s="277"/>
      <c r="FC423" s="281"/>
      <c r="FD423" s="277"/>
      <c r="FE423" s="281"/>
      <c r="FF423" s="277"/>
      <c r="FG423" s="281"/>
      <c r="FH423" s="277"/>
      <c r="FI423" s="281"/>
      <c r="FJ423" s="277"/>
      <c r="FK423" s="50">
        <f t="shared" si="182"/>
        <v>0</v>
      </c>
      <c r="FL423" s="63">
        <f t="shared" si="183"/>
        <v>0</v>
      </c>
      <c r="FM423" s="50">
        <f t="shared" si="165"/>
        <v>2319</v>
      </c>
      <c r="FN423" s="360">
        <f t="shared" si="166"/>
        <v>1974</v>
      </c>
      <c r="FO423" s="3"/>
      <c r="FP423" s="279"/>
      <c r="FQ423" s="52"/>
      <c r="FR423" s="296"/>
      <c r="FS423" s="98"/>
      <c r="FT423" s="467"/>
      <c r="FU423" s="52"/>
      <c r="FV423" s="296"/>
      <c r="FW423" s="98"/>
      <c r="FX423" s="467"/>
      <c r="FY423" s="52"/>
      <c r="FZ423" s="296"/>
      <c r="GA423" s="98"/>
      <c r="GB423" s="467"/>
      <c r="GC423" s="52"/>
      <c r="GD423" s="296"/>
      <c r="GE423" s="98"/>
      <c r="GF423" s="467"/>
      <c r="GG423" s="52"/>
      <c r="GH423" s="296"/>
      <c r="GI423" s="98"/>
      <c r="GJ423" s="467"/>
      <c r="GK423" s="52"/>
      <c r="GL423" s="296"/>
      <c r="GM423" s="464"/>
      <c r="GN423" s="467"/>
      <c r="GO423" s="52"/>
      <c r="GP423" s="296"/>
      <c r="GQ423" s="464"/>
      <c r="GR423" s="467"/>
      <c r="GS423" s="52"/>
      <c r="GT423" s="296"/>
      <c r="GU423" s="464"/>
      <c r="GV423" s="467"/>
      <c r="GW423" s="52"/>
      <c r="GX423" s="296"/>
      <c r="GY423" s="464"/>
      <c r="GZ423" s="467"/>
      <c r="HA423" s="52"/>
      <c r="HB423" s="296"/>
      <c r="HC423" s="3"/>
    </row>
    <row r="424" spans="1:211" s="86" customFormat="1">
      <c r="A424" s="487" t="s">
        <v>31</v>
      </c>
      <c r="B424" s="367" t="s">
        <v>626</v>
      </c>
      <c r="C424" s="302">
        <v>207281</v>
      </c>
      <c r="D424" s="340">
        <v>9</v>
      </c>
      <c r="E424" s="460"/>
      <c r="F424" s="277"/>
      <c r="G424" s="158"/>
      <c r="H424" s="277"/>
      <c r="I424" s="158">
        <v>632</v>
      </c>
      <c r="J424" s="277">
        <v>704</v>
      </c>
      <c r="K424" s="160">
        <f t="shared" si="167"/>
        <v>0</v>
      </c>
      <c r="L424" s="161">
        <f t="shared" si="160"/>
        <v>0</v>
      </c>
      <c r="M424" s="54"/>
      <c r="N424" s="55"/>
      <c r="O424" s="55"/>
      <c r="P424" s="55"/>
      <c r="Q424" s="162">
        <f t="shared" si="168"/>
        <v>0</v>
      </c>
      <c r="R424" s="277"/>
      <c r="S424" s="277"/>
      <c r="T424" s="277"/>
      <c r="U424" s="277"/>
      <c r="V424" s="97">
        <f t="shared" si="169"/>
        <v>0</v>
      </c>
      <c r="W424" s="279"/>
      <c r="X424" s="52"/>
      <c r="Y424" s="99"/>
      <c r="Z424" s="53"/>
      <c r="AA424" s="228"/>
      <c r="AB424" s="52"/>
      <c r="AC424" s="99"/>
      <c r="AD424" s="53"/>
      <c r="AE424" s="228"/>
      <c r="AF424" s="52"/>
      <c r="AG424" s="99"/>
      <c r="AH424" s="53"/>
      <c r="AI424" s="228"/>
      <c r="AJ424" s="52"/>
      <c r="AK424" s="99"/>
      <c r="AL424" s="53"/>
      <c r="AM424" s="228"/>
      <c r="AN424" s="52"/>
      <c r="AO424" s="99"/>
      <c r="AP424" s="53"/>
      <c r="AQ424" s="50">
        <f t="shared" si="161"/>
        <v>0</v>
      </c>
      <c r="AR424" s="163">
        <f t="shared" si="162"/>
        <v>0</v>
      </c>
      <c r="AS424" s="97">
        <f t="shared" si="163"/>
        <v>0</v>
      </c>
      <c r="AT424" s="278">
        <f t="shared" si="164"/>
        <v>0</v>
      </c>
      <c r="AU424" s="55"/>
      <c r="AV424" s="277"/>
      <c r="AW424" s="279"/>
      <c r="AX424" s="52"/>
      <c r="AY424" s="105"/>
      <c r="AZ424" s="98"/>
      <c r="BA424" s="279"/>
      <c r="BB424" s="52"/>
      <c r="BC424" s="105"/>
      <c r="BD424" s="98"/>
      <c r="BE424" s="279"/>
      <c r="BF424" s="52"/>
      <c r="BG424" s="105"/>
      <c r="BH424" s="98"/>
      <c r="BI424" s="279"/>
      <c r="BJ424" s="52"/>
      <c r="BK424" s="105"/>
      <c r="BL424" s="98"/>
      <c r="BM424" s="279"/>
      <c r="BN424" s="52"/>
      <c r="BO424" s="105"/>
      <c r="BP424" s="98"/>
      <c r="BQ424" s="279"/>
      <c r="BR424" s="52"/>
      <c r="BS424" s="105"/>
      <c r="BT424" s="98"/>
      <c r="BU424" s="279"/>
      <c r="BV424" s="52"/>
      <c r="BW424" s="105"/>
      <c r="BX424" s="98"/>
      <c r="BY424" s="279"/>
      <c r="BZ424" s="52"/>
      <c r="CA424" s="105"/>
      <c r="CB424" s="98"/>
      <c r="CC424" s="279"/>
      <c r="CD424" s="52"/>
      <c r="CE424" s="105"/>
      <c r="CF424" s="98"/>
      <c r="CG424" s="279"/>
      <c r="CH424" s="52"/>
      <c r="CI424" s="105"/>
      <c r="CJ424" s="98"/>
      <c r="CK424" s="281"/>
      <c r="CL424" s="277"/>
      <c r="CM424" s="159"/>
      <c r="CN424" s="277"/>
      <c r="CO424" s="50">
        <f t="shared" si="170"/>
        <v>0</v>
      </c>
      <c r="CP424" s="103">
        <f t="shared" si="171"/>
        <v>0</v>
      </c>
      <c r="CQ424" s="280">
        <f t="shared" si="172"/>
        <v>0</v>
      </c>
      <c r="CR424" s="63">
        <f t="shared" si="173"/>
        <v>0</v>
      </c>
      <c r="CS424" s="279"/>
      <c r="CT424" s="52"/>
      <c r="CU424" s="105"/>
      <c r="CV424" s="98"/>
      <c r="CW424" s="279"/>
      <c r="CX424" s="52"/>
      <c r="CY424" s="105"/>
      <c r="CZ424" s="98"/>
      <c r="DA424" s="279"/>
      <c r="DB424" s="52"/>
      <c r="DC424" s="105"/>
      <c r="DD424" s="98"/>
      <c r="DE424" s="279"/>
      <c r="DF424" s="52"/>
      <c r="DG424" s="105"/>
      <c r="DH424" s="98"/>
      <c r="DI424" s="279"/>
      <c r="DJ424" s="52"/>
      <c r="DK424" s="105"/>
      <c r="DL424" s="98"/>
      <c r="DM424" s="279"/>
      <c r="DN424" s="52"/>
      <c r="DO424" s="105"/>
      <c r="DP424" s="98"/>
      <c r="DQ424" s="279"/>
      <c r="DR424" s="52"/>
      <c r="DS424" s="105"/>
      <c r="DT424" s="98"/>
      <c r="DU424" s="279"/>
      <c r="DV424" s="52"/>
      <c r="DW424" s="105"/>
      <c r="DX424" s="98"/>
      <c r="DY424" s="279"/>
      <c r="DZ424" s="52"/>
      <c r="EA424" s="105"/>
      <c r="EB424" s="98"/>
      <c r="EC424" s="279"/>
      <c r="ED424" s="52"/>
      <c r="EE424" s="105"/>
      <c r="EF424" s="98"/>
      <c r="EG424" s="159"/>
      <c r="EH424" s="277"/>
      <c r="EI424" s="50">
        <f t="shared" si="174"/>
        <v>0</v>
      </c>
      <c r="EJ424" s="103">
        <f t="shared" si="175"/>
        <v>0</v>
      </c>
      <c r="EK424" s="164">
        <f t="shared" si="176"/>
        <v>0</v>
      </c>
      <c r="EL424" s="280">
        <f t="shared" si="177"/>
        <v>0</v>
      </c>
      <c r="EM424" s="63">
        <f t="shared" si="178"/>
        <v>0</v>
      </c>
      <c r="EN424" s="359">
        <f t="shared" si="179"/>
        <v>0</v>
      </c>
      <c r="EO424" s="51">
        <f t="shared" si="180"/>
        <v>0</v>
      </c>
      <c r="EP424" s="361">
        <f t="shared" si="181"/>
        <v>0</v>
      </c>
      <c r="EQ424" s="281"/>
      <c r="ER424" s="277"/>
      <c r="ES424" s="281"/>
      <c r="ET424" s="277"/>
      <c r="EU424" s="281"/>
      <c r="EV424" s="277"/>
      <c r="EW424" s="281"/>
      <c r="EX424" s="277"/>
      <c r="EY424" s="281"/>
      <c r="EZ424" s="277"/>
      <c r="FA424" s="281"/>
      <c r="FB424" s="277"/>
      <c r="FC424" s="281"/>
      <c r="FD424" s="277"/>
      <c r="FE424" s="281"/>
      <c r="FF424" s="277"/>
      <c r="FG424" s="281"/>
      <c r="FH424" s="277"/>
      <c r="FI424" s="281"/>
      <c r="FJ424" s="277"/>
      <c r="FK424" s="50">
        <f t="shared" si="182"/>
        <v>0</v>
      </c>
      <c r="FL424" s="63">
        <f t="shared" si="183"/>
        <v>0</v>
      </c>
      <c r="FM424" s="50">
        <f t="shared" si="165"/>
        <v>632</v>
      </c>
      <c r="FN424" s="360">
        <f t="shared" si="166"/>
        <v>704</v>
      </c>
      <c r="FO424" s="3"/>
      <c r="FP424" s="279"/>
      <c r="FQ424" s="52"/>
      <c r="FR424" s="296"/>
      <c r="FS424" s="98"/>
      <c r="FT424" s="467"/>
      <c r="FU424" s="52"/>
      <c r="FV424" s="296"/>
      <c r="FW424" s="98"/>
      <c r="FX424" s="467"/>
      <c r="FY424" s="52"/>
      <c r="FZ424" s="296"/>
      <c r="GA424" s="98"/>
      <c r="GB424" s="467"/>
      <c r="GC424" s="52"/>
      <c r="GD424" s="296"/>
      <c r="GE424" s="98"/>
      <c r="GF424" s="467"/>
      <c r="GG424" s="52"/>
      <c r="GH424" s="296"/>
      <c r="GI424" s="98"/>
      <c r="GJ424" s="467"/>
      <c r="GK424" s="52"/>
      <c r="GL424" s="296"/>
      <c r="GM424" s="464"/>
      <c r="GN424" s="467"/>
      <c r="GO424" s="52"/>
      <c r="GP424" s="296"/>
      <c r="GQ424" s="464"/>
      <c r="GR424" s="467"/>
      <c r="GS424" s="52"/>
      <c r="GT424" s="296"/>
      <c r="GU424" s="464"/>
      <c r="GV424" s="467"/>
      <c r="GW424" s="52"/>
      <c r="GX424" s="296"/>
      <c r="GY424" s="464"/>
      <c r="GZ424" s="467"/>
      <c r="HA424" s="52"/>
      <c r="HB424" s="296"/>
      <c r="HC424" s="3"/>
    </row>
    <row r="425" spans="1:211" s="86" customFormat="1">
      <c r="A425" s="487" t="s">
        <v>31</v>
      </c>
      <c r="B425" s="303" t="s">
        <v>628</v>
      </c>
      <c r="C425" s="302">
        <v>207397</v>
      </c>
      <c r="D425" s="340">
        <v>9</v>
      </c>
      <c r="E425" s="460">
        <v>28</v>
      </c>
      <c r="F425" s="277">
        <v>26</v>
      </c>
      <c r="G425" s="158"/>
      <c r="H425" s="277"/>
      <c r="I425" s="158">
        <v>460</v>
      </c>
      <c r="J425" s="277">
        <v>503</v>
      </c>
      <c r="K425" s="160">
        <f t="shared" si="167"/>
        <v>0</v>
      </c>
      <c r="L425" s="161">
        <f t="shared" si="160"/>
        <v>167.66666666666666</v>
      </c>
      <c r="M425" s="54"/>
      <c r="N425" s="55"/>
      <c r="O425" s="55"/>
      <c r="P425" s="55"/>
      <c r="Q425" s="162">
        <f t="shared" si="168"/>
        <v>0</v>
      </c>
      <c r="R425" s="277">
        <v>3</v>
      </c>
      <c r="S425" s="277"/>
      <c r="T425" s="277"/>
      <c r="U425" s="277"/>
      <c r="V425" s="97">
        <f t="shared" si="169"/>
        <v>0</v>
      </c>
      <c r="W425" s="279"/>
      <c r="X425" s="52"/>
      <c r="Y425" s="99" t="s">
        <v>750</v>
      </c>
      <c r="Z425" s="53">
        <v>3</v>
      </c>
      <c r="AA425" s="228"/>
      <c r="AB425" s="52"/>
      <c r="AC425" s="99"/>
      <c r="AD425" s="53"/>
      <c r="AE425" s="228"/>
      <c r="AF425" s="52"/>
      <c r="AG425" s="99"/>
      <c r="AH425" s="53"/>
      <c r="AI425" s="228"/>
      <c r="AJ425" s="52"/>
      <c r="AK425" s="99"/>
      <c r="AL425" s="53"/>
      <c r="AM425" s="228"/>
      <c r="AN425" s="52"/>
      <c r="AO425" s="99"/>
      <c r="AP425" s="53"/>
      <c r="AQ425" s="50">
        <f t="shared" si="161"/>
        <v>0</v>
      </c>
      <c r="AR425" s="163">
        <f t="shared" si="162"/>
        <v>0</v>
      </c>
      <c r="AS425" s="97">
        <f t="shared" si="163"/>
        <v>1</v>
      </c>
      <c r="AT425" s="278">
        <f t="shared" si="164"/>
        <v>5.6390977443609019E-3</v>
      </c>
      <c r="AU425" s="55"/>
      <c r="AV425" s="277"/>
      <c r="AW425" s="279"/>
      <c r="AX425" s="52"/>
      <c r="AY425" s="105"/>
      <c r="AZ425" s="98"/>
      <c r="BA425" s="279"/>
      <c r="BB425" s="52"/>
      <c r="BC425" s="105"/>
      <c r="BD425" s="98"/>
      <c r="BE425" s="279"/>
      <c r="BF425" s="52"/>
      <c r="BG425" s="105"/>
      <c r="BH425" s="98"/>
      <c r="BI425" s="279"/>
      <c r="BJ425" s="52"/>
      <c r="BK425" s="105"/>
      <c r="BL425" s="98"/>
      <c r="BM425" s="279"/>
      <c r="BN425" s="52"/>
      <c r="BO425" s="105"/>
      <c r="BP425" s="98"/>
      <c r="BQ425" s="279"/>
      <c r="BR425" s="52"/>
      <c r="BS425" s="105"/>
      <c r="BT425" s="98"/>
      <c r="BU425" s="279"/>
      <c r="BV425" s="52"/>
      <c r="BW425" s="105"/>
      <c r="BX425" s="98"/>
      <c r="BY425" s="279"/>
      <c r="BZ425" s="52"/>
      <c r="CA425" s="105"/>
      <c r="CB425" s="98"/>
      <c r="CC425" s="279"/>
      <c r="CD425" s="52"/>
      <c r="CE425" s="105"/>
      <c r="CF425" s="98"/>
      <c r="CG425" s="279"/>
      <c r="CH425" s="52"/>
      <c r="CI425" s="105"/>
      <c r="CJ425" s="98"/>
      <c r="CK425" s="281"/>
      <c r="CL425" s="277"/>
      <c r="CM425" s="159"/>
      <c r="CN425" s="277"/>
      <c r="CO425" s="50">
        <f t="shared" si="170"/>
        <v>0</v>
      </c>
      <c r="CP425" s="103">
        <f t="shared" si="171"/>
        <v>0</v>
      </c>
      <c r="CQ425" s="280">
        <f t="shared" si="172"/>
        <v>0</v>
      </c>
      <c r="CR425" s="63">
        <f t="shared" si="173"/>
        <v>0</v>
      </c>
      <c r="CS425" s="279"/>
      <c r="CT425" s="52"/>
      <c r="CU425" s="105"/>
      <c r="CV425" s="98"/>
      <c r="CW425" s="279"/>
      <c r="CX425" s="52"/>
      <c r="CY425" s="105"/>
      <c r="CZ425" s="98"/>
      <c r="DA425" s="279"/>
      <c r="DB425" s="52"/>
      <c r="DC425" s="105"/>
      <c r="DD425" s="98"/>
      <c r="DE425" s="279"/>
      <c r="DF425" s="52"/>
      <c r="DG425" s="105"/>
      <c r="DH425" s="98"/>
      <c r="DI425" s="279"/>
      <c r="DJ425" s="52"/>
      <c r="DK425" s="105"/>
      <c r="DL425" s="98"/>
      <c r="DM425" s="279"/>
      <c r="DN425" s="52"/>
      <c r="DO425" s="105"/>
      <c r="DP425" s="98"/>
      <c r="DQ425" s="279"/>
      <c r="DR425" s="52"/>
      <c r="DS425" s="105"/>
      <c r="DT425" s="98"/>
      <c r="DU425" s="279"/>
      <c r="DV425" s="52"/>
      <c r="DW425" s="105"/>
      <c r="DX425" s="98"/>
      <c r="DY425" s="279"/>
      <c r="DZ425" s="52"/>
      <c r="EA425" s="105"/>
      <c r="EB425" s="98"/>
      <c r="EC425" s="279"/>
      <c r="ED425" s="52"/>
      <c r="EE425" s="105"/>
      <c r="EF425" s="98"/>
      <c r="EG425" s="159"/>
      <c r="EH425" s="277"/>
      <c r="EI425" s="50">
        <f t="shared" si="174"/>
        <v>0</v>
      </c>
      <c r="EJ425" s="103">
        <f t="shared" si="175"/>
        <v>0</v>
      </c>
      <c r="EK425" s="164">
        <f t="shared" si="176"/>
        <v>0</v>
      </c>
      <c r="EL425" s="280">
        <f t="shared" si="177"/>
        <v>0</v>
      </c>
      <c r="EM425" s="63">
        <f t="shared" si="178"/>
        <v>0</v>
      </c>
      <c r="EN425" s="359">
        <f t="shared" si="179"/>
        <v>0</v>
      </c>
      <c r="EO425" s="51">
        <f t="shared" si="180"/>
        <v>0</v>
      </c>
      <c r="EP425" s="361">
        <f t="shared" si="181"/>
        <v>0</v>
      </c>
      <c r="EQ425" s="281"/>
      <c r="ER425" s="277"/>
      <c r="ES425" s="281"/>
      <c r="ET425" s="277"/>
      <c r="EU425" s="281"/>
      <c r="EV425" s="277"/>
      <c r="EW425" s="281"/>
      <c r="EX425" s="277"/>
      <c r="EY425" s="281"/>
      <c r="EZ425" s="277"/>
      <c r="FA425" s="281"/>
      <c r="FB425" s="277"/>
      <c r="FC425" s="281"/>
      <c r="FD425" s="277"/>
      <c r="FE425" s="281"/>
      <c r="FF425" s="277"/>
      <c r="FG425" s="281"/>
      <c r="FH425" s="277"/>
      <c r="FI425" s="281"/>
      <c r="FJ425" s="277"/>
      <c r="FK425" s="50">
        <f t="shared" si="182"/>
        <v>0</v>
      </c>
      <c r="FL425" s="63">
        <f t="shared" si="183"/>
        <v>0</v>
      </c>
      <c r="FM425" s="50">
        <f t="shared" si="165"/>
        <v>488</v>
      </c>
      <c r="FN425" s="360">
        <f t="shared" si="166"/>
        <v>532</v>
      </c>
      <c r="FO425" s="3"/>
      <c r="FP425" s="279"/>
      <c r="FQ425" s="52"/>
      <c r="FR425" s="296"/>
      <c r="FS425" s="98"/>
      <c r="FT425" s="467"/>
      <c r="FU425" s="52"/>
      <c r="FV425" s="296"/>
      <c r="FW425" s="98"/>
      <c r="FX425" s="467"/>
      <c r="FY425" s="52"/>
      <c r="FZ425" s="296"/>
      <c r="GA425" s="98"/>
      <c r="GB425" s="467"/>
      <c r="GC425" s="52"/>
      <c r="GD425" s="296"/>
      <c r="GE425" s="98"/>
      <c r="GF425" s="467"/>
      <c r="GG425" s="52"/>
      <c r="GH425" s="296"/>
      <c r="GI425" s="98"/>
      <c r="GJ425" s="467"/>
      <c r="GK425" s="52"/>
      <c r="GL425" s="296"/>
      <c r="GM425" s="464"/>
      <c r="GN425" s="467"/>
      <c r="GO425" s="52"/>
      <c r="GP425" s="296"/>
      <c r="GQ425" s="464"/>
      <c r="GR425" s="467"/>
      <c r="GS425" s="52"/>
      <c r="GT425" s="296"/>
      <c r="GU425" s="464"/>
      <c r="GV425" s="467"/>
      <c r="GW425" s="52"/>
      <c r="GX425" s="296"/>
      <c r="GY425" s="464"/>
      <c r="GZ425" s="467"/>
      <c r="HA425" s="52"/>
      <c r="HB425" s="296"/>
      <c r="HC425" s="3"/>
    </row>
    <row r="426" spans="1:211" s="86" customFormat="1">
      <c r="A426" s="487" t="s">
        <v>31</v>
      </c>
      <c r="B426" s="303" t="s">
        <v>629</v>
      </c>
      <c r="C426" s="302">
        <v>207670</v>
      </c>
      <c r="D426" s="340">
        <v>9</v>
      </c>
      <c r="E426" s="460">
        <v>5</v>
      </c>
      <c r="F426" s="277">
        <v>6</v>
      </c>
      <c r="G426" s="158"/>
      <c r="H426" s="277"/>
      <c r="I426" s="158">
        <v>697</v>
      </c>
      <c r="J426" s="277">
        <v>720</v>
      </c>
      <c r="K426" s="160">
        <f t="shared" si="167"/>
        <v>0</v>
      </c>
      <c r="L426" s="161">
        <f t="shared" si="160"/>
        <v>0</v>
      </c>
      <c r="M426" s="54"/>
      <c r="N426" s="55"/>
      <c r="O426" s="55"/>
      <c r="P426" s="55"/>
      <c r="Q426" s="162">
        <f t="shared" si="168"/>
        <v>0</v>
      </c>
      <c r="R426" s="277"/>
      <c r="S426" s="277"/>
      <c r="T426" s="277"/>
      <c r="U426" s="277"/>
      <c r="V426" s="97">
        <f t="shared" si="169"/>
        <v>0</v>
      </c>
      <c r="W426" s="279"/>
      <c r="X426" s="52"/>
      <c r="Y426" s="99"/>
      <c r="Z426" s="53"/>
      <c r="AA426" s="228"/>
      <c r="AB426" s="52"/>
      <c r="AC426" s="99"/>
      <c r="AD426" s="53"/>
      <c r="AE426" s="228"/>
      <c r="AF426" s="52"/>
      <c r="AG426" s="99"/>
      <c r="AH426" s="53"/>
      <c r="AI426" s="228"/>
      <c r="AJ426" s="52"/>
      <c r="AK426" s="99"/>
      <c r="AL426" s="53"/>
      <c r="AM426" s="228"/>
      <c r="AN426" s="52"/>
      <c r="AO426" s="99"/>
      <c r="AP426" s="53"/>
      <c r="AQ426" s="50">
        <f t="shared" si="161"/>
        <v>0</v>
      </c>
      <c r="AR426" s="163">
        <f t="shared" si="162"/>
        <v>0</v>
      </c>
      <c r="AS426" s="97">
        <f t="shared" si="163"/>
        <v>0</v>
      </c>
      <c r="AT426" s="278">
        <f t="shared" si="164"/>
        <v>0</v>
      </c>
      <c r="AU426" s="55"/>
      <c r="AV426" s="277"/>
      <c r="AW426" s="279"/>
      <c r="AX426" s="52"/>
      <c r="AY426" s="105"/>
      <c r="AZ426" s="98"/>
      <c r="BA426" s="279"/>
      <c r="BB426" s="52"/>
      <c r="BC426" s="105"/>
      <c r="BD426" s="98"/>
      <c r="BE426" s="279"/>
      <c r="BF426" s="52"/>
      <c r="BG426" s="105"/>
      <c r="BH426" s="98"/>
      <c r="BI426" s="279"/>
      <c r="BJ426" s="52"/>
      <c r="BK426" s="105"/>
      <c r="BL426" s="98"/>
      <c r="BM426" s="279"/>
      <c r="BN426" s="52"/>
      <c r="BO426" s="105"/>
      <c r="BP426" s="98"/>
      <c r="BQ426" s="279"/>
      <c r="BR426" s="52"/>
      <c r="BS426" s="105"/>
      <c r="BT426" s="98"/>
      <c r="BU426" s="279"/>
      <c r="BV426" s="52"/>
      <c r="BW426" s="105"/>
      <c r="BX426" s="98"/>
      <c r="BY426" s="279"/>
      <c r="BZ426" s="52"/>
      <c r="CA426" s="105"/>
      <c r="CB426" s="98"/>
      <c r="CC426" s="279"/>
      <c r="CD426" s="52"/>
      <c r="CE426" s="105"/>
      <c r="CF426" s="98"/>
      <c r="CG426" s="279"/>
      <c r="CH426" s="52"/>
      <c r="CI426" s="105"/>
      <c r="CJ426" s="98"/>
      <c r="CK426" s="281"/>
      <c r="CL426" s="277"/>
      <c r="CM426" s="159"/>
      <c r="CN426" s="277"/>
      <c r="CO426" s="50">
        <f t="shared" si="170"/>
        <v>0</v>
      </c>
      <c r="CP426" s="103">
        <f t="shared" si="171"/>
        <v>0</v>
      </c>
      <c r="CQ426" s="280">
        <f t="shared" si="172"/>
        <v>0</v>
      </c>
      <c r="CR426" s="63">
        <f t="shared" si="173"/>
        <v>0</v>
      </c>
      <c r="CS426" s="279"/>
      <c r="CT426" s="52"/>
      <c r="CU426" s="105"/>
      <c r="CV426" s="98"/>
      <c r="CW426" s="279"/>
      <c r="CX426" s="52"/>
      <c r="CY426" s="105"/>
      <c r="CZ426" s="98"/>
      <c r="DA426" s="279"/>
      <c r="DB426" s="52"/>
      <c r="DC426" s="105"/>
      <c r="DD426" s="98"/>
      <c r="DE426" s="279"/>
      <c r="DF426" s="52"/>
      <c r="DG426" s="105"/>
      <c r="DH426" s="98"/>
      <c r="DI426" s="279"/>
      <c r="DJ426" s="52"/>
      <c r="DK426" s="105"/>
      <c r="DL426" s="98"/>
      <c r="DM426" s="279"/>
      <c r="DN426" s="52"/>
      <c r="DO426" s="105"/>
      <c r="DP426" s="98"/>
      <c r="DQ426" s="279"/>
      <c r="DR426" s="52"/>
      <c r="DS426" s="105"/>
      <c r="DT426" s="98"/>
      <c r="DU426" s="279"/>
      <c r="DV426" s="52"/>
      <c r="DW426" s="105"/>
      <c r="DX426" s="98"/>
      <c r="DY426" s="279"/>
      <c r="DZ426" s="52"/>
      <c r="EA426" s="105"/>
      <c r="EB426" s="98"/>
      <c r="EC426" s="279"/>
      <c r="ED426" s="52"/>
      <c r="EE426" s="105"/>
      <c r="EF426" s="98"/>
      <c r="EG426" s="159"/>
      <c r="EH426" s="277"/>
      <c r="EI426" s="50">
        <f t="shared" si="174"/>
        <v>0</v>
      </c>
      <c r="EJ426" s="103">
        <f t="shared" si="175"/>
        <v>0</v>
      </c>
      <c r="EK426" s="164">
        <f t="shared" si="176"/>
        <v>0</v>
      </c>
      <c r="EL426" s="280">
        <f t="shared" si="177"/>
        <v>0</v>
      </c>
      <c r="EM426" s="63">
        <f t="shared" si="178"/>
        <v>0</v>
      </c>
      <c r="EN426" s="359">
        <f t="shared" si="179"/>
        <v>0</v>
      </c>
      <c r="EO426" s="51">
        <f t="shared" si="180"/>
        <v>0</v>
      </c>
      <c r="EP426" s="361">
        <f t="shared" si="181"/>
        <v>0</v>
      </c>
      <c r="EQ426" s="281"/>
      <c r="ER426" s="277"/>
      <c r="ES426" s="281"/>
      <c r="ET426" s="277"/>
      <c r="EU426" s="281"/>
      <c r="EV426" s="277"/>
      <c r="EW426" s="281"/>
      <c r="EX426" s="277"/>
      <c r="EY426" s="281"/>
      <c r="EZ426" s="277"/>
      <c r="FA426" s="281"/>
      <c r="FB426" s="277"/>
      <c r="FC426" s="281"/>
      <c r="FD426" s="277"/>
      <c r="FE426" s="281"/>
      <c r="FF426" s="277"/>
      <c r="FG426" s="281"/>
      <c r="FH426" s="277"/>
      <c r="FI426" s="281"/>
      <c r="FJ426" s="277"/>
      <c r="FK426" s="50">
        <f t="shared" si="182"/>
        <v>0</v>
      </c>
      <c r="FL426" s="63">
        <f t="shared" si="183"/>
        <v>0</v>
      </c>
      <c r="FM426" s="50">
        <f t="shared" si="165"/>
        <v>702</v>
      </c>
      <c r="FN426" s="360">
        <f t="shared" si="166"/>
        <v>726</v>
      </c>
      <c r="FO426" s="3"/>
      <c r="FP426" s="279"/>
      <c r="FQ426" s="52"/>
      <c r="FR426" s="296"/>
      <c r="FS426" s="98"/>
      <c r="FT426" s="467"/>
      <c r="FU426" s="52"/>
      <c r="FV426" s="296"/>
      <c r="FW426" s="98"/>
      <c r="FX426" s="467"/>
      <c r="FY426" s="52"/>
      <c r="FZ426" s="296"/>
      <c r="GA426" s="98"/>
      <c r="GB426" s="467"/>
      <c r="GC426" s="52"/>
      <c r="GD426" s="296"/>
      <c r="GE426" s="98"/>
      <c r="GF426" s="467"/>
      <c r="GG426" s="52"/>
      <c r="GH426" s="296"/>
      <c r="GI426" s="98"/>
      <c r="GJ426" s="467"/>
      <c r="GK426" s="52"/>
      <c r="GL426" s="296"/>
      <c r="GM426" s="464"/>
      <c r="GN426" s="467"/>
      <c r="GO426" s="52"/>
      <c r="GP426" s="296"/>
      <c r="GQ426" s="464"/>
      <c r="GR426" s="467"/>
      <c r="GS426" s="52"/>
      <c r="GT426" s="296"/>
      <c r="GU426" s="464"/>
      <c r="GV426" s="467"/>
      <c r="GW426" s="52"/>
      <c r="GX426" s="296"/>
      <c r="GY426" s="464"/>
      <c r="GZ426" s="467"/>
      <c r="HA426" s="52"/>
      <c r="HB426" s="296"/>
      <c r="HC426" s="3"/>
    </row>
    <row r="427" spans="1:211" s="86" customFormat="1">
      <c r="A427" s="487" t="s">
        <v>31</v>
      </c>
      <c r="B427" s="303" t="s">
        <v>630</v>
      </c>
      <c r="C427" s="302">
        <v>206923</v>
      </c>
      <c r="D427" s="340">
        <v>10</v>
      </c>
      <c r="E427" s="460">
        <v>43</v>
      </c>
      <c r="F427" s="277">
        <v>54</v>
      </c>
      <c r="G427" s="158"/>
      <c r="H427" s="277"/>
      <c r="I427" s="158">
        <v>423</v>
      </c>
      <c r="J427" s="277">
        <v>493</v>
      </c>
      <c r="K427" s="160">
        <f t="shared" si="167"/>
        <v>0</v>
      </c>
      <c r="L427" s="161">
        <f t="shared" si="160"/>
        <v>0</v>
      </c>
      <c r="M427" s="54"/>
      <c r="N427" s="55"/>
      <c r="O427" s="55"/>
      <c r="P427" s="55"/>
      <c r="Q427" s="162">
        <f t="shared" si="168"/>
        <v>0</v>
      </c>
      <c r="R427" s="277"/>
      <c r="S427" s="277"/>
      <c r="T427" s="277"/>
      <c r="U427" s="277"/>
      <c r="V427" s="97">
        <f t="shared" si="169"/>
        <v>0</v>
      </c>
      <c r="W427" s="279"/>
      <c r="X427" s="52"/>
      <c r="Y427" s="99"/>
      <c r="Z427" s="53"/>
      <c r="AA427" s="228"/>
      <c r="AB427" s="52"/>
      <c r="AC427" s="99"/>
      <c r="AD427" s="53"/>
      <c r="AE427" s="228"/>
      <c r="AF427" s="52"/>
      <c r="AG427" s="99"/>
      <c r="AH427" s="53"/>
      <c r="AI427" s="228"/>
      <c r="AJ427" s="52"/>
      <c r="AK427" s="99"/>
      <c r="AL427" s="53"/>
      <c r="AM427" s="228"/>
      <c r="AN427" s="52"/>
      <c r="AO427" s="99"/>
      <c r="AP427" s="53"/>
      <c r="AQ427" s="50">
        <f t="shared" si="161"/>
        <v>0</v>
      </c>
      <c r="AR427" s="163">
        <f t="shared" si="162"/>
        <v>0</v>
      </c>
      <c r="AS427" s="97">
        <f t="shared" si="163"/>
        <v>0</v>
      </c>
      <c r="AT427" s="278">
        <f t="shared" si="164"/>
        <v>0</v>
      </c>
      <c r="AU427" s="55"/>
      <c r="AV427" s="277"/>
      <c r="AW427" s="279"/>
      <c r="AX427" s="52"/>
      <c r="AY427" s="105"/>
      <c r="AZ427" s="98"/>
      <c r="BA427" s="279"/>
      <c r="BB427" s="52"/>
      <c r="BC427" s="105"/>
      <c r="BD427" s="98"/>
      <c r="BE427" s="279"/>
      <c r="BF427" s="52"/>
      <c r="BG427" s="105"/>
      <c r="BH427" s="98"/>
      <c r="BI427" s="279"/>
      <c r="BJ427" s="52"/>
      <c r="BK427" s="105"/>
      <c r="BL427" s="98"/>
      <c r="BM427" s="279"/>
      <c r="BN427" s="52"/>
      <c r="BO427" s="105"/>
      <c r="BP427" s="98"/>
      <c r="BQ427" s="279"/>
      <c r="BR427" s="52"/>
      <c r="BS427" s="105"/>
      <c r="BT427" s="98"/>
      <c r="BU427" s="279"/>
      <c r="BV427" s="52"/>
      <c r="BW427" s="105"/>
      <c r="BX427" s="98"/>
      <c r="BY427" s="279"/>
      <c r="BZ427" s="52"/>
      <c r="CA427" s="105"/>
      <c r="CB427" s="98"/>
      <c r="CC427" s="279"/>
      <c r="CD427" s="52"/>
      <c r="CE427" s="105"/>
      <c r="CF427" s="98"/>
      <c r="CG427" s="279"/>
      <c r="CH427" s="52"/>
      <c r="CI427" s="105"/>
      <c r="CJ427" s="98"/>
      <c r="CK427" s="281"/>
      <c r="CL427" s="277"/>
      <c r="CM427" s="159"/>
      <c r="CN427" s="277"/>
      <c r="CO427" s="50">
        <f t="shared" si="170"/>
        <v>0</v>
      </c>
      <c r="CP427" s="103">
        <f t="shared" si="171"/>
        <v>0</v>
      </c>
      <c r="CQ427" s="280">
        <f t="shared" si="172"/>
        <v>0</v>
      </c>
      <c r="CR427" s="63">
        <f t="shared" si="173"/>
        <v>0</v>
      </c>
      <c r="CS427" s="279"/>
      <c r="CT427" s="52"/>
      <c r="CU427" s="105"/>
      <c r="CV427" s="98"/>
      <c r="CW427" s="279"/>
      <c r="CX427" s="52"/>
      <c r="CY427" s="105"/>
      <c r="CZ427" s="98"/>
      <c r="DA427" s="279"/>
      <c r="DB427" s="52"/>
      <c r="DC427" s="105"/>
      <c r="DD427" s="98"/>
      <c r="DE427" s="279"/>
      <c r="DF427" s="52"/>
      <c r="DG427" s="105"/>
      <c r="DH427" s="98"/>
      <c r="DI427" s="279"/>
      <c r="DJ427" s="52"/>
      <c r="DK427" s="105"/>
      <c r="DL427" s="98"/>
      <c r="DM427" s="279"/>
      <c r="DN427" s="52"/>
      <c r="DO427" s="105"/>
      <c r="DP427" s="98"/>
      <c r="DQ427" s="279"/>
      <c r="DR427" s="52"/>
      <c r="DS427" s="105"/>
      <c r="DT427" s="98"/>
      <c r="DU427" s="279"/>
      <c r="DV427" s="52"/>
      <c r="DW427" s="105"/>
      <c r="DX427" s="98"/>
      <c r="DY427" s="279"/>
      <c r="DZ427" s="52"/>
      <c r="EA427" s="105"/>
      <c r="EB427" s="98"/>
      <c r="EC427" s="279"/>
      <c r="ED427" s="52"/>
      <c r="EE427" s="105"/>
      <c r="EF427" s="98"/>
      <c r="EG427" s="159"/>
      <c r="EH427" s="277"/>
      <c r="EI427" s="50">
        <f t="shared" si="174"/>
        <v>0</v>
      </c>
      <c r="EJ427" s="103">
        <f t="shared" si="175"/>
        <v>0</v>
      </c>
      <c r="EK427" s="164">
        <f t="shared" si="176"/>
        <v>0</v>
      </c>
      <c r="EL427" s="280">
        <f t="shared" si="177"/>
        <v>0</v>
      </c>
      <c r="EM427" s="63">
        <f t="shared" si="178"/>
        <v>0</v>
      </c>
      <c r="EN427" s="359">
        <f t="shared" si="179"/>
        <v>0</v>
      </c>
      <c r="EO427" s="51">
        <f t="shared" si="180"/>
        <v>0</v>
      </c>
      <c r="EP427" s="361">
        <f t="shared" si="181"/>
        <v>0</v>
      </c>
      <c r="EQ427" s="281"/>
      <c r="ER427" s="277"/>
      <c r="ES427" s="281"/>
      <c r="ET427" s="277"/>
      <c r="EU427" s="281"/>
      <c r="EV427" s="277"/>
      <c r="EW427" s="281"/>
      <c r="EX427" s="277"/>
      <c r="EY427" s="281"/>
      <c r="EZ427" s="277"/>
      <c r="FA427" s="281"/>
      <c r="FB427" s="277"/>
      <c r="FC427" s="281"/>
      <c r="FD427" s="277"/>
      <c r="FE427" s="281"/>
      <c r="FF427" s="277"/>
      <c r="FG427" s="281"/>
      <c r="FH427" s="277"/>
      <c r="FI427" s="281"/>
      <c r="FJ427" s="277"/>
      <c r="FK427" s="50">
        <f t="shared" si="182"/>
        <v>0</v>
      </c>
      <c r="FL427" s="63">
        <f t="shared" si="183"/>
        <v>0</v>
      </c>
      <c r="FM427" s="50">
        <f t="shared" si="165"/>
        <v>466</v>
      </c>
      <c r="FN427" s="360">
        <f t="shared" si="166"/>
        <v>547</v>
      </c>
      <c r="FO427" s="3"/>
      <c r="FP427" s="279"/>
      <c r="FQ427" s="52"/>
      <c r="FR427" s="296"/>
      <c r="FS427" s="98"/>
      <c r="FT427" s="467"/>
      <c r="FU427" s="52"/>
      <c r="FV427" s="296"/>
      <c r="FW427" s="98"/>
      <c r="FX427" s="467"/>
      <c r="FY427" s="52"/>
      <c r="FZ427" s="296"/>
      <c r="GA427" s="98"/>
      <c r="GB427" s="467"/>
      <c r="GC427" s="52"/>
      <c r="GD427" s="296"/>
      <c r="GE427" s="98"/>
      <c r="GF427" s="467"/>
      <c r="GG427" s="52"/>
      <c r="GH427" s="296"/>
      <c r="GI427" s="98"/>
      <c r="GJ427" s="467"/>
      <c r="GK427" s="52"/>
      <c r="GL427" s="296"/>
      <c r="GM427" s="464"/>
      <c r="GN427" s="467"/>
      <c r="GO427" s="52"/>
      <c r="GP427" s="296"/>
      <c r="GQ427" s="464"/>
      <c r="GR427" s="467"/>
      <c r="GS427" s="52"/>
      <c r="GT427" s="296"/>
      <c r="GU427" s="464"/>
      <c r="GV427" s="467"/>
      <c r="GW427" s="52"/>
      <c r="GX427" s="296"/>
      <c r="GY427" s="464"/>
      <c r="GZ427" s="467"/>
      <c r="HA427" s="52"/>
      <c r="HB427" s="296"/>
      <c r="HC427" s="3"/>
    </row>
    <row r="428" spans="1:211" s="86" customFormat="1">
      <c r="A428" s="487" t="s">
        <v>31</v>
      </c>
      <c r="B428" s="303" t="s">
        <v>631</v>
      </c>
      <c r="C428" s="302">
        <v>206996</v>
      </c>
      <c r="D428" s="340">
        <v>10</v>
      </c>
      <c r="E428" s="460">
        <v>7</v>
      </c>
      <c r="F428" s="277">
        <v>14</v>
      </c>
      <c r="G428" s="158"/>
      <c r="H428" s="277"/>
      <c r="I428" s="158">
        <v>280</v>
      </c>
      <c r="J428" s="277">
        <v>312</v>
      </c>
      <c r="K428" s="160">
        <f t="shared" si="167"/>
        <v>0</v>
      </c>
      <c r="L428" s="161">
        <f t="shared" si="160"/>
        <v>0</v>
      </c>
      <c r="M428" s="54"/>
      <c r="N428" s="55"/>
      <c r="O428" s="55"/>
      <c r="P428" s="55"/>
      <c r="Q428" s="162">
        <f t="shared" si="168"/>
        <v>0</v>
      </c>
      <c r="R428" s="277"/>
      <c r="S428" s="277"/>
      <c r="T428" s="277"/>
      <c r="U428" s="277"/>
      <c r="V428" s="97">
        <f t="shared" si="169"/>
        <v>0</v>
      </c>
      <c r="W428" s="279"/>
      <c r="X428" s="52"/>
      <c r="Y428" s="99"/>
      <c r="Z428" s="53"/>
      <c r="AA428" s="228"/>
      <c r="AB428" s="52"/>
      <c r="AC428" s="99"/>
      <c r="AD428" s="53"/>
      <c r="AE428" s="228"/>
      <c r="AF428" s="52"/>
      <c r="AG428" s="99"/>
      <c r="AH428" s="53"/>
      <c r="AI428" s="228"/>
      <c r="AJ428" s="52"/>
      <c r="AK428" s="99"/>
      <c r="AL428" s="53"/>
      <c r="AM428" s="228"/>
      <c r="AN428" s="52"/>
      <c r="AO428" s="99"/>
      <c r="AP428" s="53"/>
      <c r="AQ428" s="50">
        <f t="shared" si="161"/>
        <v>0</v>
      </c>
      <c r="AR428" s="163">
        <f t="shared" si="162"/>
        <v>0</v>
      </c>
      <c r="AS428" s="97">
        <f t="shared" si="163"/>
        <v>0</v>
      </c>
      <c r="AT428" s="278">
        <f t="shared" si="164"/>
        <v>0</v>
      </c>
      <c r="AU428" s="55"/>
      <c r="AV428" s="277"/>
      <c r="AW428" s="279"/>
      <c r="AX428" s="52"/>
      <c r="AY428" s="105"/>
      <c r="AZ428" s="98"/>
      <c r="BA428" s="279"/>
      <c r="BB428" s="52"/>
      <c r="BC428" s="105"/>
      <c r="BD428" s="98"/>
      <c r="BE428" s="279"/>
      <c r="BF428" s="52"/>
      <c r="BG428" s="105"/>
      <c r="BH428" s="98"/>
      <c r="BI428" s="279"/>
      <c r="BJ428" s="52"/>
      <c r="BK428" s="105"/>
      <c r="BL428" s="98"/>
      <c r="BM428" s="279"/>
      <c r="BN428" s="52"/>
      <c r="BO428" s="105"/>
      <c r="BP428" s="98"/>
      <c r="BQ428" s="279"/>
      <c r="BR428" s="52"/>
      <c r="BS428" s="105"/>
      <c r="BT428" s="98"/>
      <c r="BU428" s="279"/>
      <c r="BV428" s="52"/>
      <c r="BW428" s="105"/>
      <c r="BX428" s="98"/>
      <c r="BY428" s="279"/>
      <c r="BZ428" s="52"/>
      <c r="CA428" s="105"/>
      <c r="CB428" s="98"/>
      <c r="CC428" s="279"/>
      <c r="CD428" s="52"/>
      <c r="CE428" s="105"/>
      <c r="CF428" s="98"/>
      <c r="CG428" s="279"/>
      <c r="CH428" s="52"/>
      <c r="CI428" s="105"/>
      <c r="CJ428" s="98"/>
      <c r="CK428" s="281"/>
      <c r="CL428" s="277"/>
      <c r="CM428" s="159"/>
      <c r="CN428" s="277"/>
      <c r="CO428" s="50">
        <f t="shared" si="170"/>
        <v>0</v>
      </c>
      <c r="CP428" s="103">
        <f t="shared" si="171"/>
        <v>0</v>
      </c>
      <c r="CQ428" s="280">
        <f t="shared" si="172"/>
        <v>0</v>
      </c>
      <c r="CR428" s="63">
        <f t="shared" si="173"/>
        <v>0</v>
      </c>
      <c r="CS428" s="279"/>
      <c r="CT428" s="52"/>
      <c r="CU428" s="105"/>
      <c r="CV428" s="98"/>
      <c r="CW428" s="279"/>
      <c r="CX428" s="52"/>
      <c r="CY428" s="105"/>
      <c r="CZ428" s="98"/>
      <c r="DA428" s="279"/>
      <c r="DB428" s="52"/>
      <c r="DC428" s="105"/>
      <c r="DD428" s="98"/>
      <c r="DE428" s="279"/>
      <c r="DF428" s="52"/>
      <c r="DG428" s="105"/>
      <c r="DH428" s="98"/>
      <c r="DI428" s="279"/>
      <c r="DJ428" s="52"/>
      <c r="DK428" s="105"/>
      <c r="DL428" s="98"/>
      <c r="DM428" s="279"/>
      <c r="DN428" s="52"/>
      <c r="DO428" s="105"/>
      <c r="DP428" s="98"/>
      <c r="DQ428" s="279"/>
      <c r="DR428" s="52"/>
      <c r="DS428" s="105"/>
      <c r="DT428" s="98"/>
      <c r="DU428" s="279"/>
      <c r="DV428" s="52"/>
      <c r="DW428" s="105"/>
      <c r="DX428" s="98"/>
      <c r="DY428" s="279"/>
      <c r="DZ428" s="52"/>
      <c r="EA428" s="105"/>
      <c r="EB428" s="98"/>
      <c r="EC428" s="279"/>
      <c r="ED428" s="52"/>
      <c r="EE428" s="105"/>
      <c r="EF428" s="98"/>
      <c r="EG428" s="159"/>
      <c r="EH428" s="277"/>
      <c r="EI428" s="50">
        <f t="shared" si="174"/>
        <v>0</v>
      </c>
      <c r="EJ428" s="103">
        <f t="shared" si="175"/>
        <v>0</v>
      </c>
      <c r="EK428" s="164">
        <f t="shared" si="176"/>
        <v>0</v>
      </c>
      <c r="EL428" s="280">
        <f t="shared" si="177"/>
        <v>0</v>
      </c>
      <c r="EM428" s="63">
        <f t="shared" si="178"/>
        <v>0</v>
      </c>
      <c r="EN428" s="359">
        <f t="shared" si="179"/>
        <v>0</v>
      </c>
      <c r="EO428" s="51">
        <f t="shared" si="180"/>
        <v>0</v>
      </c>
      <c r="EP428" s="361">
        <f t="shared" si="181"/>
        <v>0</v>
      </c>
      <c r="EQ428" s="281"/>
      <c r="ER428" s="277"/>
      <c r="ES428" s="281"/>
      <c r="ET428" s="277"/>
      <c r="EU428" s="281"/>
      <c r="EV428" s="277"/>
      <c r="EW428" s="281"/>
      <c r="EX428" s="277"/>
      <c r="EY428" s="281"/>
      <c r="EZ428" s="277"/>
      <c r="FA428" s="281"/>
      <c r="FB428" s="277"/>
      <c r="FC428" s="281"/>
      <c r="FD428" s="277"/>
      <c r="FE428" s="281"/>
      <c r="FF428" s="277"/>
      <c r="FG428" s="281"/>
      <c r="FH428" s="277"/>
      <c r="FI428" s="281"/>
      <c r="FJ428" s="277"/>
      <c r="FK428" s="50">
        <f t="shared" si="182"/>
        <v>0</v>
      </c>
      <c r="FL428" s="63">
        <f t="shared" si="183"/>
        <v>0</v>
      </c>
      <c r="FM428" s="50">
        <f t="shared" si="165"/>
        <v>287</v>
      </c>
      <c r="FN428" s="360">
        <f t="shared" si="166"/>
        <v>326</v>
      </c>
      <c r="FO428" s="3"/>
      <c r="FP428" s="279"/>
      <c r="FQ428" s="52"/>
      <c r="FR428" s="296"/>
      <c r="FS428" s="98"/>
      <c r="FT428" s="467"/>
      <c r="FU428" s="52"/>
      <c r="FV428" s="296"/>
      <c r="FW428" s="98"/>
      <c r="FX428" s="467"/>
      <c r="FY428" s="52"/>
      <c r="FZ428" s="296"/>
      <c r="GA428" s="98"/>
      <c r="GB428" s="467"/>
      <c r="GC428" s="52"/>
      <c r="GD428" s="296"/>
      <c r="GE428" s="98"/>
      <c r="GF428" s="467"/>
      <c r="GG428" s="52"/>
      <c r="GH428" s="296"/>
      <c r="GI428" s="98"/>
      <c r="GJ428" s="467"/>
      <c r="GK428" s="52"/>
      <c r="GL428" s="296"/>
      <c r="GM428" s="464"/>
      <c r="GN428" s="467"/>
      <c r="GO428" s="52"/>
      <c r="GP428" s="296"/>
      <c r="GQ428" s="464"/>
      <c r="GR428" s="467"/>
      <c r="GS428" s="52"/>
      <c r="GT428" s="296"/>
      <c r="GU428" s="464"/>
      <c r="GV428" s="467"/>
      <c r="GW428" s="52"/>
      <c r="GX428" s="296"/>
      <c r="GY428" s="464"/>
      <c r="GZ428" s="467"/>
      <c r="HA428" s="52"/>
      <c r="HB428" s="296"/>
      <c r="HC428" s="3"/>
    </row>
    <row r="429" spans="1:211" s="86" customFormat="1">
      <c r="A429" s="487" t="s">
        <v>31</v>
      </c>
      <c r="B429" s="303" t="s">
        <v>632</v>
      </c>
      <c r="C429" s="302">
        <v>207050</v>
      </c>
      <c r="D429" s="340">
        <v>10</v>
      </c>
      <c r="E429" s="460">
        <v>2</v>
      </c>
      <c r="F429" s="277">
        <v>3</v>
      </c>
      <c r="G429" s="158"/>
      <c r="H429" s="277"/>
      <c r="I429" s="158">
        <v>277</v>
      </c>
      <c r="J429" s="277">
        <v>233</v>
      </c>
      <c r="K429" s="160">
        <f t="shared" si="167"/>
        <v>0</v>
      </c>
      <c r="L429" s="161">
        <f t="shared" si="160"/>
        <v>0</v>
      </c>
      <c r="M429" s="54"/>
      <c r="N429" s="55"/>
      <c r="O429" s="55"/>
      <c r="P429" s="55"/>
      <c r="Q429" s="162">
        <f t="shared" si="168"/>
        <v>0</v>
      </c>
      <c r="R429" s="277"/>
      <c r="S429" s="277"/>
      <c r="T429" s="277"/>
      <c r="U429" s="277"/>
      <c r="V429" s="97">
        <f t="shared" si="169"/>
        <v>0</v>
      </c>
      <c r="W429" s="279"/>
      <c r="X429" s="52"/>
      <c r="Y429" s="99"/>
      <c r="Z429" s="53"/>
      <c r="AA429" s="228"/>
      <c r="AB429" s="52"/>
      <c r="AC429" s="99"/>
      <c r="AD429" s="53"/>
      <c r="AE429" s="228"/>
      <c r="AF429" s="52"/>
      <c r="AG429" s="99"/>
      <c r="AH429" s="53"/>
      <c r="AI429" s="228"/>
      <c r="AJ429" s="52"/>
      <c r="AK429" s="99"/>
      <c r="AL429" s="53"/>
      <c r="AM429" s="228"/>
      <c r="AN429" s="52"/>
      <c r="AO429" s="99"/>
      <c r="AP429" s="53"/>
      <c r="AQ429" s="50">
        <f t="shared" si="161"/>
        <v>0</v>
      </c>
      <c r="AR429" s="163">
        <f t="shared" si="162"/>
        <v>0</v>
      </c>
      <c r="AS429" s="97">
        <f t="shared" si="163"/>
        <v>0</v>
      </c>
      <c r="AT429" s="278">
        <f t="shared" si="164"/>
        <v>0</v>
      </c>
      <c r="AU429" s="55"/>
      <c r="AV429" s="277"/>
      <c r="AW429" s="279"/>
      <c r="AX429" s="52"/>
      <c r="AY429" s="105"/>
      <c r="AZ429" s="98"/>
      <c r="BA429" s="279"/>
      <c r="BB429" s="52"/>
      <c r="BC429" s="105"/>
      <c r="BD429" s="98"/>
      <c r="BE429" s="279"/>
      <c r="BF429" s="52"/>
      <c r="BG429" s="105"/>
      <c r="BH429" s="98"/>
      <c r="BI429" s="279"/>
      <c r="BJ429" s="52"/>
      <c r="BK429" s="105"/>
      <c r="BL429" s="98"/>
      <c r="BM429" s="279"/>
      <c r="BN429" s="52"/>
      <c r="BO429" s="105"/>
      <c r="BP429" s="98"/>
      <c r="BQ429" s="279"/>
      <c r="BR429" s="52"/>
      <c r="BS429" s="105"/>
      <c r="BT429" s="98"/>
      <c r="BU429" s="279"/>
      <c r="BV429" s="52"/>
      <c r="BW429" s="105"/>
      <c r="BX429" s="98"/>
      <c r="BY429" s="279"/>
      <c r="BZ429" s="52"/>
      <c r="CA429" s="105"/>
      <c r="CB429" s="98"/>
      <c r="CC429" s="279"/>
      <c r="CD429" s="52"/>
      <c r="CE429" s="105"/>
      <c r="CF429" s="98"/>
      <c r="CG429" s="279"/>
      <c r="CH429" s="52"/>
      <c r="CI429" s="105"/>
      <c r="CJ429" s="98"/>
      <c r="CK429" s="281"/>
      <c r="CL429" s="277"/>
      <c r="CM429" s="159"/>
      <c r="CN429" s="277"/>
      <c r="CO429" s="50">
        <f t="shared" si="170"/>
        <v>0</v>
      </c>
      <c r="CP429" s="103">
        <f t="shared" si="171"/>
        <v>0</v>
      </c>
      <c r="CQ429" s="280">
        <f t="shared" si="172"/>
        <v>0</v>
      </c>
      <c r="CR429" s="63">
        <f t="shared" si="173"/>
        <v>0</v>
      </c>
      <c r="CS429" s="279"/>
      <c r="CT429" s="52"/>
      <c r="CU429" s="105"/>
      <c r="CV429" s="98"/>
      <c r="CW429" s="279"/>
      <c r="CX429" s="52"/>
      <c r="CY429" s="105"/>
      <c r="CZ429" s="98"/>
      <c r="DA429" s="279"/>
      <c r="DB429" s="52"/>
      <c r="DC429" s="105"/>
      <c r="DD429" s="98"/>
      <c r="DE429" s="279"/>
      <c r="DF429" s="52"/>
      <c r="DG429" s="105"/>
      <c r="DH429" s="98"/>
      <c r="DI429" s="279"/>
      <c r="DJ429" s="52"/>
      <c r="DK429" s="105"/>
      <c r="DL429" s="98"/>
      <c r="DM429" s="279"/>
      <c r="DN429" s="52"/>
      <c r="DO429" s="105"/>
      <c r="DP429" s="98"/>
      <c r="DQ429" s="279"/>
      <c r="DR429" s="52"/>
      <c r="DS429" s="105"/>
      <c r="DT429" s="98"/>
      <c r="DU429" s="279"/>
      <c r="DV429" s="52"/>
      <c r="DW429" s="105"/>
      <c r="DX429" s="98"/>
      <c r="DY429" s="279"/>
      <c r="DZ429" s="52"/>
      <c r="EA429" s="105"/>
      <c r="EB429" s="98"/>
      <c r="EC429" s="279"/>
      <c r="ED429" s="52"/>
      <c r="EE429" s="105"/>
      <c r="EF429" s="98"/>
      <c r="EG429" s="159"/>
      <c r="EH429" s="277"/>
      <c r="EI429" s="50">
        <f t="shared" si="174"/>
        <v>0</v>
      </c>
      <c r="EJ429" s="103">
        <f t="shared" si="175"/>
        <v>0</v>
      </c>
      <c r="EK429" s="164">
        <f t="shared" si="176"/>
        <v>0</v>
      </c>
      <c r="EL429" s="280">
        <f t="shared" si="177"/>
        <v>0</v>
      </c>
      <c r="EM429" s="63">
        <f t="shared" si="178"/>
        <v>0</v>
      </c>
      <c r="EN429" s="359">
        <f t="shared" si="179"/>
        <v>0</v>
      </c>
      <c r="EO429" s="51">
        <f t="shared" si="180"/>
        <v>0</v>
      </c>
      <c r="EP429" s="361">
        <f t="shared" si="181"/>
        <v>0</v>
      </c>
      <c r="EQ429" s="281"/>
      <c r="ER429" s="277"/>
      <c r="ES429" s="281"/>
      <c r="ET429" s="277"/>
      <c r="EU429" s="281"/>
      <c r="EV429" s="277"/>
      <c r="EW429" s="281"/>
      <c r="EX429" s="277"/>
      <c r="EY429" s="281"/>
      <c r="EZ429" s="277"/>
      <c r="FA429" s="281"/>
      <c r="FB429" s="277"/>
      <c r="FC429" s="281"/>
      <c r="FD429" s="277"/>
      <c r="FE429" s="281"/>
      <c r="FF429" s="277"/>
      <c r="FG429" s="281"/>
      <c r="FH429" s="277"/>
      <c r="FI429" s="281"/>
      <c r="FJ429" s="277"/>
      <c r="FK429" s="50">
        <f t="shared" si="182"/>
        <v>0</v>
      </c>
      <c r="FL429" s="63">
        <f t="shared" si="183"/>
        <v>0</v>
      </c>
      <c r="FM429" s="50">
        <f t="shared" si="165"/>
        <v>279</v>
      </c>
      <c r="FN429" s="360">
        <f t="shared" si="166"/>
        <v>236</v>
      </c>
      <c r="FO429" s="3"/>
      <c r="FP429" s="279"/>
      <c r="FQ429" s="52"/>
      <c r="FR429" s="296"/>
      <c r="FS429" s="98"/>
      <c r="FT429" s="467"/>
      <c r="FU429" s="52"/>
      <c r="FV429" s="296"/>
      <c r="FW429" s="98"/>
      <c r="FX429" s="467"/>
      <c r="FY429" s="52"/>
      <c r="FZ429" s="296"/>
      <c r="GA429" s="98"/>
      <c r="GB429" s="467"/>
      <c r="GC429" s="52"/>
      <c r="GD429" s="296"/>
      <c r="GE429" s="98"/>
      <c r="GF429" s="467"/>
      <c r="GG429" s="52"/>
      <c r="GH429" s="296"/>
      <c r="GI429" s="98"/>
      <c r="GJ429" s="467"/>
      <c r="GK429" s="52"/>
      <c r="GL429" s="296"/>
      <c r="GM429" s="464"/>
      <c r="GN429" s="467"/>
      <c r="GO429" s="52"/>
      <c r="GP429" s="296"/>
      <c r="GQ429" s="464"/>
      <c r="GR429" s="467"/>
      <c r="GS429" s="52"/>
      <c r="GT429" s="296"/>
      <c r="GU429" s="464"/>
      <c r="GV429" s="467"/>
      <c r="GW429" s="52"/>
      <c r="GX429" s="296"/>
      <c r="GY429" s="464"/>
      <c r="GZ429" s="467"/>
      <c r="HA429" s="52"/>
      <c r="HB429" s="296"/>
      <c r="HC429" s="3"/>
    </row>
    <row r="430" spans="1:211" s="86" customFormat="1">
      <c r="A430" s="487" t="s">
        <v>31</v>
      </c>
      <c r="B430" s="303" t="s">
        <v>633</v>
      </c>
      <c r="C430" s="302">
        <v>207236</v>
      </c>
      <c r="D430" s="340">
        <v>10</v>
      </c>
      <c r="E430" s="460">
        <v>6</v>
      </c>
      <c r="F430" s="277">
        <v>8</v>
      </c>
      <c r="G430" s="158"/>
      <c r="H430" s="277"/>
      <c r="I430" s="158">
        <v>328</v>
      </c>
      <c r="J430" s="277">
        <v>322</v>
      </c>
      <c r="K430" s="160">
        <f t="shared" si="167"/>
        <v>0</v>
      </c>
      <c r="L430" s="161">
        <f t="shared" si="160"/>
        <v>0</v>
      </c>
      <c r="M430" s="54"/>
      <c r="N430" s="55"/>
      <c r="O430" s="55"/>
      <c r="P430" s="55"/>
      <c r="Q430" s="162">
        <f t="shared" si="168"/>
        <v>0</v>
      </c>
      <c r="R430" s="277"/>
      <c r="S430" s="277"/>
      <c r="T430" s="277"/>
      <c r="U430" s="277"/>
      <c r="V430" s="97">
        <f t="shared" si="169"/>
        <v>0</v>
      </c>
      <c r="W430" s="279"/>
      <c r="X430" s="52"/>
      <c r="Y430" s="99"/>
      <c r="Z430" s="53"/>
      <c r="AA430" s="228"/>
      <c r="AB430" s="52"/>
      <c r="AC430" s="99"/>
      <c r="AD430" s="53"/>
      <c r="AE430" s="228"/>
      <c r="AF430" s="52"/>
      <c r="AG430" s="99"/>
      <c r="AH430" s="53"/>
      <c r="AI430" s="228"/>
      <c r="AJ430" s="52"/>
      <c r="AK430" s="99"/>
      <c r="AL430" s="53"/>
      <c r="AM430" s="228"/>
      <c r="AN430" s="52"/>
      <c r="AO430" s="99"/>
      <c r="AP430" s="53"/>
      <c r="AQ430" s="50">
        <f t="shared" si="161"/>
        <v>0</v>
      </c>
      <c r="AR430" s="163">
        <f t="shared" si="162"/>
        <v>0</v>
      </c>
      <c r="AS430" s="97">
        <f t="shared" si="163"/>
        <v>0</v>
      </c>
      <c r="AT430" s="278">
        <f t="shared" si="164"/>
        <v>0</v>
      </c>
      <c r="AU430" s="55"/>
      <c r="AV430" s="277"/>
      <c r="AW430" s="279"/>
      <c r="AX430" s="52"/>
      <c r="AY430" s="105"/>
      <c r="AZ430" s="98"/>
      <c r="BA430" s="279"/>
      <c r="BB430" s="52"/>
      <c r="BC430" s="105"/>
      <c r="BD430" s="98"/>
      <c r="BE430" s="279"/>
      <c r="BF430" s="52"/>
      <c r="BG430" s="105"/>
      <c r="BH430" s="98"/>
      <c r="BI430" s="279"/>
      <c r="BJ430" s="52"/>
      <c r="BK430" s="105"/>
      <c r="BL430" s="98"/>
      <c r="BM430" s="279"/>
      <c r="BN430" s="52"/>
      <c r="BO430" s="105"/>
      <c r="BP430" s="98"/>
      <c r="BQ430" s="279"/>
      <c r="BR430" s="52"/>
      <c r="BS430" s="105"/>
      <c r="BT430" s="98"/>
      <c r="BU430" s="279"/>
      <c r="BV430" s="52"/>
      <c r="BW430" s="105"/>
      <c r="BX430" s="98"/>
      <c r="BY430" s="279"/>
      <c r="BZ430" s="52"/>
      <c r="CA430" s="105"/>
      <c r="CB430" s="98"/>
      <c r="CC430" s="279"/>
      <c r="CD430" s="52"/>
      <c r="CE430" s="105"/>
      <c r="CF430" s="98"/>
      <c r="CG430" s="279"/>
      <c r="CH430" s="52"/>
      <c r="CI430" s="105"/>
      <c r="CJ430" s="98"/>
      <c r="CK430" s="281"/>
      <c r="CL430" s="277"/>
      <c r="CM430" s="159"/>
      <c r="CN430" s="277"/>
      <c r="CO430" s="50">
        <f t="shared" si="170"/>
        <v>0</v>
      </c>
      <c r="CP430" s="103">
        <f t="shared" si="171"/>
        <v>0</v>
      </c>
      <c r="CQ430" s="280">
        <f t="shared" si="172"/>
        <v>0</v>
      </c>
      <c r="CR430" s="63">
        <f t="shared" si="173"/>
        <v>0</v>
      </c>
      <c r="CS430" s="279"/>
      <c r="CT430" s="52"/>
      <c r="CU430" s="105"/>
      <c r="CV430" s="98"/>
      <c r="CW430" s="279"/>
      <c r="CX430" s="52"/>
      <c r="CY430" s="105"/>
      <c r="CZ430" s="98"/>
      <c r="DA430" s="279"/>
      <c r="DB430" s="52"/>
      <c r="DC430" s="105"/>
      <c r="DD430" s="98"/>
      <c r="DE430" s="279"/>
      <c r="DF430" s="52"/>
      <c r="DG430" s="105"/>
      <c r="DH430" s="98"/>
      <c r="DI430" s="279"/>
      <c r="DJ430" s="52"/>
      <c r="DK430" s="105"/>
      <c r="DL430" s="98"/>
      <c r="DM430" s="279"/>
      <c r="DN430" s="52"/>
      <c r="DO430" s="105"/>
      <c r="DP430" s="98"/>
      <c r="DQ430" s="279"/>
      <c r="DR430" s="52"/>
      <c r="DS430" s="105"/>
      <c r="DT430" s="98"/>
      <c r="DU430" s="279"/>
      <c r="DV430" s="52"/>
      <c r="DW430" s="105"/>
      <c r="DX430" s="98"/>
      <c r="DY430" s="279"/>
      <c r="DZ430" s="52"/>
      <c r="EA430" s="105"/>
      <c r="EB430" s="98"/>
      <c r="EC430" s="279"/>
      <c r="ED430" s="52"/>
      <c r="EE430" s="105"/>
      <c r="EF430" s="98"/>
      <c r="EG430" s="159"/>
      <c r="EH430" s="277"/>
      <c r="EI430" s="50">
        <f t="shared" si="174"/>
        <v>0</v>
      </c>
      <c r="EJ430" s="103">
        <f t="shared" si="175"/>
        <v>0</v>
      </c>
      <c r="EK430" s="164">
        <f t="shared" si="176"/>
        <v>0</v>
      </c>
      <c r="EL430" s="280">
        <f t="shared" si="177"/>
        <v>0</v>
      </c>
      <c r="EM430" s="63">
        <f t="shared" si="178"/>
        <v>0</v>
      </c>
      <c r="EN430" s="359">
        <f t="shared" si="179"/>
        <v>0</v>
      </c>
      <c r="EO430" s="51">
        <f t="shared" si="180"/>
        <v>0</v>
      </c>
      <c r="EP430" s="361">
        <f t="shared" si="181"/>
        <v>0</v>
      </c>
      <c r="EQ430" s="281"/>
      <c r="ER430" s="277"/>
      <c r="ES430" s="281"/>
      <c r="ET430" s="277"/>
      <c r="EU430" s="281"/>
      <c r="EV430" s="277"/>
      <c r="EW430" s="281"/>
      <c r="EX430" s="277"/>
      <c r="EY430" s="281"/>
      <c r="EZ430" s="277"/>
      <c r="FA430" s="281"/>
      <c r="FB430" s="277"/>
      <c r="FC430" s="281"/>
      <c r="FD430" s="277"/>
      <c r="FE430" s="281"/>
      <c r="FF430" s="277"/>
      <c r="FG430" s="281"/>
      <c r="FH430" s="277"/>
      <c r="FI430" s="281"/>
      <c r="FJ430" s="277"/>
      <c r="FK430" s="50">
        <f t="shared" si="182"/>
        <v>0</v>
      </c>
      <c r="FL430" s="63">
        <f t="shared" si="183"/>
        <v>0</v>
      </c>
      <c r="FM430" s="50">
        <f t="shared" si="165"/>
        <v>334</v>
      </c>
      <c r="FN430" s="360">
        <f t="shared" si="166"/>
        <v>330</v>
      </c>
      <c r="FO430" s="3"/>
      <c r="FP430" s="279"/>
      <c r="FQ430" s="52"/>
      <c r="FR430" s="296"/>
      <c r="FS430" s="98"/>
      <c r="FT430" s="467"/>
      <c r="FU430" s="52"/>
      <c r="FV430" s="296"/>
      <c r="FW430" s="98"/>
      <c r="FX430" s="467"/>
      <c r="FY430" s="52"/>
      <c r="FZ430" s="296"/>
      <c r="GA430" s="98"/>
      <c r="GB430" s="467"/>
      <c r="GC430" s="52"/>
      <c r="GD430" s="296"/>
      <c r="GE430" s="98"/>
      <c r="GF430" s="467"/>
      <c r="GG430" s="52"/>
      <c r="GH430" s="296"/>
      <c r="GI430" s="98"/>
      <c r="GJ430" s="467"/>
      <c r="GK430" s="52"/>
      <c r="GL430" s="296"/>
      <c r="GM430" s="464"/>
      <c r="GN430" s="467"/>
      <c r="GO430" s="52"/>
      <c r="GP430" s="296"/>
      <c r="GQ430" s="464"/>
      <c r="GR430" s="467"/>
      <c r="GS430" s="52"/>
      <c r="GT430" s="296"/>
      <c r="GU430" s="464"/>
      <c r="GV430" s="467"/>
      <c r="GW430" s="52"/>
      <c r="GX430" s="296"/>
      <c r="GY430" s="464"/>
      <c r="GZ430" s="467"/>
      <c r="HA430" s="52"/>
      <c r="HB430" s="296"/>
      <c r="HC430" s="3"/>
    </row>
    <row r="431" spans="1:211" s="86" customFormat="1">
      <c r="A431" s="487" t="s">
        <v>31</v>
      </c>
      <c r="B431" s="303" t="s">
        <v>634</v>
      </c>
      <c r="C431" s="302">
        <v>207290</v>
      </c>
      <c r="D431" s="340">
        <v>10</v>
      </c>
      <c r="E431" s="460">
        <v>24</v>
      </c>
      <c r="F431" s="277">
        <v>36</v>
      </c>
      <c r="G431" s="158"/>
      <c r="H431" s="277"/>
      <c r="I431" s="158">
        <v>306</v>
      </c>
      <c r="J431" s="277">
        <v>318</v>
      </c>
      <c r="K431" s="160">
        <f t="shared" si="167"/>
        <v>0</v>
      </c>
      <c r="L431" s="161">
        <f t="shared" si="160"/>
        <v>0</v>
      </c>
      <c r="M431" s="54"/>
      <c r="N431" s="55"/>
      <c r="O431" s="55"/>
      <c r="P431" s="55"/>
      <c r="Q431" s="162">
        <f t="shared" si="168"/>
        <v>0</v>
      </c>
      <c r="R431" s="277"/>
      <c r="S431" s="277"/>
      <c r="T431" s="277"/>
      <c r="U431" s="277"/>
      <c r="V431" s="97">
        <f t="shared" si="169"/>
        <v>0</v>
      </c>
      <c r="W431" s="279"/>
      <c r="X431" s="52"/>
      <c r="Y431" s="99"/>
      <c r="Z431" s="53"/>
      <c r="AA431" s="228"/>
      <c r="AB431" s="52"/>
      <c r="AC431" s="99"/>
      <c r="AD431" s="53"/>
      <c r="AE431" s="228"/>
      <c r="AF431" s="52"/>
      <c r="AG431" s="99"/>
      <c r="AH431" s="53"/>
      <c r="AI431" s="228"/>
      <c r="AJ431" s="52"/>
      <c r="AK431" s="99"/>
      <c r="AL431" s="53"/>
      <c r="AM431" s="228"/>
      <c r="AN431" s="52"/>
      <c r="AO431" s="99"/>
      <c r="AP431" s="53"/>
      <c r="AQ431" s="50">
        <f t="shared" si="161"/>
        <v>0</v>
      </c>
      <c r="AR431" s="163">
        <f t="shared" si="162"/>
        <v>0</v>
      </c>
      <c r="AS431" s="97">
        <f t="shared" si="163"/>
        <v>0</v>
      </c>
      <c r="AT431" s="278">
        <f t="shared" si="164"/>
        <v>0</v>
      </c>
      <c r="AU431" s="55"/>
      <c r="AV431" s="277"/>
      <c r="AW431" s="279"/>
      <c r="AX431" s="52"/>
      <c r="AY431" s="531"/>
      <c r="AZ431" s="98"/>
      <c r="BA431" s="279"/>
      <c r="BB431" s="52"/>
      <c r="BC431" s="105"/>
      <c r="BD431" s="98"/>
      <c r="BE431" s="279"/>
      <c r="BF431" s="52"/>
      <c r="BG431" s="105"/>
      <c r="BH431" s="98"/>
      <c r="BI431" s="279"/>
      <c r="BJ431" s="52"/>
      <c r="BK431" s="105"/>
      <c r="BL431" s="98"/>
      <c r="BM431" s="279"/>
      <c r="BN431" s="52"/>
      <c r="BO431" s="105"/>
      <c r="BP431" s="98"/>
      <c r="BQ431" s="279"/>
      <c r="BR431" s="52"/>
      <c r="BS431" s="105"/>
      <c r="BT431" s="98"/>
      <c r="BU431" s="279"/>
      <c r="BV431" s="52"/>
      <c r="BW431" s="105"/>
      <c r="BX431" s="98"/>
      <c r="BY431" s="279"/>
      <c r="BZ431" s="52"/>
      <c r="CA431" s="105"/>
      <c r="CB431" s="98"/>
      <c r="CC431" s="279"/>
      <c r="CD431" s="52"/>
      <c r="CE431" s="105"/>
      <c r="CF431" s="98"/>
      <c r="CG431" s="279"/>
      <c r="CH431" s="52"/>
      <c r="CI431" s="105"/>
      <c r="CJ431" s="98"/>
      <c r="CK431" s="281"/>
      <c r="CL431" s="277"/>
      <c r="CM431" s="159"/>
      <c r="CN431" s="277"/>
      <c r="CO431" s="50">
        <f t="shared" si="170"/>
        <v>0</v>
      </c>
      <c r="CP431" s="103">
        <f t="shared" si="171"/>
        <v>0</v>
      </c>
      <c r="CQ431" s="280">
        <f t="shared" si="172"/>
        <v>0</v>
      </c>
      <c r="CR431" s="63">
        <f t="shared" si="173"/>
        <v>0</v>
      </c>
      <c r="CS431" s="279"/>
      <c r="CT431" s="52"/>
      <c r="CU431" s="105"/>
      <c r="CV431" s="98"/>
      <c r="CW431" s="279"/>
      <c r="CX431" s="52"/>
      <c r="CY431" s="105"/>
      <c r="CZ431" s="98"/>
      <c r="DA431" s="279"/>
      <c r="DB431" s="52"/>
      <c r="DC431" s="105"/>
      <c r="DD431" s="98"/>
      <c r="DE431" s="279"/>
      <c r="DF431" s="52"/>
      <c r="DG431" s="105"/>
      <c r="DH431" s="98"/>
      <c r="DI431" s="279"/>
      <c r="DJ431" s="52"/>
      <c r="DK431" s="105"/>
      <c r="DL431" s="98"/>
      <c r="DM431" s="279"/>
      <c r="DN431" s="52"/>
      <c r="DO431" s="105"/>
      <c r="DP431" s="98"/>
      <c r="DQ431" s="279"/>
      <c r="DR431" s="52"/>
      <c r="DS431" s="105"/>
      <c r="DT431" s="98"/>
      <c r="DU431" s="279"/>
      <c r="DV431" s="52"/>
      <c r="DW431" s="105"/>
      <c r="DX431" s="98"/>
      <c r="DY431" s="279"/>
      <c r="DZ431" s="52"/>
      <c r="EA431" s="105"/>
      <c r="EB431" s="98"/>
      <c r="EC431" s="279"/>
      <c r="ED431" s="52"/>
      <c r="EE431" s="105"/>
      <c r="EF431" s="98"/>
      <c r="EG431" s="159"/>
      <c r="EH431" s="277"/>
      <c r="EI431" s="50">
        <f t="shared" si="174"/>
        <v>0</v>
      </c>
      <c r="EJ431" s="103">
        <f t="shared" si="175"/>
        <v>0</v>
      </c>
      <c r="EK431" s="164">
        <f t="shared" si="176"/>
        <v>0</v>
      </c>
      <c r="EL431" s="280">
        <f t="shared" si="177"/>
        <v>0</v>
      </c>
      <c r="EM431" s="63">
        <f t="shared" si="178"/>
        <v>0</v>
      </c>
      <c r="EN431" s="359">
        <f t="shared" si="179"/>
        <v>0</v>
      </c>
      <c r="EO431" s="51">
        <f t="shared" si="180"/>
        <v>0</v>
      </c>
      <c r="EP431" s="361">
        <f t="shared" si="181"/>
        <v>0</v>
      </c>
      <c r="EQ431" s="281"/>
      <c r="ER431" s="277"/>
      <c r="ES431" s="281"/>
      <c r="ET431" s="277"/>
      <c r="EU431" s="281"/>
      <c r="EV431" s="277"/>
      <c r="EW431" s="281"/>
      <c r="EX431" s="277"/>
      <c r="EY431" s="281"/>
      <c r="EZ431" s="277"/>
      <c r="FA431" s="281"/>
      <c r="FB431" s="277"/>
      <c r="FC431" s="281"/>
      <c r="FD431" s="277"/>
      <c r="FE431" s="281"/>
      <c r="FF431" s="277"/>
      <c r="FG431" s="281"/>
      <c r="FH431" s="277"/>
      <c r="FI431" s="281"/>
      <c r="FJ431" s="277"/>
      <c r="FK431" s="50">
        <f t="shared" si="182"/>
        <v>0</v>
      </c>
      <c r="FL431" s="63">
        <f t="shared" si="183"/>
        <v>0</v>
      </c>
      <c r="FM431" s="50">
        <f t="shared" si="165"/>
        <v>330</v>
      </c>
      <c r="FN431" s="360">
        <f t="shared" si="166"/>
        <v>354</v>
      </c>
      <c r="FO431" s="3"/>
      <c r="FP431" s="279"/>
      <c r="FQ431" s="52"/>
      <c r="FR431" s="296"/>
      <c r="FS431" s="98"/>
      <c r="FT431" s="467"/>
      <c r="FU431" s="52"/>
      <c r="FV431" s="296"/>
      <c r="FW431" s="98"/>
      <c r="FX431" s="467"/>
      <c r="FY431" s="52"/>
      <c r="FZ431" s="296"/>
      <c r="GA431" s="98"/>
      <c r="GB431" s="467"/>
      <c r="GC431" s="52"/>
      <c r="GD431" s="296"/>
      <c r="GE431" s="98"/>
      <c r="GF431" s="467"/>
      <c r="GG431" s="52"/>
      <c r="GH431" s="296"/>
      <c r="GI431" s="98"/>
      <c r="GJ431" s="467"/>
      <c r="GK431" s="52"/>
      <c r="GL431" s="296"/>
      <c r="GM431" s="464"/>
      <c r="GN431" s="467"/>
      <c r="GO431" s="52"/>
      <c r="GP431" s="296"/>
      <c r="GQ431" s="464"/>
      <c r="GR431" s="467"/>
      <c r="GS431" s="52"/>
      <c r="GT431" s="296"/>
      <c r="GU431" s="464"/>
      <c r="GV431" s="467"/>
      <c r="GW431" s="52"/>
      <c r="GX431" s="296"/>
      <c r="GY431" s="464"/>
      <c r="GZ431" s="467"/>
      <c r="HA431" s="52"/>
      <c r="HB431" s="296"/>
      <c r="HC431" s="3"/>
    </row>
    <row r="432" spans="1:211" s="86" customFormat="1">
      <c r="A432" s="487" t="s">
        <v>31</v>
      </c>
      <c r="B432" s="303" t="s">
        <v>635</v>
      </c>
      <c r="C432" s="302">
        <v>207069</v>
      </c>
      <c r="D432" s="340">
        <v>10</v>
      </c>
      <c r="E432" s="460">
        <v>39</v>
      </c>
      <c r="F432" s="277">
        <v>26</v>
      </c>
      <c r="G432" s="158"/>
      <c r="H432" s="277"/>
      <c r="I432" s="158">
        <v>255</v>
      </c>
      <c r="J432" s="277">
        <v>223</v>
      </c>
      <c r="K432" s="160">
        <f t="shared" si="167"/>
        <v>0</v>
      </c>
      <c r="L432" s="161">
        <f t="shared" si="160"/>
        <v>0</v>
      </c>
      <c r="M432" s="54"/>
      <c r="N432" s="55"/>
      <c r="O432" s="55"/>
      <c r="P432" s="55"/>
      <c r="Q432" s="162">
        <f t="shared" si="168"/>
        <v>0</v>
      </c>
      <c r="R432" s="277"/>
      <c r="S432" s="277"/>
      <c r="T432" s="277"/>
      <c r="U432" s="277"/>
      <c r="V432" s="97">
        <f t="shared" si="169"/>
        <v>0</v>
      </c>
      <c r="W432" s="279"/>
      <c r="X432" s="52"/>
      <c r="Y432" s="99"/>
      <c r="Z432" s="53"/>
      <c r="AA432" s="228"/>
      <c r="AB432" s="52"/>
      <c r="AC432" s="99"/>
      <c r="AD432" s="53"/>
      <c r="AE432" s="228"/>
      <c r="AF432" s="52"/>
      <c r="AG432" s="99"/>
      <c r="AH432" s="53"/>
      <c r="AI432" s="228"/>
      <c r="AJ432" s="52"/>
      <c r="AK432" s="99"/>
      <c r="AL432" s="53"/>
      <c r="AM432" s="228"/>
      <c r="AN432" s="52"/>
      <c r="AO432" s="99"/>
      <c r="AP432" s="53"/>
      <c r="AQ432" s="50">
        <f t="shared" si="161"/>
        <v>0</v>
      </c>
      <c r="AR432" s="163">
        <f t="shared" si="162"/>
        <v>0</v>
      </c>
      <c r="AS432" s="97">
        <f t="shared" si="163"/>
        <v>0</v>
      </c>
      <c r="AT432" s="278">
        <f t="shared" si="164"/>
        <v>0</v>
      </c>
      <c r="AU432" s="55"/>
      <c r="AV432" s="277"/>
      <c r="AW432" s="279"/>
      <c r="AX432" s="52"/>
      <c r="AY432" s="531"/>
      <c r="AZ432" s="98"/>
      <c r="BA432" s="279"/>
      <c r="BB432" s="52"/>
      <c r="BC432" s="105"/>
      <c r="BD432" s="98"/>
      <c r="BE432" s="279"/>
      <c r="BF432" s="52"/>
      <c r="BG432" s="105"/>
      <c r="BH432" s="98"/>
      <c r="BI432" s="279"/>
      <c r="BJ432" s="52"/>
      <c r="BK432" s="105"/>
      <c r="BL432" s="98"/>
      <c r="BM432" s="279"/>
      <c r="BN432" s="52"/>
      <c r="BO432" s="105"/>
      <c r="BP432" s="98"/>
      <c r="BQ432" s="279"/>
      <c r="BR432" s="52"/>
      <c r="BS432" s="105"/>
      <c r="BT432" s="98"/>
      <c r="BU432" s="279"/>
      <c r="BV432" s="52"/>
      <c r="BW432" s="105"/>
      <c r="BX432" s="98"/>
      <c r="BY432" s="279"/>
      <c r="BZ432" s="52"/>
      <c r="CA432" s="105"/>
      <c r="CB432" s="98"/>
      <c r="CC432" s="279"/>
      <c r="CD432" s="52"/>
      <c r="CE432" s="105"/>
      <c r="CF432" s="98"/>
      <c r="CG432" s="279"/>
      <c r="CH432" s="52"/>
      <c r="CI432" s="105"/>
      <c r="CJ432" s="98"/>
      <c r="CK432" s="281"/>
      <c r="CL432" s="277"/>
      <c r="CM432" s="159"/>
      <c r="CN432" s="277"/>
      <c r="CO432" s="50">
        <f t="shared" si="170"/>
        <v>0</v>
      </c>
      <c r="CP432" s="103">
        <f t="shared" si="171"/>
        <v>0</v>
      </c>
      <c r="CQ432" s="280">
        <f t="shared" si="172"/>
        <v>0</v>
      </c>
      <c r="CR432" s="63">
        <f t="shared" si="173"/>
        <v>0</v>
      </c>
      <c r="CS432" s="279"/>
      <c r="CT432" s="52"/>
      <c r="CU432" s="105"/>
      <c r="CV432" s="98"/>
      <c r="CW432" s="279"/>
      <c r="CX432" s="52"/>
      <c r="CY432" s="105"/>
      <c r="CZ432" s="98"/>
      <c r="DA432" s="279"/>
      <c r="DB432" s="52"/>
      <c r="DC432" s="105"/>
      <c r="DD432" s="98"/>
      <c r="DE432" s="279"/>
      <c r="DF432" s="52"/>
      <c r="DG432" s="105"/>
      <c r="DH432" s="98"/>
      <c r="DI432" s="279"/>
      <c r="DJ432" s="52"/>
      <c r="DK432" s="105"/>
      <c r="DL432" s="98"/>
      <c r="DM432" s="279"/>
      <c r="DN432" s="52"/>
      <c r="DO432" s="105"/>
      <c r="DP432" s="98"/>
      <c r="DQ432" s="279"/>
      <c r="DR432" s="52"/>
      <c r="DS432" s="105"/>
      <c r="DT432" s="98"/>
      <c r="DU432" s="279"/>
      <c r="DV432" s="52"/>
      <c r="DW432" s="105"/>
      <c r="DX432" s="98"/>
      <c r="DY432" s="279"/>
      <c r="DZ432" s="52"/>
      <c r="EA432" s="105"/>
      <c r="EB432" s="98"/>
      <c r="EC432" s="279"/>
      <c r="ED432" s="52"/>
      <c r="EE432" s="105"/>
      <c r="EF432" s="98"/>
      <c r="EG432" s="159"/>
      <c r="EH432" s="277"/>
      <c r="EI432" s="50">
        <f t="shared" si="174"/>
        <v>0</v>
      </c>
      <c r="EJ432" s="103">
        <f t="shared" si="175"/>
        <v>0</v>
      </c>
      <c r="EK432" s="164">
        <f t="shared" si="176"/>
        <v>0</v>
      </c>
      <c r="EL432" s="280">
        <f t="shared" si="177"/>
        <v>0</v>
      </c>
      <c r="EM432" s="63">
        <f t="shared" si="178"/>
        <v>0</v>
      </c>
      <c r="EN432" s="359">
        <f t="shared" si="179"/>
        <v>0</v>
      </c>
      <c r="EO432" s="51">
        <f t="shared" si="180"/>
        <v>0</v>
      </c>
      <c r="EP432" s="361">
        <f t="shared" si="181"/>
        <v>0</v>
      </c>
      <c r="EQ432" s="281"/>
      <c r="ER432" s="277"/>
      <c r="ES432" s="281"/>
      <c r="ET432" s="277"/>
      <c r="EU432" s="281"/>
      <c r="EV432" s="277"/>
      <c r="EW432" s="281"/>
      <c r="EX432" s="277"/>
      <c r="EY432" s="281"/>
      <c r="EZ432" s="277"/>
      <c r="FA432" s="281"/>
      <c r="FB432" s="277"/>
      <c r="FC432" s="281"/>
      <c r="FD432" s="277"/>
      <c r="FE432" s="281"/>
      <c r="FF432" s="277"/>
      <c r="FG432" s="281"/>
      <c r="FH432" s="277"/>
      <c r="FI432" s="281"/>
      <c r="FJ432" s="277"/>
      <c r="FK432" s="50">
        <f t="shared" si="182"/>
        <v>0</v>
      </c>
      <c r="FL432" s="63">
        <f t="shared" si="183"/>
        <v>0</v>
      </c>
      <c r="FM432" s="50">
        <f t="shared" si="165"/>
        <v>294</v>
      </c>
      <c r="FN432" s="360">
        <f t="shared" si="166"/>
        <v>249</v>
      </c>
      <c r="FO432" s="3"/>
      <c r="FP432" s="279"/>
      <c r="FQ432" s="52"/>
      <c r="FR432" s="296"/>
      <c r="FS432" s="98"/>
      <c r="FT432" s="467"/>
      <c r="FU432" s="52"/>
      <c r="FV432" s="296"/>
      <c r="FW432" s="98"/>
      <c r="FX432" s="467"/>
      <c r="FY432" s="52"/>
      <c r="FZ432" s="296"/>
      <c r="GA432" s="98"/>
      <c r="GB432" s="467"/>
      <c r="GC432" s="52"/>
      <c r="GD432" s="296"/>
      <c r="GE432" s="98"/>
      <c r="GF432" s="467"/>
      <c r="GG432" s="52"/>
      <c r="GH432" s="296"/>
      <c r="GI432" s="98"/>
      <c r="GJ432" s="467"/>
      <c r="GK432" s="52"/>
      <c r="GL432" s="296"/>
      <c r="GM432" s="464"/>
      <c r="GN432" s="467"/>
      <c r="GO432" s="52"/>
      <c r="GP432" s="296"/>
      <c r="GQ432" s="464"/>
      <c r="GR432" s="467"/>
      <c r="GS432" s="52"/>
      <c r="GT432" s="296"/>
      <c r="GU432" s="464"/>
      <c r="GV432" s="467"/>
      <c r="GW432" s="52"/>
      <c r="GX432" s="296"/>
      <c r="GY432" s="464"/>
      <c r="GZ432" s="467"/>
      <c r="HA432" s="52"/>
      <c r="HB432" s="296"/>
      <c r="HC432" s="3"/>
    </row>
    <row r="433" spans="1:211" s="86" customFormat="1">
      <c r="A433" s="487" t="s">
        <v>31</v>
      </c>
      <c r="B433" s="303" t="s">
        <v>636</v>
      </c>
      <c r="C433" s="302">
        <v>207740</v>
      </c>
      <c r="D433" s="340">
        <v>10</v>
      </c>
      <c r="E433" s="460">
        <v>15</v>
      </c>
      <c r="F433" s="277">
        <v>19</v>
      </c>
      <c r="G433" s="158"/>
      <c r="H433" s="277"/>
      <c r="I433" s="158">
        <v>268</v>
      </c>
      <c r="J433" s="277">
        <v>240</v>
      </c>
      <c r="K433" s="160">
        <f t="shared" si="167"/>
        <v>0</v>
      </c>
      <c r="L433" s="161">
        <f t="shared" si="160"/>
        <v>0</v>
      </c>
      <c r="M433" s="54"/>
      <c r="N433" s="55"/>
      <c r="O433" s="55"/>
      <c r="P433" s="55"/>
      <c r="Q433" s="162">
        <f t="shared" si="168"/>
        <v>0</v>
      </c>
      <c r="R433" s="277"/>
      <c r="S433" s="277"/>
      <c r="T433" s="277"/>
      <c r="U433" s="277"/>
      <c r="V433" s="97">
        <f t="shared" si="169"/>
        <v>0</v>
      </c>
      <c r="W433" s="279"/>
      <c r="X433" s="52"/>
      <c r="Y433" s="99"/>
      <c r="Z433" s="53"/>
      <c r="AA433" s="228"/>
      <c r="AB433" s="52"/>
      <c r="AC433" s="99"/>
      <c r="AD433" s="53"/>
      <c r="AE433" s="228"/>
      <c r="AF433" s="52"/>
      <c r="AG433" s="99"/>
      <c r="AH433" s="53"/>
      <c r="AI433" s="228"/>
      <c r="AJ433" s="52"/>
      <c r="AK433" s="99"/>
      <c r="AL433" s="53"/>
      <c r="AM433" s="228"/>
      <c r="AN433" s="52"/>
      <c r="AO433" s="99"/>
      <c r="AP433" s="53"/>
      <c r="AQ433" s="50">
        <f t="shared" si="161"/>
        <v>0</v>
      </c>
      <c r="AR433" s="163">
        <f t="shared" si="162"/>
        <v>0</v>
      </c>
      <c r="AS433" s="97">
        <f t="shared" si="163"/>
        <v>0</v>
      </c>
      <c r="AT433" s="278">
        <f t="shared" si="164"/>
        <v>0</v>
      </c>
      <c r="AU433" s="55"/>
      <c r="AV433" s="277"/>
      <c r="AW433" s="279"/>
      <c r="AX433" s="52"/>
      <c r="AY433" s="531"/>
      <c r="AZ433" s="98"/>
      <c r="BA433" s="279"/>
      <c r="BB433" s="52"/>
      <c r="BC433" s="105"/>
      <c r="BD433" s="98"/>
      <c r="BE433" s="279"/>
      <c r="BF433" s="52"/>
      <c r="BG433" s="105"/>
      <c r="BH433" s="98"/>
      <c r="BI433" s="279"/>
      <c r="BJ433" s="52"/>
      <c r="BK433" s="105"/>
      <c r="BL433" s="98"/>
      <c r="BM433" s="279"/>
      <c r="BN433" s="52"/>
      <c r="BO433" s="105"/>
      <c r="BP433" s="98"/>
      <c r="BQ433" s="279"/>
      <c r="BR433" s="52"/>
      <c r="BS433" s="105"/>
      <c r="BT433" s="98"/>
      <c r="BU433" s="279"/>
      <c r="BV433" s="52"/>
      <c r="BW433" s="105"/>
      <c r="BX433" s="98"/>
      <c r="BY433" s="279"/>
      <c r="BZ433" s="52"/>
      <c r="CA433" s="105"/>
      <c r="CB433" s="98"/>
      <c r="CC433" s="279"/>
      <c r="CD433" s="52"/>
      <c r="CE433" s="105"/>
      <c r="CF433" s="98"/>
      <c r="CG433" s="279"/>
      <c r="CH433" s="52"/>
      <c r="CI433" s="105"/>
      <c r="CJ433" s="98"/>
      <c r="CK433" s="281"/>
      <c r="CL433" s="277"/>
      <c r="CM433" s="159"/>
      <c r="CN433" s="277"/>
      <c r="CO433" s="50">
        <f t="shared" si="170"/>
        <v>0</v>
      </c>
      <c r="CP433" s="103">
        <f t="shared" si="171"/>
        <v>0</v>
      </c>
      <c r="CQ433" s="280">
        <f t="shared" si="172"/>
        <v>0</v>
      </c>
      <c r="CR433" s="63">
        <f t="shared" si="173"/>
        <v>0</v>
      </c>
      <c r="CS433" s="279"/>
      <c r="CT433" s="52"/>
      <c r="CU433" s="105"/>
      <c r="CV433" s="98"/>
      <c r="CW433" s="279"/>
      <c r="CX433" s="52"/>
      <c r="CY433" s="105"/>
      <c r="CZ433" s="98"/>
      <c r="DA433" s="279"/>
      <c r="DB433" s="52"/>
      <c r="DC433" s="105"/>
      <c r="DD433" s="98"/>
      <c r="DE433" s="279"/>
      <c r="DF433" s="52"/>
      <c r="DG433" s="105"/>
      <c r="DH433" s="98"/>
      <c r="DI433" s="279"/>
      <c r="DJ433" s="52"/>
      <c r="DK433" s="105"/>
      <c r="DL433" s="98"/>
      <c r="DM433" s="279"/>
      <c r="DN433" s="52"/>
      <c r="DO433" s="105"/>
      <c r="DP433" s="98"/>
      <c r="DQ433" s="279"/>
      <c r="DR433" s="52"/>
      <c r="DS433" s="105"/>
      <c r="DT433" s="98"/>
      <c r="DU433" s="279"/>
      <c r="DV433" s="52"/>
      <c r="DW433" s="105"/>
      <c r="DX433" s="98"/>
      <c r="DY433" s="279"/>
      <c r="DZ433" s="52"/>
      <c r="EA433" s="105"/>
      <c r="EB433" s="98"/>
      <c r="EC433" s="279"/>
      <c r="ED433" s="52"/>
      <c r="EE433" s="105"/>
      <c r="EF433" s="98"/>
      <c r="EG433" s="159"/>
      <c r="EH433" s="277"/>
      <c r="EI433" s="50">
        <f t="shared" si="174"/>
        <v>0</v>
      </c>
      <c r="EJ433" s="103">
        <f t="shared" si="175"/>
        <v>0</v>
      </c>
      <c r="EK433" s="164">
        <f t="shared" si="176"/>
        <v>0</v>
      </c>
      <c r="EL433" s="280">
        <f t="shared" si="177"/>
        <v>0</v>
      </c>
      <c r="EM433" s="63">
        <f t="shared" si="178"/>
        <v>0</v>
      </c>
      <c r="EN433" s="359">
        <f t="shared" si="179"/>
        <v>0</v>
      </c>
      <c r="EO433" s="51">
        <f t="shared" si="180"/>
        <v>0</v>
      </c>
      <c r="EP433" s="361">
        <f t="shared" si="181"/>
        <v>0</v>
      </c>
      <c r="EQ433" s="281"/>
      <c r="ER433" s="277"/>
      <c r="ES433" s="281"/>
      <c r="ET433" s="277"/>
      <c r="EU433" s="281"/>
      <c r="EV433" s="277"/>
      <c r="EW433" s="281"/>
      <c r="EX433" s="277"/>
      <c r="EY433" s="281"/>
      <c r="EZ433" s="277"/>
      <c r="FA433" s="281"/>
      <c r="FB433" s="277"/>
      <c r="FC433" s="281"/>
      <c r="FD433" s="277"/>
      <c r="FE433" s="281"/>
      <c r="FF433" s="277"/>
      <c r="FG433" s="281"/>
      <c r="FH433" s="277"/>
      <c r="FI433" s="281"/>
      <c r="FJ433" s="277"/>
      <c r="FK433" s="50">
        <f t="shared" si="182"/>
        <v>0</v>
      </c>
      <c r="FL433" s="63">
        <f t="shared" si="183"/>
        <v>0</v>
      </c>
      <c r="FM433" s="50">
        <f t="shared" si="165"/>
        <v>283</v>
      </c>
      <c r="FN433" s="360">
        <f t="shared" si="166"/>
        <v>259</v>
      </c>
      <c r="FO433" s="3"/>
      <c r="FP433" s="279"/>
      <c r="FQ433" s="52"/>
      <c r="FR433" s="296"/>
      <c r="FS433" s="98"/>
      <c r="FT433" s="467"/>
      <c r="FU433" s="52"/>
      <c r="FV433" s="296"/>
      <c r="FW433" s="98"/>
      <c r="FX433" s="467"/>
      <c r="FY433" s="52"/>
      <c r="FZ433" s="296"/>
      <c r="GA433" s="98"/>
      <c r="GB433" s="467"/>
      <c r="GC433" s="52"/>
      <c r="GD433" s="296"/>
      <c r="GE433" s="98"/>
      <c r="GF433" s="467"/>
      <c r="GG433" s="52"/>
      <c r="GH433" s="296"/>
      <c r="GI433" s="98"/>
      <c r="GJ433" s="467"/>
      <c r="GK433" s="52"/>
      <c r="GL433" s="296"/>
      <c r="GM433" s="464"/>
      <c r="GN433" s="467"/>
      <c r="GO433" s="52"/>
      <c r="GP433" s="296"/>
      <c r="GQ433" s="464"/>
      <c r="GR433" s="467"/>
      <c r="GS433" s="52"/>
      <c r="GT433" s="296"/>
      <c r="GU433" s="464"/>
      <c r="GV433" s="467"/>
      <c r="GW433" s="52"/>
      <c r="GX433" s="296"/>
      <c r="GY433" s="464"/>
      <c r="GZ433" s="467"/>
      <c r="HA433" s="52"/>
      <c r="HB433" s="296"/>
      <c r="HC433" s="3"/>
    </row>
    <row r="434" spans="1:211" s="86" customFormat="1">
      <c r="A434" s="487" t="s">
        <v>31</v>
      </c>
      <c r="B434" s="303" t="s">
        <v>637</v>
      </c>
      <c r="C434" s="302">
        <v>208035</v>
      </c>
      <c r="D434" s="340">
        <v>10</v>
      </c>
      <c r="E434" s="460">
        <v>25</v>
      </c>
      <c r="F434" s="277">
        <v>28</v>
      </c>
      <c r="G434" s="158"/>
      <c r="H434" s="277"/>
      <c r="I434" s="158">
        <v>273</v>
      </c>
      <c r="J434" s="277">
        <v>249</v>
      </c>
      <c r="K434" s="160">
        <f t="shared" si="167"/>
        <v>0</v>
      </c>
      <c r="L434" s="161">
        <f t="shared" si="160"/>
        <v>0</v>
      </c>
      <c r="M434" s="54"/>
      <c r="N434" s="55"/>
      <c r="O434" s="55"/>
      <c r="P434" s="55"/>
      <c r="Q434" s="162">
        <f t="shared" si="168"/>
        <v>0</v>
      </c>
      <c r="R434" s="277"/>
      <c r="S434" s="277"/>
      <c r="T434" s="277"/>
      <c r="U434" s="277"/>
      <c r="V434" s="97">
        <f t="shared" si="169"/>
        <v>0</v>
      </c>
      <c r="W434" s="279"/>
      <c r="X434" s="52"/>
      <c r="Y434" s="99"/>
      <c r="Z434" s="53"/>
      <c r="AA434" s="228"/>
      <c r="AB434" s="52"/>
      <c r="AC434" s="99"/>
      <c r="AD434" s="53"/>
      <c r="AE434" s="228"/>
      <c r="AF434" s="52"/>
      <c r="AG434" s="99"/>
      <c r="AH434" s="53"/>
      <c r="AI434" s="228"/>
      <c r="AJ434" s="52"/>
      <c r="AK434" s="99"/>
      <c r="AL434" s="53"/>
      <c r="AM434" s="228"/>
      <c r="AN434" s="52"/>
      <c r="AO434" s="99"/>
      <c r="AP434" s="53"/>
      <c r="AQ434" s="50">
        <f t="shared" si="161"/>
        <v>0</v>
      </c>
      <c r="AR434" s="163">
        <f t="shared" si="162"/>
        <v>0</v>
      </c>
      <c r="AS434" s="97">
        <f t="shared" si="163"/>
        <v>0</v>
      </c>
      <c r="AT434" s="278">
        <f t="shared" si="164"/>
        <v>0</v>
      </c>
      <c r="AU434" s="55"/>
      <c r="AV434" s="277"/>
      <c r="AW434" s="279"/>
      <c r="AX434" s="52"/>
      <c r="AY434" s="531"/>
      <c r="AZ434" s="98"/>
      <c r="BA434" s="279"/>
      <c r="BB434" s="52"/>
      <c r="BC434" s="105"/>
      <c r="BD434" s="98"/>
      <c r="BE434" s="279"/>
      <c r="BF434" s="52"/>
      <c r="BG434" s="105"/>
      <c r="BH434" s="98"/>
      <c r="BI434" s="279"/>
      <c r="BJ434" s="52"/>
      <c r="BK434" s="105"/>
      <c r="BL434" s="98"/>
      <c r="BM434" s="279"/>
      <c r="BN434" s="52"/>
      <c r="BO434" s="105"/>
      <c r="BP434" s="98"/>
      <c r="BQ434" s="279"/>
      <c r="BR434" s="52"/>
      <c r="BS434" s="105"/>
      <c r="BT434" s="98"/>
      <c r="BU434" s="279"/>
      <c r="BV434" s="52"/>
      <c r="BW434" s="105"/>
      <c r="BX434" s="98"/>
      <c r="BY434" s="279"/>
      <c r="BZ434" s="52"/>
      <c r="CA434" s="105"/>
      <c r="CB434" s="98"/>
      <c r="CC434" s="279"/>
      <c r="CD434" s="52"/>
      <c r="CE434" s="105"/>
      <c r="CF434" s="98"/>
      <c r="CG434" s="279"/>
      <c r="CH434" s="52"/>
      <c r="CI434" s="105"/>
      <c r="CJ434" s="98"/>
      <c r="CK434" s="281"/>
      <c r="CL434" s="277"/>
      <c r="CM434" s="159"/>
      <c r="CN434" s="277"/>
      <c r="CO434" s="50">
        <f t="shared" si="170"/>
        <v>0</v>
      </c>
      <c r="CP434" s="103">
        <f t="shared" si="171"/>
        <v>0</v>
      </c>
      <c r="CQ434" s="280">
        <f t="shared" si="172"/>
        <v>0</v>
      </c>
      <c r="CR434" s="63">
        <f t="shared" si="173"/>
        <v>0</v>
      </c>
      <c r="CS434" s="279"/>
      <c r="CT434" s="52"/>
      <c r="CU434" s="105"/>
      <c r="CV434" s="98"/>
      <c r="CW434" s="279"/>
      <c r="CX434" s="52"/>
      <c r="CY434" s="105"/>
      <c r="CZ434" s="98"/>
      <c r="DA434" s="279"/>
      <c r="DB434" s="52"/>
      <c r="DC434" s="105"/>
      <c r="DD434" s="98"/>
      <c r="DE434" s="279"/>
      <c r="DF434" s="52"/>
      <c r="DG434" s="105"/>
      <c r="DH434" s="98"/>
      <c r="DI434" s="279"/>
      <c r="DJ434" s="52"/>
      <c r="DK434" s="105"/>
      <c r="DL434" s="98"/>
      <c r="DM434" s="279"/>
      <c r="DN434" s="52"/>
      <c r="DO434" s="105"/>
      <c r="DP434" s="98"/>
      <c r="DQ434" s="279"/>
      <c r="DR434" s="52"/>
      <c r="DS434" s="105"/>
      <c r="DT434" s="98"/>
      <c r="DU434" s="279"/>
      <c r="DV434" s="52"/>
      <c r="DW434" s="105"/>
      <c r="DX434" s="98"/>
      <c r="DY434" s="279"/>
      <c r="DZ434" s="52"/>
      <c r="EA434" s="105"/>
      <c r="EB434" s="98"/>
      <c r="EC434" s="279"/>
      <c r="ED434" s="52"/>
      <c r="EE434" s="105"/>
      <c r="EF434" s="98"/>
      <c r="EG434" s="159"/>
      <c r="EH434" s="277"/>
      <c r="EI434" s="50">
        <f t="shared" si="174"/>
        <v>0</v>
      </c>
      <c r="EJ434" s="103">
        <f t="shared" si="175"/>
        <v>0</v>
      </c>
      <c r="EK434" s="164">
        <f t="shared" si="176"/>
        <v>0</v>
      </c>
      <c r="EL434" s="280">
        <f t="shared" si="177"/>
        <v>0</v>
      </c>
      <c r="EM434" s="63">
        <f t="shared" si="178"/>
        <v>0</v>
      </c>
      <c r="EN434" s="359">
        <f t="shared" si="179"/>
        <v>0</v>
      </c>
      <c r="EO434" s="51">
        <f t="shared" si="180"/>
        <v>0</v>
      </c>
      <c r="EP434" s="361">
        <f t="shared" si="181"/>
        <v>0</v>
      </c>
      <c r="EQ434" s="281"/>
      <c r="ER434" s="277"/>
      <c r="ES434" s="281"/>
      <c r="ET434" s="277"/>
      <c r="EU434" s="281"/>
      <c r="EV434" s="277"/>
      <c r="EW434" s="281"/>
      <c r="EX434" s="277"/>
      <c r="EY434" s="281"/>
      <c r="EZ434" s="277"/>
      <c r="FA434" s="281"/>
      <c r="FB434" s="277"/>
      <c r="FC434" s="281"/>
      <c r="FD434" s="277"/>
      <c r="FE434" s="281"/>
      <c r="FF434" s="277"/>
      <c r="FG434" s="281"/>
      <c r="FH434" s="277"/>
      <c r="FI434" s="281"/>
      <c r="FJ434" s="277"/>
      <c r="FK434" s="50">
        <f t="shared" si="182"/>
        <v>0</v>
      </c>
      <c r="FL434" s="63">
        <f t="shared" si="183"/>
        <v>0</v>
      </c>
      <c r="FM434" s="50">
        <f t="shared" si="165"/>
        <v>298</v>
      </c>
      <c r="FN434" s="360">
        <f t="shared" si="166"/>
        <v>277</v>
      </c>
      <c r="FO434" s="3"/>
      <c r="FP434" s="279"/>
      <c r="FQ434" s="52"/>
      <c r="FR434" s="296"/>
      <c r="FS434" s="98"/>
      <c r="FT434" s="467"/>
      <c r="FU434" s="52"/>
      <c r="FV434" s="296"/>
      <c r="FW434" s="98"/>
      <c r="FX434" s="467"/>
      <c r="FY434" s="52"/>
      <c r="FZ434" s="296"/>
      <c r="GA434" s="98"/>
      <c r="GB434" s="467"/>
      <c r="GC434" s="52"/>
      <c r="GD434" s="296"/>
      <c r="GE434" s="98"/>
      <c r="GF434" s="467"/>
      <c r="GG434" s="52"/>
      <c r="GH434" s="296"/>
      <c r="GI434" s="98"/>
      <c r="GJ434" s="467"/>
      <c r="GK434" s="52"/>
      <c r="GL434" s="296"/>
      <c r="GM434" s="464"/>
      <c r="GN434" s="467"/>
      <c r="GO434" s="52"/>
      <c r="GP434" s="296"/>
      <c r="GQ434" s="464"/>
      <c r="GR434" s="467"/>
      <c r="GS434" s="52"/>
      <c r="GT434" s="296"/>
      <c r="GU434" s="464"/>
      <c r="GV434" s="467"/>
      <c r="GW434" s="52"/>
      <c r="GX434" s="296"/>
      <c r="GY434" s="464"/>
      <c r="GZ434" s="467"/>
      <c r="HA434" s="52"/>
      <c r="HB434" s="296"/>
      <c r="HC434" s="3"/>
    </row>
    <row r="435" spans="1:211" s="86" customFormat="1">
      <c r="A435" s="489" t="s">
        <v>31</v>
      </c>
      <c r="B435" s="532" t="s">
        <v>385</v>
      </c>
      <c r="C435" s="533">
        <v>365374</v>
      </c>
      <c r="D435" s="534">
        <v>12</v>
      </c>
      <c r="E435" s="460">
        <v>365</v>
      </c>
      <c r="F435" s="277">
        <v>480</v>
      </c>
      <c r="G435" s="158"/>
      <c r="H435" s="277">
        <v>37</v>
      </c>
      <c r="I435" s="158"/>
      <c r="J435" s="277"/>
      <c r="K435" s="160">
        <f t="shared" si="167"/>
        <v>0</v>
      </c>
      <c r="L435" s="161">
        <f t="shared" si="160"/>
        <v>0</v>
      </c>
      <c r="M435" s="54"/>
      <c r="N435" s="55"/>
      <c r="O435" s="55"/>
      <c r="P435" s="55"/>
      <c r="Q435" s="162">
        <f t="shared" si="168"/>
        <v>0</v>
      </c>
      <c r="R435" s="277"/>
      <c r="S435" s="277"/>
      <c r="T435" s="277"/>
      <c r="U435" s="277"/>
      <c r="V435" s="97">
        <f t="shared" si="169"/>
        <v>0</v>
      </c>
      <c r="W435" s="279"/>
      <c r="X435" s="52"/>
      <c r="Y435" s="99"/>
      <c r="Z435" s="53"/>
      <c r="AA435" s="228"/>
      <c r="AB435" s="52"/>
      <c r="AC435" s="99"/>
      <c r="AD435" s="53"/>
      <c r="AE435" s="228"/>
      <c r="AF435" s="52"/>
      <c r="AG435" s="99"/>
      <c r="AH435" s="53"/>
      <c r="AI435" s="228"/>
      <c r="AJ435" s="52"/>
      <c r="AK435" s="99"/>
      <c r="AL435" s="53"/>
      <c r="AM435" s="228"/>
      <c r="AN435" s="52"/>
      <c r="AO435" s="99"/>
      <c r="AP435" s="53"/>
      <c r="AQ435" s="50">
        <f t="shared" si="161"/>
        <v>0</v>
      </c>
      <c r="AR435" s="163">
        <f t="shared" si="162"/>
        <v>0</v>
      </c>
      <c r="AS435" s="97">
        <f t="shared" si="163"/>
        <v>0</v>
      </c>
      <c r="AT435" s="278">
        <f t="shared" si="164"/>
        <v>0</v>
      </c>
      <c r="AU435" s="55"/>
      <c r="AV435" s="277"/>
      <c r="AW435" s="279"/>
      <c r="AX435" s="52"/>
      <c r="AY435" s="531"/>
      <c r="AZ435" s="98"/>
      <c r="BA435" s="279"/>
      <c r="BB435" s="52"/>
      <c r="BC435" s="105"/>
      <c r="BD435" s="98"/>
      <c r="BE435" s="279"/>
      <c r="BF435" s="52"/>
      <c r="BG435" s="105"/>
      <c r="BH435" s="98"/>
      <c r="BI435" s="279"/>
      <c r="BJ435" s="52"/>
      <c r="BK435" s="105"/>
      <c r="BL435" s="98"/>
      <c r="BM435" s="279"/>
      <c r="BN435" s="52"/>
      <c r="BO435" s="105"/>
      <c r="BP435" s="98"/>
      <c r="BQ435" s="279"/>
      <c r="BR435" s="52"/>
      <c r="BS435" s="105"/>
      <c r="BT435" s="98"/>
      <c r="BU435" s="279"/>
      <c r="BV435" s="52"/>
      <c r="BW435" s="105"/>
      <c r="BX435" s="98"/>
      <c r="BY435" s="279"/>
      <c r="BZ435" s="52"/>
      <c r="CA435" s="105"/>
      <c r="CB435" s="98"/>
      <c r="CC435" s="279"/>
      <c r="CD435" s="52"/>
      <c r="CE435" s="105"/>
      <c r="CF435" s="98"/>
      <c r="CG435" s="279"/>
      <c r="CH435" s="52"/>
      <c r="CI435" s="105"/>
      <c r="CJ435" s="98"/>
      <c r="CK435" s="281"/>
      <c r="CL435" s="277"/>
      <c r="CM435" s="159"/>
      <c r="CN435" s="277"/>
      <c r="CO435" s="50">
        <f t="shared" si="170"/>
        <v>0</v>
      </c>
      <c r="CP435" s="103">
        <f t="shared" si="171"/>
        <v>0</v>
      </c>
      <c r="CQ435" s="280">
        <f t="shared" si="172"/>
        <v>0</v>
      </c>
      <c r="CR435" s="63">
        <f t="shared" si="173"/>
        <v>0</v>
      </c>
      <c r="CS435" s="279"/>
      <c r="CT435" s="52"/>
      <c r="CU435" s="105"/>
      <c r="CV435" s="98"/>
      <c r="CW435" s="279"/>
      <c r="CX435" s="52"/>
      <c r="CY435" s="105"/>
      <c r="CZ435" s="98"/>
      <c r="DA435" s="279"/>
      <c r="DB435" s="52"/>
      <c r="DC435" s="105"/>
      <c r="DD435" s="98"/>
      <c r="DE435" s="279"/>
      <c r="DF435" s="52"/>
      <c r="DG435" s="105"/>
      <c r="DH435" s="98"/>
      <c r="DI435" s="279"/>
      <c r="DJ435" s="52"/>
      <c r="DK435" s="105"/>
      <c r="DL435" s="98"/>
      <c r="DM435" s="279"/>
      <c r="DN435" s="52"/>
      <c r="DO435" s="105"/>
      <c r="DP435" s="98"/>
      <c r="DQ435" s="279"/>
      <c r="DR435" s="52"/>
      <c r="DS435" s="105"/>
      <c r="DT435" s="98"/>
      <c r="DU435" s="279"/>
      <c r="DV435" s="52"/>
      <c r="DW435" s="105"/>
      <c r="DX435" s="98"/>
      <c r="DY435" s="279"/>
      <c r="DZ435" s="52"/>
      <c r="EA435" s="105"/>
      <c r="EB435" s="98"/>
      <c r="EC435" s="279"/>
      <c r="ED435" s="52"/>
      <c r="EE435" s="105"/>
      <c r="EF435" s="98"/>
      <c r="EG435" s="159"/>
      <c r="EH435" s="277"/>
      <c r="EI435" s="50">
        <f t="shared" si="174"/>
        <v>0</v>
      </c>
      <c r="EJ435" s="103">
        <f t="shared" si="175"/>
        <v>0</v>
      </c>
      <c r="EK435" s="164">
        <f t="shared" si="176"/>
        <v>0</v>
      </c>
      <c r="EL435" s="280">
        <f t="shared" si="177"/>
        <v>0</v>
      </c>
      <c r="EM435" s="63">
        <f t="shared" si="178"/>
        <v>0</v>
      </c>
      <c r="EN435" s="359">
        <f t="shared" si="179"/>
        <v>0</v>
      </c>
      <c r="EO435" s="51">
        <f t="shared" si="180"/>
        <v>0</v>
      </c>
      <c r="EP435" s="361">
        <f t="shared" si="181"/>
        <v>0</v>
      </c>
      <c r="EQ435" s="281"/>
      <c r="ER435" s="277"/>
      <c r="ES435" s="281"/>
      <c r="ET435" s="277"/>
      <c r="EU435" s="281"/>
      <c r="EV435" s="277"/>
      <c r="EW435" s="281"/>
      <c r="EX435" s="277"/>
      <c r="EY435" s="281"/>
      <c r="EZ435" s="277"/>
      <c r="FA435" s="281"/>
      <c r="FB435" s="277"/>
      <c r="FC435" s="281"/>
      <c r="FD435" s="277"/>
      <c r="FE435" s="281"/>
      <c r="FF435" s="277"/>
      <c r="FG435" s="281"/>
      <c r="FH435" s="277"/>
      <c r="FI435" s="281"/>
      <c r="FJ435" s="277"/>
      <c r="FK435" s="50">
        <f t="shared" si="182"/>
        <v>0</v>
      </c>
      <c r="FL435" s="63">
        <f t="shared" si="183"/>
        <v>0</v>
      </c>
      <c r="FM435" s="50">
        <f t="shared" si="165"/>
        <v>365</v>
      </c>
      <c r="FN435" s="360">
        <f t="shared" si="166"/>
        <v>517</v>
      </c>
      <c r="FO435" s="3"/>
      <c r="FP435" s="279"/>
      <c r="FQ435" s="52"/>
      <c r="FR435" s="296"/>
      <c r="FS435" s="98"/>
      <c r="FT435" s="467"/>
      <c r="FU435" s="52"/>
      <c r="FV435" s="296"/>
      <c r="FW435" s="98"/>
      <c r="FX435" s="467"/>
      <c r="FY435" s="52"/>
      <c r="FZ435" s="296"/>
      <c r="GA435" s="98"/>
      <c r="GB435" s="467"/>
      <c r="GC435" s="52"/>
      <c r="GD435" s="296"/>
      <c r="GE435" s="98"/>
      <c r="GF435" s="467"/>
      <c r="GG435" s="52"/>
      <c r="GH435" s="296"/>
      <c r="GI435" s="98"/>
      <c r="GJ435" s="467"/>
      <c r="GK435" s="52"/>
      <c r="GL435" s="296"/>
      <c r="GM435" s="464"/>
      <c r="GN435" s="467"/>
      <c r="GO435" s="52"/>
      <c r="GP435" s="296"/>
      <c r="GQ435" s="464"/>
      <c r="GR435" s="467"/>
      <c r="GS435" s="52"/>
      <c r="GT435" s="296"/>
      <c r="GU435" s="464"/>
      <c r="GV435" s="467"/>
      <c r="GW435" s="52"/>
      <c r="GX435" s="296"/>
      <c r="GY435" s="464"/>
      <c r="GZ435" s="467"/>
      <c r="HA435" s="52"/>
      <c r="HB435" s="296"/>
      <c r="HC435" s="3"/>
    </row>
    <row r="436" spans="1:211" s="86" customFormat="1">
      <c r="A436" s="489" t="s">
        <v>31</v>
      </c>
      <c r="B436" s="308" t="s">
        <v>378</v>
      </c>
      <c r="C436" s="307">
        <v>245999</v>
      </c>
      <c r="D436" s="341">
        <v>12</v>
      </c>
      <c r="E436" s="460">
        <v>456</v>
      </c>
      <c r="F436" s="277">
        <v>768</v>
      </c>
      <c r="G436" s="158">
        <v>7</v>
      </c>
      <c r="H436" s="277">
        <v>18</v>
      </c>
      <c r="I436" s="158"/>
      <c r="J436" s="277"/>
      <c r="K436" s="160">
        <f t="shared" si="167"/>
        <v>0</v>
      </c>
      <c r="L436" s="161">
        <f t="shared" si="160"/>
        <v>0</v>
      </c>
      <c r="M436" s="54"/>
      <c r="N436" s="55"/>
      <c r="O436" s="55"/>
      <c r="P436" s="55"/>
      <c r="Q436" s="162">
        <f t="shared" si="168"/>
        <v>0</v>
      </c>
      <c r="R436" s="277"/>
      <c r="S436" s="277"/>
      <c r="T436" s="277"/>
      <c r="U436" s="277"/>
      <c r="V436" s="97">
        <f t="shared" si="169"/>
        <v>0</v>
      </c>
      <c r="W436" s="279"/>
      <c r="X436" s="52"/>
      <c r="Y436" s="99"/>
      <c r="Z436" s="53"/>
      <c r="AA436" s="228"/>
      <c r="AB436" s="52"/>
      <c r="AC436" s="99"/>
      <c r="AD436" s="53"/>
      <c r="AE436" s="228"/>
      <c r="AF436" s="52"/>
      <c r="AG436" s="99"/>
      <c r="AH436" s="53"/>
      <c r="AI436" s="228"/>
      <c r="AJ436" s="52"/>
      <c r="AK436" s="99"/>
      <c r="AL436" s="53"/>
      <c r="AM436" s="228"/>
      <c r="AN436" s="52"/>
      <c r="AO436" s="99"/>
      <c r="AP436" s="53"/>
      <c r="AQ436" s="50">
        <f t="shared" si="161"/>
        <v>0</v>
      </c>
      <c r="AR436" s="163">
        <f t="shared" si="162"/>
        <v>0</v>
      </c>
      <c r="AS436" s="97">
        <f t="shared" si="163"/>
        <v>0</v>
      </c>
      <c r="AT436" s="278">
        <f t="shared" si="164"/>
        <v>0</v>
      </c>
      <c r="AU436" s="55"/>
      <c r="AV436" s="277"/>
      <c r="AW436" s="279"/>
      <c r="AX436" s="52"/>
      <c r="AY436" s="531"/>
      <c r="AZ436" s="98"/>
      <c r="BA436" s="279"/>
      <c r="BB436" s="52"/>
      <c r="BC436" s="105"/>
      <c r="BD436" s="98"/>
      <c r="BE436" s="279"/>
      <c r="BF436" s="52"/>
      <c r="BG436" s="105"/>
      <c r="BH436" s="98"/>
      <c r="BI436" s="279"/>
      <c r="BJ436" s="52"/>
      <c r="BK436" s="105"/>
      <c r="BL436" s="98"/>
      <c r="BM436" s="279"/>
      <c r="BN436" s="52"/>
      <c r="BO436" s="105"/>
      <c r="BP436" s="98"/>
      <c r="BQ436" s="279"/>
      <c r="BR436" s="52"/>
      <c r="BS436" s="105"/>
      <c r="BT436" s="98"/>
      <c r="BU436" s="279"/>
      <c r="BV436" s="52"/>
      <c r="BW436" s="105"/>
      <c r="BX436" s="98"/>
      <c r="BY436" s="279"/>
      <c r="BZ436" s="52"/>
      <c r="CA436" s="105"/>
      <c r="CB436" s="98"/>
      <c r="CC436" s="279"/>
      <c r="CD436" s="52"/>
      <c r="CE436" s="105"/>
      <c r="CF436" s="98"/>
      <c r="CG436" s="279"/>
      <c r="CH436" s="52"/>
      <c r="CI436" s="105"/>
      <c r="CJ436" s="98"/>
      <c r="CK436" s="281"/>
      <c r="CL436" s="277"/>
      <c r="CM436" s="159"/>
      <c r="CN436" s="277"/>
      <c r="CO436" s="50">
        <f t="shared" si="170"/>
        <v>0</v>
      </c>
      <c r="CP436" s="103">
        <f t="shared" si="171"/>
        <v>0</v>
      </c>
      <c r="CQ436" s="280">
        <f t="shared" si="172"/>
        <v>0</v>
      </c>
      <c r="CR436" s="63">
        <f t="shared" si="173"/>
        <v>0</v>
      </c>
      <c r="CS436" s="279"/>
      <c r="CT436" s="52"/>
      <c r="CU436" s="105"/>
      <c r="CV436" s="98"/>
      <c r="CW436" s="279"/>
      <c r="CX436" s="52"/>
      <c r="CY436" s="105"/>
      <c r="CZ436" s="98"/>
      <c r="DA436" s="279"/>
      <c r="DB436" s="52"/>
      <c r="DC436" s="105"/>
      <c r="DD436" s="98"/>
      <c r="DE436" s="279"/>
      <c r="DF436" s="52"/>
      <c r="DG436" s="105"/>
      <c r="DH436" s="98"/>
      <c r="DI436" s="279"/>
      <c r="DJ436" s="52"/>
      <c r="DK436" s="105"/>
      <c r="DL436" s="98"/>
      <c r="DM436" s="279"/>
      <c r="DN436" s="52"/>
      <c r="DO436" s="105"/>
      <c r="DP436" s="98"/>
      <c r="DQ436" s="279"/>
      <c r="DR436" s="52"/>
      <c r="DS436" s="105"/>
      <c r="DT436" s="98"/>
      <c r="DU436" s="279"/>
      <c r="DV436" s="52"/>
      <c r="DW436" s="105"/>
      <c r="DX436" s="98"/>
      <c r="DY436" s="279"/>
      <c r="DZ436" s="52"/>
      <c r="EA436" s="105"/>
      <c r="EB436" s="98"/>
      <c r="EC436" s="279"/>
      <c r="ED436" s="52"/>
      <c r="EE436" s="105"/>
      <c r="EF436" s="98"/>
      <c r="EG436" s="159"/>
      <c r="EH436" s="277"/>
      <c r="EI436" s="50">
        <f t="shared" si="174"/>
        <v>0</v>
      </c>
      <c r="EJ436" s="103">
        <f t="shared" si="175"/>
        <v>0</v>
      </c>
      <c r="EK436" s="164">
        <f t="shared" si="176"/>
        <v>0</v>
      </c>
      <c r="EL436" s="280">
        <f t="shared" si="177"/>
        <v>0</v>
      </c>
      <c r="EM436" s="63">
        <f t="shared" si="178"/>
        <v>0</v>
      </c>
      <c r="EN436" s="359">
        <f t="shared" si="179"/>
        <v>0</v>
      </c>
      <c r="EO436" s="51">
        <f t="shared" si="180"/>
        <v>0</v>
      </c>
      <c r="EP436" s="361">
        <f t="shared" si="181"/>
        <v>0</v>
      </c>
      <c r="EQ436" s="281"/>
      <c r="ER436" s="277"/>
      <c r="ES436" s="281"/>
      <c r="ET436" s="277"/>
      <c r="EU436" s="281"/>
      <c r="EV436" s="277"/>
      <c r="EW436" s="281"/>
      <c r="EX436" s="277"/>
      <c r="EY436" s="281"/>
      <c r="EZ436" s="277"/>
      <c r="FA436" s="281"/>
      <c r="FB436" s="277"/>
      <c r="FC436" s="281"/>
      <c r="FD436" s="277"/>
      <c r="FE436" s="281"/>
      <c r="FF436" s="277"/>
      <c r="FG436" s="281"/>
      <c r="FH436" s="277"/>
      <c r="FI436" s="281"/>
      <c r="FJ436" s="277"/>
      <c r="FK436" s="50">
        <f t="shared" si="182"/>
        <v>0</v>
      </c>
      <c r="FL436" s="63">
        <f t="shared" si="183"/>
        <v>0</v>
      </c>
      <c r="FM436" s="50">
        <f t="shared" si="165"/>
        <v>463</v>
      </c>
      <c r="FN436" s="360">
        <f t="shared" si="166"/>
        <v>786</v>
      </c>
      <c r="FO436" s="3"/>
      <c r="FP436" s="279"/>
      <c r="FQ436" s="52"/>
      <c r="FR436" s="296"/>
      <c r="FS436" s="98"/>
      <c r="FT436" s="467"/>
      <c r="FU436" s="52"/>
      <c r="FV436" s="296"/>
      <c r="FW436" s="98"/>
      <c r="FX436" s="467"/>
      <c r="FY436" s="52"/>
      <c r="FZ436" s="296"/>
      <c r="GA436" s="98"/>
      <c r="GB436" s="467"/>
      <c r="GC436" s="52"/>
      <c r="GD436" s="296"/>
      <c r="GE436" s="98"/>
      <c r="GF436" s="467"/>
      <c r="GG436" s="52"/>
      <c r="GH436" s="296"/>
      <c r="GI436" s="98"/>
      <c r="GJ436" s="467"/>
      <c r="GK436" s="52"/>
      <c r="GL436" s="296"/>
      <c r="GM436" s="464"/>
      <c r="GN436" s="467"/>
      <c r="GO436" s="52"/>
      <c r="GP436" s="296"/>
      <c r="GQ436" s="464"/>
      <c r="GR436" s="467"/>
      <c r="GS436" s="52"/>
      <c r="GT436" s="296"/>
      <c r="GU436" s="464"/>
      <c r="GV436" s="467"/>
      <c r="GW436" s="52"/>
      <c r="GX436" s="296"/>
      <c r="GY436" s="464"/>
      <c r="GZ436" s="467"/>
      <c r="HA436" s="52"/>
      <c r="HB436" s="296"/>
      <c r="HC436" s="3"/>
    </row>
    <row r="437" spans="1:211" s="86" customFormat="1">
      <c r="A437" s="489" t="s">
        <v>31</v>
      </c>
      <c r="B437" s="308" t="s">
        <v>379</v>
      </c>
      <c r="C437" s="307">
        <v>364548</v>
      </c>
      <c r="D437" s="341">
        <v>12</v>
      </c>
      <c r="E437" s="460">
        <v>149</v>
      </c>
      <c r="F437" s="277">
        <v>426</v>
      </c>
      <c r="G437" s="158">
        <v>43</v>
      </c>
      <c r="H437" s="277">
        <v>37</v>
      </c>
      <c r="I437" s="158"/>
      <c r="J437" s="277"/>
      <c r="K437" s="160">
        <f t="shared" si="167"/>
        <v>0</v>
      </c>
      <c r="L437" s="161">
        <f t="shared" si="160"/>
        <v>0</v>
      </c>
      <c r="M437" s="54"/>
      <c r="N437" s="55"/>
      <c r="O437" s="55"/>
      <c r="P437" s="55"/>
      <c r="Q437" s="162">
        <f t="shared" si="168"/>
        <v>0</v>
      </c>
      <c r="R437" s="277"/>
      <c r="S437" s="277"/>
      <c r="T437" s="277"/>
      <c r="U437" s="277"/>
      <c r="V437" s="97">
        <f t="shared" si="169"/>
        <v>0</v>
      </c>
      <c r="W437" s="279"/>
      <c r="X437" s="52"/>
      <c r="Y437" s="99"/>
      <c r="Z437" s="53"/>
      <c r="AA437" s="228"/>
      <c r="AB437" s="52"/>
      <c r="AC437" s="99"/>
      <c r="AD437" s="53"/>
      <c r="AE437" s="228"/>
      <c r="AF437" s="52"/>
      <c r="AG437" s="99"/>
      <c r="AH437" s="53"/>
      <c r="AI437" s="228"/>
      <c r="AJ437" s="52"/>
      <c r="AK437" s="99"/>
      <c r="AL437" s="53"/>
      <c r="AM437" s="228"/>
      <c r="AN437" s="52"/>
      <c r="AO437" s="99"/>
      <c r="AP437" s="53"/>
      <c r="AQ437" s="50">
        <f t="shared" si="161"/>
        <v>0</v>
      </c>
      <c r="AR437" s="163">
        <f t="shared" si="162"/>
        <v>0</v>
      </c>
      <c r="AS437" s="97">
        <f t="shared" si="163"/>
        <v>0</v>
      </c>
      <c r="AT437" s="278">
        <f t="shared" si="164"/>
        <v>0</v>
      </c>
      <c r="AU437" s="55"/>
      <c r="AV437" s="277"/>
      <c r="AW437" s="279"/>
      <c r="AX437" s="52"/>
      <c r="AY437" s="531"/>
      <c r="AZ437" s="98"/>
      <c r="BA437" s="279"/>
      <c r="BB437" s="52"/>
      <c r="BC437" s="105"/>
      <c r="BD437" s="98"/>
      <c r="BE437" s="279"/>
      <c r="BF437" s="52"/>
      <c r="BG437" s="105"/>
      <c r="BH437" s="98"/>
      <c r="BI437" s="279"/>
      <c r="BJ437" s="52"/>
      <c r="BK437" s="105"/>
      <c r="BL437" s="98"/>
      <c r="BM437" s="279"/>
      <c r="BN437" s="52"/>
      <c r="BO437" s="105"/>
      <c r="BP437" s="98"/>
      <c r="BQ437" s="279"/>
      <c r="BR437" s="52"/>
      <c r="BS437" s="105"/>
      <c r="BT437" s="98"/>
      <c r="BU437" s="279"/>
      <c r="BV437" s="52"/>
      <c r="BW437" s="105"/>
      <c r="BX437" s="98"/>
      <c r="BY437" s="279"/>
      <c r="BZ437" s="52"/>
      <c r="CA437" s="105"/>
      <c r="CB437" s="98"/>
      <c r="CC437" s="279"/>
      <c r="CD437" s="52"/>
      <c r="CE437" s="105"/>
      <c r="CF437" s="98"/>
      <c r="CG437" s="279"/>
      <c r="CH437" s="52"/>
      <c r="CI437" s="105"/>
      <c r="CJ437" s="98"/>
      <c r="CK437" s="281"/>
      <c r="CL437" s="277"/>
      <c r="CM437" s="159"/>
      <c r="CN437" s="277"/>
      <c r="CO437" s="50">
        <f t="shared" si="170"/>
        <v>0</v>
      </c>
      <c r="CP437" s="103">
        <f t="shared" si="171"/>
        <v>0</v>
      </c>
      <c r="CQ437" s="280">
        <f t="shared" si="172"/>
        <v>0</v>
      </c>
      <c r="CR437" s="63">
        <f t="shared" si="173"/>
        <v>0</v>
      </c>
      <c r="CS437" s="279"/>
      <c r="CT437" s="52"/>
      <c r="CU437" s="105"/>
      <c r="CV437" s="98"/>
      <c r="CW437" s="279"/>
      <c r="CX437" s="52"/>
      <c r="CY437" s="105"/>
      <c r="CZ437" s="98"/>
      <c r="DA437" s="279"/>
      <c r="DB437" s="52"/>
      <c r="DC437" s="105"/>
      <c r="DD437" s="98"/>
      <c r="DE437" s="279"/>
      <c r="DF437" s="52"/>
      <c r="DG437" s="105"/>
      <c r="DH437" s="98"/>
      <c r="DI437" s="279"/>
      <c r="DJ437" s="52"/>
      <c r="DK437" s="105"/>
      <c r="DL437" s="98"/>
      <c r="DM437" s="279"/>
      <c r="DN437" s="52"/>
      <c r="DO437" s="105"/>
      <c r="DP437" s="98"/>
      <c r="DQ437" s="279"/>
      <c r="DR437" s="52"/>
      <c r="DS437" s="105"/>
      <c r="DT437" s="98"/>
      <c r="DU437" s="279"/>
      <c r="DV437" s="52"/>
      <c r="DW437" s="105"/>
      <c r="DX437" s="98"/>
      <c r="DY437" s="279"/>
      <c r="DZ437" s="52"/>
      <c r="EA437" s="105"/>
      <c r="EB437" s="98"/>
      <c r="EC437" s="279"/>
      <c r="ED437" s="52"/>
      <c r="EE437" s="105"/>
      <c r="EF437" s="98"/>
      <c r="EG437" s="159"/>
      <c r="EH437" s="277"/>
      <c r="EI437" s="50">
        <f t="shared" si="174"/>
        <v>0</v>
      </c>
      <c r="EJ437" s="103">
        <f t="shared" si="175"/>
        <v>0</v>
      </c>
      <c r="EK437" s="164">
        <f t="shared" si="176"/>
        <v>0</v>
      </c>
      <c r="EL437" s="280">
        <f t="shared" si="177"/>
        <v>0</v>
      </c>
      <c r="EM437" s="63">
        <f t="shared" si="178"/>
        <v>0</v>
      </c>
      <c r="EN437" s="359">
        <f t="shared" si="179"/>
        <v>0</v>
      </c>
      <c r="EO437" s="51">
        <f t="shared" si="180"/>
        <v>0</v>
      </c>
      <c r="EP437" s="361">
        <f t="shared" si="181"/>
        <v>0</v>
      </c>
      <c r="EQ437" s="281"/>
      <c r="ER437" s="277"/>
      <c r="ES437" s="281"/>
      <c r="ET437" s="277"/>
      <c r="EU437" s="281"/>
      <c r="EV437" s="277"/>
      <c r="EW437" s="281"/>
      <c r="EX437" s="277"/>
      <c r="EY437" s="281"/>
      <c r="EZ437" s="277"/>
      <c r="FA437" s="281"/>
      <c r="FB437" s="277"/>
      <c r="FC437" s="281"/>
      <c r="FD437" s="277"/>
      <c r="FE437" s="281"/>
      <c r="FF437" s="277"/>
      <c r="FG437" s="281"/>
      <c r="FH437" s="277"/>
      <c r="FI437" s="281"/>
      <c r="FJ437" s="277"/>
      <c r="FK437" s="50">
        <f t="shared" si="182"/>
        <v>0</v>
      </c>
      <c r="FL437" s="63">
        <f t="shared" si="183"/>
        <v>0</v>
      </c>
      <c r="FM437" s="50">
        <f t="shared" si="165"/>
        <v>192</v>
      </c>
      <c r="FN437" s="360">
        <f t="shared" si="166"/>
        <v>463</v>
      </c>
      <c r="FO437" s="3"/>
      <c r="FP437" s="279"/>
      <c r="FQ437" s="52"/>
      <c r="FR437" s="296"/>
      <c r="FS437" s="98"/>
      <c r="FT437" s="467"/>
      <c r="FU437" s="52"/>
      <c r="FV437" s="296"/>
      <c r="FW437" s="98"/>
      <c r="FX437" s="467"/>
      <c r="FY437" s="52"/>
      <c r="FZ437" s="296"/>
      <c r="GA437" s="98"/>
      <c r="GB437" s="467"/>
      <c r="GC437" s="52"/>
      <c r="GD437" s="296"/>
      <c r="GE437" s="98"/>
      <c r="GF437" s="467"/>
      <c r="GG437" s="52"/>
      <c r="GH437" s="296"/>
      <c r="GI437" s="98"/>
      <c r="GJ437" s="467"/>
      <c r="GK437" s="52"/>
      <c r="GL437" s="296"/>
      <c r="GM437" s="464"/>
      <c r="GN437" s="467"/>
      <c r="GO437" s="52"/>
      <c r="GP437" s="296"/>
      <c r="GQ437" s="464"/>
      <c r="GR437" s="467"/>
      <c r="GS437" s="52"/>
      <c r="GT437" s="296"/>
      <c r="GU437" s="464"/>
      <c r="GV437" s="467"/>
      <c r="GW437" s="52"/>
      <c r="GX437" s="296"/>
      <c r="GY437" s="464"/>
      <c r="GZ437" s="467"/>
      <c r="HA437" s="52"/>
      <c r="HB437" s="296"/>
      <c r="HC437" s="3"/>
    </row>
    <row r="438" spans="1:211" s="86" customFormat="1">
      <c r="A438" s="489" t="s">
        <v>31</v>
      </c>
      <c r="B438" s="308" t="s">
        <v>380</v>
      </c>
      <c r="C438" s="307">
        <v>363165</v>
      </c>
      <c r="D438" s="341">
        <v>12</v>
      </c>
      <c r="E438" s="460">
        <v>344</v>
      </c>
      <c r="F438" s="277">
        <v>477</v>
      </c>
      <c r="G438" s="158">
        <v>130</v>
      </c>
      <c r="H438" s="277">
        <v>30</v>
      </c>
      <c r="I438" s="158"/>
      <c r="J438" s="277"/>
      <c r="K438" s="160">
        <f t="shared" si="167"/>
        <v>0</v>
      </c>
      <c r="L438" s="161">
        <f t="shared" si="160"/>
        <v>0</v>
      </c>
      <c r="M438" s="54"/>
      <c r="N438" s="55"/>
      <c r="O438" s="55"/>
      <c r="P438" s="55"/>
      <c r="Q438" s="162">
        <f t="shared" si="168"/>
        <v>0</v>
      </c>
      <c r="R438" s="277"/>
      <c r="S438" s="277"/>
      <c r="T438" s="277"/>
      <c r="U438" s="277"/>
      <c r="V438" s="97">
        <f t="shared" si="169"/>
        <v>0</v>
      </c>
      <c r="W438" s="279"/>
      <c r="X438" s="52"/>
      <c r="Y438" s="99"/>
      <c r="Z438" s="53"/>
      <c r="AA438" s="228"/>
      <c r="AB438" s="52"/>
      <c r="AC438" s="99"/>
      <c r="AD438" s="53"/>
      <c r="AE438" s="228"/>
      <c r="AF438" s="52"/>
      <c r="AG438" s="99"/>
      <c r="AH438" s="53"/>
      <c r="AI438" s="228"/>
      <c r="AJ438" s="52"/>
      <c r="AK438" s="99"/>
      <c r="AL438" s="53"/>
      <c r="AM438" s="228"/>
      <c r="AN438" s="52"/>
      <c r="AO438" s="99"/>
      <c r="AP438" s="53"/>
      <c r="AQ438" s="50">
        <f t="shared" si="161"/>
        <v>0</v>
      </c>
      <c r="AR438" s="163">
        <f t="shared" si="162"/>
        <v>0</v>
      </c>
      <c r="AS438" s="97">
        <f t="shared" si="163"/>
        <v>0</v>
      </c>
      <c r="AT438" s="278">
        <f t="shared" si="164"/>
        <v>0</v>
      </c>
      <c r="AU438" s="55"/>
      <c r="AV438" s="277"/>
      <c r="AW438" s="279"/>
      <c r="AX438" s="52"/>
      <c r="AY438" s="531"/>
      <c r="AZ438" s="98"/>
      <c r="BA438" s="279"/>
      <c r="BB438" s="52"/>
      <c r="BC438" s="105"/>
      <c r="BD438" s="98"/>
      <c r="BE438" s="279"/>
      <c r="BF438" s="52"/>
      <c r="BG438" s="105"/>
      <c r="BH438" s="98"/>
      <c r="BI438" s="279"/>
      <c r="BJ438" s="52"/>
      <c r="BK438" s="105"/>
      <c r="BL438" s="98"/>
      <c r="BM438" s="279"/>
      <c r="BN438" s="52"/>
      <c r="BO438" s="105"/>
      <c r="BP438" s="98"/>
      <c r="BQ438" s="279"/>
      <c r="BR438" s="52"/>
      <c r="BS438" s="105"/>
      <c r="BT438" s="98"/>
      <c r="BU438" s="279"/>
      <c r="BV438" s="52"/>
      <c r="BW438" s="105"/>
      <c r="BX438" s="98"/>
      <c r="BY438" s="279"/>
      <c r="BZ438" s="52"/>
      <c r="CA438" s="105"/>
      <c r="CB438" s="98"/>
      <c r="CC438" s="279"/>
      <c r="CD438" s="52"/>
      <c r="CE438" s="105"/>
      <c r="CF438" s="98"/>
      <c r="CG438" s="279"/>
      <c r="CH438" s="52"/>
      <c r="CI438" s="105"/>
      <c r="CJ438" s="98"/>
      <c r="CK438" s="281"/>
      <c r="CL438" s="277"/>
      <c r="CM438" s="159"/>
      <c r="CN438" s="277"/>
      <c r="CO438" s="50">
        <f t="shared" si="170"/>
        <v>0</v>
      </c>
      <c r="CP438" s="103">
        <f t="shared" si="171"/>
        <v>0</v>
      </c>
      <c r="CQ438" s="280">
        <f t="shared" si="172"/>
        <v>0</v>
      </c>
      <c r="CR438" s="63">
        <f t="shared" si="173"/>
        <v>0</v>
      </c>
      <c r="CS438" s="279"/>
      <c r="CT438" s="52"/>
      <c r="CU438" s="105"/>
      <c r="CV438" s="98"/>
      <c r="CW438" s="279"/>
      <c r="CX438" s="52"/>
      <c r="CY438" s="105"/>
      <c r="CZ438" s="98"/>
      <c r="DA438" s="279"/>
      <c r="DB438" s="52"/>
      <c r="DC438" s="105"/>
      <c r="DD438" s="98"/>
      <c r="DE438" s="279"/>
      <c r="DF438" s="52"/>
      <c r="DG438" s="105"/>
      <c r="DH438" s="98"/>
      <c r="DI438" s="279"/>
      <c r="DJ438" s="52"/>
      <c r="DK438" s="105"/>
      <c r="DL438" s="98"/>
      <c r="DM438" s="279"/>
      <c r="DN438" s="52"/>
      <c r="DO438" s="105"/>
      <c r="DP438" s="98"/>
      <c r="DQ438" s="279"/>
      <c r="DR438" s="52"/>
      <c r="DS438" s="105"/>
      <c r="DT438" s="98"/>
      <c r="DU438" s="279"/>
      <c r="DV438" s="52"/>
      <c r="DW438" s="105"/>
      <c r="DX438" s="98"/>
      <c r="DY438" s="279"/>
      <c r="DZ438" s="52"/>
      <c r="EA438" s="105"/>
      <c r="EB438" s="98"/>
      <c r="EC438" s="279"/>
      <c r="ED438" s="52"/>
      <c r="EE438" s="105"/>
      <c r="EF438" s="98"/>
      <c r="EG438" s="159"/>
      <c r="EH438" s="277"/>
      <c r="EI438" s="50">
        <f t="shared" si="174"/>
        <v>0</v>
      </c>
      <c r="EJ438" s="103">
        <f t="shared" si="175"/>
        <v>0</v>
      </c>
      <c r="EK438" s="164">
        <f t="shared" si="176"/>
        <v>0</v>
      </c>
      <c r="EL438" s="280">
        <f t="shared" si="177"/>
        <v>0</v>
      </c>
      <c r="EM438" s="63">
        <f t="shared" si="178"/>
        <v>0</v>
      </c>
      <c r="EN438" s="359">
        <f t="shared" si="179"/>
        <v>0</v>
      </c>
      <c r="EO438" s="51">
        <f t="shared" si="180"/>
        <v>0</v>
      </c>
      <c r="EP438" s="361">
        <f t="shared" si="181"/>
        <v>0</v>
      </c>
      <c r="EQ438" s="281"/>
      <c r="ER438" s="277"/>
      <c r="ES438" s="281"/>
      <c r="ET438" s="277"/>
      <c r="EU438" s="281"/>
      <c r="EV438" s="277"/>
      <c r="EW438" s="281"/>
      <c r="EX438" s="277"/>
      <c r="EY438" s="281"/>
      <c r="EZ438" s="277"/>
      <c r="FA438" s="281"/>
      <c r="FB438" s="277"/>
      <c r="FC438" s="281"/>
      <c r="FD438" s="277"/>
      <c r="FE438" s="281"/>
      <c r="FF438" s="277"/>
      <c r="FG438" s="281"/>
      <c r="FH438" s="277"/>
      <c r="FI438" s="281"/>
      <c r="FJ438" s="277"/>
      <c r="FK438" s="50">
        <f t="shared" si="182"/>
        <v>0</v>
      </c>
      <c r="FL438" s="63">
        <f t="shared" si="183"/>
        <v>0</v>
      </c>
      <c r="FM438" s="50">
        <f t="shared" si="165"/>
        <v>474</v>
      </c>
      <c r="FN438" s="360">
        <f t="shared" si="166"/>
        <v>507</v>
      </c>
      <c r="FO438" s="3"/>
      <c r="FP438" s="279"/>
      <c r="FQ438" s="52"/>
      <c r="FR438" s="296"/>
      <c r="FS438" s="98"/>
      <c r="FT438" s="467"/>
      <c r="FU438" s="52"/>
      <c r="FV438" s="296"/>
      <c r="FW438" s="98"/>
      <c r="FX438" s="467"/>
      <c r="FY438" s="52"/>
      <c r="FZ438" s="296"/>
      <c r="GA438" s="98"/>
      <c r="GB438" s="467"/>
      <c r="GC438" s="52"/>
      <c r="GD438" s="296"/>
      <c r="GE438" s="98"/>
      <c r="GF438" s="467"/>
      <c r="GG438" s="52"/>
      <c r="GH438" s="296"/>
      <c r="GI438" s="98"/>
      <c r="GJ438" s="467"/>
      <c r="GK438" s="52"/>
      <c r="GL438" s="296"/>
      <c r="GM438" s="464"/>
      <c r="GN438" s="467"/>
      <c r="GO438" s="52"/>
      <c r="GP438" s="296"/>
      <c r="GQ438" s="464"/>
      <c r="GR438" s="467"/>
      <c r="GS438" s="52"/>
      <c r="GT438" s="296"/>
      <c r="GU438" s="464"/>
      <c r="GV438" s="467"/>
      <c r="GW438" s="52"/>
      <c r="GX438" s="296"/>
      <c r="GY438" s="464"/>
      <c r="GZ438" s="467"/>
      <c r="HA438" s="52"/>
      <c r="HB438" s="296"/>
      <c r="HC438" s="3"/>
    </row>
    <row r="439" spans="1:211" s="86" customFormat="1">
      <c r="A439" s="489" t="s">
        <v>31</v>
      </c>
      <c r="B439" s="332" t="s">
        <v>382</v>
      </c>
      <c r="C439" s="333">
        <v>261393</v>
      </c>
      <c r="D439" s="341">
        <v>12</v>
      </c>
      <c r="E439" s="460">
        <v>133</v>
      </c>
      <c r="F439" s="277">
        <v>417</v>
      </c>
      <c r="G439" s="158">
        <v>4</v>
      </c>
      <c r="H439" s="277">
        <v>9</v>
      </c>
      <c r="I439" s="158"/>
      <c r="J439" s="277"/>
      <c r="K439" s="160">
        <f t="shared" si="167"/>
        <v>0</v>
      </c>
      <c r="L439" s="161">
        <f t="shared" si="160"/>
        <v>0</v>
      </c>
      <c r="M439" s="54"/>
      <c r="N439" s="55"/>
      <c r="O439" s="55"/>
      <c r="P439" s="55"/>
      <c r="Q439" s="162">
        <f t="shared" si="168"/>
        <v>0</v>
      </c>
      <c r="R439" s="277"/>
      <c r="S439" s="277"/>
      <c r="T439" s="277"/>
      <c r="U439" s="277"/>
      <c r="V439" s="97">
        <f t="shared" si="169"/>
        <v>0</v>
      </c>
      <c r="W439" s="279"/>
      <c r="X439" s="52"/>
      <c r="Y439" s="99"/>
      <c r="Z439" s="53"/>
      <c r="AA439" s="228"/>
      <c r="AB439" s="52"/>
      <c r="AC439" s="99"/>
      <c r="AD439" s="53"/>
      <c r="AE439" s="228"/>
      <c r="AF439" s="52"/>
      <c r="AG439" s="99"/>
      <c r="AH439" s="53"/>
      <c r="AI439" s="228"/>
      <c r="AJ439" s="52"/>
      <c r="AK439" s="99"/>
      <c r="AL439" s="53"/>
      <c r="AM439" s="228"/>
      <c r="AN439" s="52"/>
      <c r="AO439" s="99"/>
      <c r="AP439" s="53"/>
      <c r="AQ439" s="50">
        <f t="shared" si="161"/>
        <v>0</v>
      </c>
      <c r="AR439" s="163">
        <f t="shared" si="162"/>
        <v>0</v>
      </c>
      <c r="AS439" s="97">
        <f t="shared" si="163"/>
        <v>0</v>
      </c>
      <c r="AT439" s="278">
        <f t="shared" si="164"/>
        <v>0</v>
      </c>
      <c r="AU439" s="55"/>
      <c r="AV439" s="277"/>
      <c r="AW439" s="279"/>
      <c r="AX439" s="52"/>
      <c r="AY439" s="531"/>
      <c r="AZ439" s="98"/>
      <c r="BA439" s="279"/>
      <c r="BB439" s="52"/>
      <c r="BC439" s="105"/>
      <c r="BD439" s="98"/>
      <c r="BE439" s="279"/>
      <c r="BF439" s="52"/>
      <c r="BG439" s="105"/>
      <c r="BH439" s="98"/>
      <c r="BI439" s="279"/>
      <c r="BJ439" s="52"/>
      <c r="BK439" s="105"/>
      <c r="BL439" s="98"/>
      <c r="BM439" s="279"/>
      <c r="BN439" s="52"/>
      <c r="BO439" s="105"/>
      <c r="BP439" s="98"/>
      <c r="BQ439" s="279"/>
      <c r="BR439" s="52"/>
      <c r="BS439" s="105"/>
      <c r="BT439" s="98"/>
      <c r="BU439" s="279"/>
      <c r="BV439" s="52"/>
      <c r="BW439" s="105"/>
      <c r="BX439" s="98"/>
      <c r="BY439" s="279"/>
      <c r="BZ439" s="52"/>
      <c r="CA439" s="105"/>
      <c r="CB439" s="98"/>
      <c r="CC439" s="279"/>
      <c r="CD439" s="52"/>
      <c r="CE439" s="105"/>
      <c r="CF439" s="98"/>
      <c r="CG439" s="279"/>
      <c r="CH439" s="52"/>
      <c r="CI439" s="105"/>
      <c r="CJ439" s="98"/>
      <c r="CK439" s="281"/>
      <c r="CL439" s="277"/>
      <c r="CM439" s="159"/>
      <c r="CN439" s="277"/>
      <c r="CO439" s="50">
        <f t="shared" si="170"/>
        <v>0</v>
      </c>
      <c r="CP439" s="103">
        <f t="shared" si="171"/>
        <v>0</v>
      </c>
      <c r="CQ439" s="280">
        <f t="shared" si="172"/>
        <v>0</v>
      </c>
      <c r="CR439" s="63">
        <f t="shared" si="173"/>
        <v>0</v>
      </c>
      <c r="CS439" s="279"/>
      <c r="CT439" s="52"/>
      <c r="CU439" s="105"/>
      <c r="CV439" s="98"/>
      <c r="CW439" s="279"/>
      <c r="CX439" s="52"/>
      <c r="CY439" s="105"/>
      <c r="CZ439" s="98"/>
      <c r="DA439" s="279"/>
      <c r="DB439" s="52"/>
      <c r="DC439" s="105"/>
      <c r="DD439" s="98"/>
      <c r="DE439" s="279"/>
      <c r="DF439" s="52"/>
      <c r="DG439" s="105"/>
      <c r="DH439" s="98"/>
      <c r="DI439" s="279"/>
      <c r="DJ439" s="52"/>
      <c r="DK439" s="105"/>
      <c r="DL439" s="98"/>
      <c r="DM439" s="279"/>
      <c r="DN439" s="52"/>
      <c r="DO439" s="105"/>
      <c r="DP439" s="98"/>
      <c r="DQ439" s="279"/>
      <c r="DR439" s="52"/>
      <c r="DS439" s="105"/>
      <c r="DT439" s="98"/>
      <c r="DU439" s="279"/>
      <c r="DV439" s="52"/>
      <c r="DW439" s="105"/>
      <c r="DX439" s="98"/>
      <c r="DY439" s="279"/>
      <c r="DZ439" s="52"/>
      <c r="EA439" s="105"/>
      <c r="EB439" s="98"/>
      <c r="EC439" s="279"/>
      <c r="ED439" s="52"/>
      <c r="EE439" s="105"/>
      <c r="EF439" s="98"/>
      <c r="EG439" s="159"/>
      <c r="EH439" s="277"/>
      <c r="EI439" s="50">
        <f t="shared" si="174"/>
        <v>0</v>
      </c>
      <c r="EJ439" s="103">
        <f t="shared" si="175"/>
        <v>0</v>
      </c>
      <c r="EK439" s="164">
        <f t="shared" si="176"/>
        <v>0</v>
      </c>
      <c r="EL439" s="280">
        <f t="shared" si="177"/>
        <v>0</v>
      </c>
      <c r="EM439" s="63">
        <f t="shared" si="178"/>
        <v>0</v>
      </c>
      <c r="EN439" s="359">
        <f t="shared" si="179"/>
        <v>0</v>
      </c>
      <c r="EO439" s="51">
        <f t="shared" si="180"/>
        <v>0</v>
      </c>
      <c r="EP439" s="361">
        <f t="shared" si="181"/>
        <v>0</v>
      </c>
      <c r="EQ439" s="281"/>
      <c r="ER439" s="277"/>
      <c r="ES439" s="281"/>
      <c r="ET439" s="277"/>
      <c r="EU439" s="281"/>
      <c r="EV439" s="277"/>
      <c r="EW439" s="281"/>
      <c r="EX439" s="277"/>
      <c r="EY439" s="281"/>
      <c r="EZ439" s="277"/>
      <c r="FA439" s="281"/>
      <c r="FB439" s="277"/>
      <c r="FC439" s="281"/>
      <c r="FD439" s="277"/>
      <c r="FE439" s="281"/>
      <c r="FF439" s="277"/>
      <c r="FG439" s="281"/>
      <c r="FH439" s="277"/>
      <c r="FI439" s="281"/>
      <c r="FJ439" s="277"/>
      <c r="FK439" s="50">
        <f t="shared" si="182"/>
        <v>0</v>
      </c>
      <c r="FL439" s="63">
        <f t="shared" si="183"/>
        <v>0</v>
      </c>
      <c r="FM439" s="50">
        <f t="shared" si="165"/>
        <v>137</v>
      </c>
      <c r="FN439" s="360">
        <f t="shared" si="166"/>
        <v>426</v>
      </c>
      <c r="FO439" s="3"/>
      <c r="FP439" s="279"/>
      <c r="FQ439" s="52"/>
      <c r="FR439" s="296"/>
      <c r="FS439" s="98"/>
      <c r="FT439" s="467"/>
      <c r="FU439" s="52"/>
      <c r="FV439" s="296"/>
      <c r="FW439" s="98"/>
      <c r="FX439" s="467"/>
      <c r="FY439" s="52"/>
      <c r="FZ439" s="296"/>
      <c r="GA439" s="98"/>
      <c r="GB439" s="467"/>
      <c r="GC439" s="52"/>
      <c r="GD439" s="296"/>
      <c r="GE439" s="98"/>
      <c r="GF439" s="467"/>
      <c r="GG439" s="52"/>
      <c r="GH439" s="296"/>
      <c r="GI439" s="98"/>
      <c r="GJ439" s="467"/>
      <c r="GK439" s="52"/>
      <c r="GL439" s="296"/>
      <c r="GM439" s="464"/>
      <c r="GN439" s="467"/>
      <c r="GO439" s="52"/>
      <c r="GP439" s="296"/>
      <c r="GQ439" s="464"/>
      <c r="GR439" s="467"/>
      <c r="GS439" s="52"/>
      <c r="GT439" s="296"/>
      <c r="GU439" s="464"/>
      <c r="GV439" s="467"/>
      <c r="GW439" s="52"/>
      <c r="GX439" s="296"/>
      <c r="GY439" s="464"/>
      <c r="GZ439" s="467"/>
      <c r="HA439" s="52"/>
      <c r="HB439" s="296"/>
      <c r="HC439" s="3"/>
    </row>
    <row r="440" spans="1:211" s="86" customFormat="1">
      <c r="A440" s="489" t="s">
        <v>31</v>
      </c>
      <c r="B440" s="308" t="s">
        <v>383</v>
      </c>
      <c r="C440" s="307">
        <v>365213</v>
      </c>
      <c r="D440" s="341">
        <v>13</v>
      </c>
      <c r="E440" s="460">
        <v>158</v>
      </c>
      <c r="F440" s="277">
        <v>271</v>
      </c>
      <c r="G440" s="158">
        <v>13</v>
      </c>
      <c r="H440" s="277">
        <v>32</v>
      </c>
      <c r="I440" s="158"/>
      <c r="J440" s="277"/>
      <c r="K440" s="160">
        <f t="shared" si="167"/>
        <v>0</v>
      </c>
      <c r="L440" s="161">
        <f t="shared" si="160"/>
        <v>0</v>
      </c>
      <c r="M440" s="54"/>
      <c r="N440" s="55"/>
      <c r="O440" s="55"/>
      <c r="P440" s="55"/>
      <c r="Q440" s="162">
        <f t="shared" si="168"/>
        <v>0</v>
      </c>
      <c r="R440" s="277"/>
      <c r="S440" s="277"/>
      <c r="T440" s="277"/>
      <c r="U440" s="277"/>
      <c r="V440" s="97">
        <f t="shared" si="169"/>
        <v>0</v>
      </c>
      <c r="W440" s="279"/>
      <c r="X440" s="52"/>
      <c r="Y440" s="99"/>
      <c r="Z440" s="53"/>
      <c r="AA440" s="228"/>
      <c r="AB440" s="52"/>
      <c r="AC440" s="99"/>
      <c r="AD440" s="53"/>
      <c r="AE440" s="228"/>
      <c r="AF440" s="52"/>
      <c r="AG440" s="99"/>
      <c r="AH440" s="53"/>
      <c r="AI440" s="228"/>
      <c r="AJ440" s="52"/>
      <c r="AK440" s="99"/>
      <c r="AL440" s="53"/>
      <c r="AM440" s="228"/>
      <c r="AN440" s="52"/>
      <c r="AO440" s="99"/>
      <c r="AP440" s="53"/>
      <c r="AQ440" s="50">
        <f t="shared" si="161"/>
        <v>0</v>
      </c>
      <c r="AR440" s="163">
        <f t="shared" si="162"/>
        <v>0</v>
      </c>
      <c r="AS440" s="97">
        <f t="shared" si="163"/>
        <v>0</v>
      </c>
      <c r="AT440" s="278">
        <f t="shared" si="164"/>
        <v>0</v>
      </c>
      <c r="AU440" s="55"/>
      <c r="AV440" s="277"/>
      <c r="AW440" s="279"/>
      <c r="AX440" s="52"/>
      <c r="AY440" s="531"/>
      <c r="AZ440" s="98"/>
      <c r="BA440" s="279"/>
      <c r="BB440" s="52"/>
      <c r="BC440" s="105"/>
      <c r="BD440" s="98"/>
      <c r="BE440" s="279"/>
      <c r="BF440" s="52"/>
      <c r="BG440" s="105"/>
      <c r="BH440" s="98"/>
      <c r="BI440" s="279"/>
      <c r="BJ440" s="52"/>
      <c r="BK440" s="105"/>
      <c r="BL440" s="98"/>
      <c r="BM440" s="279"/>
      <c r="BN440" s="52"/>
      <c r="BO440" s="105"/>
      <c r="BP440" s="98"/>
      <c r="BQ440" s="279"/>
      <c r="BR440" s="52"/>
      <c r="BS440" s="105"/>
      <c r="BT440" s="98"/>
      <c r="BU440" s="279"/>
      <c r="BV440" s="52"/>
      <c r="BW440" s="105"/>
      <c r="BX440" s="98"/>
      <c r="BY440" s="279"/>
      <c r="BZ440" s="52"/>
      <c r="CA440" s="105"/>
      <c r="CB440" s="98"/>
      <c r="CC440" s="279"/>
      <c r="CD440" s="52"/>
      <c r="CE440" s="105"/>
      <c r="CF440" s="98"/>
      <c r="CG440" s="279"/>
      <c r="CH440" s="52"/>
      <c r="CI440" s="105"/>
      <c r="CJ440" s="98"/>
      <c r="CK440" s="281"/>
      <c r="CL440" s="277"/>
      <c r="CM440" s="159"/>
      <c r="CN440" s="277"/>
      <c r="CO440" s="50">
        <f t="shared" si="170"/>
        <v>0</v>
      </c>
      <c r="CP440" s="103">
        <f t="shared" si="171"/>
        <v>0</v>
      </c>
      <c r="CQ440" s="280">
        <f t="shared" si="172"/>
        <v>0</v>
      </c>
      <c r="CR440" s="63">
        <f t="shared" si="173"/>
        <v>0</v>
      </c>
      <c r="CS440" s="279"/>
      <c r="CT440" s="52"/>
      <c r="CU440" s="105"/>
      <c r="CV440" s="98"/>
      <c r="CW440" s="279"/>
      <c r="CX440" s="52"/>
      <c r="CY440" s="105"/>
      <c r="CZ440" s="98"/>
      <c r="DA440" s="279"/>
      <c r="DB440" s="52"/>
      <c r="DC440" s="105"/>
      <c r="DD440" s="98"/>
      <c r="DE440" s="279"/>
      <c r="DF440" s="52"/>
      <c r="DG440" s="105"/>
      <c r="DH440" s="98"/>
      <c r="DI440" s="279"/>
      <c r="DJ440" s="52"/>
      <c r="DK440" s="105"/>
      <c r="DL440" s="98"/>
      <c r="DM440" s="279"/>
      <c r="DN440" s="52"/>
      <c r="DO440" s="105"/>
      <c r="DP440" s="98"/>
      <c r="DQ440" s="279"/>
      <c r="DR440" s="52"/>
      <c r="DS440" s="105"/>
      <c r="DT440" s="98"/>
      <c r="DU440" s="279"/>
      <c r="DV440" s="52"/>
      <c r="DW440" s="105"/>
      <c r="DX440" s="98"/>
      <c r="DY440" s="279"/>
      <c r="DZ440" s="52"/>
      <c r="EA440" s="105"/>
      <c r="EB440" s="98"/>
      <c r="EC440" s="279"/>
      <c r="ED440" s="52"/>
      <c r="EE440" s="105"/>
      <c r="EF440" s="98"/>
      <c r="EG440" s="159"/>
      <c r="EH440" s="277"/>
      <c r="EI440" s="50">
        <f t="shared" si="174"/>
        <v>0</v>
      </c>
      <c r="EJ440" s="103">
        <f t="shared" si="175"/>
        <v>0</v>
      </c>
      <c r="EK440" s="164">
        <f t="shared" si="176"/>
        <v>0</v>
      </c>
      <c r="EL440" s="280">
        <f t="shared" si="177"/>
        <v>0</v>
      </c>
      <c r="EM440" s="63">
        <f t="shared" si="178"/>
        <v>0</v>
      </c>
      <c r="EN440" s="359">
        <f t="shared" si="179"/>
        <v>0</v>
      </c>
      <c r="EO440" s="51">
        <f t="shared" si="180"/>
        <v>0</v>
      </c>
      <c r="EP440" s="361">
        <f t="shared" si="181"/>
        <v>0</v>
      </c>
      <c r="EQ440" s="281"/>
      <c r="ER440" s="277"/>
      <c r="ES440" s="281"/>
      <c r="ET440" s="277"/>
      <c r="EU440" s="281"/>
      <c r="EV440" s="277"/>
      <c r="EW440" s="281"/>
      <c r="EX440" s="277"/>
      <c r="EY440" s="281"/>
      <c r="EZ440" s="277"/>
      <c r="FA440" s="281"/>
      <c r="FB440" s="277"/>
      <c r="FC440" s="281"/>
      <c r="FD440" s="277"/>
      <c r="FE440" s="281"/>
      <c r="FF440" s="277"/>
      <c r="FG440" s="281"/>
      <c r="FH440" s="277"/>
      <c r="FI440" s="281"/>
      <c r="FJ440" s="277"/>
      <c r="FK440" s="50">
        <f t="shared" si="182"/>
        <v>0</v>
      </c>
      <c r="FL440" s="63">
        <f t="shared" si="183"/>
        <v>0</v>
      </c>
      <c r="FM440" s="50">
        <f t="shared" si="165"/>
        <v>171</v>
      </c>
      <c r="FN440" s="360">
        <f t="shared" si="166"/>
        <v>303</v>
      </c>
      <c r="FO440" s="3"/>
      <c r="FP440" s="279"/>
      <c r="FQ440" s="52"/>
      <c r="FR440" s="296"/>
      <c r="FS440" s="98"/>
      <c r="FT440" s="467"/>
      <c r="FU440" s="52"/>
      <c r="FV440" s="296"/>
      <c r="FW440" s="98"/>
      <c r="FX440" s="467"/>
      <c r="FY440" s="52"/>
      <c r="FZ440" s="296"/>
      <c r="GA440" s="98"/>
      <c r="GB440" s="467"/>
      <c r="GC440" s="52"/>
      <c r="GD440" s="296"/>
      <c r="GE440" s="98"/>
      <c r="GF440" s="467"/>
      <c r="GG440" s="52"/>
      <c r="GH440" s="296"/>
      <c r="GI440" s="98"/>
      <c r="GJ440" s="467"/>
      <c r="GK440" s="52"/>
      <c r="GL440" s="296"/>
      <c r="GM440" s="464"/>
      <c r="GN440" s="467"/>
      <c r="GO440" s="52"/>
      <c r="GP440" s="296"/>
      <c r="GQ440" s="464"/>
      <c r="GR440" s="467"/>
      <c r="GS440" s="52"/>
      <c r="GT440" s="296"/>
      <c r="GU440" s="464"/>
      <c r="GV440" s="467"/>
      <c r="GW440" s="52"/>
      <c r="GX440" s="296"/>
      <c r="GY440" s="464"/>
      <c r="GZ440" s="467"/>
      <c r="HA440" s="52"/>
      <c r="HB440" s="296"/>
      <c r="HC440" s="3"/>
    </row>
    <row r="441" spans="1:211" s="86" customFormat="1">
      <c r="A441" s="489" t="s">
        <v>31</v>
      </c>
      <c r="B441" s="308" t="s">
        <v>384</v>
      </c>
      <c r="C441" s="307">
        <v>364946</v>
      </c>
      <c r="D441" s="341">
        <v>13</v>
      </c>
      <c r="E441" s="460">
        <v>99</v>
      </c>
      <c r="F441" s="277">
        <v>186</v>
      </c>
      <c r="G441" s="158"/>
      <c r="H441" s="277">
        <v>12</v>
      </c>
      <c r="I441" s="158"/>
      <c r="J441" s="277"/>
      <c r="K441" s="160">
        <f t="shared" si="167"/>
        <v>0</v>
      </c>
      <c r="L441" s="161">
        <f t="shared" si="160"/>
        <v>0</v>
      </c>
      <c r="M441" s="54"/>
      <c r="N441" s="55"/>
      <c r="O441" s="55"/>
      <c r="P441" s="55"/>
      <c r="Q441" s="162">
        <f t="shared" si="168"/>
        <v>0</v>
      </c>
      <c r="R441" s="277"/>
      <c r="S441" s="277"/>
      <c r="T441" s="277"/>
      <c r="U441" s="277"/>
      <c r="V441" s="97">
        <f t="shared" si="169"/>
        <v>0</v>
      </c>
      <c r="W441" s="279"/>
      <c r="X441" s="52"/>
      <c r="Y441" s="99"/>
      <c r="Z441" s="53"/>
      <c r="AA441" s="228"/>
      <c r="AB441" s="52"/>
      <c r="AC441" s="99"/>
      <c r="AD441" s="53"/>
      <c r="AE441" s="228"/>
      <c r="AF441" s="52"/>
      <c r="AG441" s="99"/>
      <c r="AH441" s="53"/>
      <c r="AI441" s="228"/>
      <c r="AJ441" s="52"/>
      <c r="AK441" s="99"/>
      <c r="AL441" s="53"/>
      <c r="AM441" s="228"/>
      <c r="AN441" s="52"/>
      <c r="AO441" s="99"/>
      <c r="AP441" s="53"/>
      <c r="AQ441" s="50">
        <f t="shared" si="161"/>
        <v>0</v>
      </c>
      <c r="AR441" s="163">
        <f t="shared" si="162"/>
        <v>0</v>
      </c>
      <c r="AS441" s="97">
        <f t="shared" si="163"/>
        <v>0</v>
      </c>
      <c r="AT441" s="278">
        <f t="shared" si="164"/>
        <v>0</v>
      </c>
      <c r="AU441" s="55"/>
      <c r="AV441" s="277"/>
      <c r="AW441" s="279"/>
      <c r="AX441" s="52"/>
      <c r="AY441" s="531"/>
      <c r="AZ441" s="98"/>
      <c r="BA441" s="279"/>
      <c r="BB441" s="52"/>
      <c r="BC441" s="105"/>
      <c r="BD441" s="98"/>
      <c r="BE441" s="279"/>
      <c r="BF441" s="52"/>
      <c r="BG441" s="105"/>
      <c r="BH441" s="98"/>
      <c r="BI441" s="279"/>
      <c r="BJ441" s="52"/>
      <c r="BK441" s="105"/>
      <c r="BL441" s="98"/>
      <c r="BM441" s="279"/>
      <c r="BN441" s="52"/>
      <c r="BO441" s="105"/>
      <c r="BP441" s="98"/>
      <c r="BQ441" s="279"/>
      <c r="BR441" s="52"/>
      <c r="BS441" s="105"/>
      <c r="BT441" s="98"/>
      <c r="BU441" s="279"/>
      <c r="BV441" s="52"/>
      <c r="BW441" s="105"/>
      <c r="BX441" s="98"/>
      <c r="BY441" s="279"/>
      <c r="BZ441" s="52"/>
      <c r="CA441" s="105"/>
      <c r="CB441" s="98"/>
      <c r="CC441" s="279"/>
      <c r="CD441" s="52"/>
      <c r="CE441" s="105"/>
      <c r="CF441" s="98"/>
      <c r="CG441" s="279"/>
      <c r="CH441" s="52"/>
      <c r="CI441" s="105"/>
      <c r="CJ441" s="98"/>
      <c r="CK441" s="281"/>
      <c r="CL441" s="277"/>
      <c r="CM441" s="159"/>
      <c r="CN441" s="277"/>
      <c r="CO441" s="50">
        <f t="shared" si="170"/>
        <v>0</v>
      </c>
      <c r="CP441" s="103">
        <f t="shared" si="171"/>
        <v>0</v>
      </c>
      <c r="CQ441" s="280">
        <f t="shared" si="172"/>
        <v>0</v>
      </c>
      <c r="CR441" s="63">
        <f t="shared" si="173"/>
        <v>0</v>
      </c>
      <c r="CS441" s="279"/>
      <c r="CT441" s="52"/>
      <c r="CU441" s="105"/>
      <c r="CV441" s="98"/>
      <c r="CW441" s="279"/>
      <c r="CX441" s="52"/>
      <c r="CY441" s="105"/>
      <c r="CZ441" s="98"/>
      <c r="DA441" s="279"/>
      <c r="DB441" s="52"/>
      <c r="DC441" s="105"/>
      <c r="DD441" s="98"/>
      <c r="DE441" s="279"/>
      <c r="DF441" s="52"/>
      <c r="DG441" s="105"/>
      <c r="DH441" s="98"/>
      <c r="DI441" s="279"/>
      <c r="DJ441" s="52"/>
      <c r="DK441" s="105"/>
      <c r="DL441" s="98"/>
      <c r="DM441" s="279"/>
      <c r="DN441" s="52"/>
      <c r="DO441" s="105"/>
      <c r="DP441" s="98"/>
      <c r="DQ441" s="279"/>
      <c r="DR441" s="52"/>
      <c r="DS441" s="105"/>
      <c r="DT441" s="98"/>
      <c r="DU441" s="279"/>
      <c r="DV441" s="52"/>
      <c r="DW441" s="105"/>
      <c r="DX441" s="98"/>
      <c r="DY441" s="279"/>
      <c r="DZ441" s="52"/>
      <c r="EA441" s="105"/>
      <c r="EB441" s="98"/>
      <c r="EC441" s="279"/>
      <c r="ED441" s="52"/>
      <c r="EE441" s="105"/>
      <c r="EF441" s="98"/>
      <c r="EG441" s="159"/>
      <c r="EH441" s="277"/>
      <c r="EI441" s="50">
        <f t="shared" si="174"/>
        <v>0</v>
      </c>
      <c r="EJ441" s="103">
        <f t="shared" si="175"/>
        <v>0</v>
      </c>
      <c r="EK441" s="164">
        <f t="shared" si="176"/>
        <v>0</v>
      </c>
      <c r="EL441" s="280">
        <f t="shared" si="177"/>
        <v>0</v>
      </c>
      <c r="EM441" s="63">
        <f t="shared" si="178"/>
        <v>0</v>
      </c>
      <c r="EN441" s="359">
        <f t="shared" si="179"/>
        <v>0</v>
      </c>
      <c r="EO441" s="51">
        <f t="shared" si="180"/>
        <v>0</v>
      </c>
      <c r="EP441" s="361">
        <f t="shared" si="181"/>
        <v>0</v>
      </c>
      <c r="EQ441" s="281"/>
      <c r="ER441" s="277"/>
      <c r="ES441" s="281"/>
      <c r="ET441" s="277"/>
      <c r="EU441" s="281"/>
      <c r="EV441" s="277"/>
      <c r="EW441" s="281"/>
      <c r="EX441" s="277"/>
      <c r="EY441" s="281"/>
      <c r="EZ441" s="277"/>
      <c r="FA441" s="281"/>
      <c r="FB441" s="277"/>
      <c r="FC441" s="281"/>
      <c r="FD441" s="277"/>
      <c r="FE441" s="281"/>
      <c r="FF441" s="277"/>
      <c r="FG441" s="281"/>
      <c r="FH441" s="277"/>
      <c r="FI441" s="281"/>
      <c r="FJ441" s="277"/>
      <c r="FK441" s="50">
        <f t="shared" si="182"/>
        <v>0</v>
      </c>
      <c r="FL441" s="63">
        <f t="shared" si="183"/>
        <v>0</v>
      </c>
      <c r="FM441" s="50">
        <f t="shared" si="165"/>
        <v>99</v>
      </c>
      <c r="FN441" s="360">
        <f t="shared" si="166"/>
        <v>198</v>
      </c>
      <c r="FO441" s="3"/>
      <c r="FP441" s="279"/>
      <c r="FQ441" s="52"/>
      <c r="FR441" s="296"/>
      <c r="FS441" s="98"/>
      <c r="FT441" s="467"/>
      <c r="FU441" s="52"/>
      <c r="FV441" s="296"/>
      <c r="FW441" s="98"/>
      <c r="FX441" s="467"/>
      <c r="FY441" s="52"/>
      <c r="FZ441" s="296"/>
      <c r="GA441" s="98"/>
      <c r="GB441" s="467"/>
      <c r="GC441" s="52"/>
      <c r="GD441" s="296"/>
      <c r="GE441" s="98"/>
      <c r="GF441" s="467"/>
      <c r="GG441" s="52"/>
      <c r="GH441" s="296"/>
      <c r="GI441" s="98"/>
      <c r="GJ441" s="467"/>
      <c r="GK441" s="52"/>
      <c r="GL441" s="296"/>
      <c r="GM441" s="464"/>
      <c r="GN441" s="467"/>
      <c r="GO441" s="52"/>
      <c r="GP441" s="296"/>
      <c r="GQ441" s="464"/>
      <c r="GR441" s="467"/>
      <c r="GS441" s="52"/>
      <c r="GT441" s="296"/>
      <c r="GU441" s="464"/>
      <c r="GV441" s="467"/>
      <c r="GW441" s="52"/>
      <c r="GX441" s="296"/>
      <c r="GY441" s="464"/>
      <c r="GZ441" s="467"/>
      <c r="HA441" s="52"/>
      <c r="HB441" s="296"/>
      <c r="HC441" s="3"/>
    </row>
    <row r="442" spans="1:211" s="86" customFormat="1">
      <c r="A442" s="489" t="s">
        <v>31</v>
      </c>
      <c r="B442" s="308" t="s">
        <v>386</v>
      </c>
      <c r="C442" s="307">
        <v>246017</v>
      </c>
      <c r="D442" s="341">
        <v>13</v>
      </c>
      <c r="E442" s="460">
        <v>179</v>
      </c>
      <c r="F442" s="277">
        <v>911</v>
      </c>
      <c r="G442" s="158"/>
      <c r="H442" s="277">
        <v>14</v>
      </c>
      <c r="I442" s="158"/>
      <c r="J442" s="277"/>
      <c r="K442" s="160">
        <f t="shared" si="167"/>
        <v>0</v>
      </c>
      <c r="L442" s="161">
        <f t="shared" si="160"/>
        <v>0</v>
      </c>
      <c r="M442" s="54"/>
      <c r="N442" s="55"/>
      <c r="O442" s="55"/>
      <c r="P442" s="55"/>
      <c r="Q442" s="162">
        <f t="shared" si="168"/>
        <v>0</v>
      </c>
      <c r="R442" s="277"/>
      <c r="S442" s="277"/>
      <c r="T442" s="277"/>
      <c r="U442" s="277"/>
      <c r="V442" s="97">
        <f t="shared" si="169"/>
        <v>0</v>
      </c>
      <c r="W442" s="279"/>
      <c r="X442" s="52"/>
      <c r="Y442" s="99"/>
      <c r="Z442" s="53"/>
      <c r="AA442" s="228"/>
      <c r="AB442" s="52"/>
      <c r="AC442" s="99"/>
      <c r="AD442" s="53"/>
      <c r="AE442" s="228"/>
      <c r="AF442" s="52"/>
      <c r="AG442" s="99"/>
      <c r="AH442" s="53"/>
      <c r="AI442" s="228"/>
      <c r="AJ442" s="52"/>
      <c r="AK442" s="99"/>
      <c r="AL442" s="53"/>
      <c r="AM442" s="228"/>
      <c r="AN442" s="52"/>
      <c r="AO442" s="99"/>
      <c r="AP442" s="53"/>
      <c r="AQ442" s="50">
        <f t="shared" si="161"/>
        <v>0</v>
      </c>
      <c r="AR442" s="163">
        <f t="shared" si="162"/>
        <v>0</v>
      </c>
      <c r="AS442" s="97">
        <f t="shared" si="163"/>
        <v>0</v>
      </c>
      <c r="AT442" s="278">
        <f t="shared" si="164"/>
        <v>0</v>
      </c>
      <c r="AU442" s="55"/>
      <c r="AV442" s="277"/>
      <c r="AW442" s="279"/>
      <c r="AX442" s="52"/>
      <c r="AY442" s="531"/>
      <c r="AZ442" s="98"/>
      <c r="BA442" s="279"/>
      <c r="BB442" s="52"/>
      <c r="BC442" s="105"/>
      <c r="BD442" s="98"/>
      <c r="BE442" s="279"/>
      <c r="BF442" s="52"/>
      <c r="BG442" s="105"/>
      <c r="BH442" s="98"/>
      <c r="BI442" s="279"/>
      <c r="BJ442" s="52"/>
      <c r="BK442" s="105"/>
      <c r="BL442" s="98"/>
      <c r="BM442" s="279"/>
      <c r="BN442" s="52"/>
      <c r="BO442" s="105"/>
      <c r="BP442" s="98"/>
      <c r="BQ442" s="279"/>
      <c r="BR442" s="52"/>
      <c r="BS442" s="105"/>
      <c r="BT442" s="98"/>
      <c r="BU442" s="279"/>
      <c r="BV442" s="52"/>
      <c r="BW442" s="105"/>
      <c r="BX442" s="98"/>
      <c r="BY442" s="279"/>
      <c r="BZ442" s="52"/>
      <c r="CA442" s="105"/>
      <c r="CB442" s="98"/>
      <c r="CC442" s="279"/>
      <c r="CD442" s="52"/>
      <c r="CE442" s="105"/>
      <c r="CF442" s="98"/>
      <c r="CG442" s="279"/>
      <c r="CH442" s="52"/>
      <c r="CI442" s="105"/>
      <c r="CJ442" s="98"/>
      <c r="CK442" s="281"/>
      <c r="CL442" s="277"/>
      <c r="CM442" s="159"/>
      <c r="CN442" s="277"/>
      <c r="CO442" s="50">
        <f t="shared" si="170"/>
        <v>0</v>
      </c>
      <c r="CP442" s="103">
        <f t="shared" si="171"/>
        <v>0</v>
      </c>
      <c r="CQ442" s="280">
        <f t="shared" si="172"/>
        <v>0</v>
      </c>
      <c r="CR442" s="63">
        <f t="shared" si="173"/>
        <v>0</v>
      </c>
      <c r="CS442" s="279"/>
      <c r="CT442" s="52"/>
      <c r="CU442" s="105"/>
      <c r="CV442" s="98"/>
      <c r="CW442" s="279"/>
      <c r="CX442" s="52"/>
      <c r="CY442" s="105"/>
      <c r="CZ442" s="98"/>
      <c r="DA442" s="279"/>
      <c r="DB442" s="52"/>
      <c r="DC442" s="105"/>
      <c r="DD442" s="98"/>
      <c r="DE442" s="279"/>
      <c r="DF442" s="52"/>
      <c r="DG442" s="105"/>
      <c r="DH442" s="98"/>
      <c r="DI442" s="279"/>
      <c r="DJ442" s="52"/>
      <c r="DK442" s="105"/>
      <c r="DL442" s="98"/>
      <c r="DM442" s="279"/>
      <c r="DN442" s="52"/>
      <c r="DO442" s="105"/>
      <c r="DP442" s="98"/>
      <c r="DQ442" s="279"/>
      <c r="DR442" s="52"/>
      <c r="DS442" s="105"/>
      <c r="DT442" s="98"/>
      <c r="DU442" s="279"/>
      <c r="DV442" s="52"/>
      <c r="DW442" s="105"/>
      <c r="DX442" s="98"/>
      <c r="DY442" s="279"/>
      <c r="DZ442" s="52"/>
      <c r="EA442" s="105"/>
      <c r="EB442" s="98"/>
      <c r="EC442" s="279"/>
      <c r="ED442" s="52"/>
      <c r="EE442" s="105"/>
      <c r="EF442" s="98"/>
      <c r="EG442" s="159"/>
      <c r="EH442" s="277"/>
      <c r="EI442" s="50">
        <f t="shared" si="174"/>
        <v>0</v>
      </c>
      <c r="EJ442" s="103">
        <f t="shared" si="175"/>
        <v>0</v>
      </c>
      <c r="EK442" s="164">
        <f t="shared" si="176"/>
        <v>0</v>
      </c>
      <c r="EL442" s="280">
        <f t="shared" si="177"/>
        <v>0</v>
      </c>
      <c r="EM442" s="63">
        <f t="shared" si="178"/>
        <v>0</v>
      </c>
      <c r="EN442" s="359">
        <f t="shared" si="179"/>
        <v>0</v>
      </c>
      <c r="EO442" s="51">
        <f t="shared" si="180"/>
        <v>0</v>
      </c>
      <c r="EP442" s="361">
        <f t="shared" si="181"/>
        <v>0</v>
      </c>
      <c r="EQ442" s="281"/>
      <c r="ER442" s="277"/>
      <c r="ES442" s="281"/>
      <c r="ET442" s="277"/>
      <c r="EU442" s="281"/>
      <c r="EV442" s="277"/>
      <c r="EW442" s="281"/>
      <c r="EX442" s="277"/>
      <c r="EY442" s="281"/>
      <c r="EZ442" s="277"/>
      <c r="FA442" s="281"/>
      <c r="FB442" s="277"/>
      <c r="FC442" s="281"/>
      <c r="FD442" s="277"/>
      <c r="FE442" s="281"/>
      <c r="FF442" s="277"/>
      <c r="FG442" s="281"/>
      <c r="FH442" s="277"/>
      <c r="FI442" s="281"/>
      <c r="FJ442" s="277"/>
      <c r="FK442" s="50">
        <f t="shared" si="182"/>
        <v>0</v>
      </c>
      <c r="FL442" s="63">
        <f t="shared" si="183"/>
        <v>0</v>
      </c>
      <c r="FM442" s="50">
        <f t="shared" si="165"/>
        <v>179</v>
      </c>
      <c r="FN442" s="360">
        <f t="shared" si="166"/>
        <v>925</v>
      </c>
      <c r="FO442" s="3"/>
      <c r="FP442" s="279"/>
      <c r="FQ442" s="52"/>
      <c r="FR442" s="296"/>
      <c r="FS442" s="98"/>
      <c r="FT442" s="467"/>
      <c r="FU442" s="52"/>
      <c r="FV442" s="296"/>
      <c r="FW442" s="98"/>
      <c r="FX442" s="467"/>
      <c r="FY442" s="52"/>
      <c r="FZ442" s="296"/>
      <c r="GA442" s="98"/>
      <c r="GB442" s="467"/>
      <c r="GC442" s="52"/>
      <c r="GD442" s="296"/>
      <c r="GE442" s="98"/>
      <c r="GF442" s="467"/>
      <c r="GG442" s="52"/>
      <c r="GH442" s="296"/>
      <c r="GI442" s="98"/>
      <c r="GJ442" s="467"/>
      <c r="GK442" s="52"/>
      <c r="GL442" s="296"/>
      <c r="GM442" s="464"/>
      <c r="GN442" s="467"/>
      <c r="GO442" s="52"/>
      <c r="GP442" s="296"/>
      <c r="GQ442" s="464"/>
      <c r="GR442" s="467"/>
      <c r="GS442" s="52"/>
      <c r="GT442" s="296"/>
      <c r="GU442" s="464"/>
      <c r="GV442" s="467"/>
      <c r="GW442" s="52"/>
      <c r="GX442" s="296"/>
      <c r="GY442" s="464"/>
      <c r="GZ442" s="467"/>
      <c r="HA442" s="52"/>
      <c r="HB442" s="296"/>
      <c r="HC442" s="3"/>
    </row>
    <row r="443" spans="1:211" s="86" customFormat="1">
      <c r="A443" s="489" t="s">
        <v>31</v>
      </c>
      <c r="B443" s="308" t="s">
        <v>387</v>
      </c>
      <c r="C443" s="307">
        <v>375656</v>
      </c>
      <c r="D443" s="341">
        <v>13</v>
      </c>
      <c r="E443" s="460">
        <v>23</v>
      </c>
      <c r="F443" s="277">
        <v>34</v>
      </c>
      <c r="G443" s="158"/>
      <c r="H443" s="277">
        <v>1</v>
      </c>
      <c r="I443" s="158"/>
      <c r="J443" s="277"/>
      <c r="K443" s="160">
        <f t="shared" si="167"/>
        <v>0</v>
      </c>
      <c r="L443" s="161">
        <f t="shared" si="160"/>
        <v>0</v>
      </c>
      <c r="M443" s="54"/>
      <c r="N443" s="55"/>
      <c r="O443" s="55"/>
      <c r="P443" s="55"/>
      <c r="Q443" s="162">
        <f t="shared" si="168"/>
        <v>0</v>
      </c>
      <c r="R443" s="277"/>
      <c r="S443" s="277"/>
      <c r="T443" s="277"/>
      <c r="U443" s="277"/>
      <c r="V443" s="97">
        <f t="shared" si="169"/>
        <v>0</v>
      </c>
      <c r="W443" s="279"/>
      <c r="X443" s="52"/>
      <c r="Y443" s="99"/>
      <c r="Z443" s="53"/>
      <c r="AA443" s="228"/>
      <c r="AB443" s="52"/>
      <c r="AC443" s="99"/>
      <c r="AD443" s="53"/>
      <c r="AE443" s="228"/>
      <c r="AF443" s="52"/>
      <c r="AG443" s="99"/>
      <c r="AH443" s="53"/>
      <c r="AI443" s="228"/>
      <c r="AJ443" s="52"/>
      <c r="AK443" s="99"/>
      <c r="AL443" s="53"/>
      <c r="AM443" s="228"/>
      <c r="AN443" s="52"/>
      <c r="AO443" s="99"/>
      <c r="AP443" s="53"/>
      <c r="AQ443" s="50">
        <f t="shared" si="161"/>
        <v>0</v>
      </c>
      <c r="AR443" s="163">
        <f t="shared" si="162"/>
        <v>0</v>
      </c>
      <c r="AS443" s="97">
        <f t="shared" si="163"/>
        <v>0</v>
      </c>
      <c r="AT443" s="278">
        <f t="shared" si="164"/>
        <v>0</v>
      </c>
      <c r="AU443" s="55"/>
      <c r="AV443" s="277"/>
      <c r="AW443" s="279"/>
      <c r="AX443" s="52"/>
      <c r="AY443" s="531"/>
      <c r="AZ443" s="98"/>
      <c r="BA443" s="279"/>
      <c r="BB443" s="52"/>
      <c r="BC443" s="105"/>
      <c r="BD443" s="98"/>
      <c r="BE443" s="279"/>
      <c r="BF443" s="52"/>
      <c r="BG443" s="105"/>
      <c r="BH443" s="98"/>
      <c r="BI443" s="279"/>
      <c r="BJ443" s="52"/>
      <c r="BK443" s="105"/>
      <c r="BL443" s="98"/>
      <c r="BM443" s="279"/>
      <c r="BN443" s="52"/>
      <c r="BO443" s="105"/>
      <c r="BP443" s="98"/>
      <c r="BQ443" s="279"/>
      <c r="BR443" s="52"/>
      <c r="BS443" s="105"/>
      <c r="BT443" s="98"/>
      <c r="BU443" s="279"/>
      <c r="BV443" s="52"/>
      <c r="BW443" s="105"/>
      <c r="BX443" s="98"/>
      <c r="BY443" s="279"/>
      <c r="BZ443" s="52"/>
      <c r="CA443" s="105"/>
      <c r="CB443" s="98"/>
      <c r="CC443" s="279"/>
      <c r="CD443" s="52"/>
      <c r="CE443" s="105"/>
      <c r="CF443" s="98"/>
      <c r="CG443" s="279"/>
      <c r="CH443" s="52"/>
      <c r="CI443" s="105"/>
      <c r="CJ443" s="98"/>
      <c r="CK443" s="281"/>
      <c r="CL443" s="277"/>
      <c r="CM443" s="159"/>
      <c r="CN443" s="277"/>
      <c r="CO443" s="50">
        <f t="shared" si="170"/>
        <v>0</v>
      </c>
      <c r="CP443" s="103">
        <f t="shared" si="171"/>
        <v>0</v>
      </c>
      <c r="CQ443" s="280">
        <f t="shared" si="172"/>
        <v>0</v>
      </c>
      <c r="CR443" s="63">
        <f t="shared" si="173"/>
        <v>0</v>
      </c>
      <c r="CS443" s="279"/>
      <c r="CT443" s="52"/>
      <c r="CU443" s="105"/>
      <c r="CV443" s="98"/>
      <c r="CW443" s="279"/>
      <c r="CX443" s="52"/>
      <c r="CY443" s="105"/>
      <c r="CZ443" s="98"/>
      <c r="DA443" s="279"/>
      <c r="DB443" s="52"/>
      <c r="DC443" s="105"/>
      <c r="DD443" s="98"/>
      <c r="DE443" s="279"/>
      <c r="DF443" s="52"/>
      <c r="DG443" s="105"/>
      <c r="DH443" s="98"/>
      <c r="DI443" s="279"/>
      <c r="DJ443" s="52"/>
      <c r="DK443" s="105"/>
      <c r="DL443" s="98"/>
      <c r="DM443" s="279"/>
      <c r="DN443" s="52"/>
      <c r="DO443" s="105"/>
      <c r="DP443" s="98"/>
      <c r="DQ443" s="279"/>
      <c r="DR443" s="52"/>
      <c r="DS443" s="105"/>
      <c r="DT443" s="98"/>
      <c r="DU443" s="279"/>
      <c r="DV443" s="52"/>
      <c r="DW443" s="105"/>
      <c r="DX443" s="98"/>
      <c r="DY443" s="279"/>
      <c r="DZ443" s="52"/>
      <c r="EA443" s="105"/>
      <c r="EB443" s="98"/>
      <c r="EC443" s="279"/>
      <c r="ED443" s="52"/>
      <c r="EE443" s="105"/>
      <c r="EF443" s="98"/>
      <c r="EG443" s="159"/>
      <c r="EH443" s="277"/>
      <c r="EI443" s="50">
        <f t="shared" si="174"/>
        <v>0</v>
      </c>
      <c r="EJ443" s="103">
        <f t="shared" si="175"/>
        <v>0</v>
      </c>
      <c r="EK443" s="164">
        <f t="shared" si="176"/>
        <v>0</v>
      </c>
      <c r="EL443" s="280">
        <f t="shared" si="177"/>
        <v>0</v>
      </c>
      <c r="EM443" s="63">
        <f t="shared" si="178"/>
        <v>0</v>
      </c>
      <c r="EN443" s="359">
        <f t="shared" si="179"/>
        <v>0</v>
      </c>
      <c r="EO443" s="51">
        <f t="shared" si="180"/>
        <v>0</v>
      </c>
      <c r="EP443" s="361">
        <f t="shared" si="181"/>
        <v>0</v>
      </c>
      <c r="EQ443" s="281"/>
      <c r="ER443" s="277"/>
      <c r="ES443" s="281"/>
      <c r="ET443" s="277"/>
      <c r="EU443" s="281"/>
      <c r="EV443" s="277"/>
      <c r="EW443" s="281"/>
      <c r="EX443" s="277"/>
      <c r="EY443" s="281"/>
      <c r="EZ443" s="277"/>
      <c r="FA443" s="281"/>
      <c r="FB443" s="277"/>
      <c r="FC443" s="281"/>
      <c r="FD443" s="277"/>
      <c r="FE443" s="281"/>
      <c r="FF443" s="277"/>
      <c r="FG443" s="281"/>
      <c r="FH443" s="277"/>
      <c r="FI443" s="281"/>
      <c r="FJ443" s="277"/>
      <c r="FK443" s="50">
        <f t="shared" si="182"/>
        <v>0</v>
      </c>
      <c r="FL443" s="63">
        <f t="shared" si="183"/>
        <v>0</v>
      </c>
      <c r="FM443" s="50">
        <f t="shared" si="165"/>
        <v>23</v>
      </c>
      <c r="FN443" s="360">
        <f t="shared" si="166"/>
        <v>35</v>
      </c>
      <c r="FO443" s="3"/>
      <c r="FP443" s="279"/>
      <c r="FQ443" s="52"/>
      <c r="FR443" s="296"/>
      <c r="FS443" s="98"/>
      <c r="FT443" s="467"/>
      <c r="FU443" s="52"/>
      <c r="FV443" s="296"/>
      <c r="FW443" s="98"/>
      <c r="FX443" s="467"/>
      <c r="FY443" s="52"/>
      <c r="FZ443" s="296"/>
      <c r="GA443" s="98"/>
      <c r="GB443" s="467"/>
      <c r="GC443" s="52"/>
      <c r="GD443" s="296"/>
      <c r="GE443" s="98"/>
      <c r="GF443" s="467"/>
      <c r="GG443" s="52"/>
      <c r="GH443" s="296"/>
      <c r="GI443" s="98"/>
      <c r="GJ443" s="467"/>
      <c r="GK443" s="52"/>
      <c r="GL443" s="296"/>
      <c r="GM443" s="464"/>
      <c r="GN443" s="467"/>
      <c r="GO443" s="52"/>
      <c r="GP443" s="296"/>
      <c r="GQ443" s="464"/>
      <c r="GR443" s="467"/>
      <c r="GS443" s="52"/>
      <c r="GT443" s="296"/>
      <c r="GU443" s="464"/>
      <c r="GV443" s="467"/>
      <c r="GW443" s="52"/>
      <c r="GX443" s="296"/>
      <c r="GY443" s="464"/>
      <c r="GZ443" s="467"/>
      <c r="HA443" s="52"/>
      <c r="HB443" s="296"/>
      <c r="HC443" s="3"/>
    </row>
    <row r="444" spans="1:211" s="86" customFormat="1">
      <c r="A444" s="489" t="s">
        <v>31</v>
      </c>
      <c r="B444" s="308" t="s">
        <v>388</v>
      </c>
      <c r="C444" s="307">
        <v>418348</v>
      </c>
      <c r="D444" s="341">
        <v>13</v>
      </c>
      <c r="E444" s="460">
        <v>77</v>
      </c>
      <c r="F444" s="277">
        <v>301</v>
      </c>
      <c r="G444" s="158">
        <v>7</v>
      </c>
      <c r="H444" s="277">
        <v>4</v>
      </c>
      <c r="I444" s="158"/>
      <c r="J444" s="277"/>
      <c r="K444" s="160">
        <f t="shared" si="167"/>
        <v>0</v>
      </c>
      <c r="L444" s="161">
        <f t="shared" si="160"/>
        <v>0</v>
      </c>
      <c r="M444" s="54"/>
      <c r="N444" s="55"/>
      <c r="O444" s="55"/>
      <c r="P444" s="55"/>
      <c r="Q444" s="162">
        <f t="shared" si="168"/>
        <v>0</v>
      </c>
      <c r="R444" s="277"/>
      <c r="S444" s="277"/>
      <c r="T444" s="277"/>
      <c r="U444" s="277"/>
      <c r="V444" s="97">
        <f t="shared" si="169"/>
        <v>0</v>
      </c>
      <c r="W444" s="279"/>
      <c r="X444" s="52"/>
      <c r="Y444" s="99"/>
      <c r="Z444" s="53"/>
      <c r="AA444" s="228"/>
      <c r="AB444" s="52"/>
      <c r="AC444" s="99"/>
      <c r="AD444" s="53"/>
      <c r="AE444" s="228"/>
      <c r="AF444" s="52"/>
      <c r="AG444" s="99"/>
      <c r="AH444" s="53"/>
      <c r="AI444" s="228"/>
      <c r="AJ444" s="52"/>
      <c r="AK444" s="99"/>
      <c r="AL444" s="53"/>
      <c r="AM444" s="228"/>
      <c r="AN444" s="52"/>
      <c r="AO444" s="99"/>
      <c r="AP444" s="53"/>
      <c r="AQ444" s="50">
        <f t="shared" si="161"/>
        <v>0</v>
      </c>
      <c r="AR444" s="163">
        <f t="shared" si="162"/>
        <v>0</v>
      </c>
      <c r="AS444" s="97">
        <f t="shared" si="163"/>
        <v>0</v>
      </c>
      <c r="AT444" s="278">
        <f t="shared" si="164"/>
        <v>0</v>
      </c>
      <c r="AU444" s="55"/>
      <c r="AV444" s="277"/>
      <c r="AW444" s="279"/>
      <c r="AX444" s="52"/>
      <c r="AY444" s="531"/>
      <c r="AZ444" s="98"/>
      <c r="BA444" s="279"/>
      <c r="BB444" s="52"/>
      <c r="BC444" s="105"/>
      <c r="BD444" s="98"/>
      <c r="BE444" s="279"/>
      <c r="BF444" s="52"/>
      <c r="BG444" s="105"/>
      <c r="BH444" s="98"/>
      <c r="BI444" s="279"/>
      <c r="BJ444" s="52"/>
      <c r="BK444" s="105"/>
      <c r="BL444" s="98"/>
      <c r="BM444" s="279"/>
      <c r="BN444" s="52"/>
      <c r="BO444" s="105"/>
      <c r="BP444" s="98"/>
      <c r="BQ444" s="279"/>
      <c r="BR444" s="52"/>
      <c r="BS444" s="105"/>
      <c r="BT444" s="98"/>
      <c r="BU444" s="279"/>
      <c r="BV444" s="52"/>
      <c r="BW444" s="105"/>
      <c r="BX444" s="98"/>
      <c r="BY444" s="279"/>
      <c r="BZ444" s="52"/>
      <c r="CA444" s="105"/>
      <c r="CB444" s="98"/>
      <c r="CC444" s="279"/>
      <c r="CD444" s="52"/>
      <c r="CE444" s="105"/>
      <c r="CF444" s="98"/>
      <c r="CG444" s="279"/>
      <c r="CH444" s="52"/>
      <c r="CI444" s="105"/>
      <c r="CJ444" s="98"/>
      <c r="CK444" s="281"/>
      <c r="CL444" s="277"/>
      <c r="CM444" s="159"/>
      <c r="CN444" s="277"/>
      <c r="CO444" s="50">
        <f t="shared" si="170"/>
        <v>0</v>
      </c>
      <c r="CP444" s="103">
        <f t="shared" si="171"/>
        <v>0</v>
      </c>
      <c r="CQ444" s="280">
        <f t="shared" si="172"/>
        <v>0</v>
      </c>
      <c r="CR444" s="63">
        <f t="shared" si="173"/>
        <v>0</v>
      </c>
      <c r="CS444" s="279"/>
      <c r="CT444" s="52"/>
      <c r="CU444" s="105"/>
      <c r="CV444" s="98"/>
      <c r="CW444" s="279"/>
      <c r="CX444" s="52"/>
      <c r="CY444" s="105"/>
      <c r="CZ444" s="98"/>
      <c r="DA444" s="279"/>
      <c r="DB444" s="52"/>
      <c r="DC444" s="105"/>
      <c r="DD444" s="98"/>
      <c r="DE444" s="279"/>
      <c r="DF444" s="52"/>
      <c r="DG444" s="105"/>
      <c r="DH444" s="98"/>
      <c r="DI444" s="279"/>
      <c r="DJ444" s="52"/>
      <c r="DK444" s="105"/>
      <c r="DL444" s="98"/>
      <c r="DM444" s="279"/>
      <c r="DN444" s="52"/>
      <c r="DO444" s="105"/>
      <c r="DP444" s="98"/>
      <c r="DQ444" s="279"/>
      <c r="DR444" s="52"/>
      <c r="DS444" s="105"/>
      <c r="DT444" s="98"/>
      <c r="DU444" s="279"/>
      <c r="DV444" s="52"/>
      <c r="DW444" s="105"/>
      <c r="DX444" s="98"/>
      <c r="DY444" s="279"/>
      <c r="DZ444" s="52"/>
      <c r="EA444" s="105"/>
      <c r="EB444" s="98"/>
      <c r="EC444" s="279"/>
      <c r="ED444" s="52"/>
      <c r="EE444" s="105"/>
      <c r="EF444" s="98"/>
      <c r="EG444" s="159"/>
      <c r="EH444" s="277"/>
      <c r="EI444" s="50">
        <f t="shared" si="174"/>
        <v>0</v>
      </c>
      <c r="EJ444" s="103">
        <f t="shared" si="175"/>
        <v>0</v>
      </c>
      <c r="EK444" s="164">
        <f t="shared" si="176"/>
        <v>0</v>
      </c>
      <c r="EL444" s="280">
        <f t="shared" si="177"/>
        <v>0</v>
      </c>
      <c r="EM444" s="63">
        <f t="shared" si="178"/>
        <v>0</v>
      </c>
      <c r="EN444" s="359">
        <f t="shared" si="179"/>
        <v>0</v>
      </c>
      <c r="EO444" s="51">
        <f t="shared" si="180"/>
        <v>0</v>
      </c>
      <c r="EP444" s="361">
        <f t="shared" si="181"/>
        <v>0</v>
      </c>
      <c r="EQ444" s="281"/>
      <c r="ER444" s="277"/>
      <c r="ES444" s="281"/>
      <c r="ET444" s="277"/>
      <c r="EU444" s="281"/>
      <c r="EV444" s="277"/>
      <c r="EW444" s="281"/>
      <c r="EX444" s="277"/>
      <c r="EY444" s="281"/>
      <c r="EZ444" s="277"/>
      <c r="FA444" s="281"/>
      <c r="FB444" s="277"/>
      <c r="FC444" s="281"/>
      <c r="FD444" s="277"/>
      <c r="FE444" s="281"/>
      <c r="FF444" s="277"/>
      <c r="FG444" s="281"/>
      <c r="FH444" s="277"/>
      <c r="FI444" s="281"/>
      <c r="FJ444" s="277"/>
      <c r="FK444" s="50">
        <f t="shared" si="182"/>
        <v>0</v>
      </c>
      <c r="FL444" s="63">
        <f t="shared" si="183"/>
        <v>0</v>
      </c>
      <c r="FM444" s="50">
        <f t="shared" si="165"/>
        <v>84</v>
      </c>
      <c r="FN444" s="360">
        <f t="shared" si="166"/>
        <v>305</v>
      </c>
      <c r="FO444" s="3"/>
      <c r="FP444" s="279"/>
      <c r="FQ444" s="52"/>
      <c r="FR444" s="296"/>
      <c r="FS444" s="98"/>
      <c r="FT444" s="467"/>
      <c r="FU444" s="52"/>
      <c r="FV444" s="296"/>
      <c r="FW444" s="98"/>
      <c r="FX444" s="467"/>
      <c r="FY444" s="52"/>
      <c r="FZ444" s="296"/>
      <c r="GA444" s="98"/>
      <c r="GB444" s="467"/>
      <c r="GC444" s="52"/>
      <c r="GD444" s="296"/>
      <c r="GE444" s="98"/>
      <c r="GF444" s="467"/>
      <c r="GG444" s="52"/>
      <c r="GH444" s="296"/>
      <c r="GI444" s="98"/>
      <c r="GJ444" s="467"/>
      <c r="GK444" s="52"/>
      <c r="GL444" s="296"/>
      <c r="GM444" s="464"/>
      <c r="GN444" s="467"/>
      <c r="GO444" s="52"/>
      <c r="GP444" s="296"/>
      <c r="GQ444" s="464"/>
      <c r="GR444" s="467"/>
      <c r="GS444" s="52"/>
      <c r="GT444" s="296"/>
      <c r="GU444" s="464"/>
      <c r="GV444" s="467"/>
      <c r="GW444" s="52"/>
      <c r="GX444" s="296"/>
      <c r="GY444" s="464"/>
      <c r="GZ444" s="467"/>
      <c r="HA444" s="52"/>
      <c r="HB444" s="296"/>
      <c r="HC444" s="3"/>
    </row>
    <row r="445" spans="1:211" s="86" customFormat="1">
      <c r="A445" s="489" t="s">
        <v>31</v>
      </c>
      <c r="B445" s="308" t="s">
        <v>389</v>
      </c>
      <c r="C445" s="307">
        <v>375683</v>
      </c>
      <c r="D445" s="341">
        <v>13</v>
      </c>
      <c r="E445" s="460">
        <v>231</v>
      </c>
      <c r="F445" s="277">
        <v>277</v>
      </c>
      <c r="G445" s="158">
        <v>76</v>
      </c>
      <c r="H445" s="277">
        <v>38</v>
      </c>
      <c r="I445" s="158"/>
      <c r="J445" s="277"/>
      <c r="K445" s="160">
        <f t="shared" si="167"/>
        <v>0</v>
      </c>
      <c r="L445" s="161">
        <f t="shared" si="160"/>
        <v>0</v>
      </c>
      <c r="M445" s="54"/>
      <c r="N445" s="55"/>
      <c r="O445" s="55"/>
      <c r="P445" s="55"/>
      <c r="Q445" s="162">
        <f t="shared" si="168"/>
        <v>0</v>
      </c>
      <c r="R445" s="277"/>
      <c r="S445" s="277"/>
      <c r="T445" s="277"/>
      <c r="U445" s="277"/>
      <c r="V445" s="97">
        <f t="shared" si="169"/>
        <v>0</v>
      </c>
      <c r="W445" s="279"/>
      <c r="X445" s="52"/>
      <c r="Y445" s="99"/>
      <c r="Z445" s="53"/>
      <c r="AA445" s="228"/>
      <c r="AB445" s="52"/>
      <c r="AC445" s="99"/>
      <c r="AD445" s="53"/>
      <c r="AE445" s="228"/>
      <c r="AF445" s="52"/>
      <c r="AG445" s="99"/>
      <c r="AH445" s="53"/>
      <c r="AI445" s="228"/>
      <c r="AJ445" s="52"/>
      <c r="AK445" s="99"/>
      <c r="AL445" s="53"/>
      <c r="AM445" s="228"/>
      <c r="AN445" s="52"/>
      <c r="AO445" s="99"/>
      <c r="AP445" s="53"/>
      <c r="AQ445" s="50">
        <f t="shared" si="161"/>
        <v>0</v>
      </c>
      <c r="AR445" s="163">
        <f t="shared" si="162"/>
        <v>0</v>
      </c>
      <c r="AS445" s="97">
        <f t="shared" si="163"/>
        <v>0</v>
      </c>
      <c r="AT445" s="278">
        <f t="shared" si="164"/>
        <v>0</v>
      </c>
      <c r="AU445" s="55"/>
      <c r="AV445" s="277"/>
      <c r="AW445" s="279"/>
      <c r="AX445" s="52"/>
      <c r="AY445" s="531"/>
      <c r="AZ445" s="98"/>
      <c r="BA445" s="279"/>
      <c r="BB445" s="52"/>
      <c r="BC445" s="105"/>
      <c r="BD445" s="98"/>
      <c r="BE445" s="279"/>
      <c r="BF445" s="52"/>
      <c r="BG445" s="105"/>
      <c r="BH445" s="98"/>
      <c r="BI445" s="279"/>
      <c r="BJ445" s="52"/>
      <c r="BK445" s="105"/>
      <c r="BL445" s="98"/>
      <c r="BM445" s="279"/>
      <c r="BN445" s="52"/>
      <c r="BO445" s="105"/>
      <c r="BP445" s="98"/>
      <c r="BQ445" s="279"/>
      <c r="BR445" s="52"/>
      <c r="BS445" s="105"/>
      <c r="BT445" s="98"/>
      <c r="BU445" s="279"/>
      <c r="BV445" s="52"/>
      <c r="BW445" s="105"/>
      <c r="BX445" s="98"/>
      <c r="BY445" s="279"/>
      <c r="BZ445" s="52"/>
      <c r="CA445" s="105"/>
      <c r="CB445" s="98"/>
      <c r="CC445" s="279"/>
      <c r="CD445" s="52"/>
      <c r="CE445" s="105"/>
      <c r="CF445" s="98"/>
      <c r="CG445" s="279"/>
      <c r="CH445" s="52"/>
      <c r="CI445" s="105"/>
      <c r="CJ445" s="98"/>
      <c r="CK445" s="281"/>
      <c r="CL445" s="277"/>
      <c r="CM445" s="159"/>
      <c r="CN445" s="277"/>
      <c r="CO445" s="50">
        <f t="shared" si="170"/>
        <v>0</v>
      </c>
      <c r="CP445" s="103">
        <f t="shared" si="171"/>
        <v>0</v>
      </c>
      <c r="CQ445" s="280">
        <f t="shared" si="172"/>
        <v>0</v>
      </c>
      <c r="CR445" s="63">
        <f t="shared" si="173"/>
        <v>0</v>
      </c>
      <c r="CS445" s="279"/>
      <c r="CT445" s="52"/>
      <c r="CU445" s="105"/>
      <c r="CV445" s="98"/>
      <c r="CW445" s="279"/>
      <c r="CX445" s="52"/>
      <c r="CY445" s="105"/>
      <c r="CZ445" s="98"/>
      <c r="DA445" s="279"/>
      <c r="DB445" s="52"/>
      <c r="DC445" s="105"/>
      <c r="DD445" s="98"/>
      <c r="DE445" s="279"/>
      <c r="DF445" s="52"/>
      <c r="DG445" s="105"/>
      <c r="DH445" s="98"/>
      <c r="DI445" s="279"/>
      <c r="DJ445" s="52"/>
      <c r="DK445" s="105"/>
      <c r="DL445" s="98"/>
      <c r="DM445" s="279"/>
      <c r="DN445" s="52"/>
      <c r="DO445" s="105"/>
      <c r="DP445" s="98"/>
      <c r="DQ445" s="279"/>
      <c r="DR445" s="52"/>
      <c r="DS445" s="105"/>
      <c r="DT445" s="98"/>
      <c r="DU445" s="279"/>
      <c r="DV445" s="52"/>
      <c r="DW445" s="105"/>
      <c r="DX445" s="98"/>
      <c r="DY445" s="279"/>
      <c r="DZ445" s="52"/>
      <c r="EA445" s="105"/>
      <c r="EB445" s="98"/>
      <c r="EC445" s="279"/>
      <c r="ED445" s="52"/>
      <c r="EE445" s="105"/>
      <c r="EF445" s="98"/>
      <c r="EG445" s="159"/>
      <c r="EH445" s="277"/>
      <c r="EI445" s="50">
        <f t="shared" si="174"/>
        <v>0</v>
      </c>
      <c r="EJ445" s="103">
        <f t="shared" si="175"/>
        <v>0</v>
      </c>
      <c r="EK445" s="164">
        <f t="shared" si="176"/>
        <v>0</v>
      </c>
      <c r="EL445" s="280">
        <f t="shared" si="177"/>
        <v>0</v>
      </c>
      <c r="EM445" s="63">
        <f t="shared" si="178"/>
        <v>0</v>
      </c>
      <c r="EN445" s="359">
        <f t="shared" si="179"/>
        <v>0</v>
      </c>
      <c r="EO445" s="51">
        <f t="shared" si="180"/>
        <v>0</v>
      </c>
      <c r="EP445" s="361">
        <f t="shared" si="181"/>
        <v>0</v>
      </c>
      <c r="EQ445" s="281"/>
      <c r="ER445" s="277"/>
      <c r="ES445" s="281"/>
      <c r="ET445" s="277"/>
      <c r="EU445" s="281"/>
      <c r="EV445" s="277"/>
      <c r="EW445" s="281"/>
      <c r="EX445" s="277"/>
      <c r="EY445" s="281"/>
      <c r="EZ445" s="277"/>
      <c r="FA445" s="281"/>
      <c r="FB445" s="277"/>
      <c r="FC445" s="281"/>
      <c r="FD445" s="277"/>
      <c r="FE445" s="281"/>
      <c r="FF445" s="277"/>
      <c r="FG445" s="281"/>
      <c r="FH445" s="277"/>
      <c r="FI445" s="281"/>
      <c r="FJ445" s="277"/>
      <c r="FK445" s="50">
        <f t="shared" si="182"/>
        <v>0</v>
      </c>
      <c r="FL445" s="63">
        <f t="shared" si="183"/>
        <v>0</v>
      </c>
      <c r="FM445" s="50">
        <f t="shared" si="165"/>
        <v>307</v>
      </c>
      <c r="FN445" s="360">
        <f t="shared" si="166"/>
        <v>315</v>
      </c>
      <c r="FO445" s="3"/>
      <c r="FP445" s="279"/>
      <c r="FQ445" s="52"/>
      <c r="FR445" s="296"/>
      <c r="FS445" s="98"/>
      <c r="FT445" s="467"/>
      <c r="FU445" s="52"/>
      <c r="FV445" s="296"/>
      <c r="FW445" s="98"/>
      <c r="FX445" s="467"/>
      <c r="FY445" s="52"/>
      <c r="FZ445" s="296"/>
      <c r="GA445" s="98"/>
      <c r="GB445" s="467"/>
      <c r="GC445" s="52"/>
      <c r="GD445" s="296"/>
      <c r="GE445" s="98"/>
      <c r="GF445" s="467"/>
      <c r="GG445" s="52"/>
      <c r="GH445" s="296"/>
      <c r="GI445" s="98"/>
      <c r="GJ445" s="467"/>
      <c r="GK445" s="52"/>
      <c r="GL445" s="296"/>
      <c r="GM445" s="464"/>
      <c r="GN445" s="467"/>
      <c r="GO445" s="52"/>
      <c r="GP445" s="296"/>
      <c r="GQ445" s="464"/>
      <c r="GR445" s="467"/>
      <c r="GS445" s="52"/>
      <c r="GT445" s="296"/>
      <c r="GU445" s="464"/>
      <c r="GV445" s="467"/>
      <c r="GW445" s="52"/>
      <c r="GX445" s="296"/>
      <c r="GY445" s="464"/>
      <c r="GZ445" s="467"/>
      <c r="HA445" s="52"/>
      <c r="HB445" s="296"/>
      <c r="HC445" s="3"/>
    </row>
    <row r="446" spans="1:211" s="86" customFormat="1">
      <c r="A446" s="489" t="s">
        <v>31</v>
      </c>
      <c r="B446" s="308" t="s">
        <v>390</v>
      </c>
      <c r="C446" s="307">
        <v>428019</v>
      </c>
      <c r="D446" s="341">
        <v>13</v>
      </c>
      <c r="E446" s="460">
        <v>128</v>
      </c>
      <c r="F446" s="277">
        <v>144</v>
      </c>
      <c r="G446" s="158"/>
      <c r="H446" s="277">
        <v>1</v>
      </c>
      <c r="I446" s="158"/>
      <c r="J446" s="277"/>
      <c r="K446" s="160">
        <f t="shared" si="167"/>
        <v>0</v>
      </c>
      <c r="L446" s="161">
        <f t="shared" si="160"/>
        <v>0</v>
      </c>
      <c r="M446" s="54"/>
      <c r="N446" s="55"/>
      <c r="O446" s="55"/>
      <c r="P446" s="55"/>
      <c r="Q446" s="162">
        <f t="shared" si="168"/>
        <v>0</v>
      </c>
      <c r="R446" s="277"/>
      <c r="S446" s="277"/>
      <c r="T446" s="277"/>
      <c r="U446" s="277"/>
      <c r="V446" s="97">
        <f t="shared" si="169"/>
        <v>0</v>
      </c>
      <c r="W446" s="279"/>
      <c r="X446" s="52"/>
      <c r="Y446" s="99"/>
      <c r="Z446" s="53"/>
      <c r="AA446" s="228"/>
      <c r="AB446" s="52"/>
      <c r="AC446" s="99"/>
      <c r="AD446" s="53"/>
      <c r="AE446" s="228"/>
      <c r="AF446" s="52"/>
      <c r="AG446" s="99"/>
      <c r="AH446" s="53"/>
      <c r="AI446" s="228"/>
      <c r="AJ446" s="52"/>
      <c r="AK446" s="99"/>
      <c r="AL446" s="53"/>
      <c r="AM446" s="228"/>
      <c r="AN446" s="52"/>
      <c r="AO446" s="99"/>
      <c r="AP446" s="53"/>
      <c r="AQ446" s="50">
        <f t="shared" si="161"/>
        <v>0</v>
      </c>
      <c r="AR446" s="163">
        <f t="shared" si="162"/>
        <v>0</v>
      </c>
      <c r="AS446" s="97">
        <f t="shared" si="163"/>
        <v>0</v>
      </c>
      <c r="AT446" s="278">
        <f t="shared" si="164"/>
        <v>0</v>
      </c>
      <c r="AU446" s="55"/>
      <c r="AV446" s="277"/>
      <c r="AW446" s="279"/>
      <c r="AX446" s="52"/>
      <c r="AY446" s="531"/>
      <c r="AZ446" s="98"/>
      <c r="BA446" s="279"/>
      <c r="BB446" s="52"/>
      <c r="BC446" s="105"/>
      <c r="BD446" s="98"/>
      <c r="BE446" s="279"/>
      <c r="BF446" s="52"/>
      <c r="BG446" s="105"/>
      <c r="BH446" s="98"/>
      <c r="BI446" s="279"/>
      <c r="BJ446" s="52"/>
      <c r="BK446" s="105"/>
      <c r="BL446" s="98"/>
      <c r="BM446" s="279"/>
      <c r="BN446" s="52"/>
      <c r="BO446" s="105"/>
      <c r="BP446" s="98"/>
      <c r="BQ446" s="279"/>
      <c r="BR446" s="52"/>
      <c r="BS446" s="105"/>
      <c r="BT446" s="98"/>
      <c r="BU446" s="279"/>
      <c r="BV446" s="52"/>
      <c r="BW446" s="105"/>
      <c r="BX446" s="98"/>
      <c r="BY446" s="279"/>
      <c r="BZ446" s="52"/>
      <c r="CA446" s="105"/>
      <c r="CB446" s="98"/>
      <c r="CC446" s="279"/>
      <c r="CD446" s="52"/>
      <c r="CE446" s="105"/>
      <c r="CF446" s="98"/>
      <c r="CG446" s="279"/>
      <c r="CH446" s="52"/>
      <c r="CI446" s="105"/>
      <c r="CJ446" s="98"/>
      <c r="CK446" s="281"/>
      <c r="CL446" s="277"/>
      <c r="CM446" s="159"/>
      <c r="CN446" s="277"/>
      <c r="CO446" s="50">
        <f t="shared" si="170"/>
        <v>0</v>
      </c>
      <c r="CP446" s="103">
        <f t="shared" si="171"/>
        <v>0</v>
      </c>
      <c r="CQ446" s="280">
        <f t="shared" si="172"/>
        <v>0</v>
      </c>
      <c r="CR446" s="63">
        <f t="shared" si="173"/>
        <v>0</v>
      </c>
      <c r="CS446" s="279"/>
      <c r="CT446" s="52"/>
      <c r="CU446" s="105"/>
      <c r="CV446" s="98"/>
      <c r="CW446" s="279"/>
      <c r="CX446" s="52"/>
      <c r="CY446" s="105"/>
      <c r="CZ446" s="98"/>
      <c r="DA446" s="279"/>
      <c r="DB446" s="52"/>
      <c r="DC446" s="105"/>
      <c r="DD446" s="98"/>
      <c r="DE446" s="279"/>
      <c r="DF446" s="52"/>
      <c r="DG446" s="105"/>
      <c r="DH446" s="98"/>
      <c r="DI446" s="279"/>
      <c r="DJ446" s="52"/>
      <c r="DK446" s="105"/>
      <c r="DL446" s="98"/>
      <c r="DM446" s="279"/>
      <c r="DN446" s="52"/>
      <c r="DO446" s="105"/>
      <c r="DP446" s="98"/>
      <c r="DQ446" s="279"/>
      <c r="DR446" s="52"/>
      <c r="DS446" s="105"/>
      <c r="DT446" s="98"/>
      <c r="DU446" s="279"/>
      <c r="DV446" s="52"/>
      <c r="DW446" s="105"/>
      <c r="DX446" s="98"/>
      <c r="DY446" s="279"/>
      <c r="DZ446" s="52"/>
      <c r="EA446" s="105"/>
      <c r="EB446" s="98"/>
      <c r="EC446" s="279"/>
      <c r="ED446" s="52"/>
      <c r="EE446" s="105"/>
      <c r="EF446" s="98"/>
      <c r="EG446" s="159"/>
      <c r="EH446" s="277"/>
      <c r="EI446" s="50">
        <f t="shared" si="174"/>
        <v>0</v>
      </c>
      <c r="EJ446" s="103">
        <f t="shared" si="175"/>
        <v>0</v>
      </c>
      <c r="EK446" s="164">
        <f t="shared" si="176"/>
        <v>0</v>
      </c>
      <c r="EL446" s="280">
        <f t="shared" si="177"/>
        <v>0</v>
      </c>
      <c r="EM446" s="63">
        <f t="shared" si="178"/>
        <v>0</v>
      </c>
      <c r="EN446" s="359">
        <f t="shared" si="179"/>
        <v>0</v>
      </c>
      <c r="EO446" s="51">
        <f t="shared" si="180"/>
        <v>0</v>
      </c>
      <c r="EP446" s="361">
        <f t="shared" si="181"/>
        <v>0</v>
      </c>
      <c r="EQ446" s="281"/>
      <c r="ER446" s="277"/>
      <c r="ES446" s="281"/>
      <c r="ET446" s="277"/>
      <c r="EU446" s="281"/>
      <c r="EV446" s="277"/>
      <c r="EW446" s="281"/>
      <c r="EX446" s="277"/>
      <c r="EY446" s="281"/>
      <c r="EZ446" s="277"/>
      <c r="FA446" s="281"/>
      <c r="FB446" s="277"/>
      <c r="FC446" s="281"/>
      <c r="FD446" s="277"/>
      <c r="FE446" s="281"/>
      <c r="FF446" s="277"/>
      <c r="FG446" s="281"/>
      <c r="FH446" s="277"/>
      <c r="FI446" s="281"/>
      <c r="FJ446" s="277"/>
      <c r="FK446" s="50">
        <f t="shared" si="182"/>
        <v>0</v>
      </c>
      <c r="FL446" s="63">
        <f t="shared" si="183"/>
        <v>0</v>
      </c>
      <c r="FM446" s="50">
        <f t="shared" si="165"/>
        <v>128</v>
      </c>
      <c r="FN446" s="360">
        <f t="shared" si="166"/>
        <v>145</v>
      </c>
      <c r="FO446" s="3"/>
      <c r="FP446" s="279"/>
      <c r="FQ446" s="52"/>
      <c r="FR446" s="296"/>
      <c r="FS446" s="98"/>
      <c r="FT446" s="467"/>
      <c r="FU446" s="52"/>
      <c r="FV446" s="296"/>
      <c r="FW446" s="98"/>
      <c r="FX446" s="467"/>
      <c r="FY446" s="52"/>
      <c r="FZ446" s="296"/>
      <c r="GA446" s="98"/>
      <c r="GB446" s="467"/>
      <c r="GC446" s="52"/>
      <c r="GD446" s="296"/>
      <c r="GE446" s="98"/>
      <c r="GF446" s="467"/>
      <c r="GG446" s="52"/>
      <c r="GH446" s="296"/>
      <c r="GI446" s="98"/>
      <c r="GJ446" s="467"/>
      <c r="GK446" s="52"/>
      <c r="GL446" s="296"/>
      <c r="GM446" s="464"/>
      <c r="GN446" s="467"/>
      <c r="GO446" s="52"/>
      <c r="GP446" s="296"/>
      <c r="GQ446" s="464"/>
      <c r="GR446" s="467"/>
      <c r="GS446" s="52"/>
      <c r="GT446" s="296"/>
      <c r="GU446" s="464"/>
      <c r="GV446" s="467"/>
      <c r="GW446" s="52"/>
      <c r="GX446" s="296"/>
      <c r="GY446" s="464"/>
      <c r="GZ446" s="467"/>
      <c r="HA446" s="52"/>
      <c r="HB446" s="296"/>
      <c r="HC446" s="3"/>
    </row>
    <row r="447" spans="1:211" s="86" customFormat="1">
      <c r="A447" s="489" t="s">
        <v>31</v>
      </c>
      <c r="B447" s="308" t="s">
        <v>391</v>
      </c>
      <c r="C447" s="307">
        <v>208053</v>
      </c>
      <c r="D447" s="341">
        <v>13</v>
      </c>
      <c r="E447" s="460">
        <v>61</v>
      </c>
      <c r="F447" s="277">
        <v>97</v>
      </c>
      <c r="G447" s="158"/>
      <c r="H447" s="277">
        <v>0</v>
      </c>
      <c r="I447" s="158"/>
      <c r="J447" s="277"/>
      <c r="K447" s="160">
        <f t="shared" si="167"/>
        <v>0</v>
      </c>
      <c r="L447" s="161">
        <f t="shared" si="160"/>
        <v>0</v>
      </c>
      <c r="M447" s="54"/>
      <c r="N447" s="55"/>
      <c r="O447" s="55"/>
      <c r="P447" s="55"/>
      <c r="Q447" s="162">
        <f t="shared" si="168"/>
        <v>0</v>
      </c>
      <c r="R447" s="277"/>
      <c r="S447" s="277"/>
      <c r="T447" s="277"/>
      <c r="U447" s="277"/>
      <c r="V447" s="97">
        <f t="shared" si="169"/>
        <v>0</v>
      </c>
      <c r="W447" s="279"/>
      <c r="X447" s="52"/>
      <c r="Y447" s="99"/>
      <c r="Z447" s="53"/>
      <c r="AA447" s="228"/>
      <c r="AB447" s="52"/>
      <c r="AC447" s="99"/>
      <c r="AD447" s="53"/>
      <c r="AE447" s="228"/>
      <c r="AF447" s="52"/>
      <c r="AG447" s="99"/>
      <c r="AH447" s="53"/>
      <c r="AI447" s="228"/>
      <c r="AJ447" s="52"/>
      <c r="AK447" s="99"/>
      <c r="AL447" s="53"/>
      <c r="AM447" s="228"/>
      <c r="AN447" s="52"/>
      <c r="AO447" s="99"/>
      <c r="AP447" s="53"/>
      <c r="AQ447" s="50">
        <f t="shared" si="161"/>
        <v>0</v>
      </c>
      <c r="AR447" s="163">
        <f t="shared" si="162"/>
        <v>0</v>
      </c>
      <c r="AS447" s="97">
        <f t="shared" si="163"/>
        <v>0</v>
      </c>
      <c r="AT447" s="278">
        <f t="shared" si="164"/>
        <v>0</v>
      </c>
      <c r="AU447" s="55"/>
      <c r="AV447" s="277"/>
      <c r="AW447" s="279"/>
      <c r="AX447" s="52"/>
      <c r="AY447" s="531"/>
      <c r="AZ447" s="98"/>
      <c r="BA447" s="279"/>
      <c r="BB447" s="52"/>
      <c r="BC447" s="105"/>
      <c r="BD447" s="98"/>
      <c r="BE447" s="279"/>
      <c r="BF447" s="52"/>
      <c r="BG447" s="105"/>
      <c r="BH447" s="98"/>
      <c r="BI447" s="279"/>
      <c r="BJ447" s="52"/>
      <c r="BK447" s="105"/>
      <c r="BL447" s="98"/>
      <c r="BM447" s="279"/>
      <c r="BN447" s="52"/>
      <c r="BO447" s="105"/>
      <c r="BP447" s="98"/>
      <c r="BQ447" s="279"/>
      <c r="BR447" s="52"/>
      <c r="BS447" s="105"/>
      <c r="BT447" s="98"/>
      <c r="BU447" s="279"/>
      <c r="BV447" s="52"/>
      <c r="BW447" s="105"/>
      <c r="BX447" s="98"/>
      <c r="BY447" s="279"/>
      <c r="BZ447" s="52"/>
      <c r="CA447" s="105"/>
      <c r="CB447" s="98"/>
      <c r="CC447" s="279"/>
      <c r="CD447" s="52"/>
      <c r="CE447" s="105"/>
      <c r="CF447" s="98"/>
      <c r="CG447" s="279"/>
      <c r="CH447" s="52"/>
      <c r="CI447" s="105"/>
      <c r="CJ447" s="98"/>
      <c r="CK447" s="281"/>
      <c r="CL447" s="277"/>
      <c r="CM447" s="159"/>
      <c r="CN447" s="277"/>
      <c r="CO447" s="50">
        <f t="shared" si="170"/>
        <v>0</v>
      </c>
      <c r="CP447" s="103">
        <f t="shared" si="171"/>
        <v>0</v>
      </c>
      <c r="CQ447" s="280">
        <f t="shared" si="172"/>
        <v>0</v>
      </c>
      <c r="CR447" s="63">
        <f t="shared" si="173"/>
        <v>0</v>
      </c>
      <c r="CS447" s="279"/>
      <c r="CT447" s="52"/>
      <c r="CU447" s="105"/>
      <c r="CV447" s="98"/>
      <c r="CW447" s="279"/>
      <c r="CX447" s="52"/>
      <c r="CY447" s="105"/>
      <c r="CZ447" s="98"/>
      <c r="DA447" s="279"/>
      <c r="DB447" s="52"/>
      <c r="DC447" s="105"/>
      <c r="DD447" s="98"/>
      <c r="DE447" s="279"/>
      <c r="DF447" s="52"/>
      <c r="DG447" s="105"/>
      <c r="DH447" s="98"/>
      <c r="DI447" s="279"/>
      <c r="DJ447" s="52"/>
      <c r="DK447" s="105"/>
      <c r="DL447" s="98"/>
      <c r="DM447" s="279"/>
      <c r="DN447" s="52"/>
      <c r="DO447" s="105"/>
      <c r="DP447" s="98"/>
      <c r="DQ447" s="279"/>
      <c r="DR447" s="52"/>
      <c r="DS447" s="105"/>
      <c r="DT447" s="98"/>
      <c r="DU447" s="279"/>
      <c r="DV447" s="52"/>
      <c r="DW447" s="105"/>
      <c r="DX447" s="98"/>
      <c r="DY447" s="279"/>
      <c r="DZ447" s="52"/>
      <c r="EA447" s="105"/>
      <c r="EB447" s="98"/>
      <c r="EC447" s="279"/>
      <c r="ED447" s="52"/>
      <c r="EE447" s="105"/>
      <c r="EF447" s="98"/>
      <c r="EG447" s="159"/>
      <c r="EH447" s="277"/>
      <c r="EI447" s="50">
        <f t="shared" si="174"/>
        <v>0</v>
      </c>
      <c r="EJ447" s="103">
        <f t="shared" si="175"/>
        <v>0</v>
      </c>
      <c r="EK447" s="164">
        <f t="shared" si="176"/>
        <v>0</v>
      </c>
      <c r="EL447" s="280">
        <f t="shared" si="177"/>
        <v>0</v>
      </c>
      <c r="EM447" s="63">
        <f t="shared" si="178"/>
        <v>0</v>
      </c>
      <c r="EN447" s="359">
        <f t="shared" si="179"/>
        <v>0</v>
      </c>
      <c r="EO447" s="51">
        <f t="shared" si="180"/>
        <v>0</v>
      </c>
      <c r="EP447" s="361">
        <f t="shared" si="181"/>
        <v>0</v>
      </c>
      <c r="EQ447" s="281"/>
      <c r="ER447" s="277"/>
      <c r="ES447" s="281"/>
      <c r="ET447" s="277"/>
      <c r="EU447" s="281"/>
      <c r="EV447" s="277"/>
      <c r="EW447" s="281"/>
      <c r="EX447" s="277"/>
      <c r="EY447" s="281"/>
      <c r="EZ447" s="277"/>
      <c r="FA447" s="281"/>
      <c r="FB447" s="277"/>
      <c r="FC447" s="281"/>
      <c r="FD447" s="277"/>
      <c r="FE447" s="281"/>
      <c r="FF447" s="277"/>
      <c r="FG447" s="281"/>
      <c r="FH447" s="277"/>
      <c r="FI447" s="281"/>
      <c r="FJ447" s="277"/>
      <c r="FK447" s="50">
        <f t="shared" si="182"/>
        <v>0</v>
      </c>
      <c r="FL447" s="63">
        <f t="shared" si="183"/>
        <v>0</v>
      </c>
      <c r="FM447" s="50">
        <f t="shared" si="165"/>
        <v>61</v>
      </c>
      <c r="FN447" s="360">
        <f t="shared" si="166"/>
        <v>97</v>
      </c>
      <c r="FO447" s="3"/>
      <c r="FP447" s="279"/>
      <c r="FQ447" s="52"/>
      <c r="FR447" s="296"/>
      <c r="FS447" s="98"/>
      <c r="FT447" s="467"/>
      <c r="FU447" s="52"/>
      <c r="FV447" s="296"/>
      <c r="FW447" s="98"/>
      <c r="FX447" s="467"/>
      <c r="FY447" s="52"/>
      <c r="FZ447" s="296"/>
      <c r="GA447" s="98"/>
      <c r="GB447" s="467"/>
      <c r="GC447" s="52"/>
      <c r="GD447" s="296"/>
      <c r="GE447" s="98"/>
      <c r="GF447" s="467"/>
      <c r="GG447" s="52"/>
      <c r="GH447" s="296"/>
      <c r="GI447" s="98"/>
      <c r="GJ447" s="467"/>
      <c r="GK447" s="52"/>
      <c r="GL447" s="296"/>
      <c r="GM447" s="464"/>
      <c r="GN447" s="467"/>
      <c r="GO447" s="52"/>
      <c r="GP447" s="296"/>
      <c r="GQ447" s="464"/>
      <c r="GR447" s="467"/>
      <c r="GS447" s="52"/>
      <c r="GT447" s="296"/>
      <c r="GU447" s="464"/>
      <c r="GV447" s="467"/>
      <c r="GW447" s="52"/>
      <c r="GX447" s="296"/>
      <c r="GY447" s="464"/>
      <c r="GZ447" s="467"/>
      <c r="HA447" s="52"/>
      <c r="HB447" s="296"/>
      <c r="HC447" s="3"/>
    </row>
    <row r="448" spans="1:211" s="86" customFormat="1">
      <c r="A448" s="489" t="s">
        <v>31</v>
      </c>
      <c r="B448" s="308" t="s">
        <v>392</v>
      </c>
      <c r="C448" s="307">
        <v>418296</v>
      </c>
      <c r="D448" s="341">
        <v>13</v>
      </c>
      <c r="E448" s="460">
        <v>221</v>
      </c>
      <c r="F448" s="277">
        <v>315</v>
      </c>
      <c r="G448" s="158"/>
      <c r="H448" s="277">
        <v>46</v>
      </c>
      <c r="I448" s="158"/>
      <c r="J448" s="277"/>
      <c r="K448" s="160">
        <f t="shared" si="167"/>
        <v>0</v>
      </c>
      <c r="L448" s="161">
        <f t="shared" si="160"/>
        <v>0</v>
      </c>
      <c r="M448" s="54"/>
      <c r="N448" s="55"/>
      <c r="O448" s="55"/>
      <c r="P448" s="55"/>
      <c r="Q448" s="162">
        <f t="shared" si="168"/>
        <v>0</v>
      </c>
      <c r="R448" s="277"/>
      <c r="S448" s="277"/>
      <c r="T448" s="277"/>
      <c r="U448" s="277"/>
      <c r="V448" s="97">
        <f t="shared" si="169"/>
        <v>0</v>
      </c>
      <c r="W448" s="279"/>
      <c r="X448" s="52"/>
      <c r="Y448" s="99"/>
      <c r="Z448" s="53"/>
      <c r="AA448" s="228"/>
      <c r="AB448" s="52"/>
      <c r="AC448" s="99"/>
      <c r="AD448" s="53"/>
      <c r="AE448" s="228"/>
      <c r="AF448" s="52"/>
      <c r="AG448" s="99"/>
      <c r="AH448" s="53"/>
      <c r="AI448" s="228"/>
      <c r="AJ448" s="52"/>
      <c r="AK448" s="99"/>
      <c r="AL448" s="53"/>
      <c r="AM448" s="228"/>
      <c r="AN448" s="52"/>
      <c r="AO448" s="99"/>
      <c r="AP448" s="53"/>
      <c r="AQ448" s="50">
        <f t="shared" si="161"/>
        <v>0</v>
      </c>
      <c r="AR448" s="163">
        <f t="shared" si="162"/>
        <v>0</v>
      </c>
      <c r="AS448" s="97">
        <f t="shared" si="163"/>
        <v>0</v>
      </c>
      <c r="AT448" s="278">
        <f t="shared" si="164"/>
        <v>0</v>
      </c>
      <c r="AU448" s="55"/>
      <c r="AV448" s="277"/>
      <c r="AW448" s="279"/>
      <c r="AX448" s="52"/>
      <c r="AY448" s="531"/>
      <c r="AZ448" s="98"/>
      <c r="BA448" s="279"/>
      <c r="BB448" s="52"/>
      <c r="BC448" s="105"/>
      <c r="BD448" s="98"/>
      <c r="BE448" s="279"/>
      <c r="BF448" s="52"/>
      <c r="BG448" s="105"/>
      <c r="BH448" s="98"/>
      <c r="BI448" s="279"/>
      <c r="BJ448" s="52"/>
      <c r="BK448" s="105"/>
      <c r="BL448" s="98"/>
      <c r="BM448" s="279"/>
      <c r="BN448" s="52"/>
      <c r="BO448" s="105"/>
      <c r="BP448" s="98"/>
      <c r="BQ448" s="279"/>
      <c r="BR448" s="52"/>
      <c r="BS448" s="105"/>
      <c r="BT448" s="98"/>
      <c r="BU448" s="279"/>
      <c r="BV448" s="52"/>
      <c r="BW448" s="105"/>
      <c r="BX448" s="98"/>
      <c r="BY448" s="279"/>
      <c r="BZ448" s="52"/>
      <c r="CA448" s="105"/>
      <c r="CB448" s="98"/>
      <c r="CC448" s="279"/>
      <c r="CD448" s="52"/>
      <c r="CE448" s="105"/>
      <c r="CF448" s="98"/>
      <c r="CG448" s="279"/>
      <c r="CH448" s="52"/>
      <c r="CI448" s="105"/>
      <c r="CJ448" s="98"/>
      <c r="CK448" s="281"/>
      <c r="CL448" s="277"/>
      <c r="CM448" s="159"/>
      <c r="CN448" s="277"/>
      <c r="CO448" s="50">
        <f t="shared" si="170"/>
        <v>0</v>
      </c>
      <c r="CP448" s="103">
        <f t="shared" si="171"/>
        <v>0</v>
      </c>
      <c r="CQ448" s="280">
        <f t="shared" si="172"/>
        <v>0</v>
      </c>
      <c r="CR448" s="63">
        <f t="shared" si="173"/>
        <v>0</v>
      </c>
      <c r="CS448" s="279"/>
      <c r="CT448" s="52"/>
      <c r="CU448" s="105"/>
      <c r="CV448" s="98"/>
      <c r="CW448" s="279"/>
      <c r="CX448" s="52"/>
      <c r="CY448" s="105"/>
      <c r="CZ448" s="98"/>
      <c r="DA448" s="279"/>
      <c r="DB448" s="52"/>
      <c r="DC448" s="105"/>
      <c r="DD448" s="98"/>
      <c r="DE448" s="279"/>
      <c r="DF448" s="52"/>
      <c r="DG448" s="105"/>
      <c r="DH448" s="98"/>
      <c r="DI448" s="279"/>
      <c r="DJ448" s="52"/>
      <c r="DK448" s="105"/>
      <c r="DL448" s="98"/>
      <c r="DM448" s="279"/>
      <c r="DN448" s="52"/>
      <c r="DO448" s="105"/>
      <c r="DP448" s="98"/>
      <c r="DQ448" s="279"/>
      <c r="DR448" s="52"/>
      <c r="DS448" s="105"/>
      <c r="DT448" s="98"/>
      <c r="DU448" s="279"/>
      <c r="DV448" s="52"/>
      <c r="DW448" s="105"/>
      <c r="DX448" s="98"/>
      <c r="DY448" s="279"/>
      <c r="DZ448" s="52"/>
      <c r="EA448" s="105"/>
      <c r="EB448" s="98"/>
      <c r="EC448" s="279"/>
      <c r="ED448" s="52"/>
      <c r="EE448" s="105"/>
      <c r="EF448" s="98"/>
      <c r="EG448" s="159"/>
      <c r="EH448" s="277"/>
      <c r="EI448" s="50">
        <f t="shared" si="174"/>
        <v>0</v>
      </c>
      <c r="EJ448" s="103">
        <f t="shared" si="175"/>
        <v>0</v>
      </c>
      <c r="EK448" s="164">
        <f t="shared" si="176"/>
        <v>0</v>
      </c>
      <c r="EL448" s="280">
        <f t="shared" si="177"/>
        <v>0</v>
      </c>
      <c r="EM448" s="63">
        <f t="shared" si="178"/>
        <v>0</v>
      </c>
      <c r="EN448" s="359">
        <f t="shared" si="179"/>
        <v>0</v>
      </c>
      <c r="EO448" s="51">
        <f t="shared" si="180"/>
        <v>0</v>
      </c>
      <c r="EP448" s="361">
        <f t="shared" si="181"/>
        <v>0</v>
      </c>
      <c r="EQ448" s="281"/>
      <c r="ER448" s="277"/>
      <c r="ES448" s="281"/>
      <c r="ET448" s="277"/>
      <c r="EU448" s="281"/>
      <c r="EV448" s="277"/>
      <c r="EW448" s="281"/>
      <c r="EX448" s="277"/>
      <c r="EY448" s="281"/>
      <c r="EZ448" s="277"/>
      <c r="FA448" s="281"/>
      <c r="FB448" s="277"/>
      <c r="FC448" s="281"/>
      <c r="FD448" s="277"/>
      <c r="FE448" s="281"/>
      <c r="FF448" s="277"/>
      <c r="FG448" s="281"/>
      <c r="FH448" s="277"/>
      <c r="FI448" s="281"/>
      <c r="FJ448" s="277"/>
      <c r="FK448" s="50">
        <f t="shared" si="182"/>
        <v>0</v>
      </c>
      <c r="FL448" s="63">
        <f t="shared" si="183"/>
        <v>0</v>
      </c>
      <c r="FM448" s="50">
        <f t="shared" si="165"/>
        <v>221</v>
      </c>
      <c r="FN448" s="360">
        <f t="shared" si="166"/>
        <v>361</v>
      </c>
      <c r="FO448" s="3"/>
      <c r="FP448" s="279"/>
      <c r="FQ448" s="52"/>
      <c r="FR448" s="296"/>
      <c r="FS448" s="98"/>
      <c r="FT448" s="467"/>
      <c r="FU448" s="52"/>
      <c r="FV448" s="296"/>
      <c r="FW448" s="98"/>
      <c r="FX448" s="467"/>
      <c r="FY448" s="52"/>
      <c r="FZ448" s="296"/>
      <c r="GA448" s="98"/>
      <c r="GB448" s="467"/>
      <c r="GC448" s="52"/>
      <c r="GD448" s="296"/>
      <c r="GE448" s="98"/>
      <c r="GF448" s="467"/>
      <c r="GG448" s="52"/>
      <c r="GH448" s="296"/>
      <c r="GI448" s="98"/>
      <c r="GJ448" s="467"/>
      <c r="GK448" s="52"/>
      <c r="GL448" s="296"/>
      <c r="GM448" s="464"/>
      <c r="GN448" s="467"/>
      <c r="GO448" s="52"/>
      <c r="GP448" s="296"/>
      <c r="GQ448" s="464"/>
      <c r="GR448" s="467"/>
      <c r="GS448" s="52"/>
      <c r="GT448" s="296"/>
      <c r="GU448" s="464"/>
      <c r="GV448" s="467"/>
      <c r="GW448" s="52"/>
      <c r="GX448" s="296"/>
      <c r="GY448" s="464"/>
      <c r="GZ448" s="467"/>
      <c r="HA448" s="52"/>
      <c r="HB448" s="296"/>
      <c r="HC448" s="3"/>
    </row>
    <row r="449" spans="1:211" s="86" customFormat="1">
      <c r="A449" s="489" t="s">
        <v>31</v>
      </c>
      <c r="B449" s="308" t="s">
        <v>393</v>
      </c>
      <c r="C449" s="307">
        <v>421540</v>
      </c>
      <c r="D449" s="341">
        <v>13</v>
      </c>
      <c r="E449" s="460">
        <v>114</v>
      </c>
      <c r="F449" s="277">
        <v>104</v>
      </c>
      <c r="G449" s="158"/>
      <c r="H449" s="277">
        <v>4</v>
      </c>
      <c r="I449" s="158"/>
      <c r="J449" s="277"/>
      <c r="K449" s="160">
        <f t="shared" si="167"/>
        <v>0</v>
      </c>
      <c r="L449" s="161">
        <f t="shared" si="160"/>
        <v>0</v>
      </c>
      <c r="M449" s="54"/>
      <c r="N449" s="55"/>
      <c r="O449" s="55"/>
      <c r="P449" s="55"/>
      <c r="Q449" s="162">
        <f t="shared" si="168"/>
        <v>0</v>
      </c>
      <c r="R449" s="277"/>
      <c r="S449" s="277"/>
      <c r="T449" s="277"/>
      <c r="U449" s="277"/>
      <c r="V449" s="97">
        <f t="shared" si="169"/>
        <v>0</v>
      </c>
      <c r="W449" s="279"/>
      <c r="X449" s="52"/>
      <c r="Y449" s="99"/>
      <c r="Z449" s="53"/>
      <c r="AA449" s="228"/>
      <c r="AB449" s="52"/>
      <c r="AC449" s="99"/>
      <c r="AD449" s="53"/>
      <c r="AE449" s="228"/>
      <c r="AF449" s="52"/>
      <c r="AG449" s="99"/>
      <c r="AH449" s="53"/>
      <c r="AI449" s="228"/>
      <c r="AJ449" s="52"/>
      <c r="AK449" s="99"/>
      <c r="AL449" s="53"/>
      <c r="AM449" s="228"/>
      <c r="AN449" s="52"/>
      <c r="AO449" s="99"/>
      <c r="AP449" s="53"/>
      <c r="AQ449" s="50">
        <f t="shared" si="161"/>
        <v>0</v>
      </c>
      <c r="AR449" s="163">
        <f t="shared" si="162"/>
        <v>0</v>
      </c>
      <c r="AS449" s="97">
        <f t="shared" si="163"/>
        <v>0</v>
      </c>
      <c r="AT449" s="278">
        <f t="shared" si="164"/>
        <v>0</v>
      </c>
      <c r="AU449" s="55"/>
      <c r="AV449" s="277"/>
      <c r="AW449" s="279"/>
      <c r="AX449" s="52"/>
      <c r="AY449" s="531"/>
      <c r="AZ449" s="98"/>
      <c r="BA449" s="279"/>
      <c r="BB449" s="52"/>
      <c r="BC449" s="105"/>
      <c r="BD449" s="98"/>
      <c r="BE449" s="279"/>
      <c r="BF449" s="52"/>
      <c r="BG449" s="105"/>
      <c r="BH449" s="98"/>
      <c r="BI449" s="279"/>
      <c r="BJ449" s="52"/>
      <c r="BK449" s="105"/>
      <c r="BL449" s="98"/>
      <c r="BM449" s="279"/>
      <c r="BN449" s="52"/>
      <c r="BO449" s="105"/>
      <c r="BP449" s="98"/>
      <c r="BQ449" s="279"/>
      <c r="BR449" s="52"/>
      <c r="BS449" s="105"/>
      <c r="BT449" s="98"/>
      <c r="BU449" s="279"/>
      <c r="BV449" s="52"/>
      <c r="BW449" s="105"/>
      <c r="BX449" s="98"/>
      <c r="BY449" s="279"/>
      <c r="BZ449" s="52"/>
      <c r="CA449" s="105"/>
      <c r="CB449" s="98"/>
      <c r="CC449" s="279"/>
      <c r="CD449" s="52"/>
      <c r="CE449" s="105"/>
      <c r="CF449" s="98"/>
      <c r="CG449" s="279"/>
      <c r="CH449" s="52"/>
      <c r="CI449" s="105"/>
      <c r="CJ449" s="98"/>
      <c r="CK449" s="281"/>
      <c r="CL449" s="277"/>
      <c r="CM449" s="159"/>
      <c r="CN449" s="277"/>
      <c r="CO449" s="50">
        <f t="shared" si="170"/>
        <v>0</v>
      </c>
      <c r="CP449" s="103">
        <f t="shared" si="171"/>
        <v>0</v>
      </c>
      <c r="CQ449" s="280">
        <f t="shared" si="172"/>
        <v>0</v>
      </c>
      <c r="CR449" s="63">
        <f t="shared" si="173"/>
        <v>0</v>
      </c>
      <c r="CS449" s="279"/>
      <c r="CT449" s="52"/>
      <c r="CU449" s="105"/>
      <c r="CV449" s="98"/>
      <c r="CW449" s="279"/>
      <c r="CX449" s="52"/>
      <c r="CY449" s="105"/>
      <c r="CZ449" s="98"/>
      <c r="DA449" s="279"/>
      <c r="DB449" s="52"/>
      <c r="DC449" s="105"/>
      <c r="DD449" s="98"/>
      <c r="DE449" s="279"/>
      <c r="DF449" s="52"/>
      <c r="DG449" s="105"/>
      <c r="DH449" s="98"/>
      <c r="DI449" s="279"/>
      <c r="DJ449" s="52"/>
      <c r="DK449" s="105"/>
      <c r="DL449" s="98"/>
      <c r="DM449" s="279"/>
      <c r="DN449" s="52"/>
      <c r="DO449" s="105"/>
      <c r="DP449" s="98"/>
      <c r="DQ449" s="279"/>
      <c r="DR449" s="52"/>
      <c r="DS449" s="105"/>
      <c r="DT449" s="98"/>
      <c r="DU449" s="279"/>
      <c r="DV449" s="52"/>
      <c r="DW449" s="105"/>
      <c r="DX449" s="98"/>
      <c r="DY449" s="279"/>
      <c r="DZ449" s="52"/>
      <c r="EA449" s="105"/>
      <c r="EB449" s="98"/>
      <c r="EC449" s="279"/>
      <c r="ED449" s="52"/>
      <c r="EE449" s="105"/>
      <c r="EF449" s="98"/>
      <c r="EG449" s="159"/>
      <c r="EH449" s="277"/>
      <c r="EI449" s="50">
        <f t="shared" si="174"/>
        <v>0</v>
      </c>
      <c r="EJ449" s="103">
        <f t="shared" si="175"/>
        <v>0</v>
      </c>
      <c r="EK449" s="164">
        <f t="shared" si="176"/>
        <v>0</v>
      </c>
      <c r="EL449" s="280">
        <f t="shared" si="177"/>
        <v>0</v>
      </c>
      <c r="EM449" s="63">
        <f t="shared" si="178"/>
        <v>0</v>
      </c>
      <c r="EN449" s="359">
        <f t="shared" si="179"/>
        <v>0</v>
      </c>
      <c r="EO449" s="51">
        <f t="shared" si="180"/>
        <v>0</v>
      </c>
      <c r="EP449" s="361">
        <f t="shared" si="181"/>
        <v>0</v>
      </c>
      <c r="EQ449" s="281"/>
      <c r="ER449" s="277"/>
      <c r="ES449" s="281"/>
      <c r="ET449" s="277"/>
      <c r="EU449" s="281"/>
      <c r="EV449" s="277"/>
      <c r="EW449" s="281"/>
      <c r="EX449" s="277"/>
      <c r="EY449" s="281"/>
      <c r="EZ449" s="277"/>
      <c r="FA449" s="281"/>
      <c r="FB449" s="277"/>
      <c r="FC449" s="281"/>
      <c r="FD449" s="277"/>
      <c r="FE449" s="281"/>
      <c r="FF449" s="277"/>
      <c r="FG449" s="281"/>
      <c r="FH449" s="277"/>
      <c r="FI449" s="281"/>
      <c r="FJ449" s="277"/>
      <c r="FK449" s="50">
        <f t="shared" si="182"/>
        <v>0</v>
      </c>
      <c r="FL449" s="63">
        <f t="shared" si="183"/>
        <v>0</v>
      </c>
      <c r="FM449" s="50">
        <f t="shared" si="165"/>
        <v>114</v>
      </c>
      <c r="FN449" s="360">
        <f t="shared" si="166"/>
        <v>108</v>
      </c>
      <c r="FO449" s="3"/>
      <c r="FP449" s="279"/>
      <c r="FQ449" s="52"/>
      <c r="FR449" s="296"/>
      <c r="FS449" s="98"/>
      <c r="FT449" s="467"/>
      <c r="FU449" s="52"/>
      <c r="FV449" s="296"/>
      <c r="FW449" s="98"/>
      <c r="FX449" s="467"/>
      <c r="FY449" s="52"/>
      <c r="FZ449" s="296"/>
      <c r="GA449" s="98"/>
      <c r="GB449" s="467"/>
      <c r="GC449" s="52"/>
      <c r="GD449" s="296"/>
      <c r="GE449" s="98"/>
      <c r="GF449" s="467"/>
      <c r="GG449" s="52"/>
      <c r="GH449" s="296"/>
      <c r="GI449" s="98"/>
      <c r="GJ449" s="467"/>
      <c r="GK449" s="52"/>
      <c r="GL449" s="296"/>
      <c r="GM449" s="464"/>
      <c r="GN449" s="467"/>
      <c r="GO449" s="52"/>
      <c r="GP449" s="296"/>
      <c r="GQ449" s="464"/>
      <c r="GR449" s="467"/>
      <c r="GS449" s="52"/>
      <c r="GT449" s="296"/>
      <c r="GU449" s="464"/>
      <c r="GV449" s="467"/>
      <c r="GW449" s="52"/>
      <c r="GX449" s="296"/>
      <c r="GY449" s="464"/>
      <c r="GZ449" s="467"/>
      <c r="HA449" s="52"/>
      <c r="HB449" s="296"/>
      <c r="HC449" s="3"/>
    </row>
    <row r="450" spans="1:211" s="86" customFormat="1">
      <c r="A450" s="489" t="s">
        <v>31</v>
      </c>
      <c r="B450" s="308" t="s">
        <v>394</v>
      </c>
      <c r="C450" s="307">
        <v>421559</v>
      </c>
      <c r="D450" s="341">
        <v>13</v>
      </c>
      <c r="E450" s="460">
        <v>50</v>
      </c>
      <c r="F450" s="277">
        <v>93</v>
      </c>
      <c r="G450" s="158"/>
      <c r="H450" s="277">
        <v>1</v>
      </c>
      <c r="I450" s="158"/>
      <c r="J450" s="277"/>
      <c r="K450" s="160">
        <f t="shared" si="167"/>
        <v>0</v>
      </c>
      <c r="L450" s="161">
        <f t="shared" si="160"/>
        <v>0</v>
      </c>
      <c r="M450" s="54"/>
      <c r="N450" s="55"/>
      <c r="O450" s="55"/>
      <c r="P450" s="55"/>
      <c r="Q450" s="162">
        <f t="shared" si="168"/>
        <v>0</v>
      </c>
      <c r="R450" s="277"/>
      <c r="S450" s="277"/>
      <c r="T450" s="277"/>
      <c r="U450" s="277"/>
      <c r="V450" s="97">
        <f t="shared" si="169"/>
        <v>0</v>
      </c>
      <c r="W450" s="279"/>
      <c r="X450" s="52"/>
      <c r="Y450" s="99"/>
      <c r="Z450" s="53"/>
      <c r="AA450" s="228"/>
      <c r="AB450" s="52"/>
      <c r="AC450" s="99"/>
      <c r="AD450" s="53"/>
      <c r="AE450" s="228"/>
      <c r="AF450" s="52"/>
      <c r="AG450" s="99"/>
      <c r="AH450" s="53"/>
      <c r="AI450" s="228"/>
      <c r="AJ450" s="52"/>
      <c r="AK450" s="99"/>
      <c r="AL450" s="53"/>
      <c r="AM450" s="228"/>
      <c r="AN450" s="52"/>
      <c r="AO450" s="99"/>
      <c r="AP450" s="53"/>
      <c r="AQ450" s="50">
        <f t="shared" si="161"/>
        <v>0</v>
      </c>
      <c r="AR450" s="163">
        <f t="shared" si="162"/>
        <v>0</v>
      </c>
      <c r="AS450" s="97">
        <f t="shared" si="163"/>
        <v>0</v>
      </c>
      <c r="AT450" s="278">
        <f t="shared" si="164"/>
        <v>0</v>
      </c>
      <c r="AU450" s="55"/>
      <c r="AV450" s="277"/>
      <c r="AW450" s="279"/>
      <c r="AX450" s="52"/>
      <c r="AY450" s="531"/>
      <c r="AZ450" s="98"/>
      <c r="BA450" s="279"/>
      <c r="BB450" s="52"/>
      <c r="BC450" s="105"/>
      <c r="BD450" s="98"/>
      <c r="BE450" s="279"/>
      <c r="BF450" s="52"/>
      <c r="BG450" s="105"/>
      <c r="BH450" s="98"/>
      <c r="BI450" s="279"/>
      <c r="BJ450" s="52"/>
      <c r="BK450" s="105"/>
      <c r="BL450" s="98"/>
      <c r="BM450" s="279"/>
      <c r="BN450" s="52"/>
      <c r="BO450" s="105"/>
      <c r="BP450" s="98"/>
      <c r="BQ450" s="279"/>
      <c r="BR450" s="52"/>
      <c r="BS450" s="105"/>
      <c r="BT450" s="98"/>
      <c r="BU450" s="279"/>
      <c r="BV450" s="52"/>
      <c r="BW450" s="105"/>
      <c r="BX450" s="98"/>
      <c r="BY450" s="279"/>
      <c r="BZ450" s="52"/>
      <c r="CA450" s="105"/>
      <c r="CB450" s="98"/>
      <c r="CC450" s="279"/>
      <c r="CD450" s="52"/>
      <c r="CE450" s="105"/>
      <c r="CF450" s="98"/>
      <c r="CG450" s="279"/>
      <c r="CH450" s="52"/>
      <c r="CI450" s="105"/>
      <c r="CJ450" s="98"/>
      <c r="CK450" s="281"/>
      <c r="CL450" s="277"/>
      <c r="CM450" s="159"/>
      <c r="CN450" s="277"/>
      <c r="CO450" s="50">
        <f t="shared" si="170"/>
        <v>0</v>
      </c>
      <c r="CP450" s="103">
        <f t="shared" si="171"/>
        <v>0</v>
      </c>
      <c r="CQ450" s="280">
        <f t="shared" si="172"/>
        <v>0</v>
      </c>
      <c r="CR450" s="63">
        <f t="shared" si="173"/>
        <v>0</v>
      </c>
      <c r="CS450" s="279"/>
      <c r="CT450" s="52"/>
      <c r="CU450" s="105"/>
      <c r="CV450" s="98"/>
      <c r="CW450" s="279"/>
      <c r="CX450" s="52"/>
      <c r="CY450" s="105"/>
      <c r="CZ450" s="98"/>
      <c r="DA450" s="279"/>
      <c r="DB450" s="52"/>
      <c r="DC450" s="105"/>
      <c r="DD450" s="98"/>
      <c r="DE450" s="279"/>
      <c r="DF450" s="52"/>
      <c r="DG450" s="105"/>
      <c r="DH450" s="98"/>
      <c r="DI450" s="279"/>
      <c r="DJ450" s="52"/>
      <c r="DK450" s="105"/>
      <c r="DL450" s="98"/>
      <c r="DM450" s="279"/>
      <c r="DN450" s="52"/>
      <c r="DO450" s="105"/>
      <c r="DP450" s="98"/>
      <c r="DQ450" s="279"/>
      <c r="DR450" s="52"/>
      <c r="DS450" s="105"/>
      <c r="DT450" s="98"/>
      <c r="DU450" s="279"/>
      <c r="DV450" s="52"/>
      <c r="DW450" s="105"/>
      <c r="DX450" s="98"/>
      <c r="DY450" s="279"/>
      <c r="DZ450" s="52"/>
      <c r="EA450" s="105"/>
      <c r="EB450" s="98"/>
      <c r="EC450" s="279"/>
      <c r="ED450" s="52"/>
      <c r="EE450" s="105"/>
      <c r="EF450" s="98"/>
      <c r="EG450" s="159"/>
      <c r="EH450" s="277"/>
      <c r="EI450" s="50">
        <f t="shared" si="174"/>
        <v>0</v>
      </c>
      <c r="EJ450" s="103">
        <f t="shared" si="175"/>
        <v>0</v>
      </c>
      <c r="EK450" s="164">
        <f t="shared" si="176"/>
        <v>0</v>
      </c>
      <c r="EL450" s="280">
        <f t="shared" si="177"/>
        <v>0</v>
      </c>
      <c r="EM450" s="63">
        <f t="shared" si="178"/>
        <v>0</v>
      </c>
      <c r="EN450" s="359">
        <f t="shared" si="179"/>
        <v>0</v>
      </c>
      <c r="EO450" s="51">
        <f t="shared" si="180"/>
        <v>0</v>
      </c>
      <c r="EP450" s="361">
        <f t="shared" si="181"/>
        <v>0</v>
      </c>
      <c r="EQ450" s="281"/>
      <c r="ER450" s="277"/>
      <c r="ES450" s="281"/>
      <c r="ET450" s="277"/>
      <c r="EU450" s="281"/>
      <c r="EV450" s="277"/>
      <c r="EW450" s="281"/>
      <c r="EX450" s="277"/>
      <c r="EY450" s="281"/>
      <c r="EZ450" s="277"/>
      <c r="FA450" s="281"/>
      <c r="FB450" s="277"/>
      <c r="FC450" s="281"/>
      <c r="FD450" s="277"/>
      <c r="FE450" s="281"/>
      <c r="FF450" s="277"/>
      <c r="FG450" s="281"/>
      <c r="FH450" s="277"/>
      <c r="FI450" s="281"/>
      <c r="FJ450" s="277"/>
      <c r="FK450" s="50">
        <f t="shared" si="182"/>
        <v>0</v>
      </c>
      <c r="FL450" s="63">
        <f t="shared" si="183"/>
        <v>0</v>
      </c>
      <c r="FM450" s="50">
        <f t="shared" si="165"/>
        <v>50</v>
      </c>
      <c r="FN450" s="360">
        <f t="shared" si="166"/>
        <v>94</v>
      </c>
      <c r="FO450" s="3"/>
      <c r="FP450" s="279"/>
      <c r="FQ450" s="52"/>
      <c r="FR450" s="296"/>
      <c r="FS450" s="98"/>
      <c r="FT450" s="467"/>
      <c r="FU450" s="52"/>
      <c r="FV450" s="296"/>
      <c r="FW450" s="98"/>
      <c r="FX450" s="467"/>
      <c r="FY450" s="52"/>
      <c r="FZ450" s="296"/>
      <c r="GA450" s="98"/>
      <c r="GB450" s="467"/>
      <c r="GC450" s="52"/>
      <c r="GD450" s="296"/>
      <c r="GE450" s="98"/>
      <c r="GF450" s="467"/>
      <c r="GG450" s="52"/>
      <c r="GH450" s="296"/>
      <c r="GI450" s="98"/>
      <c r="GJ450" s="467"/>
      <c r="GK450" s="52"/>
      <c r="GL450" s="296"/>
      <c r="GM450" s="464"/>
      <c r="GN450" s="467"/>
      <c r="GO450" s="52"/>
      <c r="GP450" s="296"/>
      <c r="GQ450" s="464"/>
      <c r="GR450" s="467"/>
      <c r="GS450" s="52"/>
      <c r="GT450" s="296"/>
      <c r="GU450" s="464"/>
      <c r="GV450" s="467"/>
      <c r="GW450" s="52"/>
      <c r="GX450" s="296"/>
      <c r="GY450" s="464"/>
      <c r="GZ450" s="467"/>
      <c r="HA450" s="52"/>
      <c r="HB450" s="296"/>
      <c r="HC450" s="3"/>
    </row>
    <row r="451" spans="1:211" s="86" customFormat="1">
      <c r="A451" s="489" t="s">
        <v>31</v>
      </c>
      <c r="B451" s="308" t="s">
        <v>395</v>
      </c>
      <c r="C451" s="307">
        <v>208026</v>
      </c>
      <c r="D451" s="341">
        <v>13</v>
      </c>
      <c r="E451" s="460">
        <v>120</v>
      </c>
      <c r="F451" s="277">
        <v>159</v>
      </c>
      <c r="G451" s="158"/>
      <c r="H451" s="277">
        <v>15</v>
      </c>
      <c r="I451" s="158"/>
      <c r="J451" s="277"/>
      <c r="K451" s="160">
        <f t="shared" si="167"/>
        <v>0</v>
      </c>
      <c r="L451" s="161">
        <f t="shared" si="160"/>
        <v>0</v>
      </c>
      <c r="M451" s="54"/>
      <c r="N451" s="55"/>
      <c r="O451" s="55"/>
      <c r="P451" s="55"/>
      <c r="Q451" s="162">
        <f t="shared" si="168"/>
        <v>0</v>
      </c>
      <c r="R451" s="277"/>
      <c r="S451" s="277"/>
      <c r="T451" s="277"/>
      <c r="U451" s="277"/>
      <c r="V451" s="97">
        <f t="shared" si="169"/>
        <v>0</v>
      </c>
      <c r="W451" s="279"/>
      <c r="X451" s="52"/>
      <c r="Y451" s="99"/>
      <c r="Z451" s="53"/>
      <c r="AA451" s="228"/>
      <c r="AB451" s="52"/>
      <c r="AC451" s="99"/>
      <c r="AD451" s="53"/>
      <c r="AE451" s="228"/>
      <c r="AF451" s="52"/>
      <c r="AG451" s="99"/>
      <c r="AH451" s="53"/>
      <c r="AI451" s="228"/>
      <c r="AJ451" s="52"/>
      <c r="AK451" s="99"/>
      <c r="AL451" s="53"/>
      <c r="AM451" s="228"/>
      <c r="AN451" s="52"/>
      <c r="AO451" s="99"/>
      <c r="AP451" s="53"/>
      <c r="AQ451" s="50">
        <f t="shared" si="161"/>
        <v>0</v>
      </c>
      <c r="AR451" s="163">
        <f t="shared" si="162"/>
        <v>0</v>
      </c>
      <c r="AS451" s="97">
        <f t="shared" si="163"/>
        <v>0</v>
      </c>
      <c r="AT451" s="278">
        <f t="shared" si="164"/>
        <v>0</v>
      </c>
      <c r="AU451" s="55"/>
      <c r="AV451" s="277"/>
      <c r="AW451" s="279"/>
      <c r="AX451" s="52"/>
      <c r="AY451" s="531"/>
      <c r="AZ451" s="98"/>
      <c r="BA451" s="279"/>
      <c r="BB451" s="52"/>
      <c r="BC451" s="105"/>
      <c r="BD451" s="98"/>
      <c r="BE451" s="279"/>
      <c r="BF451" s="52"/>
      <c r="BG451" s="105"/>
      <c r="BH451" s="98"/>
      <c r="BI451" s="279"/>
      <c r="BJ451" s="52"/>
      <c r="BK451" s="105"/>
      <c r="BL451" s="98"/>
      <c r="BM451" s="279"/>
      <c r="BN451" s="52"/>
      <c r="BO451" s="105"/>
      <c r="BP451" s="98"/>
      <c r="BQ451" s="279"/>
      <c r="BR451" s="52"/>
      <c r="BS451" s="105"/>
      <c r="BT451" s="98"/>
      <c r="BU451" s="279"/>
      <c r="BV451" s="52"/>
      <c r="BW451" s="105"/>
      <c r="BX451" s="98"/>
      <c r="BY451" s="279"/>
      <c r="BZ451" s="52"/>
      <c r="CA451" s="105"/>
      <c r="CB451" s="98"/>
      <c r="CC451" s="279"/>
      <c r="CD451" s="52"/>
      <c r="CE451" s="105"/>
      <c r="CF451" s="98"/>
      <c r="CG451" s="279"/>
      <c r="CH451" s="52"/>
      <c r="CI451" s="105"/>
      <c r="CJ451" s="98"/>
      <c r="CK451" s="281"/>
      <c r="CL451" s="277"/>
      <c r="CM451" s="159"/>
      <c r="CN451" s="277"/>
      <c r="CO451" s="50">
        <f t="shared" si="170"/>
        <v>0</v>
      </c>
      <c r="CP451" s="103">
        <f t="shared" si="171"/>
        <v>0</v>
      </c>
      <c r="CQ451" s="280">
        <f t="shared" si="172"/>
        <v>0</v>
      </c>
      <c r="CR451" s="63">
        <f t="shared" si="173"/>
        <v>0</v>
      </c>
      <c r="CS451" s="279"/>
      <c r="CT451" s="52"/>
      <c r="CU451" s="105"/>
      <c r="CV451" s="98"/>
      <c r="CW451" s="279"/>
      <c r="CX451" s="52"/>
      <c r="CY451" s="105"/>
      <c r="CZ451" s="98"/>
      <c r="DA451" s="279"/>
      <c r="DB451" s="52"/>
      <c r="DC451" s="105"/>
      <c r="DD451" s="98"/>
      <c r="DE451" s="279"/>
      <c r="DF451" s="52"/>
      <c r="DG451" s="105"/>
      <c r="DH451" s="98"/>
      <c r="DI451" s="279"/>
      <c r="DJ451" s="52"/>
      <c r="DK451" s="105"/>
      <c r="DL451" s="98"/>
      <c r="DM451" s="279"/>
      <c r="DN451" s="52"/>
      <c r="DO451" s="105"/>
      <c r="DP451" s="98"/>
      <c r="DQ451" s="279"/>
      <c r="DR451" s="52"/>
      <c r="DS451" s="105"/>
      <c r="DT451" s="98"/>
      <c r="DU451" s="279"/>
      <c r="DV451" s="52"/>
      <c r="DW451" s="105"/>
      <c r="DX451" s="98"/>
      <c r="DY451" s="279"/>
      <c r="DZ451" s="52"/>
      <c r="EA451" s="105"/>
      <c r="EB451" s="98"/>
      <c r="EC451" s="279"/>
      <c r="ED451" s="52"/>
      <c r="EE451" s="105"/>
      <c r="EF451" s="98"/>
      <c r="EG451" s="159"/>
      <c r="EH451" s="277"/>
      <c r="EI451" s="50">
        <f t="shared" si="174"/>
        <v>0</v>
      </c>
      <c r="EJ451" s="103">
        <f t="shared" si="175"/>
        <v>0</v>
      </c>
      <c r="EK451" s="164">
        <f t="shared" si="176"/>
        <v>0</v>
      </c>
      <c r="EL451" s="280">
        <f t="shared" si="177"/>
        <v>0</v>
      </c>
      <c r="EM451" s="63">
        <f t="shared" si="178"/>
        <v>0</v>
      </c>
      <c r="EN451" s="359">
        <f t="shared" si="179"/>
        <v>0</v>
      </c>
      <c r="EO451" s="51">
        <f t="shared" si="180"/>
        <v>0</v>
      </c>
      <c r="EP451" s="361">
        <f t="shared" si="181"/>
        <v>0</v>
      </c>
      <c r="EQ451" s="281"/>
      <c r="ER451" s="277"/>
      <c r="ES451" s="281"/>
      <c r="ET451" s="277"/>
      <c r="EU451" s="281"/>
      <c r="EV451" s="277"/>
      <c r="EW451" s="281"/>
      <c r="EX451" s="277"/>
      <c r="EY451" s="281"/>
      <c r="EZ451" s="277"/>
      <c r="FA451" s="281"/>
      <c r="FB451" s="277"/>
      <c r="FC451" s="281"/>
      <c r="FD451" s="277"/>
      <c r="FE451" s="281"/>
      <c r="FF451" s="277"/>
      <c r="FG451" s="281"/>
      <c r="FH451" s="277"/>
      <c r="FI451" s="281"/>
      <c r="FJ451" s="277"/>
      <c r="FK451" s="50">
        <f t="shared" si="182"/>
        <v>0</v>
      </c>
      <c r="FL451" s="63">
        <f t="shared" si="183"/>
        <v>0</v>
      </c>
      <c r="FM451" s="50">
        <f t="shared" si="165"/>
        <v>120</v>
      </c>
      <c r="FN451" s="360">
        <f t="shared" si="166"/>
        <v>174</v>
      </c>
      <c r="FO451" s="3"/>
      <c r="FP451" s="279"/>
      <c r="FQ451" s="52"/>
      <c r="FR451" s="296"/>
      <c r="FS451" s="98"/>
      <c r="FT451" s="467"/>
      <c r="FU451" s="52"/>
      <c r="FV451" s="296"/>
      <c r="FW451" s="98"/>
      <c r="FX451" s="467"/>
      <c r="FY451" s="52"/>
      <c r="FZ451" s="296"/>
      <c r="GA451" s="98"/>
      <c r="GB451" s="467"/>
      <c r="GC451" s="52"/>
      <c r="GD451" s="296"/>
      <c r="GE451" s="98"/>
      <c r="GF451" s="467"/>
      <c r="GG451" s="52"/>
      <c r="GH451" s="296"/>
      <c r="GI451" s="98"/>
      <c r="GJ451" s="467"/>
      <c r="GK451" s="52"/>
      <c r="GL451" s="296"/>
      <c r="GM451" s="464"/>
      <c r="GN451" s="467"/>
      <c r="GO451" s="52"/>
      <c r="GP451" s="296"/>
      <c r="GQ451" s="464"/>
      <c r="GR451" s="467"/>
      <c r="GS451" s="52"/>
      <c r="GT451" s="296"/>
      <c r="GU451" s="464"/>
      <c r="GV451" s="467"/>
      <c r="GW451" s="52"/>
      <c r="GX451" s="296"/>
      <c r="GY451" s="464"/>
      <c r="GZ451" s="467"/>
      <c r="HA451" s="52"/>
      <c r="HB451" s="296"/>
      <c r="HC451" s="3"/>
    </row>
    <row r="452" spans="1:211" s="86" customFormat="1">
      <c r="A452" s="489" t="s">
        <v>31</v>
      </c>
      <c r="B452" s="308" t="s">
        <v>396</v>
      </c>
      <c r="C452" s="307">
        <v>375692</v>
      </c>
      <c r="D452" s="341">
        <v>13</v>
      </c>
      <c r="E452" s="460">
        <v>32</v>
      </c>
      <c r="F452" s="277">
        <v>65</v>
      </c>
      <c r="G452" s="158"/>
      <c r="H452" s="277"/>
      <c r="I452" s="158"/>
      <c r="J452" s="277"/>
      <c r="K452" s="160">
        <f t="shared" si="167"/>
        <v>0</v>
      </c>
      <c r="L452" s="161">
        <f t="shared" si="160"/>
        <v>0</v>
      </c>
      <c r="M452" s="54"/>
      <c r="N452" s="55"/>
      <c r="O452" s="55"/>
      <c r="P452" s="55"/>
      <c r="Q452" s="162">
        <f t="shared" si="168"/>
        <v>0</v>
      </c>
      <c r="R452" s="277"/>
      <c r="S452" s="277"/>
      <c r="T452" s="277"/>
      <c r="U452" s="277"/>
      <c r="V452" s="97">
        <f t="shared" si="169"/>
        <v>0</v>
      </c>
      <c r="W452" s="279"/>
      <c r="X452" s="52"/>
      <c r="Y452" s="99"/>
      <c r="Z452" s="53"/>
      <c r="AA452" s="228"/>
      <c r="AB452" s="52"/>
      <c r="AC452" s="99"/>
      <c r="AD452" s="53"/>
      <c r="AE452" s="228"/>
      <c r="AF452" s="52"/>
      <c r="AG452" s="99"/>
      <c r="AH452" s="53"/>
      <c r="AI452" s="228"/>
      <c r="AJ452" s="52"/>
      <c r="AK452" s="99"/>
      <c r="AL452" s="53"/>
      <c r="AM452" s="228"/>
      <c r="AN452" s="52"/>
      <c r="AO452" s="99"/>
      <c r="AP452" s="53"/>
      <c r="AQ452" s="50">
        <f t="shared" si="161"/>
        <v>0</v>
      </c>
      <c r="AR452" s="163">
        <f t="shared" si="162"/>
        <v>0</v>
      </c>
      <c r="AS452" s="97">
        <f t="shared" si="163"/>
        <v>0</v>
      </c>
      <c r="AT452" s="278">
        <f t="shared" si="164"/>
        <v>0</v>
      </c>
      <c r="AU452" s="55"/>
      <c r="AV452" s="277"/>
      <c r="AW452" s="279"/>
      <c r="AX452" s="52"/>
      <c r="AY452" s="531"/>
      <c r="AZ452" s="98"/>
      <c r="BA452" s="279"/>
      <c r="BB452" s="52"/>
      <c r="BC452" s="105"/>
      <c r="BD452" s="98"/>
      <c r="BE452" s="279"/>
      <c r="BF452" s="52"/>
      <c r="BG452" s="105"/>
      <c r="BH452" s="98"/>
      <c r="BI452" s="279"/>
      <c r="BJ452" s="52"/>
      <c r="BK452" s="105"/>
      <c r="BL452" s="98"/>
      <c r="BM452" s="279"/>
      <c r="BN452" s="52"/>
      <c r="BO452" s="105"/>
      <c r="BP452" s="98"/>
      <c r="BQ452" s="279"/>
      <c r="BR452" s="52"/>
      <c r="BS452" s="105"/>
      <c r="BT452" s="98"/>
      <c r="BU452" s="279"/>
      <c r="BV452" s="52"/>
      <c r="BW452" s="105"/>
      <c r="BX452" s="98"/>
      <c r="BY452" s="279"/>
      <c r="BZ452" s="52"/>
      <c r="CA452" s="105"/>
      <c r="CB452" s="98"/>
      <c r="CC452" s="279"/>
      <c r="CD452" s="52"/>
      <c r="CE452" s="105"/>
      <c r="CF452" s="98"/>
      <c r="CG452" s="279"/>
      <c r="CH452" s="52"/>
      <c r="CI452" s="105"/>
      <c r="CJ452" s="98"/>
      <c r="CK452" s="281"/>
      <c r="CL452" s="277"/>
      <c r="CM452" s="159"/>
      <c r="CN452" s="277"/>
      <c r="CO452" s="50">
        <f t="shared" si="170"/>
        <v>0</v>
      </c>
      <c r="CP452" s="103">
        <f t="shared" si="171"/>
        <v>0</v>
      </c>
      <c r="CQ452" s="280">
        <f t="shared" si="172"/>
        <v>0</v>
      </c>
      <c r="CR452" s="63">
        <f t="shared" si="173"/>
        <v>0</v>
      </c>
      <c r="CS452" s="279"/>
      <c r="CT452" s="52"/>
      <c r="CU452" s="105"/>
      <c r="CV452" s="98"/>
      <c r="CW452" s="279"/>
      <c r="CX452" s="52"/>
      <c r="CY452" s="105"/>
      <c r="CZ452" s="98"/>
      <c r="DA452" s="279"/>
      <c r="DB452" s="52"/>
      <c r="DC452" s="105"/>
      <c r="DD452" s="98"/>
      <c r="DE452" s="279"/>
      <c r="DF452" s="52"/>
      <c r="DG452" s="105"/>
      <c r="DH452" s="98"/>
      <c r="DI452" s="279"/>
      <c r="DJ452" s="52"/>
      <c r="DK452" s="105"/>
      <c r="DL452" s="98"/>
      <c r="DM452" s="279"/>
      <c r="DN452" s="52"/>
      <c r="DO452" s="105"/>
      <c r="DP452" s="98"/>
      <c r="DQ452" s="279"/>
      <c r="DR452" s="52"/>
      <c r="DS452" s="105"/>
      <c r="DT452" s="98"/>
      <c r="DU452" s="279"/>
      <c r="DV452" s="52"/>
      <c r="DW452" s="105"/>
      <c r="DX452" s="98"/>
      <c r="DY452" s="279"/>
      <c r="DZ452" s="52"/>
      <c r="EA452" s="105"/>
      <c r="EB452" s="98"/>
      <c r="EC452" s="279"/>
      <c r="ED452" s="52"/>
      <c r="EE452" s="105"/>
      <c r="EF452" s="98"/>
      <c r="EG452" s="159"/>
      <c r="EH452" s="277"/>
      <c r="EI452" s="50">
        <f t="shared" si="174"/>
        <v>0</v>
      </c>
      <c r="EJ452" s="103">
        <f t="shared" si="175"/>
        <v>0</v>
      </c>
      <c r="EK452" s="164">
        <f t="shared" si="176"/>
        <v>0</v>
      </c>
      <c r="EL452" s="280">
        <f t="shared" si="177"/>
        <v>0</v>
      </c>
      <c r="EM452" s="63">
        <f t="shared" si="178"/>
        <v>0</v>
      </c>
      <c r="EN452" s="359">
        <f t="shared" si="179"/>
        <v>0</v>
      </c>
      <c r="EO452" s="51">
        <f t="shared" si="180"/>
        <v>0</v>
      </c>
      <c r="EP452" s="361">
        <f t="shared" si="181"/>
        <v>0</v>
      </c>
      <c r="EQ452" s="281"/>
      <c r="ER452" s="277"/>
      <c r="ES452" s="281"/>
      <c r="ET452" s="277"/>
      <c r="EU452" s="281"/>
      <c r="EV452" s="277"/>
      <c r="EW452" s="281"/>
      <c r="EX452" s="277"/>
      <c r="EY452" s="281"/>
      <c r="EZ452" s="277"/>
      <c r="FA452" s="281"/>
      <c r="FB452" s="277"/>
      <c r="FC452" s="281"/>
      <c r="FD452" s="277"/>
      <c r="FE452" s="281"/>
      <c r="FF452" s="277"/>
      <c r="FG452" s="281"/>
      <c r="FH452" s="277"/>
      <c r="FI452" s="281"/>
      <c r="FJ452" s="277"/>
      <c r="FK452" s="50">
        <f t="shared" si="182"/>
        <v>0</v>
      </c>
      <c r="FL452" s="63">
        <f t="shared" si="183"/>
        <v>0</v>
      </c>
      <c r="FM452" s="50">
        <f t="shared" si="165"/>
        <v>32</v>
      </c>
      <c r="FN452" s="360">
        <f t="shared" si="166"/>
        <v>65</v>
      </c>
      <c r="FO452" s="3"/>
      <c r="FP452" s="279"/>
      <c r="FQ452" s="52"/>
      <c r="FR452" s="296"/>
      <c r="FS452" s="98"/>
      <c r="FT452" s="467"/>
      <c r="FU452" s="52"/>
      <c r="FV452" s="296"/>
      <c r="FW452" s="98"/>
      <c r="FX452" s="467"/>
      <c r="FY452" s="52"/>
      <c r="FZ452" s="296"/>
      <c r="GA452" s="98"/>
      <c r="GB452" s="467"/>
      <c r="GC452" s="52"/>
      <c r="GD452" s="296"/>
      <c r="GE452" s="98"/>
      <c r="GF452" s="467"/>
      <c r="GG452" s="52"/>
      <c r="GH452" s="296"/>
      <c r="GI452" s="98"/>
      <c r="GJ452" s="467"/>
      <c r="GK452" s="52"/>
      <c r="GL452" s="296"/>
      <c r="GM452" s="464"/>
      <c r="GN452" s="467"/>
      <c r="GO452" s="52"/>
      <c r="GP452" s="296"/>
      <c r="GQ452" s="464"/>
      <c r="GR452" s="467"/>
      <c r="GS452" s="52"/>
      <c r="GT452" s="296"/>
      <c r="GU452" s="464"/>
      <c r="GV452" s="467"/>
      <c r="GW452" s="52"/>
      <c r="GX452" s="296"/>
      <c r="GY452" s="464"/>
      <c r="GZ452" s="467"/>
      <c r="HA452" s="52"/>
      <c r="HB452" s="296"/>
      <c r="HC452" s="3"/>
    </row>
    <row r="453" spans="1:211" s="86" customFormat="1">
      <c r="A453" s="489" t="s">
        <v>31</v>
      </c>
      <c r="B453" s="308" t="s">
        <v>397</v>
      </c>
      <c r="C453" s="307">
        <v>375708</v>
      </c>
      <c r="D453" s="341">
        <v>13</v>
      </c>
      <c r="E453" s="460">
        <v>40</v>
      </c>
      <c r="F453" s="277">
        <v>84</v>
      </c>
      <c r="G453" s="158">
        <v>14</v>
      </c>
      <c r="H453" s="277"/>
      <c r="I453" s="158"/>
      <c r="J453" s="277"/>
      <c r="K453" s="160">
        <f t="shared" si="167"/>
        <v>0</v>
      </c>
      <c r="L453" s="161">
        <f t="shared" si="160"/>
        <v>0</v>
      </c>
      <c r="M453" s="54"/>
      <c r="N453" s="55"/>
      <c r="O453" s="55"/>
      <c r="P453" s="55"/>
      <c r="Q453" s="162">
        <f t="shared" si="168"/>
        <v>0</v>
      </c>
      <c r="R453" s="277"/>
      <c r="S453" s="277"/>
      <c r="T453" s="277"/>
      <c r="U453" s="277"/>
      <c r="V453" s="97">
        <f t="shared" si="169"/>
        <v>0</v>
      </c>
      <c r="W453" s="279"/>
      <c r="X453" s="52"/>
      <c r="Y453" s="99"/>
      <c r="Z453" s="53"/>
      <c r="AA453" s="228"/>
      <c r="AB453" s="52"/>
      <c r="AC453" s="99"/>
      <c r="AD453" s="53"/>
      <c r="AE453" s="228"/>
      <c r="AF453" s="52"/>
      <c r="AG453" s="99"/>
      <c r="AH453" s="53"/>
      <c r="AI453" s="228"/>
      <c r="AJ453" s="52"/>
      <c r="AK453" s="99"/>
      <c r="AL453" s="53"/>
      <c r="AM453" s="228"/>
      <c r="AN453" s="52"/>
      <c r="AO453" s="99"/>
      <c r="AP453" s="53"/>
      <c r="AQ453" s="50">
        <f t="shared" si="161"/>
        <v>0</v>
      </c>
      <c r="AR453" s="163">
        <f t="shared" si="162"/>
        <v>0</v>
      </c>
      <c r="AS453" s="97">
        <f t="shared" si="163"/>
        <v>0</v>
      </c>
      <c r="AT453" s="278">
        <f t="shared" si="164"/>
        <v>0</v>
      </c>
      <c r="AU453" s="55"/>
      <c r="AV453" s="277"/>
      <c r="AW453" s="279"/>
      <c r="AX453" s="52"/>
      <c r="AY453" s="531"/>
      <c r="AZ453" s="98"/>
      <c r="BA453" s="279"/>
      <c r="BB453" s="52"/>
      <c r="BC453" s="105"/>
      <c r="BD453" s="98"/>
      <c r="BE453" s="279"/>
      <c r="BF453" s="52"/>
      <c r="BG453" s="105"/>
      <c r="BH453" s="98"/>
      <c r="BI453" s="279"/>
      <c r="BJ453" s="52"/>
      <c r="BK453" s="105"/>
      <c r="BL453" s="98"/>
      <c r="BM453" s="279"/>
      <c r="BN453" s="52"/>
      <c r="BO453" s="105"/>
      <c r="BP453" s="98"/>
      <c r="BQ453" s="279"/>
      <c r="BR453" s="52"/>
      <c r="BS453" s="105"/>
      <c r="BT453" s="98"/>
      <c r="BU453" s="279"/>
      <c r="BV453" s="52"/>
      <c r="BW453" s="105"/>
      <c r="BX453" s="98"/>
      <c r="BY453" s="279"/>
      <c r="BZ453" s="52"/>
      <c r="CA453" s="105"/>
      <c r="CB453" s="98"/>
      <c r="CC453" s="279"/>
      <c r="CD453" s="52"/>
      <c r="CE453" s="105"/>
      <c r="CF453" s="98"/>
      <c r="CG453" s="279"/>
      <c r="CH453" s="52"/>
      <c r="CI453" s="105"/>
      <c r="CJ453" s="98"/>
      <c r="CK453" s="281"/>
      <c r="CL453" s="277"/>
      <c r="CM453" s="159"/>
      <c r="CN453" s="277"/>
      <c r="CO453" s="50">
        <f t="shared" si="170"/>
        <v>0</v>
      </c>
      <c r="CP453" s="103">
        <f t="shared" si="171"/>
        <v>0</v>
      </c>
      <c r="CQ453" s="280">
        <f t="shared" si="172"/>
        <v>0</v>
      </c>
      <c r="CR453" s="63">
        <f t="shared" si="173"/>
        <v>0</v>
      </c>
      <c r="CS453" s="279"/>
      <c r="CT453" s="52"/>
      <c r="CU453" s="105"/>
      <c r="CV453" s="98"/>
      <c r="CW453" s="279"/>
      <c r="CX453" s="52"/>
      <c r="CY453" s="105"/>
      <c r="CZ453" s="98"/>
      <c r="DA453" s="279"/>
      <c r="DB453" s="52"/>
      <c r="DC453" s="105"/>
      <c r="DD453" s="98"/>
      <c r="DE453" s="279"/>
      <c r="DF453" s="52"/>
      <c r="DG453" s="105"/>
      <c r="DH453" s="98"/>
      <c r="DI453" s="279"/>
      <c r="DJ453" s="52"/>
      <c r="DK453" s="105"/>
      <c r="DL453" s="98"/>
      <c r="DM453" s="279"/>
      <c r="DN453" s="52"/>
      <c r="DO453" s="105"/>
      <c r="DP453" s="98"/>
      <c r="DQ453" s="279"/>
      <c r="DR453" s="52"/>
      <c r="DS453" s="105"/>
      <c r="DT453" s="98"/>
      <c r="DU453" s="279"/>
      <c r="DV453" s="52"/>
      <c r="DW453" s="105"/>
      <c r="DX453" s="98"/>
      <c r="DY453" s="279"/>
      <c r="DZ453" s="52"/>
      <c r="EA453" s="105"/>
      <c r="EB453" s="98"/>
      <c r="EC453" s="279"/>
      <c r="ED453" s="52"/>
      <c r="EE453" s="105"/>
      <c r="EF453" s="98"/>
      <c r="EG453" s="159"/>
      <c r="EH453" s="277"/>
      <c r="EI453" s="50">
        <f t="shared" si="174"/>
        <v>0</v>
      </c>
      <c r="EJ453" s="103">
        <f t="shared" si="175"/>
        <v>0</v>
      </c>
      <c r="EK453" s="164">
        <f t="shared" si="176"/>
        <v>0</v>
      </c>
      <c r="EL453" s="280">
        <f t="shared" si="177"/>
        <v>0</v>
      </c>
      <c r="EM453" s="63">
        <f t="shared" si="178"/>
        <v>0</v>
      </c>
      <c r="EN453" s="359">
        <f t="shared" si="179"/>
        <v>0</v>
      </c>
      <c r="EO453" s="51">
        <f t="shared" si="180"/>
        <v>0</v>
      </c>
      <c r="EP453" s="361">
        <f t="shared" si="181"/>
        <v>0</v>
      </c>
      <c r="EQ453" s="281"/>
      <c r="ER453" s="277"/>
      <c r="ES453" s="281"/>
      <c r="ET453" s="277"/>
      <c r="EU453" s="281"/>
      <c r="EV453" s="277"/>
      <c r="EW453" s="281"/>
      <c r="EX453" s="277"/>
      <c r="EY453" s="281"/>
      <c r="EZ453" s="277"/>
      <c r="FA453" s="281"/>
      <c r="FB453" s="277"/>
      <c r="FC453" s="281"/>
      <c r="FD453" s="277"/>
      <c r="FE453" s="281"/>
      <c r="FF453" s="277"/>
      <c r="FG453" s="281"/>
      <c r="FH453" s="277"/>
      <c r="FI453" s="281"/>
      <c r="FJ453" s="277"/>
      <c r="FK453" s="50">
        <f t="shared" si="182"/>
        <v>0</v>
      </c>
      <c r="FL453" s="63">
        <f t="shared" si="183"/>
        <v>0</v>
      </c>
      <c r="FM453" s="50">
        <f t="shared" si="165"/>
        <v>54</v>
      </c>
      <c r="FN453" s="360">
        <f t="shared" si="166"/>
        <v>84</v>
      </c>
      <c r="FO453" s="3"/>
      <c r="FP453" s="279"/>
      <c r="FQ453" s="52"/>
      <c r="FR453" s="296"/>
      <c r="FS453" s="98"/>
      <c r="FT453" s="467"/>
      <c r="FU453" s="52"/>
      <c r="FV453" s="296"/>
      <c r="FW453" s="98"/>
      <c r="FX453" s="467"/>
      <c r="FY453" s="52"/>
      <c r="FZ453" s="296"/>
      <c r="GA453" s="98"/>
      <c r="GB453" s="467"/>
      <c r="GC453" s="52"/>
      <c r="GD453" s="296"/>
      <c r="GE453" s="98"/>
      <c r="GF453" s="467"/>
      <c r="GG453" s="52"/>
      <c r="GH453" s="296"/>
      <c r="GI453" s="98"/>
      <c r="GJ453" s="467"/>
      <c r="GK453" s="52"/>
      <c r="GL453" s="296"/>
      <c r="GM453" s="464"/>
      <c r="GN453" s="467"/>
      <c r="GO453" s="52"/>
      <c r="GP453" s="296"/>
      <c r="GQ453" s="464"/>
      <c r="GR453" s="467"/>
      <c r="GS453" s="52"/>
      <c r="GT453" s="296"/>
      <c r="GU453" s="464"/>
      <c r="GV453" s="467"/>
      <c r="GW453" s="52"/>
      <c r="GX453" s="296"/>
      <c r="GY453" s="464"/>
      <c r="GZ453" s="467"/>
      <c r="HA453" s="52"/>
      <c r="HB453" s="296"/>
      <c r="HC453" s="3"/>
    </row>
    <row r="454" spans="1:211" s="86" customFormat="1">
      <c r="A454" s="489" t="s">
        <v>31</v>
      </c>
      <c r="B454" s="308" t="s">
        <v>398</v>
      </c>
      <c r="C454" s="307">
        <v>375717</v>
      </c>
      <c r="D454" s="341">
        <v>13</v>
      </c>
      <c r="E454" s="460">
        <v>91</v>
      </c>
      <c r="F454" s="277">
        <v>168</v>
      </c>
      <c r="G454" s="158"/>
      <c r="H454" s="277"/>
      <c r="I454" s="158"/>
      <c r="J454" s="277"/>
      <c r="K454" s="160">
        <f t="shared" si="167"/>
        <v>0</v>
      </c>
      <c r="L454" s="161">
        <f t="shared" si="160"/>
        <v>0</v>
      </c>
      <c r="M454" s="54"/>
      <c r="N454" s="55"/>
      <c r="O454" s="55"/>
      <c r="P454" s="55"/>
      <c r="Q454" s="162">
        <f t="shared" si="168"/>
        <v>0</v>
      </c>
      <c r="R454" s="277"/>
      <c r="S454" s="277"/>
      <c r="T454" s="277"/>
      <c r="U454" s="277"/>
      <c r="V454" s="97">
        <f t="shared" si="169"/>
        <v>0</v>
      </c>
      <c r="W454" s="279"/>
      <c r="X454" s="52"/>
      <c r="Y454" s="99"/>
      <c r="Z454" s="53"/>
      <c r="AA454" s="228"/>
      <c r="AB454" s="52"/>
      <c r="AC454" s="99"/>
      <c r="AD454" s="53"/>
      <c r="AE454" s="228"/>
      <c r="AF454" s="52"/>
      <c r="AG454" s="99"/>
      <c r="AH454" s="53"/>
      <c r="AI454" s="228"/>
      <c r="AJ454" s="52"/>
      <c r="AK454" s="99"/>
      <c r="AL454" s="53"/>
      <c r="AM454" s="228"/>
      <c r="AN454" s="52"/>
      <c r="AO454" s="99"/>
      <c r="AP454" s="53"/>
      <c r="AQ454" s="50">
        <f t="shared" si="161"/>
        <v>0</v>
      </c>
      <c r="AR454" s="163">
        <f t="shared" si="162"/>
        <v>0</v>
      </c>
      <c r="AS454" s="97">
        <f t="shared" si="163"/>
        <v>0</v>
      </c>
      <c r="AT454" s="278">
        <f t="shared" si="164"/>
        <v>0</v>
      </c>
      <c r="AU454" s="55"/>
      <c r="AV454" s="277"/>
      <c r="AW454" s="279"/>
      <c r="AX454" s="52"/>
      <c r="AY454" s="531"/>
      <c r="AZ454" s="98"/>
      <c r="BA454" s="279"/>
      <c r="BB454" s="52"/>
      <c r="BC454" s="105"/>
      <c r="BD454" s="98"/>
      <c r="BE454" s="279"/>
      <c r="BF454" s="52"/>
      <c r="BG454" s="105"/>
      <c r="BH454" s="98"/>
      <c r="BI454" s="279"/>
      <c r="BJ454" s="52"/>
      <c r="BK454" s="105"/>
      <c r="BL454" s="98"/>
      <c r="BM454" s="279"/>
      <c r="BN454" s="52"/>
      <c r="BO454" s="105"/>
      <c r="BP454" s="98"/>
      <c r="BQ454" s="279"/>
      <c r="BR454" s="52"/>
      <c r="BS454" s="105"/>
      <c r="BT454" s="98"/>
      <c r="BU454" s="279"/>
      <c r="BV454" s="52"/>
      <c r="BW454" s="105"/>
      <c r="BX454" s="98"/>
      <c r="BY454" s="279"/>
      <c r="BZ454" s="52"/>
      <c r="CA454" s="105"/>
      <c r="CB454" s="98"/>
      <c r="CC454" s="279"/>
      <c r="CD454" s="52"/>
      <c r="CE454" s="105"/>
      <c r="CF454" s="98"/>
      <c r="CG454" s="279"/>
      <c r="CH454" s="52"/>
      <c r="CI454" s="105"/>
      <c r="CJ454" s="98"/>
      <c r="CK454" s="281"/>
      <c r="CL454" s="277"/>
      <c r="CM454" s="159"/>
      <c r="CN454" s="277"/>
      <c r="CO454" s="50">
        <f t="shared" si="170"/>
        <v>0</v>
      </c>
      <c r="CP454" s="103">
        <f t="shared" si="171"/>
        <v>0</v>
      </c>
      <c r="CQ454" s="280">
        <f t="shared" si="172"/>
        <v>0</v>
      </c>
      <c r="CR454" s="63">
        <f t="shared" si="173"/>
        <v>0</v>
      </c>
      <c r="CS454" s="279"/>
      <c r="CT454" s="52"/>
      <c r="CU454" s="105"/>
      <c r="CV454" s="98"/>
      <c r="CW454" s="279"/>
      <c r="CX454" s="52"/>
      <c r="CY454" s="105"/>
      <c r="CZ454" s="98"/>
      <c r="DA454" s="279"/>
      <c r="DB454" s="52"/>
      <c r="DC454" s="105"/>
      <c r="DD454" s="98"/>
      <c r="DE454" s="279"/>
      <c r="DF454" s="52"/>
      <c r="DG454" s="105"/>
      <c r="DH454" s="98"/>
      <c r="DI454" s="279"/>
      <c r="DJ454" s="52"/>
      <c r="DK454" s="105"/>
      <c r="DL454" s="98"/>
      <c r="DM454" s="279"/>
      <c r="DN454" s="52"/>
      <c r="DO454" s="105"/>
      <c r="DP454" s="98"/>
      <c r="DQ454" s="279"/>
      <c r="DR454" s="52"/>
      <c r="DS454" s="105"/>
      <c r="DT454" s="98"/>
      <c r="DU454" s="279"/>
      <c r="DV454" s="52"/>
      <c r="DW454" s="105"/>
      <c r="DX454" s="98"/>
      <c r="DY454" s="279"/>
      <c r="DZ454" s="52"/>
      <c r="EA454" s="105"/>
      <c r="EB454" s="98"/>
      <c r="EC454" s="279"/>
      <c r="ED454" s="52"/>
      <c r="EE454" s="105"/>
      <c r="EF454" s="98"/>
      <c r="EG454" s="159"/>
      <c r="EH454" s="277"/>
      <c r="EI454" s="50">
        <f t="shared" si="174"/>
        <v>0</v>
      </c>
      <c r="EJ454" s="103">
        <f t="shared" si="175"/>
        <v>0</v>
      </c>
      <c r="EK454" s="164">
        <f t="shared" si="176"/>
        <v>0</v>
      </c>
      <c r="EL454" s="280">
        <f t="shared" si="177"/>
        <v>0</v>
      </c>
      <c r="EM454" s="63">
        <f t="shared" si="178"/>
        <v>0</v>
      </c>
      <c r="EN454" s="359">
        <f t="shared" si="179"/>
        <v>0</v>
      </c>
      <c r="EO454" s="51">
        <f t="shared" si="180"/>
        <v>0</v>
      </c>
      <c r="EP454" s="361">
        <f t="shared" si="181"/>
        <v>0</v>
      </c>
      <c r="EQ454" s="281"/>
      <c r="ER454" s="277"/>
      <c r="ES454" s="281"/>
      <c r="ET454" s="277"/>
      <c r="EU454" s="281"/>
      <c r="EV454" s="277"/>
      <c r="EW454" s="281"/>
      <c r="EX454" s="277"/>
      <c r="EY454" s="281"/>
      <c r="EZ454" s="277"/>
      <c r="FA454" s="281"/>
      <c r="FB454" s="277"/>
      <c r="FC454" s="281"/>
      <c r="FD454" s="277"/>
      <c r="FE454" s="281"/>
      <c r="FF454" s="277"/>
      <c r="FG454" s="281"/>
      <c r="FH454" s="277"/>
      <c r="FI454" s="281"/>
      <c r="FJ454" s="277"/>
      <c r="FK454" s="50">
        <f t="shared" si="182"/>
        <v>0</v>
      </c>
      <c r="FL454" s="63">
        <f t="shared" si="183"/>
        <v>0</v>
      </c>
      <c r="FM454" s="50">
        <f t="shared" si="165"/>
        <v>91</v>
      </c>
      <c r="FN454" s="360">
        <f t="shared" si="166"/>
        <v>168</v>
      </c>
      <c r="FO454" s="3"/>
      <c r="FP454" s="279"/>
      <c r="FQ454" s="52"/>
      <c r="FR454" s="296"/>
      <c r="FS454" s="98"/>
      <c r="FT454" s="467"/>
      <c r="FU454" s="52"/>
      <c r="FV454" s="296"/>
      <c r="FW454" s="98"/>
      <c r="FX454" s="467"/>
      <c r="FY454" s="52"/>
      <c r="FZ454" s="296"/>
      <c r="GA454" s="98"/>
      <c r="GB454" s="467"/>
      <c r="GC454" s="52"/>
      <c r="GD454" s="296"/>
      <c r="GE454" s="98"/>
      <c r="GF454" s="467"/>
      <c r="GG454" s="52"/>
      <c r="GH454" s="296"/>
      <c r="GI454" s="98"/>
      <c r="GJ454" s="467"/>
      <c r="GK454" s="52"/>
      <c r="GL454" s="296"/>
      <c r="GM454" s="464"/>
      <c r="GN454" s="467"/>
      <c r="GO454" s="52"/>
      <c r="GP454" s="296"/>
      <c r="GQ454" s="464"/>
      <c r="GR454" s="467"/>
      <c r="GS454" s="52"/>
      <c r="GT454" s="296"/>
      <c r="GU454" s="464"/>
      <c r="GV454" s="467"/>
      <c r="GW454" s="52"/>
      <c r="GX454" s="296"/>
      <c r="GY454" s="464"/>
      <c r="GZ454" s="467"/>
      <c r="HA454" s="52"/>
      <c r="HB454" s="296"/>
      <c r="HC454" s="3"/>
    </row>
    <row r="455" spans="1:211" s="86" customFormat="1">
      <c r="A455" s="489" t="s">
        <v>31</v>
      </c>
      <c r="B455" s="308" t="s">
        <v>399</v>
      </c>
      <c r="C455" s="307">
        <v>375735</v>
      </c>
      <c r="D455" s="341">
        <v>13</v>
      </c>
      <c r="E455" s="460">
        <v>29</v>
      </c>
      <c r="F455" s="277">
        <v>143</v>
      </c>
      <c r="G455" s="158">
        <v>46</v>
      </c>
      <c r="H455" s="277"/>
      <c r="I455" s="158"/>
      <c r="J455" s="277"/>
      <c r="K455" s="160">
        <f t="shared" si="167"/>
        <v>0</v>
      </c>
      <c r="L455" s="161">
        <f t="shared" si="160"/>
        <v>0</v>
      </c>
      <c r="M455" s="54"/>
      <c r="N455" s="55"/>
      <c r="O455" s="55"/>
      <c r="P455" s="55"/>
      <c r="Q455" s="162">
        <f t="shared" si="168"/>
        <v>0</v>
      </c>
      <c r="R455" s="277"/>
      <c r="S455" s="277"/>
      <c r="T455" s="277"/>
      <c r="U455" s="277"/>
      <c r="V455" s="97">
        <f t="shared" si="169"/>
        <v>0</v>
      </c>
      <c r="W455" s="279"/>
      <c r="X455" s="52"/>
      <c r="Y455" s="99"/>
      <c r="Z455" s="53"/>
      <c r="AA455" s="228"/>
      <c r="AB455" s="52"/>
      <c r="AC455" s="99"/>
      <c r="AD455" s="53"/>
      <c r="AE455" s="228"/>
      <c r="AF455" s="52"/>
      <c r="AG455" s="99"/>
      <c r="AH455" s="53"/>
      <c r="AI455" s="228"/>
      <c r="AJ455" s="52"/>
      <c r="AK455" s="99"/>
      <c r="AL455" s="53"/>
      <c r="AM455" s="228"/>
      <c r="AN455" s="52"/>
      <c r="AO455" s="99"/>
      <c r="AP455" s="53"/>
      <c r="AQ455" s="50">
        <f t="shared" si="161"/>
        <v>0</v>
      </c>
      <c r="AR455" s="163">
        <f t="shared" si="162"/>
        <v>0</v>
      </c>
      <c r="AS455" s="97">
        <f t="shared" si="163"/>
        <v>0</v>
      </c>
      <c r="AT455" s="278">
        <f t="shared" si="164"/>
        <v>0</v>
      </c>
      <c r="AU455" s="55"/>
      <c r="AV455" s="277"/>
      <c r="AW455" s="279"/>
      <c r="AX455" s="52"/>
      <c r="AY455" s="531"/>
      <c r="AZ455" s="98"/>
      <c r="BA455" s="279"/>
      <c r="BB455" s="52"/>
      <c r="BC455" s="105"/>
      <c r="BD455" s="98"/>
      <c r="BE455" s="279"/>
      <c r="BF455" s="52"/>
      <c r="BG455" s="105"/>
      <c r="BH455" s="98"/>
      <c r="BI455" s="279"/>
      <c r="BJ455" s="52"/>
      <c r="BK455" s="105"/>
      <c r="BL455" s="98"/>
      <c r="BM455" s="279"/>
      <c r="BN455" s="52"/>
      <c r="BO455" s="105"/>
      <c r="BP455" s="98"/>
      <c r="BQ455" s="279"/>
      <c r="BR455" s="52"/>
      <c r="BS455" s="105"/>
      <c r="BT455" s="98"/>
      <c r="BU455" s="279"/>
      <c r="BV455" s="52"/>
      <c r="BW455" s="105"/>
      <c r="BX455" s="98"/>
      <c r="BY455" s="279"/>
      <c r="BZ455" s="52"/>
      <c r="CA455" s="105"/>
      <c r="CB455" s="98"/>
      <c r="CC455" s="279"/>
      <c r="CD455" s="52"/>
      <c r="CE455" s="105"/>
      <c r="CF455" s="98"/>
      <c r="CG455" s="279"/>
      <c r="CH455" s="52"/>
      <c r="CI455" s="105"/>
      <c r="CJ455" s="98"/>
      <c r="CK455" s="281"/>
      <c r="CL455" s="277"/>
      <c r="CM455" s="159"/>
      <c r="CN455" s="277"/>
      <c r="CO455" s="50">
        <f t="shared" si="170"/>
        <v>0</v>
      </c>
      <c r="CP455" s="103">
        <f t="shared" si="171"/>
        <v>0</v>
      </c>
      <c r="CQ455" s="280">
        <f t="shared" si="172"/>
        <v>0</v>
      </c>
      <c r="CR455" s="63">
        <f t="shared" si="173"/>
        <v>0</v>
      </c>
      <c r="CS455" s="279"/>
      <c r="CT455" s="52"/>
      <c r="CU455" s="105"/>
      <c r="CV455" s="98"/>
      <c r="CW455" s="279"/>
      <c r="CX455" s="52"/>
      <c r="CY455" s="105"/>
      <c r="CZ455" s="98"/>
      <c r="DA455" s="279"/>
      <c r="DB455" s="52"/>
      <c r="DC455" s="105"/>
      <c r="DD455" s="98"/>
      <c r="DE455" s="279"/>
      <c r="DF455" s="52"/>
      <c r="DG455" s="105"/>
      <c r="DH455" s="98"/>
      <c r="DI455" s="279"/>
      <c r="DJ455" s="52"/>
      <c r="DK455" s="105"/>
      <c r="DL455" s="98"/>
      <c r="DM455" s="279"/>
      <c r="DN455" s="52"/>
      <c r="DO455" s="105"/>
      <c r="DP455" s="98"/>
      <c r="DQ455" s="279"/>
      <c r="DR455" s="52"/>
      <c r="DS455" s="105"/>
      <c r="DT455" s="98"/>
      <c r="DU455" s="279"/>
      <c r="DV455" s="52"/>
      <c r="DW455" s="105"/>
      <c r="DX455" s="98"/>
      <c r="DY455" s="279"/>
      <c r="DZ455" s="52"/>
      <c r="EA455" s="105"/>
      <c r="EB455" s="98"/>
      <c r="EC455" s="279"/>
      <c r="ED455" s="52"/>
      <c r="EE455" s="105"/>
      <c r="EF455" s="98"/>
      <c r="EG455" s="159"/>
      <c r="EH455" s="277"/>
      <c r="EI455" s="50">
        <f t="shared" si="174"/>
        <v>0</v>
      </c>
      <c r="EJ455" s="103">
        <f t="shared" si="175"/>
        <v>0</v>
      </c>
      <c r="EK455" s="164">
        <f t="shared" si="176"/>
        <v>0</v>
      </c>
      <c r="EL455" s="280">
        <f t="shared" si="177"/>
        <v>0</v>
      </c>
      <c r="EM455" s="63">
        <f t="shared" si="178"/>
        <v>0</v>
      </c>
      <c r="EN455" s="359">
        <f t="shared" si="179"/>
        <v>0</v>
      </c>
      <c r="EO455" s="51">
        <f t="shared" si="180"/>
        <v>0</v>
      </c>
      <c r="EP455" s="361">
        <f t="shared" si="181"/>
        <v>0</v>
      </c>
      <c r="EQ455" s="281"/>
      <c r="ER455" s="277"/>
      <c r="ES455" s="281"/>
      <c r="ET455" s="277"/>
      <c r="EU455" s="281"/>
      <c r="EV455" s="277"/>
      <c r="EW455" s="281"/>
      <c r="EX455" s="277"/>
      <c r="EY455" s="281"/>
      <c r="EZ455" s="277"/>
      <c r="FA455" s="281"/>
      <c r="FB455" s="277"/>
      <c r="FC455" s="281"/>
      <c r="FD455" s="277"/>
      <c r="FE455" s="281"/>
      <c r="FF455" s="277"/>
      <c r="FG455" s="281"/>
      <c r="FH455" s="277"/>
      <c r="FI455" s="281"/>
      <c r="FJ455" s="277"/>
      <c r="FK455" s="50">
        <f t="shared" si="182"/>
        <v>0</v>
      </c>
      <c r="FL455" s="63">
        <f t="shared" si="183"/>
        <v>0</v>
      </c>
      <c r="FM455" s="50">
        <f t="shared" si="165"/>
        <v>75</v>
      </c>
      <c r="FN455" s="360">
        <f t="shared" si="166"/>
        <v>143</v>
      </c>
      <c r="FO455" s="3"/>
      <c r="FP455" s="279"/>
      <c r="FQ455" s="52"/>
      <c r="FR455" s="296"/>
      <c r="FS455" s="98"/>
      <c r="FT455" s="467"/>
      <c r="FU455" s="52"/>
      <c r="FV455" s="296"/>
      <c r="FW455" s="98"/>
      <c r="FX455" s="467"/>
      <c r="FY455" s="52"/>
      <c r="FZ455" s="296"/>
      <c r="GA455" s="98"/>
      <c r="GB455" s="467"/>
      <c r="GC455" s="52"/>
      <c r="GD455" s="296"/>
      <c r="GE455" s="98"/>
      <c r="GF455" s="467"/>
      <c r="GG455" s="52"/>
      <c r="GH455" s="296"/>
      <c r="GI455" s="98"/>
      <c r="GJ455" s="467"/>
      <c r="GK455" s="52"/>
      <c r="GL455" s="296"/>
      <c r="GM455" s="464"/>
      <c r="GN455" s="467"/>
      <c r="GO455" s="52"/>
      <c r="GP455" s="296"/>
      <c r="GQ455" s="464"/>
      <c r="GR455" s="467"/>
      <c r="GS455" s="52"/>
      <c r="GT455" s="296"/>
      <c r="GU455" s="464"/>
      <c r="GV455" s="467"/>
      <c r="GW455" s="52"/>
      <c r="GX455" s="296"/>
      <c r="GY455" s="464"/>
      <c r="GZ455" s="467"/>
      <c r="HA455" s="52"/>
      <c r="HB455" s="296"/>
      <c r="HC455" s="3"/>
    </row>
    <row r="456" spans="1:211" s="86" customFormat="1">
      <c r="A456" s="489" t="s">
        <v>31</v>
      </c>
      <c r="B456" s="308" t="s">
        <v>400</v>
      </c>
      <c r="C456" s="307">
        <v>375726</v>
      </c>
      <c r="D456" s="341">
        <v>13</v>
      </c>
      <c r="E456" s="460">
        <v>37</v>
      </c>
      <c r="F456" s="277">
        <v>248</v>
      </c>
      <c r="G456" s="158">
        <v>106</v>
      </c>
      <c r="H456" s="277">
        <v>3</v>
      </c>
      <c r="I456" s="158"/>
      <c r="J456" s="277"/>
      <c r="K456" s="160">
        <f t="shared" si="167"/>
        <v>0</v>
      </c>
      <c r="L456" s="161">
        <f t="shared" si="160"/>
        <v>0</v>
      </c>
      <c r="M456" s="54"/>
      <c r="N456" s="55"/>
      <c r="O456" s="55"/>
      <c r="P456" s="55"/>
      <c r="Q456" s="162">
        <f t="shared" si="168"/>
        <v>0</v>
      </c>
      <c r="R456" s="277"/>
      <c r="S456" s="277"/>
      <c r="T456" s="277"/>
      <c r="U456" s="277"/>
      <c r="V456" s="97">
        <f t="shared" si="169"/>
        <v>0</v>
      </c>
      <c r="W456" s="279"/>
      <c r="X456" s="52"/>
      <c r="Y456" s="99"/>
      <c r="Z456" s="53"/>
      <c r="AA456" s="228"/>
      <c r="AB456" s="52"/>
      <c r="AC456" s="99"/>
      <c r="AD456" s="53"/>
      <c r="AE456" s="228"/>
      <c r="AF456" s="52"/>
      <c r="AG456" s="99"/>
      <c r="AH456" s="53"/>
      <c r="AI456" s="228"/>
      <c r="AJ456" s="52"/>
      <c r="AK456" s="99"/>
      <c r="AL456" s="53"/>
      <c r="AM456" s="228"/>
      <c r="AN456" s="52"/>
      <c r="AO456" s="99"/>
      <c r="AP456" s="53"/>
      <c r="AQ456" s="50">
        <f t="shared" si="161"/>
        <v>0</v>
      </c>
      <c r="AR456" s="163">
        <f t="shared" si="162"/>
        <v>0</v>
      </c>
      <c r="AS456" s="97">
        <f t="shared" si="163"/>
        <v>0</v>
      </c>
      <c r="AT456" s="278">
        <f t="shared" si="164"/>
        <v>0</v>
      </c>
      <c r="AU456" s="55"/>
      <c r="AV456" s="277"/>
      <c r="AW456" s="279"/>
      <c r="AX456" s="52"/>
      <c r="AY456" s="531"/>
      <c r="AZ456" s="98"/>
      <c r="BA456" s="279"/>
      <c r="BB456" s="52"/>
      <c r="BC456" s="105"/>
      <c r="BD456" s="98"/>
      <c r="BE456" s="279"/>
      <c r="BF456" s="52"/>
      <c r="BG456" s="105"/>
      <c r="BH456" s="98"/>
      <c r="BI456" s="279"/>
      <c r="BJ456" s="52"/>
      <c r="BK456" s="105"/>
      <c r="BL456" s="98"/>
      <c r="BM456" s="279"/>
      <c r="BN456" s="52"/>
      <c r="BO456" s="105"/>
      <c r="BP456" s="98"/>
      <c r="BQ456" s="279"/>
      <c r="BR456" s="52"/>
      <c r="BS456" s="105"/>
      <c r="BT456" s="98"/>
      <c r="BU456" s="279"/>
      <c r="BV456" s="52"/>
      <c r="BW456" s="105"/>
      <c r="BX456" s="98"/>
      <c r="BY456" s="279"/>
      <c r="BZ456" s="52"/>
      <c r="CA456" s="105"/>
      <c r="CB456" s="98"/>
      <c r="CC456" s="279"/>
      <c r="CD456" s="52"/>
      <c r="CE456" s="105"/>
      <c r="CF456" s="98"/>
      <c r="CG456" s="279"/>
      <c r="CH456" s="52"/>
      <c r="CI456" s="105"/>
      <c r="CJ456" s="98"/>
      <c r="CK456" s="281"/>
      <c r="CL456" s="277"/>
      <c r="CM456" s="159"/>
      <c r="CN456" s="277"/>
      <c r="CO456" s="50">
        <f t="shared" si="170"/>
        <v>0</v>
      </c>
      <c r="CP456" s="103">
        <f t="shared" si="171"/>
        <v>0</v>
      </c>
      <c r="CQ456" s="280">
        <f t="shared" si="172"/>
        <v>0</v>
      </c>
      <c r="CR456" s="63">
        <f t="shared" si="173"/>
        <v>0</v>
      </c>
      <c r="CS456" s="279"/>
      <c r="CT456" s="52"/>
      <c r="CU456" s="105"/>
      <c r="CV456" s="98"/>
      <c r="CW456" s="279"/>
      <c r="CX456" s="52"/>
      <c r="CY456" s="105"/>
      <c r="CZ456" s="98"/>
      <c r="DA456" s="279"/>
      <c r="DB456" s="52"/>
      <c r="DC456" s="105"/>
      <c r="DD456" s="98"/>
      <c r="DE456" s="279"/>
      <c r="DF456" s="52"/>
      <c r="DG456" s="105"/>
      <c r="DH456" s="98"/>
      <c r="DI456" s="279"/>
      <c r="DJ456" s="52"/>
      <c r="DK456" s="105"/>
      <c r="DL456" s="98"/>
      <c r="DM456" s="279"/>
      <c r="DN456" s="52"/>
      <c r="DO456" s="105"/>
      <c r="DP456" s="98"/>
      <c r="DQ456" s="279"/>
      <c r="DR456" s="52"/>
      <c r="DS456" s="105"/>
      <c r="DT456" s="98"/>
      <c r="DU456" s="279"/>
      <c r="DV456" s="52"/>
      <c r="DW456" s="105"/>
      <c r="DX456" s="98"/>
      <c r="DY456" s="279"/>
      <c r="DZ456" s="52"/>
      <c r="EA456" s="105"/>
      <c r="EB456" s="98"/>
      <c r="EC456" s="279"/>
      <c r="ED456" s="52"/>
      <c r="EE456" s="105"/>
      <c r="EF456" s="98"/>
      <c r="EG456" s="159"/>
      <c r="EH456" s="277"/>
      <c r="EI456" s="50">
        <f t="shared" si="174"/>
        <v>0</v>
      </c>
      <c r="EJ456" s="103">
        <f t="shared" si="175"/>
        <v>0</v>
      </c>
      <c r="EK456" s="164">
        <f t="shared" si="176"/>
        <v>0</v>
      </c>
      <c r="EL456" s="280">
        <f t="shared" si="177"/>
        <v>0</v>
      </c>
      <c r="EM456" s="63">
        <f t="shared" si="178"/>
        <v>0</v>
      </c>
      <c r="EN456" s="359">
        <f t="shared" si="179"/>
        <v>0</v>
      </c>
      <c r="EO456" s="51">
        <f t="shared" si="180"/>
        <v>0</v>
      </c>
      <c r="EP456" s="361">
        <f t="shared" si="181"/>
        <v>0</v>
      </c>
      <c r="EQ456" s="281"/>
      <c r="ER456" s="277"/>
      <c r="ES456" s="281"/>
      <c r="ET456" s="277"/>
      <c r="EU456" s="281"/>
      <c r="EV456" s="277"/>
      <c r="EW456" s="281"/>
      <c r="EX456" s="277"/>
      <c r="EY456" s="281"/>
      <c r="EZ456" s="277"/>
      <c r="FA456" s="281"/>
      <c r="FB456" s="277"/>
      <c r="FC456" s="281"/>
      <c r="FD456" s="277"/>
      <c r="FE456" s="281"/>
      <c r="FF456" s="277"/>
      <c r="FG456" s="281"/>
      <c r="FH456" s="277"/>
      <c r="FI456" s="281"/>
      <c r="FJ456" s="277"/>
      <c r="FK456" s="50">
        <f t="shared" si="182"/>
        <v>0</v>
      </c>
      <c r="FL456" s="63">
        <f t="shared" si="183"/>
        <v>0</v>
      </c>
      <c r="FM456" s="50">
        <f t="shared" si="165"/>
        <v>143</v>
      </c>
      <c r="FN456" s="360">
        <f t="shared" si="166"/>
        <v>251</v>
      </c>
      <c r="FO456" s="3"/>
      <c r="FP456" s="279"/>
      <c r="FQ456" s="52"/>
      <c r="FR456" s="296"/>
      <c r="FS456" s="98"/>
      <c r="FT456" s="467"/>
      <c r="FU456" s="52"/>
      <c r="FV456" s="296"/>
      <c r="FW456" s="98"/>
      <c r="FX456" s="467"/>
      <c r="FY456" s="52"/>
      <c r="FZ456" s="296"/>
      <c r="GA456" s="98"/>
      <c r="GB456" s="467"/>
      <c r="GC456" s="52"/>
      <c r="GD456" s="296"/>
      <c r="GE456" s="98"/>
      <c r="GF456" s="467"/>
      <c r="GG456" s="52"/>
      <c r="GH456" s="296"/>
      <c r="GI456" s="98"/>
      <c r="GJ456" s="467"/>
      <c r="GK456" s="52"/>
      <c r="GL456" s="296"/>
      <c r="GM456" s="464"/>
      <c r="GN456" s="467"/>
      <c r="GO456" s="52"/>
      <c r="GP456" s="296"/>
      <c r="GQ456" s="464"/>
      <c r="GR456" s="467"/>
      <c r="GS456" s="52"/>
      <c r="GT456" s="296"/>
      <c r="GU456" s="464"/>
      <c r="GV456" s="467"/>
      <c r="GW456" s="52"/>
      <c r="GX456" s="296"/>
      <c r="GY456" s="464"/>
      <c r="GZ456" s="467"/>
      <c r="HA456" s="52"/>
      <c r="HB456" s="296"/>
      <c r="HC456" s="3"/>
    </row>
    <row r="457" spans="1:211" s="86" customFormat="1">
      <c r="A457" s="489" t="s">
        <v>31</v>
      </c>
      <c r="B457" s="308" t="s">
        <v>401</v>
      </c>
      <c r="C457" s="307">
        <v>375744</v>
      </c>
      <c r="D457" s="341">
        <v>13</v>
      </c>
      <c r="E457" s="460">
        <v>31</v>
      </c>
      <c r="F457" s="277">
        <v>212</v>
      </c>
      <c r="G457" s="158">
        <v>5</v>
      </c>
      <c r="H457" s="277"/>
      <c r="I457" s="158"/>
      <c r="J457" s="277"/>
      <c r="K457" s="160">
        <f t="shared" si="167"/>
        <v>0</v>
      </c>
      <c r="L457" s="161">
        <f t="shared" si="160"/>
        <v>0</v>
      </c>
      <c r="M457" s="54"/>
      <c r="N457" s="55"/>
      <c r="O457" s="55"/>
      <c r="P457" s="55"/>
      <c r="Q457" s="162">
        <f t="shared" si="168"/>
        <v>0</v>
      </c>
      <c r="R457" s="277"/>
      <c r="S457" s="277"/>
      <c r="T457" s="277"/>
      <c r="U457" s="277"/>
      <c r="V457" s="97">
        <f t="shared" si="169"/>
        <v>0</v>
      </c>
      <c r="W457" s="279"/>
      <c r="X457" s="52"/>
      <c r="Y457" s="99"/>
      <c r="Z457" s="53"/>
      <c r="AA457" s="228"/>
      <c r="AB457" s="52"/>
      <c r="AC457" s="99"/>
      <c r="AD457" s="53"/>
      <c r="AE457" s="228"/>
      <c r="AF457" s="52"/>
      <c r="AG457" s="99"/>
      <c r="AH457" s="53"/>
      <c r="AI457" s="228"/>
      <c r="AJ457" s="52"/>
      <c r="AK457" s="99"/>
      <c r="AL457" s="53"/>
      <c r="AM457" s="228"/>
      <c r="AN457" s="52"/>
      <c r="AO457" s="99"/>
      <c r="AP457" s="53"/>
      <c r="AQ457" s="50">
        <f t="shared" si="161"/>
        <v>0</v>
      </c>
      <c r="AR457" s="163">
        <f t="shared" si="162"/>
        <v>0</v>
      </c>
      <c r="AS457" s="97">
        <f t="shared" si="163"/>
        <v>0</v>
      </c>
      <c r="AT457" s="278">
        <f t="shared" si="164"/>
        <v>0</v>
      </c>
      <c r="AU457" s="55"/>
      <c r="AV457" s="277"/>
      <c r="AW457" s="279"/>
      <c r="AX457" s="52"/>
      <c r="AY457" s="531"/>
      <c r="AZ457" s="98"/>
      <c r="BA457" s="279"/>
      <c r="BB457" s="52"/>
      <c r="BC457" s="105"/>
      <c r="BD457" s="98"/>
      <c r="BE457" s="279"/>
      <c r="BF457" s="52"/>
      <c r="BG457" s="105"/>
      <c r="BH457" s="98"/>
      <c r="BI457" s="279"/>
      <c r="BJ457" s="52"/>
      <c r="BK457" s="105"/>
      <c r="BL457" s="98"/>
      <c r="BM457" s="279"/>
      <c r="BN457" s="52"/>
      <c r="BO457" s="105"/>
      <c r="BP457" s="98"/>
      <c r="BQ457" s="279"/>
      <c r="BR457" s="52"/>
      <c r="BS457" s="105"/>
      <c r="BT457" s="98"/>
      <c r="BU457" s="279"/>
      <c r="BV457" s="52"/>
      <c r="BW457" s="105"/>
      <c r="BX457" s="98"/>
      <c r="BY457" s="279"/>
      <c r="BZ457" s="52"/>
      <c r="CA457" s="105"/>
      <c r="CB457" s="98"/>
      <c r="CC457" s="279"/>
      <c r="CD457" s="52"/>
      <c r="CE457" s="105"/>
      <c r="CF457" s="98"/>
      <c r="CG457" s="279"/>
      <c r="CH457" s="52"/>
      <c r="CI457" s="105"/>
      <c r="CJ457" s="98"/>
      <c r="CK457" s="281"/>
      <c r="CL457" s="277"/>
      <c r="CM457" s="159"/>
      <c r="CN457" s="277"/>
      <c r="CO457" s="50">
        <f t="shared" si="170"/>
        <v>0</v>
      </c>
      <c r="CP457" s="103">
        <f t="shared" si="171"/>
        <v>0</v>
      </c>
      <c r="CQ457" s="280">
        <f t="shared" si="172"/>
        <v>0</v>
      </c>
      <c r="CR457" s="63">
        <f t="shared" si="173"/>
        <v>0</v>
      </c>
      <c r="CS457" s="279"/>
      <c r="CT457" s="52"/>
      <c r="CU457" s="105"/>
      <c r="CV457" s="98"/>
      <c r="CW457" s="279"/>
      <c r="CX457" s="52"/>
      <c r="CY457" s="105"/>
      <c r="CZ457" s="98"/>
      <c r="DA457" s="279"/>
      <c r="DB457" s="52"/>
      <c r="DC457" s="105"/>
      <c r="DD457" s="98"/>
      <c r="DE457" s="279"/>
      <c r="DF457" s="52"/>
      <c r="DG457" s="105"/>
      <c r="DH457" s="98"/>
      <c r="DI457" s="279"/>
      <c r="DJ457" s="52"/>
      <c r="DK457" s="105"/>
      <c r="DL457" s="98"/>
      <c r="DM457" s="279"/>
      <c r="DN457" s="52"/>
      <c r="DO457" s="105"/>
      <c r="DP457" s="98"/>
      <c r="DQ457" s="279"/>
      <c r="DR457" s="52"/>
      <c r="DS457" s="105"/>
      <c r="DT457" s="98"/>
      <c r="DU457" s="279"/>
      <c r="DV457" s="52"/>
      <c r="DW457" s="105"/>
      <c r="DX457" s="98"/>
      <c r="DY457" s="279"/>
      <c r="DZ457" s="52"/>
      <c r="EA457" s="105"/>
      <c r="EB457" s="98"/>
      <c r="EC457" s="279"/>
      <c r="ED457" s="52"/>
      <c r="EE457" s="105"/>
      <c r="EF457" s="98"/>
      <c r="EG457" s="159"/>
      <c r="EH457" s="277"/>
      <c r="EI457" s="50">
        <f t="shared" si="174"/>
        <v>0</v>
      </c>
      <c r="EJ457" s="103">
        <f t="shared" si="175"/>
        <v>0</v>
      </c>
      <c r="EK457" s="164">
        <f t="shared" si="176"/>
        <v>0</v>
      </c>
      <c r="EL457" s="280">
        <f t="shared" si="177"/>
        <v>0</v>
      </c>
      <c r="EM457" s="63">
        <f t="shared" si="178"/>
        <v>0</v>
      </c>
      <c r="EN457" s="359">
        <f t="shared" si="179"/>
        <v>0</v>
      </c>
      <c r="EO457" s="51">
        <f t="shared" si="180"/>
        <v>0</v>
      </c>
      <c r="EP457" s="361">
        <f t="shared" si="181"/>
        <v>0</v>
      </c>
      <c r="EQ457" s="281"/>
      <c r="ER457" s="277"/>
      <c r="ES457" s="281"/>
      <c r="ET457" s="277"/>
      <c r="EU457" s="281"/>
      <c r="EV457" s="277"/>
      <c r="EW457" s="281"/>
      <c r="EX457" s="277"/>
      <c r="EY457" s="281"/>
      <c r="EZ457" s="277"/>
      <c r="FA457" s="281"/>
      <c r="FB457" s="277"/>
      <c r="FC457" s="281"/>
      <c r="FD457" s="277"/>
      <c r="FE457" s="281"/>
      <c r="FF457" s="277"/>
      <c r="FG457" s="281"/>
      <c r="FH457" s="277"/>
      <c r="FI457" s="281"/>
      <c r="FJ457" s="277"/>
      <c r="FK457" s="50">
        <f t="shared" si="182"/>
        <v>0</v>
      </c>
      <c r="FL457" s="63">
        <f t="shared" si="183"/>
        <v>0</v>
      </c>
      <c r="FM457" s="50">
        <f t="shared" si="165"/>
        <v>36</v>
      </c>
      <c r="FN457" s="360">
        <f t="shared" si="166"/>
        <v>212</v>
      </c>
      <c r="FO457" s="3"/>
      <c r="FP457" s="279"/>
      <c r="FQ457" s="52"/>
      <c r="FR457" s="296"/>
      <c r="FS457" s="98"/>
      <c r="FT457" s="467"/>
      <c r="FU457" s="52"/>
      <c r="FV457" s="296"/>
      <c r="FW457" s="98"/>
      <c r="FX457" s="467"/>
      <c r="FY457" s="52"/>
      <c r="FZ457" s="296"/>
      <c r="GA457" s="98"/>
      <c r="GB457" s="467"/>
      <c r="GC457" s="52"/>
      <c r="GD457" s="296"/>
      <c r="GE457" s="98"/>
      <c r="GF457" s="467"/>
      <c r="GG457" s="52"/>
      <c r="GH457" s="296"/>
      <c r="GI457" s="98"/>
      <c r="GJ457" s="467"/>
      <c r="GK457" s="52"/>
      <c r="GL457" s="296"/>
      <c r="GM457" s="464"/>
      <c r="GN457" s="467"/>
      <c r="GO457" s="52"/>
      <c r="GP457" s="296"/>
      <c r="GQ457" s="464"/>
      <c r="GR457" s="467"/>
      <c r="GS457" s="52"/>
      <c r="GT457" s="296"/>
      <c r="GU457" s="464"/>
      <c r="GV457" s="467"/>
      <c r="GW457" s="52"/>
      <c r="GX457" s="296"/>
      <c r="GY457" s="464"/>
      <c r="GZ457" s="467"/>
      <c r="HA457" s="52"/>
      <c r="HB457" s="296"/>
      <c r="HC457" s="3"/>
    </row>
    <row r="458" spans="1:211" s="86" customFormat="1">
      <c r="A458" s="489" t="s">
        <v>31</v>
      </c>
      <c r="B458" s="308" t="s">
        <v>402</v>
      </c>
      <c r="C458" s="307">
        <v>375753</v>
      </c>
      <c r="D458" s="341">
        <v>13</v>
      </c>
      <c r="E458" s="460"/>
      <c r="F458" s="277">
        <v>38</v>
      </c>
      <c r="G458" s="158">
        <v>1</v>
      </c>
      <c r="H458" s="277"/>
      <c r="I458" s="158"/>
      <c r="J458" s="277"/>
      <c r="K458" s="160">
        <f t="shared" si="167"/>
        <v>0</v>
      </c>
      <c r="L458" s="161">
        <f t="shared" ref="L458:L521" si="184">IF(R458&gt;0,J458/R458, )</f>
        <v>0</v>
      </c>
      <c r="M458" s="54"/>
      <c r="N458" s="55"/>
      <c r="O458" s="55"/>
      <c r="P458" s="55"/>
      <c r="Q458" s="162">
        <f t="shared" si="168"/>
        <v>0</v>
      </c>
      <c r="R458" s="277"/>
      <c r="S458" s="277"/>
      <c r="T458" s="277"/>
      <c r="U458" s="277"/>
      <c r="V458" s="97">
        <f t="shared" si="169"/>
        <v>0</v>
      </c>
      <c r="W458" s="279"/>
      <c r="X458" s="52"/>
      <c r="Y458" s="99"/>
      <c r="Z458" s="53"/>
      <c r="AA458" s="228"/>
      <c r="AB458" s="52"/>
      <c r="AC458" s="99"/>
      <c r="AD458" s="53"/>
      <c r="AE458" s="228"/>
      <c r="AF458" s="52"/>
      <c r="AG458" s="99"/>
      <c r="AH458" s="53"/>
      <c r="AI458" s="228"/>
      <c r="AJ458" s="52"/>
      <c r="AK458" s="99"/>
      <c r="AL458" s="53"/>
      <c r="AM458" s="228"/>
      <c r="AN458" s="52"/>
      <c r="AO458" s="99"/>
      <c r="AP458" s="53"/>
      <c r="AQ458" s="50">
        <f t="shared" ref="AQ458:AQ521" si="185">COUNTA(W458,AA458,AE458,AI458,AM458)</f>
        <v>0</v>
      </c>
      <c r="AR458" s="163">
        <f t="shared" ref="AR458:AR521" si="186">IF(FM458&gt;0,M458/FM458,)</f>
        <v>0</v>
      </c>
      <c r="AS458" s="97">
        <f t="shared" ref="AS458:AS521" si="187">COUNTA(Y458,AC458,AG458,AK458,AO458)</f>
        <v>0</v>
      </c>
      <c r="AT458" s="278">
        <f t="shared" ref="AT458:AT521" si="188">IF(FN458&gt;0,R458/FN458,)</f>
        <v>0</v>
      </c>
      <c r="AU458" s="55"/>
      <c r="AV458" s="277"/>
      <c r="AW458" s="279"/>
      <c r="AX458" s="52"/>
      <c r="AY458" s="531"/>
      <c r="AZ458" s="98"/>
      <c r="BA458" s="279"/>
      <c r="BB458" s="52"/>
      <c r="BC458" s="105"/>
      <c r="BD458" s="98"/>
      <c r="BE458" s="279"/>
      <c r="BF458" s="52"/>
      <c r="BG458" s="105"/>
      <c r="BH458" s="98"/>
      <c r="BI458" s="279"/>
      <c r="BJ458" s="52"/>
      <c r="BK458" s="105"/>
      <c r="BL458" s="98"/>
      <c r="BM458" s="279"/>
      <c r="BN458" s="52"/>
      <c r="BO458" s="105"/>
      <c r="BP458" s="98"/>
      <c r="BQ458" s="279"/>
      <c r="BR458" s="52"/>
      <c r="BS458" s="105"/>
      <c r="BT458" s="98"/>
      <c r="BU458" s="279"/>
      <c r="BV458" s="52"/>
      <c r="BW458" s="105"/>
      <c r="BX458" s="98"/>
      <c r="BY458" s="279"/>
      <c r="BZ458" s="52"/>
      <c r="CA458" s="105"/>
      <c r="CB458" s="98"/>
      <c r="CC458" s="279"/>
      <c r="CD458" s="52"/>
      <c r="CE458" s="105"/>
      <c r="CF458" s="98"/>
      <c r="CG458" s="279"/>
      <c r="CH458" s="52"/>
      <c r="CI458" s="105"/>
      <c r="CJ458" s="98"/>
      <c r="CK458" s="281"/>
      <c r="CL458" s="277"/>
      <c r="CM458" s="159"/>
      <c r="CN458" s="277"/>
      <c r="CO458" s="50">
        <f t="shared" si="170"/>
        <v>0</v>
      </c>
      <c r="CP458" s="103">
        <f t="shared" si="171"/>
        <v>0</v>
      </c>
      <c r="CQ458" s="280">
        <f t="shared" si="172"/>
        <v>0</v>
      </c>
      <c r="CR458" s="63">
        <f t="shared" si="173"/>
        <v>0</v>
      </c>
      <c r="CS458" s="279"/>
      <c r="CT458" s="52"/>
      <c r="CU458" s="105"/>
      <c r="CV458" s="98"/>
      <c r="CW458" s="279"/>
      <c r="CX458" s="52"/>
      <c r="CY458" s="105"/>
      <c r="CZ458" s="98"/>
      <c r="DA458" s="279"/>
      <c r="DB458" s="52"/>
      <c r="DC458" s="105"/>
      <c r="DD458" s="98"/>
      <c r="DE458" s="279"/>
      <c r="DF458" s="52"/>
      <c r="DG458" s="105"/>
      <c r="DH458" s="98"/>
      <c r="DI458" s="279"/>
      <c r="DJ458" s="52"/>
      <c r="DK458" s="105"/>
      <c r="DL458" s="98"/>
      <c r="DM458" s="279"/>
      <c r="DN458" s="52"/>
      <c r="DO458" s="105"/>
      <c r="DP458" s="98"/>
      <c r="DQ458" s="279"/>
      <c r="DR458" s="52"/>
      <c r="DS458" s="105"/>
      <c r="DT458" s="98"/>
      <c r="DU458" s="279"/>
      <c r="DV458" s="52"/>
      <c r="DW458" s="105"/>
      <c r="DX458" s="98"/>
      <c r="DY458" s="279"/>
      <c r="DZ458" s="52"/>
      <c r="EA458" s="105"/>
      <c r="EB458" s="98"/>
      <c r="EC458" s="279"/>
      <c r="ED458" s="52"/>
      <c r="EE458" s="105"/>
      <c r="EF458" s="98"/>
      <c r="EG458" s="159"/>
      <c r="EH458" s="277"/>
      <c r="EI458" s="50">
        <f t="shared" si="174"/>
        <v>0</v>
      </c>
      <c r="EJ458" s="103">
        <f t="shared" si="175"/>
        <v>0</v>
      </c>
      <c r="EK458" s="164">
        <f t="shared" si="176"/>
        <v>0</v>
      </c>
      <c r="EL458" s="280">
        <f t="shared" si="177"/>
        <v>0</v>
      </c>
      <c r="EM458" s="63">
        <f t="shared" si="178"/>
        <v>0</v>
      </c>
      <c r="EN458" s="359">
        <f t="shared" si="179"/>
        <v>0</v>
      </c>
      <c r="EO458" s="51">
        <f t="shared" si="180"/>
        <v>0</v>
      </c>
      <c r="EP458" s="361">
        <f t="shared" si="181"/>
        <v>0</v>
      </c>
      <c r="EQ458" s="281"/>
      <c r="ER458" s="277"/>
      <c r="ES458" s="281"/>
      <c r="ET458" s="277"/>
      <c r="EU458" s="281"/>
      <c r="EV458" s="277"/>
      <c r="EW458" s="281"/>
      <c r="EX458" s="277"/>
      <c r="EY458" s="281"/>
      <c r="EZ458" s="277"/>
      <c r="FA458" s="281"/>
      <c r="FB458" s="277"/>
      <c r="FC458" s="281"/>
      <c r="FD458" s="277"/>
      <c r="FE458" s="281"/>
      <c r="FF458" s="277"/>
      <c r="FG458" s="281"/>
      <c r="FH458" s="277"/>
      <c r="FI458" s="281"/>
      <c r="FJ458" s="277"/>
      <c r="FK458" s="50">
        <f t="shared" si="182"/>
        <v>0</v>
      </c>
      <c r="FL458" s="63">
        <f t="shared" si="183"/>
        <v>0</v>
      </c>
      <c r="FM458" s="50">
        <f t="shared" ref="FM458:FM521" si="189">E458+G458+I458+M458+AU458+EO458+FK458</f>
        <v>1</v>
      </c>
      <c r="FN458" s="360">
        <f t="shared" ref="FN458:FN521" si="190">F458+H458+J458+R458+AV458+EP458+FL458</f>
        <v>38</v>
      </c>
      <c r="FO458" s="3"/>
      <c r="FP458" s="279"/>
      <c r="FQ458" s="52"/>
      <c r="FR458" s="296"/>
      <c r="FS458" s="98"/>
      <c r="FT458" s="467"/>
      <c r="FU458" s="52"/>
      <c r="FV458" s="296"/>
      <c r="FW458" s="98"/>
      <c r="FX458" s="467"/>
      <c r="FY458" s="52"/>
      <c r="FZ458" s="296"/>
      <c r="GA458" s="98"/>
      <c r="GB458" s="467"/>
      <c r="GC458" s="52"/>
      <c r="GD458" s="296"/>
      <c r="GE458" s="98"/>
      <c r="GF458" s="467"/>
      <c r="GG458" s="52"/>
      <c r="GH458" s="296"/>
      <c r="GI458" s="98"/>
      <c r="GJ458" s="467"/>
      <c r="GK458" s="52"/>
      <c r="GL458" s="296"/>
      <c r="GM458" s="464"/>
      <c r="GN458" s="467"/>
      <c r="GO458" s="52"/>
      <c r="GP458" s="296"/>
      <c r="GQ458" s="464"/>
      <c r="GR458" s="467"/>
      <c r="GS458" s="52"/>
      <c r="GT458" s="296"/>
      <c r="GU458" s="464"/>
      <c r="GV458" s="467"/>
      <c r="GW458" s="52"/>
      <c r="GX458" s="296"/>
      <c r="GY458" s="464"/>
      <c r="GZ458" s="467"/>
      <c r="HA458" s="52"/>
      <c r="HB458" s="296"/>
      <c r="HC458" s="3"/>
    </row>
    <row r="459" spans="1:211" s="86" customFormat="1">
      <c r="A459" s="489" t="s">
        <v>31</v>
      </c>
      <c r="B459" s="308" t="s">
        <v>403</v>
      </c>
      <c r="C459" s="307">
        <v>405748</v>
      </c>
      <c r="D459" s="341">
        <v>13</v>
      </c>
      <c r="E459" s="460"/>
      <c r="F459" s="277">
        <v>45</v>
      </c>
      <c r="G459" s="158">
        <v>15</v>
      </c>
      <c r="H459" s="277"/>
      <c r="I459" s="158"/>
      <c r="J459" s="277"/>
      <c r="K459" s="160">
        <f t="shared" ref="K459:K522" si="191">IF(M459&gt;0,I459/M459, )</f>
        <v>0</v>
      </c>
      <c r="L459" s="161">
        <f t="shared" si="184"/>
        <v>0</v>
      </c>
      <c r="M459" s="54"/>
      <c r="N459" s="55"/>
      <c r="O459" s="55"/>
      <c r="P459" s="55"/>
      <c r="Q459" s="162">
        <f t="shared" ref="Q459:Q522" si="192">SUM(N459:P459)</f>
        <v>0</v>
      </c>
      <c r="R459" s="277"/>
      <c r="S459" s="277"/>
      <c r="T459" s="277"/>
      <c r="U459" s="277"/>
      <c r="V459" s="97">
        <f t="shared" ref="V459:V522" si="193">SUM(S459:U459)</f>
        <v>0</v>
      </c>
      <c r="W459" s="279"/>
      <c r="X459" s="52"/>
      <c r="Y459" s="99"/>
      <c r="Z459" s="53"/>
      <c r="AA459" s="228"/>
      <c r="AB459" s="52"/>
      <c r="AC459" s="99"/>
      <c r="AD459" s="53"/>
      <c r="AE459" s="228"/>
      <c r="AF459" s="52"/>
      <c r="AG459" s="99"/>
      <c r="AH459" s="53"/>
      <c r="AI459" s="228"/>
      <c r="AJ459" s="52"/>
      <c r="AK459" s="99"/>
      <c r="AL459" s="53"/>
      <c r="AM459" s="228"/>
      <c r="AN459" s="52"/>
      <c r="AO459" s="99"/>
      <c r="AP459" s="53"/>
      <c r="AQ459" s="50">
        <f t="shared" si="185"/>
        <v>0</v>
      </c>
      <c r="AR459" s="163">
        <f t="shared" si="186"/>
        <v>0</v>
      </c>
      <c r="AS459" s="97">
        <f t="shared" si="187"/>
        <v>0</v>
      </c>
      <c r="AT459" s="278">
        <f t="shared" si="188"/>
        <v>0</v>
      </c>
      <c r="AU459" s="55"/>
      <c r="AV459" s="277"/>
      <c r="AW459" s="279"/>
      <c r="AX459" s="52"/>
      <c r="AY459" s="531"/>
      <c r="AZ459" s="98"/>
      <c r="BA459" s="279"/>
      <c r="BB459" s="52"/>
      <c r="BC459" s="105"/>
      <c r="BD459" s="98"/>
      <c r="BE459" s="279"/>
      <c r="BF459" s="52"/>
      <c r="BG459" s="105"/>
      <c r="BH459" s="98"/>
      <c r="BI459" s="279"/>
      <c r="BJ459" s="52"/>
      <c r="BK459" s="105"/>
      <c r="BL459" s="98"/>
      <c r="BM459" s="279"/>
      <c r="BN459" s="52"/>
      <c r="BO459" s="105"/>
      <c r="BP459" s="98"/>
      <c r="BQ459" s="279"/>
      <c r="BR459" s="52"/>
      <c r="BS459" s="105"/>
      <c r="BT459" s="98"/>
      <c r="BU459" s="279"/>
      <c r="BV459" s="52"/>
      <c r="BW459" s="105"/>
      <c r="BX459" s="98"/>
      <c r="BY459" s="279"/>
      <c r="BZ459" s="52"/>
      <c r="CA459" s="105"/>
      <c r="CB459" s="98"/>
      <c r="CC459" s="279"/>
      <c r="CD459" s="52"/>
      <c r="CE459" s="105"/>
      <c r="CF459" s="98"/>
      <c r="CG459" s="279"/>
      <c r="CH459" s="52"/>
      <c r="CI459" s="105"/>
      <c r="CJ459" s="98"/>
      <c r="CK459" s="281"/>
      <c r="CL459" s="277"/>
      <c r="CM459" s="159"/>
      <c r="CN459" s="277"/>
      <c r="CO459" s="50">
        <f t="shared" ref="CO459:CO522" si="194">AX459+BB459+BF459+BJ459+BN459+BR459+BV459+BZ459+CD459+CH459+CK459+CM459</f>
        <v>0</v>
      </c>
      <c r="CP459" s="103">
        <f t="shared" ref="CP459:CP522" si="195">COUNTA(AW459,BA459,BE459,BI459,BM459,BQ459,BU459,BY459,CC459,CG459)</f>
        <v>0</v>
      </c>
      <c r="CQ459" s="280">
        <f t="shared" ref="CQ459:CQ522" si="196">AZ459+BD459+BH459+BL459+BP459+BT459+BX459+CF459+CB459+CJ459+CL459+CN459</f>
        <v>0</v>
      </c>
      <c r="CR459" s="63">
        <f t="shared" ref="CR459:CR522" si="197">COUNTA(AY459,BC459,BG459,BK459,BO459,BS459,BW459,CE459,CA459,CI459)</f>
        <v>0</v>
      </c>
      <c r="CS459" s="279"/>
      <c r="CT459" s="52"/>
      <c r="CU459" s="105"/>
      <c r="CV459" s="98"/>
      <c r="CW459" s="279"/>
      <c r="CX459" s="52"/>
      <c r="CY459" s="105"/>
      <c r="CZ459" s="98"/>
      <c r="DA459" s="279"/>
      <c r="DB459" s="52"/>
      <c r="DC459" s="105"/>
      <c r="DD459" s="98"/>
      <c r="DE459" s="279"/>
      <c r="DF459" s="52"/>
      <c r="DG459" s="105"/>
      <c r="DH459" s="98"/>
      <c r="DI459" s="279"/>
      <c r="DJ459" s="52"/>
      <c r="DK459" s="105"/>
      <c r="DL459" s="98"/>
      <c r="DM459" s="279"/>
      <c r="DN459" s="52"/>
      <c r="DO459" s="105"/>
      <c r="DP459" s="98"/>
      <c r="DQ459" s="279"/>
      <c r="DR459" s="52"/>
      <c r="DS459" s="105"/>
      <c r="DT459" s="98"/>
      <c r="DU459" s="279"/>
      <c r="DV459" s="52"/>
      <c r="DW459" s="105"/>
      <c r="DX459" s="98"/>
      <c r="DY459" s="279"/>
      <c r="DZ459" s="52"/>
      <c r="EA459" s="105"/>
      <c r="EB459" s="98"/>
      <c r="EC459" s="279"/>
      <c r="ED459" s="52"/>
      <c r="EE459" s="105"/>
      <c r="EF459" s="98"/>
      <c r="EG459" s="159"/>
      <c r="EH459" s="277"/>
      <c r="EI459" s="50">
        <f t="shared" ref="EI459:EI522" si="198">CT459+CX459+DB459+DF459+DJ459+DN459+DR459+DV459+DZ459+ED459+EG459</f>
        <v>0</v>
      </c>
      <c r="EJ459" s="103">
        <f t="shared" ref="EJ459:EJ522" si="199">COUNTA(CS459,CW459,DA459,DE459,DI459,DM459,DQ459,DU459,DY459,EC459)</f>
        <v>0</v>
      </c>
      <c r="EK459" s="164">
        <f t="shared" ref="EK459:EK522" si="200">IF(EI459&gt;0,CT459/EI459,)</f>
        <v>0</v>
      </c>
      <c r="EL459" s="280">
        <f t="shared" ref="EL459:EL522" si="201">CV459+CZ459+DD459+DH459+DL459+DP459+DT459+DX459+EB459+EF459+EH459</f>
        <v>0</v>
      </c>
      <c r="EM459" s="63">
        <f t="shared" ref="EM459:EM522" si="202">COUNTA(CU459,CY459,DC459,DG459,DK459,DO459,DS459,DW459,EA459,EE459)</f>
        <v>0</v>
      </c>
      <c r="EN459" s="359">
        <f t="shared" ref="EN459:EN522" si="203">IF(EL459&gt;0,CV459/EL459,)</f>
        <v>0</v>
      </c>
      <c r="EO459" s="51">
        <f t="shared" ref="EO459:EO522" si="204">CO459+EI459</f>
        <v>0</v>
      </c>
      <c r="EP459" s="361">
        <f t="shared" ref="EP459:EP522" si="205">CQ459+EL459</f>
        <v>0</v>
      </c>
      <c r="EQ459" s="281"/>
      <c r="ER459" s="277"/>
      <c r="ES459" s="281"/>
      <c r="ET459" s="277"/>
      <c r="EU459" s="281"/>
      <c r="EV459" s="277"/>
      <c r="EW459" s="281"/>
      <c r="EX459" s="277"/>
      <c r="EY459" s="281"/>
      <c r="EZ459" s="277"/>
      <c r="FA459" s="281"/>
      <c r="FB459" s="277"/>
      <c r="FC459" s="281"/>
      <c r="FD459" s="277"/>
      <c r="FE459" s="281"/>
      <c r="FF459" s="277"/>
      <c r="FG459" s="281"/>
      <c r="FH459" s="277"/>
      <c r="FI459" s="281"/>
      <c r="FJ459" s="277"/>
      <c r="FK459" s="50">
        <f t="shared" ref="FK459:FK522" si="206">EQ459+ES459+EU459+EW459+EY459+FA459+FC459+FE459+FG459+FI459</f>
        <v>0</v>
      </c>
      <c r="FL459" s="63">
        <f t="shared" ref="FL459:FL522" si="207">ER459+ET459+EV459+EX459+EZ459+FB459+FD459+FF459+FH459+FJ459</f>
        <v>0</v>
      </c>
      <c r="FM459" s="50">
        <f t="shared" si="189"/>
        <v>15</v>
      </c>
      <c r="FN459" s="360">
        <f t="shared" si="190"/>
        <v>45</v>
      </c>
      <c r="FO459" s="3"/>
      <c r="FP459" s="279"/>
      <c r="FQ459" s="52"/>
      <c r="FR459" s="296"/>
      <c r="FS459" s="98"/>
      <c r="FT459" s="467"/>
      <c r="FU459" s="52"/>
      <c r="FV459" s="296"/>
      <c r="FW459" s="98"/>
      <c r="FX459" s="467"/>
      <c r="FY459" s="52"/>
      <c r="FZ459" s="296"/>
      <c r="GA459" s="98"/>
      <c r="GB459" s="467"/>
      <c r="GC459" s="52"/>
      <c r="GD459" s="296"/>
      <c r="GE459" s="98"/>
      <c r="GF459" s="467"/>
      <c r="GG459" s="52"/>
      <c r="GH459" s="296"/>
      <c r="GI459" s="98"/>
      <c r="GJ459" s="467"/>
      <c r="GK459" s="52"/>
      <c r="GL459" s="296"/>
      <c r="GM459" s="464"/>
      <c r="GN459" s="467"/>
      <c r="GO459" s="52"/>
      <c r="GP459" s="296"/>
      <c r="GQ459" s="464"/>
      <c r="GR459" s="467"/>
      <c r="GS459" s="52"/>
      <c r="GT459" s="296"/>
      <c r="GU459" s="464"/>
      <c r="GV459" s="467"/>
      <c r="GW459" s="52"/>
      <c r="GX459" s="296"/>
      <c r="GY459" s="464"/>
      <c r="GZ459" s="467"/>
      <c r="HA459" s="52"/>
      <c r="HB459" s="296"/>
      <c r="HC459" s="3"/>
    </row>
    <row r="460" spans="1:211" s="86" customFormat="1">
      <c r="A460" s="489" t="s">
        <v>31</v>
      </c>
      <c r="B460" s="308" t="s">
        <v>404</v>
      </c>
      <c r="C460" s="307">
        <v>375762</v>
      </c>
      <c r="D460" s="341">
        <v>13</v>
      </c>
      <c r="E460" s="460">
        <v>41</v>
      </c>
      <c r="F460" s="535">
        <v>32</v>
      </c>
      <c r="G460" s="460">
        <v>3</v>
      </c>
      <c r="H460" s="277"/>
      <c r="I460" s="158"/>
      <c r="J460" s="535"/>
      <c r="K460" s="160">
        <f t="shared" si="191"/>
        <v>0</v>
      </c>
      <c r="L460" s="161">
        <f t="shared" si="184"/>
        <v>0</v>
      </c>
      <c r="M460" s="54"/>
      <c r="N460" s="55"/>
      <c r="O460" s="55"/>
      <c r="P460" s="55"/>
      <c r="Q460" s="162">
        <f t="shared" si="192"/>
        <v>0</v>
      </c>
      <c r="R460" s="535"/>
      <c r="S460" s="535"/>
      <c r="T460" s="277"/>
      <c r="U460" s="277"/>
      <c r="V460" s="97">
        <f t="shared" si="193"/>
        <v>0</v>
      </c>
      <c r="W460" s="279"/>
      <c r="X460" s="52"/>
      <c r="Y460" s="99"/>
      <c r="Z460" s="53"/>
      <c r="AA460" s="228"/>
      <c r="AB460" s="52"/>
      <c r="AC460" s="99"/>
      <c r="AD460" s="53"/>
      <c r="AE460" s="228"/>
      <c r="AF460" s="52"/>
      <c r="AG460" s="99"/>
      <c r="AH460" s="53"/>
      <c r="AI460" s="228"/>
      <c r="AJ460" s="52"/>
      <c r="AK460" s="99"/>
      <c r="AL460" s="53"/>
      <c r="AM460" s="228"/>
      <c r="AN460" s="52"/>
      <c r="AO460" s="99"/>
      <c r="AP460" s="53"/>
      <c r="AQ460" s="50">
        <f t="shared" si="185"/>
        <v>0</v>
      </c>
      <c r="AR460" s="163">
        <f t="shared" si="186"/>
        <v>0</v>
      </c>
      <c r="AS460" s="97">
        <f t="shared" si="187"/>
        <v>0</v>
      </c>
      <c r="AT460" s="278">
        <f t="shared" si="188"/>
        <v>0</v>
      </c>
      <c r="AU460" s="55"/>
      <c r="AV460" s="277"/>
      <c r="AW460" s="279"/>
      <c r="AX460" s="536"/>
      <c r="AY460" s="98"/>
      <c r="AZ460" s="98"/>
      <c r="BA460" s="279"/>
      <c r="BB460" s="536"/>
      <c r="BC460" s="98"/>
      <c r="BD460" s="98"/>
      <c r="BE460" s="279"/>
      <c r="BF460" s="536"/>
      <c r="BG460" s="98"/>
      <c r="BH460" s="98"/>
      <c r="BI460" s="279"/>
      <c r="BJ460" s="536"/>
      <c r="BK460" s="98"/>
      <c r="BL460" s="98"/>
      <c r="BM460" s="279"/>
      <c r="BN460" s="536"/>
      <c r="BO460" s="98"/>
      <c r="BP460" s="98"/>
      <c r="BQ460" s="279"/>
      <c r="BR460" s="536"/>
      <c r="BS460" s="98"/>
      <c r="BT460" s="98"/>
      <c r="BU460" s="279"/>
      <c r="BV460" s="536"/>
      <c r="BW460" s="98"/>
      <c r="BX460" s="98"/>
      <c r="BY460" s="279"/>
      <c r="BZ460" s="536"/>
      <c r="CA460" s="98"/>
      <c r="CB460" s="98"/>
      <c r="CC460" s="279"/>
      <c r="CD460" s="536"/>
      <c r="CE460" s="98"/>
      <c r="CF460" s="98"/>
      <c r="CG460" s="279"/>
      <c r="CH460" s="536"/>
      <c r="CI460" s="98"/>
      <c r="CJ460" s="98"/>
      <c r="CK460" s="281"/>
      <c r="CL460" s="277"/>
      <c r="CM460" s="54"/>
      <c r="CN460" s="390"/>
      <c r="CO460" s="50">
        <f t="shared" si="194"/>
        <v>0</v>
      </c>
      <c r="CP460" s="103">
        <f t="shared" si="195"/>
        <v>0</v>
      </c>
      <c r="CQ460" s="280">
        <f t="shared" si="196"/>
        <v>0</v>
      </c>
      <c r="CR460" s="63">
        <f t="shared" si="197"/>
        <v>0</v>
      </c>
      <c r="CS460" s="279"/>
      <c r="CT460" s="536"/>
      <c r="CU460" s="98"/>
      <c r="CV460" s="98"/>
      <c r="CW460" s="279"/>
      <c r="CX460" s="536"/>
      <c r="CY460" s="98"/>
      <c r="CZ460" s="98"/>
      <c r="DA460" s="279"/>
      <c r="DB460" s="536"/>
      <c r="DC460" s="98"/>
      <c r="DD460" s="98"/>
      <c r="DE460" s="279"/>
      <c r="DF460" s="536"/>
      <c r="DG460" s="98"/>
      <c r="DH460" s="98"/>
      <c r="DI460" s="279"/>
      <c r="DJ460" s="536"/>
      <c r="DK460" s="98"/>
      <c r="DL460" s="98"/>
      <c r="DM460" s="279"/>
      <c r="DN460" s="536"/>
      <c r="DO460" s="98"/>
      <c r="DP460" s="98"/>
      <c r="DQ460" s="279"/>
      <c r="DR460" s="536"/>
      <c r="DS460" s="98"/>
      <c r="DT460" s="98"/>
      <c r="DU460" s="279"/>
      <c r="DV460" s="536"/>
      <c r="DW460" s="98"/>
      <c r="DX460" s="98"/>
      <c r="DY460" s="279"/>
      <c r="DZ460" s="536"/>
      <c r="EA460" s="98"/>
      <c r="EB460" s="98"/>
      <c r="EC460" s="279"/>
      <c r="ED460" s="536"/>
      <c r="EE460" s="98"/>
      <c r="EF460" s="98"/>
      <c r="EG460" s="54"/>
      <c r="EH460" s="390"/>
      <c r="EI460" s="50">
        <f t="shared" si="198"/>
        <v>0</v>
      </c>
      <c r="EJ460" s="103">
        <f t="shared" si="199"/>
        <v>0</v>
      </c>
      <c r="EK460" s="164">
        <f t="shared" si="200"/>
        <v>0</v>
      </c>
      <c r="EL460" s="280">
        <f t="shared" si="201"/>
        <v>0</v>
      </c>
      <c r="EM460" s="63">
        <f t="shared" si="202"/>
        <v>0</v>
      </c>
      <c r="EN460" s="359">
        <f t="shared" si="203"/>
        <v>0</v>
      </c>
      <c r="EO460" s="51">
        <f t="shared" si="204"/>
        <v>0</v>
      </c>
      <c r="EP460" s="361">
        <f t="shared" si="205"/>
        <v>0</v>
      </c>
      <c r="EQ460" s="281"/>
      <c r="ER460" s="277"/>
      <c r="ES460" s="281"/>
      <c r="ET460" s="277"/>
      <c r="EU460" s="281"/>
      <c r="EV460" s="277"/>
      <c r="EW460" s="281"/>
      <c r="EX460" s="277"/>
      <c r="EY460" s="281"/>
      <c r="EZ460" s="277"/>
      <c r="FA460" s="281"/>
      <c r="FB460" s="277"/>
      <c r="FC460" s="281"/>
      <c r="FD460" s="277"/>
      <c r="FE460" s="281"/>
      <c r="FF460" s="277"/>
      <c r="FG460" s="281"/>
      <c r="FH460" s="277"/>
      <c r="FI460" s="281"/>
      <c r="FJ460" s="277"/>
      <c r="FK460" s="50">
        <f t="shared" si="206"/>
        <v>0</v>
      </c>
      <c r="FL460" s="63">
        <f t="shared" si="207"/>
        <v>0</v>
      </c>
      <c r="FM460" s="50">
        <f t="shared" si="189"/>
        <v>44</v>
      </c>
      <c r="FN460" s="360">
        <f t="shared" si="190"/>
        <v>32</v>
      </c>
      <c r="FO460" s="3"/>
      <c r="FP460" s="279"/>
      <c r="FQ460" s="52"/>
      <c r="FR460" s="296"/>
      <c r="FS460" s="98"/>
      <c r="FT460" s="467"/>
      <c r="FU460" s="52"/>
      <c r="FV460" s="296"/>
      <c r="FW460" s="98"/>
      <c r="FX460" s="467"/>
      <c r="FY460" s="52"/>
      <c r="FZ460" s="296"/>
      <c r="GA460" s="98"/>
      <c r="GB460" s="467"/>
      <c r="GC460" s="52"/>
      <c r="GD460" s="296"/>
      <c r="GE460" s="98"/>
      <c r="GF460" s="467"/>
      <c r="GG460" s="52"/>
      <c r="GH460" s="296"/>
      <c r="GI460" s="98"/>
      <c r="GJ460" s="467"/>
      <c r="GK460" s="52"/>
      <c r="GL460" s="296"/>
      <c r="GM460" s="464"/>
      <c r="GN460" s="467"/>
      <c r="GO460" s="52"/>
      <c r="GP460" s="296"/>
      <c r="GQ460" s="464"/>
      <c r="GR460" s="467"/>
      <c r="GS460" s="52"/>
      <c r="GT460" s="296"/>
      <c r="GU460" s="464"/>
      <c r="GV460" s="467"/>
      <c r="GW460" s="52"/>
      <c r="GX460" s="296"/>
      <c r="GY460" s="464"/>
      <c r="GZ460" s="467"/>
      <c r="HA460" s="52"/>
      <c r="HB460" s="296"/>
      <c r="HC460" s="3"/>
    </row>
    <row r="461" spans="1:211" s="86" customFormat="1">
      <c r="A461" s="489" t="s">
        <v>31</v>
      </c>
      <c r="B461" s="308" t="s">
        <v>405</v>
      </c>
      <c r="C461" s="307">
        <v>365480</v>
      </c>
      <c r="D461" s="341">
        <v>13</v>
      </c>
      <c r="E461" s="460">
        <v>185</v>
      </c>
      <c r="F461" s="535">
        <v>296</v>
      </c>
      <c r="G461" s="460">
        <v>39</v>
      </c>
      <c r="H461" s="277">
        <v>31</v>
      </c>
      <c r="I461" s="158"/>
      <c r="J461" s="535"/>
      <c r="K461" s="160">
        <f t="shared" si="191"/>
        <v>0</v>
      </c>
      <c r="L461" s="161">
        <f t="shared" si="184"/>
        <v>0</v>
      </c>
      <c r="M461" s="54"/>
      <c r="N461" s="55"/>
      <c r="O461" s="55"/>
      <c r="P461" s="55"/>
      <c r="Q461" s="162">
        <f t="shared" si="192"/>
        <v>0</v>
      </c>
      <c r="R461" s="535"/>
      <c r="S461" s="535"/>
      <c r="T461" s="277"/>
      <c r="U461" s="277"/>
      <c r="V461" s="97">
        <f t="shared" si="193"/>
        <v>0</v>
      </c>
      <c r="W461" s="279"/>
      <c r="X461" s="52"/>
      <c r="Y461" s="99"/>
      <c r="Z461" s="53"/>
      <c r="AA461" s="228"/>
      <c r="AB461" s="52"/>
      <c r="AC461" s="99"/>
      <c r="AD461" s="53"/>
      <c r="AE461" s="228"/>
      <c r="AF461" s="52"/>
      <c r="AG461" s="99"/>
      <c r="AH461" s="53"/>
      <c r="AI461" s="228"/>
      <c r="AJ461" s="52"/>
      <c r="AK461" s="99"/>
      <c r="AL461" s="53"/>
      <c r="AM461" s="228"/>
      <c r="AN461" s="52"/>
      <c r="AO461" s="99"/>
      <c r="AP461" s="53"/>
      <c r="AQ461" s="50">
        <f t="shared" si="185"/>
        <v>0</v>
      </c>
      <c r="AR461" s="163">
        <f t="shared" si="186"/>
        <v>0</v>
      </c>
      <c r="AS461" s="97">
        <f t="shared" si="187"/>
        <v>0</v>
      </c>
      <c r="AT461" s="278">
        <f t="shared" si="188"/>
        <v>0</v>
      </c>
      <c r="AU461" s="55"/>
      <c r="AV461" s="277"/>
      <c r="AW461" s="279"/>
      <c r="AX461" s="536"/>
      <c r="AY461" s="98"/>
      <c r="AZ461" s="98"/>
      <c r="BA461" s="279"/>
      <c r="BB461" s="536"/>
      <c r="BC461" s="98"/>
      <c r="BD461" s="98"/>
      <c r="BE461" s="279"/>
      <c r="BF461" s="536"/>
      <c r="BG461" s="98"/>
      <c r="BH461" s="98"/>
      <c r="BI461" s="279"/>
      <c r="BJ461" s="536"/>
      <c r="BK461" s="98"/>
      <c r="BL461" s="98"/>
      <c r="BM461" s="279"/>
      <c r="BN461" s="536"/>
      <c r="BO461" s="98"/>
      <c r="BP461" s="98"/>
      <c r="BQ461" s="279"/>
      <c r="BR461" s="536"/>
      <c r="BS461" s="98"/>
      <c r="BT461" s="98"/>
      <c r="BU461" s="279"/>
      <c r="BV461" s="536"/>
      <c r="BW461" s="98"/>
      <c r="BX461" s="98"/>
      <c r="BY461" s="279"/>
      <c r="BZ461" s="536"/>
      <c r="CA461" s="98"/>
      <c r="CB461" s="98"/>
      <c r="CC461" s="279"/>
      <c r="CD461" s="536"/>
      <c r="CE461" s="98"/>
      <c r="CF461" s="98"/>
      <c r="CG461" s="279"/>
      <c r="CH461" s="536"/>
      <c r="CI461" s="98"/>
      <c r="CJ461" s="98"/>
      <c r="CK461" s="281"/>
      <c r="CL461" s="277"/>
      <c r="CM461" s="54"/>
      <c r="CN461" s="390"/>
      <c r="CO461" s="50">
        <f t="shared" si="194"/>
        <v>0</v>
      </c>
      <c r="CP461" s="103">
        <f t="shared" si="195"/>
        <v>0</v>
      </c>
      <c r="CQ461" s="280">
        <f t="shared" si="196"/>
        <v>0</v>
      </c>
      <c r="CR461" s="63">
        <f t="shared" si="197"/>
        <v>0</v>
      </c>
      <c r="CS461" s="279"/>
      <c r="CT461" s="536"/>
      <c r="CU461" s="98"/>
      <c r="CV461" s="98"/>
      <c r="CW461" s="279"/>
      <c r="CX461" s="536"/>
      <c r="CY461" s="98"/>
      <c r="CZ461" s="98"/>
      <c r="DA461" s="279"/>
      <c r="DB461" s="536"/>
      <c r="DC461" s="98"/>
      <c r="DD461" s="98"/>
      <c r="DE461" s="279"/>
      <c r="DF461" s="536"/>
      <c r="DG461" s="98"/>
      <c r="DH461" s="98"/>
      <c r="DI461" s="279"/>
      <c r="DJ461" s="536"/>
      <c r="DK461" s="98"/>
      <c r="DL461" s="98"/>
      <c r="DM461" s="279"/>
      <c r="DN461" s="536"/>
      <c r="DO461" s="98"/>
      <c r="DP461" s="98"/>
      <c r="DQ461" s="279"/>
      <c r="DR461" s="536"/>
      <c r="DS461" s="98"/>
      <c r="DT461" s="98"/>
      <c r="DU461" s="279"/>
      <c r="DV461" s="536"/>
      <c r="DW461" s="98"/>
      <c r="DX461" s="98"/>
      <c r="DY461" s="279"/>
      <c r="DZ461" s="52"/>
      <c r="EA461" s="105"/>
      <c r="EB461" s="98"/>
      <c r="EC461" s="279"/>
      <c r="ED461" s="52"/>
      <c r="EE461" s="105"/>
      <c r="EF461" s="98"/>
      <c r="EG461" s="159"/>
      <c r="EH461" s="277"/>
      <c r="EI461" s="50">
        <f t="shared" si="198"/>
        <v>0</v>
      </c>
      <c r="EJ461" s="103">
        <f t="shared" si="199"/>
        <v>0</v>
      </c>
      <c r="EK461" s="164">
        <f t="shared" si="200"/>
        <v>0</v>
      </c>
      <c r="EL461" s="280">
        <f t="shared" si="201"/>
        <v>0</v>
      </c>
      <c r="EM461" s="63">
        <f t="shared" si="202"/>
        <v>0</v>
      </c>
      <c r="EN461" s="359">
        <f t="shared" si="203"/>
        <v>0</v>
      </c>
      <c r="EO461" s="51">
        <f t="shared" si="204"/>
        <v>0</v>
      </c>
      <c r="EP461" s="361">
        <f t="shared" si="205"/>
        <v>0</v>
      </c>
      <c r="EQ461" s="281"/>
      <c r="ER461" s="277"/>
      <c r="ES461" s="281"/>
      <c r="ET461" s="277"/>
      <c r="EU461" s="281"/>
      <c r="EV461" s="277"/>
      <c r="EW461" s="281"/>
      <c r="EX461" s="277"/>
      <c r="EY461" s="281"/>
      <c r="EZ461" s="277"/>
      <c r="FA461" s="281"/>
      <c r="FB461" s="277"/>
      <c r="FC461" s="281"/>
      <c r="FD461" s="277"/>
      <c r="FE461" s="281"/>
      <c r="FF461" s="277"/>
      <c r="FG461" s="281"/>
      <c r="FH461" s="277"/>
      <c r="FI461" s="281"/>
      <c r="FJ461" s="277"/>
      <c r="FK461" s="50">
        <f t="shared" si="206"/>
        <v>0</v>
      </c>
      <c r="FL461" s="63">
        <f t="shared" si="207"/>
        <v>0</v>
      </c>
      <c r="FM461" s="50">
        <f t="shared" si="189"/>
        <v>224</v>
      </c>
      <c r="FN461" s="360">
        <f t="shared" si="190"/>
        <v>327</v>
      </c>
      <c r="FO461" s="3"/>
      <c r="FP461" s="279"/>
      <c r="FQ461" s="52"/>
      <c r="FR461" s="296"/>
      <c r="FS461" s="98"/>
      <c r="FT461" s="467"/>
      <c r="FU461" s="52"/>
      <c r="FV461" s="296"/>
      <c r="FW461" s="98"/>
      <c r="FX461" s="467"/>
      <c r="FY461" s="52"/>
      <c r="FZ461" s="296"/>
      <c r="GA461" s="98"/>
      <c r="GB461" s="467"/>
      <c r="GC461" s="52"/>
      <c r="GD461" s="296"/>
      <c r="GE461" s="98"/>
      <c r="GF461" s="467"/>
      <c r="GG461" s="52"/>
      <c r="GH461" s="296"/>
      <c r="GI461" s="98"/>
      <c r="GJ461" s="467"/>
      <c r="GK461" s="52"/>
      <c r="GL461" s="296"/>
      <c r="GM461" s="464"/>
      <c r="GN461" s="467"/>
      <c r="GO461" s="52"/>
      <c r="GP461" s="296"/>
      <c r="GQ461" s="464"/>
      <c r="GR461" s="467"/>
      <c r="GS461" s="52"/>
      <c r="GT461" s="296"/>
      <c r="GU461" s="464"/>
      <c r="GV461" s="467"/>
      <c r="GW461" s="52"/>
      <c r="GX461" s="296"/>
      <c r="GY461" s="464"/>
      <c r="GZ461" s="467"/>
      <c r="HA461" s="52"/>
      <c r="HB461" s="296"/>
      <c r="HC461" s="3"/>
    </row>
    <row r="462" spans="1:211" s="86" customFormat="1">
      <c r="A462" s="489" t="s">
        <v>31</v>
      </c>
      <c r="B462" s="308" t="s">
        <v>406</v>
      </c>
      <c r="C462" s="307">
        <v>418320</v>
      </c>
      <c r="D462" s="341">
        <v>13</v>
      </c>
      <c r="E462" s="460">
        <v>214</v>
      </c>
      <c r="F462" s="535">
        <v>250</v>
      </c>
      <c r="G462" s="460"/>
      <c r="H462" s="277">
        <v>7</v>
      </c>
      <c r="I462" s="158"/>
      <c r="J462" s="535"/>
      <c r="K462" s="160">
        <f t="shared" si="191"/>
        <v>0</v>
      </c>
      <c r="L462" s="161">
        <f t="shared" si="184"/>
        <v>0</v>
      </c>
      <c r="M462" s="54"/>
      <c r="N462" s="55"/>
      <c r="O462" s="55"/>
      <c r="P462" s="55"/>
      <c r="Q462" s="162">
        <f t="shared" si="192"/>
        <v>0</v>
      </c>
      <c r="R462" s="535"/>
      <c r="S462" s="535"/>
      <c r="T462" s="277"/>
      <c r="U462" s="277"/>
      <c r="V462" s="97">
        <f t="shared" si="193"/>
        <v>0</v>
      </c>
      <c r="W462" s="279"/>
      <c r="X462" s="52"/>
      <c r="Y462" s="99"/>
      <c r="Z462" s="53"/>
      <c r="AA462" s="228"/>
      <c r="AB462" s="52"/>
      <c r="AC462" s="99"/>
      <c r="AD462" s="53"/>
      <c r="AE462" s="228"/>
      <c r="AF462" s="52"/>
      <c r="AG462" s="99"/>
      <c r="AH462" s="53"/>
      <c r="AI462" s="228"/>
      <c r="AJ462" s="52"/>
      <c r="AK462" s="99"/>
      <c r="AL462" s="53"/>
      <c r="AM462" s="228"/>
      <c r="AN462" s="52"/>
      <c r="AO462" s="99"/>
      <c r="AP462" s="53"/>
      <c r="AQ462" s="50">
        <f t="shared" si="185"/>
        <v>0</v>
      </c>
      <c r="AR462" s="163">
        <f t="shared" si="186"/>
        <v>0</v>
      </c>
      <c r="AS462" s="97">
        <f t="shared" si="187"/>
        <v>0</v>
      </c>
      <c r="AT462" s="278">
        <f t="shared" si="188"/>
        <v>0</v>
      </c>
      <c r="AU462" s="55"/>
      <c r="AV462" s="277"/>
      <c r="AW462" s="279"/>
      <c r="AX462" s="536"/>
      <c r="AY462" s="98"/>
      <c r="AZ462" s="98"/>
      <c r="BA462" s="279"/>
      <c r="BB462" s="536"/>
      <c r="BC462" s="98"/>
      <c r="BD462" s="98"/>
      <c r="BE462" s="279"/>
      <c r="BF462" s="536"/>
      <c r="BG462" s="98"/>
      <c r="BH462" s="98"/>
      <c r="BI462" s="279"/>
      <c r="BJ462" s="536"/>
      <c r="BK462" s="98"/>
      <c r="BL462" s="98"/>
      <c r="BM462" s="279"/>
      <c r="BN462" s="536"/>
      <c r="BO462" s="98"/>
      <c r="BP462" s="98"/>
      <c r="BQ462" s="279"/>
      <c r="BR462" s="536"/>
      <c r="BS462" s="98"/>
      <c r="BT462" s="98"/>
      <c r="BU462" s="279"/>
      <c r="BV462" s="536"/>
      <c r="BW462" s="98"/>
      <c r="BX462" s="98"/>
      <c r="BY462" s="279"/>
      <c r="BZ462" s="536"/>
      <c r="CA462" s="98"/>
      <c r="CB462" s="98"/>
      <c r="CC462" s="279"/>
      <c r="CD462" s="536"/>
      <c r="CE462" s="98"/>
      <c r="CF462" s="98"/>
      <c r="CG462" s="279"/>
      <c r="CH462" s="536"/>
      <c r="CI462" s="98"/>
      <c r="CJ462" s="98"/>
      <c r="CK462" s="281"/>
      <c r="CL462" s="277"/>
      <c r="CM462" s="54"/>
      <c r="CN462" s="390"/>
      <c r="CO462" s="50">
        <f t="shared" si="194"/>
        <v>0</v>
      </c>
      <c r="CP462" s="103">
        <f t="shared" si="195"/>
        <v>0</v>
      </c>
      <c r="CQ462" s="280">
        <f t="shared" si="196"/>
        <v>0</v>
      </c>
      <c r="CR462" s="63">
        <f t="shared" si="197"/>
        <v>0</v>
      </c>
      <c r="CS462" s="279"/>
      <c r="CT462" s="536"/>
      <c r="CU462" s="98"/>
      <c r="CV462" s="98"/>
      <c r="CW462" s="279"/>
      <c r="CX462" s="536"/>
      <c r="CY462" s="98"/>
      <c r="CZ462" s="98"/>
      <c r="DA462" s="279"/>
      <c r="DB462" s="536"/>
      <c r="DC462" s="98"/>
      <c r="DD462" s="98"/>
      <c r="DE462" s="279"/>
      <c r="DF462" s="536"/>
      <c r="DG462" s="98"/>
      <c r="DH462" s="98"/>
      <c r="DI462" s="279"/>
      <c r="DJ462" s="536"/>
      <c r="DK462" s="98"/>
      <c r="DL462" s="98"/>
      <c r="DM462" s="279"/>
      <c r="DN462" s="536"/>
      <c r="DO462" s="98"/>
      <c r="DP462" s="98"/>
      <c r="DQ462" s="279"/>
      <c r="DR462" s="536"/>
      <c r="DS462" s="98"/>
      <c r="DT462" s="98"/>
      <c r="DU462" s="279"/>
      <c r="DV462" s="536"/>
      <c r="DW462" s="98"/>
      <c r="DX462" s="98"/>
      <c r="DY462" s="279"/>
      <c r="DZ462" s="52"/>
      <c r="EA462" s="105"/>
      <c r="EB462" s="98"/>
      <c r="EC462" s="279"/>
      <c r="ED462" s="52"/>
      <c r="EE462" s="105"/>
      <c r="EF462" s="98"/>
      <c r="EG462" s="159"/>
      <c r="EH462" s="277"/>
      <c r="EI462" s="50">
        <f t="shared" si="198"/>
        <v>0</v>
      </c>
      <c r="EJ462" s="103">
        <f t="shared" si="199"/>
        <v>0</v>
      </c>
      <c r="EK462" s="164">
        <f t="shared" si="200"/>
        <v>0</v>
      </c>
      <c r="EL462" s="280">
        <f t="shared" si="201"/>
        <v>0</v>
      </c>
      <c r="EM462" s="63">
        <f t="shared" si="202"/>
        <v>0</v>
      </c>
      <c r="EN462" s="359">
        <f t="shared" si="203"/>
        <v>0</v>
      </c>
      <c r="EO462" s="51">
        <f t="shared" si="204"/>
        <v>0</v>
      </c>
      <c r="EP462" s="361">
        <f t="shared" si="205"/>
        <v>0</v>
      </c>
      <c r="EQ462" s="281"/>
      <c r="ER462" s="277"/>
      <c r="ES462" s="281"/>
      <c r="ET462" s="277"/>
      <c r="EU462" s="281"/>
      <c r="EV462" s="277"/>
      <c r="EW462" s="281"/>
      <c r="EX462" s="277"/>
      <c r="EY462" s="281"/>
      <c r="EZ462" s="277"/>
      <c r="FA462" s="281"/>
      <c r="FB462" s="277"/>
      <c r="FC462" s="281"/>
      <c r="FD462" s="277"/>
      <c r="FE462" s="281"/>
      <c r="FF462" s="277"/>
      <c r="FG462" s="281"/>
      <c r="FH462" s="277"/>
      <c r="FI462" s="281"/>
      <c r="FJ462" s="277"/>
      <c r="FK462" s="50">
        <f t="shared" si="206"/>
        <v>0</v>
      </c>
      <c r="FL462" s="63">
        <f t="shared" si="207"/>
        <v>0</v>
      </c>
      <c r="FM462" s="50">
        <f t="shared" si="189"/>
        <v>214</v>
      </c>
      <c r="FN462" s="360">
        <f t="shared" si="190"/>
        <v>257</v>
      </c>
      <c r="FO462" s="3"/>
      <c r="FP462" s="279"/>
      <c r="FQ462" s="52"/>
      <c r="FR462" s="296"/>
      <c r="FS462" s="98"/>
      <c r="FT462" s="467"/>
      <c r="FU462" s="52"/>
      <c r="FV462" s="296"/>
      <c r="FW462" s="98"/>
      <c r="FX462" s="467"/>
      <c r="FY462" s="52"/>
      <c r="FZ462" s="296"/>
      <c r="GA462" s="98"/>
      <c r="GB462" s="467"/>
      <c r="GC462" s="52"/>
      <c r="GD462" s="296"/>
      <c r="GE462" s="98"/>
      <c r="GF462" s="467"/>
      <c r="GG462" s="52"/>
      <c r="GH462" s="296"/>
      <c r="GI462" s="98"/>
      <c r="GJ462" s="467"/>
      <c r="GK462" s="52"/>
      <c r="GL462" s="296"/>
      <c r="GM462" s="464"/>
      <c r="GN462" s="467"/>
      <c r="GO462" s="52"/>
      <c r="GP462" s="296"/>
      <c r="GQ462" s="464"/>
      <c r="GR462" s="467"/>
      <c r="GS462" s="52"/>
      <c r="GT462" s="296"/>
      <c r="GU462" s="464"/>
      <c r="GV462" s="467"/>
      <c r="GW462" s="52"/>
      <c r="GX462" s="296"/>
      <c r="GY462" s="464"/>
      <c r="GZ462" s="467"/>
      <c r="HA462" s="52"/>
      <c r="HB462" s="296"/>
      <c r="HC462" s="3"/>
    </row>
    <row r="463" spans="1:211" s="86" customFormat="1">
      <c r="A463" s="489" t="s">
        <v>31</v>
      </c>
      <c r="B463" s="308" t="s">
        <v>407</v>
      </c>
      <c r="C463" s="307">
        <v>431017</v>
      </c>
      <c r="D463" s="341">
        <v>13</v>
      </c>
      <c r="E463" s="460">
        <v>60</v>
      </c>
      <c r="F463" s="535">
        <v>234</v>
      </c>
      <c r="G463" s="460"/>
      <c r="H463" s="277"/>
      <c r="I463" s="158"/>
      <c r="J463" s="535"/>
      <c r="K463" s="160">
        <f t="shared" si="191"/>
        <v>0</v>
      </c>
      <c r="L463" s="161">
        <f t="shared" si="184"/>
        <v>0</v>
      </c>
      <c r="M463" s="54"/>
      <c r="N463" s="55"/>
      <c r="O463" s="55"/>
      <c r="P463" s="55"/>
      <c r="Q463" s="162">
        <f t="shared" si="192"/>
        <v>0</v>
      </c>
      <c r="R463" s="535"/>
      <c r="S463" s="535"/>
      <c r="T463" s="277"/>
      <c r="U463" s="277"/>
      <c r="V463" s="97">
        <f t="shared" si="193"/>
        <v>0</v>
      </c>
      <c r="W463" s="279"/>
      <c r="X463" s="52"/>
      <c r="Y463" s="99"/>
      <c r="Z463" s="53"/>
      <c r="AA463" s="228"/>
      <c r="AB463" s="52"/>
      <c r="AC463" s="99"/>
      <c r="AD463" s="53"/>
      <c r="AE463" s="228"/>
      <c r="AF463" s="52"/>
      <c r="AG463" s="99"/>
      <c r="AH463" s="53"/>
      <c r="AI463" s="228"/>
      <c r="AJ463" s="52"/>
      <c r="AK463" s="99"/>
      <c r="AL463" s="53"/>
      <c r="AM463" s="228"/>
      <c r="AN463" s="52"/>
      <c r="AO463" s="99"/>
      <c r="AP463" s="53"/>
      <c r="AQ463" s="50">
        <f t="shared" si="185"/>
        <v>0</v>
      </c>
      <c r="AR463" s="163">
        <f t="shared" si="186"/>
        <v>0</v>
      </c>
      <c r="AS463" s="97">
        <f t="shared" si="187"/>
        <v>0</v>
      </c>
      <c r="AT463" s="278">
        <f t="shared" si="188"/>
        <v>0</v>
      </c>
      <c r="AU463" s="55"/>
      <c r="AV463" s="277"/>
      <c r="AW463" s="279"/>
      <c r="AX463" s="536"/>
      <c r="AY463" s="98"/>
      <c r="AZ463" s="98"/>
      <c r="BA463" s="279"/>
      <c r="BB463" s="536"/>
      <c r="BC463" s="98"/>
      <c r="BD463" s="98"/>
      <c r="BE463" s="279"/>
      <c r="BF463" s="536"/>
      <c r="BG463" s="98"/>
      <c r="BH463" s="98"/>
      <c r="BI463" s="279"/>
      <c r="BJ463" s="536"/>
      <c r="BK463" s="98"/>
      <c r="BL463" s="98"/>
      <c r="BM463" s="279"/>
      <c r="BN463" s="536"/>
      <c r="BO463" s="98"/>
      <c r="BP463" s="98"/>
      <c r="BQ463" s="279"/>
      <c r="BR463" s="536"/>
      <c r="BS463" s="98"/>
      <c r="BT463" s="98"/>
      <c r="BU463" s="279"/>
      <c r="BV463" s="536"/>
      <c r="BW463" s="98"/>
      <c r="BX463" s="98"/>
      <c r="BY463" s="279"/>
      <c r="BZ463" s="536"/>
      <c r="CA463" s="98"/>
      <c r="CB463" s="98"/>
      <c r="CC463" s="279"/>
      <c r="CD463" s="536"/>
      <c r="CE463" s="98"/>
      <c r="CF463" s="98"/>
      <c r="CG463" s="279"/>
      <c r="CH463" s="536"/>
      <c r="CI463" s="98"/>
      <c r="CJ463" s="98"/>
      <c r="CK463" s="281"/>
      <c r="CL463" s="277"/>
      <c r="CM463" s="54"/>
      <c r="CN463" s="390"/>
      <c r="CO463" s="50">
        <f t="shared" si="194"/>
        <v>0</v>
      </c>
      <c r="CP463" s="103">
        <f t="shared" si="195"/>
        <v>0</v>
      </c>
      <c r="CQ463" s="280">
        <f t="shared" si="196"/>
        <v>0</v>
      </c>
      <c r="CR463" s="63">
        <f t="shared" si="197"/>
        <v>0</v>
      </c>
      <c r="CS463" s="279"/>
      <c r="CT463" s="536"/>
      <c r="CU463" s="98"/>
      <c r="CV463" s="98"/>
      <c r="CW463" s="279"/>
      <c r="CX463" s="536"/>
      <c r="CY463" s="98"/>
      <c r="CZ463" s="98"/>
      <c r="DA463" s="279"/>
      <c r="DB463" s="536"/>
      <c r="DC463" s="98"/>
      <c r="DD463" s="98"/>
      <c r="DE463" s="279"/>
      <c r="DF463" s="536"/>
      <c r="DG463" s="98"/>
      <c r="DH463" s="98"/>
      <c r="DI463" s="279"/>
      <c r="DJ463" s="536"/>
      <c r="DK463" s="98"/>
      <c r="DL463" s="98"/>
      <c r="DM463" s="279"/>
      <c r="DN463" s="536"/>
      <c r="DO463" s="98"/>
      <c r="DP463" s="98"/>
      <c r="DQ463" s="279"/>
      <c r="DR463" s="536"/>
      <c r="DS463" s="98"/>
      <c r="DT463" s="98"/>
      <c r="DU463" s="279"/>
      <c r="DV463" s="52"/>
      <c r="DW463" s="105"/>
      <c r="DX463" s="98"/>
      <c r="DY463" s="279"/>
      <c r="DZ463" s="52"/>
      <c r="EA463" s="105"/>
      <c r="EB463" s="98"/>
      <c r="EC463" s="279"/>
      <c r="ED463" s="52"/>
      <c r="EE463" s="105"/>
      <c r="EF463" s="98"/>
      <c r="EG463" s="159"/>
      <c r="EH463" s="277"/>
      <c r="EI463" s="50">
        <f t="shared" si="198"/>
        <v>0</v>
      </c>
      <c r="EJ463" s="103">
        <f t="shared" si="199"/>
        <v>0</v>
      </c>
      <c r="EK463" s="164">
        <f t="shared" si="200"/>
        <v>0</v>
      </c>
      <c r="EL463" s="280">
        <f t="shared" si="201"/>
        <v>0</v>
      </c>
      <c r="EM463" s="63">
        <f t="shared" si="202"/>
        <v>0</v>
      </c>
      <c r="EN463" s="359">
        <f t="shared" si="203"/>
        <v>0</v>
      </c>
      <c r="EO463" s="51">
        <f t="shared" si="204"/>
        <v>0</v>
      </c>
      <c r="EP463" s="361">
        <f t="shared" si="205"/>
        <v>0</v>
      </c>
      <c r="EQ463" s="281"/>
      <c r="ER463" s="277"/>
      <c r="ES463" s="281"/>
      <c r="ET463" s="277"/>
      <c r="EU463" s="281"/>
      <c r="EV463" s="277"/>
      <c r="EW463" s="281"/>
      <c r="EX463" s="277"/>
      <c r="EY463" s="281"/>
      <c r="EZ463" s="277"/>
      <c r="FA463" s="281"/>
      <c r="FB463" s="277"/>
      <c r="FC463" s="281"/>
      <c r="FD463" s="277"/>
      <c r="FE463" s="281"/>
      <c r="FF463" s="277"/>
      <c r="FG463" s="281"/>
      <c r="FH463" s="277"/>
      <c r="FI463" s="281"/>
      <c r="FJ463" s="277"/>
      <c r="FK463" s="50">
        <f t="shared" si="206"/>
        <v>0</v>
      </c>
      <c r="FL463" s="63">
        <f t="shared" si="207"/>
        <v>0</v>
      </c>
      <c r="FM463" s="50">
        <f t="shared" si="189"/>
        <v>60</v>
      </c>
      <c r="FN463" s="360">
        <f t="shared" si="190"/>
        <v>234</v>
      </c>
      <c r="FO463" s="3"/>
      <c r="FP463" s="279"/>
      <c r="FQ463" s="52"/>
      <c r="FR463" s="296"/>
      <c r="FS463" s="98"/>
      <c r="FT463" s="467"/>
      <c r="FU463" s="52"/>
      <c r="FV463" s="296"/>
      <c r="FW463" s="98"/>
      <c r="FX463" s="467"/>
      <c r="FY463" s="52"/>
      <c r="FZ463" s="296"/>
      <c r="GA463" s="98"/>
      <c r="GB463" s="467"/>
      <c r="GC463" s="52"/>
      <c r="GD463" s="296"/>
      <c r="GE463" s="98"/>
      <c r="GF463" s="467"/>
      <c r="GG463" s="52"/>
      <c r="GH463" s="296"/>
      <c r="GI463" s="98"/>
      <c r="GJ463" s="467"/>
      <c r="GK463" s="52"/>
      <c r="GL463" s="296"/>
      <c r="GM463" s="464"/>
      <c r="GN463" s="467"/>
      <c r="GO463" s="52"/>
      <c r="GP463" s="296"/>
      <c r="GQ463" s="464"/>
      <c r="GR463" s="467"/>
      <c r="GS463" s="52"/>
      <c r="GT463" s="296"/>
      <c r="GU463" s="464"/>
      <c r="GV463" s="467"/>
      <c r="GW463" s="52"/>
      <c r="GX463" s="296"/>
      <c r="GY463" s="464"/>
      <c r="GZ463" s="467"/>
      <c r="HA463" s="52"/>
      <c r="HB463" s="296"/>
      <c r="HC463" s="3"/>
    </row>
    <row r="464" spans="1:211" s="86" customFormat="1">
      <c r="A464" s="489" t="s">
        <v>31</v>
      </c>
      <c r="B464" s="532" t="s">
        <v>381</v>
      </c>
      <c r="C464" s="533">
        <v>248606</v>
      </c>
      <c r="D464" s="534">
        <v>13</v>
      </c>
      <c r="E464" s="460">
        <v>309</v>
      </c>
      <c r="F464" s="535">
        <v>545</v>
      </c>
      <c r="G464" s="460"/>
      <c r="H464" s="277">
        <v>79</v>
      </c>
      <c r="I464" s="158"/>
      <c r="J464" s="535"/>
      <c r="K464" s="160">
        <f t="shared" si="191"/>
        <v>0</v>
      </c>
      <c r="L464" s="161">
        <f t="shared" si="184"/>
        <v>0</v>
      </c>
      <c r="M464" s="54"/>
      <c r="N464" s="55"/>
      <c r="O464" s="55"/>
      <c r="P464" s="55"/>
      <c r="Q464" s="162">
        <f t="shared" si="192"/>
        <v>0</v>
      </c>
      <c r="R464" s="535"/>
      <c r="S464" s="535"/>
      <c r="T464" s="277"/>
      <c r="U464" s="277"/>
      <c r="V464" s="97">
        <f t="shared" si="193"/>
        <v>0</v>
      </c>
      <c r="W464" s="279"/>
      <c r="X464" s="52"/>
      <c r="Y464" s="99"/>
      <c r="Z464" s="53"/>
      <c r="AA464" s="228"/>
      <c r="AB464" s="52"/>
      <c r="AC464" s="99"/>
      <c r="AD464" s="53"/>
      <c r="AE464" s="228"/>
      <c r="AF464" s="52"/>
      <c r="AG464" s="99"/>
      <c r="AH464" s="53"/>
      <c r="AI464" s="228"/>
      <c r="AJ464" s="52"/>
      <c r="AK464" s="99"/>
      <c r="AL464" s="53"/>
      <c r="AM464" s="228"/>
      <c r="AN464" s="52"/>
      <c r="AO464" s="99"/>
      <c r="AP464" s="53"/>
      <c r="AQ464" s="50">
        <f t="shared" si="185"/>
        <v>0</v>
      </c>
      <c r="AR464" s="163">
        <f t="shared" si="186"/>
        <v>0</v>
      </c>
      <c r="AS464" s="97">
        <f t="shared" si="187"/>
        <v>0</v>
      </c>
      <c r="AT464" s="278">
        <f t="shared" si="188"/>
        <v>0</v>
      </c>
      <c r="AU464" s="55"/>
      <c r="AV464" s="277"/>
      <c r="AW464" s="279"/>
      <c r="AX464" s="536"/>
      <c r="AY464" s="98"/>
      <c r="AZ464" s="98"/>
      <c r="BA464" s="279"/>
      <c r="BB464" s="536"/>
      <c r="BC464" s="98"/>
      <c r="BD464" s="98"/>
      <c r="BE464" s="279"/>
      <c r="BF464" s="536"/>
      <c r="BG464" s="98"/>
      <c r="BH464" s="98"/>
      <c r="BI464" s="279"/>
      <c r="BJ464" s="536"/>
      <c r="BK464" s="98"/>
      <c r="BL464" s="98"/>
      <c r="BM464" s="279"/>
      <c r="BN464" s="536"/>
      <c r="BO464" s="98"/>
      <c r="BP464" s="98"/>
      <c r="BQ464" s="279"/>
      <c r="BR464" s="536"/>
      <c r="BS464" s="98"/>
      <c r="BT464" s="98"/>
      <c r="BU464" s="279"/>
      <c r="BV464" s="536"/>
      <c r="BW464" s="98"/>
      <c r="BX464" s="98"/>
      <c r="BY464" s="279"/>
      <c r="BZ464" s="536"/>
      <c r="CA464" s="98"/>
      <c r="CB464" s="98"/>
      <c r="CC464" s="279"/>
      <c r="CD464" s="536"/>
      <c r="CE464" s="98"/>
      <c r="CF464" s="98"/>
      <c r="CG464" s="279"/>
      <c r="CH464" s="536"/>
      <c r="CI464" s="98"/>
      <c r="CJ464" s="98"/>
      <c r="CK464" s="281"/>
      <c r="CL464" s="277"/>
      <c r="CM464" s="54"/>
      <c r="CN464" s="390"/>
      <c r="CO464" s="50">
        <f t="shared" si="194"/>
        <v>0</v>
      </c>
      <c r="CP464" s="103">
        <f t="shared" si="195"/>
        <v>0</v>
      </c>
      <c r="CQ464" s="280">
        <f t="shared" si="196"/>
        <v>0</v>
      </c>
      <c r="CR464" s="63">
        <f t="shared" si="197"/>
        <v>0</v>
      </c>
      <c r="CS464" s="279"/>
      <c r="CT464" s="536"/>
      <c r="CU464" s="98"/>
      <c r="CV464" s="98"/>
      <c r="CW464" s="279"/>
      <c r="CX464" s="536"/>
      <c r="CY464" s="98"/>
      <c r="CZ464" s="98"/>
      <c r="DA464" s="279"/>
      <c r="DB464" s="536"/>
      <c r="DC464" s="98"/>
      <c r="DD464" s="98"/>
      <c r="DE464" s="279"/>
      <c r="DF464" s="536"/>
      <c r="DG464" s="98"/>
      <c r="DH464" s="98"/>
      <c r="DI464" s="279"/>
      <c r="DJ464" s="52"/>
      <c r="DK464" s="105"/>
      <c r="DL464" s="98"/>
      <c r="DM464" s="279"/>
      <c r="DN464" s="52"/>
      <c r="DO464" s="105"/>
      <c r="DP464" s="98"/>
      <c r="DQ464" s="279"/>
      <c r="DR464" s="536"/>
      <c r="DS464" s="98"/>
      <c r="DT464" s="98"/>
      <c r="DU464" s="279"/>
      <c r="DV464" s="52"/>
      <c r="DW464" s="105"/>
      <c r="DX464" s="98"/>
      <c r="DY464" s="279"/>
      <c r="DZ464" s="52"/>
      <c r="EA464" s="105"/>
      <c r="EB464" s="98"/>
      <c r="EC464" s="279"/>
      <c r="ED464" s="52"/>
      <c r="EE464" s="105"/>
      <c r="EF464" s="98"/>
      <c r="EG464" s="159"/>
      <c r="EH464" s="277"/>
      <c r="EI464" s="50">
        <f t="shared" si="198"/>
        <v>0</v>
      </c>
      <c r="EJ464" s="103">
        <f t="shared" si="199"/>
        <v>0</v>
      </c>
      <c r="EK464" s="164">
        <f t="shared" si="200"/>
        <v>0</v>
      </c>
      <c r="EL464" s="280">
        <f t="shared" si="201"/>
        <v>0</v>
      </c>
      <c r="EM464" s="63">
        <f t="shared" si="202"/>
        <v>0</v>
      </c>
      <c r="EN464" s="359">
        <f t="shared" si="203"/>
        <v>0</v>
      </c>
      <c r="EO464" s="51">
        <f t="shared" si="204"/>
        <v>0</v>
      </c>
      <c r="EP464" s="361">
        <f t="shared" si="205"/>
        <v>0</v>
      </c>
      <c r="EQ464" s="281"/>
      <c r="ER464" s="277"/>
      <c r="ES464" s="281"/>
      <c r="ET464" s="277"/>
      <c r="EU464" s="281"/>
      <c r="EV464" s="277"/>
      <c r="EW464" s="281"/>
      <c r="EX464" s="277"/>
      <c r="EY464" s="281"/>
      <c r="EZ464" s="277"/>
      <c r="FA464" s="281"/>
      <c r="FB464" s="277"/>
      <c r="FC464" s="281"/>
      <c r="FD464" s="277"/>
      <c r="FE464" s="281"/>
      <c r="FF464" s="277"/>
      <c r="FG464" s="281"/>
      <c r="FH464" s="277"/>
      <c r="FI464" s="281"/>
      <c r="FJ464" s="277"/>
      <c r="FK464" s="50">
        <f t="shared" si="206"/>
        <v>0</v>
      </c>
      <c r="FL464" s="63">
        <f t="shared" si="207"/>
        <v>0</v>
      </c>
      <c r="FM464" s="50">
        <f t="shared" si="189"/>
        <v>309</v>
      </c>
      <c r="FN464" s="360">
        <f t="shared" si="190"/>
        <v>624</v>
      </c>
      <c r="FO464" s="3"/>
      <c r="FP464" s="279"/>
      <c r="FQ464" s="52"/>
      <c r="FR464" s="296"/>
      <c r="FS464" s="98"/>
      <c r="FT464" s="467"/>
      <c r="FU464" s="52"/>
      <c r="FV464" s="296"/>
      <c r="FW464" s="98"/>
      <c r="FX464" s="467"/>
      <c r="FY464" s="52"/>
      <c r="FZ464" s="296"/>
      <c r="GA464" s="98"/>
      <c r="GB464" s="467"/>
      <c r="GC464" s="52"/>
      <c r="GD464" s="296"/>
      <c r="GE464" s="98"/>
      <c r="GF464" s="467"/>
      <c r="GG464" s="52"/>
      <c r="GH464" s="296"/>
      <c r="GI464" s="98"/>
      <c r="GJ464" s="467"/>
      <c r="GK464" s="52"/>
      <c r="GL464" s="296"/>
      <c r="GM464" s="464"/>
      <c r="GN464" s="467"/>
      <c r="GO464" s="52"/>
      <c r="GP464" s="296"/>
      <c r="GQ464" s="464"/>
      <c r="GR464" s="467"/>
      <c r="GS464" s="52"/>
      <c r="GT464" s="296"/>
      <c r="GU464" s="464"/>
      <c r="GV464" s="467"/>
      <c r="GW464" s="52"/>
      <c r="GX464" s="296"/>
      <c r="GY464" s="464"/>
      <c r="GZ464" s="467"/>
      <c r="HA464" s="52"/>
      <c r="HB464" s="296"/>
      <c r="HC464" s="3"/>
    </row>
    <row r="465" spans="1:211" s="86" customFormat="1">
      <c r="A465" s="489" t="s">
        <v>31</v>
      </c>
      <c r="B465" s="308" t="s">
        <v>408</v>
      </c>
      <c r="C465" s="307">
        <v>420459</v>
      </c>
      <c r="D465" s="341">
        <v>13</v>
      </c>
      <c r="E465" s="460">
        <v>192</v>
      </c>
      <c r="F465" s="535">
        <v>196</v>
      </c>
      <c r="G465" s="460"/>
      <c r="H465" s="277">
        <v>5</v>
      </c>
      <c r="I465" s="158"/>
      <c r="J465" s="535"/>
      <c r="K465" s="160">
        <f t="shared" si="191"/>
        <v>0</v>
      </c>
      <c r="L465" s="161">
        <f t="shared" si="184"/>
        <v>0</v>
      </c>
      <c r="M465" s="54"/>
      <c r="N465" s="55"/>
      <c r="O465" s="55"/>
      <c r="P465" s="55"/>
      <c r="Q465" s="162">
        <f t="shared" si="192"/>
        <v>0</v>
      </c>
      <c r="R465" s="535"/>
      <c r="S465" s="535"/>
      <c r="T465" s="277"/>
      <c r="U465" s="277"/>
      <c r="V465" s="97">
        <f t="shared" si="193"/>
        <v>0</v>
      </c>
      <c r="W465" s="279"/>
      <c r="X465" s="52"/>
      <c r="Y465" s="99"/>
      <c r="Z465" s="53"/>
      <c r="AA465" s="228"/>
      <c r="AB465" s="52"/>
      <c r="AC465" s="99"/>
      <c r="AD465" s="53"/>
      <c r="AE465" s="228"/>
      <c r="AF465" s="52"/>
      <c r="AG465" s="99"/>
      <c r="AH465" s="53"/>
      <c r="AI465" s="228"/>
      <c r="AJ465" s="52"/>
      <c r="AK465" s="99"/>
      <c r="AL465" s="53"/>
      <c r="AM465" s="228"/>
      <c r="AN465" s="52"/>
      <c r="AO465" s="99"/>
      <c r="AP465" s="53"/>
      <c r="AQ465" s="50">
        <f t="shared" si="185"/>
        <v>0</v>
      </c>
      <c r="AR465" s="163">
        <f t="shared" si="186"/>
        <v>0</v>
      </c>
      <c r="AS465" s="97">
        <f t="shared" si="187"/>
        <v>0</v>
      </c>
      <c r="AT465" s="278">
        <f t="shared" si="188"/>
        <v>0</v>
      </c>
      <c r="AU465" s="55"/>
      <c r="AV465" s="277"/>
      <c r="AW465" s="279"/>
      <c r="AX465" s="536"/>
      <c r="AY465" s="98"/>
      <c r="AZ465" s="98"/>
      <c r="BA465" s="279"/>
      <c r="BB465" s="536"/>
      <c r="BC465" s="98"/>
      <c r="BD465" s="98"/>
      <c r="BE465" s="279"/>
      <c r="BF465" s="536"/>
      <c r="BG465" s="98"/>
      <c r="BH465" s="98"/>
      <c r="BI465" s="279"/>
      <c r="BJ465" s="536"/>
      <c r="BK465" s="98"/>
      <c r="BL465" s="98"/>
      <c r="BM465" s="279"/>
      <c r="BN465" s="536"/>
      <c r="BO465" s="98"/>
      <c r="BP465" s="98"/>
      <c r="BQ465" s="279"/>
      <c r="BR465" s="536"/>
      <c r="BS465" s="98"/>
      <c r="BT465" s="98"/>
      <c r="BU465" s="279"/>
      <c r="BV465" s="536"/>
      <c r="BW465" s="98"/>
      <c r="BX465" s="98"/>
      <c r="BY465" s="279"/>
      <c r="BZ465" s="536"/>
      <c r="CA465" s="98"/>
      <c r="CB465" s="98"/>
      <c r="CC465" s="279"/>
      <c r="CD465" s="536"/>
      <c r="CE465" s="98"/>
      <c r="CF465" s="98"/>
      <c r="CG465" s="279"/>
      <c r="CH465" s="536"/>
      <c r="CI465" s="98"/>
      <c r="CJ465" s="98"/>
      <c r="CK465" s="281"/>
      <c r="CL465" s="277"/>
      <c r="CM465" s="54"/>
      <c r="CN465" s="390"/>
      <c r="CO465" s="50">
        <f t="shared" si="194"/>
        <v>0</v>
      </c>
      <c r="CP465" s="103">
        <f t="shared" si="195"/>
        <v>0</v>
      </c>
      <c r="CQ465" s="280">
        <f t="shared" si="196"/>
        <v>0</v>
      </c>
      <c r="CR465" s="63">
        <f t="shared" si="197"/>
        <v>0</v>
      </c>
      <c r="CS465" s="279"/>
      <c r="CT465" s="536"/>
      <c r="CU465" s="98"/>
      <c r="CV465" s="98"/>
      <c r="CW465" s="279"/>
      <c r="CX465" s="536"/>
      <c r="CY465" s="98"/>
      <c r="CZ465" s="98"/>
      <c r="DA465" s="279"/>
      <c r="DB465" s="536"/>
      <c r="DC465" s="98"/>
      <c r="DD465" s="98"/>
      <c r="DE465" s="279"/>
      <c r="DF465" s="536"/>
      <c r="DG465" s="98"/>
      <c r="DH465" s="98"/>
      <c r="DI465" s="279"/>
      <c r="DJ465" s="52"/>
      <c r="DK465" s="105"/>
      <c r="DL465" s="98"/>
      <c r="DM465" s="279"/>
      <c r="DN465" s="52"/>
      <c r="DO465" s="105"/>
      <c r="DP465" s="98"/>
      <c r="DQ465" s="279"/>
      <c r="DR465" s="52"/>
      <c r="DS465" s="105"/>
      <c r="DT465" s="98"/>
      <c r="DU465" s="279"/>
      <c r="DV465" s="52"/>
      <c r="DW465" s="105"/>
      <c r="DX465" s="98"/>
      <c r="DY465" s="279"/>
      <c r="DZ465" s="52"/>
      <c r="EA465" s="105"/>
      <c r="EB465" s="98"/>
      <c r="EC465" s="279"/>
      <c r="ED465" s="52"/>
      <c r="EE465" s="105"/>
      <c r="EF465" s="98"/>
      <c r="EG465" s="159"/>
      <c r="EH465" s="277"/>
      <c r="EI465" s="50">
        <f t="shared" si="198"/>
        <v>0</v>
      </c>
      <c r="EJ465" s="103">
        <f t="shared" si="199"/>
        <v>0</v>
      </c>
      <c r="EK465" s="164">
        <f t="shared" si="200"/>
        <v>0</v>
      </c>
      <c r="EL465" s="280">
        <f t="shared" si="201"/>
        <v>0</v>
      </c>
      <c r="EM465" s="63">
        <f t="shared" si="202"/>
        <v>0</v>
      </c>
      <c r="EN465" s="359">
        <f t="shared" si="203"/>
        <v>0</v>
      </c>
      <c r="EO465" s="51">
        <f t="shared" si="204"/>
        <v>0</v>
      </c>
      <c r="EP465" s="361">
        <f t="shared" si="205"/>
        <v>0</v>
      </c>
      <c r="EQ465" s="281"/>
      <c r="ER465" s="277"/>
      <c r="ES465" s="281"/>
      <c r="ET465" s="277"/>
      <c r="EU465" s="281"/>
      <c r="EV465" s="277"/>
      <c r="EW465" s="281"/>
      <c r="EX465" s="277"/>
      <c r="EY465" s="281"/>
      <c r="EZ465" s="277"/>
      <c r="FA465" s="281"/>
      <c r="FB465" s="277"/>
      <c r="FC465" s="281"/>
      <c r="FD465" s="277"/>
      <c r="FE465" s="281"/>
      <c r="FF465" s="277"/>
      <c r="FG465" s="281"/>
      <c r="FH465" s="277"/>
      <c r="FI465" s="281"/>
      <c r="FJ465" s="277"/>
      <c r="FK465" s="50">
        <f t="shared" si="206"/>
        <v>0</v>
      </c>
      <c r="FL465" s="63">
        <f t="shared" si="207"/>
        <v>0</v>
      </c>
      <c r="FM465" s="50">
        <f t="shared" si="189"/>
        <v>192</v>
      </c>
      <c r="FN465" s="360">
        <f t="shared" si="190"/>
        <v>201</v>
      </c>
      <c r="FO465" s="3"/>
      <c r="FP465" s="279"/>
      <c r="FQ465" s="52"/>
      <c r="FR465" s="296"/>
      <c r="FS465" s="98"/>
      <c r="FT465" s="467"/>
      <c r="FU465" s="52"/>
      <c r="FV465" s="296"/>
      <c r="FW465" s="98"/>
      <c r="FX465" s="467"/>
      <c r="FY465" s="52"/>
      <c r="FZ465" s="296"/>
      <c r="GA465" s="98"/>
      <c r="GB465" s="467"/>
      <c r="GC465" s="52"/>
      <c r="GD465" s="296"/>
      <c r="GE465" s="98"/>
      <c r="GF465" s="467"/>
      <c r="GG465" s="52"/>
      <c r="GH465" s="296"/>
      <c r="GI465" s="98"/>
      <c r="GJ465" s="467"/>
      <c r="GK465" s="52"/>
      <c r="GL465" s="296"/>
      <c r="GM465" s="464"/>
      <c r="GN465" s="467"/>
      <c r="GO465" s="52"/>
      <c r="GP465" s="296"/>
      <c r="GQ465" s="464"/>
      <c r="GR465" s="467"/>
      <c r="GS465" s="52"/>
      <c r="GT465" s="296"/>
      <c r="GU465" s="464"/>
      <c r="GV465" s="467"/>
      <c r="GW465" s="52"/>
      <c r="GX465" s="296"/>
      <c r="GY465" s="464"/>
      <c r="GZ465" s="467"/>
      <c r="HA465" s="52"/>
      <c r="HB465" s="296"/>
      <c r="HC465" s="3"/>
    </row>
    <row r="466" spans="1:211" s="86" customFormat="1">
      <c r="A466" s="489" t="s">
        <v>31</v>
      </c>
      <c r="B466" s="332" t="s">
        <v>409</v>
      </c>
      <c r="C466" s="333">
        <v>432074</v>
      </c>
      <c r="D466" s="341">
        <v>13</v>
      </c>
      <c r="E466" s="460">
        <v>60</v>
      </c>
      <c r="F466" s="535">
        <v>82</v>
      </c>
      <c r="G466" s="460"/>
      <c r="H466" s="277">
        <v>0</v>
      </c>
      <c r="I466" s="158"/>
      <c r="J466" s="535"/>
      <c r="K466" s="160">
        <f t="shared" si="191"/>
        <v>0</v>
      </c>
      <c r="L466" s="161">
        <f t="shared" si="184"/>
        <v>0</v>
      </c>
      <c r="M466" s="54"/>
      <c r="N466" s="55"/>
      <c r="O466" s="55"/>
      <c r="P466" s="55"/>
      <c r="Q466" s="162">
        <f t="shared" si="192"/>
        <v>0</v>
      </c>
      <c r="R466" s="535"/>
      <c r="S466" s="535"/>
      <c r="T466" s="277"/>
      <c r="U466" s="277"/>
      <c r="V466" s="97">
        <f t="shared" si="193"/>
        <v>0</v>
      </c>
      <c r="W466" s="279"/>
      <c r="X466" s="52"/>
      <c r="Y466" s="99"/>
      <c r="Z466" s="53"/>
      <c r="AA466" s="228"/>
      <c r="AB466" s="52"/>
      <c r="AC466" s="99"/>
      <c r="AD466" s="53"/>
      <c r="AE466" s="228"/>
      <c r="AF466" s="52"/>
      <c r="AG466" s="99"/>
      <c r="AH466" s="53"/>
      <c r="AI466" s="228"/>
      <c r="AJ466" s="52"/>
      <c r="AK466" s="99"/>
      <c r="AL466" s="53"/>
      <c r="AM466" s="228"/>
      <c r="AN466" s="52"/>
      <c r="AO466" s="99"/>
      <c r="AP466" s="53"/>
      <c r="AQ466" s="50">
        <f t="shared" si="185"/>
        <v>0</v>
      </c>
      <c r="AR466" s="163">
        <f t="shared" si="186"/>
        <v>0</v>
      </c>
      <c r="AS466" s="97">
        <f t="shared" si="187"/>
        <v>0</v>
      </c>
      <c r="AT466" s="278">
        <f t="shared" si="188"/>
        <v>0</v>
      </c>
      <c r="AU466" s="55"/>
      <c r="AV466" s="277"/>
      <c r="AW466" s="279"/>
      <c r="AX466" s="536"/>
      <c r="AY466" s="98"/>
      <c r="AZ466" s="98"/>
      <c r="BA466" s="279"/>
      <c r="BB466" s="536"/>
      <c r="BC466" s="98"/>
      <c r="BD466" s="98"/>
      <c r="BE466" s="279"/>
      <c r="BF466" s="536"/>
      <c r="BG466" s="98"/>
      <c r="BH466" s="98"/>
      <c r="BI466" s="279"/>
      <c r="BJ466" s="536"/>
      <c r="BK466" s="98"/>
      <c r="BL466" s="98"/>
      <c r="BM466" s="279"/>
      <c r="BN466" s="536"/>
      <c r="BO466" s="98"/>
      <c r="BP466" s="98"/>
      <c r="BQ466" s="279"/>
      <c r="BR466" s="536"/>
      <c r="BS466" s="98"/>
      <c r="BT466" s="98"/>
      <c r="BU466" s="279"/>
      <c r="BV466" s="536"/>
      <c r="BW466" s="98"/>
      <c r="BX466" s="98"/>
      <c r="BY466" s="279"/>
      <c r="BZ466" s="536"/>
      <c r="CA466" s="98"/>
      <c r="CB466" s="98"/>
      <c r="CC466" s="279"/>
      <c r="CD466" s="536"/>
      <c r="CE466" s="98"/>
      <c r="CF466" s="98"/>
      <c r="CG466" s="279"/>
      <c r="CH466" s="536"/>
      <c r="CI466" s="98"/>
      <c r="CJ466" s="98"/>
      <c r="CK466" s="281"/>
      <c r="CL466" s="277"/>
      <c r="CM466" s="54"/>
      <c r="CN466" s="390"/>
      <c r="CO466" s="50">
        <f t="shared" si="194"/>
        <v>0</v>
      </c>
      <c r="CP466" s="103">
        <f t="shared" si="195"/>
        <v>0</v>
      </c>
      <c r="CQ466" s="280">
        <f t="shared" si="196"/>
        <v>0</v>
      </c>
      <c r="CR466" s="63">
        <f t="shared" si="197"/>
        <v>0</v>
      </c>
      <c r="CS466" s="279"/>
      <c r="CT466" s="536"/>
      <c r="CU466" s="98"/>
      <c r="CV466" s="98"/>
      <c r="CW466" s="279"/>
      <c r="CX466" s="536"/>
      <c r="CY466" s="98"/>
      <c r="CZ466" s="98"/>
      <c r="DA466" s="279"/>
      <c r="DB466" s="536"/>
      <c r="DC466" s="98"/>
      <c r="DD466" s="98"/>
      <c r="DE466" s="279"/>
      <c r="DF466" s="536"/>
      <c r="DG466" s="98"/>
      <c r="DH466" s="98"/>
      <c r="DI466" s="279"/>
      <c r="DJ466" s="52"/>
      <c r="DK466" s="105"/>
      <c r="DL466" s="98"/>
      <c r="DM466" s="279"/>
      <c r="DN466" s="52"/>
      <c r="DO466" s="105"/>
      <c r="DP466" s="98"/>
      <c r="DQ466" s="279"/>
      <c r="DR466" s="52"/>
      <c r="DS466" s="105"/>
      <c r="DT466" s="98"/>
      <c r="DU466" s="279"/>
      <c r="DV466" s="52"/>
      <c r="DW466" s="105"/>
      <c r="DX466" s="98"/>
      <c r="DY466" s="279"/>
      <c r="DZ466" s="52"/>
      <c r="EA466" s="105"/>
      <c r="EB466" s="98"/>
      <c r="EC466" s="279"/>
      <c r="ED466" s="52"/>
      <c r="EE466" s="105"/>
      <c r="EF466" s="98"/>
      <c r="EG466" s="159"/>
      <c r="EH466" s="277"/>
      <c r="EI466" s="50">
        <f t="shared" si="198"/>
        <v>0</v>
      </c>
      <c r="EJ466" s="103">
        <f t="shared" si="199"/>
        <v>0</v>
      </c>
      <c r="EK466" s="164">
        <f t="shared" si="200"/>
        <v>0</v>
      </c>
      <c r="EL466" s="280">
        <f t="shared" si="201"/>
        <v>0</v>
      </c>
      <c r="EM466" s="63">
        <f t="shared" si="202"/>
        <v>0</v>
      </c>
      <c r="EN466" s="359">
        <f t="shared" si="203"/>
        <v>0</v>
      </c>
      <c r="EO466" s="51">
        <f t="shared" si="204"/>
        <v>0</v>
      </c>
      <c r="EP466" s="361">
        <f t="shared" si="205"/>
        <v>0</v>
      </c>
      <c r="EQ466" s="281"/>
      <c r="ER466" s="277"/>
      <c r="ES466" s="281"/>
      <c r="ET466" s="277"/>
      <c r="EU466" s="281"/>
      <c r="EV466" s="277"/>
      <c r="EW466" s="281"/>
      <c r="EX466" s="277"/>
      <c r="EY466" s="281"/>
      <c r="EZ466" s="277"/>
      <c r="FA466" s="281"/>
      <c r="FB466" s="277"/>
      <c r="FC466" s="281"/>
      <c r="FD466" s="277"/>
      <c r="FE466" s="281"/>
      <c r="FF466" s="277"/>
      <c r="FG466" s="281"/>
      <c r="FH466" s="277"/>
      <c r="FI466" s="281"/>
      <c r="FJ466" s="277"/>
      <c r="FK466" s="50">
        <f t="shared" si="206"/>
        <v>0</v>
      </c>
      <c r="FL466" s="63">
        <f t="shared" si="207"/>
        <v>0</v>
      </c>
      <c r="FM466" s="50">
        <f t="shared" si="189"/>
        <v>60</v>
      </c>
      <c r="FN466" s="360">
        <f t="shared" si="190"/>
        <v>82</v>
      </c>
      <c r="FO466" s="3"/>
      <c r="FP466" s="279"/>
      <c r="FQ466" s="52"/>
      <c r="FR466" s="296"/>
      <c r="FS466" s="98"/>
      <c r="FT466" s="467"/>
      <c r="FU466" s="52"/>
      <c r="FV466" s="296"/>
      <c r="FW466" s="98"/>
      <c r="FX466" s="467"/>
      <c r="FY466" s="52"/>
      <c r="FZ466" s="296"/>
      <c r="GA466" s="98"/>
      <c r="GB466" s="467"/>
      <c r="GC466" s="52"/>
      <c r="GD466" s="296"/>
      <c r="GE466" s="98"/>
      <c r="GF466" s="467"/>
      <c r="GG466" s="52"/>
      <c r="GH466" s="296"/>
      <c r="GI466" s="98"/>
      <c r="GJ466" s="467"/>
      <c r="GK466" s="52"/>
      <c r="GL466" s="296"/>
      <c r="GM466" s="464"/>
      <c r="GN466" s="467"/>
      <c r="GO466" s="52"/>
      <c r="GP466" s="296"/>
      <c r="GQ466" s="464"/>
      <c r="GR466" s="467"/>
      <c r="GS466" s="52"/>
      <c r="GT466" s="296"/>
      <c r="GU466" s="464"/>
      <c r="GV466" s="467"/>
      <c r="GW466" s="52"/>
      <c r="GX466" s="296"/>
      <c r="GY466" s="464"/>
      <c r="GZ466" s="467"/>
      <c r="HA466" s="52"/>
      <c r="HB466" s="296"/>
      <c r="HC466" s="3"/>
    </row>
    <row r="467" spans="1:211" s="86" customFormat="1">
      <c r="A467" s="489" t="s">
        <v>31</v>
      </c>
      <c r="B467" s="332" t="s">
        <v>410</v>
      </c>
      <c r="C467" s="333">
        <v>418339</v>
      </c>
      <c r="D467" s="341">
        <v>13</v>
      </c>
      <c r="E467" s="460">
        <v>151</v>
      </c>
      <c r="F467" s="535">
        <v>298</v>
      </c>
      <c r="G467" s="460"/>
      <c r="H467" s="277">
        <v>2</v>
      </c>
      <c r="I467" s="158"/>
      <c r="J467" s="535"/>
      <c r="K467" s="160">
        <f t="shared" si="191"/>
        <v>0</v>
      </c>
      <c r="L467" s="161">
        <f t="shared" si="184"/>
        <v>0</v>
      </c>
      <c r="M467" s="54"/>
      <c r="N467" s="55"/>
      <c r="O467" s="55"/>
      <c r="P467" s="55"/>
      <c r="Q467" s="162">
        <f t="shared" si="192"/>
        <v>0</v>
      </c>
      <c r="R467" s="535"/>
      <c r="S467" s="535"/>
      <c r="T467" s="277"/>
      <c r="U467" s="277"/>
      <c r="V467" s="97">
        <f t="shared" si="193"/>
        <v>0</v>
      </c>
      <c r="W467" s="279"/>
      <c r="X467" s="52"/>
      <c r="Y467" s="99"/>
      <c r="Z467" s="53"/>
      <c r="AA467" s="228"/>
      <c r="AB467" s="52"/>
      <c r="AC467" s="99"/>
      <c r="AD467" s="53"/>
      <c r="AE467" s="228"/>
      <c r="AF467" s="52"/>
      <c r="AG467" s="99"/>
      <c r="AH467" s="53"/>
      <c r="AI467" s="228"/>
      <c r="AJ467" s="52"/>
      <c r="AK467" s="99"/>
      <c r="AL467" s="53"/>
      <c r="AM467" s="228"/>
      <c r="AN467" s="52"/>
      <c r="AO467" s="99"/>
      <c r="AP467" s="53"/>
      <c r="AQ467" s="50">
        <f t="shared" si="185"/>
        <v>0</v>
      </c>
      <c r="AR467" s="163">
        <f t="shared" si="186"/>
        <v>0</v>
      </c>
      <c r="AS467" s="97">
        <f t="shared" si="187"/>
        <v>0</v>
      </c>
      <c r="AT467" s="278">
        <f t="shared" si="188"/>
        <v>0</v>
      </c>
      <c r="AU467" s="55"/>
      <c r="AV467" s="277"/>
      <c r="AW467" s="279"/>
      <c r="AX467" s="536"/>
      <c r="AY467" s="98"/>
      <c r="AZ467" s="98"/>
      <c r="BA467" s="279"/>
      <c r="BB467" s="536"/>
      <c r="BC467" s="98"/>
      <c r="BD467" s="98"/>
      <c r="BE467" s="279"/>
      <c r="BF467" s="536"/>
      <c r="BG467" s="98"/>
      <c r="BH467" s="98"/>
      <c r="BI467" s="279"/>
      <c r="BJ467" s="536"/>
      <c r="BK467" s="98"/>
      <c r="BL467" s="98"/>
      <c r="BM467" s="279"/>
      <c r="BN467" s="536"/>
      <c r="BO467" s="98"/>
      <c r="BP467" s="98"/>
      <c r="BQ467" s="279"/>
      <c r="BR467" s="536"/>
      <c r="BS467" s="98"/>
      <c r="BT467" s="98"/>
      <c r="BU467" s="279"/>
      <c r="BV467" s="536"/>
      <c r="BW467" s="98"/>
      <c r="BX467" s="98"/>
      <c r="BY467" s="279"/>
      <c r="BZ467" s="536"/>
      <c r="CA467" s="98"/>
      <c r="CB467" s="98"/>
      <c r="CC467" s="279"/>
      <c r="CD467" s="536"/>
      <c r="CE467" s="98"/>
      <c r="CF467" s="98"/>
      <c r="CG467" s="279"/>
      <c r="CH467" s="536"/>
      <c r="CI467" s="98"/>
      <c r="CJ467" s="98"/>
      <c r="CK467" s="281"/>
      <c r="CL467" s="277"/>
      <c r="CM467" s="159"/>
      <c r="CN467" s="277"/>
      <c r="CO467" s="50">
        <f t="shared" si="194"/>
        <v>0</v>
      </c>
      <c r="CP467" s="103">
        <f t="shared" si="195"/>
        <v>0</v>
      </c>
      <c r="CQ467" s="280">
        <f t="shared" si="196"/>
        <v>0</v>
      </c>
      <c r="CR467" s="63">
        <f t="shared" si="197"/>
        <v>0</v>
      </c>
      <c r="CS467" s="279"/>
      <c r="CT467" s="536"/>
      <c r="CU467" s="98"/>
      <c r="CV467" s="98"/>
      <c r="CW467" s="279"/>
      <c r="CX467" s="536"/>
      <c r="CY467" s="98"/>
      <c r="CZ467" s="98"/>
      <c r="DA467" s="279"/>
      <c r="DB467" s="536"/>
      <c r="DC467" s="98"/>
      <c r="DD467" s="98"/>
      <c r="DE467" s="279"/>
      <c r="DF467" s="536"/>
      <c r="DG467" s="98"/>
      <c r="DH467" s="98"/>
      <c r="DI467" s="279"/>
      <c r="DJ467" s="52"/>
      <c r="DK467" s="105"/>
      <c r="DL467" s="98"/>
      <c r="DM467" s="279"/>
      <c r="DN467" s="52"/>
      <c r="DO467" s="105"/>
      <c r="DP467" s="98"/>
      <c r="DQ467" s="279"/>
      <c r="DR467" s="52"/>
      <c r="DS467" s="105"/>
      <c r="DT467" s="98"/>
      <c r="DU467" s="279"/>
      <c r="DV467" s="52"/>
      <c r="DW467" s="105"/>
      <c r="DX467" s="98"/>
      <c r="DY467" s="279"/>
      <c r="DZ467" s="52"/>
      <c r="EA467" s="105"/>
      <c r="EB467" s="98"/>
      <c r="EC467" s="279"/>
      <c r="ED467" s="52"/>
      <c r="EE467" s="105"/>
      <c r="EF467" s="98"/>
      <c r="EG467" s="159"/>
      <c r="EH467" s="277"/>
      <c r="EI467" s="50">
        <f t="shared" si="198"/>
        <v>0</v>
      </c>
      <c r="EJ467" s="103">
        <f t="shared" si="199"/>
        <v>0</v>
      </c>
      <c r="EK467" s="164">
        <f t="shared" si="200"/>
        <v>0</v>
      </c>
      <c r="EL467" s="280">
        <f t="shared" si="201"/>
        <v>0</v>
      </c>
      <c r="EM467" s="63">
        <f t="shared" si="202"/>
        <v>0</v>
      </c>
      <c r="EN467" s="359">
        <f t="shared" si="203"/>
        <v>0</v>
      </c>
      <c r="EO467" s="51">
        <f t="shared" si="204"/>
        <v>0</v>
      </c>
      <c r="EP467" s="361">
        <f t="shared" si="205"/>
        <v>0</v>
      </c>
      <c r="EQ467" s="281"/>
      <c r="ER467" s="277"/>
      <c r="ES467" s="281"/>
      <c r="ET467" s="277"/>
      <c r="EU467" s="281"/>
      <c r="EV467" s="277"/>
      <c r="EW467" s="281"/>
      <c r="EX467" s="277"/>
      <c r="EY467" s="281"/>
      <c r="EZ467" s="277"/>
      <c r="FA467" s="281"/>
      <c r="FB467" s="277"/>
      <c r="FC467" s="281"/>
      <c r="FD467" s="277"/>
      <c r="FE467" s="281"/>
      <c r="FF467" s="277"/>
      <c r="FG467" s="281"/>
      <c r="FH467" s="277"/>
      <c r="FI467" s="281"/>
      <c r="FJ467" s="277"/>
      <c r="FK467" s="50">
        <f t="shared" si="206"/>
        <v>0</v>
      </c>
      <c r="FL467" s="63">
        <f t="shared" si="207"/>
        <v>0</v>
      </c>
      <c r="FM467" s="50">
        <f t="shared" si="189"/>
        <v>151</v>
      </c>
      <c r="FN467" s="360">
        <f t="shared" si="190"/>
        <v>300</v>
      </c>
      <c r="FO467" s="3"/>
      <c r="FP467" s="279"/>
      <c r="FQ467" s="52"/>
      <c r="FR467" s="296"/>
      <c r="FS467" s="98"/>
      <c r="FT467" s="467"/>
      <c r="FU467" s="52"/>
      <c r="FV467" s="296"/>
      <c r="FW467" s="98"/>
      <c r="FX467" s="467"/>
      <c r="FY467" s="52"/>
      <c r="FZ467" s="296"/>
      <c r="GA467" s="98"/>
      <c r="GB467" s="467"/>
      <c r="GC467" s="52"/>
      <c r="GD467" s="296"/>
      <c r="GE467" s="98"/>
      <c r="GF467" s="467"/>
      <c r="GG467" s="52"/>
      <c r="GH467" s="296"/>
      <c r="GI467" s="98"/>
      <c r="GJ467" s="467"/>
      <c r="GK467" s="52"/>
      <c r="GL467" s="296"/>
      <c r="GM467" s="464"/>
      <c r="GN467" s="467"/>
      <c r="GO467" s="52"/>
      <c r="GP467" s="296"/>
      <c r="GQ467" s="464"/>
      <c r="GR467" s="467"/>
      <c r="GS467" s="52"/>
      <c r="GT467" s="296"/>
      <c r="GU467" s="464"/>
      <c r="GV467" s="467"/>
      <c r="GW467" s="52"/>
      <c r="GX467" s="296"/>
      <c r="GY467" s="464"/>
      <c r="GZ467" s="467"/>
      <c r="HA467" s="52"/>
      <c r="HB467" s="296"/>
      <c r="HC467" s="3"/>
    </row>
    <row r="468" spans="1:211" s="86" customFormat="1">
      <c r="A468" s="489" t="s">
        <v>31</v>
      </c>
      <c r="B468" s="332" t="s">
        <v>411</v>
      </c>
      <c r="C468" s="333">
        <v>366623</v>
      </c>
      <c r="D468" s="341">
        <v>13</v>
      </c>
      <c r="E468" s="460">
        <v>36</v>
      </c>
      <c r="F468" s="535">
        <v>36</v>
      </c>
      <c r="G468" s="460"/>
      <c r="H468" s="277"/>
      <c r="I468" s="158"/>
      <c r="J468" s="535"/>
      <c r="K468" s="160">
        <f t="shared" si="191"/>
        <v>0</v>
      </c>
      <c r="L468" s="161">
        <f t="shared" si="184"/>
        <v>0</v>
      </c>
      <c r="M468" s="54"/>
      <c r="N468" s="55"/>
      <c r="O468" s="55"/>
      <c r="P468" s="55"/>
      <c r="Q468" s="162">
        <f t="shared" si="192"/>
        <v>0</v>
      </c>
      <c r="R468" s="535"/>
      <c r="S468" s="535"/>
      <c r="T468" s="277"/>
      <c r="U468" s="277"/>
      <c r="V468" s="97">
        <f t="shared" si="193"/>
        <v>0</v>
      </c>
      <c r="W468" s="279"/>
      <c r="X468" s="52"/>
      <c r="Y468" s="99"/>
      <c r="Z468" s="53"/>
      <c r="AA468" s="228"/>
      <c r="AB468" s="52"/>
      <c r="AC468" s="99"/>
      <c r="AD468" s="53"/>
      <c r="AE468" s="228"/>
      <c r="AF468" s="52"/>
      <c r="AG468" s="99"/>
      <c r="AH468" s="53"/>
      <c r="AI468" s="228"/>
      <c r="AJ468" s="52"/>
      <c r="AK468" s="99"/>
      <c r="AL468" s="53"/>
      <c r="AM468" s="228"/>
      <c r="AN468" s="52"/>
      <c r="AO468" s="99"/>
      <c r="AP468" s="53"/>
      <c r="AQ468" s="50">
        <f t="shared" si="185"/>
        <v>0</v>
      </c>
      <c r="AR468" s="163">
        <f t="shared" si="186"/>
        <v>0</v>
      </c>
      <c r="AS468" s="97">
        <f t="shared" si="187"/>
        <v>0</v>
      </c>
      <c r="AT468" s="278">
        <f t="shared" si="188"/>
        <v>0</v>
      </c>
      <c r="AU468" s="55"/>
      <c r="AV468" s="277"/>
      <c r="AW468" s="279"/>
      <c r="AX468" s="536"/>
      <c r="AY468" s="98"/>
      <c r="AZ468" s="98"/>
      <c r="BA468" s="279"/>
      <c r="BB468" s="536"/>
      <c r="BC468" s="98"/>
      <c r="BD468" s="98"/>
      <c r="BE468" s="279"/>
      <c r="BF468" s="536"/>
      <c r="BG468" s="98"/>
      <c r="BH468" s="98"/>
      <c r="BI468" s="279"/>
      <c r="BJ468" s="536"/>
      <c r="BK468" s="98"/>
      <c r="BL468" s="98"/>
      <c r="BM468" s="279"/>
      <c r="BN468" s="536"/>
      <c r="BO468" s="98"/>
      <c r="BP468" s="98"/>
      <c r="BQ468" s="279"/>
      <c r="BR468" s="536"/>
      <c r="BS468" s="98"/>
      <c r="BT468" s="98"/>
      <c r="BU468" s="279"/>
      <c r="BV468" s="536"/>
      <c r="BW468" s="98"/>
      <c r="BX468" s="98"/>
      <c r="BY468" s="279"/>
      <c r="BZ468" s="536"/>
      <c r="CA468" s="98"/>
      <c r="CB468" s="98"/>
      <c r="CC468" s="279"/>
      <c r="CD468" s="536"/>
      <c r="CE468" s="98"/>
      <c r="CF468" s="98"/>
      <c r="CG468" s="279"/>
      <c r="CH468" s="536"/>
      <c r="CI468" s="98"/>
      <c r="CJ468" s="98"/>
      <c r="CK468" s="281"/>
      <c r="CL468" s="277"/>
      <c r="CM468" s="159"/>
      <c r="CN468" s="277"/>
      <c r="CO468" s="50">
        <f t="shared" si="194"/>
        <v>0</v>
      </c>
      <c r="CP468" s="103">
        <f t="shared" si="195"/>
        <v>0</v>
      </c>
      <c r="CQ468" s="280">
        <f t="shared" si="196"/>
        <v>0</v>
      </c>
      <c r="CR468" s="63">
        <f t="shared" si="197"/>
        <v>0</v>
      </c>
      <c r="CS468" s="279"/>
      <c r="CT468" s="52"/>
      <c r="CU468" s="105"/>
      <c r="CV468" s="98"/>
      <c r="CW468" s="279"/>
      <c r="CX468" s="52"/>
      <c r="CY468" s="105"/>
      <c r="CZ468" s="98"/>
      <c r="DA468" s="279"/>
      <c r="DB468" s="52"/>
      <c r="DC468" s="105"/>
      <c r="DD468" s="98"/>
      <c r="DE468" s="279"/>
      <c r="DF468" s="52"/>
      <c r="DG468" s="105"/>
      <c r="DH468" s="98"/>
      <c r="DI468" s="279"/>
      <c r="DJ468" s="52"/>
      <c r="DK468" s="105"/>
      <c r="DL468" s="98"/>
      <c r="DM468" s="279"/>
      <c r="DN468" s="52"/>
      <c r="DO468" s="105"/>
      <c r="DP468" s="98"/>
      <c r="DQ468" s="279"/>
      <c r="DR468" s="52"/>
      <c r="DS468" s="105"/>
      <c r="DT468" s="98"/>
      <c r="DU468" s="279"/>
      <c r="DV468" s="52"/>
      <c r="DW468" s="105"/>
      <c r="DX468" s="98"/>
      <c r="DY468" s="279"/>
      <c r="DZ468" s="52"/>
      <c r="EA468" s="105"/>
      <c r="EB468" s="98"/>
      <c r="EC468" s="279"/>
      <c r="ED468" s="52"/>
      <c r="EE468" s="105"/>
      <c r="EF468" s="98"/>
      <c r="EG468" s="159"/>
      <c r="EH468" s="277"/>
      <c r="EI468" s="50">
        <f t="shared" si="198"/>
        <v>0</v>
      </c>
      <c r="EJ468" s="103">
        <f t="shared" si="199"/>
        <v>0</v>
      </c>
      <c r="EK468" s="164">
        <f t="shared" si="200"/>
        <v>0</v>
      </c>
      <c r="EL468" s="280">
        <f t="shared" si="201"/>
        <v>0</v>
      </c>
      <c r="EM468" s="63">
        <f t="shared" si="202"/>
        <v>0</v>
      </c>
      <c r="EN468" s="359">
        <f t="shared" si="203"/>
        <v>0</v>
      </c>
      <c r="EO468" s="51">
        <f t="shared" si="204"/>
        <v>0</v>
      </c>
      <c r="EP468" s="361">
        <f t="shared" si="205"/>
        <v>0</v>
      </c>
      <c r="EQ468" s="281"/>
      <c r="ER468" s="277"/>
      <c r="ES468" s="281"/>
      <c r="ET468" s="277"/>
      <c r="EU468" s="281"/>
      <c r="EV468" s="277"/>
      <c r="EW468" s="281"/>
      <c r="EX468" s="277"/>
      <c r="EY468" s="281"/>
      <c r="EZ468" s="277"/>
      <c r="FA468" s="281"/>
      <c r="FB468" s="277"/>
      <c r="FC468" s="281"/>
      <c r="FD468" s="277"/>
      <c r="FE468" s="281"/>
      <c r="FF468" s="277"/>
      <c r="FG468" s="281"/>
      <c r="FH468" s="277"/>
      <c r="FI468" s="281"/>
      <c r="FJ468" s="277"/>
      <c r="FK468" s="50">
        <f t="shared" si="206"/>
        <v>0</v>
      </c>
      <c r="FL468" s="63">
        <f t="shared" si="207"/>
        <v>0</v>
      </c>
      <c r="FM468" s="50">
        <f t="shared" si="189"/>
        <v>36</v>
      </c>
      <c r="FN468" s="360">
        <f t="shared" si="190"/>
        <v>36</v>
      </c>
      <c r="FO468" s="3"/>
      <c r="FP468" s="279"/>
      <c r="FQ468" s="52"/>
      <c r="FR468" s="296"/>
      <c r="FS468" s="98"/>
      <c r="FT468" s="467"/>
      <c r="FU468" s="52"/>
      <c r="FV468" s="296"/>
      <c r="FW468" s="98"/>
      <c r="FX468" s="467"/>
      <c r="FY468" s="52"/>
      <c r="FZ468" s="296"/>
      <c r="GA468" s="98"/>
      <c r="GB468" s="467"/>
      <c r="GC468" s="52"/>
      <c r="GD468" s="296"/>
      <c r="GE468" s="98"/>
      <c r="GF468" s="467"/>
      <c r="GG468" s="52"/>
      <c r="GH468" s="296"/>
      <c r="GI468" s="98"/>
      <c r="GJ468" s="467"/>
      <c r="GK468" s="52"/>
      <c r="GL468" s="296"/>
      <c r="GM468" s="464"/>
      <c r="GN468" s="467"/>
      <c r="GO468" s="52"/>
      <c r="GP468" s="296"/>
      <c r="GQ468" s="464"/>
      <c r="GR468" s="467"/>
      <c r="GS468" s="52"/>
      <c r="GT468" s="296"/>
      <c r="GU468" s="464"/>
      <c r="GV468" s="467"/>
      <c r="GW468" s="52"/>
      <c r="GX468" s="296"/>
      <c r="GY468" s="464"/>
      <c r="GZ468" s="467"/>
      <c r="HA468" s="52"/>
      <c r="HB468" s="296"/>
      <c r="HC468" s="3"/>
    </row>
    <row r="469" spans="1:211" s="86" customFormat="1">
      <c r="A469" s="489" t="s">
        <v>31</v>
      </c>
      <c r="B469" s="332" t="s">
        <v>412</v>
      </c>
      <c r="C469" s="333">
        <v>407601</v>
      </c>
      <c r="D469" s="341">
        <v>13</v>
      </c>
      <c r="E469" s="460">
        <v>25</v>
      </c>
      <c r="F469" s="535">
        <v>28</v>
      </c>
      <c r="G469" s="460"/>
      <c r="H469" s="277"/>
      <c r="I469" s="158"/>
      <c r="J469" s="535"/>
      <c r="K469" s="160">
        <f t="shared" si="191"/>
        <v>0</v>
      </c>
      <c r="L469" s="161">
        <f t="shared" si="184"/>
        <v>0</v>
      </c>
      <c r="M469" s="54"/>
      <c r="N469" s="55"/>
      <c r="O469" s="55"/>
      <c r="P469" s="55"/>
      <c r="Q469" s="162">
        <f t="shared" si="192"/>
        <v>0</v>
      </c>
      <c r="R469" s="535"/>
      <c r="S469" s="535"/>
      <c r="T469" s="277"/>
      <c r="U469" s="277"/>
      <c r="V469" s="97">
        <f t="shared" si="193"/>
        <v>0</v>
      </c>
      <c r="W469" s="279"/>
      <c r="X469" s="52"/>
      <c r="Y469" s="99"/>
      <c r="Z469" s="53"/>
      <c r="AA469" s="228"/>
      <c r="AB469" s="52"/>
      <c r="AC469" s="99"/>
      <c r="AD469" s="53"/>
      <c r="AE469" s="228"/>
      <c r="AF469" s="52"/>
      <c r="AG469" s="99"/>
      <c r="AH469" s="53"/>
      <c r="AI469" s="228"/>
      <c r="AJ469" s="52"/>
      <c r="AK469" s="99"/>
      <c r="AL469" s="53"/>
      <c r="AM469" s="228"/>
      <c r="AN469" s="52"/>
      <c r="AO469" s="99"/>
      <c r="AP469" s="53"/>
      <c r="AQ469" s="50">
        <f t="shared" si="185"/>
        <v>0</v>
      </c>
      <c r="AR469" s="163">
        <f t="shared" si="186"/>
        <v>0</v>
      </c>
      <c r="AS469" s="97">
        <f t="shared" si="187"/>
        <v>0</v>
      </c>
      <c r="AT469" s="278">
        <f t="shared" si="188"/>
        <v>0</v>
      </c>
      <c r="AU469" s="55"/>
      <c r="AV469" s="277"/>
      <c r="AW469" s="279"/>
      <c r="AX469" s="536"/>
      <c r="AY469" s="98"/>
      <c r="AZ469" s="98"/>
      <c r="BA469" s="279"/>
      <c r="BB469" s="536"/>
      <c r="BC469" s="98"/>
      <c r="BD469" s="98"/>
      <c r="BE469" s="279"/>
      <c r="BF469" s="536"/>
      <c r="BG469" s="98"/>
      <c r="BH469" s="98"/>
      <c r="BI469" s="279"/>
      <c r="BJ469" s="536"/>
      <c r="BK469" s="98"/>
      <c r="BL469" s="98"/>
      <c r="BM469" s="279"/>
      <c r="BN469" s="536"/>
      <c r="BO469" s="98"/>
      <c r="BP469" s="98"/>
      <c r="BQ469" s="279"/>
      <c r="BR469" s="536"/>
      <c r="BS469" s="98"/>
      <c r="BT469" s="98"/>
      <c r="BU469" s="279"/>
      <c r="BV469" s="536"/>
      <c r="BW469" s="98"/>
      <c r="BX469" s="98"/>
      <c r="BY469" s="279"/>
      <c r="BZ469" s="536"/>
      <c r="CA469" s="98"/>
      <c r="CB469" s="98"/>
      <c r="CC469" s="279"/>
      <c r="CD469" s="536"/>
      <c r="CE469" s="98"/>
      <c r="CF469" s="98"/>
      <c r="CG469" s="279"/>
      <c r="CH469" s="536"/>
      <c r="CI469" s="98"/>
      <c r="CJ469" s="98"/>
      <c r="CK469" s="281"/>
      <c r="CL469" s="277"/>
      <c r="CM469" s="159"/>
      <c r="CN469" s="277"/>
      <c r="CO469" s="50">
        <f t="shared" si="194"/>
        <v>0</v>
      </c>
      <c r="CP469" s="103">
        <f t="shared" si="195"/>
        <v>0</v>
      </c>
      <c r="CQ469" s="280">
        <f t="shared" si="196"/>
        <v>0</v>
      </c>
      <c r="CR469" s="63">
        <f t="shared" si="197"/>
        <v>0</v>
      </c>
      <c r="CS469" s="279"/>
      <c r="CT469" s="52"/>
      <c r="CU469" s="105"/>
      <c r="CV469" s="98"/>
      <c r="CW469" s="279"/>
      <c r="CX469" s="52"/>
      <c r="CY469" s="105"/>
      <c r="CZ469" s="98"/>
      <c r="DA469" s="279"/>
      <c r="DB469" s="52"/>
      <c r="DC469" s="105"/>
      <c r="DD469" s="98"/>
      <c r="DE469" s="279"/>
      <c r="DF469" s="52"/>
      <c r="DG469" s="105"/>
      <c r="DH469" s="98"/>
      <c r="DI469" s="279"/>
      <c r="DJ469" s="52"/>
      <c r="DK469" s="105"/>
      <c r="DL469" s="98"/>
      <c r="DM469" s="279"/>
      <c r="DN469" s="52"/>
      <c r="DO469" s="105"/>
      <c r="DP469" s="98"/>
      <c r="DQ469" s="279"/>
      <c r="DR469" s="52"/>
      <c r="DS469" s="105"/>
      <c r="DT469" s="98"/>
      <c r="DU469" s="279"/>
      <c r="DV469" s="52"/>
      <c r="DW469" s="105"/>
      <c r="DX469" s="98"/>
      <c r="DY469" s="279"/>
      <c r="DZ469" s="52"/>
      <c r="EA469" s="105"/>
      <c r="EB469" s="98"/>
      <c r="EC469" s="279"/>
      <c r="ED469" s="52"/>
      <c r="EE469" s="105"/>
      <c r="EF469" s="98"/>
      <c r="EG469" s="159"/>
      <c r="EH469" s="277"/>
      <c r="EI469" s="50">
        <f t="shared" si="198"/>
        <v>0</v>
      </c>
      <c r="EJ469" s="103">
        <f t="shared" si="199"/>
        <v>0</v>
      </c>
      <c r="EK469" s="164">
        <f t="shared" si="200"/>
        <v>0</v>
      </c>
      <c r="EL469" s="280">
        <f t="shared" si="201"/>
        <v>0</v>
      </c>
      <c r="EM469" s="63">
        <f t="shared" si="202"/>
        <v>0</v>
      </c>
      <c r="EN469" s="359">
        <f t="shared" si="203"/>
        <v>0</v>
      </c>
      <c r="EO469" s="51">
        <f t="shared" si="204"/>
        <v>0</v>
      </c>
      <c r="EP469" s="361">
        <f t="shared" si="205"/>
        <v>0</v>
      </c>
      <c r="EQ469" s="281"/>
      <c r="ER469" s="277"/>
      <c r="ES469" s="281"/>
      <c r="ET469" s="277"/>
      <c r="EU469" s="281"/>
      <c r="EV469" s="277"/>
      <c r="EW469" s="281"/>
      <c r="EX469" s="277"/>
      <c r="EY469" s="281"/>
      <c r="EZ469" s="277"/>
      <c r="FA469" s="281"/>
      <c r="FB469" s="277"/>
      <c r="FC469" s="281"/>
      <c r="FD469" s="277"/>
      <c r="FE469" s="281"/>
      <c r="FF469" s="277"/>
      <c r="FG469" s="281"/>
      <c r="FH469" s="277"/>
      <c r="FI469" s="281"/>
      <c r="FJ469" s="277"/>
      <c r="FK469" s="50">
        <f t="shared" si="206"/>
        <v>0</v>
      </c>
      <c r="FL469" s="63">
        <f t="shared" si="207"/>
        <v>0</v>
      </c>
      <c r="FM469" s="50">
        <f t="shared" si="189"/>
        <v>25</v>
      </c>
      <c r="FN469" s="360">
        <f t="shared" si="190"/>
        <v>28</v>
      </c>
      <c r="FO469" s="3"/>
      <c r="FP469" s="279"/>
      <c r="FQ469" s="52"/>
      <c r="FR469" s="296"/>
      <c r="FS469" s="98"/>
      <c r="FT469" s="467"/>
      <c r="FU469" s="52"/>
      <c r="FV469" s="296"/>
      <c r="FW469" s="98"/>
      <c r="FX469" s="467"/>
      <c r="FY469" s="52"/>
      <c r="FZ469" s="296"/>
      <c r="GA469" s="98"/>
      <c r="GB469" s="467"/>
      <c r="GC469" s="52"/>
      <c r="GD469" s="296"/>
      <c r="GE469" s="98"/>
      <c r="GF469" s="467"/>
      <c r="GG469" s="52"/>
      <c r="GH469" s="296"/>
      <c r="GI469" s="98"/>
      <c r="GJ469" s="467"/>
      <c r="GK469" s="52"/>
      <c r="GL469" s="296"/>
      <c r="GM469" s="464"/>
      <c r="GN469" s="467"/>
      <c r="GO469" s="52"/>
      <c r="GP469" s="296"/>
      <c r="GQ469" s="464"/>
      <c r="GR469" s="467"/>
      <c r="GS469" s="52"/>
      <c r="GT469" s="296"/>
      <c r="GU469" s="464"/>
      <c r="GV469" s="467"/>
      <c r="GW469" s="52"/>
      <c r="GX469" s="296"/>
      <c r="GY469" s="464"/>
      <c r="GZ469" s="467"/>
      <c r="HA469" s="52"/>
      <c r="HB469" s="296"/>
      <c r="HC469" s="3"/>
    </row>
    <row r="470" spans="1:211" s="86" customFormat="1">
      <c r="A470" s="489" t="s">
        <v>31</v>
      </c>
      <c r="B470" s="332" t="s">
        <v>413</v>
      </c>
      <c r="C470" s="333">
        <v>364627</v>
      </c>
      <c r="D470" s="341">
        <v>13</v>
      </c>
      <c r="E470" s="460">
        <v>163</v>
      </c>
      <c r="F470" s="535">
        <v>164</v>
      </c>
      <c r="G470" s="460"/>
      <c r="H470" s="277">
        <v>1</v>
      </c>
      <c r="I470" s="158"/>
      <c r="J470" s="535"/>
      <c r="K470" s="160">
        <f t="shared" si="191"/>
        <v>0</v>
      </c>
      <c r="L470" s="161">
        <f t="shared" si="184"/>
        <v>0</v>
      </c>
      <c r="M470" s="54"/>
      <c r="N470" s="55"/>
      <c r="O470" s="55"/>
      <c r="P470" s="55"/>
      <c r="Q470" s="162">
        <f t="shared" si="192"/>
        <v>0</v>
      </c>
      <c r="R470" s="535"/>
      <c r="S470" s="535"/>
      <c r="T470" s="277"/>
      <c r="U470" s="277"/>
      <c r="V470" s="97">
        <f t="shared" si="193"/>
        <v>0</v>
      </c>
      <c r="W470" s="279"/>
      <c r="X470" s="52"/>
      <c r="Y470" s="99"/>
      <c r="Z470" s="53"/>
      <c r="AA470" s="228"/>
      <c r="AB470" s="52"/>
      <c r="AC470" s="99"/>
      <c r="AD470" s="53"/>
      <c r="AE470" s="228"/>
      <c r="AF470" s="52"/>
      <c r="AG470" s="99"/>
      <c r="AH470" s="53"/>
      <c r="AI470" s="228"/>
      <c r="AJ470" s="52"/>
      <c r="AK470" s="99"/>
      <c r="AL470" s="53"/>
      <c r="AM470" s="228"/>
      <c r="AN470" s="52"/>
      <c r="AO470" s="99"/>
      <c r="AP470" s="53"/>
      <c r="AQ470" s="50">
        <f t="shared" si="185"/>
        <v>0</v>
      </c>
      <c r="AR470" s="163">
        <f t="shared" si="186"/>
        <v>0</v>
      </c>
      <c r="AS470" s="97">
        <f t="shared" si="187"/>
        <v>0</v>
      </c>
      <c r="AT470" s="278">
        <f t="shared" si="188"/>
        <v>0</v>
      </c>
      <c r="AU470" s="55"/>
      <c r="AV470" s="277"/>
      <c r="AW470" s="279"/>
      <c r="AX470" s="536"/>
      <c r="AY470" s="98"/>
      <c r="AZ470" s="98"/>
      <c r="BA470" s="279"/>
      <c r="BB470" s="536"/>
      <c r="BC470" s="98"/>
      <c r="BD470" s="98"/>
      <c r="BE470" s="279"/>
      <c r="BF470" s="536"/>
      <c r="BG470" s="98"/>
      <c r="BH470" s="98"/>
      <c r="BI470" s="279"/>
      <c r="BJ470" s="536"/>
      <c r="BK470" s="98"/>
      <c r="BL470" s="98"/>
      <c r="BM470" s="279"/>
      <c r="BN470" s="536"/>
      <c r="BO470" s="98"/>
      <c r="BP470" s="98"/>
      <c r="BQ470" s="279"/>
      <c r="BR470" s="536"/>
      <c r="BS470" s="98"/>
      <c r="BT470" s="98"/>
      <c r="BU470" s="279"/>
      <c r="BV470" s="536"/>
      <c r="BW470" s="98"/>
      <c r="BX470" s="98"/>
      <c r="BY470" s="279"/>
      <c r="BZ470" s="536"/>
      <c r="CA470" s="98"/>
      <c r="CB470" s="98"/>
      <c r="CC470" s="279"/>
      <c r="CD470" s="536"/>
      <c r="CE470" s="98"/>
      <c r="CF470" s="98"/>
      <c r="CG470" s="279"/>
      <c r="CH470" s="536"/>
      <c r="CI470" s="98"/>
      <c r="CJ470" s="98"/>
      <c r="CK470" s="281"/>
      <c r="CL470" s="277"/>
      <c r="CM470" s="159"/>
      <c r="CN470" s="277"/>
      <c r="CO470" s="50">
        <f t="shared" si="194"/>
        <v>0</v>
      </c>
      <c r="CP470" s="103">
        <f t="shared" si="195"/>
        <v>0</v>
      </c>
      <c r="CQ470" s="280">
        <f t="shared" si="196"/>
        <v>0</v>
      </c>
      <c r="CR470" s="63">
        <f t="shared" si="197"/>
        <v>0</v>
      </c>
      <c r="CS470" s="279"/>
      <c r="CT470" s="52"/>
      <c r="CU470" s="105"/>
      <c r="CV470" s="98"/>
      <c r="CW470" s="279"/>
      <c r="CX470" s="52"/>
      <c r="CY470" s="105"/>
      <c r="CZ470" s="98"/>
      <c r="DA470" s="279"/>
      <c r="DB470" s="52"/>
      <c r="DC470" s="105"/>
      <c r="DD470" s="98"/>
      <c r="DE470" s="279"/>
      <c r="DF470" s="52"/>
      <c r="DG470" s="105"/>
      <c r="DH470" s="98"/>
      <c r="DI470" s="279"/>
      <c r="DJ470" s="52"/>
      <c r="DK470" s="105"/>
      <c r="DL470" s="98"/>
      <c r="DM470" s="279"/>
      <c r="DN470" s="52"/>
      <c r="DO470" s="105"/>
      <c r="DP470" s="98"/>
      <c r="DQ470" s="279"/>
      <c r="DR470" s="52"/>
      <c r="DS470" s="105"/>
      <c r="DT470" s="98"/>
      <c r="DU470" s="279"/>
      <c r="DV470" s="52"/>
      <c r="DW470" s="105"/>
      <c r="DX470" s="98"/>
      <c r="DY470" s="279"/>
      <c r="DZ470" s="52"/>
      <c r="EA470" s="105"/>
      <c r="EB470" s="98"/>
      <c r="EC470" s="279"/>
      <c r="ED470" s="52"/>
      <c r="EE470" s="105"/>
      <c r="EF470" s="98"/>
      <c r="EG470" s="159"/>
      <c r="EH470" s="277"/>
      <c r="EI470" s="50">
        <f t="shared" si="198"/>
        <v>0</v>
      </c>
      <c r="EJ470" s="103">
        <f t="shared" si="199"/>
        <v>0</v>
      </c>
      <c r="EK470" s="164">
        <f t="shared" si="200"/>
        <v>0</v>
      </c>
      <c r="EL470" s="280">
        <f t="shared" si="201"/>
        <v>0</v>
      </c>
      <c r="EM470" s="63">
        <f t="shared" si="202"/>
        <v>0</v>
      </c>
      <c r="EN470" s="359">
        <f t="shared" si="203"/>
        <v>0</v>
      </c>
      <c r="EO470" s="51">
        <f t="shared" si="204"/>
        <v>0</v>
      </c>
      <c r="EP470" s="361">
        <f t="shared" si="205"/>
        <v>0</v>
      </c>
      <c r="EQ470" s="281"/>
      <c r="ER470" s="277"/>
      <c r="ES470" s="281"/>
      <c r="ET470" s="277"/>
      <c r="EU470" s="281"/>
      <c r="EV470" s="277"/>
      <c r="EW470" s="281"/>
      <c r="EX470" s="277"/>
      <c r="EY470" s="281"/>
      <c r="EZ470" s="277"/>
      <c r="FA470" s="281"/>
      <c r="FB470" s="277"/>
      <c r="FC470" s="281"/>
      <c r="FD470" s="277"/>
      <c r="FE470" s="281"/>
      <c r="FF470" s="277"/>
      <c r="FG470" s="281"/>
      <c r="FH470" s="277"/>
      <c r="FI470" s="281"/>
      <c r="FJ470" s="277"/>
      <c r="FK470" s="50">
        <f t="shared" si="206"/>
        <v>0</v>
      </c>
      <c r="FL470" s="63">
        <f t="shared" si="207"/>
        <v>0</v>
      </c>
      <c r="FM470" s="50">
        <f t="shared" si="189"/>
        <v>163</v>
      </c>
      <c r="FN470" s="360">
        <f t="shared" si="190"/>
        <v>165</v>
      </c>
      <c r="FO470" s="3"/>
      <c r="FP470" s="279"/>
      <c r="FQ470" s="52"/>
      <c r="FR470" s="296"/>
      <c r="FS470" s="98"/>
      <c r="FT470" s="467"/>
      <c r="FU470" s="52"/>
      <c r="FV470" s="296"/>
      <c r="FW470" s="98"/>
      <c r="FX470" s="467"/>
      <c r="FY470" s="52"/>
      <c r="FZ470" s="296"/>
      <c r="GA470" s="98"/>
      <c r="GB470" s="467"/>
      <c r="GC470" s="52"/>
      <c r="GD470" s="296"/>
      <c r="GE470" s="98"/>
      <c r="GF470" s="467"/>
      <c r="GG470" s="52"/>
      <c r="GH470" s="296"/>
      <c r="GI470" s="98"/>
      <c r="GJ470" s="467"/>
      <c r="GK470" s="52"/>
      <c r="GL470" s="296"/>
      <c r="GM470" s="464"/>
      <c r="GN470" s="467"/>
      <c r="GO470" s="52"/>
      <c r="GP470" s="296"/>
      <c r="GQ470" s="464"/>
      <c r="GR470" s="467"/>
      <c r="GS470" s="52"/>
      <c r="GT470" s="296"/>
      <c r="GU470" s="464"/>
      <c r="GV470" s="467"/>
      <c r="GW470" s="52"/>
      <c r="GX470" s="296"/>
      <c r="GY470" s="464"/>
      <c r="GZ470" s="467"/>
      <c r="HA470" s="52"/>
      <c r="HB470" s="296"/>
      <c r="HC470" s="3"/>
    </row>
    <row r="471" spans="1:211" s="86" customFormat="1">
      <c r="A471" s="489" t="s">
        <v>31</v>
      </c>
      <c r="B471" s="332" t="s">
        <v>414</v>
      </c>
      <c r="C471" s="333">
        <v>206905</v>
      </c>
      <c r="D471" s="341">
        <v>13</v>
      </c>
      <c r="E471" s="460">
        <v>127</v>
      </c>
      <c r="F471" s="535">
        <v>155</v>
      </c>
      <c r="G471" s="460"/>
      <c r="H471" s="277"/>
      <c r="I471" s="158"/>
      <c r="J471" s="535"/>
      <c r="K471" s="160">
        <f t="shared" si="191"/>
        <v>0</v>
      </c>
      <c r="L471" s="161">
        <f t="shared" si="184"/>
        <v>0</v>
      </c>
      <c r="M471" s="54"/>
      <c r="N471" s="55"/>
      <c r="O471" s="55"/>
      <c r="P471" s="55"/>
      <c r="Q471" s="162">
        <f t="shared" si="192"/>
        <v>0</v>
      </c>
      <c r="R471" s="535"/>
      <c r="S471" s="535"/>
      <c r="T471" s="277"/>
      <c r="U471" s="277"/>
      <c r="V471" s="97">
        <f t="shared" si="193"/>
        <v>0</v>
      </c>
      <c r="W471" s="279"/>
      <c r="X471" s="52"/>
      <c r="Y471" s="99"/>
      <c r="Z471" s="53"/>
      <c r="AA471" s="228"/>
      <c r="AB471" s="52"/>
      <c r="AC471" s="99"/>
      <c r="AD471" s="53"/>
      <c r="AE471" s="228"/>
      <c r="AF471" s="52"/>
      <c r="AG471" s="99"/>
      <c r="AH471" s="53"/>
      <c r="AI471" s="228"/>
      <c r="AJ471" s="52"/>
      <c r="AK471" s="99"/>
      <c r="AL471" s="53"/>
      <c r="AM471" s="228"/>
      <c r="AN471" s="52"/>
      <c r="AO471" s="99"/>
      <c r="AP471" s="53"/>
      <c r="AQ471" s="50">
        <f t="shared" si="185"/>
        <v>0</v>
      </c>
      <c r="AR471" s="163">
        <f t="shared" si="186"/>
        <v>0</v>
      </c>
      <c r="AS471" s="97">
        <f t="shared" si="187"/>
        <v>0</v>
      </c>
      <c r="AT471" s="278">
        <f t="shared" si="188"/>
        <v>0</v>
      </c>
      <c r="AU471" s="55"/>
      <c r="AV471" s="277"/>
      <c r="AW471" s="279"/>
      <c r="AX471" s="536"/>
      <c r="AY471" s="98"/>
      <c r="AZ471" s="98"/>
      <c r="BA471" s="279"/>
      <c r="BB471" s="536"/>
      <c r="BC471" s="98"/>
      <c r="BD471" s="98"/>
      <c r="BE471" s="279"/>
      <c r="BF471" s="536"/>
      <c r="BG471" s="98"/>
      <c r="BH471" s="98"/>
      <c r="BI471" s="279"/>
      <c r="BJ471" s="536"/>
      <c r="BK471" s="98"/>
      <c r="BL471" s="98"/>
      <c r="BM471" s="279"/>
      <c r="BN471" s="536"/>
      <c r="BO471" s="98"/>
      <c r="BP471" s="98"/>
      <c r="BQ471" s="279"/>
      <c r="BR471" s="536"/>
      <c r="BS471" s="98"/>
      <c r="BT471" s="98"/>
      <c r="BU471" s="279"/>
      <c r="BV471" s="536"/>
      <c r="BW471" s="98"/>
      <c r="BX471" s="98"/>
      <c r="BY471" s="279"/>
      <c r="BZ471" s="536"/>
      <c r="CA471" s="98"/>
      <c r="CB471" s="98"/>
      <c r="CC471" s="279"/>
      <c r="CD471" s="536"/>
      <c r="CE471" s="98"/>
      <c r="CF471" s="98"/>
      <c r="CG471" s="279"/>
      <c r="CH471" s="536"/>
      <c r="CI471" s="98"/>
      <c r="CJ471" s="98"/>
      <c r="CK471" s="281"/>
      <c r="CL471" s="277"/>
      <c r="CM471" s="159"/>
      <c r="CN471" s="277"/>
      <c r="CO471" s="50">
        <f t="shared" si="194"/>
        <v>0</v>
      </c>
      <c r="CP471" s="103">
        <f t="shared" si="195"/>
        <v>0</v>
      </c>
      <c r="CQ471" s="280">
        <f t="shared" si="196"/>
        <v>0</v>
      </c>
      <c r="CR471" s="63">
        <f t="shared" si="197"/>
        <v>0</v>
      </c>
      <c r="CS471" s="279"/>
      <c r="CT471" s="52"/>
      <c r="CU471" s="105"/>
      <c r="CV471" s="98"/>
      <c r="CW471" s="279"/>
      <c r="CX471" s="52"/>
      <c r="CY471" s="105"/>
      <c r="CZ471" s="98"/>
      <c r="DA471" s="279"/>
      <c r="DB471" s="52"/>
      <c r="DC471" s="105"/>
      <c r="DD471" s="98"/>
      <c r="DE471" s="279"/>
      <c r="DF471" s="52"/>
      <c r="DG471" s="105"/>
      <c r="DH471" s="98"/>
      <c r="DI471" s="279"/>
      <c r="DJ471" s="52"/>
      <c r="DK471" s="105"/>
      <c r="DL471" s="98"/>
      <c r="DM471" s="279"/>
      <c r="DN471" s="52"/>
      <c r="DO471" s="105"/>
      <c r="DP471" s="98"/>
      <c r="DQ471" s="279"/>
      <c r="DR471" s="52"/>
      <c r="DS471" s="105"/>
      <c r="DT471" s="98"/>
      <c r="DU471" s="279"/>
      <c r="DV471" s="52"/>
      <c r="DW471" s="105"/>
      <c r="DX471" s="98"/>
      <c r="DY471" s="279"/>
      <c r="DZ471" s="52"/>
      <c r="EA471" s="105"/>
      <c r="EB471" s="98"/>
      <c r="EC471" s="279"/>
      <c r="ED471" s="52"/>
      <c r="EE471" s="105"/>
      <c r="EF471" s="98"/>
      <c r="EG471" s="159"/>
      <c r="EH471" s="277"/>
      <c r="EI471" s="50">
        <f t="shared" si="198"/>
        <v>0</v>
      </c>
      <c r="EJ471" s="103">
        <f t="shared" si="199"/>
        <v>0</v>
      </c>
      <c r="EK471" s="164">
        <f t="shared" si="200"/>
        <v>0</v>
      </c>
      <c r="EL471" s="280">
        <f t="shared" si="201"/>
        <v>0</v>
      </c>
      <c r="EM471" s="63">
        <f t="shared" si="202"/>
        <v>0</v>
      </c>
      <c r="EN471" s="359">
        <f t="shared" si="203"/>
        <v>0</v>
      </c>
      <c r="EO471" s="51">
        <f t="shared" si="204"/>
        <v>0</v>
      </c>
      <c r="EP471" s="361">
        <f t="shared" si="205"/>
        <v>0</v>
      </c>
      <c r="EQ471" s="281"/>
      <c r="ER471" s="277"/>
      <c r="ES471" s="281"/>
      <c r="ET471" s="277"/>
      <c r="EU471" s="281"/>
      <c r="EV471" s="277"/>
      <c r="EW471" s="281"/>
      <c r="EX471" s="277"/>
      <c r="EY471" s="281"/>
      <c r="EZ471" s="277"/>
      <c r="FA471" s="281"/>
      <c r="FB471" s="277"/>
      <c r="FC471" s="281"/>
      <c r="FD471" s="277"/>
      <c r="FE471" s="281"/>
      <c r="FF471" s="277"/>
      <c r="FG471" s="281"/>
      <c r="FH471" s="277"/>
      <c r="FI471" s="281"/>
      <c r="FJ471" s="277"/>
      <c r="FK471" s="50">
        <f t="shared" si="206"/>
        <v>0</v>
      </c>
      <c r="FL471" s="63">
        <f t="shared" si="207"/>
        <v>0</v>
      </c>
      <c r="FM471" s="50">
        <f t="shared" si="189"/>
        <v>127</v>
      </c>
      <c r="FN471" s="360">
        <f t="shared" si="190"/>
        <v>155</v>
      </c>
      <c r="FO471" s="3"/>
      <c r="FP471" s="279"/>
      <c r="FQ471" s="52"/>
      <c r="FR471" s="296"/>
      <c r="FS471" s="98"/>
      <c r="FT471" s="467"/>
      <c r="FU471" s="52"/>
      <c r="FV471" s="296"/>
      <c r="FW471" s="98"/>
      <c r="FX471" s="467"/>
      <c r="FY471" s="52"/>
      <c r="FZ471" s="296"/>
      <c r="GA471" s="98"/>
      <c r="GB471" s="467"/>
      <c r="GC471" s="52"/>
      <c r="GD471" s="296"/>
      <c r="GE471" s="98"/>
      <c r="GF471" s="467"/>
      <c r="GG471" s="52"/>
      <c r="GH471" s="296"/>
      <c r="GI471" s="98"/>
      <c r="GJ471" s="467"/>
      <c r="GK471" s="52"/>
      <c r="GL471" s="296"/>
      <c r="GM471" s="464"/>
      <c r="GN471" s="467"/>
      <c r="GO471" s="52"/>
      <c r="GP471" s="296"/>
      <c r="GQ471" s="464"/>
      <c r="GR471" s="467"/>
      <c r="GS471" s="52"/>
      <c r="GT471" s="296"/>
      <c r="GU471" s="464"/>
      <c r="GV471" s="467"/>
      <c r="GW471" s="52"/>
      <c r="GX471" s="296"/>
      <c r="GY471" s="464"/>
      <c r="GZ471" s="467"/>
      <c r="HA471" s="52"/>
      <c r="HB471" s="296"/>
      <c r="HC471" s="3"/>
    </row>
    <row r="472" spans="1:211" s="86" customFormat="1">
      <c r="A472" s="489" t="s">
        <v>31</v>
      </c>
      <c r="B472" s="332" t="s">
        <v>415</v>
      </c>
      <c r="C472" s="333">
        <v>250993</v>
      </c>
      <c r="D472" s="341">
        <v>13</v>
      </c>
      <c r="E472" s="460">
        <v>131</v>
      </c>
      <c r="F472" s="535">
        <v>157</v>
      </c>
      <c r="G472" s="460"/>
      <c r="H472" s="277">
        <v>24</v>
      </c>
      <c r="I472" s="158"/>
      <c r="J472" s="535"/>
      <c r="K472" s="160">
        <f t="shared" si="191"/>
        <v>0</v>
      </c>
      <c r="L472" s="161">
        <f t="shared" si="184"/>
        <v>0</v>
      </c>
      <c r="M472" s="54"/>
      <c r="N472" s="55"/>
      <c r="O472" s="55"/>
      <c r="P472" s="55"/>
      <c r="Q472" s="162">
        <f t="shared" si="192"/>
        <v>0</v>
      </c>
      <c r="R472" s="535"/>
      <c r="S472" s="535"/>
      <c r="T472" s="277"/>
      <c r="U472" s="277"/>
      <c r="V472" s="97">
        <f t="shared" si="193"/>
        <v>0</v>
      </c>
      <c r="W472" s="279"/>
      <c r="X472" s="52"/>
      <c r="Y472" s="99"/>
      <c r="Z472" s="53"/>
      <c r="AA472" s="228"/>
      <c r="AB472" s="52"/>
      <c r="AC472" s="99"/>
      <c r="AD472" s="53"/>
      <c r="AE472" s="228"/>
      <c r="AF472" s="52"/>
      <c r="AG472" s="99"/>
      <c r="AH472" s="53"/>
      <c r="AI472" s="228"/>
      <c r="AJ472" s="52"/>
      <c r="AK472" s="99"/>
      <c r="AL472" s="53"/>
      <c r="AM472" s="228"/>
      <c r="AN472" s="52"/>
      <c r="AO472" s="99"/>
      <c r="AP472" s="53"/>
      <c r="AQ472" s="50">
        <f t="shared" si="185"/>
        <v>0</v>
      </c>
      <c r="AR472" s="163">
        <f t="shared" si="186"/>
        <v>0</v>
      </c>
      <c r="AS472" s="97">
        <f t="shared" si="187"/>
        <v>0</v>
      </c>
      <c r="AT472" s="278">
        <f t="shared" si="188"/>
        <v>0</v>
      </c>
      <c r="AU472" s="55"/>
      <c r="AV472" s="277"/>
      <c r="AW472" s="279"/>
      <c r="AX472" s="536"/>
      <c r="AY472" s="98"/>
      <c r="AZ472" s="98"/>
      <c r="BA472" s="279"/>
      <c r="BB472" s="536"/>
      <c r="BC472" s="98"/>
      <c r="BD472" s="98"/>
      <c r="BE472" s="279"/>
      <c r="BF472" s="536"/>
      <c r="BG472" s="98"/>
      <c r="BH472" s="98"/>
      <c r="BI472" s="279"/>
      <c r="BJ472" s="536"/>
      <c r="BK472" s="98"/>
      <c r="BL472" s="98"/>
      <c r="BM472" s="279"/>
      <c r="BN472" s="536"/>
      <c r="BO472" s="98"/>
      <c r="BP472" s="98"/>
      <c r="BQ472" s="279"/>
      <c r="BR472" s="536"/>
      <c r="BS472" s="98"/>
      <c r="BT472" s="98"/>
      <c r="BU472" s="279"/>
      <c r="BV472" s="536"/>
      <c r="BW472" s="98"/>
      <c r="BX472" s="98"/>
      <c r="BY472" s="279"/>
      <c r="BZ472" s="536"/>
      <c r="CA472" s="98"/>
      <c r="CB472" s="98"/>
      <c r="CC472" s="279"/>
      <c r="CD472" s="536"/>
      <c r="CE472" s="98"/>
      <c r="CF472" s="98"/>
      <c r="CG472" s="279"/>
      <c r="CH472" s="536"/>
      <c r="CI472" s="98"/>
      <c r="CJ472" s="98"/>
      <c r="CK472" s="281"/>
      <c r="CL472" s="277"/>
      <c r="CM472" s="159"/>
      <c r="CN472" s="277"/>
      <c r="CO472" s="50">
        <f t="shared" si="194"/>
        <v>0</v>
      </c>
      <c r="CP472" s="103">
        <f t="shared" si="195"/>
        <v>0</v>
      </c>
      <c r="CQ472" s="280">
        <f t="shared" si="196"/>
        <v>0</v>
      </c>
      <c r="CR472" s="63">
        <f t="shared" si="197"/>
        <v>0</v>
      </c>
      <c r="CS472" s="279"/>
      <c r="CT472" s="52"/>
      <c r="CU472" s="105"/>
      <c r="CV472" s="98"/>
      <c r="CW472" s="279"/>
      <c r="CX472" s="52"/>
      <c r="CY472" s="105"/>
      <c r="CZ472" s="98"/>
      <c r="DA472" s="279"/>
      <c r="DB472" s="52"/>
      <c r="DC472" s="105"/>
      <c r="DD472" s="98"/>
      <c r="DE472" s="279"/>
      <c r="DF472" s="52"/>
      <c r="DG472" s="105"/>
      <c r="DH472" s="98"/>
      <c r="DI472" s="279"/>
      <c r="DJ472" s="52"/>
      <c r="DK472" s="105"/>
      <c r="DL472" s="98"/>
      <c r="DM472" s="279"/>
      <c r="DN472" s="52"/>
      <c r="DO472" s="105"/>
      <c r="DP472" s="98"/>
      <c r="DQ472" s="279"/>
      <c r="DR472" s="52"/>
      <c r="DS472" s="105"/>
      <c r="DT472" s="98"/>
      <c r="DU472" s="279"/>
      <c r="DV472" s="52"/>
      <c r="DW472" s="105"/>
      <c r="DX472" s="98"/>
      <c r="DY472" s="279"/>
      <c r="DZ472" s="52"/>
      <c r="EA472" s="105"/>
      <c r="EB472" s="98"/>
      <c r="EC472" s="279"/>
      <c r="ED472" s="52"/>
      <c r="EE472" s="105"/>
      <c r="EF472" s="98"/>
      <c r="EG472" s="159"/>
      <c r="EH472" s="277"/>
      <c r="EI472" s="50">
        <f t="shared" si="198"/>
        <v>0</v>
      </c>
      <c r="EJ472" s="103">
        <f t="shared" si="199"/>
        <v>0</v>
      </c>
      <c r="EK472" s="164">
        <f t="shared" si="200"/>
        <v>0</v>
      </c>
      <c r="EL472" s="280">
        <f t="shared" si="201"/>
        <v>0</v>
      </c>
      <c r="EM472" s="63">
        <f t="shared" si="202"/>
        <v>0</v>
      </c>
      <c r="EN472" s="359">
        <f t="shared" si="203"/>
        <v>0</v>
      </c>
      <c r="EO472" s="51">
        <f t="shared" si="204"/>
        <v>0</v>
      </c>
      <c r="EP472" s="361">
        <f t="shared" si="205"/>
        <v>0</v>
      </c>
      <c r="EQ472" s="281"/>
      <c r="ER472" s="277"/>
      <c r="ES472" s="281"/>
      <c r="ET472" s="277"/>
      <c r="EU472" s="281"/>
      <c r="EV472" s="277"/>
      <c r="EW472" s="281"/>
      <c r="EX472" s="277"/>
      <c r="EY472" s="281"/>
      <c r="EZ472" s="277"/>
      <c r="FA472" s="281"/>
      <c r="FB472" s="277"/>
      <c r="FC472" s="281"/>
      <c r="FD472" s="277"/>
      <c r="FE472" s="281"/>
      <c r="FF472" s="277"/>
      <c r="FG472" s="281"/>
      <c r="FH472" s="277"/>
      <c r="FI472" s="281"/>
      <c r="FJ472" s="277"/>
      <c r="FK472" s="50">
        <f t="shared" si="206"/>
        <v>0</v>
      </c>
      <c r="FL472" s="63">
        <f t="shared" si="207"/>
        <v>0</v>
      </c>
      <c r="FM472" s="50">
        <f t="shared" si="189"/>
        <v>131</v>
      </c>
      <c r="FN472" s="360">
        <f t="shared" si="190"/>
        <v>181</v>
      </c>
      <c r="FO472" s="3"/>
      <c r="FP472" s="279"/>
      <c r="FQ472" s="52"/>
      <c r="FR472" s="296"/>
      <c r="FS472" s="98"/>
      <c r="FT472" s="467"/>
      <c r="FU472" s="52"/>
      <c r="FV472" s="296"/>
      <c r="FW472" s="98"/>
      <c r="FX472" s="467"/>
      <c r="FY472" s="52"/>
      <c r="FZ472" s="296"/>
      <c r="GA472" s="98"/>
      <c r="GB472" s="467"/>
      <c r="GC472" s="52"/>
      <c r="GD472" s="296"/>
      <c r="GE472" s="98"/>
      <c r="GF472" s="467"/>
      <c r="GG472" s="52"/>
      <c r="GH472" s="296"/>
      <c r="GI472" s="98"/>
      <c r="GJ472" s="467"/>
      <c r="GK472" s="52"/>
      <c r="GL472" s="296"/>
      <c r="GM472" s="464"/>
      <c r="GN472" s="467"/>
      <c r="GO472" s="52"/>
      <c r="GP472" s="296"/>
      <c r="GQ472" s="464"/>
      <c r="GR472" s="467"/>
      <c r="GS472" s="52"/>
      <c r="GT472" s="296"/>
      <c r="GU472" s="464"/>
      <c r="GV472" s="467"/>
      <c r="GW472" s="52"/>
      <c r="GX472" s="296"/>
      <c r="GY472" s="464"/>
      <c r="GZ472" s="467"/>
      <c r="HA472" s="52"/>
      <c r="HB472" s="296"/>
      <c r="HC472" s="3"/>
    </row>
    <row r="473" spans="1:211" s="86" customFormat="1">
      <c r="A473" s="489" t="s">
        <v>31</v>
      </c>
      <c r="B473" s="332" t="s">
        <v>416</v>
      </c>
      <c r="C473" s="333">
        <v>365198</v>
      </c>
      <c r="D473" s="341">
        <v>13</v>
      </c>
      <c r="E473" s="460">
        <v>215</v>
      </c>
      <c r="F473" s="535">
        <v>220</v>
      </c>
      <c r="G473" s="460"/>
      <c r="H473" s="277">
        <v>20</v>
      </c>
      <c r="I473" s="158"/>
      <c r="J473" s="535"/>
      <c r="K473" s="160">
        <f t="shared" si="191"/>
        <v>0</v>
      </c>
      <c r="L473" s="161">
        <f t="shared" si="184"/>
        <v>0</v>
      </c>
      <c r="M473" s="54"/>
      <c r="N473" s="55"/>
      <c r="O473" s="55"/>
      <c r="P473" s="55"/>
      <c r="Q473" s="162">
        <f t="shared" si="192"/>
        <v>0</v>
      </c>
      <c r="R473" s="535"/>
      <c r="S473" s="535"/>
      <c r="T473" s="277"/>
      <c r="U473" s="277"/>
      <c r="V473" s="97">
        <f t="shared" si="193"/>
        <v>0</v>
      </c>
      <c r="W473" s="279"/>
      <c r="X473" s="536"/>
      <c r="Y473" s="537"/>
      <c r="Z473" s="538"/>
      <c r="AA473" s="228"/>
      <c r="AB473" s="536"/>
      <c r="AC473" s="537"/>
      <c r="AD473" s="53"/>
      <c r="AE473" s="228"/>
      <c r="AF473" s="536"/>
      <c r="AG473" s="537"/>
      <c r="AH473" s="53"/>
      <c r="AI473" s="228"/>
      <c r="AJ473" s="536"/>
      <c r="AK473" s="537"/>
      <c r="AL473" s="53"/>
      <c r="AM473" s="228"/>
      <c r="AN473" s="536"/>
      <c r="AO473" s="537"/>
      <c r="AP473" s="53"/>
      <c r="AQ473" s="50">
        <f t="shared" si="185"/>
        <v>0</v>
      </c>
      <c r="AR473" s="163">
        <f t="shared" si="186"/>
        <v>0</v>
      </c>
      <c r="AS473" s="97">
        <f t="shared" si="187"/>
        <v>0</v>
      </c>
      <c r="AT473" s="278">
        <f t="shared" si="188"/>
        <v>0</v>
      </c>
      <c r="AU473" s="55"/>
      <c r="AV473" s="277"/>
      <c r="AW473" s="279"/>
      <c r="AX473" s="52"/>
      <c r="AY473" s="105"/>
      <c r="AZ473" s="98"/>
      <c r="BA473" s="279"/>
      <c r="BB473" s="52"/>
      <c r="BC473" s="105"/>
      <c r="BD473" s="98"/>
      <c r="BE473" s="279"/>
      <c r="BF473" s="52"/>
      <c r="BG473" s="105"/>
      <c r="BH473" s="98"/>
      <c r="BI473" s="279"/>
      <c r="BJ473" s="52"/>
      <c r="BK473" s="105"/>
      <c r="BL473" s="98"/>
      <c r="BM473" s="279"/>
      <c r="BN473" s="52"/>
      <c r="BO473" s="105"/>
      <c r="BP473" s="98"/>
      <c r="BQ473" s="279"/>
      <c r="BR473" s="52"/>
      <c r="BS473" s="105"/>
      <c r="BT473" s="98"/>
      <c r="BU473" s="279"/>
      <c r="BV473" s="52"/>
      <c r="BW473" s="105"/>
      <c r="BX473" s="98"/>
      <c r="BY473" s="279"/>
      <c r="BZ473" s="52"/>
      <c r="CA473" s="105"/>
      <c r="CB473" s="98"/>
      <c r="CC473" s="279"/>
      <c r="CD473" s="52"/>
      <c r="CE473" s="105"/>
      <c r="CF473" s="98"/>
      <c r="CG473" s="279"/>
      <c r="CH473" s="52"/>
      <c r="CI473" s="105"/>
      <c r="CJ473" s="98"/>
      <c r="CK473" s="281"/>
      <c r="CL473" s="277"/>
      <c r="CM473" s="159"/>
      <c r="CN473" s="277"/>
      <c r="CO473" s="50">
        <f t="shared" si="194"/>
        <v>0</v>
      </c>
      <c r="CP473" s="103">
        <f t="shared" si="195"/>
        <v>0</v>
      </c>
      <c r="CQ473" s="280">
        <f t="shared" si="196"/>
        <v>0</v>
      </c>
      <c r="CR473" s="63">
        <f t="shared" si="197"/>
        <v>0</v>
      </c>
      <c r="CS473" s="279"/>
      <c r="CT473" s="52"/>
      <c r="CU473" s="105"/>
      <c r="CV473" s="98"/>
      <c r="CW473" s="279"/>
      <c r="CX473" s="52"/>
      <c r="CY473" s="105"/>
      <c r="CZ473" s="98"/>
      <c r="DA473" s="279"/>
      <c r="DB473" s="52"/>
      <c r="DC473" s="105"/>
      <c r="DD473" s="98"/>
      <c r="DE473" s="279"/>
      <c r="DF473" s="52"/>
      <c r="DG473" s="105"/>
      <c r="DH473" s="98"/>
      <c r="DI473" s="279"/>
      <c r="DJ473" s="52"/>
      <c r="DK473" s="105"/>
      <c r="DL473" s="98"/>
      <c r="DM473" s="279"/>
      <c r="DN473" s="52"/>
      <c r="DO473" s="105"/>
      <c r="DP473" s="98"/>
      <c r="DQ473" s="279"/>
      <c r="DR473" s="52"/>
      <c r="DS473" s="105"/>
      <c r="DT473" s="98"/>
      <c r="DU473" s="279"/>
      <c r="DV473" s="52"/>
      <c r="DW473" s="105"/>
      <c r="DX473" s="98"/>
      <c r="DY473" s="279"/>
      <c r="DZ473" s="52"/>
      <c r="EA473" s="105"/>
      <c r="EB473" s="98"/>
      <c r="EC473" s="279"/>
      <c r="ED473" s="52"/>
      <c r="EE473" s="105"/>
      <c r="EF473" s="98"/>
      <c r="EG473" s="159"/>
      <c r="EH473" s="277"/>
      <c r="EI473" s="50">
        <f t="shared" si="198"/>
        <v>0</v>
      </c>
      <c r="EJ473" s="103">
        <f t="shared" si="199"/>
        <v>0</v>
      </c>
      <c r="EK473" s="164">
        <f t="shared" si="200"/>
        <v>0</v>
      </c>
      <c r="EL473" s="280">
        <f t="shared" si="201"/>
        <v>0</v>
      </c>
      <c r="EM473" s="63">
        <f t="shared" si="202"/>
        <v>0</v>
      </c>
      <c r="EN473" s="359">
        <f t="shared" si="203"/>
        <v>0</v>
      </c>
      <c r="EO473" s="51">
        <f t="shared" si="204"/>
        <v>0</v>
      </c>
      <c r="EP473" s="361">
        <f t="shared" si="205"/>
        <v>0</v>
      </c>
      <c r="EQ473" s="281"/>
      <c r="ER473" s="277"/>
      <c r="ES473" s="281"/>
      <c r="ET473" s="277"/>
      <c r="EU473" s="281"/>
      <c r="EV473" s="277"/>
      <c r="EW473" s="281"/>
      <c r="EX473" s="277"/>
      <c r="EY473" s="281"/>
      <c r="EZ473" s="277"/>
      <c r="FA473" s="281"/>
      <c r="FB473" s="277"/>
      <c r="FC473" s="281"/>
      <c r="FD473" s="277"/>
      <c r="FE473" s="281"/>
      <c r="FF473" s="277"/>
      <c r="FG473" s="281"/>
      <c r="FH473" s="277"/>
      <c r="FI473" s="281"/>
      <c r="FJ473" s="277"/>
      <c r="FK473" s="50">
        <f t="shared" si="206"/>
        <v>0</v>
      </c>
      <c r="FL473" s="63">
        <f t="shared" si="207"/>
        <v>0</v>
      </c>
      <c r="FM473" s="50">
        <f t="shared" si="189"/>
        <v>215</v>
      </c>
      <c r="FN473" s="360">
        <f t="shared" si="190"/>
        <v>240</v>
      </c>
      <c r="FO473" s="3"/>
      <c r="FP473" s="279"/>
      <c r="FQ473" s="52"/>
      <c r="FR473" s="296"/>
      <c r="FS473" s="98"/>
      <c r="FT473" s="467"/>
      <c r="FU473" s="52"/>
      <c r="FV473" s="296"/>
      <c r="FW473" s="98"/>
      <c r="FX473" s="467"/>
      <c r="FY473" s="52"/>
      <c r="FZ473" s="296"/>
      <c r="GA473" s="98"/>
      <c r="GB473" s="467"/>
      <c r="GC473" s="52"/>
      <c r="GD473" s="296"/>
      <c r="GE473" s="98"/>
      <c r="GF473" s="467"/>
      <c r="GG473" s="52"/>
      <c r="GH473" s="296"/>
      <c r="GI473" s="98"/>
      <c r="GJ473" s="467"/>
      <c r="GK473" s="52"/>
      <c r="GL473" s="296"/>
      <c r="GM473" s="464"/>
      <c r="GN473" s="467"/>
      <c r="GO473" s="52"/>
      <c r="GP473" s="296"/>
      <c r="GQ473" s="464"/>
      <c r="GR473" s="467"/>
      <c r="GS473" s="52"/>
      <c r="GT473" s="296"/>
      <c r="GU473" s="464"/>
      <c r="GV473" s="467"/>
      <c r="GW473" s="52"/>
      <c r="GX473" s="296"/>
      <c r="GY473" s="464"/>
      <c r="GZ473" s="467"/>
      <c r="HA473" s="52"/>
      <c r="HB473" s="296"/>
      <c r="HC473" s="3"/>
    </row>
    <row r="474" spans="1:211" s="86" customFormat="1">
      <c r="A474" s="489" t="s">
        <v>31</v>
      </c>
      <c r="B474" s="332" t="s">
        <v>417</v>
      </c>
      <c r="C474" s="333">
        <v>368364</v>
      </c>
      <c r="D474" s="341">
        <v>13</v>
      </c>
      <c r="E474" s="460">
        <v>86</v>
      </c>
      <c r="F474" s="535">
        <v>131</v>
      </c>
      <c r="G474" s="460"/>
      <c r="H474" s="277">
        <v>0</v>
      </c>
      <c r="I474" s="158"/>
      <c r="J474" s="535"/>
      <c r="K474" s="160">
        <f t="shared" si="191"/>
        <v>0</v>
      </c>
      <c r="L474" s="161">
        <f t="shared" si="184"/>
        <v>0</v>
      </c>
      <c r="M474" s="54"/>
      <c r="N474" s="55"/>
      <c r="O474" s="55"/>
      <c r="P474" s="55"/>
      <c r="Q474" s="162">
        <f t="shared" si="192"/>
        <v>0</v>
      </c>
      <c r="R474" s="535"/>
      <c r="S474" s="277"/>
      <c r="T474" s="277"/>
      <c r="U474" s="277"/>
      <c r="V474" s="97">
        <f t="shared" si="193"/>
        <v>0</v>
      </c>
      <c r="W474" s="279"/>
      <c r="X474" s="52"/>
      <c r="Y474" s="99"/>
      <c r="Z474" s="53"/>
      <c r="AA474" s="228"/>
      <c r="AB474" s="52"/>
      <c r="AC474" s="99"/>
      <c r="AD474" s="53"/>
      <c r="AE474" s="228"/>
      <c r="AF474" s="52"/>
      <c r="AG474" s="99"/>
      <c r="AH474" s="53"/>
      <c r="AI474" s="228"/>
      <c r="AJ474" s="52"/>
      <c r="AK474" s="99"/>
      <c r="AL474" s="53"/>
      <c r="AM474" s="228"/>
      <c r="AN474" s="52"/>
      <c r="AO474" s="99"/>
      <c r="AP474" s="53"/>
      <c r="AQ474" s="50">
        <f t="shared" si="185"/>
        <v>0</v>
      </c>
      <c r="AR474" s="163">
        <f t="shared" si="186"/>
        <v>0</v>
      </c>
      <c r="AS474" s="97">
        <f t="shared" si="187"/>
        <v>0</v>
      </c>
      <c r="AT474" s="278">
        <f t="shared" si="188"/>
        <v>0</v>
      </c>
      <c r="AU474" s="55"/>
      <c r="AV474" s="277"/>
      <c r="AW474" s="279"/>
      <c r="AX474" s="52"/>
      <c r="AY474" s="105"/>
      <c r="AZ474" s="98"/>
      <c r="BA474" s="279"/>
      <c r="BB474" s="52"/>
      <c r="BC474" s="105"/>
      <c r="BD474" s="98"/>
      <c r="BE474" s="279"/>
      <c r="BF474" s="52"/>
      <c r="BG474" s="105"/>
      <c r="BH474" s="98"/>
      <c r="BI474" s="279"/>
      <c r="BJ474" s="52"/>
      <c r="BK474" s="105"/>
      <c r="BL474" s="98"/>
      <c r="BM474" s="279"/>
      <c r="BN474" s="52"/>
      <c r="BO474" s="105"/>
      <c r="BP474" s="98"/>
      <c r="BQ474" s="279"/>
      <c r="BR474" s="52"/>
      <c r="BS474" s="105"/>
      <c r="BT474" s="98"/>
      <c r="BU474" s="279"/>
      <c r="BV474" s="52"/>
      <c r="BW474" s="105"/>
      <c r="BX474" s="98"/>
      <c r="BY474" s="279"/>
      <c r="BZ474" s="52"/>
      <c r="CA474" s="105"/>
      <c r="CB474" s="98"/>
      <c r="CC474" s="279"/>
      <c r="CD474" s="52"/>
      <c r="CE474" s="105"/>
      <c r="CF474" s="98"/>
      <c r="CG474" s="279"/>
      <c r="CH474" s="52"/>
      <c r="CI474" s="105"/>
      <c r="CJ474" s="98"/>
      <c r="CK474" s="281"/>
      <c r="CL474" s="277"/>
      <c r="CM474" s="159"/>
      <c r="CN474" s="277"/>
      <c r="CO474" s="50">
        <f t="shared" si="194"/>
        <v>0</v>
      </c>
      <c r="CP474" s="103">
        <f t="shared" si="195"/>
        <v>0</v>
      </c>
      <c r="CQ474" s="280">
        <f t="shared" si="196"/>
        <v>0</v>
      </c>
      <c r="CR474" s="63">
        <f t="shared" si="197"/>
        <v>0</v>
      </c>
      <c r="CS474" s="279"/>
      <c r="CT474" s="52"/>
      <c r="CU474" s="105"/>
      <c r="CV474" s="98"/>
      <c r="CW474" s="279"/>
      <c r="CX474" s="52"/>
      <c r="CY474" s="105"/>
      <c r="CZ474" s="98"/>
      <c r="DA474" s="279"/>
      <c r="DB474" s="52"/>
      <c r="DC474" s="105"/>
      <c r="DD474" s="98"/>
      <c r="DE474" s="279"/>
      <c r="DF474" s="52"/>
      <c r="DG474" s="105"/>
      <c r="DH474" s="98"/>
      <c r="DI474" s="279"/>
      <c r="DJ474" s="52"/>
      <c r="DK474" s="105"/>
      <c r="DL474" s="98"/>
      <c r="DM474" s="279"/>
      <c r="DN474" s="52"/>
      <c r="DO474" s="105"/>
      <c r="DP474" s="98"/>
      <c r="DQ474" s="279"/>
      <c r="DR474" s="52"/>
      <c r="DS474" s="105"/>
      <c r="DT474" s="98"/>
      <c r="DU474" s="279"/>
      <c r="DV474" s="52"/>
      <c r="DW474" s="105"/>
      <c r="DX474" s="98"/>
      <c r="DY474" s="279"/>
      <c r="DZ474" s="52"/>
      <c r="EA474" s="105"/>
      <c r="EB474" s="98"/>
      <c r="EC474" s="279"/>
      <c r="ED474" s="52"/>
      <c r="EE474" s="105"/>
      <c r="EF474" s="98"/>
      <c r="EG474" s="159"/>
      <c r="EH474" s="277"/>
      <c r="EI474" s="50">
        <f t="shared" si="198"/>
        <v>0</v>
      </c>
      <c r="EJ474" s="103">
        <f t="shared" si="199"/>
        <v>0</v>
      </c>
      <c r="EK474" s="164">
        <f t="shared" si="200"/>
        <v>0</v>
      </c>
      <c r="EL474" s="280">
        <f t="shared" si="201"/>
        <v>0</v>
      </c>
      <c r="EM474" s="63">
        <f t="shared" si="202"/>
        <v>0</v>
      </c>
      <c r="EN474" s="359">
        <f t="shared" si="203"/>
        <v>0</v>
      </c>
      <c r="EO474" s="51">
        <f t="shared" si="204"/>
        <v>0</v>
      </c>
      <c r="EP474" s="361">
        <f t="shared" si="205"/>
        <v>0</v>
      </c>
      <c r="EQ474" s="281"/>
      <c r="ER474" s="277"/>
      <c r="ES474" s="281"/>
      <c r="ET474" s="277"/>
      <c r="EU474" s="281"/>
      <c r="EV474" s="277"/>
      <c r="EW474" s="281"/>
      <c r="EX474" s="277"/>
      <c r="EY474" s="281"/>
      <c r="EZ474" s="277"/>
      <c r="FA474" s="281"/>
      <c r="FB474" s="277"/>
      <c r="FC474" s="281"/>
      <c r="FD474" s="277"/>
      <c r="FE474" s="281"/>
      <c r="FF474" s="277"/>
      <c r="FG474" s="281"/>
      <c r="FH474" s="277"/>
      <c r="FI474" s="281"/>
      <c r="FJ474" s="277"/>
      <c r="FK474" s="50">
        <f t="shared" si="206"/>
        <v>0</v>
      </c>
      <c r="FL474" s="63">
        <f t="shared" si="207"/>
        <v>0</v>
      </c>
      <c r="FM474" s="50">
        <f t="shared" si="189"/>
        <v>86</v>
      </c>
      <c r="FN474" s="360">
        <f t="shared" si="190"/>
        <v>131</v>
      </c>
      <c r="FO474" s="3"/>
      <c r="FP474" s="279"/>
      <c r="FQ474" s="52"/>
      <c r="FR474" s="296"/>
      <c r="FS474" s="98"/>
      <c r="FT474" s="467"/>
      <c r="FU474" s="52"/>
      <c r="FV474" s="296"/>
      <c r="FW474" s="98"/>
      <c r="FX474" s="467"/>
      <c r="FY474" s="52"/>
      <c r="FZ474" s="296"/>
      <c r="GA474" s="98"/>
      <c r="GB474" s="467"/>
      <c r="GC474" s="52"/>
      <c r="GD474" s="296"/>
      <c r="GE474" s="98"/>
      <c r="GF474" s="467"/>
      <c r="GG474" s="52"/>
      <c r="GH474" s="296"/>
      <c r="GI474" s="98"/>
      <c r="GJ474" s="467"/>
      <c r="GK474" s="52"/>
      <c r="GL474" s="296"/>
      <c r="GM474" s="464"/>
      <c r="GN474" s="467"/>
      <c r="GO474" s="52"/>
      <c r="GP474" s="296"/>
      <c r="GQ474" s="464"/>
      <c r="GR474" s="467"/>
      <c r="GS474" s="52"/>
      <c r="GT474" s="296"/>
      <c r="GU474" s="464"/>
      <c r="GV474" s="467"/>
      <c r="GW474" s="52"/>
      <c r="GX474" s="296"/>
      <c r="GY474" s="464"/>
      <c r="GZ474" s="467"/>
      <c r="HA474" s="52"/>
      <c r="HB474" s="296"/>
      <c r="HC474" s="3"/>
    </row>
    <row r="475" spans="1:211" s="86" customFormat="1">
      <c r="A475" s="489" t="s">
        <v>31</v>
      </c>
      <c r="B475" s="332" t="s">
        <v>418</v>
      </c>
      <c r="C475" s="333">
        <v>418287</v>
      </c>
      <c r="D475" s="341">
        <v>13</v>
      </c>
      <c r="E475" s="460">
        <v>200</v>
      </c>
      <c r="F475" s="535">
        <v>244</v>
      </c>
      <c r="G475" s="460"/>
      <c r="H475" s="277">
        <v>10</v>
      </c>
      <c r="I475" s="158"/>
      <c r="J475" s="535"/>
      <c r="K475" s="160">
        <f t="shared" si="191"/>
        <v>0</v>
      </c>
      <c r="L475" s="161">
        <f t="shared" si="184"/>
        <v>0</v>
      </c>
      <c r="M475" s="54"/>
      <c r="N475" s="55"/>
      <c r="O475" s="55"/>
      <c r="P475" s="55"/>
      <c r="Q475" s="162">
        <f t="shared" si="192"/>
        <v>0</v>
      </c>
      <c r="R475" s="535"/>
      <c r="S475" s="277"/>
      <c r="T475" s="277"/>
      <c r="U475" s="277"/>
      <c r="V475" s="97">
        <f t="shared" si="193"/>
        <v>0</v>
      </c>
      <c r="W475" s="279"/>
      <c r="X475" s="52"/>
      <c r="Y475" s="99"/>
      <c r="Z475" s="53"/>
      <c r="AA475" s="228"/>
      <c r="AB475" s="52"/>
      <c r="AC475" s="99"/>
      <c r="AD475" s="53"/>
      <c r="AE475" s="228"/>
      <c r="AF475" s="52"/>
      <c r="AG475" s="99"/>
      <c r="AH475" s="53"/>
      <c r="AI475" s="228"/>
      <c r="AJ475" s="52"/>
      <c r="AK475" s="99"/>
      <c r="AL475" s="53"/>
      <c r="AM475" s="228"/>
      <c r="AN475" s="52"/>
      <c r="AO475" s="99"/>
      <c r="AP475" s="53"/>
      <c r="AQ475" s="50">
        <f t="shared" si="185"/>
        <v>0</v>
      </c>
      <c r="AR475" s="163">
        <f t="shared" si="186"/>
        <v>0</v>
      </c>
      <c r="AS475" s="97">
        <f t="shared" si="187"/>
        <v>0</v>
      </c>
      <c r="AT475" s="278">
        <f t="shared" si="188"/>
        <v>0</v>
      </c>
      <c r="AU475" s="55"/>
      <c r="AV475" s="277"/>
      <c r="AW475" s="279"/>
      <c r="AX475" s="52"/>
      <c r="AY475" s="105"/>
      <c r="AZ475" s="98"/>
      <c r="BA475" s="279"/>
      <c r="BB475" s="52"/>
      <c r="BC475" s="105"/>
      <c r="BD475" s="98"/>
      <c r="BE475" s="279"/>
      <c r="BF475" s="52"/>
      <c r="BG475" s="105"/>
      <c r="BH475" s="98"/>
      <c r="BI475" s="279"/>
      <c r="BJ475" s="52"/>
      <c r="BK475" s="105"/>
      <c r="BL475" s="98"/>
      <c r="BM475" s="279"/>
      <c r="BN475" s="52"/>
      <c r="BO475" s="105"/>
      <c r="BP475" s="98"/>
      <c r="BQ475" s="279"/>
      <c r="BR475" s="52"/>
      <c r="BS475" s="105"/>
      <c r="BT475" s="98"/>
      <c r="BU475" s="279"/>
      <c r="BV475" s="52"/>
      <c r="BW475" s="105"/>
      <c r="BX475" s="98"/>
      <c r="BY475" s="279"/>
      <c r="BZ475" s="52"/>
      <c r="CA475" s="105"/>
      <c r="CB475" s="98"/>
      <c r="CC475" s="279"/>
      <c r="CD475" s="52"/>
      <c r="CE475" s="105"/>
      <c r="CF475" s="98"/>
      <c r="CG475" s="279"/>
      <c r="CH475" s="52"/>
      <c r="CI475" s="105"/>
      <c r="CJ475" s="98"/>
      <c r="CK475" s="281"/>
      <c r="CL475" s="277"/>
      <c r="CM475" s="159"/>
      <c r="CN475" s="277"/>
      <c r="CO475" s="50">
        <f t="shared" si="194"/>
        <v>0</v>
      </c>
      <c r="CP475" s="103">
        <f t="shared" si="195"/>
        <v>0</v>
      </c>
      <c r="CQ475" s="280">
        <f t="shared" si="196"/>
        <v>0</v>
      </c>
      <c r="CR475" s="63">
        <f t="shared" si="197"/>
        <v>0</v>
      </c>
      <c r="CS475" s="279"/>
      <c r="CT475" s="52"/>
      <c r="CU475" s="105"/>
      <c r="CV475" s="98"/>
      <c r="CW475" s="279"/>
      <c r="CX475" s="52"/>
      <c r="CY475" s="105"/>
      <c r="CZ475" s="98"/>
      <c r="DA475" s="279"/>
      <c r="DB475" s="52"/>
      <c r="DC475" s="105"/>
      <c r="DD475" s="98"/>
      <c r="DE475" s="279"/>
      <c r="DF475" s="52"/>
      <c r="DG475" s="105"/>
      <c r="DH475" s="98"/>
      <c r="DI475" s="279"/>
      <c r="DJ475" s="52"/>
      <c r="DK475" s="105"/>
      <c r="DL475" s="98"/>
      <c r="DM475" s="279"/>
      <c r="DN475" s="52"/>
      <c r="DO475" s="105"/>
      <c r="DP475" s="98"/>
      <c r="DQ475" s="279"/>
      <c r="DR475" s="52"/>
      <c r="DS475" s="105"/>
      <c r="DT475" s="98"/>
      <c r="DU475" s="279"/>
      <c r="DV475" s="52"/>
      <c r="DW475" s="105"/>
      <c r="DX475" s="98"/>
      <c r="DY475" s="279"/>
      <c r="DZ475" s="52"/>
      <c r="EA475" s="105"/>
      <c r="EB475" s="98"/>
      <c r="EC475" s="279"/>
      <c r="ED475" s="52"/>
      <c r="EE475" s="105"/>
      <c r="EF475" s="98"/>
      <c r="EG475" s="159"/>
      <c r="EH475" s="277"/>
      <c r="EI475" s="50">
        <f t="shared" si="198"/>
        <v>0</v>
      </c>
      <c r="EJ475" s="103">
        <f t="shared" si="199"/>
        <v>0</v>
      </c>
      <c r="EK475" s="164">
        <f t="shared" si="200"/>
        <v>0</v>
      </c>
      <c r="EL475" s="280">
        <f t="shared" si="201"/>
        <v>0</v>
      </c>
      <c r="EM475" s="63">
        <f t="shared" si="202"/>
        <v>0</v>
      </c>
      <c r="EN475" s="359">
        <f t="shared" si="203"/>
        <v>0</v>
      </c>
      <c r="EO475" s="51">
        <f t="shared" si="204"/>
        <v>0</v>
      </c>
      <c r="EP475" s="361">
        <f t="shared" si="205"/>
        <v>0</v>
      </c>
      <c r="EQ475" s="281"/>
      <c r="ER475" s="277"/>
      <c r="ES475" s="281"/>
      <c r="ET475" s="277"/>
      <c r="EU475" s="281"/>
      <c r="EV475" s="277"/>
      <c r="EW475" s="281"/>
      <c r="EX475" s="277"/>
      <c r="EY475" s="281"/>
      <c r="EZ475" s="277"/>
      <c r="FA475" s="281"/>
      <c r="FB475" s="277"/>
      <c r="FC475" s="281"/>
      <c r="FD475" s="277"/>
      <c r="FE475" s="281"/>
      <c r="FF475" s="277"/>
      <c r="FG475" s="281"/>
      <c r="FH475" s="277"/>
      <c r="FI475" s="281"/>
      <c r="FJ475" s="277"/>
      <c r="FK475" s="50">
        <f t="shared" si="206"/>
        <v>0</v>
      </c>
      <c r="FL475" s="63">
        <f t="shared" si="207"/>
        <v>0</v>
      </c>
      <c r="FM475" s="50">
        <f t="shared" si="189"/>
        <v>200</v>
      </c>
      <c r="FN475" s="360">
        <f t="shared" si="190"/>
        <v>254</v>
      </c>
      <c r="FO475" s="3"/>
      <c r="FP475" s="279"/>
      <c r="FQ475" s="52"/>
      <c r="FR475" s="296"/>
      <c r="FS475" s="98"/>
      <c r="FT475" s="467"/>
      <c r="FU475" s="52"/>
      <c r="FV475" s="296"/>
      <c r="FW475" s="98"/>
      <c r="FX475" s="467"/>
      <c r="FY475" s="52"/>
      <c r="FZ475" s="296"/>
      <c r="GA475" s="98"/>
      <c r="GB475" s="467"/>
      <c r="GC475" s="52"/>
      <c r="GD475" s="296"/>
      <c r="GE475" s="98"/>
      <c r="GF475" s="467"/>
      <c r="GG475" s="52"/>
      <c r="GH475" s="296"/>
      <c r="GI475" s="98"/>
      <c r="GJ475" s="467"/>
      <c r="GK475" s="52"/>
      <c r="GL475" s="296"/>
      <c r="GM475" s="464"/>
      <c r="GN475" s="467"/>
      <c r="GO475" s="52"/>
      <c r="GP475" s="296"/>
      <c r="GQ475" s="464"/>
      <c r="GR475" s="467"/>
      <c r="GS475" s="52"/>
      <c r="GT475" s="296"/>
      <c r="GU475" s="464"/>
      <c r="GV475" s="467"/>
      <c r="GW475" s="52"/>
      <c r="GX475" s="296"/>
      <c r="GY475" s="464"/>
      <c r="GZ475" s="467"/>
      <c r="HA475" s="52"/>
      <c r="HB475" s="296"/>
      <c r="HC475" s="3"/>
    </row>
    <row r="476" spans="1:211" s="86" customFormat="1">
      <c r="A476" s="489" t="s">
        <v>31</v>
      </c>
      <c r="B476" s="332" t="s">
        <v>419</v>
      </c>
      <c r="C476" s="333">
        <v>207607</v>
      </c>
      <c r="D476" s="341">
        <v>13</v>
      </c>
      <c r="E476" s="460">
        <v>272</v>
      </c>
      <c r="F476" s="535">
        <v>552</v>
      </c>
      <c r="G476" s="460"/>
      <c r="H476" s="277"/>
      <c r="I476" s="158"/>
      <c r="J476" s="535"/>
      <c r="K476" s="160">
        <f t="shared" si="191"/>
        <v>0</v>
      </c>
      <c r="L476" s="161">
        <f t="shared" si="184"/>
        <v>0</v>
      </c>
      <c r="M476" s="54"/>
      <c r="N476" s="55"/>
      <c r="O476" s="55"/>
      <c r="P476" s="55"/>
      <c r="Q476" s="162">
        <f t="shared" si="192"/>
        <v>0</v>
      </c>
      <c r="R476" s="535"/>
      <c r="S476" s="277"/>
      <c r="T476" s="277"/>
      <c r="U476" s="277"/>
      <c r="V476" s="97">
        <f t="shared" si="193"/>
        <v>0</v>
      </c>
      <c r="W476" s="279"/>
      <c r="X476" s="52"/>
      <c r="Y476" s="99"/>
      <c r="Z476" s="53"/>
      <c r="AA476" s="228"/>
      <c r="AB476" s="52"/>
      <c r="AC476" s="99"/>
      <c r="AD476" s="53"/>
      <c r="AE476" s="228"/>
      <c r="AF476" s="52"/>
      <c r="AG476" s="99"/>
      <c r="AH476" s="53"/>
      <c r="AI476" s="228"/>
      <c r="AJ476" s="52"/>
      <c r="AK476" s="99"/>
      <c r="AL476" s="53"/>
      <c r="AM476" s="228"/>
      <c r="AN476" s="52"/>
      <c r="AO476" s="99"/>
      <c r="AP476" s="53"/>
      <c r="AQ476" s="50">
        <f t="shared" si="185"/>
        <v>0</v>
      </c>
      <c r="AR476" s="163">
        <f t="shared" si="186"/>
        <v>0</v>
      </c>
      <c r="AS476" s="97">
        <f t="shared" si="187"/>
        <v>0</v>
      </c>
      <c r="AT476" s="278">
        <f t="shared" si="188"/>
        <v>0</v>
      </c>
      <c r="AU476" s="55"/>
      <c r="AV476" s="277"/>
      <c r="AW476" s="279"/>
      <c r="AX476" s="52"/>
      <c r="AY476" s="105"/>
      <c r="AZ476" s="98"/>
      <c r="BA476" s="279"/>
      <c r="BB476" s="52"/>
      <c r="BC476" s="105"/>
      <c r="BD476" s="98"/>
      <c r="BE476" s="279"/>
      <c r="BF476" s="52"/>
      <c r="BG476" s="105"/>
      <c r="BH476" s="98"/>
      <c r="BI476" s="279"/>
      <c r="BJ476" s="52"/>
      <c r="BK476" s="105"/>
      <c r="BL476" s="98"/>
      <c r="BM476" s="279"/>
      <c r="BN476" s="52"/>
      <c r="BO476" s="105"/>
      <c r="BP476" s="98"/>
      <c r="BQ476" s="279"/>
      <c r="BR476" s="52"/>
      <c r="BS476" s="105"/>
      <c r="BT476" s="98"/>
      <c r="BU476" s="279"/>
      <c r="BV476" s="52"/>
      <c r="BW476" s="105"/>
      <c r="BX476" s="98"/>
      <c r="BY476" s="279"/>
      <c r="BZ476" s="52"/>
      <c r="CA476" s="105"/>
      <c r="CB476" s="98"/>
      <c r="CC476" s="279"/>
      <c r="CD476" s="52"/>
      <c r="CE476" s="105"/>
      <c r="CF476" s="98"/>
      <c r="CG476" s="279"/>
      <c r="CH476" s="52"/>
      <c r="CI476" s="105"/>
      <c r="CJ476" s="98"/>
      <c r="CK476" s="281"/>
      <c r="CL476" s="277"/>
      <c r="CM476" s="159"/>
      <c r="CN476" s="277"/>
      <c r="CO476" s="50">
        <f t="shared" si="194"/>
        <v>0</v>
      </c>
      <c r="CP476" s="103">
        <f t="shared" si="195"/>
        <v>0</v>
      </c>
      <c r="CQ476" s="280">
        <f t="shared" si="196"/>
        <v>0</v>
      </c>
      <c r="CR476" s="63">
        <f t="shared" si="197"/>
        <v>0</v>
      </c>
      <c r="CS476" s="279"/>
      <c r="CT476" s="52"/>
      <c r="CU476" s="105"/>
      <c r="CV476" s="98"/>
      <c r="CW476" s="279"/>
      <c r="CX476" s="52"/>
      <c r="CY476" s="105"/>
      <c r="CZ476" s="98"/>
      <c r="DA476" s="279"/>
      <c r="DB476" s="52"/>
      <c r="DC476" s="105"/>
      <c r="DD476" s="98"/>
      <c r="DE476" s="279"/>
      <c r="DF476" s="52"/>
      <c r="DG476" s="105"/>
      <c r="DH476" s="98"/>
      <c r="DI476" s="279"/>
      <c r="DJ476" s="52"/>
      <c r="DK476" s="105"/>
      <c r="DL476" s="98"/>
      <c r="DM476" s="279"/>
      <c r="DN476" s="52"/>
      <c r="DO476" s="105"/>
      <c r="DP476" s="98"/>
      <c r="DQ476" s="279"/>
      <c r="DR476" s="52"/>
      <c r="DS476" s="105"/>
      <c r="DT476" s="98"/>
      <c r="DU476" s="279"/>
      <c r="DV476" s="52"/>
      <c r="DW476" s="105"/>
      <c r="DX476" s="98"/>
      <c r="DY476" s="279"/>
      <c r="DZ476" s="52"/>
      <c r="EA476" s="105"/>
      <c r="EB476" s="98"/>
      <c r="EC476" s="279"/>
      <c r="ED476" s="52"/>
      <c r="EE476" s="105"/>
      <c r="EF476" s="98"/>
      <c r="EG476" s="159"/>
      <c r="EH476" s="277"/>
      <c r="EI476" s="50">
        <f t="shared" si="198"/>
        <v>0</v>
      </c>
      <c r="EJ476" s="103">
        <f t="shared" si="199"/>
        <v>0</v>
      </c>
      <c r="EK476" s="164">
        <f t="shared" si="200"/>
        <v>0</v>
      </c>
      <c r="EL476" s="280">
        <f t="shared" si="201"/>
        <v>0</v>
      </c>
      <c r="EM476" s="63">
        <f t="shared" si="202"/>
        <v>0</v>
      </c>
      <c r="EN476" s="359">
        <f t="shared" si="203"/>
        <v>0</v>
      </c>
      <c r="EO476" s="51">
        <f t="shared" si="204"/>
        <v>0</v>
      </c>
      <c r="EP476" s="361">
        <f t="shared" si="205"/>
        <v>0</v>
      </c>
      <c r="EQ476" s="281"/>
      <c r="ER476" s="277"/>
      <c r="ES476" s="281"/>
      <c r="ET476" s="277"/>
      <c r="EU476" s="281"/>
      <c r="EV476" s="277"/>
      <c r="EW476" s="281"/>
      <c r="EX476" s="277"/>
      <c r="EY476" s="281"/>
      <c r="EZ476" s="277"/>
      <c r="FA476" s="281"/>
      <c r="FB476" s="277"/>
      <c r="FC476" s="281"/>
      <c r="FD476" s="277"/>
      <c r="FE476" s="281"/>
      <c r="FF476" s="277"/>
      <c r="FG476" s="281"/>
      <c r="FH476" s="277"/>
      <c r="FI476" s="281"/>
      <c r="FJ476" s="277"/>
      <c r="FK476" s="50">
        <f t="shared" si="206"/>
        <v>0</v>
      </c>
      <c r="FL476" s="63">
        <f t="shared" si="207"/>
        <v>0</v>
      </c>
      <c r="FM476" s="50">
        <f t="shared" si="189"/>
        <v>272</v>
      </c>
      <c r="FN476" s="360">
        <f t="shared" si="190"/>
        <v>552</v>
      </c>
      <c r="FO476" s="3"/>
      <c r="FP476" s="279"/>
      <c r="FQ476" s="52"/>
      <c r="FR476" s="296"/>
      <c r="FS476" s="98"/>
      <c r="FT476" s="467"/>
      <c r="FU476" s="52"/>
      <c r="FV476" s="296"/>
      <c r="FW476" s="98"/>
      <c r="FX476" s="467"/>
      <c r="FY476" s="52"/>
      <c r="FZ476" s="296"/>
      <c r="GA476" s="98"/>
      <c r="GB476" s="467"/>
      <c r="GC476" s="52"/>
      <c r="GD476" s="296"/>
      <c r="GE476" s="98"/>
      <c r="GF476" s="467"/>
      <c r="GG476" s="52"/>
      <c r="GH476" s="296"/>
      <c r="GI476" s="98"/>
      <c r="GJ476" s="467"/>
      <c r="GK476" s="52"/>
      <c r="GL476" s="296"/>
      <c r="GM476" s="464"/>
      <c r="GN476" s="467"/>
      <c r="GO476" s="52"/>
      <c r="GP476" s="296"/>
      <c r="GQ476" s="464"/>
      <c r="GR476" s="467"/>
      <c r="GS476" s="52"/>
      <c r="GT476" s="296"/>
      <c r="GU476" s="464"/>
      <c r="GV476" s="467"/>
      <c r="GW476" s="52"/>
      <c r="GX476" s="296"/>
      <c r="GY476" s="464"/>
      <c r="GZ476" s="467"/>
      <c r="HA476" s="52"/>
      <c r="HB476" s="296"/>
      <c r="HC476" s="3"/>
    </row>
    <row r="477" spans="1:211" s="86" customFormat="1">
      <c r="A477" s="489" t="s">
        <v>31</v>
      </c>
      <c r="B477" s="332" t="s">
        <v>420</v>
      </c>
      <c r="C477" s="333">
        <v>261375</v>
      </c>
      <c r="D477" s="341">
        <v>13</v>
      </c>
      <c r="E477" s="460">
        <v>493</v>
      </c>
      <c r="F477" s="535">
        <v>571</v>
      </c>
      <c r="G477" s="460"/>
      <c r="H477" s="277">
        <v>0</v>
      </c>
      <c r="I477" s="158"/>
      <c r="J477" s="535"/>
      <c r="K477" s="160">
        <f t="shared" si="191"/>
        <v>0</v>
      </c>
      <c r="L477" s="161">
        <f t="shared" si="184"/>
        <v>0</v>
      </c>
      <c r="M477" s="54"/>
      <c r="N477" s="55"/>
      <c r="O477" s="55"/>
      <c r="P477" s="55"/>
      <c r="Q477" s="162">
        <f t="shared" si="192"/>
        <v>0</v>
      </c>
      <c r="R477" s="535"/>
      <c r="S477" s="277"/>
      <c r="T477" s="277"/>
      <c r="U477" s="277"/>
      <c r="V477" s="97">
        <f t="shared" si="193"/>
        <v>0</v>
      </c>
      <c r="W477" s="279"/>
      <c r="X477" s="52"/>
      <c r="Y477" s="99"/>
      <c r="Z477" s="53"/>
      <c r="AA477" s="228"/>
      <c r="AB477" s="52"/>
      <c r="AC477" s="99"/>
      <c r="AD477" s="53"/>
      <c r="AE477" s="228"/>
      <c r="AF477" s="52"/>
      <c r="AG477" s="99"/>
      <c r="AH477" s="53"/>
      <c r="AI477" s="228"/>
      <c r="AJ477" s="52"/>
      <c r="AK477" s="99"/>
      <c r="AL477" s="53"/>
      <c r="AM477" s="228"/>
      <c r="AN477" s="52"/>
      <c r="AO477" s="99"/>
      <c r="AP477" s="53"/>
      <c r="AQ477" s="50">
        <f t="shared" si="185"/>
        <v>0</v>
      </c>
      <c r="AR477" s="163">
        <f t="shared" si="186"/>
        <v>0</v>
      </c>
      <c r="AS477" s="97">
        <f t="shared" si="187"/>
        <v>0</v>
      </c>
      <c r="AT477" s="278">
        <f t="shared" si="188"/>
        <v>0</v>
      </c>
      <c r="AU477" s="55"/>
      <c r="AV477" s="277"/>
      <c r="AW477" s="279"/>
      <c r="AX477" s="52"/>
      <c r="AY477" s="105"/>
      <c r="AZ477" s="98"/>
      <c r="BA477" s="279"/>
      <c r="BB477" s="52"/>
      <c r="BC477" s="105"/>
      <c r="BD477" s="98"/>
      <c r="BE477" s="279"/>
      <c r="BF477" s="52"/>
      <c r="BG477" s="105"/>
      <c r="BH477" s="98"/>
      <c r="BI477" s="279"/>
      <c r="BJ477" s="52"/>
      <c r="BK477" s="105"/>
      <c r="BL477" s="98"/>
      <c r="BM477" s="279"/>
      <c r="BN477" s="52"/>
      <c r="BO477" s="105"/>
      <c r="BP477" s="98"/>
      <c r="BQ477" s="279"/>
      <c r="BR477" s="52"/>
      <c r="BS477" s="105"/>
      <c r="BT477" s="98"/>
      <c r="BU477" s="279"/>
      <c r="BV477" s="52"/>
      <c r="BW477" s="105"/>
      <c r="BX477" s="98"/>
      <c r="BY477" s="279"/>
      <c r="BZ477" s="52"/>
      <c r="CA477" s="105"/>
      <c r="CB477" s="98"/>
      <c r="CC477" s="279"/>
      <c r="CD477" s="52"/>
      <c r="CE477" s="105"/>
      <c r="CF477" s="98"/>
      <c r="CG477" s="279"/>
      <c r="CH477" s="52"/>
      <c r="CI477" s="105"/>
      <c r="CJ477" s="98"/>
      <c r="CK477" s="281"/>
      <c r="CL477" s="277"/>
      <c r="CM477" s="159"/>
      <c r="CN477" s="277"/>
      <c r="CO477" s="50">
        <f t="shared" si="194"/>
        <v>0</v>
      </c>
      <c r="CP477" s="103">
        <f t="shared" si="195"/>
        <v>0</v>
      </c>
      <c r="CQ477" s="280">
        <f t="shared" si="196"/>
        <v>0</v>
      </c>
      <c r="CR477" s="63">
        <f t="shared" si="197"/>
        <v>0</v>
      </c>
      <c r="CS477" s="279"/>
      <c r="CT477" s="52"/>
      <c r="CU477" s="105"/>
      <c r="CV477" s="98"/>
      <c r="CW477" s="279"/>
      <c r="CX477" s="52"/>
      <c r="CY477" s="105"/>
      <c r="CZ477" s="98"/>
      <c r="DA477" s="279"/>
      <c r="DB477" s="52"/>
      <c r="DC477" s="105"/>
      <c r="DD477" s="98"/>
      <c r="DE477" s="279"/>
      <c r="DF477" s="52"/>
      <c r="DG477" s="105"/>
      <c r="DH477" s="98"/>
      <c r="DI477" s="279"/>
      <c r="DJ477" s="52"/>
      <c r="DK477" s="105"/>
      <c r="DL477" s="98"/>
      <c r="DM477" s="279"/>
      <c r="DN477" s="52"/>
      <c r="DO477" s="105"/>
      <c r="DP477" s="98"/>
      <c r="DQ477" s="279"/>
      <c r="DR477" s="52"/>
      <c r="DS477" s="105"/>
      <c r="DT477" s="98"/>
      <c r="DU477" s="279"/>
      <c r="DV477" s="52"/>
      <c r="DW477" s="105"/>
      <c r="DX477" s="98"/>
      <c r="DY477" s="279"/>
      <c r="DZ477" s="52"/>
      <c r="EA477" s="105"/>
      <c r="EB477" s="98"/>
      <c r="EC477" s="279"/>
      <c r="ED477" s="52"/>
      <c r="EE477" s="105"/>
      <c r="EF477" s="98"/>
      <c r="EG477" s="159"/>
      <c r="EH477" s="277"/>
      <c r="EI477" s="50">
        <f t="shared" si="198"/>
        <v>0</v>
      </c>
      <c r="EJ477" s="103">
        <f t="shared" si="199"/>
        <v>0</v>
      </c>
      <c r="EK477" s="164">
        <f t="shared" si="200"/>
        <v>0</v>
      </c>
      <c r="EL477" s="280">
        <f t="shared" si="201"/>
        <v>0</v>
      </c>
      <c r="EM477" s="63">
        <f t="shared" si="202"/>
        <v>0</v>
      </c>
      <c r="EN477" s="359">
        <f t="shared" si="203"/>
        <v>0</v>
      </c>
      <c r="EO477" s="51">
        <f t="shared" si="204"/>
        <v>0</v>
      </c>
      <c r="EP477" s="361">
        <f t="shared" si="205"/>
        <v>0</v>
      </c>
      <c r="EQ477" s="281"/>
      <c r="ER477" s="277"/>
      <c r="ES477" s="281"/>
      <c r="ET477" s="277"/>
      <c r="EU477" s="281"/>
      <c r="EV477" s="277"/>
      <c r="EW477" s="281"/>
      <c r="EX477" s="277"/>
      <c r="EY477" s="281"/>
      <c r="EZ477" s="277"/>
      <c r="FA477" s="281"/>
      <c r="FB477" s="277"/>
      <c r="FC477" s="281"/>
      <c r="FD477" s="277"/>
      <c r="FE477" s="281"/>
      <c r="FF477" s="277"/>
      <c r="FG477" s="281"/>
      <c r="FH477" s="277"/>
      <c r="FI477" s="281"/>
      <c r="FJ477" s="277"/>
      <c r="FK477" s="50">
        <f t="shared" si="206"/>
        <v>0</v>
      </c>
      <c r="FL477" s="63">
        <f t="shared" si="207"/>
        <v>0</v>
      </c>
      <c r="FM477" s="50">
        <f t="shared" si="189"/>
        <v>493</v>
      </c>
      <c r="FN477" s="360">
        <f t="shared" si="190"/>
        <v>571</v>
      </c>
      <c r="FO477" s="3"/>
      <c r="FP477" s="279"/>
      <c r="FQ477" s="52"/>
      <c r="FR477" s="296"/>
      <c r="FS477" s="98"/>
      <c r="FT477" s="467"/>
      <c r="FU477" s="52"/>
      <c r="FV477" s="296"/>
      <c r="FW477" s="98"/>
      <c r="FX477" s="467"/>
      <c r="FY477" s="52"/>
      <c r="FZ477" s="296"/>
      <c r="GA477" s="98"/>
      <c r="GB477" s="467"/>
      <c r="GC477" s="52"/>
      <c r="GD477" s="296"/>
      <c r="GE477" s="98"/>
      <c r="GF477" s="467"/>
      <c r="GG477" s="52"/>
      <c r="GH477" s="296"/>
      <c r="GI477" s="98"/>
      <c r="GJ477" s="467"/>
      <c r="GK477" s="52"/>
      <c r="GL477" s="296"/>
      <c r="GM477" s="464"/>
      <c r="GN477" s="467"/>
      <c r="GO477" s="52"/>
      <c r="GP477" s="296"/>
      <c r="GQ477" s="464"/>
      <c r="GR477" s="467"/>
      <c r="GS477" s="52"/>
      <c r="GT477" s="296"/>
      <c r="GU477" s="464"/>
      <c r="GV477" s="467"/>
      <c r="GW477" s="52"/>
      <c r="GX477" s="296"/>
      <c r="GY477" s="464"/>
      <c r="GZ477" s="467"/>
      <c r="HA477" s="52"/>
      <c r="HB477" s="296"/>
      <c r="HC477" s="3"/>
    </row>
    <row r="478" spans="1:211" s="86" customFormat="1">
      <c r="A478" s="489" t="s">
        <v>31</v>
      </c>
      <c r="B478" s="332" t="s">
        <v>421</v>
      </c>
      <c r="C478" s="333">
        <v>261384</v>
      </c>
      <c r="D478" s="341">
        <v>13</v>
      </c>
      <c r="E478" s="460">
        <v>164</v>
      </c>
      <c r="F478" s="535">
        <v>245</v>
      </c>
      <c r="G478" s="460">
        <v>44</v>
      </c>
      <c r="H478" s="277">
        <v>37</v>
      </c>
      <c r="I478" s="158"/>
      <c r="J478" s="535"/>
      <c r="K478" s="160">
        <f t="shared" si="191"/>
        <v>0</v>
      </c>
      <c r="L478" s="161">
        <f t="shared" si="184"/>
        <v>0</v>
      </c>
      <c r="M478" s="54"/>
      <c r="N478" s="55"/>
      <c r="O478" s="55"/>
      <c r="P478" s="55"/>
      <c r="Q478" s="162">
        <f t="shared" si="192"/>
        <v>0</v>
      </c>
      <c r="R478" s="535"/>
      <c r="S478" s="277"/>
      <c r="T478" s="277"/>
      <c r="U478" s="277"/>
      <c r="V478" s="97">
        <f t="shared" si="193"/>
        <v>0</v>
      </c>
      <c r="W478" s="279"/>
      <c r="X478" s="52"/>
      <c r="Y478" s="99"/>
      <c r="Z478" s="53"/>
      <c r="AA478" s="228"/>
      <c r="AB478" s="52"/>
      <c r="AC478" s="99"/>
      <c r="AD478" s="53"/>
      <c r="AE478" s="228"/>
      <c r="AF478" s="52"/>
      <c r="AG478" s="99"/>
      <c r="AH478" s="53"/>
      <c r="AI478" s="228"/>
      <c r="AJ478" s="52"/>
      <c r="AK478" s="99"/>
      <c r="AL478" s="53"/>
      <c r="AM478" s="228"/>
      <c r="AN478" s="52"/>
      <c r="AO478" s="99"/>
      <c r="AP478" s="53"/>
      <c r="AQ478" s="50">
        <f t="shared" si="185"/>
        <v>0</v>
      </c>
      <c r="AR478" s="163">
        <f t="shared" si="186"/>
        <v>0</v>
      </c>
      <c r="AS478" s="97">
        <f t="shared" si="187"/>
        <v>0</v>
      </c>
      <c r="AT478" s="278">
        <f t="shared" si="188"/>
        <v>0</v>
      </c>
      <c r="AU478" s="55"/>
      <c r="AV478" s="277"/>
      <c r="AW478" s="279"/>
      <c r="AX478" s="52"/>
      <c r="AY478" s="105"/>
      <c r="AZ478" s="98"/>
      <c r="BA478" s="279"/>
      <c r="BB478" s="52"/>
      <c r="BC478" s="105"/>
      <c r="BD478" s="98"/>
      <c r="BE478" s="279"/>
      <c r="BF478" s="52"/>
      <c r="BG478" s="105"/>
      <c r="BH478" s="98"/>
      <c r="BI478" s="279"/>
      <c r="BJ478" s="52"/>
      <c r="BK478" s="105"/>
      <c r="BL478" s="98"/>
      <c r="BM478" s="279"/>
      <c r="BN478" s="52"/>
      <c r="BO478" s="105"/>
      <c r="BP478" s="98"/>
      <c r="BQ478" s="279"/>
      <c r="BR478" s="52"/>
      <c r="BS478" s="105"/>
      <c r="BT478" s="98"/>
      <c r="BU478" s="279"/>
      <c r="BV478" s="52"/>
      <c r="BW478" s="105"/>
      <c r="BX478" s="98"/>
      <c r="BY478" s="279"/>
      <c r="BZ478" s="52"/>
      <c r="CA478" s="105"/>
      <c r="CB478" s="98"/>
      <c r="CC478" s="279"/>
      <c r="CD478" s="52"/>
      <c r="CE478" s="105"/>
      <c r="CF478" s="98"/>
      <c r="CG478" s="279"/>
      <c r="CH478" s="52"/>
      <c r="CI478" s="105"/>
      <c r="CJ478" s="98"/>
      <c r="CK478" s="281"/>
      <c r="CL478" s="277"/>
      <c r="CM478" s="159"/>
      <c r="CN478" s="277"/>
      <c r="CO478" s="50">
        <f t="shared" si="194"/>
        <v>0</v>
      </c>
      <c r="CP478" s="103">
        <f t="shared" si="195"/>
        <v>0</v>
      </c>
      <c r="CQ478" s="280">
        <f t="shared" si="196"/>
        <v>0</v>
      </c>
      <c r="CR478" s="63">
        <f t="shared" si="197"/>
        <v>0</v>
      </c>
      <c r="CS478" s="279"/>
      <c r="CT478" s="52"/>
      <c r="CU478" s="105"/>
      <c r="CV478" s="98"/>
      <c r="CW478" s="279"/>
      <c r="CX478" s="52"/>
      <c r="CY478" s="105"/>
      <c r="CZ478" s="98"/>
      <c r="DA478" s="279"/>
      <c r="DB478" s="52"/>
      <c r="DC478" s="105"/>
      <c r="DD478" s="98"/>
      <c r="DE478" s="279"/>
      <c r="DF478" s="52"/>
      <c r="DG478" s="105"/>
      <c r="DH478" s="98"/>
      <c r="DI478" s="279"/>
      <c r="DJ478" s="52"/>
      <c r="DK478" s="105"/>
      <c r="DL478" s="98"/>
      <c r="DM478" s="279"/>
      <c r="DN478" s="52"/>
      <c r="DO478" s="105"/>
      <c r="DP478" s="98"/>
      <c r="DQ478" s="279"/>
      <c r="DR478" s="52"/>
      <c r="DS478" s="105"/>
      <c r="DT478" s="98"/>
      <c r="DU478" s="279"/>
      <c r="DV478" s="52"/>
      <c r="DW478" s="105"/>
      <c r="DX478" s="98"/>
      <c r="DY478" s="279"/>
      <c r="DZ478" s="52"/>
      <c r="EA478" s="105"/>
      <c r="EB478" s="98"/>
      <c r="EC478" s="279"/>
      <c r="ED478" s="52"/>
      <c r="EE478" s="105"/>
      <c r="EF478" s="98"/>
      <c r="EG478" s="159"/>
      <c r="EH478" s="277"/>
      <c r="EI478" s="50">
        <f t="shared" si="198"/>
        <v>0</v>
      </c>
      <c r="EJ478" s="103">
        <f t="shared" si="199"/>
        <v>0</v>
      </c>
      <c r="EK478" s="164">
        <f t="shared" si="200"/>
        <v>0</v>
      </c>
      <c r="EL478" s="280">
        <f t="shared" si="201"/>
        <v>0</v>
      </c>
      <c r="EM478" s="63">
        <f t="shared" si="202"/>
        <v>0</v>
      </c>
      <c r="EN478" s="359">
        <f t="shared" si="203"/>
        <v>0</v>
      </c>
      <c r="EO478" s="51">
        <f t="shared" si="204"/>
        <v>0</v>
      </c>
      <c r="EP478" s="361">
        <f t="shared" si="205"/>
        <v>0</v>
      </c>
      <c r="EQ478" s="281"/>
      <c r="ER478" s="277"/>
      <c r="ES478" s="281"/>
      <c r="ET478" s="277"/>
      <c r="EU478" s="281"/>
      <c r="EV478" s="277"/>
      <c r="EW478" s="281"/>
      <c r="EX478" s="277"/>
      <c r="EY478" s="281"/>
      <c r="EZ478" s="277"/>
      <c r="FA478" s="281"/>
      <c r="FB478" s="277"/>
      <c r="FC478" s="281"/>
      <c r="FD478" s="277"/>
      <c r="FE478" s="281"/>
      <c r="FF478" s="277"/>
      <c r="FG478" s="281"/>
      <c r="FH478" s="277"/>
      <c r="FI478" s="281"/>
      <c r="FJ478" s="277"/>
      <c r="FK478" s="50">
        <f t="shared" si="206"/>
        <v>0</v>
      </c>
      <c r="FL478" s="63">
        <f t="shared" si="207"/>
        <v>0</v>
      </c>
      <c r="FM478" s="50">
        <f t="shared" si="189"/>
        <v>208</v>
      </c>
      <c r="FN478" s="360">
        <f t="shared" si="190"/>
        <v>282</v>
      </c>
      <c r="FO478" s="3"/>
      <c r="FP478" s="279"/>
      <c r="FQ478" s="52"/>
      <c r="FR478" s="296"/>
      <c r="FS478" s="98"/>
      <c r="FT478" s="467"/>
      <c r="FU478" s="52"/>
      <c r="FV478" s="296"/>
      <c r="FW478" s="98"/>
      <c r="FX478" s="467"/>
      <c r="FY478" s="52"/>
      <c r="FZ478" s="296"/>
      <c r="GA478" s="98"/>
      <c r="GB478" s="467"/>
      <c r="GC478" s="52"/>
      <c r="GD478" s="296"/>
      <c r="GE478" s="98"/>
      <c r="GF478" s="467"/>
      <c r="GG478" s="52"/>
      <c r="GH478" s="296"/>
      <c r="GI478" s="98"/>
      <c r="GJ478" s="467"/>
      <c r="GK478" s="52"/>
      <c r="GL478" s="296"/>
      <c r="GM478" s="464"/>
      <c r="GN478" s="467"/>
      <c r="GO478" s="52"/>
      <c r="GP478" s="296"/>
      <c r="GQ478" s="464"/>
      <c r="GR478" s="467"/>
      <c r="GS478" s="52"/>
      <c r="GT478" s="296"/>
      <c r="GU478" s="464"/>
      <c r="GV478" s="467"/>
      <c r="GW478" s="52"/>
      <c r="GX478" s="296"/>
      <c r="GY478" s="464"/>
      <c r="GZ478" s="467"/>
      <c r="HA478" s="52"/>
      <c r="HB478" s="296"/>
      <c r="HC478" s="3"/>
    </row>
    <row r="479" spans="1:211" s="86" customFormat="1">
      <c r="A479" s="489" t="s">
        <v>31</v>
      </c>
      <c r="B479" s="332" t="s">
        <v>422</v>
      </c>
      <c r="C479" s="333">
        <v>418357</v>
      </c>
      <c r="D479" s="341">
        <v>13</v>
      </c>
      <c r="E479" s="460">
        <v>87</v>
      </c>
      <c r="F479" s="535">
        <v>94</v>
      </c>
      <c r="G479" s="460"/>
      <c r="H479" s="277"/>
      <c r="I479" s="158"/>
      <c r="J479" s="535"/>
      <c r="K479" s="160">
        <f t="shared" si="191"/>
        <v>0</v>
      </c>
      <c r="L479" s="161">
        <f t="shared" si="184"/>
        <v>0</v>
      </c>
      <c r="M479" s="54"/>
      <c r="N479" s="55"/>
      <c r="O479" s="55"/>
      <c r="P479" s="55"/>
      <c r="Q479" s="162">
        <f t="shared" si="192"/>
        <v>0</v>
      </c>
      <c r="R479" s="535"/>
      <c r="S479" s="277"/>
      <c r="T479" s="277"/>
      <c r="U479" s="277"/>
      <c r="V479" s="97">
        <f t="shared" si="193"/>
        <v>0</v>
      </c>
      <c r="W479" s="279"/>
      <c r="X479" s="52"/>
      <c r="Y479" s="99"/>
      <c r="Z479" s="53"/>
      <c r="AA479" s="228"/>
      <c r="AB479" s="52"/>
      <c r="AC479" s="99"/>
      <c r="AD479" s="53"/>
      <c r="AE479" s="228"/>
      <c r="AF479" s="52"/>
      <c r="AG479" s="99"/>
      <c r="AH479" s="53"/>
      <c r="AI479" s="228"/>
      <c r="AJ479" s="52"/>
      <c r="AK479" s="99"/>
      <c r="AL479" s="53"/>
      <c r="AM479" s="228"/>
      <c r="AN479" s="52"/>
      <c r="AO479" s="99"/>
      <c r="AP479" s="53"/>
      <c r="AQ479" s="50">
        <f t="shared" si="185"/>
        <v>0</v>
      </c>
      <c r="AR479" s="163">
        <f t="shared" si="186"/>
        <v>0</v>
      </c>
      <c r="AS479" s="97">
        <f t="shared" si="187"/>
        <v>0</v>
      </c>
      <c r="AT479" s="278">
        <f t="shared" si="188"/>
        <v>0</v>
      </c>
      <c r="AU479" s="55"/>
      <c r="AV479" s="277"/>
      <c r="AW479" s="279"/>
      <c r="AX479" s="52"/>
      <c r="AY479" s="105"/>
      <c r="AZ479" s="98"/>
      <c r="BA479" s="279"/>
      <c r="BB479" s="52"/>
      <c r="BC479" s="105"/>
      <c r="BD479" s="98"/>
      <c r="BE479" s="279"/>
      <c r="BF479" s="52"/>
      <c r="BG479" s="105"/>
      <c r="BH479" s="98"/>
      <c r="BI479" s="279"/>
      <c r="BJ479" s="52"/>
      <c r="BK479" s="105"/>
      <c r="BL479" s="98"/>
      <c r="BM479" s="279"/>
      <c r="BN479" s="52"/>
      <c r="BO479" s="105"/>
      <c r="BP479" s="98"/>
      <c r="BQ479" s="279"/>
      <c r="BR479" s="52"/>
      <c r="BS479" s="105"/>
      <c r="BT479" s="98"/>
      <c r="BU479" s="279"/>
      <c r="BV479" s="52"/>
      <c r="BW479" s="105"/>
      <c r="BX479" s="98"/>
      <c r="BY479" s="279"/>
      <c r="BZ479" s="52"/>
      <c r="CA479" s="105"/>
      <c r="CB479" s="98"/>
      <c r="CC479" s="279"/>
      <c r="CD479" s="52"/>
      <c r="CE479" s="105"/>
      <c r="CF479" s="98"/>
      <c r="CG479" s="279"/>
      <c r="CH479" s="52"/>
      <c r="CI479" s="105"/>
      <c r="CJ479" s="98"/>
      <c r="CK479" s="281"/>
      <c r="CL479" s="277"/>
      <c r="CM479" s="159"/>
      <c r="CN479" s="277"/>
      <c r="CO479" s="50">
        <f t="shared" si="194"/>
        <v>0</v>
      </c>
      <c r="CP479" s="103">
        <f t="shared" si="195"/>
        <v>0</v>
      </c>
      <c r="CQ479" s="280">
        <f t="shared" si="196"/>
        <v>0</v>
      </c>
      <c r="CR479" s="63">
        <f t="shared" si="197"/>
        <v>0</v>
      </c>
      <c r="CS479" s="279"/>
      <c r="CT479" s="52"/>
      <c r="CU479" s="105"/>
      <c r="CV479" s="98"/>
      <c r="CW479" s="279"/>
      <c r="CX479" s="52"/>
      <c r="CY479" s="105"/>
      <c r="CZ479" s="98"/>
      <c r="DA479" s="279"/>
      <c r="DB479" s="52"/>
      <c r="DC479" s="105"/>
      <c r="DD479" s="98"/>
      <c r="DE479" s="279"/>
      <c r="DF479" s="52"/>
      <c r="DG479" s="105"/>
      <c r="DH479" s="98"/>
      <c r="DI479" s="279"/>
      <c r="DJ479" s="52"/>
      <c r="DK479" s="105"/>
      <c r="DL479" s="98"/>
      <c r="DM479" s="279"/>
      <c r="DN479" s="52"/>
      <c r="DO479" s="105"/>
      <c r="DP479" s="98"/>
      <c r="DQ479" s="279"/>
      <c r="DR479" s="52"/>
      <c r="DS479" s="105"/>
      <c r="DT479" s="98"/>
      <c r="DU479" s="279"/>
      <c r="DV479" s="52"/>
      <c r="DW479" s="105"/>
      <c r="DX479" s="98"/>
      <c r="DY479" s="279"/>
      <c r="DZ479" s="52"/>
      <c r="EA479" s="105"/>
      <c r="EB479" s="98"/>
      <c r="EC479" s="279"/>
      <c r="ED479" s="52"/>
      <c r="EE479" s="105"/>
      <c r="EF479" s="98"/>
      <c r="EG479" s="159"/>
      <c r="EH479" s="277"/>
      <c r="EI479" s="50">
        <f t="shared" si="198"/>
        <v>0</v>
      </c>
      <c r="EJ479" s="103">
        <f t="shared" si="199"/>
        <v>0</v>
      </c>
      <c r="EK479" s="164">
        <f t="shared" si="200"/>
        <v>0</v>
      </c>
      <c r="EL479" s="280">
        <f t="shared" si="201"/>
        <v>0</v>
      </c>
      <c r="EM479" s="63">
        <f t="shared" si="202"/>
        <v>0</v>
      </c>
      <c r="EN479" s="359">
        <f t="shared" si="203"/>
        <v>0</v>
      </c>
      <c r="EO479" s="51">
        <f t="shared" si="204"/>
        <v>0</v>
      </c>
      <c r="EP479" s="361">
        <f t="shared" si="205"/>
        <v>0</v>
      </c>
      <c r="EQ479" s="281"/>
      <c r="ER479" s="277"/>
      <c r="ES479" s="281"/>
      <c r="ET479" s="277"/>
      <c r="EU479" s="281"/>
      <c r="EV479" s="277"/>
      <c r="EW479" s="281"/>
      <c r="EX479" s="277"/>
      <c r="EY479" s="281"/>
      <c r="EZ479" s="277"/>
      <c r="FA479" s="281"/>
      <c r="FB479" s="277"/>
      <c r="FC479" s="281"/>
      <c r="FD479" s="277"/>
      <c r="FE479" s="281"/>
      <c r="FF479" s="277"/>
      <c r="FG479" s="281"/>
      <c r="FH479" s="277"/>
      <c r="FI479" s="281"/>
      <c r="FJ479" s="277"/>
      <c r="FK479" s="50">
        <f t="shared" si="206"/>
        <v>0</v>
      </c>
      <c r="FL479" s="63">
        <f t="shared" si="207"/>
        <v>0</v>
      </c>
      <c r="FM479" s="50">
        <f t="shared" si="189"/>
        <v>87</v>
      </c>
      <c r="FN479" s="360">
        <f t="shared" si="190"/>
        <v>94</v>
      </c>
      <c r="FO479" s="3"/>
      <c r="FP479" s="279"/>
      <c r="FQ479" s="52"/>
      <c r="FR479" s="296"/>
      <c r="FS479" s="98"/>
      <c r="FT479" s="467"/>
      <c r="FU479" s="52"/>
      <c r="FV479" s="296"/>
      <c r="FW479" s="98"/>
      <c r="FX479" s="467"/>
      <c r="FY479" s="52"/>
      <c r="FZ479" s="296"/>
      <c r="GA479" s="98"/>
      <c r="GB479" s="467"/>
      <c r="GC479" s="52"/>
      <c r="GD479" s="296"/>
      <c r="GE479" s="98"/>
      <c r="GF479" s="467"/>
      <c r="GG479" s="52"/>
      <c r="GH479" s="296"/>
      <c r="GI479" s="98"/>
      <c r="GJ479" s="467"/>
      <c r="GK479" s="52"/>
      <c r="GL479" s="296"/>
      <c r="GM479" s="464"/>
      <c r="GN479" s="467"/>
      <c r="GO479" s="52"/>
      <c r="GP479" s="296"/>
      <c r="GQ479" s="464"/>
      <c r="GR479" s="467"/>
      <c r="GS479" s="52"/>
      <c r="GT479" s="296"/>
      <c r="GU479" s="464"/>
      <c r="GV479" s="467"/>
      <c r="GW479" s="52"/>
      <c r="GX479" s="296"/>
      <c r="GY479" s="464"/>
      <c r="GZ479" s="467"/>
      <c r="HA479" s="52"/>
      <c r="HB479" s="296"/>
      <c r="HC479" s="3"/>
    </row>
    <row r="480" spans="1:211" s="86" customFormat="1">
      <c r="A480" s="489" t="s">
        <v>31</v>
      </c>
      <c r="B480" s="332" t="s">
        <v>423</v>
      </c>
      <c r="C480" s="333">
        <v>418302</v>
      </c>
      <c r="D480" s="341">
        <v>13</v>
      </c>
      <c r="E480" s="460">
        <v>167</v>
      </c>
      <c r="F480" s="535">
        <v>177</v>
      </c>
      <c r="G480" s="460"/>
      <c r="H480" s="277">
        <v>5</v>
      </c>
      <c r="I480" s="158"/>
      <c r="J480" s="535"/>
      <c r="K480" s="160">
        <f t="shared" si="191"/>
        <v>0</v>
      </c>
      <c r="L480" s="161">
        <f t="shared" si="184"/>
        <v>0</v>
      </c>
      <c r="M480" s="54"/>
      <c r="N480" s="55"/>
      <c r="O480" s="55"/>
      <c r="P480" s="55"/>
      <c r="Q480" s="162">
        <f t="shared" si="192"/>
        <v>0</v>
      </c>
      <c r="R480" s="535"/>
      <c r="S480" s="277"/>
      <c r="T480" s="277"/>
      <c r="U480" s="277"/>
      <c r="V480" s="97">
        <f t="shared" si="193"/>
        <v>0</v>
      </c>
      <c r="W480" s="279"/>
      <c r="X480" s="52"/>
      <c r="Y480" s="99"/>
      <c r="Z480" s="53"/>
      <c r="AA480" s="228"/>
      <c r="AB480" s="52"/>
      <c r="AC480" s="99"/>
      <c r="AD480" s="53"/>
      <c r="AE480" s="228"/>
      <c r="AF480" s="52"/>
      <c r="AG480" s="99"/>
      <c r="AH480" s="53"/>
      <c r="AI480" s="228"/>
      <c r="AJ480" s="52"/>
      <c r="AK480" s="99"/>
      <c r="AL480" s="53"/>
      <c r="AM480" s="228"/>
      <c r="AN480" s="52"/>
      <c r="AO480" s="99"/>
      <c r="AP480" s="53"/>
      <c r="AQ480" s="50">
        <f t="shared" si="185"/>
        <v>0</v>
      </c>
      <c r="AR480" s="163">
        <f t="shared" si="186"/>
        <v>0</v>
      </c>
      <c r="AS480" s="97">
        <f t="shared" si="187"/>
        <v>0</v>
      </c>
      <c r="AT480" s="278">
        <f t="shared" si="188"/>
        <v>0</v>
      </c>
      <c r="AU480" s="55"/>
      <c r="AV480" s="277"/>
      <c r="AW480" s="279"/>
      <c r="AX480" s="52"/>
      <c r="AY480" s="105"/>
      <c r="AZ480" s="98"/>
      <c r="BA480" s="279"/>
      <c r="BB480" s="52"/>
      <c r="BC480" s="105"/>
      <c r="BD480" s="98"/>
      <c r="BE480" s="279"/>
      <c r="BF480" s="52"/>
      <c r="BG480" s="105"/>
      <c r="BH480" s="98"/>
      <c r="BI480" s="279"/>
      <c r="BJ480" s="52"/>
      <c r="BK480" s="105"/>
      <c r="BL480" s="98"/>
      <c r="BM480" s="279"/>
      <c r="BN480" s="52"/>
      <c r="BO480" s="105"/>
      <c r="BP480" s="98"/>
      <c r="BQ480" s="279"/>
      <c r="BR480" s="52"/>
      <c r="BS480" s="105"/>
      <c r="BT480" s="98"/>
      <c r="BU480" s="279"/>
      <c r="BV480" s="52"/>
      <c r="BW480" s="105"/>
      <c r="BX480" s="98"/>
      <c r="BY480" s="279"/>
      <c r="BZ480" s="52"/>
      <c r="CA480" s="105"/>
      <c r="CB480" s="98"/>
      <c r="CC480" s="279"/>
      <c r="CD480" s="52"/>
      <c r="CE480" s="105"/>
      <c r="CF480" s="98"/>
      <c r="CG480" s="279"/>
      <c r="CH480" s="52"/>
      <c r="CI480" s="105"/>
      <c r="CJ480" s="98"/>
      <c r="CK480" s="281"/>
      <c r="CL480" s="277"/>
      <c r="CM480" s="159"/>
      <c r="CN480" s="277"/>
      <c r="CO480" s="50">
        <f t="shared" si="194"/>
        <v>0</v>
      </c>
      <c r="CP480" s="103">
        <f t="shared" si="195"/>
        <v>0</v>
      </c>
      <c r="CQ480" s="280">
        <f t="shared" si="196"/>
        <v>0</v>
      </c>
      <c r="CR480" s="63">
        <f t="shared" si="197"/>
        <v>0</v>
      </c>
      <c r="CS480" s="279"/>
      <c r="CT480" s="52"/>
      <c r="CU480" s="105"/>
      <c r="CV480" s="98"/>
      <c r="CW480" s="279"/>
      <c r="CX480" s="52"/>
      <c r="CY480" s="105"/>
      <c r="CZ480" s="98"/>
      <c r="DA480" s="279"/>
      <c r="DB480" s="52"/>
      <c r="DC480" s="105"/>
      <c r="DD480" s="98"/>
      <c r="DE480" s="279"/>
      <c r="DF480" s="52"/>
      <c r="DG480" s="105"/>
      <c r="DH480" s="98"/>
      <c r="DI480" s="279"/>
      <c r="DJ480" s="52"/>
      <c r="DK480" s="105"/>
      <c r="DL480" s="98"/>
      <c r="DM480" s="279"/>
      <c r="DN480" s="52"/>
      <c r="DO480" s="105"/>
      <c r="DP480" s="98"/>
      <c r="DQ480" s="279"/>
      <c r="DR480" s="52"/>
      <c r="DS480" s="105"/>
      <c r="DT480" s="98"/>
      <c r="DU480" s="279"/>
      <c r="DV480" s="52"/>
      <c r="DW480" s="105"/>
      <c r="DX480" s="98"/>
      <c r="DY480" s="279"/>
      <c r="DZ480" s="52"/>
      <c r="EA480" s="105"/>
      <c r="EB480" s="98"/>
      <c r="EC480" s="279"/>
      <c r="ED480" s="52"/>
      <c r="EE480" s="105"/>
      <c r="EF480" s="98"/>
      <c r="EG480" s="159"/>
      <c r="EH480" s="277"/>
      <c r="EI480" s="50">
        <f t="shared" si="198"/>
        <v>0</v>
      </c>
      <c r="EJ480" s="103">
        <f t="shared" si="199"/>
        <v>0</v>
      </c>
      <c r="EK480" s="164">
        <f t="shared" si="200"/>
        <v>0</v>
      </c>
      <c r="EL480" s="280">
        <f t="shared" si="201"/>
        <v>0</v>
      </c>
      <c r="EM480" s="63">
        <f t="shared" si="202"/>
        <v>0</v>
      </c>
      <c r="EN480" s="359">
        <f t="shared" si="203"/>
        <v>0</v>
      </c>
      <c r="EO480" s="51">
        <f t="shared" si="204"/>
        <v>0</v>
      </c>
      <c r="EP480" s="361">
        <f t="shared" si="205"/>
        <v>0</v>
      </c>
      <c r="EQ480" s="281"/>
      <c r="ER480" s="277"/>
      <c r="ES480" s="281"/>
      <c r="ET480" s="277"/>
      <c r="EU480" s="281"/>
      <c r="EV480" s="277"/>
      <c r="EW480" s="281"/>
      <c r="EX480" s="277"/>
      <c r="EY480" s="281"/>
      <c r="EZ480" s="277"/>
      <c r="FA480" s="281"/>
      <c r="FB480" s="277"/>
      <c r="FC480" s="281"/>
      <c r="FD480" s="277"/>
      <c r="FE480" s="281"/>
      <c r="FF480" s="277"/>
      <c r="FG480" s="281"/>
      <c r="FH480" s="277"/>
      <c r="FI480" s="281"/>
      <c r="FJ480" s="277"/>
      <c r="FK480" s="50">
        <f t="shared" si="206"/>
        <v>0</v>
      </c>
      <c r="FL480" s="63">
        <f t="shared" si="207"/>
        <v>0</v>
      </c>
      <c r="FM480" s="50">
        <f t="shared" si="189"/>
        <v>167</v>
      </c>
      <c r="FN480" s="360">
        <f t="shared" si="190"/>
        <v>182</v>
      </c>
      <c r="FO480" s="3"/>
      <c r="FP480" s="279"/>
      <c r="FQ480" s="52"/>
      <c r="FR480" s="296"/>
      <c r="FS480" s="98"/>
      <c r="FT480" s="467"/>
      <c r="FU480" s="52"/>
      <c r="FV480" s="296"/>
      <c r="FW480" s="98"/>
      <c r="FX480" s="467"/>
      <c r="FY480" s="52"/>
      <c r="FZ480" s="296"/>
      <c r="GA480" s="98"/>
      <c r="GB480" s="467"/>
      <c r="GC480" s="52"/>
      <c r="GD480" s="296"/>
      <c r="GE480" s="98"/>
      <c r="GF480" s="467"/>
      <c r="GG480" s="52"/>
      <c r="GH480" s="296"/>
      <c r="GI480" s="98"/>
      <c r="GJ480" s="467"/>
      <c r="GK480" s="52"/>
      <c r="GL480" s="296"/>
      <c r="GM480" s="464"/>
      <c r="GN480" s="467"/>
      <c r="GO480" s="52"/>
      <c r="GP480" s="296"/>
      <c r="GQ480" s="464"/>
      <c r="GR480" s="467"/>
      <c r="GS480" s="52"/>
      <c r="GT480" s="296"/>
      <c r="GU480" s="464"/>
      <c r="GV480" s="467"/>
      <c r="GW480" s="52"/>
      <c r="GX480" s="296"/>
      <c r="GY480" s="464"/>
      <c r="GZ480" s="467"/>
      <c r="HA480" s="52"/>
      <c r="HB480" s="296"/>
      <c r="HC480" s="3"/>
    </row>
    <row r="481" spans="1:211" s="86" customFormat="1">
      <c r="A481" s="539" t="s">
        <v>31</v>
      </c>
      <c r="B481" s="540" t="s">
        <v>1227</v>
      </c>
      <c r="C481" s="539" t="s">
        <v>1228</v>
      </c>
      <c r="D481" s="539">
        <v>14</v>
      </c>
      <c r="E481" s="460"/>
      <c r="F481" s="535"/>
      <c r="G481" s="460"/>
      <c r="H481" s="277"/>
      <c r="I481" s="158"/>
      <c r="J481" s="535"/>
      <c r="K481" s="160">
        <f t="shared" si="191"/>
        <v>0</v>
      </c>
      <c r="L481" s="161">
        <f t="shared" si="184"/>
        <v>0</v>
      </c>
      <c r="M481" s="54"/>
      <c r="N481" s="55"/>
      <c r="O481" s="55"/>
      <c r="P481" s="55"/>
      <c r="Q481" s="162">
        <f t="shared" si="192"/>
        <v>0</v>
      </c>
      <c r="R481" s="535"/>
      <c r="S481" s="277"/>
      <c r="T481" s="277"/>
      <c r="U481" s="277"/>
      <c r="V481" s="97">
        <f t="shared" si="193"/>
        <v>0</v>
      </c>
      <c r="W481" s="279"/>
      <c r="X481" s="52"/>
      <c r="Y481" s="99"/>
      <c r="Z481" s="53"/>
      <c r="AA481" s="228"/>
      <c r="AB481" s="52"/>
      <c r="AC481" s="99"/>
      <c r="AD481" s="53"/>
      <c r="AE481" s="228"/>
      <c r="AF481" s="52"/>
      <c r="AG481" s="99"/>
      <c r="AH481" s="53"/>
      <c r="AI481" s="228"/>
      <c r="AJ481" s="52"/>
      <c r="AK481" s="99"/>
      <c r="AL481" s="53"/>
      <c r="AM481" s="228"/>
      <c r="AN481" s="52"/>
      <c r="AO481" s="99"/>
      <c r="AP481" s="53"/>
      <c r="AQ481" s="50">
        <f t="shared" si="185"/>
        <v>0</v>
      </c>
      <c r="AR481" s="163">
        <f t="shared" si="186"/>
        <v>0</v>
      </c>
      <c r="AS481" s="97">
        <f t="shared" si="187"/>
        <v>0</v>
      </c>
      <c r="AT481" s="278">
        <f t="shared" si="188"/>
        <v>0</v>
      </c>
      <c r="AU481" s="55"/>
      <c r="AV481" s="277"/>
      <c r="AW481" s="279"/>
      <c r="AX481" s="52"/>
      <c r="AY481" s="105"/>
      <c r="AZ481" s="98"/>
      <c r="BA481" s="279"/>
      <c r="BB481" s="52"/>
      <c r="BC481" s="105"/>
      <c r="BD481" s="98"/>
      <c r="BE481" s="279"/>
      <c r="BF481" s="52"/>
      <c r="BG481" s="105"/>
      <c r="BH481" s="98"/>
      <c r="BI481" s="279"/>
      <c r="BJ481" s="52"/>
      <c r="BK481" s="105"/>
      <c r="BL481" s="98"/>
      <c r="BM481" s="279"/>
      <c r="BN481" s="52"/>
      <c r="BO481" s="105"/>
      <c r="BP481" s="98"/>
      <c r="BQ481" s="279"/>
      <c r="BR481" s="52"/>
      <c r="BS481" s="105"/>
      <c r="BT481" s="98"/>
      <c r="BU481" s="279"/>
      <c r="BV481" s="52"/>
      <c r="BW481" s="105"/>
      <c r="BX481" s="98"/>
      <c r="BY481" s="279"/>
      <c r="BZ481" s="52"/>
      <c r="CA481" s="105"/>
      <c r="CB481" s="98"/>
      <c r="CC481" s="279"/>
      <c r="CD481" s="52"/>
      <c r="CE481" s="105"/>
      <c r="CF481" s="98"/>
      <c r="CG481" s="279"/>
      <c r="CH481" s="52"/>
      <c r="CI481" s="105"/>
      <c r="CJ481" s="98"/>
      <c r="CK481" s="281"/>
      <c r="CL481" s="277"/>
      <c r="CM481" s="159"/>
      <c r="CN481" s="277"/>
      <c r="CO481" s="50">
        <f t="shared" si="194"/>
        <v>0</v>
      </c>
      <c r="CP481" s="103">
        <f t="shared" si="195"/>
        <v>0</v>
      </c>
      <c r="CQ481" s="280">
        <f t="shared" si="196"/>
        <v>0</v>
      </c>
      <c r="CR481" s="63">
        <f t="shared" si="197"/>
        <v>0</v>
      </c>
      <c r="CS481" s="279"/>
      <c r="CT481" s="52"/>
      <c r="CU481" s="105"/>
      <c r="CV481" s="98"/>
      <c r="CW481" s="279"/>
      <c r="CX481" s="52"/>
      <c r="CY481" s="105"/>
      <c r="CZ481" s="98"/>
      <c r="DA481" s="279"/>
      <c r="DB481" s="52"/>
      <c r="DC481" s="105"/>
      <c r="DD481" s="98"/>
      <c r="DE481" s="279"/>
      <c r="DF481" s="52"/>
      <c r="DG481" s="105"/>
      <c r="DH481" s="98"/>
      <c r="DI481" s="279"/>
      <c r="DJ481" s="52"/>
      <c r="DK481" s="105"/>
      <c r="DL481" s="98"/>
      <c r="DM481" s="279"/>
      <c r="DN481" s="52"/>
      <c r="DO481" s="105"/>
      <c r="DP481" s="98"/>
      <c r="DQ481" s="279"/>
      <c r="DR481" s="52"/>
      <c r="DS481" s="105"/>
      <c r="DT481" s="98"/>
      <c r="DU481" s="279"/>
      <c r="DV481" s="52"/>
      <c r="DW481" s="105"/>
      <c r="DX481" s="98"/>
      <c r="DY481" s="279"/>
      <c r="DZ481" s="52"/>
      <c r="EA481" s="105"/>
      <c r="EB481" s="98"/>
      <c r="EC481" s="279"/>
      <c r="ED481" s="52"/>
      <c r="EE481" s="105"/>
      <c r="EF481" s="98"/>
      <c r="EG481" s="159"/>
      <c r="EH481" s="277"/>
      <c r="EI481" s="50">
        <f t="shared" si="198"/>
        <v>0</v>
      </c>
      <c r="EJ481" s="103">
        <f t="shared" si="199"/>
        <v>0</v>
      </c>
      <c r="EK481" s="164">
        <f t="shared" si="200"/>
        <v>0</v>
      </c>
      <c r="EL481" s="280">
        <f t="shared" si="201"/>
        <v>0</v>
      </c>
      <c r="EM481" s="63">
        <f t="shared" si="202"/>
        <v>0</v>
      </c>
      <c r="EN481" s="359">
        <f t="shared" si="203"/>
        <v>0</v>
      </c>
      <c r="EO481" s="51">
        <f t="shared" si="204"/>
        <v>0</v>
      </c>
      <c r="EP481" s="361">
        <f t="shared" si="205"/>
        <v>0</v>
      </c>
      <c r="EQ481" s="281"/>
      <c r="ER481" s="277"/>
      <c r="ES481" s="281"/>
      <c r="ET481" s="277"/>
      <c r="EU481" s="281"/>
      <c r="EV481" s="277"/>
      <c r="EW481" s="281"/>
      <c r="EX481" s="277"/>
      <c r="EY481" s="281"/>
      <c r="EZ481" s="277"/>
      <c r="FA481" s="281"/>
      <c r="FB481" s="277"/>
      <c r="FC481" s="281"/>
      <c r="FD481" s="277"/>
      <c r="FE481" s="281"/>
      <c r="FF481" s="277"/>
      <c r="FG481" s="281"/>
      <c r="FH481" s="277"/>
      <c r="FI481" s="281"/>
      <c r="FJ481" s="277"/>
      <c r="FK481" s="50">
        <f t="shared" si="206"/>
        <v>0</v>
      </c>
      <c r="FL481" s="63">
        <f t="shared" si="207"/>
        <v>0</v>
      </c>
      <c r="FM481" s="50">
        <f t="shared" si="189"/>
        <v>0</v>
      </c>
      <c r="FN481" s="360">
        <f t="shared" si="190"/>
        <v>0</v>
      </c>
      <c r="FO481" s="3"/>
      <c r="FP481" s="279"/>
      <c r="FQ481" s="52"/>
      <c r="FR481" s="296"/>
      <c r="FS481" s="98"/>
      <c r="FT481" s="467"/>
      <c r="FU481" s="52"/>
      <c r="FV481" s="296"/>
      <c r="FW481" s="98"/>
      <c r="FX481" s="467"/>
      <c r="FY481" s="52"/>
      <c r="FZ481" s="296"/>
      <c r="GA481" s="98"/>
      <c r="GB481" s="467"/>
      <c r="GC481" s="52"/>
      <c r="GD481" s="296"/>
      <c r="GE481" s="98"/>
      <c r="GF481" s="467"/>
      <c r="GG481" s="52"/>
      <c r="GH481" s="296"/>
      <c r="GI481" s="98"/>
      <c r="GJ481" s="467"/>
      <c r="GK481" s="52"/>
      <c r="GL481" s="296"/>
      <c r="GM481" s="464"/>
      <c r="GN481" s="467"/>
      <c r="GO481" s="52"/>
      <c r="GP481" s="296"/>
      <c r="GQ481" s="464"/>
      <c r="GR481" s="467"/>
      <c r="GS481" s="52"/>
      <c r="GT481" s="296"/>
      <c r="GU481" s="464"/>
      <c r="GV481" s="467"/>
      <c r="GW481" s="52"/>
      <c r="GX481" s="296"/>
      <c r="GY481" s="464"/>
      <c r="GZ481" s="467"/>
      <c r="HA481" s="52"/>
      <c r="HB481" s="296"/>
      <c r="HC481" s="3"/>
    </row>
    <row r="482" spans="1:211" s="86" customFormat="1">
      <c r="A482" s="491" t="s">
        <v>35</v>
      </c>
      <c r="B482" s="326" t="s">
        <v>36</v>
      </c>
      <c r="C482" s="325">
        <v>217882</v>
      </c>
      <c r="D482" s="349">
        <v>1</v>
      </c>
      <c r="E482" s="460"/>
      <c r="F482" s="535">
        <v>0</v>
      </c>
      <c r="G482" s="460"/>
      <c r="H482" s="277"/>
      <c r="I482" s="158"/>
      <c r="J482" s="535"/>
      <c r="K482" s="160">
        <f t="shared" si="191"/>
        <v>0</v>
      </c>
      <c r="L482" s="161">
        <f t="shared" si="184"/>
        <v>0</v>
      </c>
      <c r="M482" s="54">
        <v>3075</v>
      </c>
      <c r="N482" s="55">
        <v>255</v>
      </c>
      <c r="O482" s="55"/>
      <c r="P482" s="55"/>
      <c r="Q482" s="162">
        <f t="shared" si="192"/>
        <v>255</v>
      </c>
      <c r="R482" s="535">
        <v>3198</v>
      </c>
      <c r="S482" s="277">
        <v>199</v>
      </c>
      <c r="T482" s="277"/>
      <c r="U482" s="277"/>
      <c r="V482" s="97">
        <f t="shared" si="193"/>
        <v>199</v>
      </c>
      <c r="W482" s="279"/>
      <c r="X482" s="52"/>
      <c r="Y482" s="99"/>
      <c r="Z482" s="53"/>
      <c r="AA482" s="228"/>
      <c r="AB482" s="52"/>
      <c r="AC482" s="99"/>
      <c r="AD482" s="53"/>
      <c r="AE482" s="228"/>
      <c r="AF482" s="52"/>
      <c r="AG482" s="99"/>
      <c r="AH482" s="53"/>
      <c r="AI482" s="228"/>
      <c r="AJ482" s="52"/>
      <c r="AK482" s="99"/>
      <c r="AL482" s="53"/>
      <c r="AM482" s="228"/>
      <c r="AN482" s="52"/>
      <c r="AO482" s="99"/>
      <c r="AP482" s="53"/>
      <c r="AQ482" s="50">
        <f t="shared" si="185"/>
        <v>0</v>
      </c>
      <c r="AR482" s="163">
        <f t="shared" si="186"/>
        <v>0.75944677698197083</v>
      </c>
      <c r="AS482" s="97">
        <f t="shared" si="187"/>
        <v>0</v>
      </c>
      <c r="AT482" s="278">
        <f t="shared" si="188"/>
        <v>0.77153196622436671</v>
      </c>
      <c r="AU482" s="55"/>
      <c r="AV482" s="277"/>
      <c r="AW482" s="279">
        <v>13</v>
      </c>
      <c r="AX482" s="52">
        <v>203</v>
      </c>
      <c r="AY482" s="105">
        <v>13</v>
      </c>
      <c r="AZ482" s="98">
        <v>189</v>
      </c>
      <c r="BA482" s="279">
        <v>14</v>
      </c>
      <c r="BB482" s="52">
        <v>153</v>
      </c>
      <c r="BC482" s="105">
        <v>14</v>
      </c>
      <c r="BD482" s="98">
        <v>154</v>
      </c>
      <c r="BE482" s="279">
        <v>52</v>
      </c>
      <c r="BF482" s="52">
        <v>144</v>
      </c>
      <c r="BG482" s="105">
        <v>52</v>
      </c>
      <c r="BH482" s="98">
        <v>128</v>
      </c>
      <c r="BI482" s="279">
        <v>4</v>
      </c>
      <c r="BJ482" s="52">
        <v>45</v>
      </c>
      <c r="BK482" s="105">
        <v>51</v>
      </c>
      <c r="BL482" s="98">
        <v>36</v>
      </c>
      <c r="BM482" s="279">
        <v>51</v>
      </c>
      <c r="BN482" s="52">
        <v>33</v>
      </c>
      <c r="BO482" s="105">
        <v>4</v>
      </c>
      <c r="BP482" s="98">
        <v>32</v>
      </c>
      <c r="BQ482" s="279">
        <v>23</v>
      </c>
      <c r="BR482" s="52">
        <v>28</v>
      </c>
      <c r="BS482" s="105">
        <v>27</v>
      </c>
      <c r="BT482" s="98">
        <v>30</v>
      </c>
      <c r="BU482" s="279">
        <v>11</v>
      </c>
      <c r="BV482" s="52">
        <v>27</v>
      </c>
      <c r="BW482" s="105">
        <v>11</v>
      </c>
      <c r="BX482" s="98">
        <v>26</v>
      </c>
      <c r="BY482" s="279">
        <v>27</v>
      </c>
      <c r="BZ482" s="52">
        <v>26</v>
      </c>
      <c r="CA482" s="105">
        <v>45</v>
      </c>
      <c r="CB482" s="98">
        <v>22</v>
      </c>
      <c r="CC482" s="279">
        <v>1</v>
      </c>
      <c r="CD482" s="52">
        <v>23</v>
      </c>
      <c r="CE482" s="105">
        <v>1</v>
      </c>
      <c r="CF482" s="98">
        <v>21</v>
      </c>
      <c r="CG482" s="279">
        <v>9</v>
      </c>
      <c r="CH482" s="52">
        <v>18</v>
      </c>
      <c r="CI482" s="105">
        <v>23</v>
      </c>
      <c r="CJ482" s="98">
        <v>18</v>
      </c>
      <c r="CK482" s="281"/>
      <c r="CL482" s="277"/>
      <c r="CM482" s="159">
        <v>129</v>
      </c>
      <c r="CN482" s="277">
        <v>129</v>
      </c>
      <c r="CO482" s="50">
        <f t="shared" si="194"/>
        <v>829</v>
      </c>
      <c r="CP482" s="103">
        <f t="shared" si="195"/>
        <v>10</v>
      </c>
      <c r="CQ482" s="280">
        <f t="shared" si="196"/>
        <v>785</v>
      </c>
      <c r="CR482" s="63">
        <f t="shared" si="197"/>
        <v>10</v>
      </c>
      <c r="CS482" s="279">
        <v>14</v>
      </c>
      <c r="CT482" s="52">
        <v>50</v>
      </c>
      <c r="CU482" s="105">
        <v>14</v>
      </c>
      <c r="CV482" s="98">
        <v>45</v>
      </c>
      <c r="CW482" s="279">
        <v>26</v>
      </c>
      <c r="CX482" s="52">
        <v>20</v>
      </c>
      <c r="CY482" s="105">
        <v>40</v>
      </c>
      <c r="CZ482" s="98">
        <v>25</v>
      </c>
      <c r="DA482" s="279">
        <v>40</v>
      </c>
      <c r="DB482" s="52">
        <v>19</v>
      </c>
      <c r="DC482" s="105">
        <v>1</v>
      </c>
      <c r="DD482" s="98">
        <v>22</v>
      </c>
      <c r="DE482" s="279">
        <v>1</v>
      </c>
      <c r="DF482" s="52">
        <v>16</v>
      </c>
      <c r="DG482" s="105">
        <v>26</v>
      </c>
      <c r="DH482" s="98">
        <v>21</v>
      </c>
      <c r="DI482" s="279">
        <v>13</v>
      </c>
      <c r="DJ482" s="52">
        <v>10</v>
      </c>
      <c r="DK482" s="105">
        <v>13</v>
      </c>
      <c r="DL482" s="98">
        <v>18</v>
      </c>
      <c r="DM482" s="279">
        <v>11</v>
      </c>
      <c r="DN482" s="52">
        <v>7</v>
      </c>
      <c r="DO482" s="105">
        <v>27</v>
      </c>
      <c r="DP482" s="98">
        <v>10</v>
      </c>
      <c r="DQ482" s="279">
        <v>42</v>
      </c>
      <c r="DR482" s="52">
        <v>7</v>
      </c>
      <c r="DS482" s="105">
        <v>31</v>
      </c>
      <c r="DT482" s="98">
        <v>6</v>
      </c>
      <c r="DU482" s="279">
        <v>27</v>
      </c>
      <c r="DV482" s="52">
        <v>6</v>
      </c>
      <c r="DW482" s="105">
        <v>3</v>
      </c>
      <c r="DX482" s="98">
        <v>4</v>
      </c>
      <c r="DY482" s="279">
        <v>31</v>
      </c>
      <c r="DZ482" s="52">
        <v>3</v>
      </c>
      <c r="EA482" s="105">
        <v>42</v>
      </c>
      <c r="EB482" s="98">
        <v>3</v>
      </c>
      <c r="EC482" s="279">
        <v>44</v>
      </c>
      <c r="ED482" s="52">
        <v>2</v>
      </c>
      <c r="EE482" s="105">
        <v>4</v>
      </c>
      <c r="EF482" s="98">
        <v>2</v>
      </c>
      <c r="EG482" s="159">
        <v>5</v>
      </c>
      <c r="EH482" s="277">
        <v>6</v>
      </c>
      <c r="EI482" s="50">
        <f t="shared" si="198"/>
        <v>145</v>
      </c>
      <c r="EJ482" s="103">
        <f t="shared" si="199"/>
        <v>10</v>
      </c>
      <c r="EK482" s="164">
        <f t="shared" si="200"/>
        <v>0.34482758620689657</v>
      </c>
      <c r="EL482" s="280">
        <f t="shared" si="201"/>
        <v>162</v>
      </c>
      <c r="EM482" s="63">
        <f t="shared" si="202"/>
        <v>10</v>
      </c>
      <c r="EN482" s="359">
        <f t="shared" si="203"/>
        <v>0.27777777777777779</v>
      </c>
      <c r="EO482" s="51">
        <f t="shared" si="204"/>
        <v>974</v>
      </c>
      <c r="EP482" s="361">
        <f t="shared" si="205"/>
        <v>947</v>
      </c>
      <c r="EQ482" s="281"/>
      <c r="ER482" s="277"/>
      <c r="ES482" s="281"/>
      <c r="ET482" s="277"/>
      <c r="EU482" s="281"/>
      <c r="EV482" s="277"/>
      <c r="EW482" s="281"/>
      <c r="EX482" s="277"/>
      <c r="EY482" s="281"/>
      <c r="EZ482" s="277"/>
      <c r="FA482" s="281"/>
      <c r="FB482" s="277"/>
      <c r="FC482" s="281"/>
      <c r="FD482" s="277"/>
      <c r="FE482" s="281"/>
      <c r="FF482" s="277"/>
      <c r="FG482" s="281"/>
      <c r="FH482" s="277"/>
      <c r="FI482" s="281"/>
      <c r="FJ482" s="277"/>
      <c r="FK482" s="50">
        <f t="shared" si="206"/>
        <v>0</v>
      </c>
      <c r="FL482" s="63">
        <f t="shared" si="207"/>
        <v>0</v>
      </c>
      <c r="FM482" s="50">
        <f t="shared" si="189"/>
        <v>4049</v>
      </c>
      <c r="FN482" s="360">
        <f t="shared" si="190"/>
        <v>4145</v>
      </c>
      <c r="FO482" s="3"/>
      <c r="FP482" s="279"/>
      <c r="FQ482" s="52"/>
      <c r="FR482" s="296"/>
      <c r="FS482" s="98"/>
      <c r="FT482" s="467"/>
      <c r="FU482" s="52"/>
      <c r="FV482" s="296"/>
      <c r="FW482" s="98"/>
      <c r="FX482" s="467"/>
      <c r="FY482" s="52"/>
      <c r="FZ482" s="296"/>
      <c r="GA482" s="98"/>
      <c r="GB482" s="467"/>
      <c r="GC482" s="52"/>
      <c r="GD482" s="296"/>
      <c r="GE482" s="98"/>
      <c r="GF482" s="467"/>
      <c r="GG482" s="52"/>
      <c r="GH482" s="296"/>
      <c r="GI482" s="98"/>
      <c r="GJ482" s="467"/>
      <c r="GK482" s="52"/>
      <c r="GL482" s="296"/>
      <c r="GM482" s="464"/>
      <c r="GN482" s="467"/>
      <c r="GO482" s="52"/>
      <c r="GP482" s="296"/>
      <c r="GQ482" s="464"/>
      <c r="GR482" s="467"/>
      <c r="GS482" s="52"/>
      <c r="GT482" s="296"/>
      <c r="GU482" s="464"/>
      <c r="GV482" s="467"/>
      <c r="GW482" s="52"/>
      <c r="GX482" s="296"/>
      <c r="GY482" s="464"/>
      <c r="GZ482" s="467"/>
      <c r="HA482" s="52"/>
      <c r="HB482" s="296"/>
      <c r="HC482" s="3"/>
    </row>
    <row r="483" spans="1:211" s="86" customFormat="1">
      <c r="A483" s="491" t="s">
        <v>35</v>
      </c>
      <c r="B483" s="326" t="s">
        <v>37</v>
      </c>
      <c r="C483" s="325">
        <v>218663</v>
      </c>
      <c r="D483" s="349">
        <v>1</v>
      </c>
      <c r="E483" s="460"/>
      <c r="F483" s="535">
        <v>0</v>
      </c>
      <c r="G483" s="460">
        <v>13</v>
      </c>
      <c r="H483" s="277">
        <v>13</v>
      </c>
      <c r="I483" s="158">
        <v>11</v>
      </c>
      <c r="J483" s="535">
        <v>5</v>
      </c>
      <c r="K483" s="160">
        <f t="shared" si="191"/>
        <v>2.8773214752811928E-3</v>
      </c>
      <c r="L483" s="161">
        <f t="shared" si="184"/>
        <v>1.2218963831867058E-3</v>
      </c>
      <c r="M483" s="54">
        <v>3823</v>
      </c>
      <c r="N483" s="55">
        <v>221</v>
      </c>
      <c r="O483" s="55"/>
      <c r="P483" s="55">
        <v>33</v>
      </c>
      <c r="Q483" s="162">
        <f t="shared" si="192"/>
        <v>254</v>
      </c>
      <c r="R483" s="535">
        <v>4092</v>
      </c>
      <c r="S483" s="277">
        <v>261</v>
      </c>
      <c r="T483" s="277"/>
      <c r="U483" s="277">
        <v>22</v>
      </c>
      <c r="V483" s="97">
        <f t="shared" si="193"/>
        <v>283</v>
      </c>
      <c r="W483" s="279"/>
      <c r="X483" s="52"/>
      <c r="Y483" s="99"/>
      <c r="Z483" s="53"/>
      <c r="AA483" s="228"/>
      <c r="AB483" s="52"/>
      <c r="AC483" s="99"/>
      <c r="AD483" s="53"/>
      <c r="AE483" s="228"/>
      <c r="AF483" s="52"/>
      <c r="AG483" s="99"/>
      <c r="AH483" s="53"/>
      <c r="AI483" s="228"/>
      <c r="AJ483" s="52"/>
      <c r="AK483" s="99"/>
      <c r="AL483" s="53"/>
      <c r="AM483" s="228"/>
      <c r="AN483" s="52"/>
      <c r="AO483" s="99"/>
      <c r="AP483" s="53"/>
      <c r="AQ483" s="50">
        <f t="shared" si="185"/>
        <v>0</v>
      </c>
      <c r="AR483" s="163">
        <f t="shared" si="186"/>
        <v>0.61910931174089068</v>
      </c>
      <c r="AS483" s="97">
        <f t="shared" si="187"/>
        <v>0</v>
      </c>
      <c r="AT483" s="278">
        <f t="shared" si="188"/>
        <v>0.63284874729353546</v>
      </c>
      <c r="AU483" s="55">
        <v>47</v>
      </c>
      <c r="AV483" s="277">
        <v>64</v>
      </c>
      <c r="AW483" s="279">
        <v>13</v>
      </c>
      <c r="AX483" s="52">
        <v>378</v>
      </c>
      <c r="AY483" s="105">
        <v>52</v>
      </c>
      <c r="AZ483" s="98">
        <v>325</v>
      </c>
      <c r="BA483" s="279">
        <v>52</v>
      </c>
      <c r="BB483" s="52">
        <v>316</v>
      </c>
      <c r="BC483" s="105">
        <v>13</v>
      </c>
      <c r="BD483" s="98">
        <v>316</v>
      </c>
      <c r="BE483" s="279">
        <v>44</v>
      </c>
      <c r="BF483" s="52">
        <v>214</v>
      </c>
      <c r="BG483" s="105">
        <v>44</v>
      </c>
      <c r="BH483" s="98">
        <v>233</v>
      </c>
      <c r="BI483" s="279">
        <v>25</v>
      </c>
      <c r="BJ483" s="52">
        <v>201</v>
      </c>
      <c r="BK483" s="105">
        <v>51</v>
      </c>
      <c r="BL483" s="98">
        <v>170</v>
      </c>
      <c r="BM483" s="279">
        <v>51</v>
      </c>
      <c r="BN483" s="52">
        <v>175</v>
      </c>
      <c r="BO483" s="105">
        <v>25</v>
      </c>
      <c r="BP483" s="98">
        <v>149</v>
      </c>
      <c r="BQ483" s="279">
        <v>14</v>
      </c>
      <c r="BR483" s="52">
        <v>74</v>
      </c>
      <c r="BS483" s="105">
        <v>14</v>
      </c>
      <c r="BT483" s="98">
        <v>82</v>
      </c>
      <c r="BU483" s="279">
        <v>45</v>
      </c>
      <c r="BV483" s="52">
        <v>43</v>
      </c>
      <c r="BW483" s="105">
        <v>45</v>
      </c>
      <c r="BX483" s="98">
        <v>54</v>
      </c>
      <c r="BY483" s="279">
        <v>26</v>
      </c>
      <c r="BZ483" s="52">
        <v>32</v>
      </c>
      <c r="CA483" s="105">
        <v>50</v>
      </c>
      <c r="CB483" s="98">
        <v>54</v>
      </c>
      <c r="CC483" s="279">
        <v>50</v>
      </c>
      <c r="CD483" s="52">
        <v>31</v>
      </c>
      <c r="CE483" s="105">
        <v>40</v>
      </c>
      <c r="CF483" s="98">
        <v>38</v>
      </c>
      <c r="CG483" s="279">
        <v>16</v>
      </c>
      <c r="CH483" s="52">
        <v>30</v>
      </c>
      <c r="CI483" s="105">
        <v>31</v>
      </c>
      <c r="CJ483" s="98">
        <v>30</v>
      </c>
      <c r="CK483" s="281"/>
      <c r="CL483" s="277"/>
      <c r="CM483" s="159">
        <v>148</v>
      </c>
      <c r="CN483" s="277">
        <v>138</v>
      </c>
      <c r="CO483" s="50">
        <f t="shared" si="194"/>
        <v>1642</v>
      </c>
      <c r="CP483" s="103">
        <f t="shared" si="195"/>
        <v>10</v>
      </c>
      <c r="CQ483" s="280">
        <f t="shared" si="196"/>
        <v>1589</v>
      </c>
      <c r="CR483" s="63">
        <f t="shared" si="197"/>
        <v>10</v>
      </c>
      <c r="CS483" s="279">
        <v>14</v>
      </c>
      <c r="CT483" s="52">
        <v>42</v>
      </c>
      <c r="CU483" s="105">
        <v>13</v>
      </c>
      <c r="CV483" s="98">
        <v>51</v>
      </c>
      <c r="CW483" s="279">
        <v>51</v>
      </c>
      <c r="CX483" s="52">
        <v>39</v>
      </c>
      <c r="CY483" s="105">
        <v>51</v>
      </c>
      <c r="CZ483" s="98">
        <v>43</v>
      </c>
      <c r="DA483" s="279">
        <v>13</v>
      </c>
      <c r="DB483" s="52">
        <v>35</v>
      </c>
      <c r="DC483" s="105">
        <v>40</v>
      </c>
      <c r="DD483" s="98">
        <v>37</v>
      </c>
      <c r="DE483" s="279">
        <v>40</v>
      </c>
      <c r="DF483" s="52">
        <v>25</v>
      </c>
      <c r="DG483" s="105">
        <v>14</v>
      </c>
      <c r="DH483" s="98">
        <v>28</v>
      </c>
      <c r="DI483" s="279">
        <v>26</v>
      </c>
      <c r="DJ483" s="52">
        <v>18</v>
      </c>
      <c r="DK483" s="105">
        <v>45</v>
      </c>
      <c r="DL483" s="98">
        <v>23</v>
      </c>
      <c r="DM483" s="279">
        <v>42</v>
      </c>
      <c r="DN483" s="52">
        <v>17</v>
      </c>
      <c r="DO483" s="105">
        <v>26</v>
      </c>
      <c r="DP483" s="98">
        <v>22</v>
      </c>
      <c r="DQ483" s="279">
        <v>23</v>
      </c>
      <c r="DR483" s="52">
        <v>12</v>
      </c>
      <c r="DS483" s="105">
        <v>23</v>
      </c>
      <c r="DT483" s="98">
        <v>11</v>
      </c>
      <c r="DU483" s="279">
        <v>27</v>
      </c>
      <c r="DV483" s="52">
        <v>12</v>
      </c>
      <c r="DW483" s="105">
        <v>42</v>
      </c>
      <c r="DX483" s="98">
        <v>11</v>
      </c>
      <c r="DY483" s="279">
        <v>45</v>
      </c>
      <c r="DZ483" s="52">
        <v>12</v>
      </c>
      <c r="EA483" s="105">
        <v>52</v>
      </c>
      <c r="EB483" s="98">
        <v>10</v>
      </c>
      <c r="EC483" s="279">
        <v>50</v>
      </c>
      <c r="ED483" s="52">
        <v>9</v>
      </c>
      <c r="EE483" s="105">
        <v>50</v>
      </c>
      <c r="EF483" s="98">
        <v>9</v>
      </c>
      <c r="EG483" s="159">
        <v>22</v>
      </c>
      <c r="EH483" s="277">
        <v>25</v>
      </c>
      <c r="EI483" s="50">
        <f t="shared" si="198"/>
        <v>243</v>
      </c>
      <c r="EJ483" s="103">
        <f t="shared" si="199"/>
        <v>10</v>
      </c>
      <c r="EK483" s="164">
        <f t="shared" si="200"/>
        <v>0.1728395061728395</v>
      </c>
      <c r="EL483" s="280">
        <f t="shared" si="201"/>
        <v>270</v>
      </c>
      <c r="EM483" s="63">
        <f t="shared" si="202"/>
        <v>10</v>
      </c>
      <c r="EN483" s="359">
        <f t="shared" si="203"/>
        <v>0.18888888888888888</v>
      </c>
      <c r="EO483" s="51">
        <f t="shared" si="204"/>
        <v>1885</v>
      </c>
      <c r="EP483" s="361">
        <f t="shared" si="205"/>
        <v>1859</v>
      </c>
      <c r="EQ483" s="281">
        <v>213</v>
      </c>
      <c r="ER483" s="277">
        <v>245</v>
      </c>
      <c r="ES483" s="281">
        <v>76</v>
      </c>
      <c r="ET483" s="277">
        <v>68</v>
      </c>
      <c r="EU483" s="281"/>
      <c r="EV483" s="277"/>
      <c r="EW483" s="281">
        <v>107</v>
      </c>
      <c r="EX483" s="277">
        <v>120</v>
      </c>
      <c r="EY483" s="281"/>
      <c r="EZ483" s="277"/>
      <c r="FA483" s="281"/>
      <c r="FB483" s="277"/>
      <c r="FC483" s="281"/>
      <c r="FD483" s="277"/>
      <c r="FE483" s="281"/>
      <c r="FF483" s="277"/>
      <c r="FG483" s="281"/>
      <c r="FH483" s="277"/>
      <c r="FI483" s="281"/>
      <c r="FJ483" s="277"/>
      <c r="FK483" s="50">
        <f t="shared" si="206"/>
        <v>396</v>
      </c>
      <c r="FL483" s="63">
        <f t="shared" si="207"/>
        <v>433</v>
      </c>
      <c r="FM483" s="50">
        <f t="shared" si="189"/>
        <v>6175</v>
      </c>
      <c r="FN483" s="360">
        <f t="shared" si="190"/>
        <v>6466</v>
      </c>
      <c r="FO483" s="3"/>
      <c r="FP483" s="279"/>
      <c r="FQ483" s="52"/>
      <c r="FR483" s="296"/>
      <c r="FS483" s="98"/>
      <c r="FT483" s="467"/>
      <c r="FU483" s="52"/>
      <c r="FV483" s="296"/>
      <c r="FW483" s="98"/>
      <c r="FX483" s="467"/>
      <c r="FY483" s="52"/>
      <c r="FZ483" s="296"/>
      <c r="GA483" s="98"/>
      <c r="GB483" s="467"/>
      <c r="GC483" s="52"/>
      <c r="GD483" s="296"/>
      <c r="GE483" s="98"/>
      <c r="GF483" s="467"/>
      <c r="GG483" s="52"/>
      <c r="GH483" s="296"/>
      <c r="GI483" s="98"/>
      <c r="GJ483" s="467"/>
      <c r="GK483" s="52"/>
      <c r="GL483" s="296"/>
      <c r="GM483" s="464"/>
      <c r="GN483" s="467"/>
      <c r="GO483" s="52"/>
      <c r="GP483" s="296"/>
      <c r="GQ483" s="464"/>
      <c r="GR483" s="467"/>
      <c r="GS483" s="52"/>
      <c r="GT483" s="296"/>
      <c r="GU483" s="464"/>
      <c r="GV483" s="467"/>
      <c r="GW483" s="52"/>
      <c r="GX483" s="296"/>
      <c r="GY483" s="464"/>
      <c r="GZ483" s="467"/>
      <c r="HA483" s="52"/>
      <c r="HB483" s="296"/>
      <c r="HC483" s="3"/>
    </row>
    <row r="484" spans="1:211" s="86" customFormat="1">
      <c r="A484" s="491" t="s">
        <v>35</v>
      </c>
      <c r="B484" s="326" t="s">
        <v>38</v>
      </c>
      <c r="C484" s="325">
        <v>217819</v>
      </c>
      <c r="D484" s="349">
        <v>3</v>
      </c>
      <c r="E484" s="460"/>
      <c r="F484" s="535">
        <v>0</v>
      </c>
      <c r="G484" s="460"/>
      <c r="H484" s="277"/>
      <c r="I484" s="158"/>
      <c r="J484" s="535"/>
      <c r="K484" s="160">
        <f t="shared" si="191"/>
        <v>0</v>
      </c>
      <c r="L484" s="161">
        <f t="shared" si="184"/>
        <v>0</v>
      </c>
      <c r="M484" s="54">
        <v>2140</v>
      </c>
      <c r="N484" s="55">
        <v>187</v>
      </c>
      <c r="O484" s="55"/>
      <c r="P484" s="55">
        <v>23</v>
      </c>
      <c r="Q484" s="162">
        <f t="shared" si="192"/>
        <v>210</v>
      </c>
      <c r="R484" s="535">
        <v>2058</v>
      </c>
      <c r="S484" s="277">
        <v>186</v>
      </c>
      <c r="T484" s="277"/>
      <c r="U484" s="277">
        <v>15</v>
      </c>
      <c r="V484" s="97">
        <f t="shared" si="193"/>
        <v>201</v>
      </c>
      <c r="W484" s="279"/>
      <c r="X484" s="52"/>
      <c r="Y484" s="99"/>
      <c r="Z484" s="53"/>
      <c r="AA484" s="228"/>
      <c r="AB484" s="52"/>
      <c r="AC484" s="99"/>
      <c r="AD484" s="53"/>
      <c r="AE484" s="228"/>
      <c r="AF484" s="52"/>
      <c r="AG484" s="99"/>
      <c r="AH484" s="53"/>
      <c r="AI484" s="228"/>
      <c r="AJ484" s="52"/>
      <c r="AK484" s="99"/>
      <c r="AL484" s="53"/>
      <c r="AM484" s="228"/>
      <c r="AN484" s="52"/>
      <c r="AO484" s="99"/>
      <c r="AP484" s="53"/>
      <c r="AQ484" s="50">
        <f t="shared" si="185"/>
        <v>0</v>
      </c>
      <c r="AR484" s="163">
        <f t="shared" si="186"/>
        <v>0.91727389627089584</v>
      </c>
      <c r="AS484" s="97">
        <f t="shared" si="187"/>
        <v>0</v>
      </c>
      <c r="AT484" s="278">
        <f t="shared" si="188"/>
        <v>0.92286995515695069</v>
      </c>
      <c r="AU484" s="55">
        <v>4</v>
      </c>
      <c r="AV484" s="277">
        <v>5</v>
      </c>
      <c r="AW484" s="279">
        <v>13</v>
      </c>
      <c r="AX484" s="52">
        <v>52</v>
      </c>
      <c r="AY484" s="105">
        <v>13</v>
      </c>
      <c r="AZ484" s="98">
        <v>37</v>
      </c>
      <c r="BA484" s="279">
        <v>52</v>
      </c>
      <c r="BB484" s="52">
        <v>31</v>
      </c>
      <c r="BC484" s="105">
        <v>52</v>
      </c>
      <c r="BD484" s="98">
        <v>31</v>
      </c>
      <c r="BE484" s="279">
        <v>3</v>
      </c>
      <c r="BF484" s="52">
        <v>29</v>
      </c>
      <c r="BG484" s="105">
        <v>44</v>
      </c>
      <c r="BH484" s="98">
        <v>22</v>
      </c>
      <c r="BI484" s="279">
        <v>44</v>
      </c>
      <c r="BJ484" s="52">
        <v>19</v>
      </c>
      <c r="BK484" s="105">
        <v>3</v>
      </c>
      <c r="BL484" s="98">
        <v>18</v>
      </c>
      <c r="BM484" s="279">
        <v>26</v>
      </c>
      <c r="BN484" s="52">
        <v>16</v>
      </c>
      <c r="BO484" s="105">
        <v>26</v>
      </c>
      <c r="BP484" s="98">
        <v>14</v>
      </c>
      <c r="BQ484" s="279">
        <v>54</v>
      </c>
      <c r="BR484" s="52">
        <v>12</v>
      </c>
      <c r="BS484" s="105">
        <v>23</v>
      </c>
      <c r="BT484" s="98">
        <v>13</v>
      </c>
      <c r="BU484" s="279">
        <v>23</v>
      </c>
      <c r="BV484" s="52">
        <v>11</v>
      </c>
      <c r="BW484" s="105">
        <v>54</v>
      </c>
      <c r="BX484" s="98">
        <v>13</v>
      </c>
      <c r="BY484" s="279">
        <v>27</v>
      </c>
      <c r="BZ484" s="52">
        <v>9</v>
      </c>
      <c r="CA484" s="105">
        <v>9</v>
      </c>
      <c r="CB484" s="98">
        <v>7</v>
      </c>
      <c r="CC484" s="279">
        <v>9</v>
      </c>
      <c r="CD484" s="52">
        <v>4</v>
      </c>
      <c r="CE484" s="105">
        <v>27</v>
      </c>
      <c r="CF484" s="98">
        <v>6</v>
      </c>
      <c r="CG484" s="279">
        <v>11</v>
      </c>
      <c r="CH484" s="52">
        <v>4</v>
      </c>
      <c r="CI484" s="105">
        <v>11</v>
      </c>
      <c r="CJ484" s="98">
        <v>4</v>
      </c>
      <c r="CK484" s="281"/>
      <c r="CL484" s="277"/>
      <c r="CM484" s="159">
        <v>2</v>
      </c>
      <c r="CN484" s="277">
        <v>2</v>
      </c>
      <c r="CO484" s="50">
        <f t="shared" si="194"/>
        <v>189</v>
      </c>
      <c r="CP484" s="103">
        <f t="shared" si="195"/>
        <v>10</v>
      </c>
      <c r="CQ484" s="280">
        <f t="shared" si="196"/>
        <v>167</v>
      </c>
      <c r="CR484" s="63">
        <f t="shared" si="197"/>
        <v>10</v>
      </c>
      <c r="CS484" s="279"/>
      <c r="CT484" s="52"/>
      <c r="CU484" s="105"/>
      <c r="CV484" s="98"/>
      <c r="CW484" s="279"/>
      <c r="CX484" s="52"/>
      <c r="CY484" s="105"/>
      <c r="CZ484" s="98"/>
      <c r="DA484" s="279"/>
      <c r="DB484" s="52"/>
      <c r="DC484" s="105"/>
      <c r="DD484" s="98"/>
      <c r="DE484" s="279"/>
      <c r="DF484" s="52"/>
      <c r="DG484" s="105"/>
      <c r="DH484" s="98"/>
      <c r="DI484" s="279"/>
      <c r="DJ484" s="52"/>
      <c r="DK484" s="105"/>
      <c r="DL484" s="98"/>
      <c r="DM484" s="279"/>
      <c r="DN484" s="52"/>
      <c r="DO484" s="105"/>
      <c r="DP484" s="98"/>
      <c r="DQ484" s="279"/>
      <c r="DR484" s="52"/>
      <c r="DS484" s="105"/>
      <c r="DT484" s="98"/>
      <c r="DU484" s="279"/>
      <c r="DV484" s="52"/>
      <c r="DW484" s="105"/>
      <c r="DX484" s="98"/>
      <c r="DY484" s="279"/>
      <c r="DZ484" s="52"/>
      <c r="EA484" s="105"/>
      <c r="EB484" s="98"/>
      <c r="EC484" s="279"/>
      <c r="ED484" s="52"/>
      <c r="EE484" s="105"/>
      <c r="EF484" s="98"/>
      <c r="EG484" s="159"/>
      <c r="EH484" s="277"/>
      <c r="EI484" s="50">
        <f t="shared" si="198"/>
        <v>0</v>
      </c>
      <c r="EJ484" s="103">
        <f t="shared" si="199"/>
        <v>0</v>
      </c>
      <c r="EK484" s="164">
        <f t="shared" si="200"/>
        <v>0</v>
      </c>
      <c r="EL484" s="280">
        <f t="shared" si="201"/>
        <v>0</v>
      </c>
      <c r="EM484" s="63">
        <f t="shared" si="202"/>
        <v>0</v>
      </c>
      <c r="EN484" s="359">
        <f t="shared" si="203"/>
        <v>0</v>
      </c>
      <c r="EO484" s="51">
        <f t="shared" si="204"/>
        <v>189</v>
      </c>
      <c r="EP484" s="361">
        <f t="shared" si="205"/>
        <v>167</v>
      </c>
      <c r="EQ484" s="281"/>
      <c r="ER484" s="277"/>
      <c r="ES484" s="281"/>
      <c r="ET484" s="277"/>
      <c r="EU484" s="281"/>
      <c r="EV484" s="277"/>
      <c r="EW484" s="281"/>
      <c r="EX484" s="277"/>
      <c r="EY484" s="281"/>
      <c r="EZ484" s="277"/>
      <c r="FA484" s="281"/>
      <c r="FB484" s="277"/>
      <c r="FC484" s="281"/>
      <c r="FD484" s="277"/>
      <c r="FE484" s="281"/>
      <c r="FF484" s="277"/>
      <c r="FG484" s="281"/>
      <c r="FH484" s="277"/>
      <c r="FI484" s="281"/>
      <c r="FJ484" s="277"/>
      <c r="FK484" s="50">
        <f t="shared" si="206"/>
        <v>0</v>
      </c>
      <c r="FL484" s="63">
        <f t="shared" si="207"/>
        <v>0</v>
      </c>
      <c r="FM484" s="50">
        <f t="shared" si="189"/>
        <v>2333</v>
      </c>
      <c r="FN484" s="360">
        <f t="shared" si="190"/>
        <v>2230</v>
      </c>
      <c r="FO484" s="3"/>
      <c r="FP484" s="279"/>
      <c r="FQ484" s="52"/>
      <c r="FR484" s="296"/>
      <c r="FS484" s="98"/>
      <c r="FT484" s="467"/>
      <c r="FU484" s="52"/>
      <c r="FV484" s="296"/>
      <c r="FW484" s="98"/>
      <c r="FX484" s="467"/>
      <c r="FY484" s="52"/>
      <c r="FZ484" s="296"/>
      <c r="GA484" s="98"/>
      <c r="GB484" s="467"/>
      <c r="GC484" s="52"/>
      <c r="GD484" s="296"/>
      <c r="GE484" s="98"/>
      <c r="GF484" s="467"/>
      <c r="GG484" s="52"/>
      <c r="GH484" s="296"/>
      <c r="GI484" s="98"/>
      <c r="GJ484" s="467"/>
      <c r="GK484" s="52"/>
      <c r="GL484" s="296"/>
      <c r="GM484" s="464"/>
      <c r="GN484" s="467"/>
      <c r="GO484" s="52"/>
      <c r="GP484" s="296"/>
      <c r="GQ484" s="464"/>
      <c r="GR484" s="467"/>
      <c r="GS484" s="52"/>
      <c r="GT484" s="296"/>
      <c r="GU484" s="464"/>
      <c r="GV484" s="467"/>
      <c r="GW484" s="52"/>
      <c r="GX484" s="296"/>
      <c r="GY484" s="464"/>
      <c r="GZ484" s="467"/>
      <c r="HA484" s="52"/>
      <c r="HB484" s="296"/>
      <c r="HC484" s="3"/>
    </row>
    <row r="485" spans="1:211" s="86" customFormat="1">
      <c r="A485" s="491" t="s">
        <v>35</v>
      </c>
      <c r="B485" s="326" t="s">
        <v>39</v>
      </c>
      <c r="C485" s="325">
        <v>218964</v>
      </c>
      <c r="D485" s="349">
        <v>3</v>
      </c>
      <c r="E485" s="460">
        <v>8</v>
      </c>
      <c r="F485" s="535">
        <v>3</v>
      </c>
      <c r="G485" s="460"/>
      <c r="H485" s="277"/>
      <c r="I485" s="158"/>
      <c r="J485" s="535"/>
      <c r="K485" s="160">
        <f t="shared" si="191"/>
        <v>0</v>
      </c>
      <c r="L485" s="161">
        <f t="shared" si="184"/>
        <v>0</v>
      </c>
      <c r="M485" s="54">
        <v>930</v>
      </c>
      <c r="N485" s="55">
        <v>176</v>
      </c>
      <c r="O485" s="55"/>
      <c r="P485" s="55">
        <v>33</v>
      </c>
      <c r="Q485" s="162">
        <f t="shared" si="192"/>
        <v>209</v>
      </c>
      <c r="R485" s="535">
        <v>879</v>
      </c>
      <c r="S485" s="277">
        <v>151</v>
      </c>
      <c r="T485" s="277"/>
      <c r="U485" s="277">
        <v>35</v>
      </c>
      <c r="V485" s="97">
        <f t="shared" si="193"/>
        <v>186</v>
      </c>
      <c r="W485" s="279"/>
      <c r="X485" s="52"/>
      <c r="Y485" s="99"/>
      <c r="Z485" s="53"/>
      <c r="AA485" s="228"/>
      <c r="AB485" s="52"/>
      <c r="AC485" s="99"/>
      <c r="AD485" s="53"/>
      <c r="AE485" s="228"/>
      <c r="AF485" s="52"/>
      <c r="AG485" s="99"/>
      <c r="AH485" s="53"/>
      <c r="AI485" s="228"/>
      <c r="AJ485" s="52"/>
      <c r="AK485" s="99"/>
      <c r="AL485" s="53"/>
      <c r="AM485" s="228"/>
      <c r="AN485" s="52"/>
      <c r="AO485" s="99"/>
      <c r="AP485" s="53"/>
      <c r="AQ485" s="50">
        <f t="shared" si="185"/>
        <v>0</v>
      </c>
      <c r="AR485" s="163">
        <f t="shared" si="186"/>
        <v>0.76732673267326734</v>
      </c>
      <c r="AS485" s="97">
        <f t="shared" si="187"/>
        <v>0</v>
      </c>
      <c r="AT485" s="278">
        <f t="shared" si="188"/>
        <v>0.75515463917525771</v>
      </c>
      <c r="AU485" s="55"/>
      <c r="AV485" s="277"/>
      <c r="AW485" s="279">
        <v>13</v>
      </c>
      <c r="AX485" s="52">
        <v>116</v>
      </c>
      <c r="AY485" s="105">
        <v>13</v>
      </c>
      <c r="AZ485" s="98">
        <v>120</v>
      </c>
      <c r="BA485" s="279">
        <v>52</v>
      </c>
      <c r="BB485" s="52">
        <v>78</v>
      </c>
      <c r="BC485" s="105">
        <v>52</v>
      </c>
      <c r="BD485" s="98">
        <v>80</v>
      </c>
      <c r="BE485" s="279">
        <v>42</v>
      </c>
      <c r="BF485" s="52">
        <v>23</v>
      </c>
      <c r="BG485" s="105">
        <v>42</v>
      </c>
      <c r="BH485" s="98">
        <v>18</v>
      </c>
      <c r="BI485" s="279">
        <v>44</v>
      </c>
      <c r="BJ485" s="52">
        <v>21</v>
      </c>
      <c r="BK485" s="105">
        <v>50</v>
      </c>
      <c r="BL485" s="98">
        <v>16</v>
      </c>
      <c r="BM485" s="279">
        <v>50</v>
      </c>
      <c r="BN485" s="52">
        <v>9</v>
      </c>
      <c r="BO485" s="105">
        <v>44</v>
      </c>
      <c r="BP485" s="98">
        <v>14</v>
      </c>
      <c r="BQ485" s="279">
        <v>54</v>
      </c>
      <c r="BR485" s="52">
        <v>8</v>
      </c>
      <c r="BS485" s="105">
        <v>19</v>
      </c>
      <c r="BT485" s="98">
        <v>9</v>
      </c>
      <c r="BU485" s="279">
        <v>23</v>
      </c>
      <c r="BV485" s="52">
        <v>5</v>
      </c>
      <c r="BW485" s="105">
        <v>23</v>
      </c>
      <c r="BX485" s="98">
        <v>8</v>
      </c>
      <c r="BY485" s="279">
        <v>16</v>
      </c>
      <c r="BZ485" s="52">
        <v>4</v>
      </c>
      <c r="CA485" s="105">
        <v>16</v>
      </c>
      <c r="CB485" s="98">
        <v>7</v>
      </c>
      <c r="CC485" s="279">
        <v>24</v>
      </c>
      <c r="CD485" s="52">
        <v>4</v>
      </c>
      <c r="CE485" s="105">
        <v>26</v>
      </c>
      <c r="CF485" s="98">
        <v>3</v>
      </c>
      <c r="CG485" s="279">
        <v>19</v>
      </c>
      <c r="CH485" s="52">
        <v>3</v>
      </c>
      <c r="CI485" s="105">
        <v>54</v>
      </c>
      <c r="CJ485" s="98">
        <v>3</v>
      </c>
      <c r="CK485" s="281"/>
      <c r="CL485" s="277"/>
      <c r="CM485" s="159">
        <v>3</v>
      </c>
      <c r="CN485" s="277">
        <v>4</v>
      </c>
      <c r="CO485" s="50">
        <f t="shared" si="194"/>
        <v>274</v>
      </c>
      <c r="CP485" s="103">
        <f t="shared" si="195"/>
        <v>10</v>
      </c>
      <c r="CQ485" s="280">
        <f t="shared" si="196"/>
        <v>282</v>
      </c>
      <c r="CR485" s="63">
        <f t="shared" si="197"/>
        <v>10</v>
      </c>
      <c r="CS485" s="279"/>
      <c r="CT485" s="52"/>
      <c r="CU485" s="105"/>
      <c r="CV485" s="98"/>
      <c r="CW485" s="279"/>
      <c r="CX485" s="52"/>
      <c r="CY485" s="105"/>
      <c r="CZ485" s="98"/>
      <c r="DA485" s="279"/>
      <c r="DB485" s="52"/>
      <c r="DC485" s="105"/>
      <c r="DD485" s="98"/>
      <c r="DE485" s="279"/>
      <c r="DF485" s="52"/>
      <c r="DG485" s="105"/>
      <c r="DH485" s="98"/>
      <c r="DI485" s="279"/>
      <c r="DJ485" s="52"/>
      <c r="DK485" s="105"/>
      <c r="DL485" s="98"/>
      <c r="DM485" s="279"/>
      <c r="DN485" s="52"/>
      <c r="DO485" s="105"/>
      <c r="DP485" s="98"/>
      <c r="DQ485" s="279"/>
      <c r="DR485" s="52"/>
      <c r="DS485" s="105"/>
      <c r="DT485" s="98"/>
      <c r="DU485" s="279"/>
      <c r="DV485" s="52"/>
      <c r="DW485" s="105"/>
      <c r="DX485" s="98"/>
      <c r="DY485" s="279"/>
      <c r="DZ485" s="52"/>
      <c r="EA485" s="105"/>
      <c r="EB485" s="98"/>
      <c r="EC485" s="279"/>
      <c r="ED485" s="52"/>
      <c r="EE485" s="105"/>
      <c r="EF485" s="98"/>
      <c r="EG485" s="159"/>
      <c r="EH485" s="277"/>
      <c r="EI485" s="50">
        <f t="shared" si="198"/>
        <v>0</v>
      </c>
      <c r="EJ485" s="103">
        <f t="shared" si="199"/>
        <v>0</v>
      </c>
      <c r="EK485" s="164">
        <f t="shared" si="200"/>
        <v>0</v>
      </c>
      <c r="EL485" s="280">
        <f t="shared" si="201"/>
        <v>0</v>
      </c>
      <c r="EM485" s="63">
        <f t="shared" si="202"/>
        <v>0</v>
      </c>
      <c r="EN485" s="359">
        <f t="shared" si="203"/>
        <v>0</v>
      </c>
      <c r="EO485" s="51">
        <f t="shared" si="204"/>
        <v>274</v>
      </c>
      <c r="EP485" s="361">
        <f t="shared" si="205"/>
        <v>282</v>
      </c>
      <c r="EQ485" s="281"/>
      <c r="ER485" s="277"/>
      <c r="ES485" s="281"/>
      <c r="ET485" s="277"/>
      <c r="EU485" s="281"/>
      <c r="EV485" s="277"/>
      <c r="EW485" s="281"/>
      <c r="EX485" s="277"/>
      <c r="EY485" s="281"/>
      <c r="EZ485" s="277"/>
      <c r="FA485" s="281"/>
      <c r="FB485" s="277"/>
      <c r="FC485" s="281"/>
      <c r="FD485" s="277"/>
      <c r="FE485" s="281"/>
      <c r="FF485" s="277"/>
      <c r="FG485" s="281"/>
      <c r="FH485" s="277"/>
      <c r="FI485" s="281"/>
      <c r="FJ485" s="277"/>
      <c r="FK485" s="50">
        <f t="shared" si="206"/>
        <v>0</v>
      </c>
      <c r="FL485" s="63">
        <f t="shared" si="207"/>
        <v>0</v>
      </c>
      <c r="FM485" s="50">
        <f t="shared" si="189"/>
        <v>1212</v>
      </c>
      <c r="FN485" s="360">
        <f t="shared" si="190"/>
        <v>1164</v>
      </c>
      <c r="FO485" s="3"/>
      <c r="FP485" s="279"/>
      <c r="FQ485" s="52"/>
      <c r="FR485" s="296"/>
      <c r="FS485" s="98"/>
      <c r="FT485" s="467"/>
      <c r="FU485" s="52"/>
      <c r="FV485" s="296"/>
      <c r="FW485" s="98"/>
      <c r="FX485" s="467"/>
      <c r="FY485" s="52"/>
      <c r="FZ485" s="296"/>
      <c r="GA485" s="98"/>
      <c r="GB485" s="467"/>
      <c r="GC485" s="52"/>
      <c r="GD485" s="296"/>
      <c r="GE485" s="98"/>
      <c r="GF485" s="467"/>
      <c r="GG485" s="52"/>
      <c r="GH485" s="296"/>
      <c r="GI485" s="98"/>
      <c r="GJ485" s="467"/>
      <c r="GK485" s="52"/>
      <c r="GL485" s="296"/>
      <c r="GM485" s="464"/>
      <c r="GN485" s="467"/>
      <c r="GO485" s="52"/>
      <c r="GP485" s="296"/>
      <c r="GQ485" s="464"/>
      <c r="GR485" s="467"/>
      <c r="GS485" s="52"/>
      <c r="GT485" s="296"/>
      <c r="GU485" s="464"/>
      <c r="GV485" s="467"/>
      <c r="GW485" s="52"/>
      <c r="GX485" s="296"/>
      <c r="GY485" s="464"/>
      <c r="GZ485" s="467"/>
      <c r="HA485" s="52"/>
      <c r="HB485" s="296"/>
      <c r="HC485" s="3"/>
    </row>
    <row r="486" spans="1:211" s="86" customFormat="1">
      <c r="A486" s="491" t="s">
        <v>35</v>
      </c>
      <c r="B486" s="326" t="s">
        <v>40</v>
      </c>
      <c r="C486" s="325">
        <v>217864</v>
      </c>
      <c r="D486" s="349">
        <v>4</v>
      </c>
      <c r="E486" s="460"/>
      <c r="F486" s="535">
        <v>0</v>
      </c>
      <c r="G486" s="460"/>
      <c r="H486" s="277"/>
      <c r="I486" s="158"/>
      <c r="J486" s="535"/>
      <c r="K486" s="160">
        <f t="shared" si="191"/>
        <v>0</v>
      </c>
      <c r="L486" s="161">
        <f t="shared" si="184"/>
        <v>0</v>
      </c>
      <c r="M486" s="54">
        <v>467</v>
      </c>
      <c r="N486" s="55">
        <v>37</v>
      </c>
      <c r="O486" s="55"/>
      <c r="P486" s="55"/>
      <c r="Q486" s="162">
        <f t="shared" si="192"/>
        <v>37</v>
      </c>
      <c r="R486" s="535">
        <v>483</v>
      </c>
      <c r="S486" s="277">
        <v>44</v>
      </c>
      <c r="T486" s="277"/>
      <c r="U486" s="277"/>
      <c r="V486" s="97">
        <f t="shared" si="193"/>
        <v>44</v>
      </c>
      <c r="W486" s="279"/>
      <c r="X486" s="52"/>
      <c r="Y486" s="99"/>
      <c r="Z486" s="53"/>
      <c r="AA486" s="228"/>
      <c r="AB486" s="52"/>
      <c r="AC486" s="99"/>
      <c r="AD486" s="53"/>
      <c r="AE486" s="228"/>
      <c r="AF486" s="52"/>
      <c r="AG486" s="99"/>
      <c r="AH486" s="53"/>
      <c r="AI486" s="228"/>
      <c r="AJ486" s="52"/>
      <c r="AK486" s="99"/>
      <c r="AL486" s="53"/>
      <c r="AM486" s="228"/>
      <c r="AN486" s="52"/>
      <c r="AO486" s="99"/>
      <c r="AP486" s="53"/>
      <c r="AQ486" s="50">
        <f t="shared" si="185"/>
        <v>0</v>
      </c>
      <c r="AR486" s="163">
        <f t="shared" si="186"/>
        <v>0.67877906976744184</v>
      </c>
      <c r="AS486" s="97">
        <f t="shared" si="187"/>
        <v>0</v>
      </c>
      <c r="AT486" s="278">
        <f t="shared" si="188"/>
        <v>0.62890625</v>
      </c>
      <c r="AU486" s="55"/>
      <c r="AV486" s="277"/>
      <c r="AW486" s="279">
        <v>13</v>
      </c>
      <c r="AX486" s="52">
        <v>88</v>
      </c>
      <c r="AY486" s="105">
        <v>13</v>
      </c>
      <c r="AZ486" s="98">
        <v>120</v>
      </c>
      <c r="BA486" s="279">
        <v>52</v>
      </c>
      <c r="BB486" s="52">
        <v>80</v>
      </c>
      <c r="BC486" s="105">
        <v>52</v>
      </c>
      <c r="BD486" s="98">
        <v>92</v>
      </c>
      <c r="BE486" s="279">
        <v>42</v>
      </c>
      <c r="BF486" s="52">
        <v>23</v>
      </c>
      <c r="BG486" s="105">
        <v>42</v>
      </c>
      <c r="BH486" s="98">
        <v>34</v>
      </c>
      <c r="BI486" s="279">
        <v>45</v>
      </c>
      <c r="BJ486" s="52">
        <v>11</v>
      </c>
      <c r="BK486" s="105">
        <v>26</v>
      </c>
      <c r="BL486" s="98">
        <v>18</v>
      </c>
      <c r="BM486" s="279">
        <v>26</v>
      </c>
      <c r="BN486" s="52">
        <v>7</v>
      </c>
      <c r="BO486" s="105">
        <v>45</v>
      </c>
      <c r="BP486" s="98">
        <v>8</v>
      </c>
      <c r="BQ486" s="279">
        <v>11</v>
      </c>
      <c r="BR486" s="52">
        <v>4</v>
      </c>
      <c r="BS486" s="105">
        <v>31</v>
      </c>
      <c r="BT486" s="98">
        <v>7</v>
      </c>
      <c r="BU486" s="279">
        <v>23</v>
      </c>
      <c r="BV486" s="52">
        <v>4</v>
      </c>
      <c r="BW486" s="105">
        <v>54</v>
      </c>
      <c r="BX486" s="98">
        <v>3</v>
      </c>
      <c r="BY486" s="279">
        <v>31</v>
      </c>
      <c r="BZ486" s="52">
        <v>4</v>
      </c>
      <c r="CA486" s="105">
        <v>23</v>
      </c>
      <c r="CB486" s="98">
        <v>2</v>
      </c>
      <c r="CC486" s="279"/>
      <c r="CD486" s="52"/>
      <c r="CE486" s="105">
        <v>11</v>
      </c>
      <c r="CF486" s="98">
        <v>1</v>
      </c>
      <c r="CG486" s="279"/>
      <c r="CH486" s="52"/>
      <c r="CI486" s="105"/>
      <c r="CJ486" s="98"/>
      <c r="CK486" s="281"/>
      <c r="CL486" s="277"/>
      <c r="CM486" s="159"/>
      <c r="CN486" s="277"/>
      <c r="CO486" s="50">
        <f t="shared" si="194"/>
        <v>221</v>
      </c>
      <c r="CP486" s="103">
        <f t="shared" si="195"/>
        <v>8</v>
      </c>
      <c r="CQ486" s="280">
        <f t="shared" si="196"/>
        <v>285</v>
      </c>
      <c r="CR486" s="63">
        <f t="shared" si="197"/>
        <v>9</v>
      </c>
      <c r="CS486" s="279"/>
      <c r="CT486" s="52"/>
      <c r="CU486" s="105"/>
      <c r="CV486" s="98"/>
      <c r="CW486" s="279"/>
      <c r="CX486" s="52"/>
      <c r="CY486" s="105"/>
      <c r="CZ486" s="98"/>
      <c r="DA486" s="279"/>
      <c r="DB486" s="52"/>
      <c r="DC486" s="105"/>
      <c r="DD486" s="98"/>
      <c r="DE486" s="279"/>
      <c r="DF486" s="52"/>
      <c r="DG486" s="105"/>
      <c r="DH486" s="98"/>
      <c r="DI486" s="279"/>
      <c r="DJ486" s="52"/>
      <c r="DK486" s="105"/>
      <c r="DL486" s="98"/>
      <c r="DM486" s="279"/>
      <c r="DN486" s="52"/>
      <c r="DO486" s="105"/>
      <c r="DP486" s="98"/>
      <c r="DQ486" s="279"/>
      <c r="DR486" s="52"/>
      <c r="DS486" s="105"/>
      <c r="DT486" s="98"/>
      <c r="DU486" s="279"/>
      <c r="DV486" s="52"/>
      <c r="DW486" s="105"/>
      <c r="DX486" s="98"/>
      <c r="DY486" s="279"/>
      <c r="DZ486" s="52"/>
      <c r="EA486" s="105"/>
      <c r="EB486" s="98"/>
      <c r="EC486" s="279"/>
      <c r="ED486" s="52"/>
      <c r="EE486" s="105"/>
      <c r="EF486" s="98"/>
      <c r="EG486" s="159"/>
      <c r="EH486" s="277"/>
      <c r="EI486" s="50">
        <f t="shared" si="198"/>
        <v>0</v>
      </c>
      <c r="EJ486" s="103">
        <f t="shared" si="199"/>
        <v>0</v>
      </c>
      <c r="EK486" s="164">
        <f t="shared" si="200"/>
        <v>0</v>
      </c>
      <c r="EL486" s="280">
        <f t="shared" si="201"/>
        <v>0</v>
      </c>
      <c r="EM486" s="63">
        <f t="shared" si="202"/>
        <v>0</v>
      </c>
      <c r="EN486" s="359">
        <f t="shared" si="203"/>
        <v>0</v>
      </c>
      <c r="EO486" s="51">
        <f t="shared" si="204"/>
        <v>221</v>
      </c>
      <c r="EP486" s="361">
        <f t="shared" si="205"/>
        <v>285</v>
      </c>
      <c r="EQ486" s="281"/>
      <c r="ER486" s="277"/>
      <c r="ES486" s="281"/>
      <c r="ET486" s="277"/>
      <c r="EU486" s="281"/>
      <c r="EV486" s="277"/>
      <c r="EW486" s="281"/>
      <c r="EX486" s="277"/>
      <c r="EY486" s="281"/>
      <c r="EZ486" s="277"/>
      <c r="FA486" s="281"/>
      <c r="FB486" s="277"/>
      <c r="FC486" s="281"/>
      <c r="FD486" s="277"/>
      <c r="FE486" s="281"/>
      <c r="FF486" s="277"/>
      <c r="FG486" s="281"/>
      <c r="FH486" s="277"/>
      <c r="FI486" s="281"/>
      <c r="FJ486" s="277"/>
      <c r="FK486" s="50">
        <f t="shared" si="206"/>
        <v>0</v>
      </c>
      <c r="FL486" s="63">
        <f t="shared" si="207"/>
        <v>0</v>
      </c>
      <c r="FM486" s="50">
        <f t="shared" si="189"/>
        <v>688</v>
      </c>
      <c r="FN486" s="360">
        <f t="shared" si="190"/>
        <v>768</v>
      </c>
      <c r="FO486" s="3"/>
      <c r="FP486" s="279"/>
      <c r="FQ486" s="52"/>
      <c r="FR486" s="296"/>
      <c r="FS486" s="98"/>
      <c r="FT486" s="467"/>
      <c r="FU486" s="52"/>
      <c r="FV486" s="296"/>
      <c r="FW486" s="98"/>
      <c r="FX486" s="467"/>
      <c r="FY486" s="52"/>
      <c r="FZ486" s="296"/>
      <c r="GA486" s="98"/>
      <c r="GB486" s="467"/>
      <c r="GC486" s="52"/>
      <c r="GD486" s="296"/>
      <c r="GE486" s="98"/>
      <c r="GF486" s="467"/>
      <c r="GG486" s="52"/>
      <c r="GH486" s="296"/>
      <c r="GI486" s="98"/>
      <c r="GJ486" s="467"/>
      <c r="GK486" s="52"/>
      <c r="GL486" s="296"/>
      <c r="GM486" s="464"/>
      <c r="GN486" s="467"/>
      <c r="GO486" s="52"/>
      <c r="GP486" s="296"/>
      <c r="GQ486" s="464"/>
      <c r="GR486" s="467"/>
      <c r="GS486" s="52"/>
      <c r="GT486" s="296"/>
      <c r="GU486" s="464"/>
      <c r="GV486" s="467"/>
      <c r="GW486" s="52"/>
      <c r="GX486" s="296"/>
      <c r="GY486" s="464"/>
      <c r="GZ486" s="467"/>
      <c r="HA486" s="52"/>
      <c r="HB486" s="296"/>
      <c r="HC486" s="3"/>
    </row>
    <row r="487" spans="1:211" s="86" customFormat="1">
      <c r="A487" s="491" t="s">
        <v>35</v>
      </c>
      <c r="B487" s="326" t="s">
        <v>44</v>
      </c>
      <c r="C487" s="325">
        <v>218724</v>
      </c>
      <c r="D487" s="349">
        <v>5</v>
      </c>
      <c r="E487" s="460"/>
      <c r="F487" s="535">
        <v>0</v>
      </c>
      <c r="G487" s="460"/>
      <c r="H487" s="277"/>
      <c r="I487" s="158"/>
      <c r="J487" s="535"/>
      <c r="K487" s="160">
        <f t="shared" si="191"/>
        <v>0</v>
      </c>
      <c r="L487" s="161">
        <f t="shared" si="184"/>
        <v>0</v>
      </c>
      <c r="M487" s="54">
        <v>1076</v>
      </c>
      <c r="N487" s="55">
        <v>131</v>
      </c>
      <c r="O487" s="55"/>
      <c r="P487" s="55"/>
      <c r="Q487" s="162">
        <f t="shared" si="192"/>
        <v>131</v>
      </c>
      <c r="R487" s="535">
        <v>1223</v>
      </c>
      <c r="S487" s="277">
        <v>127</v>
      </c>
      <c r="T487" s="277"/>
      <c r="U487" s="277"/>
      <c r="V487" s="97">
        <f t="shared" si="193"/>
        <v>127</v>
      </c>
      <c r="W487" s="279"/>
      <c r="X487" s="52"/>
      <c r="Y487" s="99"/>
      <c r="Z487" s="53"/>
      <c r="AA487" s="228"/>
      <c r="AB487" s="52"/>
      <c r="AC487" s="99"/>
      <c r="AD487" s="53"/>
      <c r="AE487" s="228"/>
      <c r="AF487" s="52"/>
      <c r="AG487" s="99"/>
      <c r="AH487" s="53"/>
      <c r="AI487" s="228"/>
      <c r="AJ487" s="52"/>
      <c r="AK487" s="99"/>
      <c r="AL487" s="53"/>
      <c r="AM487" s="228"/>
      <c r="AN487" s="52"/>
      <c r="AO487" s="99"/>
      <c r="AP487" s="53"/>
      <c r="AQ487" s="50">
        <f t="shared" si="185"/>
        <v>0</v>
      </c>
      <c r="AR487" s="163">
        <f t="shared" si="186"/>
        <v>0.9259896729776248</v>
      </c>
      <c r="AS487" s="97">
        <f t="shared" si="187"/>
        <v>0</v>
      </c>
      <c r="AT487" s="278">
        <f t="shared" si="188"/>
        <v>0.92792109256449162</v>
      </c>
      <c r="AU487" s="55"/>
      <c r="AV487" s="277"/>
      <c r="AW487" s="279">
        <v>13</v>
      </c>
      <c r="AX487" s="52">
        <v>66</v>
      </c>
      <c r="AY487" s="105">
        <v>13</v>
      </c>
      <c r="AZ487" s="98">
        <v>61</v>
      </c>
      <c r="BA487" s="279">
        <v>52</v>
      </c>
      <c r="BB487" s="52">
        <v>16</v>
      </c>
      <c r="BC487" s="105">
        <v>52</v>
      </c>
      <c r="BD487" s="98">
        <v>21</v>
      </c>
      <c r="BE487" s="279">
        <v>26</v>
      </c>
      <c r="BF487" s="52">
        <v>4</v>
      </c>
      <c r="BG487" s="105">
        <v>26</v>
      </c>
      <c r="BH487" s="98">
        <v>13</v>
      </c>
      <c r="BI487" s="279"/>
      <c r="BJ487" s="52"/>
      <c r="BK487" s="105"/>
      <c r="BL487" s="98"/>
      <c r="BM487" s="279"/>
      <c r="BN487" s="52"/>
      <c r="BO487" s="105"/>
      <c r="BP487" s="98"/>
      <c r="BQ487" s="279"/>
      <c r="BR487" s="52"/>
      <c r="BS487" s="105"/>
      <c r="BT487" s="98"/>
      <c r="BU487" s="279"/>
      <c r="BV487" s="52"/>
      <c r="BW487" s="105"/>
      <c r="BX487" s="98"/>
      <c r="BY487" s="279"/>
      <c r="BZ487" s="52"/>
      <c r="CA487" s="105"/>
      <c r="CB487" s="98"/>
      <c r="CC487" s="279"/>
      <c r="CD487" s="52"/>
      <c r="CE487" s="105"/>
      <c r="CF487" s="98"/>
      <c r="CG487" s="279"/>
      <c r="CH487" s="52"/>
      <c r="CI487" s="105"/>
      <c r="CJ487" s="98"/>
      <c r="CK487" s="281"/>
      <c r="CL487" s="277"/>
      <c r="CM487" s="159"/>
      <c r="CN487" s="277"/>
      <c r="CO487" s="50">
        <f t="shared" si="194"/>
        <v>86</v>
      </c>
      <c r="CP487" s="103">
        <f t="shared" si="195"/>
        <v>3</v>
      </c>
      <c r="CQ487" s="280">
        <f t="shared" si="196"/>
        <v>95</v>
      </c>
      <c r="CR487" s="63">
        <f t="shared" si="197"/>
        <v>3</v>
      </c>
      <c r="CS487" s="279"/>
      <c r="CT487" s="52"/>
      <c r="CU487" s="105"/>
      <c r="CV487" s="98"/>
      <c r="CW487" s="279"/>
      <c r="CX487" s="52"/>
      <c r="CY487" s="105"/>
      <c r="CZ487" s="98"/>
      <c r="DA487" s="279"/>
      <c r="DB487" s="52"/>
      <c r="DC487" s="105"/>
      <c r="DD487" s="98"/>
      <c r="DE487" s="279"/>
      <c r="DF487" s="52"/>
      <c r="DG487" s="105"/>
      <c r="DH487" s="98"/>
      <c r="DI487" s="279"/>
      <c r="DJ487" s="52"/>
      <c r="DK487" s="105"/>
      <c r="DL487" s="98"/>
      <c r="DM487" s="279"/>
      <c r="DN487" s="52"/>
      <c r="DO487" s="105"/>
      <c r="DP487" s="98"/>
      <c r="DQ487" s="279"/>
      <c r="DR487" s="52"/>
      <c r="DS487" s="105"/>
      <c r="DT487" s="98"/>
      <c r="DU487" s="279"/>
      <c r="DV487" s="52"/>
      <c r="DW487" s="105"/>
      <c r="DX487" s="98"/>
      <c r="DY487" s="279"/>
      <c r="DZ487" s="52"/>
      <c r="EA487" s="105"/>
      <c r="EB487" s="98"/>
      <c r="EC487" s="279"/>
      <c r="ED487" s="52"/>
      <c r="EE487" s="105"/>
      <c r="EF487" s="98"/>
      <c r="EG487" s="159"/>
      <c r="EH487" s="277"/>
      <c r="EI487" s="50">
        <f t="shared" si="198"/>
        <v>0</v>
      </c>
      <c r="EJ487" s="103">
        <f t="shared" si="199"/>
        <v>0</v>
      </c>
      <c r="EK487" s="164">
        <f t="shared" si="200"/>
        <v>0</v>
      </c>
      <c r="EL487" s="280">
        <f t="shared" si="201"/>
        <v>0</v>
      </c>
      <c r="EM487" s="63">
        <f t="shared" si="202"/>
        <v>0</v>
      </c>
      <c r="EN487" s="359">
        <f t="shared" si="203"/>
        <v>0</v>
      </c>
      <c r="EO487" s="51">
        <f t="shared" si="204"/>
        <v>86</v>
      </c>
      <c r="EP487" s="361">
        <f t="shared" si="205"/>
        <v>95</v>
      </c>
      <c r="EQ487" s="281"/>
      <c r="ER487" s="277"/>
      <c r="ES487" s="281"/>
      <c r="ET487" s="277"/>
      <c r="EU487" s="281"/>
      <c r="EV487" s="277"/>
      <c r="EW487" s="281"/>
      <c r="EX487" s="277"/>
      <c r="EY487" s="281"/>
      <c r="EZ487" s="277"/>
      <c r="FA487" s="281"/>
      <c r="FB487" s="277"/>
      <c r="FC487" s="281"/>
      <c r="FD487" s="277"/>
      <c r="FE487" s="281"/>
      <c r="FF487" s="277"/>
      <c r="FG487" s="281"/>
      <c r="FH487" s="277"/>
      <c r="FI487" s="281"/>
      <c r="FJ487" s="277"/>
      <c r="FK487" s="50">
        <f t="shared" si="206"/>
        <v>0</v>
      </c>
      <c r="FL487" s="63">
        <f t="shared" si="207"/>
        <v>0</v>
      </c>
      <c r="FM487" s="50">
        <f t="shared" si="189"/>
        <v>1162</v>
      </c>
      <c r="FN487" s="360">
        <f t="shared" si="190"/>
        <v>1318</v>
      </c>
      <c r="FO487" s="3"/>
      <c r="FP487" s="279"/>
      <c r="FQ487" s="52"/>
      <c r="FR487" s="296"/>
      <c r="FS487" s="98"/>
      <c r="FT487" s="467"/>
      <c r="FU487" s="52"/>
      <c r="FV487" s="296"/>
      <c r="FW487" s="98"/>
      <c r="FX487" s="467"/>
      <c r="FY487" s="52"/>
      <c r="FZ487" s="296"/>
      <c r="GA487" s="98"/>
      <c r="GB487" s="467"/>
      <c r="GC487" s="52"/>
      <c r="GD487" s="296"/>
      <c r="GE487" s="98"/>
      <c r="GF487" s="467"/>
      <c r="GG487" s="52"/>
      <c r="GH487" s="296"/>
      <c r="GI487" s="98"/>
      <c r="GJ487" s="467"/>
      <c r="GK487" s="52"/>
      <c r="GL487" s="296"/>
      <c r="GM487" s="464"/>
      <c r="GN487" s="467"/>
      <c r="GO487" s="52"/>
      <c r="GP487" s="296"/>
      <c r="GQ487" s="464"/>
      <c r="GR487" s="467"/>
      <c r="GS487" s="52"/>
      <c r="GT487" s="296"/>
      <c r="GU487" s="464"/>
      <c r="GV487" s="467"/>
      <c r="GW487" s="52"/>
      <c r="GX487" s="296"/>
      <c r="GY487" s="464"/>
      <c r="GZ487" s="467"/>
      <c r="HA487" s="52"/>
      <c r="HB487" s="296"/>
      <c r="HC487" s="3"/>
    </row>
    <row r="488" spans="1:211" s="86" customFormat="1">
      <c r="A488" s="491" t="s">
        <v>35</v>
      </c>
      <c r="B488" s="326" t="s">
        <v>41</v>
      </c>
      <c r="C488" s="325">
        <v>218061</v>
      </c>
      <c r="D488" s="349">
        <v>5</v>
      </c>
      <c r="E488" s="460"/>
      <c r="F488" s="535">
        <v>0</v>
      </c>
      <c r="G488" s="460"/>
      <c r="H488" s="277"/>
      <c r="I488" s="158"/>
      <c r="J488" s="535"/>
      <c r="K488" s="160">
        <f t="shared" si="191"/>
        <v>0</v>
      </c>
      <c r="L488" s="161">
        <f t="shared" si="184"/>
        <v>0</v>
      </c>
      <c r="M488" s="54">
        <v>501</v>
      </c>
      <c r="N488" s="55">
        <v>67</v>
      </c>
      <c r="O488" s="55"/>
      <c r="P488" s="55">
        <v>5</v>
      </c>
      <c r="Q488" s="162">
        <f t="shared" si="192"/>
        <v>72</v>
      </c>
      <c r="R488" s="535">
        <v>496</v>
      </c>
      <c r="S488" s="277">
        <v>47</v>
      </c>
      <c r="T488" s="277"/>
      <c r="U488" s="277">
        <v>7</v>
      </c>
      <c r="V488" s="97">
        <f t="shared" si="193"/>
        <v>54</v>
      </c>
      <c r="W488" s="279"/>
      <c r="X488" s="52"/>
      <c r="Y488" s="99"/>
      <c r="Z488" s="53"/>
      <c r="AA488" s="228"/>
      <c r="AB488" s="52"/>
      <c r="AC488" s="99"/>
      <c r="AD488" s="53"/>
      <c r="AE488" s="228"/>
      <c r="AF488" s="52"/>
      <c r="AG488" s="99"/>
      <c r="AH488" s="53"/>
      <c r="AI488" s="228"/>
      <c r="AJ488" s="52"/>
      <c r="AK488" s="99"/>
      <c r="AL488" s="53"/>
      <c r="AM488" s="228"/>
      <c r="AN488" s="52"/>
      <c r="AO488" s="99"/>
      <c r="AP488" s="53"/>
      <c r="AQ488" s="50">
        <f t="shared" si="185"/>
        <v>0</v>
      </c>
      <c r="AR488" s="163">
        <f t="shared" si="186"/>
        <v>0.82809917355371898</v>
      </c>
      <c r="AS488" s="97">
        <f t="shared" si="187"/>
        <v>0</v>
      </c>
      <c r="AT488" s="278">
        <f t="shared" si="188"/>
        <v>0.85370051635111877</v>
      </c>
      <c r="AU488" s="55"/>
      <c r="AV488" s="277"/>
      <c r="AW488" s="279">
        <v>13</v>
      </c>
      <c r="AX488" s="52">
        <v>73</v>
      </c>
      <c r="AY488" s="105">
        <v>13</v>
      </c>
      <c r="AZ488" s="98">
        <v>52</v>
      </c>
      <c r="BA488" s="279">
        <v>42</v>
      </c>
      <c r="BB488" s="52">
        <v>16</v>
      </c>
      <c r="BC488" s="105">
        <v>52</v>
      </c>
      <c r="BD488" s="98">
        <v>18</v>
      </c>
      <c r="BE488" s="279">
        <v>52</v>
      </c>
      <c r="BF488" s="52">
        <v>15</v>
      </c>
      <c r="BG488" s="105">
        <v>42</v>
      </c>
      <c r="BH488" s="98">
        <v>15</v>
      </c>
      <c r="BI488" s="279"/>
      <c r="BJ488" s="52"/>
      <c r="BK488" s="105"/>
      <c r="BL488" s="98"/>
      <c r="BM488" s="279"/>
      <c r="BN488" s="52"/>
      <c r="BO488" s="105"/>
      <c r="BP488" s="98"/>
      <c r="BQ488" s="279"/>
      <c r="BR488" s="52"/>
      <c r="BS488" s="105"/>
      <c r="BT488" s="98"/>
      <c r="BU488" s="279"/>
      <c r="BV488" s="52"/>
      <c r="BW488" s="105"/>
      <c r="BX488" s="98"/>
      <c r="BY488" s="279"/>
      <c r="BZ488" s="52"/>
      <c r="CA488" s="105"/>
      <c r="CB488" s="98"/>
      <c r="CC488" s="279"/>
      <c r="CD488" s="52"/>
      <c r="CE488" s="105"/>
      <c r="CF488" s="98"/>
      <c r="CG488" s="279"/>
      <c r="CH488" s="52"/>
      <c r="CI488" s="105"/>
      <c r="CJ488" s="98"/>
      <c r="CK488" s="281"/>
      <c r="CL488" s="277"/>
      <c r="CM488" s="159"/>
      <c r="CN488" s="277"/>
      <c r="CO488" s="50">
        <f t="shared" si="194"/>
        <v>104</v>
      </c>
      <c r="CP488" s="103">
        <f t="shared" si="195"/>
        <v>3</v>
      </c>
      <c r="CQ488" s="280">
        <f t="shared" si="196"/>
        <v>85</v>
      </c>
      <c r="CR488" s="63">
        <f t="shared" si="197"/>
        <v>3</v>
      </c>
      <c r="CS488" s="279"/>
      <c r="CT488" s="52"/>
      <c r="CU488" s="105"/>
      <c r="CV488" s="98"/>
      <c r="CW488" s="279"/>
      <c r="CX488" s="52"/>
      <c r="CY488" s="105"/>
      <c r="CZ488" s="98"/>
      <c r="DA488" s="279"/>
      <c r="DB488" s="52"/>
      <c r="DC488" s="105"/>
      <c r="DD488" s="98"/>
      <c r="DE488" s="279"/>
      <c r="DF488" s="52"/>
      <c r="DG488" s="105"/>
      <c r="DH488" s="98"/>
      <c r="DI488" s="279"/>
      <c r="DJ488" s="52"/>
      <c r="DK488" s="105"/>
      <c r="DL488" s="98"/>
      <c r="DM488" s="279"/>
      <c r="DN488" s="52"/>
      <c r="DO488" s="105"/>
      <c r="DP488" s="98"/>
      <c r="DQ488" s="279"/>
      <c r="DR488" s="52"/>
      <c r="DS488" s="105"/>
      <c r="DT488" s="98"/>
      <c r="DU488" s="279"/>
      <c r="DV488" s="52"/>
      <c r="DW488" s="105"/>
      <c r="DX488" s="98"/>
      <c r="DY488" s="279"/>
      <c r="DZ488" s="52"/>
      <c r="EA488" s="105"/>
      <c r="EB488" s="98"/>
      <c r="EC488" s="279"/>
      <c r="ED488" s="52"/>
      <c r="EE488" s="105"/>
      <c r="EF488" s="98"/>
      <c r="EG488" s="159"/>
      <c r="EH488" s="277"/>
      <c r="EI488" s="50">
        <f t="shared" si="198"/>
        <v>0</v>
      </c>
      <c r="EJ488" s="103">
        <f t="shared" si="199"/>
        <v>0</v>
      </c>
      <c r="EK488" s="164">
        <f t="shared" si="200"/>
        <v>0</v>
      </c>
      <c r="EL488" s="280">
        <f t="shared" si="201"/>
        <v>0</v>
      </c>
      <c r="EM488" s="63">
        <f t="shared" si="202"/>
        <v>0</v>
      </c>
      <c r="EN488" s="359">
        <f t="shared" si="203"/>
        <v>0</v>
      </c>
      <c r="EO488" s="51">
        <f t="shared" si="204"/>
        <v>104</v>
      </c>
      <c r="EP488" s="361">
        <f t="shared" si="205"/>
        <v>85</v>
      </c>
      <c r="EQ488" s="281"/>
      <c r="ER488" s="277"/>
      <c r="ES488" s="281"/>
      <c r="ET488" s="277"/>
      <c r="EU488" s="281"/>
      <c r="EV488" s="277"/>
      <c r="EW488" s="281"/>
      <c r="EX488" s="277"/>
      <c r="EY488" s="281"/>
      <c r="EZ488" s="277"/>
      <c r="FA488" s="281"/>
      <c r="FB488" s="277"/>
      <c r="FC488" s="281"/>
      <c r="FD488" s="277"/>
      <c r="FE488" s="281"/>
      <c r="FF488" s="277"/>
      <c r="FG488" s="281"/>
      <c r="FH488" s="277"/>
      <c r="FI488" s="281"/>
      <c r="FJ488" s="277"/>
      <c r="FK488" s="50">
        <f t="shared" si="206"/>
        <v>0</v>
      </c>
      <c r="FL488" s="63">
        <f t="shared" si="207"/>
        <v>0</v>
      </c>
      <c r="FM488" s="50">
        <f t="shared" si="189"/>
        <v>605</v>
      </c>
      <c r="FN488" s="360">
        <f t="shared" si="190"/>
        <v>581</v>
      </c>
      <c r="FO488" s="3"/>
      <c r="FP488" s="279"/>
      <c r="FQ488" s="52"/>
      <c r="FR488" s="296"/>
      <c r="FS488" s="98"/>
      <c r="FT488" s="467"/>
      <c r="FU488" s="52"/>
      <c r="FV488" s="296"/>
      <c r="FW488" s="98"/>
      <c r="FX488" s="467"/>
      <c r="FY488" s="52"/>
      <c r="FZ488" s="296"/>
      <c r="GA488" s="98"/>
      <c r="GB488" s="467"/>
      <c r="GC488" s="52"/>
      <c r="GD488" s="296"/>
      <c r="GE488" s="98"/>
      <c r="GF488" s="467"/>
      <c r="GG488" s="52"/>
      <c r="GH488" s="296"/>
      <c r="GI488" s="98"/>
      <c r="GJ488" s="467"/>
      <c r="GK488" s="52"/>
      <c r="GL488" s="296"/>
      <c r="GM488" s="464"/>
      <c r="GN488" s="467"/>
      <c r="GO488" s="52"/>
      <c r="GP488" s="296"/>
      <c r="GQ488" s="464"/>
      <c r="GR488" s="467"/>
      <c r="GS488" s="52"/>
      <c r="GT488" s="296"/>
      <c r="GU488" s="464"/>
      <c r="GV488" s="467"/>
      <c r="GW488" s="52"/>
      <c r="GX488" s="296"/>
      <c r="GY488" s="464"/>
      <c r="GZ488" s="467"/>
      <c r="HA488" s="52"/>
      <c r="HB488" s="296"/>
      <c r="HC488" s="3"/>
    </row>
    <row r="489" spans="1:211" s="86" customFormat="1">
      <c r="A489" s="491" t="s">
        <v>35</v>
      </c>
      <c r="B489" s="326" t="s">
        <v>43</v>
      </c>
      <c r="C489" s="325">
        <v>218733</v>
      </c>
      <c r="D489" s="349">
        <v>5</v>
      </c>
      <c r="E489" s="460"/>
      <c r="F489" s="535">
        <v>0</v>
      </c>
      <c r="G489" s="460"/>
      <c r="H489" s="277"/>
      <c r="I489" s="158"/>
      <c r="J489" s="535"/>
      <c r="K489" s="160">
        <f t="shared" si="191"/>
        <v>0</v>
      </c>
      <c r="L489" s="161">
        <f t="shared" si="184"/>
        <v>0</v>
      </c>
      <c r="M489" s="54">
        <v>554</v>
      </c>
      <c r="N489" s="55">
        <v>79</v>
      </c>
      <c r="O489" s="55"/>
      <c r="P489" s="55"/>
      <c r="Q489" s="162">
        <f t="shared" si="192"/>
        <v>79</v>
      </c>
      <c r="R489" s="535">
        <v>521</v>
      </c>
      <c r="S489" s="277">
        <v>48</v>
      </c>
      <c r="T489" s="277"/>
      <c r="U489" s="277"/>
      <c r="V489" s="97">
        <f t="shared" si="193"/>
        <v>48</v>
      </c>
      <c r="W489" s="279"/>
      <c r="X489" s="52"/>
      <c r="Y489" s="99"/>
      <c r="Z489" s="53"/>
      <c r="AA489" s="228"/>
      <c r="AB489" s="52"/>
      <c r="AC489" s="99"/>
      <c r="AD489" s="53"/>
      <c r="AE489" s="228"/>
      <c r="AF489" s="52"/>
      <c r="AG489" s="99"/>
      <c r="AH489" s="53"/>
      <c r="AI489" s="228"/>
      <c r="AJ489" s="52"/>
      <c r="AK489" s="99"/>
      <c r="AL489" s="53"/>
      <c r="AM489" s="228"/>
      <c r="AN489" s="52"/>
      <c r="AO489" s="99"/>
      <c r="AP489" s="53"/>
      <c r="AQ489" s="50">
        <f t="shared" si="185"/>
        <v>0</v>
      </c>
      <c r="AR489" s="163">
        <f t="shared" si="186"/>
        <v>0.78581560283687946</v>
      </c>
      <c r="AS489" s="97">
        <f t="shared" si="187"/>
        <v>0</v>
      </c>
      <c r="AT489" s="278">
        <f t="shared" si="188"/>
        <v>0.70121130551816957</v>
      </c>
      <c r="AU489" s="55"/>
      <c r="AV489" s="277"/>
      <c r="AW489" s="279">
        <v>13</v>
      </c>
      <c r="AX489" s="52">
        <v>84</v>
      </c>
      <c r="AY489" s="105">
        <v>13</v>
      </c>
      <c r="AZ489" s="98">
        <v>142</v>
      </c>
      <c r="BA489" s="279">
        <v>51</v>
      </c>
      <c r="BB489" s="52">
        <v>33</v>
      </c>
      <c r="BC489" s="105">
        <v>51</v>
      </c>
      <c r="BD489" s="98">
        <v>39</v>
      </c>
      <c r="BE489" s="279">
        <v>19</v>
      </c>
      <c r="BF489" s="52">
        <v>15</v>
      </c>
      <c r="BG489" s="105">
        <v>19</v>
      </c>
      <c r="BH489" s="98">
        <v>8</v>
      </c>
      <c r="BI489" s="279">
        <v>52</v>
      </c>
      <c r="BJ489" s="52">
        <v>6</v>
      </c>
      <c r="BK489" s="105">
        <v>52</v>
      </c>
      <c r="BL489" s="98">
        <v>4</v>
      </c>
      <c r="BM489" s="279"/>
      <c r="BN489" s="52"/>
      <c r="BO489" s="105"/>
      <c r="BP489" s="98"/>
      <c r="BQ489" s="279"/>
      <c r="BR489" s="52"/>
      <c r="BS489" s="105"/>
      <c r="BT489" s="98"/>
      <c r="BU489" s="279"/>
      <c r="BV489" s="52"/>
      <c r="BW489" s="105"/>
      <c r="BX489" s="98"/>
      <c r="BY489" s="279"/>
      <c r="BZ489" s="52"/>
      <c r="CA489" s="105"/>
      <c r="CB489" s="98"/>
      <c r="CC489" s="279"/>
      <c r="CD489" s="52"/>
      <c r="CE489" s="105"/>
      <c r="CF489" s="98"/>
      <c r="CG489" s="279"/>
      <c r="CH489" s="52"/>
      <c r="CI489" s="105"/>
      <c r="CJ489" s="98"/>
      <c r="CK489" s="281"/>
      <c r="CL489" s="277"/>
      <c r="CM489" s="159"/>
      <c r="CN489" s="277"/>
      <c r="CO489" s="50">
        <f t="shared" si="194"/>
        <v>138</v>
      </c>
      <c r="CP489" s="103">
        <f t="shared" si="195"/>
        <v>4</v>
      </c>
      <c r="CQ489" s="280">
        <f t="shared" si="196"/>
        <v>193</v>
      </c>
      <c r="CR489" s="63">
        <f t="shared" si="197"/>
        <v>4</v>
      </c>
      <c r="CS489" s="279">
        <v>13</v>
      </c>
      <c r="CT489" s="52">
        <v>13</v>
      </c>
      <c r="CU489" s="105">
        <v>13</v>
      </c>
      <c r="CV489" s="98">
        <v>29</v>
      </c>
      <c r="CW489" s="279"/>
      <c r="CX489" s="52"/>
      <c r="CY489" s="105"/>
      <c r="CZ489" s="98"/>
      <c r="DA489" s="279"/>
      <c r="DB489" s="52"/>
      <c r="DC489" s="105"/>
      <c r="DD489" s="98"/>
      <c r="DE489" s="279"/>
      <c r="DF489" s="52"/>
      <c r="DG489" s="105"/>
      <c r="DH489" s="98"/>
      <c r="DI489" s="279"/>
      <c r="DJ489" s="52"/>
      <c r="DK489" s="105"/>
      <c r="DL489" s="98"/>
      <c r="DM489" s="279"/>
      <c r="DN489" s="52"/>
      <c r="DO489" s="105"/>
      <c r="DP489" s="98"/>
      <c r="DQ489" s="279"/>
      <c r="DR489" s="52"/>
      <c r="DS489" s="105"/>
      <c r="DT489" s="98"/>
      <c r="DU489" s="279"/>
      <c r="DV489" s="52"/>
      <c r="DW489" s="105"/>
      <c r="DX489" s="98"/>
      <c r="DY489" s="279"/>
      <c r="DZ489" s="52"/>
      <c r="EA489" s="105"/>
      <c r="EB489" s="98"/>
      <c r="EC489" s="279"/>
      <c r="ED489" s="52"/>
      <c r="EE489" s="105"/>
      <c r="EF489" s="98"/>
      <c r="EG489" s="159"/>
      <c r="EH489" s="277"/>
      <c r="EI489" s="50">
        <f t="shared" si="198"/>
        <v>13</v>
      </c>
      <c r="EJ489" s="103">
        <f t="shared" si="199"/>
        <v>1</v>
      </c>
      <c r="EK489" s="164">
        <f t="shared" si="200"/>
        <v>1</v>
      </c>
      <c r="EL489" s="280">
        <f t="shared" si="201"/>
        <v>29</v>
      </c>
      <c r="EM489" s="63">
        <f t="shared" si="202"/>
        <v>1</v>
      </c>
      <c r="EN489" s="359">
        <f t="shared" si="203"/>
        <v>1</v>
      </c>
      <c r="EO489" s="51">
        <f t="shared" si="204"/>
        <v>151</v>
      </c>
      <c r="EP489" s="361">
        <f t="shared" si="205"/>
        <v>222</v>
      </c>
      <c r="EQ489" s="281"/>
      <c r="ER489" s="277"/>
      <c r="ES489" s="281"/>
      <c r="ET489" s="277"/>
      <c r="EU489" s="281"/>
      <c r="EV489" s="277"/>
      <c r="EW489" s="281"/>
      <c r="EX489" s="277"/>
      <c r="EY489" s="281"/>
      <c r="EZ489" s="277"/>
      <c r="FA489" s="281"/>
      <c r="FB489" s="277"/>
      <c r="FC489" s="281"/>
      <c r="FD489" s="277"/>
      <c r="FE489" s="281"/>
      <c r="FF489" s="277"/>
      <c r="FG489" s="281"/>
      <c r="FH489" s="277"/>
      <c r="FI489" s="281"/>
      <c r="FJ489" s="277"/>
      <c r="FK489" s="50">
        <f t="shared" si="206"/>
        <v>0</v>
      </c>
      <c r="FL489" s="63">
        <f t="shared" si="207"/>
        <v>0</v>
      </c>
      <c r="FM489" s="50">
        <f t="shared" si="189"/>
        <v>705</v>
      </c>
      <c r="FN489" s="360">
        <f t="shared" si="190"/>
        <v>743</v>
      </c>
      <c r="FO489" s="3"/>
      <c r="FP489" s="279"/>
      <c r="FQ489" s="52"/>
      <c r="FR489" s="296"/>
      <c r="FS489" s="98"/>
      <c r="FT489" s="467"/>
      <c r="FU489" s="52"/>
      <c r="FV489" s="296"/>
      <c r="FW489" s="98"/>
      <c r="FX489" s="467"/>
      <c r="FY489" s="52"/>
      <c r="FZ489" s="296"/>
      <c r="GA489" s="98"/>
      <c r="GB489" s="467"/>
      <c r="GC489" s="52"/>
      <c r="GD489" s="296"/>
      <c r="GE489" s="98"/>
      <c r="GF489" s="467"/>
      <c r="GG489" s="52"/>
      <c r="GH489" s="296"/>
      <c r="GI489" s="98"/>
      <c r="GJ489" s="467"/>
      <c r="GK489" s="52"/>
      <c r="GL489" s="296"/>
      <c r="GM489" s="464"/>
      <c r="GN489" s="467"/>
      <c r="GO489" s="52"/>
      <c r="GP489" s="296"/>
      <c r="GQ489" s="464"/>
      <c r="GR489" s="467"/>
      <c r="GS489" s="52"/>
      <c r="GT489" s="296"/>
      <c r="GU489" s="464"/>
      <c r="GV489" s="467"/>
      <c r="GW489" s="52"/>
      <c r="GX489" s="296"/>
      <c r="GY489" s="464"/>
      <c r="GZ489" s="467"/>
      <c r="HA489" s="52"/>
      <c r="HB489" s="296"/>
      <c r="HC489" s="3"/>
    </row>
    <row r="490" spans="1:211" s="86" customFormat="1">
      <c r="A490" s="491" t="s">
        <v>35</v>
      </c>
      <c r="B490" s="495" t="s">
        <v>42</v>
      </c>
      <c r="C490" s="496">
        <v>218229</v>
      </c>
      <c r="D490" s="497">
        <v>6</v>
      </c>
      <c r="E490" s="460">
        <v>1</v>
      </c>
      <c r="F490" s="535">
        <v>4</v>
      </c>
      <c r="G490" s="460"/>
      <c r="H490" s="277"/>
      <c r="I490" s="158"/>
      <c r="J490" s="535"/>
      <c r="K490" s="160">
        <f t="shared" si="191"/>
        <v>0</v>
      </c>
      <c r="L490" s="161">
        <f t="shared" si="184"/>
        <v>0</v>
      </c>
      <c r="M490" s="54">
        <v>404</v>
      </c>
      <c r="N490" s="55">
        <v>52</v>
      </c>
      <c r="O490" s="55"/>
      <c r="P490" s="55">
        <v>8</v>
      </c>
      <c r="Q490" s="162">
        <f t="shared" si="192"/>
        <v>60</v>
      </c>
      <c r="R490" s="535">
        <v>449</v>
      </c>
      <c r="S490" s="277">
        <v>68</v>
      </c>
      <c r="T490" s="277"/>
      <c r="U490" s="277">
        <v>6</v>
      </c>
      <c r="V490" s="97">
        <f t="shared" si="193"/>
        <v>74</v>
      </c>
      <c r="W490" s="279"/>
      <c r="X490" s="52"/>
      <c r="Y490" s="99"/>
      <c r="Z490" s="53"/>
      <c r="AA490" s="228"/>
      <c r="AB490" s="52"/>
      <c r="AC490" s="99"/>
      <c r="AD490" s="53"/>
      <c r="AE490" s="228"/>
      <c r="AF490" s="52"/>
      <c r="AG490" s="99"/>
      <c r="AH490" s="53"/>
      <c r="AI490" s="228"/>
      <c r="AJ490" s="52"/>
      <c r="AK490" s="99"/>
      <c r="AL490" s="53"/>
      <c r="AM490" s="228"/>
      <c r="AN490" s="52"/>
      <c r="AO490" s="99"/>
      <c r="AP490" s="53"/>
      <c r="AQ490" s="50">
        <f t="shared" si="185"/>
        <v>0</v>
      </c>
      <c r="AR490" s="163">
        <f t="shared" si="186"/>
        <v>0.96420047732696901</v>
      </c>
      <c r="AS490" s="97">
        <f t="shared" si="187"/>
        <v>0</v>
      </c>
      <c r="AT490" s="278">
        <f t="shared" si="188"/>
        <v>0.95127118644067798</v>
      </c>
      <c r="AU490" s="55"/>
      <c r="AV490" s="277"/>
      <c r="AW490" s="279">
        <v>13</v>
      </c>
      <c r="AX490" s="52">
        <v>14</v>
      </c>
      <c r="AY490" s="105">
        <v>13</v>
      </c>
      <c r="AZ490" s="98">
        <v>19</v>
      </c>
      <c r="BA490" s="279"/>
      <c r="BB490" s="52"/>
      <c r="BC490" s="105"/>
      <c r="BD490" s="98"/>
      <c r="BE490" s="279"/>
      <c r="BF490" s="52"/>
      <c r="BG490" s="105"/>
      <c r="BH490" s="98"/>
      <c r="BI490" s="279"/>
      <c r="BJ490" s="52"/>
      <c r="BK490" s="105"/>
      <c r="BL490" s="98"/>
      <c r="BM490" s="279"/>
      <c r="BN490" s="52"/>
      <c r="BO490" s="105"/>
      <c r="BP490" s="98"/>
      <c r="BQ490" s="279"/>
      <c r="BR490" s="52"/>
      <c r="BS490" s="105"/>
      <c r="BT490" s="98"/>
      <c r="BU490" s="279"/>
      <c r="BV490" s="52"/>
      <c r="BW490" s="105"/>
      <c r="BX490" s="98"/>
      <c r="BY490" s="279"/>
      <c r="BZ490" s="52"/>
      <c r="CA490" s="105"/>
      <c r="CB490" s="98"/>
      <c r="CC490" s="279"/>
      <c r="CD490" s="52"/>
      <c r="CE490" s="105"/>
      <c r="CF490" s="98"/>
      <c r="CG490" s="279"/>
      <c r="CH490" s="52"/>
      <c r="CI490" s="105"/>
      <c r="CJ490" s="98"/>
      <c r="CK490" s="281"/>
      <c r="CL490" s="277"/>
      <c r="CM490" s="159"/>
      <c r="CN490" s="277"/>
      <c r="CO490" s="50">
        <f t="shared" si="194"/>
        <v>14</v>
      </c>
      <c r="CP490" s="103">
        <f t="shared" si="195"/>
        <v>1</v>
      </c>
      <c r="CQ490" s="280">
        <f t="shared" si="196"/>
        <v>19</v>
      </c>
      <c r="CR490" s="63">
        <f t="shared" si="197"/>
        <v>1</v>
      </c>
      <c r="CS490" s="279"/>
      <c r="CT490" s="52"/>
      <c r="CU490" s="105"/>
      <c r="CV490" s="98"/>
      <c r="CW490" s="279"/>
      <c r="CX490" s="52"/>
      <c r="CY490" s="105"/>
      <c r="CZ490" s="98"/>
      <c r="DA490" s="279"/>
      <c r="DB490" s="52"/>
      <c r="DC490" s="105"/>
      <c r="DD490" s="98"/>
      <c r="DE490" s="279"/>
      <c r="DF490" s="52"/>
      <c r="DG490" s="105"/>
      <c r="DH490" s="98"/>
      <c r="DI490" s="279"/>
      <c r="DJ490" s="52"/>
      <c r="DK490" s="105"/>
      <c r="DL490" s="98"/>
      <c r="DM490" s="279"/>
      <c r="DN490" s="52"/>
      <c r="DO490" s="105"/>
      <c r="DP490" s="98"/>
      <c r="DQ490" s="279"/>
      <c r="DR490" s="52"/>
      <c r="DS490" s="105"/>
      <c r="DT490" s="98"/>
      <c r="DU490" s="279"/>
      <c r="DV490" s="52"/>
      <c r="DW490" s="105"/>
      <c r="DX490" s="98"/>
      <c r="DY490" s="279"/>
      <c r="DZ490" s="52"/>
      <c r="EA490" s="105"/>
      <c r="EB490" s="98"/>
      <c r="EC490" s="279"/>
      <c r="ED490" s="52"/>
      <c r="EE490" s="105"/>
      <c r="EF490" s="98"/>
      <c r="EG490" s="159"/>
      <c r="EH490" s="277"/>
      <c r="EI490" s="50">
        <f t="shared" si="198"/>
        <v>0</v>
      </c>
      <c r="EJ490" s="103">
        <f t="shared" si="199"/>
        <v>0</v>
      </c>
      <c r="EK490" s="164">
        <f t="shared" si="200"/>
        <v>0</v>
      </c>
      <c r="EL490" s="280">
        <f t="shared" si="201"/>
        <v>0</v>
      </c>
      <c r="EM490" s="63">
        <f t="shared" si="202"/>
        <v>0</v>
      </c>
      <c r="EN490" s="359">
        <f t="shared" si="203"/>
        <v>0</v>
      </c>
      <c r="EO490" s="51">
        <f t="shared" si="204"/>
        <v>14</v>
      </c>
      <c r="EP490" s="361">
        <f t="shared" si="205"/>
        <v>19</v>
      </c>
      <c r="EQ490" s="281"/>
      <c r="ER490" s="277"/>
      <c r="ES490" s="281"/>
      <c r="ET490" s="277"/>
      <c r="EU490" s="281"/>
      <c r="EV490" s="277"/>
      <c r="EW490" s="281"/>
      <c r="EX490" s="277"/>
      <c r="EY490" s="281"/>
      <c r="EZ490" s="277"/>
      <c r="FA490" s="281"/>
      <c r="FB490" s="277"/>
      <c r="FC490" s="281"/>
      <c r="FD490" s="277"/>
      <c r="FE490" s="281"/>
      <c r="FF490" s="277"/>
      <c r="FG490" s="281"/>
      <c r="FH490" s="277"/>
      <c r="FI490" s="281"/>
      <c r="FJ490" s="277"/>
      <c r="FK490" s="50">
        <f t="shared" si="206"/>
        <v>0</v>
      </c>
      <c r="FL490" s="63">
        <f t="shared" si="207"/>
        <v>0</v>
      </c>
      <c r="FM490" s="50">
        <f t="shared" si="189"/>
        <v>419</v>
      </c>
      <c r="FN490" s="360">
        <f t="shared" si="190"/>
        <v>472</v>
      </c>
      <c r="FO490" s="3"/>
      <c r="FP490" s="279"/>
      <c r="FQ490" s="52"/>
      <c r="FR490" s="296"/>
      <c r="FS490" s="98"/>
      <c r="FT490" s="467"/>
      <c r="FU490" s="52"/>
      <c r="FV490" s="296"/>
      <c r="FW490" s="98"/>
      <c r="FX490" s="467"/>
      <c r="FY490" s="52"/>
      <c r="FZ490" s="296"/>
      <c r="GA490" s="98"/>
      <c r="GB490" s="467"/>
      <c r="GC490" s="52"/>
      <c r="GD490" s="296"/>
      <c r="GE490" s="98"/>
      <c r="GF490" s="467"/>
      <c r="GG490" s="52"/>
      <c r="GH490" s="296"/>
      <c r="GI490" s="98"/>
      <c r="GJ490" s="467"/>
      <c r="GK490" s="52"/>
      <c r="GL490" s="296"/>
      <c r="GM490" s="464"/>
      <c r="GN490" s="467"/>
      <c r="GO490" s="52"/>
      <c r="GP490" s="296"/>
      <c r="GQ490" s="464"/>
      <c r="GR490" s="467"/>
      <c r="GS490" s="52"/>
      <c r="GT490" s="296"/>
      <c r="GU490" s="464"/>
      <c r="GV490" s="467"/>
      <c r="GW490" s="52"/>
      <c r="GX490" s="296"/>
      <c r="GY490" s="464"/>
      <c r="GZ490" s="467"/>
      <c r="HA490" s="52"/>
      <c r="HB490" s="296"/>
      <c r="HC490" s="3"/>
    </row>
    <row r="491" spans="1:211" s="86" customFormat="1">
      <c r="A491" s="491" t="s">
        <v>35</v>
      </c>
      <c r="B491" s="326" t="s">
        <v>45</v>
      </c>
      <c r="C491" s="325">
        <v>218645</v>
      </c>
      <c r="D491" s="349">
        <v>6</v>
      </c>
      <c r="E491" s="460"/>
      <c r="F491" s="535">
        <v>0</v>
      </c>
      <c r="G491" s="460"/>
      <c r="H491" s="277"/>
      <c r="I491" s="158"/>
      <c r="J491" s="535"/>
      <c r="K491" s="160">
        <f t="shared" si="191"/>
        <v>0</v>
      </c>
      <c r="L491" s="161">
        <f t="shared" si="184"/>
        <v>0</v>
      </c>
      <c r="M491" s="54">
        <v>502</v>
      </c>
      <c r="N491" s="55">
        <v>52</v>
      </c>
      <c r="O491" s="55"/>
      <c r="P491" s="55"/>
      <c r="Q491" s="162">
        <f t="shared" si="192"/>
        <v>52</v>
      </c>
      <c r="R491" s="535">
        <v>461</v>
      </c>
      <c r="S491" s="277">
        <v>56</v>
      </c>
      <c r="T491" s="277"/>
      <c r="U491" s="277"/>
      <c r="V491" s="97">
        <f t="shared" si="193"/>
        <v>56</v>
      </c>
      <c r="W491" s="279"/>
      <c r="X491" s="52"/>
      <c r="Y491" s="99"/>
      <c r="Z491" s="53"/>
      <c r="AA491" s="228"/>
      <c r="AB491" s="52"/>
      <c r="AC491" s="99"/>
      <c r="AD491" s="53"/>
      <c r="AE491" s="228"/>
      <c r="AF491" s="52"/>
      <c r="AG491" s="99"/>
      <c r="AH491" s="53"/>
      <c r="AI491" s="228"/>
      <c r="AJ491" s="52"/>
      <c r="AK491" s="99"/>
      <c r="AL491" s="53"/>
      <c r="AM491" s="228"/>
      <c r="AN491" s="52"/>
      <c r="AO491" s="99"/>
      <c r="AP491" s="53"/>
      <c r="AQ491" s="50">
        <f t="shared" si="185"/>
        <v>0</v>
      </c>
      <c r="AR491" s="163">
        <f t="shared" si="186"/>
        <v>0.96724470134874763</v>
      </c>
      <c r="AS491" s="97">
        <f t="shared" si="187"/>
        <v>0</v>
      </c>
      <c r="AT491" s="278">
        <f t="shared" si="188"/>
        <v>0.97463002114164909</v>
      </c>
      <c r="AU491" s="55"/>
      <c r="AV491" s="277"/>
      <c r="AW491" s="279">
        <v>13</v>
      </c>
      <c r="AX491" s="52">
        <v>10</v>
      </c>
      <c r="AY491" s="105">
        <v>13</v>
      </c>
      <c r="AZ491" s="98">
        <v>6</v>
      </c>
      <c r="BA491" s="279">
        <v>42</v>
      </c>
      <c r="BB491" s="52">
        <v>7</v>
      </c>
      <c r="BC491" s="105">
        <v>42</v>
      </c>
      <c r="BD491" s="98">
        <v>6</v>
      </c>
      <c r="BE491" s="279"/>
      <c r="BF491" s="52"/>
      <c r="BG491" s="105"/>
      <c r="BH491" s="98"/>
      <c r="BI491" s="279"/>
      <c r="BJ491" s="52"/>
      <c r="BK491" s="105"/>
      <c r="BL491" s="98"/>
      <c r="BM491" s="279"/>
      <c r="BN491" s="52"/>
      <c r="BO491" s="105"/>
      <c r="BP491" s="98"/>
      <c r="BQ491" s="279"/>
      <c r="BR491" s="52"/>
      <c r="BS491" s="105"/>
      <c r="BT491" s="98"/>
      <c r="BU491" s="279"/>
      <c r="BV491" s="52"/>
      <c r="BW491" s="105"/>
      <c r="BX491" s="98"/>
      <c r="BY491" s="279"/>
      <c r="BZ491" s="52"/>
      <c r="CA491" s="105"/>
      <c r="CB491" s="98"/>
      <c r="CC491" s="279"/>
      <c r="CD491" s="52"/>
      <c r="CE491" s="105"/>
      <c r="CF491" s="98"/>
      <c r="CG491" s="279"/>
      <c r="CH491" s="52"/>
      <c r="CI491" s="105"/>
      <c r="CJ491" s="98"/>
      <c r="CK491" s="281"/>
      <c r="CL491" s="277"/>
      <c r="CM491" s="159"/>
      <c r="CN491" s="277"/>
      <c r="CO491" s="50">
        <f t="shared" si="194"/>
        <v>17</v>
      </c>
      <c r="CP491" s="103">
        <f t="shared" si="195"/>
        <v>2</v>
      </c>
      <c r="CQ491" s="280">
        <f t="shared" si="196"/>
        <v>12</v>
      </c>
      <c r="CR491" s="63">
        <f t="shared" si="197"/>
        <v>2</v>
      </c>
      <c r="CS491" s="279"/>
      <c r="CT491" s="52"/>
      <c r="CU491" s="105"/>
      <c r="CV491" s="98"/>
      <c r="CW491" s="279"/>
      <c r="CX491" s="52"/>
      <c r="CY491" s="105"/>
      <c r="CZ491" s="98"/>
      <c r="DA491" s="279"/>
      <c r="DB491" s="52"/>
      <c r="DC491" s="105"/>
      <c r="DD491" s="98"/>
      <c r="DE491" s="279"/>
      <c r="DF491" s="52"/>
      <c r="DG491" s="105"/>
      <c r="DH491" s="98"/>
      <c r="DI491" s="279"/>
      <c r="DJ491" s="52"/>
      <c r="DK491" s="105"/>
      <c r="DL491" s="98"/>
      <c r="DM491" s="279"/>
      <c r="DN491" s="52"/>
      <c r="DO491" s="105"/>
      <c r="DP491" s="98"/>
      <c r="DQ491" s="279"/>
      <c r="DR491" s="52"/>
      <c r="DS491" s="105"/>
      <c r="DT491" s="98"/>
      <c r="DU491" s="279"/>
      <c r="DV491" s="52"/>
      <c r="DW491" s="105"/>
      <c r="DX491" s="98"/>
      <c r="DY491" s="279"/>
      <c r="DZ491" s="52"/>
      <c r="EA491" s="105"/>
      <c r="EB491" s="98"/>
      <c r="EC491" s="279"/>
      <c r="ED491" s="52"/>
      <c r="EE491" s="105"/>
      <c r="EF491" s="98"/>
      <c r="EG491" s="159"/>
      <c r="EH491" s="277"/>
      <c r="EI491" s="50">
        <f t="shared" si="198"/>
        <v>0</v>
      </c>
      <c r="EJ491" s="103">
        <f t="shared" si="199"/>
        <v>0</v>
      </c>
      <c r="EK491" s="164">
        <f t="shared" si="200"/>
        <v>0</v>
      </c>
      <c r="EL491" s="280">
        <f t="shared" si="201"/>
        <v>0</v>
      </c>
      <c r="EM491" s="63">
        <f t="shared" si="202"/>
        <v>0</v>
      </c>
      <c r="EN491" s="359">
        <f t="shared" si="203"/>
        <v>0</v>
      </c>
      <c r="EO491" s="51">
        <f t="shared" si="204"/>
        <v>17</v>
      </c>
      <c r="EP491" s="361">
        <f t="shared" si="205"/>
        <v>12</v>
      </c>
      <c r="EQ491" s="281"/>
      <c r="ER491" s="277"/>
      <c r="ES491" s="281"/>
      <c r="ET491" s="277"/>
      <c r="EU491" s="281"/>
      <c r="EV491" s="277"/>
      <c r="EW491" s="281"/>
      <c r="EX491" s="277"/>
      <c r="EY491" s="281"/>
      <c r="EZ491" s="277"/>
      <c r="FA491" s="281"/>
      <c r="FB491" s="277"/>
      <c r="FC491" s="281"/>
      <c r="FD491" s="277"/>
      <c r="FE491" s="281"/>
      <c r="FF491" s="277"/>
      <c r="FG491" s="281"/>
      <c r="FH491" s="277"/>
      <c r="FI491" s="281"/>
      <c r="FJ491" s="277"/>
      <c r="FK491" s="50">
        <f t="shared" si="206"/>
        <v>0</v>
      </c>
      <c r="FL491" s="63">
        <f t="shared" si="207"/>
        <v>0</v>
      </c>
      <c r="FM491" s="50">
        <f t="shared" si="189"/>
        <v>519</v>
      </c>
      <c r="FN491" s="360">
        <f t="shared" si="190"/>
        <v>473</v>
      </c>
      <c r="FO491" s="3"/>
      <c r="FP491" s="279"/>
      <c r="FQ491" s="52"/>
      <c r="FR491" s="296"/>
      <c r="FS491" s="98"/>
      <c r="FT491" s="467"/>
      <c r="FU491" s="52"/>
      <c r="FV491" s="296"/>
      <c r="FW491" s="98"/>
      <c r="FX491" s="467"/>
      <c r="FY491" s="52"/>
      <c r="FZ491" s="296"/>
      <c r="GA491" s="98"/>
      <c r="GB491" s="467"/>
      <c r="GC491" s="52"/>
      <c r="GD491" s="296"/>
      <c r="GE491" s="98"/>
      <c r="GF491" s="467"/>
      <c r="GG491" s="52"/>
      <c r="GH491" s="296"/>
      <c r="GI491" s="98"/>
      <c r="GJ491" s="467"/>
      <c r="GK491" s="52"/>
      <c r="GL491" s="296"/>
      <c r="GM491" s="464"/>
      <c r="GN491" s="467"/>
      <c r="GO491" s="52"/>
      <c r="GP491" s="296"/>
      <c r="GQ491" s="464"/>
      <c r="GR491" s="467"/>
      <c r="GS491" s="52"/>
      <c r="GT491" s="296"/>
      <c r="GU491" s="464"/>
      <c r="GV491" s="467"/>
      <c r="GW491" s="52"/>
      <c r="GX491" s="296"/>
      <c r="GY491" s="464"/>
      <c r="GZ491" s="467"/>
      <c r="HA491" s="52"/>
      <c r="HB491" s="296"/>
      <c r="HC491" s="3"/>
    </row>
    <row r="492" spans="1:211" s="86" customFormat="1">
      <c r="A492" s="491" t="s">
        <v>35</v>
      </c>
      <c r="B492" s="326" t="s">
        <v>46</v>
      </c>
      <c r="C492" s="325">
        <v>218742</v>
      </c>
      <c r="D492" s="349">
        <v>6</v>
      </c>
      <c r="E492" s="460"/>
      <c r="F492" s="535">
        <v>0</v>
      </c>
      <c r="G492" s="460"/>
      <c r="H492" s="277"/>
      <c r="I492" s="158"/>
      <c r="J492" s="535"/>
      <c r="K492" s="160">
        <f t="shared" si="191"/>
        <v>0</v>
      </c>
      <c r="L492" s="161">
        <f t="shared" si="184"/>
        <v>0</v>
      </c>
      <c r="M492" s="54">
        <v>927</v>
      </c>
      <c r="N492" s="55">
        <v>149</v>
      </c>
      <c r="O492" s="55"/>
      <c r="P492" s="55"/>
      <c r="Q492" s="162">
        <f t="shared" si="192"/>
        <v>149</v>
      </c>
      <c r="R492" s="535">
        <v>997</v>
      </c>
      <c r="S492" s="277">
        <v>164</v>
      </c>
      <c r="T492" s="277"/>
      <c r="U492" s="277"/>
      <c r="V492" s="97">
        <f t="shared" si="193"/>
        <v>164</v>
      </c>
      <c r="W492" s="279"/>
      <c r="X492" s="52"/>
      <c r="Y492" s="99"/>
      <c r="Z492" s="53"/>
      <c r="AA492" s="228"/>
      <c r="AB492" s="52"/>
      <c r="AC492" s="99"/>
      <c r="AD492" s="53"/>
      <c r="AE492" s="228"/>
      <c r="AF492" s="52"/>
      <c r="AG492" s="99"/>
      <c r="AH492" s="53"/>
      <c r="AI492" s="228"/>
      <c r="AJ492" s="52"/>
      <c r="AK492" s="99"/>
      <c r="AL492" s="53"/>
      <c r="AM492" s="228"/>
      <c r="AN492" s="52"/>
      <c r="AO492" s="99"/>
      <c r="AP492" s="53"/>
      <c r="AQ492" s="50">
        <f t="shared" si="185"/>
        <v>0</v>
      </c>
      <c r="AR492" s="163">
        <f t="shared" si="186"/>
        <v>0.98722044728434499</v>
      </c>
      <c r="AS492" s="97">
        <f t="shared" si="187"/>
        <v>0</v>
      </c>
      <c r="AT492" s="278">
        <f t="shared" si="188"/>
        <v>0.98420533070088845</v>
      </c>
      <c r="AU492" s="55"/>
      <c r="AV492" s="277">
        <v>2</v>
      </c>
      <c r="AW492" s="279">
        <v>13</v>
      </c>
      <c r="AX492" s="52">
        <v>12</v>
      </c>
      <c r="AY492" s="105">
        <v>13</v>
      </c>
      <c r="AZ492" s="98">
        <v>14</v>
      </c>
      <c r="BA492" s="279"/>
      <c r="BB492" s="52"/>
      <c r="BC492" s="105"/>
      <c r="BD492" s="98"/>
      <c r="BE492" s="279"/>
      <c r="BF492" s="52"/>
      <c r="BG492" s="105"/>
      <c r="BH492" s="98"/>
      <c r="BI492" s="279"/>
      <c r="BJ492" s="52"/>
      <c r="BK492" s="105"/>
      <c r="BL492" s="98"/>
      <c r="BM492" s="279"/>
      <c r="BN492" s="52"/>
      <c r="BO492" s="105"/>
      <c r="BP492" s="98"/>
      <c r="BQ492" s="279"/>
      <c r="BR492" s="52"/>
      <c r="BS492" s="105"/>
      <c r="BT492" s="98"/>
      <c r="BU492" s="279"/>
      <c r="BV492" s="52"/>
      <c r="BW492" s="105"/>
      <c r="BX492" s="98"/>
      <c r="BY492" s="279"/>
      <c r="BZ492" s="52"/>
      <c r="CA492" s="105"/>
      <c r="CB492" s="98"/>
      <c r="CC492" s="279"/>
      <c r="CD492" s="52"/>
      <c r="CE492" s="105"/>
      <c r="CF492" s="98"/>
      <c r="CG492" s="279"/>
      <c r="CH492" s="52"/>
      <c r="CI492" s="105"/>
      <c r="CJ492" s="98"/>
      <c r="CK492" s="281"/>
      <c r="CL492" s="277"/>
      <c r="CM492" s="159"/>
      <c r="CN492" s="277"/>
      <c r="CO492" s="50">
        <f t="shared" si="194"/>
        <v>12</v>
      </c>
      <c r="CP492" s="103">
        <f t="shared" si="195"/>
        <v>1</v>
      </c>
      <c r="CQ492" s="280">
        <f t="shared" si="196"/>
        <v>14</v>
      </c>
      <c r="CR492" s="63">
        <f t="shared" si="197"/>
        <v>1</v>
      </c>
      <c r="CS492" s="279"/>
      <c r="CT492" s="52"/>
      <c r="CU492" s="105"/>
      <c r="CV492" s="98"/>
      <c r="CW492" s="279"/>
      <c r="CX492" s="52"/>
      <c r="CY492" s="105"/>
      <c r="CZ492" s="98"/>
      <c r="DA492" s="279"/>
      <c r="DB492" s="52"/>
      <c r="DC492" s="105"/>
      <c r="DD492" s="98"/>
      <c r="DE492" s="279"/>
      <c r="DF492" s="52"/>
      <c r="DG492" s="105"/>
      <c r="DH492" s="98"/>
      <c r="DI492" s="279"/>
      <c r="DJ492" s="52"/>
      <c r="DK492" s="105"/>
      <c r="DL492" s="98"/>
      <c r="DM492" s="279"/>
      <c r="DN492" s="52"/>
      <c r="DO492" s="105"/>
      <c r="DP492" s="98"/>
      <c r="DQ492" s="279"/>
      <c r="DR492" s="52"/>
      <c r="DS492" s="105"/>
      <c r="DT492" s="98"/>
      <c r="DU492" s="279"/>
      <c r="DV492" s="52"/>
      <c r="DW492" s="105"/>
      <c r="DX492" s="98"/>
      <c r="DY492" s="279"/>
      <c r="DZ492" s="52"/>
      <c r="EA492" s="105"/>
      <c r="EB492" s="98"/>
      <c r="EC492" s="279"/>
      <c r="ED492" s="52"/>
      <c r="EE492" s="105"/>
      <c r="EF492" s="98"/>
      <c r="EG492" s="159"/>
      <c r="EH492" s="277"/>
      <c r="EI492" s="50">
        <f t="shared" si="198"/>
        <v>0</v>
      </c>
      <c r="EJ492" s="103">
        <f t="shared" si="199"/>
        <v>0</v>
      </c>
      <c r="EK492" s="164">
        <f t="shared" si="200"/>
        <v>0</v>
      </c>
      <c r="EL492" s="280">
        <f t="shared" si="201"/>
        <v>0</v>
      </c>
      <c r="EM492" s="63">
        <f t="shared" si="202"/>
        <v>0</v>
      </c>
      <c r="EN492" s="359">
        <f t="shared" si="203"/>
        <v>0</v>
      </c>
      <c r="EO492" s="51">
        <f t="shared" si="204"/>
        <v>12</v>
      </c>
      <c r="EP492" s="361">
        <f t="shared" si="205"/>
        <v>14</v>
      </c>
      <c r="EQ492" s="281"/>
      <c r="ER492" s="277"/>
      <c r="ES492" s="281"/>
      <c r="ET492" s="277"/>
      <c r="EU492" s="281"/>
      <c r="EV492" s="277"/>
      <c r="EW492" s="281"/>
      <c r="EX492" s="277"/>
      <c r="EY492" s="281"/>
      <c r="EZ492" s="277"/>
      <c r="FA492" s="281"/>
      <c r="FB492" s="277"/>
      <c r="FC492" s="281"/>
      <c r="FD492" s="277"/>
      <c r="FE492" s="281"/>
      <c r="FF492" s="277"/>
      <c r="FG492" s="281"/>
      <c r="FH492" s="277"/>
      <c r="FI492" s="281"/>
      <c r="FJ492" s="277"/>
      <c r="FK492" s="50">
        <f t="shared" si="206"/>
        <v>0</v>
      </c>
      <c r="FL492" s="63">
        <f t="shared" si="207"/>
        <v>0</v>
      </c>
      <c r="FM492" s="50">
        <f t="shared" si="189"/>
        <v>939</v>
      </c>
      <c r="FN492" s="360">
        <f t="shared" si="190"/>
        <v>1013</v>
      </c>
      <c r="FO492" s="3"/>
      <c r="FP492" s="279"/>
      <c r="FQ492" s="52"/>
      <c r="FR492" s="296"/>
      <c r="FS492" s="98"/>
      <c r="FT492" s="467"/>
      <c r="FU492" s="52"/>
      <c r="FV492" s="296"/>
      <c r="FW492" s="98"/>
      <c r="FX492" s="467"/>
      <c r="FY492" s="52"/>
      <c r="FZ492" s="296"/>
      <c r="GA492" s="98"/>
      <c r="GB492" s="467"/>
      <c r="GC492" s="52"/>
      <c r="GD492" s="296"/>
      <c r="GE492" s="98"/>
      <c r="GF492" s="467"/>
      <c r="GG492" s="52"/>
      <c r="GH492" s="296"/>
      <c r="GI492" s="98"/>
      <c r="GJ492" s="467"/>
      <c r="GK492" s="52"/>
      <c r="GL492" s="296"/>
      <c r="GM492" s="464"/>
      <c r="GN492" s="467"/>
      <c r="GO492" s="52"/>
      <c r="GP492" s="296"/>
      <c r="GQ492" s="464"/>
      <c r="GR492" s="467"/>
      <c r="GS492" s="52"/>
      <c r="GT492" s="296"/>
      <c r="GU492" s="464"/>
      <c r="GV492" s="467"/>
      <c r="GW492" s="52"/>
      <c r="GX492" s="296"/>
      <c r="GY492" s="464"/>
      <c r="GZ492" s="467"/>
      <c r="HA492" s="52"/>
      <c r="HB492" s="296"/>
      <c r="HC492" s="3"/>
    </row>
    <row r="493" spans="1:211" s="86" customFormat="1">
      <c r="A493" s="491" t="s">
        <v>35</v>
      </c>
      <c r="B493" s="541" t="s">
        <v>47</v>
      </c>
      <c r="C493" s="496">
        <v>218654</v>
      </c>
      <c r="D493" s="497">
        <v>6</v>
      </c>
      <c r="E493" s="460"/>
      <c r="F493" s="535">
        <v>0</v>
      </c>
      <c r="G493" s="460"/>
      <c r="H493" s="277"/>
      <c r="I493" s="158">
        <v>24</v>
      </c>
      <c r="J493" s="535">
        <v>5</v>
      </c>
      <c r="K493" s="160">
        <f t="shared" si="191"/>
        <v>0.17391304347826086</v>
      </c>
      <c r="L493" s="161">
        <f t="shared" si="184"/>
        <v>4.3103448275862072E-2</v>
      </c>
      <c r="M493" s="54">
        <v>138</v>
      </c>
      <c r="N493" s="55">
        <v>14</v>
      </c>
      <c r="O493" s="55"/>
      <c r="P493" s="55"/>
      <c r="Q493" s="162">
        <f t="shared" si="192"/>
        <v>14</v>
      </c>
      <c r="R493" s="535">
        <v>116</v>
      </c>
      <c r="S493" s="277">
        <v>10</v>
      </c>
      <c r="T493" s="277"/>
      <c r="U493" s="277"/>
      <c r="V493" s="97">
        <f t="shared" si="193"/>
        <v>10</v>
      </c>
      <c r="W493" s="279">
        <v>52</v>
      </c>
      <c r="X493" s="52">
        <v>52</v>
      </c>
      <c r="Y493" s="542">
        <v>52</v>
      </c>
      <c r="Z493" s="474">
        <v>51</v>
      </c>
      <c r="AA493" s="228">
        <v>45</v>
      </c>
      <c r="AB493" s="52">
        <v>23</v>
      </c>
      <c r="AC493" s="542">
        <v>45</v>
      </c>
      <c r="AD493" s="474">
        <v>19</v>
      </c>
      <c r="AE493" s="228">
        <v>42</v>
      </c>
      <c r="AF493" s="52">
        <v>16</v>
      </c>
      <c r="AG493" s="542">
        <v>42</v>
      </c>
      <c r="AH493" s="474">
        <v>16</v>
      </c>
      <c r="AI493" s="228">
        <v>13</v>
      </c>
      <c r="AJ493" s="52">
        <v>14</v>
      </c>
      <c r="AK493" s="542">
        <v>13</v>
      </c>
      <c r="AL493" s="474">
        <v>10</v>
      </c>
      <c r="AM493" s="228">
        <v>23</v>
      </c>
      <c r="AN493" s="52">
        <v>12</v>
      </c>
      <c r="AO493" s="542">
        <v>23</v>
      </c>
      <c r="AP493" s="474">
        <v>6</v>
      </c>
      <c r="AQ493" s="50">
        <f t="shared" si="185"/>
        <v>5</v>
      </c>
      <c r="AR493" s="163">
        <f t="shared" si="186"/>
        <v>0.85185185185185186</v>
      </c>
      <c r="AS493" s="97">
        <f t="shared" si="187"/>
        <v>5</v>
      </c>
      <c r="AT493" s="278">
        <f t="shared" si="188"/>
        <v>0.95867768595041325</v>
      </c>
      <c r="AU493" s="55"/>
      <c r="AV493" s="277"/>
      <c r="AW493" s="279"/>
      <c r="AX493" s="52"/>
      <c r="AY493" s="105"/>
      <c r="AZ493" s="98"/>
      <c r="BA493" s="279"/>
      <c r="BB493" s="52"/>
      <c r="BC493" s="105"/>
      <c r="BD493" s="98"/>
      <c r="BE493" s="279"/>
      <c r="BF493" s="52"/>
      <c r="BG493" s="105"/>
      <c r="BH493" s="98"/>
      <c r="BI493" s="279"/>
      <c r="BJ493" s="52"/>
      <c r="BK493" s="105"/>
      <c r="BL493" s="98"/>
      <c r="BM493" s="279"/>
      <c r="BN493" s="52"/>
      <c r="BO493" s="105"/>
      <c r="BP493" s="98"/>
      <c r="BQ493" s="279"/>
      <c r="BR493" s="52"/>
      <c r="BS493" s="105"/>
      <c r="BT493" s="98"/>
      <c r="BU493" s="279"/>
      <c r="BV493" s="52"/>
      <c r="BW493" s="105"/>
      <c r="BX493" s="98"/>
      <c r="BY493" s="279"/>
      <c r="BZ493" s="52"/>
      <c r="CA493" s="105"/>
      <c r="CB493" s="98"/>
      <c r="CC493" s="279"/>
      <c r="CD493" s="52"/>
      <c r="CE493" s="105"/>
      <c r="CF493" s="98"/>
      <c r="CG493" s="279"/>
      <c r="CH493" s="52"/>
      <c r="CI493" s="105"/>
      <c r="CJ493" s="98"/>
      <c r="CK493" s="281"/>
      <c r="CL493" s="277"/>
      <c r="CM493" s="159"/>
      <c r="CN493" s="277"/>
      <c r="CO493" s="50">
        <f t="shared" si="194"/>
        <v>0</v>
      </c>
      <c r="CP493" s="103">
        <f t="shared" si="195"/>
        <v>0</v>
      </c>
      <c r="CQ493" s="280">
        <f t="shared" si="196"/>
        <v>0</v>
      </c>
      <c r="CR493" s="63">
        <f t="shared" si="197"/>
        <v>0</v>
      </c>
      <c r="CS493" s="279"/>
      <c r="CT493" s="52"/>
      <c r="CU493" s="105"/>
      <c r="CV493" s="98"/>
      <c r="CW493" s="279"/>
      <c r="CX493" s="52"/>
      <c r="CY493" s="105"/>
      <c r="CZ493" s="98"/>
      <c r="DA493" s="279"/>
      <c r="DB493" s="52"/>
      <c r="DC493" s="105"/>
      <c r="DD493" s="98"/>
      <c r="DE493" s="279"/>
      <c r="DF493" s="52"/>
      <c r="DG493" s="105"/>
      <c r="DH493" s="98"/>
      <c r="DI493" s="279"/>
      <c r="DJ493" s="52"/>
      <c r="DK493" s="105"/>
      <c r="DL493" s="98"/>
      <c r="DM493" s="279"/>
      <c r="DN493" s="52"/>
      <c r="DO493" s="105"/>
      <c r="DP493" s="98"/>
      <c r="DQ493" s="279"/>
      <c r="DR493" s="52"/>
      <c r="DS493" s="105"/>
      <c r="DT493" s="98"/>
      <c r="DU493" s="279"/>
      <c r="DV493" s="52"/>
      <c r="DW493" s="105"/>
      <c r="DX493" s="98"/>
      <c r="DY493" s="279"/>
      <c r="DZ493" s="52"/>
      <c r="EA493" s="105"/>
      <c r="EB493" s="98"/>
      <c r="EC493" s="279"/>
      <c r="ED493" s="52"/>
      <c r="EE493" s="105"/>
      <c r="EF493" s="98"/>
      <c r="EG493" s="159"/>
      <c r="EH493" s="277"/>
      <c r="EI493" s="50">
        <f t="shared" si="198"/>
        <v>0</v>
      </c>
      <c r="EJ493" s="103">
        <f t="shared" si="199"/>
        <v>0</v>
      </c>
      <c r="EK493" s="164">
        <f t="shared" si="200"/>
        <v>0</v>
      </c>
      <c r="EL493" s="280">
        <f t="shared" si="201"/>
        <v>0</v>
      </c>
      <c r="EM493" s="63">
        <f t="shared" si="202"/>
        <v>0</v>
      </c>
      <c r="EN493" s="359">
        <f t="shared" si="203"/>
        <v>0</v>
      </c>
      <c r="EO493" s="51">
        <f t="shared" si="204"/>
        <v>0</v>
      </c>
      <c r="EP493" s="361">
        <f t="shared" si="205"/>
        <v>0</v>
      </c>
      <c r="EQ493" s="281"/>
      <c r="ER493" s="277"/>
      <c r="ES493" s="281"/>
      <c r="ET493" s="277"/>
      <c r="EU493" s="281"/>
      <c r="EV493" s="277"/>
      <c r="EW493" s="281"/>
      <c r="EX493" s="277"/>
      <c r="EY493" s="281"/>
      <c r="EZ493" s="277"/>
      <c r="FA493" s="281"/>
      <c r="FB493" s="277"/>
      <c r="FC493" s="281"/>
      <c r="FD493" s="277"/>
      <c r="FE493" s="281"/>
      <c r="FF493" s="277"/>
      <c r="FG493" s="281"/>
      <c r="FH493" s="277"/>
      <c r="FI493" s="281"/>
      <c r="FJ493" s="277"/>
      <c r="FK493" s="50">
        <f t="shared" si="206"/>
        <v>0</v>
      </c>
      <c r="FL493" s="63">
        <f t="shared" si="207"/>
        <v>0</v>
      </c>
      <c r="FM493" s="50">
        <f t="shared" si="189"/>
        <v>162</v>
      </c>
      <c r="FN493" s="360">
        <f t="shared" si="190"/>
        <v>121</v>
      </c>
      <c r="FO493" s="3"/>
      <c r="FP493" s="279"/>
      <c r="FQ493" s="52"/>
      <c r="FR493" s="296"/>
      <c r="FS493" s="98"/>
      <c r="FT493" s="467"/>
      <c r="FU493" s="52"/>
      <c r="FV493" s="296"/>
      <c r="FW493" s="98"/>
      <c r="FX493" s="467"/>
      <c r="FY493" s="52"/>
      <c r="FZ493" s="296"/>
      <c r="GA493" s="98"/>
      <c r="GB493" s="467"/>
      <c r="GC493" s="52"/>
      <c r="GD493" s="296"/>
      <c r="GE493" s="98"/>
      <c r="GF493" s="467"/>
      <c r="GG493" s="52"/>
      <c r="GH493" s="296"/>
      <c r="GI493" s="98"/>
      <c r="GJ493" s="467"/>
      <c r="GK493" s="52"/>
      <c r="GL493" s="296"/>
      <c r="GM493" s="464"/>
      <c r="GN493" s="467"/>
      <c r="GO493" s="52"/>
      <c r="GP493" s="296"/>
      <c r="GQ493" s="464"/>
      <c r="GR493" s="467"/>
      <c r="GS493" s="52"/>
      <c r="GT493" s="296"/>
      <c r="GU493" s="464"/>
      <c r="GV493" s="467"/>
      <c r="GW493" s="52"/>
      <c r="GX493" s="296"/>
      <c r="GY493" s="464"/>
      <c r="GZ493" s="467"/>
      <c r="HA493" s="52"/>
      <c r="HB493" s="296"/>
      <c r="HC493" s="3"/>
    </row>
    <row r="494" spans="1:211" s="86" customFormat="1">
      <c r="A494" s="491" t="s">
        <v>35</v>
      </c>
      <c r="B494" s="326" t="s">
        <v>48</v>
      </c>
      <c r="C494" s="325">
        <v>218113</v>
      </c>
      <c r="D494" s="349">
        <v>8</v>
      </c>
      <c r="E494" s="460">
        <v>1694</v>
      </c>
      <c r="F494" s="535">
        <v>1492</v>
      </c>
      <c r="G494" s="460"/>
      <c r="H494" s="277"/>
      <c r="I494" s="158">
        <v>1034</v>
      </c>
      <c r="J494" s="535">
        <v>965</v>
      </c>
      <c r="K494" s="160">
        <f t="shared" si="191"/>
        <v>0</v>
      </c>
      <c r="L494" s="161">
        <f t="shared" si="184"/>
        <v>0</v>
      </c>
      <c r="M494" s="54"/>
      <c r="N494" s="55"/>
      <c r="O494" s="55"/>
      <c r="P494" s="55"/>
      <c r="Q494" s="162">
        <f t="shared" si="192"/>
        <v>0</v>
      </c>
      <c r="R494" s="535"/>
      <c r="S494" s="277"/>
      <c r="T494" s="277"/>
      <c r="U494" s="277"/>
      <c r="V494" s="97">
        <f t="shared" si="193"/>
        <v>0</v>
      </c>
      <c r="W494" s="279"/>
      <c r="X494" s="52"/>
      <c r="Y494" s="99"/>
      <c r="Z494" s="53"/>
      <c r="AA494" s="228"/>
      <c r="AB494" s="52"/>
      <c r="AC494" s="99"/>
      <c r="AD494" s="53"/>
      <c r="AE494" s="228"/>
      <c r="AF494" s="52"/>
      <c r="AG494" s="99"/>
      <c r="AH494" s="53"/>
      <c r="AI494" s="228"/>
      <c r="AJ494" s="52"/>
      <c r="AK494" s="99"/>
      <c r="AL494" s="53"/>
      <c r="AM494" s="228"/>
      <c r="AN494" s="52"/>
      <c r="AO494" s="99"/>
      <c r="AP494" s="53"/>
      <c r="AQ494" s="50">
        <f t="shared" si="185"/>
        <v>0</v>
      </c>
      <c r="AR494" s="163">
        <f t="shared" si="186"/>
        <v>0</v>
      </c>
      <c r="AS494" s="97">
        <f t="shared" si="187"/>
        <v>0</v>
      </c>
      <c r="AT494" s="278">
        <f t="shared" si="188"/>
        <v>0</v>
      </c>
      <c r="AU494" s="55"/>
      <c r="AV494" s="277"/>
      <c r="AW494" s="279"/>
      <c r="AX494" s="52"/>
      <c r="AY494" s="105"/>
      <c r="AZ494" s="98"/>
      <c r="BA494" s="279"/>
      <c r="BB494" s="52"/>
      <c r="BC494" s="105"/>
      <c r="BD494" s="98"/>
      <c r="BE494" s="279"/>
      <c r="BF494" s="52"/>
      <c r="BG494" s="105"/>
      <c r="BH494" s="98"/>
      <c r="BI494" s="279"/>
      <c r="BJ494" s="52"/>
      <c r="BK494" s="105"/>
      <c r="BL494" s="98"/>
      <c r="BM494" s="279"/>
      <c r="BN494" s="52"/>
      <c r="BO494" s="105"/>
      <c r="BP494" s="98"/>
      <c r="BQ494" s="279"/>
      <c r="BR494" s="52"/>
      <c r="BS494" s="105"/>
      <c r="BT494" s="98"/>
      <c r="BU494" s="279"/>
      <c r="BV494" s="52"/>
      <c r="BW494" s="105"/>
      <c r="BX494" s="98"/>
      <c r="BY494" s="279"/>
      <c r="BZ494" s="52"/>
      <c r="CA494" s="105"/>
      <c r="CB494" s="98"/>
      <c r="CC494" s="279"/>
      <c r="CD494" s="52"/>
      <c r="CE494" s="105"/>
      <c r="CF494" s="98"/>
      <c r="CG494" s="279"/>
      <c r="CH494" s="52"/>
      <c r="CI494" s="105"/>
      <c r="CJ494" s="98"/>
      <c r="CK494" s="281"/>
      <c r="CL494" s="277"/>
      <c r="CM494" s="159"/>
      <c r="CN494" s="277"/>
      <c r="CO494" s="50">
        <f t="shared" si="194"/>
        <v>0</v>
      </c>
      <c r="CP494" s="103">
        <f t="shared" si="195"/>
        <v>0</v>
      </c>
      <c r="CQ494" s="280">
        <f t="shared" si="196"/>
        <v>0</v>
      </c>
      <c r="CR494" s="63">
        <f t="shared" si="197"/>
        <v>0</v>
      </c>
      <c r="CS494" s="279"/>
      <c r="CT494" s="52"/>
      <c r="CU494" s="105"/>
      <c r="CV494" s="98"/>
      <c r="CW494" s="279"/>
      <c r="CX494" s="52"/>
      <c r="CY494" s="105"/>
      <c r="CZ494" s="98"/>
      <c r="DA494" s="279"/>
      <c r="DB494" s="52"/>
      <c r="DC494" s="105"/>
      <c r="DD494" s="98"/>
      <c r="DE494" s="279"/>
      <c r="DF494" s="52"/>
      <c r="DG494" s="105"/>
      <c r="DH494" s="98"/>
      <c r="DI494" s="279"/>
      <c r="DJ494" s="52"/>
      <c r="DK494" s="105"/>
      <c r="DL494" s="98"/>
      <c r="DM494" s="279"/>
      <c r="DN494" s="52"/>
      <c r="DO494" s="105"/>
      <c r="DP494" s="98"/>
      <c r="DQ494" s="279"/>
      <c r="DR494" s="52"/>
      <c r="DS494" s="105"/>
      <c r="DT494" s="98"/>
      <c r="DU494" s="279"/>
      <c r="DV494" s="52"/>
      <c r="DW494" s="105"/>
      <c r="DX494" s="98"/>
      <c r="DY494" s="279"/>
      <c r="DZ494" s="52"/>
      <c r="EA494" s="105"/>
      <c r="EB494" s="98"/>
      <c r="EC494" s="279"/>
      <c r="ED494" s="52"/>
      <c r="EE494" s="105"/>
      <c r="EF494" s="98"/>
      <c r="EG494" s="159"/>
      <c r="EH494" s="277"/>
      <c r="EI494" s="50">
        <f t="shared" si="198"/>
        <v>0</v>
      </c>
      <c r="EJ494" s="103">
        <f t="shared" si="199"/>
        <v>0</v>
      </c>
      <c r="EK494" s="164">
        <f t="shared" si="200"/>
        <v>0</v>
      </c>
      <c r="EL494" s="280">
        <f t="shared" si="201"/>
        <v>0</v>
      </c>
      <c r="EM494" s="63">
        <f t="shared" si="202"/>
        <v>0</v>
      </c>
      <c r="EN494" s="359">
        <f t="shared" si="203"/>
        <v>0</v>
      </c>
      <c r="EO494" s="51">
        <f t="shared" si="204"/>
        <v>0</v>
      </c>
      <c r="EP494" s="361">
        <f t="shared" si="205"/>
        <v>0</v>
      </c>
      <c r="EQ494" s="281"/>
      <c r="ER494" s="277"/>
      <c r="ES494" s="281"/>
      <c r="ET494" s="277"/>
      <c r="EU494" s="281"/>
      <c r="EV494" s="277"/>
      <c r="EW494" s="281"/>
      <c r="EX494" s="277"/>
      <c r="EY494" s="281"/>
      <c r="EZ494" s="277"/>
      <c r="FA494" s="281"/>
      <c r="FB494" s="277"/>
      <c r="FC494" s="281"/>
      <c r="FD494" s="277"/>
      <c r="FE494" s="281"/>
      <c r="FF494" s="277"/>
      <c r="FG494" s="281"/>
      <c r="FH494" s="277"/>
      <c r="FI494" s="281"/>
      <c r="FJ494" s="277"/>
      <c r="FK494" s="50">
        <f t="shared" si="206"/>
        <v>0</v>
      </c>
      <c r="FL494" s="63">
        <f t="shared" si="207"/>
        <v>0</v>
      </c>
      <c r="FM494" s="50">
        <f t="shared" si="189"/>
        <v>2728</v>
      </c>
      <c r="FN494" s="360">
        <f t="shared" si="190"/>
        <v>2457</v>
      </c>
      <c r="FO494" s="3"/>
      <c r="FP494" s="279"/>
      <c r="FQ494" s="52"/>
      <c r="FR494" s="296"/>
      <c r="FS494" s="98"/>
      <c r="FT494" s="467"/>
      <c r="FU494" s="52"/>
      <c r="FV494" s="296"/>
      <c r="FW494" s="98"/>
      <c r="FX494" s="467"/>
      <c r="FY494" s="52"/>
      <c r="FZ494" s="296"/>
      <c r="GA494" s="98"/>
      <c r="GB494" s="467"/>
      <c r="GC494" s="52"/>
      <c r="GD494" s="296"/>
      <c r="GE494" s="98"/>
      <c r="GF494" s="467"/>
      <c r="GG494" s="52"/>
      <c r="GH494" s="296"/>
      <c r="GI494" s="98"/>
      <c r="GJ494" s="467"/>
      <c r="GK494" s="52"/>
      <c r="GL494" s="296"/>
      <c r="GM494" s="464"/>
      <c r="GN494" s="467"/>
      <c r="GO494" s="52"/>
      <c r="GP494" s="296"/>
      <c r="GQ494" s="464"/>
      <c r="GR494" s="467"/>
      <c r="GS494" s="52"/>
      <c r="GT494" s="296"/>
      <c r="GU494" s="464"/>
      <c r="GV494" s="467"/>
      <c r="GW494" s="52"/>
      <c r="GX494" s="296"/>
      <c r="GY494" s="464"/>
      <c r="GZ494" s="467"/>
      <c r="HA494" s="52"/>
      <c r="HB494" s="296"/>
      <c r="HC494" s="3"/>
    </row>
    <row r="495" spans="1:211" s="86" customFormat="1">
      <c r="A495" s="491" t="s">
        <v>35</v>
      </c>
      <c r="B495" s="326" t="s">
        <v>49</v>
      </c>
      <c r="C495" s="325">
        <v>218353</v>
      </c>
      <c r="D495" s="349">
        <v>8</v>
      </c>
      <c r="E495" s="460">
        <v>799</v>
      </c>
      <c r="F495" s="535">
        <v>850</v>
      </c>
      <c r="G495" s="460"/>
      <c r="H495" s="277"/>
      <c r="I495" s="158">
        <v>905</v>
      </c>
      <c r="J495" s="535">
        <v>922</v>
      </c>
      <c r="K495" s="160">
        <f t="shared" si="191"/>
        <v>0</v>
      </c>
      <c r="L495" s="161">
        <f t="shared" si="184"/>
        <v>0</v>
      </c>
      <c r="M495" s="54"/>
      <c r="N495" s="55"/>
      <c r="O495" s="55"/>
      <c r="P495" s="55"/>
      <c r="Q495" s="162">
        <f t="shared" si="192"/>
        <v>0</v>
      </c>
      <c r="R495" s="535"/>
      <c r="S495" s="277"/>
      <c r="T495" s="277"/>
      <c r="U495" s="277"/>
      <c r="V495" s="97">
        <f t="shared" si="193"/>
        <v>0</v>
      </c>
      <c r="W495" s="279"/>
      <c r="X495" s="52"/>
      <c r="Y495" s="99"/>
      <c r="Z495" s="53"/>
      <c r="AA495" s="228"/>
      <c r="AB495" s="52"/>
      <c r="AC495" s="99"/>
      <c r="AD495" s="53"/>
      <c r="AE495" s="228"/>
      <c r="AF495" s="52"/>
      <c r="AG495" s="99"/>
      <c r="AH495" s="53"/>
      <c r="AI495" s="228"/>
      <c r="AJ495" s="52"/>
      <c r="AK495" s="99"/>
      <c r="AL495" s="53"/>
      <c r="AM495" s="228"/>
      <c r="AN495" s="52"/>
      <c r="AO495" s="99"/>
      <c r="AP495" s="53"/>
      <c r="AQ495" s="50">
        <f t="shared" si="185"/>
        <v>0</v>
      </c>
      <c r="AR495" s="163">
        <f t="shared" si="186"/>
        <v>0</v>
      </c>
      <c r="AS495" s="97">
        <f t="shared" si="187"/>
        <v>0</v>
      </c>
      <c r="AT495" s="278">
        <f t="shared" si="188"/>
        <v>0</v>
      </c>
      <c r="AU495" s="55"/>
      <c r="AV495" s="277"/>
      <c r="AW495" s="279"/>
      <c r="AX495" s="52"/>
      <c r="AY495" s="105"/>
      <c r="AZ495" s="98"/>
      <c r="BA495" s="279"/>
      <c r="BB495" s="52"/>
      <c r="BC495" s="105"/>
      <c r="BD495" s="98"/>
      <c r="BE495" s="279"/>
      <c r="BF495" s="52"/>
      <c r="BG495" s="105"/>
      <c r="BH495" s="98"/>
      <c r="BI495" s="279"/>
      <c r="BJ495" s="52"/>
      <c r="BK495" s="105"/>
      <c r="BL495" s="98"/>
      <c r="BM495" s="279"/>
      <c r="BN495" s="52"/>
      <c r="BO495" s="105"/>
      <c r="BP495" s="98"/>
      <c r="BQ495" s="279"/>
      <c r="BR495" s="52"/>
      <c r="BS495" s="105"/>
      <c r="BT495" s="98"/>
      <c r="BU495" s="279"/>
      <c r="BV495" s="52"/>
      <c r="BW495" s="105"/>
      <c r="BX495" s="98"/>
      <c r="BY495" s="279"/>
      <c r="BZ495" s="52"/>
      <c r="CA495" s="105"/>
      <c r="CB495" s="98"/>
      <c r="CC495" s="279"/>
      <c r="CD495" s="52"/>
      <c r="CE495" s="105"/>
      <c r="CF495" s="98"/>
      <c r="CG495" s="279"/>
      <c r="CH495" s="52"/>
      <c r="CI495" s="105"/>
      <c r="CJ495" s="98"/>
      <c r="CK495" s="281"/>
      <c r="CL495" s="277"/>
      <c r="CM495" s="159"/>
      <c r="CN495" s="277"/>
      <c r="CO495" s="50">
        <f t="shared" si="194"/>
        <v>0</v>
      </c>
      <c r="CP495" s="103">
        <f t="shared" si="195"/>
        <v>0</v>
      </c>
      <c r="CQ495" s="280">
        <f t="shared" si="196"/>
        <v>0</v>
      </c>
      <c r="CR495" s="63">
        <f t="shared" si="197"/>
        <v>0</v>
      </c>
      <c r="CS495" s="279"/>
      <c r="CT495" s="52"/>
      <c r="CU495" s="105"/>
      <c r="CV495" s="98"/>
      <c r="CW495" s="279"/>
      <c r="CX495" s="52"/>
      <c r="CY495" s="105"/>
      <c r="CZ495" s="98"/>
      <c r="DA495" s="279"/>
      <c r="DB495" s="52"/>
      <c r="DC495" s="105"/>
      <c r="DD495" s="98"/>
      <c r="DE495" s="279"/>
      <c r="DF495" s="52"/>
      <c r="DG495" s="105"/>
      <c r="DH495" s="98"/>
      <c r="DI495" s="279"/>
      <c r="DJ495" s="52"/>
      <c r="DK495" s="105"/>
      <c r="DL495" s="98"/>
      <c r="DM495" s="279"/>
      <c r="DN495" s="52"/>
      <c r="DO495" s="105"/>
      <c r="DP495" s="98"/>
      <c r="DQ495" s="279"/>
      <c r="DR495" s="52"/>
      <c r="DS495" s="105"/>
      <c r="DT495" s="98"/>
      <c r="DU495" s="279"/>
      <c r="DV495" s="52"/>
      <c r="DW495" s="105"/>
      <c r="DX495" s="98"/>
      <c r="DY495" s="279"/>
      <c r="DZ495" s="52"/>
      <c r="EA495" s="105"/>
      <c r="EB495" s="98"/>
      <c r="EC495" s="279"/>
      <c r="ED495" s="52"/>
      <c r="EE495" s="105"/>
      <c r="EF495" s="98"/>
      <c r="EG495" s="159"/>
      <c r="EH495" s="277"/>
      <c r="EI495" s="50">
        <f t="shared" si="198"/>
        <v>0</v>
      </c>
      <c r="EJ495" s="103">
        <f t="shared" si="199"/>
        <v>0</v>
      </c>
      <c r="EK495" s="164">
        <f t="shared" si="200"/>
        <v>0</v>
      </c>
      <c r="EL495" s="280">
        <f t="shared" si="201"/>
        <v>0</v>
      </c>
      <c r="EM495" s="63">
        <f t="shared" si="202"/>
        <v>0</v>
      </c>
      <c r="EN495" s="359">
        <f t="shared" si="203"/>
        <v>0</v>
      </c>
      <c r="EO495" s="51">
        <f t="shared" si="204"/>
        <v>0</v>
      </c>
      <c r="EP495" s="361">
        <f t="shared" si="205"/>
        <v>0</v>
      </c>
      <c r="EQ495" s="281"/>
      <c r="ER495" s="277"/>
      <c r="ES495" s="281"/>
      <c r="ET495" s="277"/>
      <c r="EU495" s="281"/>
      <c r="EV495" s="277"/>
      <c r="EW495" s="281"/>
      <c r="EX495" s="277"/>
      <c r="EY495" s="281"/>
      <c r="EZ495" s="277"/>
      <c r="FA495" s="281"/>
      <c r="FB495" s="277"/>
      <c r="FC495" s="281"/>
      <c r="FD495" s="277"/>
      <c r="FE495" s="281"/>
      <c r="FF495" s="277"/>
      <c r="FG495" s="281"/>
      <c r="FH495" s="277"/>
      <c r="FI495" s="281"/>
      <c r="FJ495" s="277"/>
      <c r="FK495" s="50">
        <f t="shared" si="206"/>
        <v>0</v>
      </c>
      <c r="FL495" s="63">
        <f t="shared" si="207"/>
        <v>0</v>
      </c>
      <c r="FM495" s="50">
        <f t="shared" si="189"/>
        <v>1704</v>
      </c>
      <c r="FN495" s="360">
        <f t="shared" si="190"/>
        <v>1772</v>
      </c>
      <c r="FO495" s="3"/>
      <c r="FP495" s="279"/>
      <c r="FQ495" s="52"/>
      <c r="FR495" s="296"/>
      <c r="FS495" s="98"/>
      <c r="FT495" s="467"/>
      <c r="FU495" s="52"/>
      <c r="FV495" s="296"/>
      <c r="FW495" s="98"/>
      <c r="FX495" s="467"/>
      <c r="FY495" s="52"/>
      <c r="FZ495" s="296"/>
      <c r="GA495" s="98"/>
      <c r="GB495" s="467"/>
      <c r="GC495" s="52"/>
      <c r="GD495" s="296"/>
      <c r="GE495" s="98"/>
      <c r="GF495" s="467"/>
      <c r="GG495" s="52"/>
      <c r="GH495" s="296"/>
      <c r="GI495" s="98"/>
      <c r="GJ495" s="467"/>
      <c r="GK495" s="52"/>
      <c r="GL495" s="296"/>
      <c r="GM495" s="464"/>
      <c r="GN495" s="467"/>
      <c r="GO495" s="52"/>
      <c r="GP495" s="296"/>
      <c r="GQ495" s="464"/>
      <c r="GR495" s="467"/>
      <c r="GS495" s="52"/>
      <c r="GT495" s="296"/>
      <c r="GU495" s="464"/>
      <c r="GV495" s="467"/>
      <c r="GW495" s="52"/>
      <c r="GX495" s="296"/>
      <c r="GY495" s="464"/>
      <c r="GZ495" s="467"/>
      <c r="HA495" s="52"/>
      <c r="HB495" s="296"/>
      <c r="HC495" s="3"/>
    </row>
    <row r="496" spans="1:211" s="86" customFormat="1">
      <c r="A496" s="491" t="s">
        <v>35</v>
      </c>
      <c r="B496" s="326" t="s">
        <v>50</v>
      </c>
      <c r="C496" s="325">
        <v>218894</v>
      </c>
      <c r="D496" s="349">
        <v>8</v>
      </c>
      <c r="E496" s="460">
        <v>707</v>
      </c>
      <c r="F496" s="535">
        <v>825</v>
      </c>
      <c r="G496" s="460"/>
      <c r="H496" s="277"/>
      <c r="I496" s="158">
        <v>914</v>
      </c>
      <c r="J496" s="535">
        <v>1075</v>
      </c>
      <c r="K496" s="160">
        <f t="shared" si="191"/>
        <v>0</v>
      </c>
      <c r="L496" s="161">
        <f t="shared" si="184"/>
        <v>0</v>
      </c>
      <c r="M496" s="54"/>
      <c r="N496" s="55"/>
      <c r="O496" s="55"/>
      <c r="P496" s="55"/>
      <c r="Q496" s="162">
        <f t="shared" si="192"/>
        <v>0</v>
      </c>
      <c r="R496" s="535"/>
      <c r="S496" s="277"/>
      <c r="T496" s="277"/>
      <c r="U496" s="277"/>
      <c r="V496" s="97">
        <f t="shared" si="193"/>
        <v>0</v>
      </c>
      <c r="W496" s="279"/>
      <c r="X496" s="52"/>
      <c r="Y496" s="99"/>
      <c r="Z496" s="53"/>
      <c r="AA496" s="228"/>
      <c r="AB496" s="52"/>
      <c r="AC496" s="99"/>
      <c r="AD496" s="53"/>
      <c r="AE496" s="228"/>
      <c r="AF496" s="52"/>
      <c r="AG496" s="99"/>
      <c r="AH496" s="53"/>
      <c r="AI496" s="228"/>
      <c r="AJ496" s="52"/>
      <c r="AK496" s="99"/>
      <c r="AL496" s="53"/>
      <c r="AM496" s="228"/>
      <c r="AN496" s="52"/>
      <c r="AO496" s="99"/>
      <c r="AP496" s="53"/>
      <c r="AQ496" s="50">
        <f t="shared" si="185"/>
        <v>0</v>
      </c>
      <c r="AR496" s="163">
        <f t="shared" si="186"/>
        <v>0</v>
      </c>
      <c r="AS496" s="97">
        <f t="shared" si="187"/>
        <v>0</v>
      </c>
      <c r="AT496" s="278">
        <f t="shared" si="188"/>
        <v>0</v>
      </c>
      <c r="AU496" s="55"/>
      <c r="AV496" s="277"/>
      <c r="AW496" s="279"/>
      <c r="AX496" s="52"/>
      <c r="AY496" s="105"/>
      <c r="AZ496" s="98"/>
      <c r="BA496" s="279"/>
      <c r="BB496" s="52"/>
      <c r="BC496" s="105"/>
      <c r="BD496" s="98"/>
      <c r="BE496" s="279"/>
      <c r="BF496" s="52"/>
      <c r="BG496" s="105"/>
      <c r="BH496" s="98"/>
      <c r="BI496" s="279"/>
      <c r="BJ496" s="52"/>
      <c r="BK496" s="105"/>
      <c r="BL496" s="98"/>
      <c r="BM496" s="279"/>
      <c r="BN496" s="52"/>
      <c r="BO496" s="105"/>
      <c r="BP496" s="98"/>
      <c r="BQ496" s="279"/>
      <c r="BR496" s="52"/>
      <c r="BS496" s="105"/>
      <c r="BT496" s="98"/>
      <c r="BU496" s="279"/>
      <c r="BV496" s="52"/>
      <c r="BW496" s="105"/>
      <c r="BX496" s="98"/>
      <c r="BY496" s="279"/>
      <c r="BZ496" s="52"/>
      <c r="CA496" s="105"/>
      <c r="CB496" s="98"/>
      <c r="CC496" s="279"/>
      <c r="CD496" s="52"/>
      <c r="CE496" s="105"/>
      <c r="CF496" s="98"/>
      <c r="CG496" s="279"/>
      <c r="CH496" s="52"/>
      <c r="CI496" s="105"/>
      <c r="CJ496" s="98"/>
      <c r="CK496" s="281"/>
      <c r="CL496" s="277"/>
      <c r="CM496" s="159"/>
      <c r="CN496" s="277"/>
      <c r="CO496" s="50">
        <f t="shared" si="194"/>
        <v>0</v>
      </c>
      <c r="CP496" s="103">
        <f t="shared" si="195"/>
        <v>0</v>
      </c>
      <c r="CQ496" s="280">
        <f t="shared" si="196"/>
        <v>0</v>
      </c>
      <c r="CR496" s="63">
        <f t="shared" si="197"/>
        <v>0</v>
      </c>
      <c r="CS496" s="279"/>
      <c r="CT496" s="52"/>
      <c r="CU496" s="105"/>
      <c r="CV496" s="98"/>
      <c r="CW496" s="279"/>
      <c r="CX496" s="52"/>
      <c r="CY496" s="105"/>
      <c r="CZ496" s="98"/>
      <c r="DA496" s="279"/>
      <c r="DB496" s="52"/>
      <c r="DC496" s="105"/>
      <c r="DD496" s="98"/>
      <c r="DE496" s="279"/>
      <c r="DF496" s="52"/>
      <c r="DG496" s="105"/>
      <c r="DH496" s="98"/>
      <c r="DI496" s="279"/>
      <c r="DJ496" s="52"/>
      <c r="DK496" s="105"/>
      <c r="DL496" s="98"/>
      <c r="DM496" s="279"/>
      <c r="DN496" s="52"/>
      <c r="DO496" s="105"/>
      <c r="DP496" s="98"/>
      <c r="DQ496" s="279"/>
      <c r="DR496" s="52"/>
      <c r="DS496" s="105"/>
      <c r="DT496" s="98"/>
      <c r="DU496" s="279"/>
      <c r="DV496" s="52"/>
      <c r="DW496" s="105"/>
      <c r="DX496" s="98"/>
      <c r="DY496" s="279"/>
      <c r="DZ496" s="52"/>
      <c r="EA496" s="105"/>
      <c r="EB496" s="98"/>
      <c r="EC496" s="279"/>
      <c r="ED496" s="52"/>
      <c r="EE496" s="105"/>
      <c r="EF496" s="98"/>
      <c r="EG496" s="159"/>
      <c r="EH496" s="277"/>
      <c r="EI496" s="50">
        <f t="shared" si="198"/>
        <v>0</v>
      </c>
      <c r="EJ496" s="103">
        <f t="shared" si="199"/>
        <v>0</v>
      </c>
      <c r="EK496" s="164">
        <f t="shared" si="200"/>
        <v>0</v>
      </c>
      <c r="EL496" s="280">
        <f t="shared" si="201"/>
        <v>0</v>
      </c>
      <c r="EM496" s="63">
        <f t="shared" si="202"/>
        <v>0</v>
      </c>
      <c r="EN496" s="359">
        <f t="shared" si="203"/>
        <v>0</v>
      </c>
      <c r="EO496" s="51">
        <f t="shared" si="204"/>
        <v>0</v>
      </c>
      <c r="EP496" s="361">
        <f t="shared" si="205"/>
        <v>0</v>
      </c>
      <c r="EQ496" s="281"/>
      <c r="ER496" s="277"/>
      <c r="ES496" s="281"/>
      <c r="ET496" s="277"/>
      <c r="EU496" s="281"/>
      <c r="EV496" s="277"/>
      <c r="EW496" s="281"/>
      <c r="EX496" s="277"/>
      <c r="EY496" s="281"/>
      <c r="EZ496" s="277"/>
      <c r="FA496" s="281"/>
      <c r="FB496" s="277"/>
      <c r="FC496" s="281"/>
      <c r="FD496" s="277"/>
      <c r="FE496" s="281"/>
      <c r="FF496" s="277"/>
      <c r="FG496" s="281"/>
      <c r="FH496" s="277"/>
      <c r="FI496" s="281"/>
      <c r="FJ496" s="277"/>
      <c r="FK496" s="50">
        <f t="shared" si="206"/>
        <v>0</v>
      </c>
      <c r="FL496" s="63">
        <f t="shared" si="207"/>
        <v>0</v>
      </c>
      <c r="FM496" s="50">
        <f t="shared" si="189"/>
        <v>1621</v>
      </c>
      <c r="FN496" s="360">
        <f t="shared" si="190"/>
        <v>1900</v>
      </c>
      <c r="FO496" s="3"/>
      <c r="FP496" s="279"/>
      <c r="FQ496" s="52"/>
      <c r="FR496" s="296"/>
      <c r="FS496" s="98"/>
      <c r="FT496" s="467"/>
      <c r="FU496" s="52"/>
      <c r="FV496" s="296"/>
      <c r="FW496" s="98"/>
      <c r="FX496" s="467"/>
      <c r="FY496" s="52"/>
      <c r="FZ496" s="296"/>
      <c r="GA496" s="98"/>
      <c r="GB496" s="467"/>
      <c r="GC496" s="52"/>
      <c r="GD496" s="296"/>
      <c r="GE496" s="98"/>
      <c r="GF496" s="467"/>
      <c r="GG496" s="52"/>
      <c r="GH496" s="296"/>
      <c r="GI496" s="98"/>
      <c r="GJ496" s="467"/>
      <c r="GK496" s="52"/>
      <c r="GL496" s="296"/>
      <c r="GM496" s="464"/>
      <c r="GN496" s="467"/>
      <c r="GO496" s="52"/>
      <c r="GP496" s="296"/>
      <c r="GQ496" s="464"/>
      <c r="GR496" s="467"/>
      <c r="GS496" s="52"/>
      <c r="GT496" s="296"/>
      <c r="GU496" s="464"/>
      <c r="GV496" s="467"/>
      <c r="GW496" s="52"/>
      <c r="GX496" s="296"/>
      <c r="GY496" s="464"/>
      <c r="GZ496" s="467"/>
      <c r="HA496" s="52"/>
      <c r="HB496" s="296"/>
      <c r="HC496" s="3"/>
    </row>
    <row r="497" spans="1:211" s="86" customFormat="1">
      <c r="A497" s="491" t="s">
        <v>35</v>
      </c>
      <c r="B497" s="327" t="s">
        <v>51</v>
      </c>
      <c r="C497" s="325">
        <v>217615</v>
      </c>
      <c r="D497" s="349">
        <v>9</v>
      </c>
      <c r="E497" s="460">
        <v>412</v>
      </c>
      <c r="F497" s="535">
        <v>472</v>
      </c>
      <c r="G497" s="460"/>
      <c r="H497" s="277"/>
      <c r="I497" s="158">
        <v>224</v>
      </c>
      <c r="J497" s="535">
        <v>260</v>
      </c>
      <c r="K497" s="160">
        <f t="shared" si="191"/>
        <v>0</v>
      </c>
      <c r="L497" s="161">
        <f t="shared" si="184"/>
        <v>0</v>
      </c>
      <c r="M497" s="54"/>
      <c r="N497" s="55"/>
      <c r="O497" s="55"/>
      <c r="P497" s="55"/>
      <c r="Q497" s="162">
        <f t="shared" si="192"/>
        <v>0</v>
      </c>
      <c r="R497" s="535"/>
      <c r="S497" s="277"/>
      <c r="T497" s="277"/>
      <c r="U497" s="277"/>
      <c r="V497" s="97">
        <f t="shared" si="193"/>
        <v>0</v>
      </c>
      <c r="W497" s="279"/>
      <c r="X497" s="52"/>
      <c r="Y497" s="99"/>
      <c r="Z497" s="53"/>
      <c r="AA497" s="228"/>
      <c r="AB497" s="52"/>
      <c r="AC497" s="99"/>
      <c r="AD497" s="53"/>
      <c r="AE497" s="228"/>
      <c r="AF497" s="52"/>
      <c r="AG497" s="99"/>
      <c r="AH497" s="53"/>
      <c r="AI497" s="228"/>
      <c r="AJ497" s="52"/>
      <c r="AK497" s="99"/>
      <c r="AL497" s="53"/>
      <c r="AM497" s="228"/>
      <c r="AN497" s="52"/>
      <c r="AO497" s="99"/>
      <c r="AP497" s="53"/>
      <c r="AQ497" s="50">
        <f t="shared" si="185"/>
        <v>0</v>
      </c>
      <c r="AR497" s="163">
        <f t="shared" si="186"/>
        <v>0</v>
      </c>
      <c r="AS497" s="97">
        <f t="shared" si="187"/>
        <v>0</v>
      </c>
      <c r="AT497" s="278">
        <f t="shared" si="188"/>
        <v>0</v>
      </c>
      <c r="AU497" s="55"/>
      <c r="AV497" s="277"/>
      <c r="AW497" s="279"/>
      <c r="AX497" s="52"/>
      <c r="AY497" s="105"/>
      <c r="AZ497" s="98"/>
      <c r="BA497" s="279"/>
      <c r="BB497" s="52"/>
      <c r="BC497" s="105"/>
      <c r="BD497" s="98"/>
      <c r="BE497" s="279"/>
      <c r="BF497" s="52"/>
      <c r="BG497" s="105"/>
      <c r="BH497" s="98"/>
      <c r="BI497" s="279"/>
      <c r="BJ497" s="52"/>
      <c r="BK497" s="105"/>
      <c r="BL497" s="98"/>
      <c r="BM497" s="279"/>
      <c r="BN497" s="52"/>
      <c r="BO497" s="105"/>
      <c r="BP497" s="98"/>
      <c r="BQ497" s="279"/>
      <c r="BR497" s="52"/>
      <c r="BS497" s="105"/>
      <c r="BT497" s="98"/>
      <c r="BU497" s="279"/>
      <c r="BV497" s="52"/>
      <c r="BW497" s="105"/>
      <c r="BX497" s="98"/>
      <c r="BY497" s="279"/>
      <c r="BZ497" s="52"/>
      <c r="CA497" s="105"/>
      <c r="CB497" s="98"/>
      <c r="CC497" s="279"/>
      <c r="CD497" s="52"/>
      <c r="CE497" s="105"/>
      <c r="CF497" s="98"/>
      <c r="CG497" s="279"/>
      <c r="CH497" s="52"/>
      <c r="CI497" s="105"/>
      <c r="CJ497" s="98"/>
      <c r="CK497" s="281"/>
      <c r="CL497" s="277"/>
      <c r="CM497" s="159"/>
      <c r="CN497" s="277"/>
      <c r="CO497" s="50">
        <f t="shared" si="194"/>
        <v>0</v>
      </c>
      <c r="CP497" s="103">
        <f t="shared" si="195"/>
        <v>0</v>
      </c>
      <c r="CQ497" s="280">
        <f t="shared" si="196"/>
        <v>0</v>
      </c>
      <c r="CR497" s="63">
        <f t="shared" si="197"/>
        <v>0</v>
      </c>
      <c r="CS497" s="279"/>
      <c r="CT497" s="52"/>
      <c r="CU497" s="105"/>
      <c r="CV497" s="98"/>
      <c r="CW497" s="279"/>
      <c r="CX497" s="52"/>
      <c r="CY497" s="105"/>
      <c r="CZ497" s="98"/>
      <c r="DA497" s="279"/>
      <c r="DB497" s="52"/>
      <c r="DC497" s="105"/>
      <c r="DD497" s="98"/>
      <c r="DE497" s="279"/>
      <c r="DF497" s="52"/>
      <c r="DG497" s="105"/>
      <c r="DH497" s="98"/>
      <c r="DI497" s="279"/>
      <c r="DJ497" s="52"/>
      <c r="DK497" s="105"/>
      <c r="DL497" s="98"/>
      <c r="DM497" s="279"/>
      <c r="DN497" s="52"/>
      <c r="DO497" s="105"/>
      <c r="DP497" s="98"/>
      <c r="DQ497" s="279"/>
      <c r="DR497" s="52"/>
      <c r="DS497" s="105"/>
      <c r="DT497" s="98"/>
      <c r="DU497" s="279"/>
      <c r="DV497" s="52"/>
      <c r="DW497" s="105"/>
      <c r="DX497" s="98"/>
      <c r="DY497" s="279"/>
      <c r="DZ497" s="52"/>
      <c r="EA497" s="105"/>
      <c r="EB497" s="98"/>
      <c r="EC497" s="279"/>
      <c r="ED497" s="52"/>
      <c r="EE497" s="105"/>
      <c r="EF497" s="98"/>
      <c r="EG497" s="159"/>
      <c r="EH497" s="277"/>
      <c r="EI497" s="50">
        <f t="shared" si="198"/>
        <v>0</v>
      </c>
      <c r="EJ497" s="103">
        <f t="shared" si="199"/>
        <v>0</v>
      </c>
      <c r="EK497" s="164">
        <f t="shared" si="200"/>
        <v>0</v>
      </c>
      <c r="EL497" s="280">
        <f t="shared" si="201"/>
        <v>0</v>
      </c>
      <c r="EM497" s="63">
        <f t="shared" si="202"/>
        <v>0</v>
      </c>
      <c r="EN497" s="359">
        <f t="shared" si="203"/>
        <v>0</v>
      </c>
      <c r="EO497" s="51">
        <f t="shared" si="204"/>
        <v>0</v>
      </c>
      <c r="EP497" s="361">
        <f t="shared" si="205"/>
        <v>0</v>
      </c>
      <c r="EQ497" s="281"/>
      <c r="ER497" s="277"/>
      <c r="ES497" s="281"/>
      <c r="ET497" s="277"/>
      <c r="EU497" s="281"/>
      <c r="EV497" s="277"/>
      <c r="EW497" s="281"/>
      <c r="EX497" s="277"/>
      <c r="EY497" s="281"/>
      <c r="EZ497" s="277"/>
      <c r="FA497" s="281"/>
      <c r="FB497" s="277"/>
      <c r="FC497" s="281"/>
      <c r="FD497" s="277"/>
      <c r="FE497" s="281"/>
      <c r="FF497" s="277"/>
      <c r="FG497" s="281"/>
      <c r="FH497" s="277"/>
      <c r="FI497" s="281"/>
      <c r="FJ497" s="277"/>
      <c r="FK497" s="50">
        <f t="shared" si="206"/>
        <v>0</v>
      </c>
      <c r="FL497" s="63">
        <f t="shared" si="207"/>
        <v>0</v>
      </c>
      <c r="FM497" s="50">
        <f t="shared" si="189"/>
        <v>636</v>
      </c>
      <c r="FN497" s="360">
        <f t="shared" si="190"/>
        <v>732</v>
      </c>
      <c r="FO497" s="3"/>
      <c r="FP497" s="279"/>
      <c r="FQ497" s="52"/>
      <c r="FR497" s="296"/>
      <c r="FS497" s="98"/>
      <c r="FT497" s="467"/>
      <c r="FU497" s="52"/>
      <c r="FV497" s="296"/>
      <c r="FW497" s="98"/>
      <c r="FX497" s="467"/>
      <c r="FY497" s="52"/>
      <c r="FZ497" s="296"/>
      <c r="GA497" s="98"/>
      <c r="GB497" s="467"/>
      <c r="GC497" s="52"/>
      <c r="GD497" s="296"/>
      <c r="GE497" s="98"/>
      <c r="GF497" s="467"/>
      <c r="GG497" s="52"/>
      <c r="GH497" s="296"/>
      <c r="GI497" s="98"/>
      <c r="GJ497" s="467"/>
      <c r="GK497" s="52"/>
      <c r="GL497" s="296"/>
      <c r="GM497" s="464"/>
      <c r="GN497" s="467"/>
      <c r="GO497" s="52"/>
      <c r="GP497" s="296"/>
      <c r="GQ497" s="464"/>
      <c r="GR497" s="467"/>
      <c r="GS497" s="52"/>
      <c r="GT497" s="296"/>
      <c r="GU497" s="464"/>
      <c r="GV497" s="467"/>
      <c r="GW497" s="52"/>
      <c r="GX497" s="296"/>
      <c r="GY497" s="464"/>
      <c r="GZ497" s="467"/>
      <c r="HA497" s="52"/>
      <c r="HB497" s="296"/>
      <c r="HC497" s="3"/>
    </row>
    <row r="498" spans="1:211" s="86" customFormat="1">
      <c r="A498" s="491" t="s">
        <v>35</v>
      </c>
      <c r="B498" s="326" t="s">
        <v>52</v>
      </c>
      <c r="C498" s="325">
        <v>218858</v>
      </c>
      <c r="D498" s="349">
        <v>9</v>
      </c>
      <c r="E498" s="460">
        <v>364</v>
      </c>
      <c r="F498" s="535">
        <v>394</v>
      </c>
      <c r="G498" s="460"/>
      <c r="H498" s="277"/>
      <c r="I498" s="158">
        <v>216</v>
      </c>
      <c r="J498" s="535">
        <v>251</v>
      </c>
      <c r="K498" s="160">
        <f t="shared" si="191"/>
        <v>0</v>
      </c>
      <c r="L498" s="161">
        <f t="shared" si="184"/>
        <v>0</v>
      </c>
      <c r="M498" s="54"/>
      <c r="N498" s="55"/>
      <c r="O498" s="55"/>
      <c r="P498" s="55"/>
      <c r="Q498" s="162">
        <f t="shared" si="192"/>
        <v>0</v>
      </c>
      <c r="R498" s="535"/>
      <c r="S498" s="277"/>
      <c r="T498" s="277"/>
      <c r="U498" s="277"/>
      <c r="V498" s="97">
        <f t="shared" si="193"/>
        <v>0</v>
      </c>
      <c r="W498" s="279"/>
      <c r="X498" s="52"/>
      <c r="Y498" s="99"/>
      <c r="Z498" s="53"/>
      <c r="AA498" s="228"/>
      <c r="AB498" s="52"/>
      <c r="AC498" s="99"/>
      <c r="AD498" s="53"/>
      <c r="AE498" s="228"/>
      <c r="AF498" s="52"/>
      <c r="AG498" s="99"/>
      <c r="AH498" s="53"/>
      <c r="AI498" s="228"/>
      <c r="AJ498" s="52"/>
      <c r="AK498" s="99"/>
      <c r="AL498" s="53"/>
      <c r="AM498" s="228"/>
      <c r="AN498" s="52"/>
      <c r="AO498" s="99"/>
      <c r="AP498" s="53"/>
      <c r="AQ498" s="50">
        <f t="shared" si="185"/>
        <v>0</v>
      </c>
      <c r="AR498" s="163">
        <f t="shared" si="186"/>
        <v>0</v>
      </c>
      <c r="AS498" s="97">
        <f t="shared" si="187"/>
        <v>0</v>
      </c>
      <c r="AT498" s="278">
        <f t="shared" si="188"/>
        <v>0</v>
      </c>
      <c r="AU498" s="55"/>
      <c r="AV498" s="277"/>
      <c r="AW498" s="279"/>
      <c r="AX498" s="52"/>
      <c r="AY498" s="105"/>
      <c r="AZ498" s="98"/>
      <c r="BA498" s="279"/>
      <c r="BB498" s="52"/>
      <c r="BC498" s="105"/>
      <c r="BD498" s="98"/>
      <c r="BE498" s="279"/>
      <c r="BF498" s="52"/>
      <c r="BG498" s="105"/>
      <c r="BH498" s="98"/>
      <c r="BI498" s="279"/>
      <c r="BJ498" s="52"/>
      <c r="BK498" s="105"/>
      <c r="BL498" s="98"/>
      <c r="BM498" s="279"/>
      <c r="BN498" s="52"/>
      <c r="BO498" s="105"/>
      <c r="BP498" s="98"/>
      <c r="BQ498" s="279"/>
      <c r="BR498" s="52"/>
      <c r="BS498" s="105"/>
      <c r="BT498" s="98"/>
      <c r="BU498" s="279"/>
      <c r="BV498" s="52"/>
      <c r="BW498" s="105"/>
      <c r="BX498" s="98"/>
      <c r="BY498" s="279"/>
      <c r="BZ498" s="52"/>
      <c r="CA498" s="105"/>
      <c r="CB498" s="98"/>
      <c r="CC498" s="279"/>
      <c r="CD498" s="52"/>
      <c r="CE498" s="105"/>
      <c r="CF498" s="98"/>
      <c r="CG498" s="279"/>
      <c r="CH498" s="52"/>
      <c r="CI498" s="105"/>
      <c r="CJ498" s="98"/>
      <c r="CK498" s="281"/>
      <c r="CL498" s="277"/>
      <c r="CM498" s="159"/>
      <c r="CN498" s="277"/>
      <c r="CO498" s="50">
        <f t="shared" si="194"/>
        <v>0</v>
      </c>
      <c r="CP498" s="103">
        <f t="shared" si="195"/>
        <v>0</v>
      </c>
      <c r="CQ498" s="280">
        <f t="shared" si="196"/>
        <v>0</v>
      </c>
      <c r="CR498" s="63">
        <f t="shared" si="197"/>
        <v>0</v>
      </c>
      <c r="CS498" s="279"/>
      <c r="CT498" s="52"/>
      <c r="CU498" s="105"/>
      <c r="CV498" s="98"/>
      <c r="CW498" s="279"/>
      <c r="CX498" s="52"/>
      <c r="CY498" s="105"/>
      <c r="CZ498" s="98"/>
      <c r="DA498" s="279"/>
      <c r="DB498" s="52"/>
      <c r="DC498" s="105"/>
      <c r="DD498" s="98"/>
      <c r="DE498" s="279"/>
      <c r="DF498" s="52"/>
      <c r="DG498" s="105"/>
      <c r="DH498" s="98"/>
      <c r="DI498" s="279"/>
      <c r="DJ498" s="52"/>
      <c r="DK498" s="105"/>
      <c r="DL498" s="98"/>
      <c r="DM498" s="279"/>
      <c r="DN498" s="52"/>
      <c r="DO498" s="105"/>
      <c r="DP498" s="98"/>
      <c r="DQ498" s="279"/>
      <c r="DR498" s="52"/>
      <c r="DS498" s="105"/>
      <c r="DT498" s="98"/>
      <c r="DU498" s="279"/>
      <c r="DV498" s="52"/>
      <c r="DW498" s="105"/>
      <c r="DX498" s="98"/>
      <c r="DY498" s="279"/>
      <c r="DZ498" s="52"/>
      <c r="EA498" s="105"/>
      <c r="EB498" s="98"/>
      <c r="EC498" s="279"/>
      <c r="ED498" s="52"/>
      <c r="EE498" s="105"/>
      <c r="EF498" s="98"/>
      <c r="EG498" s="159"/>
      <c r="EH498" s="277"/>
      <c r="EI498" s="50">
        <f t="shared" si="198"/>
        <v>0</v>
      </c>
      <c r="EJ498" s="103">
        <f t="shared" si="199"/>
        <v>0</v>
      </c>
      <c r="EK498" s="164">
        <f t="shared" si="200"/>
        <v>0</v>
      </c>
      <c r="EL498" s="280">
        <f t="shared" si="201"/>
        <v>0</v>
      </c>
      <c r="EM498" s="63">
        <f t="shared" si="202"/>
        <v>0</v>
      </c>
      <c r="EN498" s="359">
        <f t="shared" si="203"/>
        <v>0</v>
      </c>
      <c r="EO498" s="51">
        <f t="shared" si="204"/>
        <v>0</v>
      </c>
      <c r="EP498" s="361">
        <f t="shared" si="205"/>
        <v>0</v>
      </c>
      <c r="EQ498" s="281"/>
      <c r="ER498" s="277"/>
      <c r="ES498" s="281"/>
      <c r="ET498" s="277"/>
      <c r="EU498" s="281"/>
      <c r="EV498" s="277"/>
      <c r="EW498" s="281"/>
      <c r="EX498" s="277"/>
      <c r="EY498" s="281"/>
      <c r="EZ498" s="277"/>
      <c r="FA498" s="281"/>
      <c r="FB498" s="277"/>
      <c r="FC498" s="281"/>
      <c r="FD498" s="277"/>
      <c r="FE498" s="281"/>
      <c r="FF498" s="277"/>
      <c r="FG498" s="281"/>
      <c r="FH498" s="277"/>
      <c r="FI498" s="281"/>
      <c r="FJ498" s="277"/>
      <c r="FK498" s="50">
        <f t="shared" si="206"/>
        <v>0</v>
      </c>
      <c r="FL498" s="63">
        <f t="shared" si="207"/>
        <v>0</v>
      </c>
      <c r="FM498" s="50">
        <f t="shared" si="189"/>
        <v>580</v>
      </c>
      <c r="FN498" s="360">
        <f t="shared" si="190"/>
        <v>645</v>
      </c>
      <c r="FO498" s="3"/>
      <c r="FP498" s="279"/>
      <c r="FQ498" s="52"/>
      <c r="FR498" s="296"/>
      <c r="FS498" s="98"/>
      <c r="FT498" s="467"/>
      <c r="FU498" s="52"/>
      <c r="FV498" s="296"/>
      <c r="FW498" s="98"/>
      <c r="FX498" s="467"/>
      <c r="FY498" s="52"/>
      <c r="FZ498" s="296"/>
      <c r="GA498" s="98"/>
      <c r="GB498" s="467"/>
      <c r="GC498" s="52"/>
      <c r="GD498" s="296"/>
      <c r="GE498" s="98"/>
      <c r="GF498" s="467"/>
      <c r="GG498" s="52"/>
      <c r="GH498" s="296"/>
      <c r="GI498" s="98"/>
      <c r="GJ498" s="467"/>
      <c r="GK498" s="52"/>
      <c r="GL498" s="296"/>
      <c r="GM498" s="464"/>
      <c r="GN498" s="467"/>
      <c r="GO498" s="52"/>
      <c r="GP498" s="296"/>
      <c r="GQ498" s="464"/>
      <c r="GR498" s="467"/>
      <c r="GS498" s="52"/>
      <c r="GT498" s="296"/>
      <c r="GU498" s="464"/>
      <c r="GV498" s="467"/>
      <c r="GW498" s="52"/>
      <c r="GX498" s="296"/>
      <c r="GY498" s="464"/>
      <c r="GZ498" s="467"/>
      <c r="HA498" s="52"/>
      <c r="HB498" s="296"/>
      <c r="HC498" s="3"/>
    </row>
    <row r="499" spans="1:211" s="86" customFormat="1">
      <c r="A499" s="491" t="s">
        <v>35</v>
      </c>
      <c r="B499" s="326" t="s">
        <v>53</v>
      </c>
      <c r="C499" s="325">
        <v>218025</v>
      </c>
      <c r="D499" s="349">
        <v>9</v>
      </c>
      <c r="E499" s="460">
        <v>287</v>
      </c>
      <c r="F499" s="535">
        <v>196</v>
      </c>
      <c r="G499" s="460"/>
      <c r="H499" s="277"/>
      <c r="I499" s="158">
        <v>376</v>
      </c>
      <c r="J499" s="535">
        <v>435</v>
      </c>
      <c r="K499" s="160">
        <f t="shared" si="191"/>
        <v>0</v>
      </c>
      <c r="L499" s="161">
        <f t="shared" si="184"/>
        <v>0</v>
      </c>
      <c r="M499" s="54"/>
      <c r="N499" s="55"/>
      <c r="O499" s="55"/>
      <c r="P499" s="55"/>
      <c r="Q499" s="162">
        <f t="shared" si="192"/>
        <v>0</v>
      </c>
      <c r="R499" s="535"/>
      <c r="S499" s="277"/>
      <c r="T499" s="277"/>
      <c r="U499" s="277"/>
      <c r="V499" s="97">
        <f t="shared" si="193"/>
        <v>0</v>
      </c>
      <c r="W499" s="279"/>
      <c r="X499" s="52"/>
      <c r="Y499" s="99"/>
      <c r="Z499" s="53"/>
      <c r="AA499" s="228"/>
      <c r="AB499" s="52"/>
      <c r="AC499" s="99"/>
      <c r="AD499" s="53"/>
      <c r="AE499" s="228"/>
      <c r="AF499" s="52"/>
      <c r="AG499" s="99"/>
      <c r="AH499" s="53"/>
      <c r="AI499" s="228"/>
      <c r="AJ499" s="52"/>
      <c r="AK499" s="99"/>
      <c r="AL499" s="53"/>
      <c r="AM499" s="228"/>
      <c r="AN499" s="52"/>
      <c r="AO499" s="99"/>
      <c r="AP499" s="53"/>
      <c r="AQ499" s="50">
        <f t="shared" si="185"/>
        <v>0</v>
      </c>
      <c r="AR499" s="163">
        <f t="shared" si="186"/>
        <v>0</v>
      </c>
      <c r="AS499" s="97">
        <f t="shared" si="187"/>
        <v>0</v>
      </c>
      <c r="AT499" s="278">
        <f t="shared" si="188"/>
        <v>0</v>
      </c>
      <c r="AU499" s="55"/>
      <c r="AV499" s="277"/>
      <c r="AW499" s="279"/>
      <c r="AX499" s="52"/>
      <c r="AY499" s="105"/>
      <c r="AZ499" s="98"/>
      <c r="BA499" s="279"/>
      <c r="BB499" s="52"/>
      <c r="BC499" s="105"/>
      <c r="BD499" s="98"/>
      <c r="BE499" s="279"/>
      <c r="BF499" s="52"/>
      <c r="BG499" s="105"/>
      <c r="BH499" s="98"/>
      <c r="BI499" s="279"/>
      <c r="BJ499" s="52"/>
      <c r="BK499" s="105"/>
      <c r="BL499" s="98"/>
      <c r="BM499" s="279"/>
      <c r="BN499" s="52"/>
      <c r="BO499" s="105"/>
      <c r="BP499" s="98"/>
      <c r="BQ499" s="279"/>
      <c r="BR499" s="52"/>
      <c r="BS499" s="105"/>
      <c r="BT499" s="98"/>
      <c r="BU499" s="279"/>
      <c r="BV499" s="52"/>
      <c r="BW499" s="105"/>
      <c r="BX499" s="98"/>
      <c r="BY499" s="279"/>
      <c r="BZ499" s="52"/>
      <c r="CA499" s="105"/>
      <c r="CB499" s="98"/>
      <c r="CC499" s="279"/>
      <c r="CD499" s="52"/>
      <c r="CE499" s="105"/>
      <c r="CF499" s="98"/>
      <c r="CG499" s="279"/>
      <c r="CH499" s="52"/>
      <c r="CI499" s="105"/>
      <c r="CJ499" s="98"/>
      <c r="CK499" s="281"/>
      <c r="CL499" s="277"/>
      <c r="CM499" s="159"/>
      <c r="CN499" s="277"/>
      <c r="CO499" s="50">
        <f t="shared" si="194"/>
        <v>0</v>
      </c>
      <c r="CP499" s="103">
        <f t="shared" si="195"/>
        <v>0</v>
      </c>
      <c r="CQ499" s="280">
        <f t="shared" si="196"/>
        <v>0</v>
      </c>
      <c r="CR499" s="63">
        <f t="shared" si="197"/>
        <v>0</v>
      </c>
      <c r="CS499" s="279"/>
      <c r="CT499" s="52"/>
      <c r="CU499" s="105"/>
      <c r="CV499" s="98"/>
      <c r="CW499" s="279"/>
      <c r="CX499" s="52"/>
      <c r="CY499" s="105"/>
      <c r="CZ499" s="98"/>
      <c r="DA499" s="279"/>
      <c r="DB499" s="52"/>
      <c r="DC499" s="105"/>
      <c r="DD499" s="98"/>
      <c r="DE499" s="279"/>
      <c r="DF499" s="52"/>
      <c r="DG499" s="105"/>
      <c r="DH499" s="98"/>
      <c r="DI499" s="279"/>
      <c r="DJ499" s="52"/>
      <c r="DK499" s="105"/>
      <c r="DL499" s="98"/>
      <c r="DM499" s="279"/>
      <c r="DN499" s="52"/>
      <c r="DO499" s="105"/>
      <c r="DP499" s="98"/>
      <c r="DQ499" s="279"/>
      <c r="DR499" s="52"/>
      <c r="DS499" s="105"/>
      <c r="DT499" s="98"/>
      <c r="DU499" s="279"/>
      <c r="DV499" s="52"/>
      <c r="DW499" s="105"/>
      <c r="DX499" s="98"/>
      <c r="DY499" s="279"/>
      <c r="DZ499" s="52"/>
      <c r="EA499" s="105"/>
      <c r="EB499" s="98"/>
      <c r="EC499" s="279"/>
      <c r="ED499" s="52"/>
      <c r="EE499" s="105"/>
      <c r="EF499" s="98"/>
      <c r="EG499" s="159"/>
      <c r="EH499" s="277"/>
      <c r="EI499" s="50">
        <f t="shared" si="198"/>
        <v>0</v>
      </c>
      <c r="EJ499" s="103">
        <f t="shared" si="199"/>
        <v>0</v>
      </c>
      <c r="EK499" s="164">
        <f t="shared" si="200"/>
        <v>0</v>
      </c>
      <c r="EL499" s="280">
        <f t="shared" si="201"/>
        <v>0</v>
      </c>
      <c r="EM499" s="63">
        <f t="shared" si="202"/>
        <v>0</v>
      </c>
      <c r="EN499" s="359">
        <f t="shared" si="203"/>
        <v>0</v>
      </c>
      <c r="EO499" s="51">
        <f t="shared" si="204"/>
        <v>0</v>
      </c>
      <c r="EP499" s="361">
        <f t="shared" si="205"/>
        <v>0</v>
      </c>
      <c r="EQ499" s="281"/>
      <c r="ER499" s="277"/>
      <c r="ES499" s="281"/>
      <c r="ET499" s="277"/>
      <c r="EU499" s="281"/>
      <c r="EV499" s="277"/>
      <c r="EW499" s="281"/>
      <c r="EX499" s="277"/>
      <c r="EY499" s="281"/>
      <c r="EZ499" s="277"/>
      <c r="FA499" s="281"/>
      <c r="FB499" s="277"/>
      <c r="FC499" s="281"/>
      <c r="FD499" s="277"/>
      <c r="FE499" s="281"/>
      <c r="FF499" s="277"/>
      <c r="FG499" s="281"/>
      <c r="FH499" s="277"/>
      <c r="FI499" s="281"/>
      <c r="FJ499" s="277"/>
      <c r="FK499" s="50">
        <f t="shared" si="206"/>
        <v>0</v>
      </c>
      <c r="FL499" s="63">
        <f t="shared" si="207"/>
        <v>0</v>
      </c>
      <c r="FM499" s="50">
        <f t="shared" si="189"/>
        <v>663</v>
      </c>
      <c r="FN499" s="360">
        <f t="shared" si="190"/>
        <v>631</v>
      </c>
      <c r="FO499" s="3"/>
      <c r="FP499" s="279"/>
      <c r="FQ499" s="52"/>
      <c r="FR499" s="296"/>
      <c r="FS499" s="98"/>
      <c r="FT499" s="467"/>
      <c r="FU499" s="52"/>
      <c r="FV499" s="296"/>
      <c r="FW499" s="98"/>
      <c r="FX499" s="467"/>
      <c r="FY499" s="52"/>
      <c r="FZ499" s="296"/>
      <c r="GA499" s="98"/>
      <c r="GB499" s="467"/>
      <c r="GC499" s="52"/>
      <c r="GD499" s="296"/>
      <c r="GE499" s="98"/>
      <c r="GF499" s="467"/>
      <c r="GG499" s="52"/>
      <c r="GH499" s="296"/>
      <c r="GI499" s="98"/>
      <c r="GJ499" s="467"/>
      <c r="GK499" s="52"/>
      <c r="GL499" s="296"/>
      <c r="GM499" s="464"/>
      <c r="GN499" s="467"/>
      <c r="GO499" s="52"/>
      <c r="GP499" s="296"/>
      <c r="GQ499" s="464"/>
      <c r="GR499" s="467"/>
      <c r="GS499" s="52"/>
      <c r="GT499" s="296"/>
      <c r="GU499" s="464"/>
      <c r="GV499" s="467"/>
      <c r="GW499" s="52"/>
      <c r="GX499" s="296"/>
      <c r="GY499" s="464"/>
      <c r="GZ499" s="467"/>
      <c r="HA499" s="52"/>
      <c r="HB499" s="296"/>
      <c r="HC499" s="3"/>
    </row>
    <row r="500" spans="1:211" s="86" customFormat="1">
      <c r="A500" s="491" t="s">
        <v>35</v>
      </c>
      <c r="B500" s="326" t="s">
        <v>54</v>
      </c>
      <c r="C500" s="325">
        <v>218140</v>
      </c>
      <c r="D500" s="349">
        <v>9</v>
      </c>
      <c r="E500" s="460">
        <v>300</v>
      </c>
      <c r="F500" s="535">
        <v>308</v>
      </c>
      <c r="G500" s="460"/>
      <c r="H500" s="277"/>
      <c r="I500" s="158">
        <v>498</v>
      </c>
      <c r="J500" s="535">
        <v>514</v>
      </c>
      <c r="K500" s="160">
        <f t="shared" si="191"/>
        <v>0</v>
      </c>
      <c r="L500" s="161">
        <f t="shared" si="184"/>
        <v>0</v>
      </c>
      <c r="M500" s="54"/>
      <c r="N500" s="55"/>
      <c r="O500" s="55"/>
      <c r="P500" s="55"/>
      <c r="Q500" s="162">
        <f t="shared" si="192"/>
        <v>0</v>
      </c>
      <c r="R500" s="535"/>
      <c r="S500" s="277"/>
      <c r="T500" s="277"/>
      <c r="U500" s="277"/>
      <c r="V500" s="97">
        <f t="shared" si="193"/>
        <v>0</v>
      </c>
      <c r="W500" s="279"/>
      <c r="X500" s="52"/>
      <c r="Y500" s="99"/>
      <c r="Z500" s="53"/>
      <c r="AA500" s="228"/>
      <c r="AB500" s="52"/>
      <c r="AC500" s="99"/>
      <c r="AD500" s="53"/>
      <c r="AE500" s="228"/>
      <c r="AF500" s="52"/>
      <c r="AG500" s="99"/>
      <c r="AH500" s="53"/>
      <c r="AI500" s="228"/>
      <c r="AJ500" s="52"/>
      <c r="AK500" s="99"/>
      <c r="AL500" s="53"/>
      <c r="AM500" s="228"/>
      <c r="AN500" s="52"/>
      <c r="AO500" s="99"/>
      <c r="AP500" s="53"/>
      <c r="AQ500" s="50">
        <f t="shared" si="185"/>
        <v>0</v>
      </c>
      <c r="AR500" s="163">
        <f t="shared" si="186"/>
        <v>0</v>
      </c>
      <c r="AS500" s="97">
        <f t="shared" si="187"/>
        <v>0</v>
      </c>
      <c r="AT500" s="278">
        <f t="shared" si="188"/>
        <v>0</v>
      </c>
      <c r="AU500" s="55"/>
      <c r="AV500" s="277"/>
      <c r="AW500" s="279"/>
      <c r="AX500" s="52"/>
      <c r="AY500" s="105"/>
      <c r="AZ500" s="98"/>
      <c r="BA500" s="279"/>
      <c r="BB500" s="52"/>
      <c r="BC500" s="105"/>
      <c r="BD500" s="98"/>
      <c r="BE500" s="279"/>
      <c r="BF500" s="52"/>
      <c r="BG500" s="105"/>
      <c r="BH500" s="98"/>
      <c r="BI500" s="279"/>
      <c r="BJ500" s="52"/>
      <c r="BK500" s="105"/>
      <c r="BL500" s="98"/>
      <c r="BM500" s="279"/>
      <c r="BN500" s="52"/>
      <c r="BO500" s="105"/>
      <c r="BP500" s="98"/>
      <c r="BQ500" s="279"/>
      <c r="BR500" s="52"/>
      <c r="BS500" s="105"/>
      <c r="BT500" s="98"/>
      <c r="BU500" s="279"/>
      <c r="BV500" s="52"/>
      <c r="BW500" s="105"/>
      <c r="BX500" s="98"/>
      <c r="BY500" s="279"/>
      <c r="BZ500" s="52"/>
      <c r="CA500" s="105"/>
      <c r="CB500" s="98"/>
      <c r="CC500" s="279"/>
      <c r="CD500" s="52"/>
      <c r="CE500" s="105"/>
      <c r="CF500" s="98"/>
      <c r="CG500" s="279"/>
      <c r="CH500" s="52"/>
      <c r="CI500" s="105"/>
      <c r="CJ500" s="98"/>
      <c r="CK500" s="281"/>
      <c r="CL500" s="277"/>
      <c r="CM500" s="159"/>
      <c r="CN500" s="277"/>
      <c r="CO500" s="50">
        <f t="shared" si="194"/>
        <v>0</v>
      </c>
      <c r="CP500" s="103">
        <f t="shared" si="195"/>
        <v>0</v>
      </c>
      <c r="CQ500" s="280">
        <f t="shared" si="196"/>
        <v>0</v>
      </c>
      <c r="CR500" s="63">
        <f t="shared" si="197"/>
        <v>0</v>
      </c>
      <c r="CS500" s="279"/>
      <c r="CT500" s="52"/>
      <c r="CU500" s="105"/>
      <c r="CV500" s="98"/>
      <c r="CW500" s="279"/>
      <c r="CX500" s="52"/>
      <c r="CY500" s="105"/>
      <c r="CZ500" s="98"/>
      <c r="DA500" s="279"/>
      <c r="DB500" s="52"/>
      <c r="DC500" s="105"/>
      <c r="DD500" s="98"/>
      <c r="DE500" s="279"/>
      <c r="DF500" s="52"/>
      <c r="DG500" s="105"/>
      <c r="DH500" s="98"/>
      <c r="DI500" s="279"/>
      <c r="DJ500" s="52"/>
      <c r="DK500" s="105"/>
      <c r="DL500" s="98"/>
      <c r="DM500" s="279"/>
      <c r="DN500" s="52"/>
      <c r="DO500" s="105"/>
      <c r="DP500" s="98"/>
      <c r="DQ500" s="279"/>
      <c r="DR500" s="52"/>
      <c r="DS500" s="105"/>
      <c r="DT500" s="98"/>
      <c r="DU500" s="279"/>
      <c r="DV500" s="52"/>
      <c r="DW500" s="105"/>
      <c r="DX500" s="98"/>
      <c r="DY500" s="279"/>
      <c r="DZ500" s="52"/>
      <c r="EA500" s="105"/>
      <c r="EB500" s="98"/>
      <c r="EC500" s="279"/>
      <c r="ED500" s="52"/>
      <c r="EE500" s="105"/>
      <c r="EF500" s="98"/>
      <c r="EG500" s="159"/>
      <c r="EH500" s="277"/>
      <c r="EI500" s="50">
        <f t="shared" si="198"/>
        <v>0</v>
      </c>
      <c r="EJ500" s="103">
        <f t="shared" si="199"/>
        <v>0</v>
      </c>
      <c r="EK500" s="164">
        <f t="shared" si="200"/>
        <v>0</v>
      </c>
      <c r="EL500" s="280">
        <f t="shared" si="201"/>
        <v>0</v>
      </c>
      <c r="EM500" s="63">
        <f t="shared" si="202"/>
        <v>0</v>
      </c>
      <c r="EN500" s="359">
        <f t="shared" si="203"/>
        <v>0</v>
      </c>
      <c r="EO500" s="51">
        <f t="shared" si="204"/>
        <v>0</v>
      </c>
      <c r="EP500" s="361">
        <f t="shared" si="205"/>
        <v>0</v>
      </c>
      <c r="EQ500" s="281"/>
      <c r="ER500" s="277"/>
      <c r="ES500" s="281"/>
      <c r="ET500" s="277"/>
      <c r="EU500" s="281"/>
      <c r="EV500" s="277"/>
      <c r="EW500" s="281"/>
      <c r="EX500" s="277"/>
      <c r="EY500" s="281"/>
      <c r="EZ500" s="277"/>
      <c r="FA500" s="281"/>
      <c r="FB500" s="277"/>
      <c r="FC500" s="281"/>
      <c r="FD500" s="277"/>
      <c r="FE500" s="281"/>
      <c r="FF500" s="277"/>
      <c r="FG500" s="281"/>
      <c r="FH500" s="277"/>
      <c r="FI500" s="281"/>
      <c r="FJ500" s="277"/>
      <c r="FK500" s="50">
        <f t="shared" si="206"/>
        <v>0</v>
      </c>
      <c r="FL500" s="63">
        <f t="shared" si="207"/>
        <v>0</v>
      </c>
      <c r="FM500" s="50">
        <f t="shared" si="189"/>
        <v>798</v>
      </c>
      <c r="FN500" s="360">
        <f t="shared" si="190"/>
        <v>822</v>
      </c>
      <c r="FO500" s="3"/>
      <c r="FP500" s="279"/>
      <c r="FQ500" s="52"/>
      <c r="FR500" s="296"/>
      <c r="FS500" s="98"/>
      <c r="FT500" s="467"/>
      <c r="FU500" s="52"/>
      <c r="FV500" s="296"/>
      <c r="FW500" s="98"/>
      <c r="FX500" s="467"/>
      <c r="FY500" s="52"/>
      <c r="FZ500" s="296"/>
      <c r="GA500" s="98"/>
      <c r="GB500" s="467"/>
      <c r="GC500" s="52"/>
      <c r="GD500" s="296"/>
      <c r="GE500" s="98"/>
      <c r="GF500" s="467"/>
      <c r="GG500" s="52"/>
      <c r="GH500" s="296"/>
      <c r="GI500" s="98"/>
      <c r="GJ500" s="467"/>
      <c r="GK500" s="52"/>
      <c r="GL500" s="296"/>
      <c r="GM500" s="464"/>
      <c r="GN500" s="467"/>
      <c r="GO500" s="52"/>
      <c r="GP500" s="296"/>
      <c r="GQ500" s="464"/>
      <c r="GR500" s="467"/>
      <c r="GS500" s="52"/>
      <c r="GT500" s="296"/>
      <c r="GU500" s="464"/>
      <c r="GV500" s="467"/>
      <c r="GW500" s="52"/>
      <c r="GX500" s="296"/>
      <c r="GY500" s="464"/>
      <c r="GZ500" s="467"/>
      <c r="HA500" s="52"/>
      <c r="HB500" s="296"/>
      <c r="HC500" s="3"/>
    </row>
    <row r="501" spans="1:211" s="86" customFormat="1">
      <c r="A501" s="491" t="s">
        <v>35</v>
      </c>
      <c r="B501" s="326" t="s">
        <v>55</v>
      </c>
      <c r="C501" s="325">
        <v>218487</v>
      </c>
      <c r="D501" s="349">
        <v>9</v>
      </c>
      <c r="E501" s="460">
        <v>226</v>
      </c>
      <c r="F501" s="535">
        <v>221</v>
      </c>
      <c r="G501" s="460"/>
      <c r="H501" s="277"/>
      <c r="I501" s="158">
        <v>224</v>
      </c>
      <c r="J501" s="535">
        <v>214</v>
      </c>
      <c r="K501" s="160">
        <f t="shared" si="191"/>
        <v>0</v>
      </c>
      <c r="L501" s="161">
        <f t="shared" si="184"/>
        <v>0</v>
      </c>
      <c r="M501" s="54"/>
      <c r="N501" s="55"/>
      <c r="O501" s="55"/>
      <c r="P501" s="55"/>
      <c r="Q501" s="162">
        <f t="shared" si="192"/>
        <v>0</v>
      </c>
      <c r="R501" s="535"/>
      <c r="S501" s="277"/>
      <c r="T501" s="277"/>
      <c r="U501" s="277"/>
      <c r="V501" s="97">
        <f t="shared" si="193"/>
        <v>0</v>
      </c>
      <c r="W501" s="279"/>
      <c r="X501" s="52"/>
      <c r="Y501" s="99"/>
      <c r="Z501" s="53"/>
      <c r="AA501" s="228"/>
      <c r="AB501" s="52"/>
      <c r="AC501" s="99"/>
      <c r="AD501" s="53"/>
      <c r="AE501" s="228"/>
      <c r="AF501" s="52"/>
      <c r="AG501" s="99"/>
      <c r="AH501" s="53"/>
      <c r="AI501" s="228"/>
      <c r="AJ501" s="52"/>
      <c r="AK501" s="99"/>
      <c r="AL501" s="53"/>
      <c r="AM501" s="228"/>
      <c r="AN501" s="52"/>
      <c r="AO501" s="99"/>
      <c r="AP501" s="53"/>
      <c r="AQ501" s="50">
        <f t="shared" si="185"/>
        <v>0</v>
      </c>
      <c r="AR501" s="163">
        <f t="shared" si="186"/>
        <v>0</v>
      </c>
      <c r="AS501" s="97">
        <f t="shared" si="187"/>
        <v>0</v>
      </c>
      <c r="AT501" s="278">
        <f t="shared" si="188"/>
        <v>0</v>
      </c>
      <c r="AU501" s="55"/>
      <c r="AV501" s="277"/>
      <c r="AW501" s="279"/>
      <c r="AX501" s="52"/>
      <c r="AY501" s="105"/>
      <c r="AZ501" s="98"/>
      <c r="BA501" s="279"/>
      <c r="BB501" s="52"/>
      <c r="BC501" s="105"/>
      <c r="BD501" s="98"/>
      <c r="BE501" s="279"/>
      <c r="BF501" s="52"/>
      <c r="BG501" s="105"/>
      <c r="BH501" s="98"/>
      <c r="BI501" s="279"/>
      <c r="BJ501" s="52"/>
      <c r="BK501" s="105"/>
      <c r="BL501" s="98"/>
      <c r="BM501" s="279"/>
      <c r="BN501" s="52"/>
      <c r="BO501" s="105"/>
      <c r="BP501" s="98"/>
      <c r="BQ501" s="279"/>
      <c r="BR501" s="52"/>
      <c r="BS501" s="105"/>
      <c r="BT501" s="98"/>
      <c r="BU501" s="279"/>
      <c r="BV501" s="52"/>
      <c r="BW501" s="105"/>
      <c r="BX501" s="98"/>
      <c r="BY501" s="279"/>
      <c r="BZ501" s="52"/>
      <c r="CA501" s="105"/>
      <c r="CB501" s="98"/>
      <c r="CC501" s="279"/>
      <c r="CD501" s="52"/>
      <c r="CE501" s="105"/>
      <c r="CF501" s="98"/>
      <c r="CG501" s="279"/>
      <c r="CH501" s="52"/>
      <c r="CI501" s="105"/>
      <c r="CJ501" s="98"/>
      <c r="CK501" s="281"/>
      <c r="CL501" s="277"/>
      <c r="CM501" s="159"/>
      <c r="CN501" s="277"/>
      <c r="CO501" s="50">
        <f t="shared" si="194"/>
        <v>0</v>
      </c>
      <c r="CP501" s="103">
        <f t="shared" si="195"/>
        <v>0</v>
      </c>
      <c r="CQ501" s="280">
        <f t="shared" si="196"/>
        <v>0</v>
      </c>
      <c r="CR501" s="63">
        <f t="shared" si="197"/>
        <v>0</v>
      </c>
      <c r="CS501" s="279"/>
      <c r="CT501" s="52"/>
      <c r="CU501" s="105"/>
      <c r="CV501" s="98"/>
      <c r="CW501" s="279"/>
      <c r="CX501" s="52"/>
      <c r="CY501" s="105"/>
      <c r="CZ501" s="98"/>
      <c r="DA501" s="279"/>
      <c r="DB501" s="52"/>
      <c r="DC501" s="105"/>
      <c r="DD501" s="98"/>
      <c r="DE501" s="279"/>
      <c r="DF501" s="52"/>
      <c r="DG501" s="105"/>
      <c r="DH501" s="98"/>
      <c r="DI501" s="279"/>
      <c r="DJ501" s="52"/>
      <c r="DK501" s="105"/>
      <c r="DL501" s="98"/>
      <c r="DM501" s="279"/>
      <c r="DN501" s="52"/>
      <c r="DO501" s="105"/>
      <c r="DP501" s="98"/>
      <c r="DQ501" s="279"/>
      <c r="DR501" s="52"/>
      <c r="DS501" s="105"/>
      <c r="DT501" s="98"/>
      <c r="DU501" s="279"/>
      <c r="DV501" s="52"/>
      <c r="DW501" s="105"/>
      <c r="DX501" s="98"/>
      <c r="DY501" s="279"/>
      <c r="DZ501" s="52"/>
      <c r="EA501" s="105"/>
      <c r="EB501" s="98"/>
      <c r="EC501" s="279"/>
      <c r="ED501" s="52"/>
      <c r="EE501" s="105"/>
      <c r="EF501" s="98"/>
      <c r="EG501" s="159"/>
      <c r="EH501" s="277"/>
      <c r="EI501" s="50">
        <f t="shared" si="198"/>
        <v>0</v>
      </c>
      <c r="EJ501" s="103">
        <f t="shared" si="199"/>
        <v>0</v>
      </c>
      <c r="EK501" s="164">
        <f t="shared" si="200"/>
        <v>0</v>
      </c>
      <c r="EL501" s="280">
        <f t="shared" si="201"/>
        <v>0</v>
      </c>
      <c r="EM501" s="63">
        <f t="shared" si="202"/>
        <v>0</v>
      </c>
      <c r="EN501" s="359">
        <f t="shared" si="203"/>
        <v>0</v>
      </c>
      <c r="EO501" s="51">
        <f t="shared" si="204"/>
        <v>0</v>
      </c>
      <c r="EP501" s="361">
        <f t="shared" si="205"/>
        <v>0</v>
      </c>
      <c r="EQ501" s="281"/>
      <c r="ER501" s="277"/>
      <c r="ES501" s="281"/>
      <c r="ET501" s="277"/>
      <c r="EU501" s="281"/>
      <c r="EV501" s="277"/>
      <c r="EW501" s="281"/>
      <c r="EX501" s="277"/>
      <c r="EY501" s="281"/>
      <c r="EZ501" s="277"/>
      <c r="FA501" s="281"/>
      <c r="FB501" s="277"/>
      <c r="FC501" s="281"/>
      <c r="FD501" s="277"/>
      <c r="FE501" s="281"/>
      <c r="FF501" s="277"/>
      <c r="FG501" s="281"/>
      <c r="FH501" s="277"/>
      <c r="FI501" s="281"/>
      <c r="FJ501" s="277"/>
      <c r="FK501" s="50">
        <f t="shared" si="206"/>
        <v>0</v>
      </c>
      <c r="FL501" s="63">
        <f t="shared" si="207"/>
        <v>0</v>
      </c>
      <c r="FM501" s="50">
        <f t="shared" si="189"/>
        <v>450</v>
      </c>
      <c r="FN501" s="360">
        <f t="shared" si="190"/>
        <v>435</v>
      </c>
      <c r="FO501" s="3"/>
      <c r="FP501" s="279"/>
      <c r="FQ501" s="52"/>
      <c r="FR501" s="296"/>
      <c r="FS501" s="98"/>
      <c r="FT501" s="467"/>
      <c r="FU501" s="52"/>
      <c r="FV501" s="296"/>
      <c r="FW501" s="98"/>
      <c r="FX501" s="467"/>
      <c r="FY501" s="52"/>
      <c r="FZ501" s="296"/>
      <c r="GA501" s="98"/>
      <c r="GB501" s="467"/>
      <c r="GC501" s="52"/>
      <c r="GD501" s="296"/>
      <c r="GE501" s="98"/>
      <c r="GF501" s="467"/>
      <c r="GG501" s="52"/>
      <c r="GH501" s="296"/>
      <c r="GI501" s="98"/>
      <c r="GJ501" s="467"/>
      <c r="GK501" s="52"/>
      <c r="GL501" s="296"/>
      <c r="GM501" s="464"/>
      <c r="GN501" s="467"/>
      <c r="GO501" s="52"/>
      <c r="GP501" s="296"/>
      <c r="GQ501" s="464"/>
      <c r="GR501" s="467"/>
      <c r="GS501" s="52"/>
      <c r="GT501" s="296"/>
      <c r="GU501" s="464"/>
      <c r="GV501" s="467"/>
      <c r="GW501" s="52"/>
      <c r="GX501" s="296"/>
      <c r="GY501" s="464"/>
      <c r="GZ501" s="467"/>
      <c r="HA501" s="52"/>
      <c r="HB501" s="296"/>
      <c r="HC501" s="3"/>
    </row>
    <row r="502" spans="1:211" s="86" customFormat="1">
      <c r="A502" s="491" t="s">
        <v>35</v>
      </c>
      <c r="B502" s="326" t="s">
        <v>56</v>
      </c>
      <c r="C502" s="325">
        <v>218520</v>
      </c>
      <c r="D502" s="349">
        <v>9</v>
      </c>
      <c r="E502" s="460">
        <v>590</v>
      </c>
      <c r="F502" s="535">
        <v>503</v>
      </c>
      <c r="G502" s="460"/>
      <c r="H502" s="277"/>
      <c r="I502" s="158">
        <v>508</v>
      </c>
      <c r="J502" s="535">
        <v>593</v>
      </c>
      <c r="K502" s="160">
        <f t="shared" si="191"/>
        <v>0</v>
      </c>
      <c r="L502" s="161">
        <f t="shared" si="184"/>
        <v>0</v>
      </c>
      <c r="M502" s="54"/>
      <c r="N502" s="55"/>
      <c r="O502" s="55"/>
      <c r="P502" s="55"/>
      <c r="Q502" s="162">
        <f t="shared" si="192"/>
        <v>0</v>
      </c>
      <c r="R502" s="535"/>
      <c r="S502" s="277"/>
      <c r="T502" s="277"/>
      <c r="U502" s="277"/>
      <c r="V502" s="97">
        <f t="shared" si="193"/>
        <v>0</v>
      </c>
      <c r="W502" s="279"/>
      <c r="X502" s="52"/>
      <c r="Y502" s="99"/>
      <c r="Z502" s="53"/>
      <c r="AA502" s="228"/>
      <c r="AB502" s="52"/>
      <c r="AC502" s="99"/>
      <c r="AD502" s="53"/>
      <c r="AE502" s="228"/>
      <c r="AF502" s="52"/>
      <c r="AG502" s="99"/>
      <c r="AH502" s="53"/>
      <c r="AI502" s="228"/>
      <c r="AJ502" s="52"/>
      <c r="AK502" s="99"/>
      <c r="AL502" s="53"/>
      <c r="AM502" s="228"/>
      <c r="AN502" s="52"/>
      <c r="AO502" s="99"/>
      <c r="AP502" s="53"/>
      <c r="AQ502" s="50">
        <f t="shared" si="185"/>
        <v>0</v>
      </c>
      <c r="AR502" s="163">
        <f t="shared" si="186"/>
        <v>0</v>
      </c>
      <c r="AS502" s="97">
        <f t="shared" si="187"/>
        <v>0</v>
      </c>
      <c r="AT502" s="278">
        <f t="shared" si="188"/>
        <v>0</v>
      </c>
      <c r="AU502" s="55"/>
      <c r="AV502" s="277"/>
      <c r="AW502" s="279"/>
      <c r="AX502" s="52"/>
      <c r="AY502" s="105"/>
      <c r="AZ502" s="98"/>
      <c r="BA502" s="279"/>
      <c r="BB502" s="52"/>
      <c r="BC502" s="105"/>
      <c r="BD502" s="98"/>
      <c r="BE502" s="279"/>
      <c r="BF502" s="52"/>
      <c r="BG502" s="105"/>
      <c r="BH502" s="98"/>
      <c r="BI502" s="279"/>
      <c r="BJ502" s="52"/>
      <c r="BK502" s="105"/>
      <c r="BL502" s="98"/>
      <c r="BM502" s="279"/>
      <c r="BN502" s="52"/>
      <c r="BO502" s="105"/>
      <c r="BP502" s="98"/>
      <c r="BQ502" s="279"/>
      <c r="BR502" s="52"/>
      <c r="BS502" s="105"/>
      <c r="BT502" s="98"/>
      <c r="BU502" s="279"/>
      <c r="BV502" s="52"/>
      <c r="BW502" s="105"/>
      <c r="BX502" s="98"/>
      <c r="BY502" s="279"/>
      <c r="BZ502" s="52"/>
      <c r="CA502" s="105"/>
      <c r="CB502" s="98"/>
      <c r="CC502" s="279"/>
      <c r="CD502" s="52"/>
      <c r="CE502" s="105"/>
      <c r="CF502" s="98"/>
      <c r="CG502" s="279"/>
      <c r="CH502" s="52"/>
      <c r="CI502" s="105"/>
      <c r="CJ502" s="98"/>
      <c r="CK502" s="281"/>
      <c r="CL502" s="277"/>
      <c r="CM502" s="159"/>
      <c r="CN502" s="277"/>
      <c r="CO502" s="50">
        <f t="shared" si="194"/>
        <v>0</v>
      </c>
      <c r="CP502" s="103">
        <f t="shared" si="195"/>
        <v>0</v>
      </c>
      <c r="CQ502" s="280">
        <f t="shared" si="196"/>
        <v>0</v>
      </c>
      <c r="CR502" s="63">
        <f t="shared" si="197"/>
        <v>0</v>
      </c>
      <c r="CS502" s="279"/>
      <c r="CT502" s="52"/>
      <c r="CU502" s="105"/>
      <c r="CV502" s="98"/>
      <c r="CW502" s="279"/>
      <c r="CX502" s="52"/>
      <c r="CY502" s="105"/>
      <c r="CZ502" s="98"/>
      <c r="DA502" s="279"/>
      <c r="DB502" s="52"/>
      <c r="DC502" s="105"/>
      <c r="DD502" s="98"/>
      <c r="DE502" s="279"/>
      <c r="DF502" s="52"/>
      <c r="DG502" s="105"/>
      <c r="DH502" s="98"/>
      <c r="DI502" s="279"/>
      <c r="DJ502" s="52"/>
      <c r="DK502" s="105"/>
      <c r="DL502" s="98"/>
      <c r="DM502" s="279"/>
      <c r="DN502" s="52"/>
      <c r="DO502" s="105"/>
      <c r="DP502" s="98"/>
      <c r="DQ502" s="279"/>
      <c r="DR502" s="52"/>
      <c r="DS502" s="105"/>
      <c r="DT502" s="98"/>
      <c r="DU502" s="279"/>
      <c r="DV502" s="52"/>
      <c r="DW502" s="105"/>
      <c r="DX502" s="98"/>
      <c r="DY502" s="279"/>
      <c r="DZ502" s="52"/>
      <c r="EA502" s="105"/>
      <c r="EB502" s="98"/>
      <c r="EC502" s="279"/>
      <c r="ED502" s="52"/>
      <c r="EE502" s="105"/>
      <c r="EF502" s="98"/>
      <c r="EG502" s="159"/>
      <c r="EH502" s="277"/>
      <c r="EI502" s="50">
        <f t="shared" si="198"/>
        <v>0</v>
      </c>
      <c r="EJ502" s="103">
        <f t="shared" si="199"/>
        <v>0</v>
      </c>
      <c r="EK502" s="164">
        <f t="shared" si="200"/>
        <v>0</v>
      </c>
      <c r="EL502" s="280">
        <f t="shared" si="201"/>
        <v>0</v>
      </c>
      <c r="EM502" s="63">
        <f t="shared" si="202"/>
        <v>0</v>
      </c>
      <c r="EN502" s="359">
        <f t="shared" si="203"/>
        <v>0</v>
      </c>
      <c r="EO502" s="51">
        <f t="shared" si="204"/>
        <v>0</v>
      </c>
      <c r="EP502" s="361">
        <f t="shared" si="205"/>
        <v>0</v>
      </c>
      <c r="EQ502" s="281"/>
      <c r="ER502" s="277"/>
      <c r="ES502" s="281"/>
      <c r="ET502" s="277"/>
      <c r="EU502" s="281"/>
      <c r="EV502" s="277"/>
      <c r="EW502" s="281"/>
      <c r="EX502" s="277"/>
      <c r="EY502" s="281"/>
      <c r="EZ502" s="277"/>
      <c r="FA502" s="281"/>
      <c r="FB502" s="277"/>
      <c r="FC502" s="281"/>
      <c r="FD502" s="277"/>
      <c r="FE502" s="281"/>
      <c r="FF502" s="277"/>
      <c r="FG502" s="281"/>
      <c r="FH502" s="277"/>
      <c r="FI502" s="281"/>
      <c r="FJ502" s="277"/>
      <c r="FK502" s="50">
        <f t="shared" si="206"/>
        <v>0</v>
      </c>
      <c r="FL502" s="63">
        <f t="shared" si="207"/>
        <v>0</v>
      </c>
      <c r="FM502" s="50">
        <f t="shared" si="189"/>
        <v>1098</v>
      </c>
      <c r="FN502" s="360">
        <f t="shared" si="190"/>
        <v>1096</v>
      </c>
      <c r="FO502" s="3"/>
      <c r="FP502" s="279"/>
      <c r="FQ502" s="52"/>
      <c r="FR502" s="296"/>
      <c r="FS502" s="98"/>
      <c r="FT502" s="467"/>
      <c r="FU502" s="52"/>
      <c r="FV502" s="296"/>
      <c r="FW502" s="98"/>
      <c r="FX502" s="467"/>
      <c r="FY502" s="52"/>
      <c r="FZ502" s="296"/>
      <c r="GA502" s="98"/>
      <c r="GB502" s="467"/>
      <c r="GC502" s="52"/>
      <c r="GD502" s="296"/>
      <c r="GE502" s="98"/>
      <c r="GF502" s="467"/>
      <c r="GG502" s="52"/>
      <c r="GH502" s="296"/>
      <c r="GI502" s="98"/>
      <c r="GJ502" s="467"/>
      <c r="GK502" s="52"/>
      <c r="GL502" s="296"/>
      <c r="GM502" s="464"/>
      <c r="GN502" s="467"/>
      <c r="GO502" s="52"/>
      <c r="GP502" s="296"/>
      <c r="GQ502" s="464"/>
      <c r="GR502" s="467"/>
      <c r="GS502" s="52"/>
      <c r="GT502" s="296"/>
      <c r="GU502" s="464"/>
      <c r="GV502" s="467"/>
      <c r="GW502" s="52"/>
      <c r="GX502" s="296"/>
      <c r="GY502" s="464"/>
      <c r="GZ502" s="467"/>
      <c r="HA502" s="52"/>
      <c r="HB502" s="296"/>
      <c r="HC502" s="3"/>
    </row>
    <row r="503" spans="1:211" s="86" customFormat="1">
      <c r="A503" s="491" t="s">
        <v>35</v>
      </c>
      <c r="B503" s="495" t="s">
        <v>57</v>
      </c>
      <c r="C503" s="325">
        <v>218830</v>
      </c>
      <c r="D503" s="349">
        <v>9</v>
      </c>
      <c r="E503" s="460">
        <v>217</v>
      </c>
      <c r="F503" s="535">
        <v>221</v>
      </c>
      <c r="G503" s="460"/>
      <c r="H503" s="277"/>
      <c r="I503" s="158">
        <v>383</v>
      </c>
      <c r="J503" s="535">
        <v>415</v>
      </c>
      <c r="K503" s="160">
        <f t="shared" si="191"/>
        <v>0</v>
      </c>
      <c r="L503" s="161">
        <f t="shared" si="184"/>
        <v>0</v>
      </c>
      <c r="M503" s="54"/>
      <c r="N503" s="55"/>
      <c r="O503" s="55"/>
      <c r="P503" s="55"/>
      <c r="Q503" s="162">
        <f t="shared" si="192"/>
        <v>0</v>
      </c>
      <c r="R503" s="535"/>
      <c r="S503" s="277"/>
      <c r="T503" s="277"/>
      <c r="U503" s="277"/>
      <c r="V503" s="97">
        <f t="shared" si="193"/>
        <v>0</v>
      </c>
      <c r="W503" s="279"/>
      <c r="X503" s="52"/>
      <c r="Y503" s="99"/>
      <c r="Z503" s="53"/>
      <c r="AA503" s="228"/>
      <c r="AB503" s="52"/>
      <c r="AC503" s="99"/>
      <c r="AD503" s="53"/>
      <c r="AE503" s="228"/>
      <c r="AF503" s="52"/>
      <c r="AG503" s="99"/>
      <c r="AH503" s="53"/>
      <c r="AI503" s="228"/>
      <c r="AJ503" s="52"/>
      <c r="AK503" s="99"/>
      <c r="AL503" s="53"/>
      <c r="AM503" s="228"/>
      <c r="AN503" s="52"/>
      <c r="AO503" s="99"/>
      <c r="AP503" s="53"/>
      <c r="AQ503" s="50">
        <f t="shared" si="185"/>
        <v>0</v>
      </c>
      <c r="AR503" s="163">
        <f t="shared" si="186"/>
        <v>0</v>
      </c>
      <c r="AS503" s="97">
        <f t="shared" si="187"/>
        <v>0</v>
      </c>
      <c r="AT503" s="278">
        <f t="shared" si="188"/>
        <v>0</v>
      </c>
      <c r="AU503" s="55"/>
      <c r="AV503" s="277"/>
      <c r="AW503" s="279"/>
      <c r="AX503" s="52"/>
      <c r="AY503" s="105"/>
      <c r="AZ503" s="98"/>
      <c r="BA503" s="279"/>
      <c r="BB503" s="52"/>
      <c r="BC503" s="105"/>
      <c r="BD503" s="98"/>
      <c r="BE503" s="279"/>
      <c r="BF503" s="52"/>
      <c r="BG503" s="105"/>
      <c r="BH503" s="98"/>
      <c r="BI503" s="279"/>
      <c r="BJ503" s="52"/>
      <c r="BK503" s="105"/>
      <c r="BL503" s="98"/>
      <c r="BM503" s="279"/>
      <c r="BN503" s="52"/>
      <c r="BO503" s="105"/>
      <c r="BP503" s="98"/>
      <c r="BQ503" s="279"/>
      <c r="BR503" s="52"/>
      <c r="BS503" s="105"/>
      <c r="BT503" s="98"/>
      <c r="BU503" s="279"/>
      <c r="BV503" s="52"/>
      <c r="BW503" s="105"/>
      <c r="BX503" s="98"/>
      <c r="BY503" s="279"/>
      <c r="BZ503" s="52"/>
      <c r="CA503" s="105"/>
      <c r="CB503" s="98"/>
      <c r="CC503" s="279"/>
      <c r="CD503" s="52"/>
      <c r="CE503" s="105"/>
      <c r="CF503" s="98"/>
      <c r="CG503" s="279"/>
      <c r="CH503" s="52"/>
      <c r="CI503" s="105"/>
      <c r="CJ503" s="98"/>
      <c r="CK503" s="281"/>
      <c r="CL503" s="277"/>
      <c r="CM503" s="159"/>
      <c r="CN503" s="277"/>
      <c r="CO503" s="50">
        <f t="shared" si="194"/>
        <v>0</v>
      </c>
      <c r="CP503" s="103">
        <f t="shared" si="195"/>
        <v>0</v>
      </c>
      <c r="CQ503" s="280">
        <f t="shared" si="196"/>
        <v>0</v>
      </c>
      <c r="CR503" s="63">
        <f t="shared" si="197"/>
        <v>0</v>
      </c>
      <c r="CS503" s="279"/>
      <c r="CT503" s="52"/>
      <c r="CU503" s="105"/>
      <c r="CV503" s="98"/>
      <c r="CW503" s="279"/>
      <c r="CX503" s="52"/>
      <c r="CY503" s="105"/>
      <c r="CZ503" s="98"/>
      <c r="DA503" s="279"/>
      <c r="DB503" s="52"/>
      <c r="DC503" s="105"/>
      <c r="DD503" s="98"/>
      <c r="DE503" s="279"/>
      <c r="DF503" s="52"/>
      <c r="DG503" s="105"/>
      <c r="DH503" s="98"/>
      <c r="DI503" s="279"/>
      <c r="DJ503" s="52"/>
      <c r="DK503" s="105"/>
      <c r="DL503" s="98"/>
      <c r="DM503" s="279"/>
      <c r="DN503" s="52"/>
      <c r="DO503" s="105"/>
      <c r="DP503" s="98"/>
      <c r="DQ503" s="279"/>
      <c r="DR503" s="52"/>
      <c r="DS503" s="105"/>
      <c r="DT503" s="98"/>
      <c r="DU503" s="279"/>
      <c r="DV503" s="52"/>
      <c r="DW503" s="105"/>
      <c r="DX503" s="98"/>
      <c r="DY503" s="279"/>
      <c r="DZ503" s="52"/>
      <c r="EA503" s="105"/>
      <c r="EB503" s="98"/>
      <c r="EC503" s="279"/>
      <c r="ED503" s="52"/>
      <c r="EE503" s="105"/>
      <c r="EF503" s="98"/>
      <c r="EG503" s="159"/>
      <c r="EH503" s="277"/>
      <c r="EI503" s="50">
        <f t="shared" si="198"/>
        <v>0</v>
      </c>
      <c r="EJ503" s="103">
        <f t="shared" si="199"/>
        <v>0</v>
      </c>
      <c r="EK503" s="164">
        <f t="shared" si="200"/>
        <v>0</v>
      </c>
      <c r="EL503" s="280">
        <f t="shared" si="201"/>
        <v>0</v>
      </c>
      <c r="EM503" s="63">
        <f t="shared" si="202"/>
        <v>0</v>
      </c>
      <c r="EN503" s="359">
        <f t="shared" si="203"/>
        <v>0</v>
      </c>
      <c r="EO503" s="51">
        <f t="shared" si="204"/>
        <v>0</v>
      </c>
      <c r="EP503" s="361">
        <f t="shared" si="205"/>
        <v>0</v>
      </c>
      <c r="EQ503" s="281"/>
      <c r="ER503" s="277"/>
      <c r="ES503" s="281"/>
      <c r="ET503" s="277"/>
      <c r="EU503" s="281"/>
      <c r="EV503" s="277"/>
      <c r="EW503" s="281"/>
      <c r="EX503" s="277"/>
      <c r="EY503" s="281"/>
      <c r="EZ503" s="277"/>
      <c r="FA503" s="281"/>
      <c r="FB503" s="277"/>
      <c r="FC503" s="281"/>
      <c r="FD503" s="277"/>
      <c r="FE503" s="281"/>
      <c r="FF503" s="277"/>
      <c r="FG503" s="281"/>
      <c r="FH503" s="277"/>
      <c r="FI503" s="281"/>
      <c r="FJ503" s="277"/>
      <c r="FK503" s="50">
        <f t="shared" si="206"/>
        <v>0</v>
      </c>
      <c r="FL503" s="63">
        <f t="shared" si="207"/>
        <v>0</v>
      </c>
      <c r="FM503" s="50">
        <f t="shared" si="189"/>
        <v>600</v>
      </c>
      <c r="FN503" s="360">
        <f t="shared" si="190"/>
        <v>636</v>
      </c>
      <c r="FO503" s="3"/>
      <c r="FP503" s="279"/>
      <c r="FQ503" s="52"/>
      <c r="FR503" s="296"/>
      <c r="FS503" s="98"/>
      <c r="FT503" s="467"/>
      <c r="FU503" s="52"/>
      <c r="FV503" s="296"/>
      <c r="FW503" s="98"/>
      <c r="FX503" s="467"/>
      <c r="FY503" s="52"/>
      <c r="FZ503" s="296"/>
      <c r="GA503" s="98"/>
      <c r="GB503" s="467"/>
      <c r="GC503" s="52"/>
      <c r="GD503" s="296"/>
      <c r="GE503" s="98"/>
      <c r="GF503" s="467"/>
      <c r="GG503" s="52"/>
      <c r="GH503" s="296"/>
      <c r="GI503" s="98"/>
      <c r="GJ503" s="467"/>
      <c r="GK503" s="52"/>
      <c r="GL503" s="296"/>
      <c r="GM503" s="464"/>
      <c r="GN503" s="467"/>
      <c r="GO503" s="52"/>
      <c r="GP503" s="296"/>
      <c r="GQ503" s="464"/>
      <c r="GR503" s="467"/>
      <c r="GS503" s="52"/>
      <c r="GT503" s="296"/>
      <c r="GU503" s="464"/>
      <c r="GV503" s="467"/>
      <c r="GW503" s="52"/>
      <c r="GX503" s="296"/>
      <c r="GY503" s="464"/>
      <c r="GZ503" s="467"/>
      <c r="HA503" s="52"/>
      <c r="HB503" s="296"/>
      <c r="HC503" s="3"/>
    </row>
    <row r="504" spans="1:211" s="86" customFormat="1">
      <c r="A504" s="491" t="s">
        <v>35</v>
      </c>
      <c r="B504" s="326" t="s">
        <v>58</v>
      </c>
      <c r="C504" s="325">
        <v>218885</v>
      </c>
      <c r="D504" s="349">
        <v>9</v>
      </c>
      <c r="E504" s="460">
        <v>358</v>
      </c>
      <c r="F504" s="535">
        <v>363</v>
      </c>
      <c r="G504" s="460"/>
      <c r="H504" s="277"/>
      <c r="I504" s="158">
        <v>511</v>
      </c>
      <c r="J504" s="535">
        <v>485</v>
      </c>
      <c r="K504" s="160">
        <f t="shared" si="191"/>
        <v>0</v>
      </c>
      <c r="L504" s="161">
        <f t="shared" si="184"/>
        <v>0</v>
      </c>
      <c r="M504" s="54"/>
      <c r="N504" s="55"/>
      <c r="O504" s="55"/>
      <c r="P504" s="55"/>
      <c r="Q504" s="162">
        <f t="shared" si="192"/>
        <v>0</v>
      </c>
      <c r="R504" s="535"/>
      <c r="S504" s="277"/>
      <c r="T504" s="277"/>
      <c r="U504" s="277"/>
      <c r="V504" s="97">
        <f t="shared" si="193"/>
        <v>0</v>
      </c>
      <c r="W504" s="279"/>
      <c r="X504" s="52"/>
      <c r="Y504" s="99"/>
      <c r="Z504" s="53"/>
      <c r="AA504" s="228"/>
      <c r="AB504" s="52"/>
      <c r="AC504" s="99"/>
      <c r="AD504" s="53"/>
      <c r="AE504" s="228"/>
      <c r="AF504" s="52"/>
      <c r="AG504" s="99"/>
      <c r="AH504" s="53"/>
      <c r="AI504" s="228"/>
      <c r="AJ504" s="52"/>
      <c r="AK504" s="99"/>
      <c r="AL504" s="53"/>
      <c r="AM504" s="228"/>
      <c r="AN504" s="52"/>
      <c r="AO504" s="99"/>
      <c r="AP504" s="53"/>
      <c r="AQ504" s="50">
        <f t="shared" si="185"/>
        <v>0</v>
      </c>
      <c r="AR504" s="163">
        <f t="shared" si="186"/>
        <v>0</v>
      </c>
      <c r="AS504" s="97">
        <f t="shared" si="187"/>
        <v>0</v>
      </c>
      <c r="AT504" s="278">
        <f t="shared" si="188"/>
        <v>0</v>
      </c>
      <c r="AU504" s="55"/>
      <c r="AV504" s="277"/>
      <c r="AW504" s="279"/>
      <c r="AX504" s="52"/>
      <c r="AY504" s="105"/>
      <c r="AZ504" s="98"/>
      <c r="BA504" s="279"/>
      <c r="BB504" s="52"/>
      <c r="BC504" s="105"/>
      <c r="BD504" s="98"/>
      <c r="BE504" s="279"/>
      <c r="BF504" s="52"/>
      <c r="BG504" s="105"/>
      <c r="BH504" s="98"/>
      <c r="BI504" s="279"/>
      <c r="BJ504" s="52"/>
      <c r="BK504" s="105"/>
      <c r="BL504" s="98"/>
      <c r="BM504" s="279"/>
      <c r="BN504" s="52"/>
      <c r="BO504" s="105"/>
      <c r="BP504" s="98"/>
      <c r="BQ504" s="279"/>
      <c r="BR504" s="52"/>
      <c r="BS504" s="105"/>
      <c r="BT504" s="98"/>
      <c r="BU504" s="279"/>
      <c r="BV504" s="52"/>
      <c r="BW504" s="105"/>
      <c r="BX504" s="98"/>
      <c r="BY504" s="279"/>
      <c r="BZ504" s="52"/>
      <c r="CA504" s="105"/>
      <c r="CB504" s="98"/>
      <c r="CC504" s="279"/>
      <c r="CD504" s="52"/>
      <c r="CE504" s="105"/>
      <c r="CF504" s="98"/>
      <c r="CG504" s="279"/>
      <c r="CH504" s="52"/>
      <c r="CI504" s="105"/>
      <c r="CJ504" s="98"/>
      <c r="CK504" s="281"/>
      <c r="CL504" s="277"/>
      <c r="CM504" s="159"/>
      <c r="CN504" s="277"/>
      <c r="CO504" s="50">
        <f t="shared" si="194"/>
        <v>0</v>
      </c>
      <c r="CP504" s="103">
        <f t="shared" si="195"/>
        <v>0</v>
      </c>
      <c r="CQ504" s="280">
        <f t="shared" si="196"/>
        <v>0</v>
      </c>
      <c r="CR504" s="63">
        <f t="shared" si="197"/>
        <v>0</v>
      </c>
      <c r="CS504" s="279"/>
      <c r="CT504" s="52"/>
      <c r="CU504" s="105"/>
      <c r="CV504" s="98"/>
      <c r="CW504" s="279"/>
      <c r="CX504" s="52"/>
      <c r="CY504" s="105"/>
      <c r="CZ504" s="98"/>
      <c r="DA504" s="279"/>
      <c r="DB504" s="52"/>
      <c r="DC504" s="105"/>
      <c r="DD504" s="98"/>
      <c r="DE504" s="279"/>
      <c r="DF504" s="52"/>
      <c r="DG504" s="105"/>
      <c r="DH504" s="98"/>
      <c r="DI504" s="279"/>
      <c r="DJ504" s="52"/>
      <c r="DK504" s="105"/>
      <c r="DL504" s="98"/>
      <c r="DM504" s="279"/>
      <c r="DN504" s="52"/>
      <c r="DO504" s="105"/>
      <c r="DP504" s="98"/>
      <c r="DQ504" s="279"/>
      <c r="DR504" s="52"/>
      <c r="DS504" s="105"/>
      <c r="DT504" s="98"/>
      <c r="DU504" s="279"/>
      <c r="DV504" s="52"/>
      <c r="DW504" s="105"/>
      <c r="DX504" s="98"/>
      <c r="DY504" s="279"/>
      <c r="DZ504" s="52"/>
      <c r="EA504" s="105"/>
      <c r="EB504" s="98"/>
      <c r="EC504" s="279"/>
      <c r="ED504" s="52"/>
      <c r="EE504" s="105"/>
      <c r="EF504" s="98"/>
      <c r="EG504" s="159"/>
      <c r="EH504" s="277"/>
      <c r="EI504" s="50">
        <f t="shared" si="198"/>
        <v>0</v>
      </c>
      <c r="EJ504" s="103">
        <f t="shared" si="199"/>
        <v>0</v>
      </c>
      <c r="EK504" s="164">
        <f t="shared" si="200"/>
        <v>0</v>
      </c>
      <c r="EL504" s="280">
        <f t="shared" si="201"/>
        <v>0</v>
      </c>
      <c r="EM504" s="63">
        <f t="shared" si="202"/>
        <v>0</v>
      </c>
      <c r="EN504" s="359">
        <f t="shared" si="203"/>
        <v>0</v>
      </c>
      <c r="EO504" s="51">
        <f t="shared" si="204"/>
        <v>0</v>
      </c>
      <c r="EP504" s="361">
        <f t="shared" si="205"/>
        <v>0</v>
      </c>
      <c r="EQ504" s="281"/>
      <c r="ER504" s="277"/>
      <c r="ES504" s="281"/>
      <c r="ET504" s="277"/>
      <c r="EU504" s="281"/>
      <c r="EV504" s="277"/>
      <c r="EW504" s="281"/>
      <c r="EX504" s="277"/>
      <c r="EY504" s="281"/>
      <c r="EZ504" s="277"/>
      <c r="FA504" s="281"/>
      <c r="FB504" s="277"/>
      <c r="FC504" s="281"/>
      <c r="FD504" s="277"/>
      <c r="FE504" s="281"/>
      <c r="FF504" s="277"/>
      <c r="FG504" s="281"/>
      <c r="FH504" s="277"/>
      <c r="FI504" s="281"/>
      <c r="FJ504" s="277"/>
      <c r="FK504" s="50">
        <f t="shared" si="206"/>
        <v>0</v>
      </c>
      <c r="FL504" s="63">
        <f t="shared" si="207"/>
        <v>0</v>
      </c>
      <c r="FM504" s="50">
        <f t="shared" si="189"/>
        <v>869</v>
      </c>
      <c r="FN504" s="360">
        <f t="shared" si="190"/>
        <v>848</v>
      </c>
      <c r="FO504" s="3"/>
      <c r="FP504" s="279"/>
      <c r="FQ504" s="52"/>
      <c r="FR504" s="296"/>
      <c r="FS504" s="98"/>
      <c r="FT504" s="467"/>
      <c r="FU504" s="52"/>
      <c r="FV504" s="296"/>
      <c r="FW504" s="98"/>
      <c r="FX504" s="467"/>
      <c r="FY504" s="52"/>
      <c r="FZ504" s="296"/>
      <c r="GA504" s="98"/>
      <c r="GB504" s="467"/>
      <c r="GC504" s="52"/>
      <c r="GD504" s="296"/>
      <c r="GE504" s="98"/>
      <c r="GF504" s="467"/>
      <c r="GG504" s="52"/>
      <c r="GH504" s="296"/>
      <c r="GI504" s="98"/>
      <c r="GJ504" s="467"/>
      <c r="GK504" s="52"/>
      <c r="GL504" s="296"/>
      <c r="GM504" s="464"/>
      <c r="GN504" s="467"/>
      <c r="GO504" s="52"/>
      <c r="GP504" s="296"/>
      <c r="GQ504" s="464"/>
      <c r="GR504" s="467"/>
      <c r="GS504" s="52"/>
      <c r="GT504" s="296"/>
      <c r="GU504" s="464"/>
      <c r="GV504" s="467"/>
      <c r="GW504" s="52"/>
      <c r="GX504" s="296"/>
      <c r="GY504" s="464"/>
      <c r="GZ504" s="467"/>
      <c r="HA504" s="52"/>
      <c r="HB504" s="296"/>
      <c r="HC504" s="3"/>
    </row>
    <row r="505" spans="1:211" s="86" customFormat="1">
      <c r="A505" s="491" t="s">
        <v>35</v>
      </c>
      <c r="B505" s="326" t="s">
        <v>59</v>
      </c>
      <c r="C505" s="325">
        <v>218991</v>
      </c>
      <c r="D505" s="349">
        <v>9</v>
      </c>
      <c r="E505" s="460">
        <v>482</v>
      </c>
      <c r="F505" s="535">
        <v>497</v>
      </c>
      <c r="G505" s="460"/>
      <c r="H505" s="277"/>
      <c r="I505" s="158">
        <v>360</v>
      </c>
      <c r="J505" s="535">
        <v>402</v>
      </c>
      <c r="K505" s="160">
        <f t="shared" si="191"/>
        <v>0</v>
      </c>
      <c r="L505" s="161">
        <f t="shared" si="184"/>
        <v>0</v>
      </c>
      <c r="M505" s="54"/>
      <c r="N505" s="55"/>
      <c r="O505" s="55"/>
      <c r="P505" s="55"/>
      <c r="Q505" s="162">
        <f t="shared" si="192"/>
        <v>0</v>
      </c>
      <c r="R505" s="535"/>
      <c r="S505" s="277"/>
      <c r="T505" s="277"/>
      <c r="U505" s="277"/>
      <c r="V505" s="97">
        <f t="shared" si="193"/>
        <v>0</v>
      </c>
      <c r="W505" s="279"/>
      <c r="X505" s="52"/>
      <c r="Y505" s="99"/>
      <c r="Z505" s="53"/>
      <c r="AA505" s="228"/>
      <c r="AB505" s="52"/>
      <c r="AC505" s="99"/>
      <c r="AD505" s="53"/>
      <c r="AE505" s="228"/>
      <c r="AF505" s="52"/>
      <c r="AG505" s="99"/>
      <c r="AH505" s="53"/>
      <c r="AI505" s="228"/>
      <c r="AJ505" s="52"/>
      <c r="AK505" s="99"/>
      <c r="AL505" s="53"/>
      <c r="AM505" s="228"/>
      <c r="AN505" s="52"/>
      <c r="AO505" s="99"/>
      <c r="AP505" s="53"/>
      <c r="AQ505" s="50">
        <f t="shared" si="185"/>
        <v>0</v>
      </c>
      <c r="AR505" s="163">
        <f t="shared" si="186"/>
        <v>0</v>
      </c>
      <c r="AS505" s="97">
        <f t="shared" si="187"/>
        <v>0</v>
      </c>
      <c r="AT505" s="278">
        <f t="shared" si="188"/>
        <v>0</v>
      </c>
      <c r="AU505" s="55"/>
      <c r="AV505" s="277"/>
      <c r="AW505" s="279"/>
      <c r="AX505" s="52"/>
      <c r="AY505" s="105"/>
      <c r="AZ505" s="98"/>
      <c r="BA505" s="279"/>
      <c r="BB505" s="52"/>
      <c r="BC505" s="105"/>
      <c r="BD505" s="98"/>
      <c r="BE505" s="279"/>
      <c r="BF505" s="52"/>
      <c r="BG505" s="105"/>
      <c r="BH505" s="98"/>
      <c r="BI505" s="279"/>
      <c r="BJ505" s="52"/>
      <c r="BK505" s="105"/>
      <c r="BL505" s="98"/>
      <c r="BM505" s="279"/>
      <c r="BN505" s="52"/>
      <c r="BO505" s="105"/>
      <c r="BP505" s="98"/>
      <c r="BQ505" s="279"/>
      <c r="BR505" s="52"/>
      <c r="BS505" s="105"/>
      <c r="BT505" s="98"/>
      <c r="BU505" s="279"/>
      <c r="BV505" s="52"/>
      <c r="BW505" s="105"/>
      <c r="BX505" s="98"/>
      <c r="BY505" s="279"/>
      <c r="BZ505" s="52"/>
      <c r="CA505" s="105"/>
      <c r="CB505" s="98"/>
      <c r="CC505" s="279"/>
      <c r="CD505" s="52"/>
      <c r="CE505" s="105"/>
      <c r="CF505" s="98"/>
      <c r="CG505" s="279"/>
      <c r="CH505" s="52"/>
      <c r="CI505" s="105"/>
      <c r="CJ505" s="98"/>
      <c r="CK505" s="281"/>
      <c r="CL505" s="277"/>
      <c r="CM505" s="159"/>
      <c r="CN505" s="277"/>
      <c r="CO505" s="50">
        <f t="shared" si="194"/>
        <v>0</v>
      </c>
      <c r="CP505" s="103">
        <f t="shared" si="195"/>
        <v>0</v>
      </c>
      <c r="CQ505" s="280">
        <f t="shared" si="196"/>
        <v>0</v>
      </c>
      <c r="CR505" s="63">
        <f t="shared" si="197"/>
        <v>0</v>
      </c>
      <c r="CS505" s="279"/>
      <c r="CT505" s="52"/>
      <c r="CU505" s="105"/>
      <c r="CV505" s="98"/>
      <c r="CW505" s="279"/>
      <c r="CX505" s="52"/>
      <c r="CY505" s="105"/>
      <c r="CZ505" s="98"/>
      <c r="DA505" s="279"/>
      <c r="DB505" s="52"/>
      <c r="DC505" s="105"/>
      <c r="DD505" s="98"/>
      <c r="DE505" s="279"/>
      <c r="DF505" s="52"/>
      <c r="DG505" s="105"/>
      <c r="DH505" s="98"/>
      <c r="DI505" s="279"/>
      <c r="DJ505" s="52"/>
      <c r="DK505" s="105"/>
      <c r="DL505" s="98"/>
      <c r="DM505" s="279"/>
      <c r="DN505" s="52"/>
      <c r="DO505" s="105"/>
      <c r="DP505" s="98"/>
      <c r="DQ505" s="279"/>
      <c r="DR505" s="52"/>
      <c r="DS505" s="105"/>
      <c r="DT505" s="98"/>
      <c r="DU505" s="279"/>
      <c r="DV505" s="52"/>
      <c r="DW505" s="105"/>
      <c r="DX505" s="98"/>
      <c r="DY505" s="279"/>
      <c r="DZ505" s="52"/>
      <c r="EA505" s="105"/>
      <c r="EB505" s="98"/>
      <c r="EC505" s="279"/>
      <c r="ED505" s="52"/>
      <c r="EE505" s="105"/>
      <c r="EF505" s="98"/>
      <c r="EG505" s="159"/>
      <c r="EH505" s="277"/>
      <c r="EI505" s="50">
        <f t="shared" si="198"/>
        <v>0</v>
      </c>
      <c r="EJ505" s="103">
        <f t="shared" si="199"/>
        <v>0</v>
      </c>
      <c r="EK505" s="164">
        <f t="shared" si="200"/>
        <v>0</v>
      </c>
      <c r="EL505" s="280">
        <f t="shared" si="201"/>
        <v>0</v>
      </c>
      <c r="EM505" s="63">
        <f t="shared" si="202"/>
        <v>0</v>
      </c>
      <c r="EN505" s="359">
        <f t="shared" si="203"/>
        <v>0</v>
      </c>
      <c r="EO505" s="51">
        <f t="shared" si="204"/>
        <v>0</v>
      </c>
      <c r="EP505" s="361">
        <f t="shared" si="205"/>
        <v>0</v>
      </c>
      <c r="EQ505" s="281"/>
      <c r="ER505" s="277"/>
      <c r="ES505" s="281"/>
      <c r="ET505" s="277"/>
      <c r="EU505" s="281"/>
      <c r="EV505" s="277"/>
      <c r="EW505" s="281"/>
      <c r="EX505" s="277"/>
      <c r="EY505" s="281"/>
      <c r="EZ505" s="277"/>
      <c r="FA505" s="281"/>
      <c r="FB505" s="277"/>
      <c r="FC505" s="281"/>
      <c r="FD505" s="277"/>
      <c r="FE505" s="281"/>
      <c r="FF505" s="277"/>
      <c r="FG505" s="281"/>
      <c r="FH505" s="277"/>
      <c r="FI505" s="281"/>
      <c r="FJ505" s="277"/>
      <c r="FK505" s="50">
        <f t="shared" si="206"/>
        <v>0</v>
      </c>
      <c r="FL505" s="63">
        <f t="shared" si="207"/>
        <v>0</v>
      </c>
      <c r="FM505" s="50">
        <f t="shared" si="189"/>
        <v>842</v>
      </c>
      <c r="FN505" s="360">
        <f t="shared" si="190"/>
        <v>899</v>
      </c>
      <c r="FO505" s="3"/>
      <c r="FP505" s="279"/>
      <c r="FQ505" s="52"/>
      <c r="FR505" s="296"/>
      <c r="FS505" s="98"/>
      <c r="FT505" s="467"/>
      <c r="FU505" s="52"/>
      <c r="FV505" s="296"/>
      <c r="FW505" s="98"/>
      <c r="FX505" s="467"/>
      <c r="FY505" s="52"/>
      <c r="FZ505" s="296"/>
      <c r="GA505" s="98"/>
      <c r="GB505" s="467"/>
      <c r="GC505" s="52"/>
      <c r="GD505" s="296"/>
      <c r="GE505" s="98"/>
      <c r="GF505" s="467"/>
      <c r="GG505" s="52"/>
      <c r="GH505" s="296"/>
      <c r="GI505" s="98"/>
      <c r="GJ505" s="467"/>
      <c r="GK505" s="52"/>
      <c r="GL505" s="296"/>
      <c r="GM505" s="464"/>
      <c r="GN505" s="467"/>
      <c r="GO505" s="52"/>
      <c r="GP505" s="296"/>
      <c r="GQ505" s="464"/>
      <c r="GR505" s="467"/>
      <c r="GS505" s="52"/>
      <c r="GT505" s="296"/>
      <c r="GU505" s="464"/>
      <c r="GV505" s="467"/>
      <c r="GW505" s="52"/>
      <c r="GX505" s="296"/>
      <c r="GY505" s="464"/>
      <c r="GZ505" s="467"/>
      <c r="HA505" s="52"/>
      <c r="HB505" s="296"/>
      <c r="HC505" s="3"/>
    </row>
    <row r="506" spans="1:211" s="86" customFormat="1">
      <c r="A506" s="491" t="s">
        <v>35</v>
      </c>
      <c r="B506" s="326" t="s">
        <v>60</v>
      </c>
      <c r="C506" s="325">
        <v>217989</v>
      </c>
      <c r="D506" s="349">
        <v>10</v>
      </c>
      <c r="E506" s="460">
        <v>138</v>
      </c>
      <c r="F506" s="535">
        <v>137</v>
      </c>
      <c r="G506" s="460"/>
      <c r="H506" s="277"/>
      <c r="I506" s="158">
        <v>133</v>
      </c>
      <c r="J506" s="535">
        <v>104</v>
      </c>
      <c r="K506" s="160">
        <f t="shared" si="191"/>
        <v>0</v>
      </c>
      <c r="L506" s="161">
        <f t="shared" si="184"/>
        <v>0</v>
      </c>
      <c r="M506" s="54"/>
      <c r="N506" s="55"/>
      <c r="O506" s="55"/>
      <c r="P506" s="55"/>
      <c r="Q506" s="162">
        <f t="shared" si="192"/>
        <v>0</v>
      </c>
      <c r="R506" s="535"/>
      <c r="S506" s="277"/>
      <c r="T506" s="277"/>
      <c r="U506" s="277"/>
      <c r="V506" s="97">
        <f t="shared" si="193"/>
        <v>0</v>
      </c>
      <c r="W506" s="279"/>
      <c r="X506" s="52"/>
      <c r="Y506" s="99"/>
      <c r="Z506" s="53"/>
      <c r="AA506" s="228"/>
      <c r="AB506" s="52"/>
      <c r="AC506" s="99"/>
      <c r="AD506" s="53"/>
      <c r="AE506" s="228"/>
      <c r="AF506" s="52"/>
      <c r="AG506" s="99"/>
      <c r="AH506" s="53"/>
      <c r="AI506" s="228"/>
      <c r="AJ506" s="52"/>
      <c r="AK506" s="99"/>
      <c r="AL506" s="53"/>
      <c r="AM506" s="228"/>
      <c r="AN506" s="52"/>
      <c r="AO506" s="99"/>
      <c r="AP506" s="53"/>
      <c r="AQ506" s="50">
        <f t="shared" si="185"/>
        <v>0</v>
      </c>
      <c r="AR506" s="163">
        <f t="shared" si="186"/>
        <v>0</v>
      </c>
      <c r="AS506" s="97">
        <f t="shared" si="187"/>
        <v>0</v>
      </c>
      <c r="AT506" s="278">
        <f t="shared" si="188"/>
        <v>0</v>
      </c>
      <c r="AU506" s="55"/>
      <c r="AV506" s="277"/>
      <c r="AW506" s="279"/>
      <c r="AX506" s="52"/>
      <c r="AY506" s="105"/>
      <c r="AZ506" s="98"/>
      <c r="BA506" s="279"/>
      <c r="BB506" s="52"/>
      <c r="BC506" s="105"/>
      <c r="BD506" s="98"/>
      <c r="BE506" s="279"/>
      <c r="BF506" s="52"/>
      <c r="BG506" s="105"/>
      <c r="BH506" s="98"/>
      <c r="BI506" s="279"/>
      <c r="BJ506" s="52"/>
      <c r="BK506" s="105"/>
      <c r="BL506" s="98"/>
      <c r="BM506" s="279"/>
      <c r="BN506" s="52"/>
      <c r="BO506" s="105"/>
      <c r="BP506" s="98"/>
      <c r="BQ506" s="279"/>
      <c r="BR506" s="52"/>
      <c r="BS506" s="105"/>
      <c r="BT506" s="98"/>
      <c r="BU506" s="279"/>
      <c r="BV506" s="52"/>
      <c r="BW506" s="105"/>
      <c r="BX506" s="98"/>
      <c r="BY506" s="279"/>
      <c r="BZ506" s="52"/>
      <c r="CA506" s="105"/>
      <c r="CB506" s="98"/>
      <c r="CC506" s="279"/>
      <c r="CD506" s="52"/>
      <c r="CE506" s="105"/>
      <c r="CF506" s="98"/>
      <c r="CG506" s="279"/>
      <c r="CH506" s="52"/>
      <c r="CI506" s="105"/>
      <c r="CJ506" s="98"/>
      <c r="CK506" s="281"/>
      <c r="CL506" s="277"/>
      <c r="CM506" s="159"/>
      <c r="CN506" s="277"/>
      <c r="CO506" s="50">
        <f t="shared" si="194"/>
        <v>0</v>
      </c>
      <c r="CP506" s="103">
        <f t="shared" si="195"/>
        <v>0</v>
      </c>
      <c r="CQ506" s="280">
        <f t="shared" si="196"/>
        <v>0</v>
      </c>
      <c r="CR506" s="63">
        <f t="shared" si="197"/>
        <v>0</v>
      </c>
      <c r="CS506" s="279"/>
      <c r="CT506" s="52"/>
      <c r="CU506" s="105"/>
      <c r="CV506" s="98"/>
      <c r="CW506" s="279"/>
      <c r="CX506" s="52"/>
      <c r="CY506" s="105"/>
      <c r="CZ506" s="98"/>
      <c r="DA506" s="279"/>
      <c r="DB506" s="52"/>
      <c r="DC506" s="105"/>
      <c r="DD506" s="98"/>
      <c r="DE506" s="279"/>
      <c r="DF506" s="52"/>
      <c r="DG506" s="105"/>
      <c r="DH506" s="98"/>
      <c r="DI506" s="279"/>
      <c r="DJ506" s="52"/>
      <c r="DK506" s="105"/>
      <c r="DL506" s="98"/>
      <c r="DM506" s="279"/>
      <c r="DN506" s="52"/>
      <c r="DO506" s="105"/>
      <c r="DP506" s="98"/>
      <c r="DQ506" s="279"/>
      <c r="DR506" s="52"/>
      <c r="DS506" s="105"/>
      <c r="DT506" s="98"/>
      <c r="DU506" s="279"/>
      <c r="DV506" s="52"/>
      <c r="DW506" s="105"/>
      <c r="DX506" s="98"/>
      <c r="DY506" s="279"/>
      <c r="DZ506" s="52"/>
      <c r="EA506" s="105"/>
      <c r="EB506" s="98"/>
      <c r="EC506" s="279"/>
      <c r="ED506" s="52"/>
      <c r="EE506" s="105"/>
      <c r="EF506" s="98"/>
      <c r="EG506" s="159"/>
      <c r="EH506" s="277"/>
      <c r="EI506" s="50">
        <f t="shared" si="198"/>
        <v>0</v>
      </c>
      <c r="EJ506" s="103">
        <f t="shared" si="199"/>
        <v>0</v>
      </c>
      <c r="EK506" s="164">
        <f t="shared" si="200"/>
        <v>0</v>
      </c>
      <c r="EL506" s="280">
        <f t="shared" si="201"/>
        <v>0</v>
      </c>
      <c r="EM506" s="63">
        <f t="shared" si="202"/>
        <v>0</v>
      </c>
      <c r="EN506" s="359">
        <f t="shared" si="203"/>
        <v>0</v>
      </c>
      <c r="EO506" s="51">
        <f t="shared" si="204"/>
        <v>0</v>
      </c>
      <c r="EP506" s="361">
        <f t="shared" si="205"/>
        <v>0</v>
      </c>
      <c r="EQ506" s="281"/>
      <c r="ER506" s="277"/>
      <c r="ES506" s="281"/>
      <c r="ET506" s="277"/>
      <c r="EU506" s="281"/>
      <c r="EV506" s="277"/>
      <c r="EW506" s="281"/>
      <c r="EX506" s="277"/>
      <c r="EY506" s="281"/>
      <c r="EZ506" s="277"/>
      <c r="FA506" s="281"/>
      <c r="FB506" s="277"/>
      <c r="FC506" s="281"/>
      <c r="FD506" s="277"/>
      <c r="FE506" s="281"/>
      <c r="FF506" s="277"/>
      <c r="FG506" s="281"/>
      <c r="FH506" s="277"/>
      <c r="FI506" s="281"/>
      <c r="FJ506" s="277"/>
      <c r="FK506" s="50">
        <f t="shared" si="206"/>
        <v>0</v>
      </c>
      <c r="FL506" s="63">
        <f t="shared" si="207"/>
        <v>0</v>
      </c>
      <c r="FM506" s="50">
        <f t="shared" si="189"/>
        <v>271</v>
      </c>
      <c r="FN506" s="360">
        <f t="shared" si="190"/>
        <v>241</v>
      </c>
      <c r="FO506" s="3"/>
      <c r="FP506" s="279"/>
      <c r="FQ506" s="52"/>
      <c r="FR506" s="296"/>
      <c r="FS506" s="98"/>
      <c r="FT506" s="467"/>
      <c r="FU506" s="52"/>
      <c r="FV506" s="296"/>
      <c r="FW506" s="98"/>
      <c r="FX506" s="467"/>
      <c r="FY506" s="52"/>
      <c r="FZ506" s="296"/>
      <c r="GA506" s="98"/>
      <c r="GB506" s="467"/>
      <c r="GC506" s="52"/>
      <c r="GD506" s="296"/>
      <c r="GE506" s="98"/>
      <c r="GF506" s="467"/>
      <c r="GG506" s="52"/>
      <c r="GH506" s="296"/>
      <c r="GI506" s="98"/>
      <c r="GJ506" s="467"/>
      <c r="GK506" s="52"/>
      <c r="GL506" s="296"/>
      <c r="GM506" s="464"/>
      <c r="GN506" s="467"/>
      <c r="GO506" s="52"/>
      <c r="GP506" s="296"/>
      <c r="GQ506" s="464"/>
      <c r="GR506" s="467"/>
      <c r="GS506" s="52"/>
      <c r="GT506" s="296"/>
      <c r="GU506" s="464"/>
      <c r="GV506" s="467"/>
      <c r="GW506" s="52"/>
      <c r="GX506" s="296"/>
      <c r="GY506" s="464"/>
      <c r="GZ506" s="467"/>
      <c r="HA506" s="52"/>
      <c r="HB506" s="296"/>
      <c r="HC506" s="3"/>
    </row>
    <row r="507" spans="1:211" s="86" customFormat="1">
      <c r="A507" s="491" t="s">
        <v>35</v>
      </c>
      <c r="B507" s="326" t="s">
        <v>61</v>
      </c>
      <c r="C507" s="325">
        <v>217837</v>
      </c>
      <c r="D507" s="349">
        <v>10</v>
      </c>
      <c r="E507" s="460">
        <v>139</v>
      </c>
      <c r="F507" s="535">
        <v>106</v>
      </c>
      <c r="G507" s="460"/>
      <c r="H507" s="277"/>
      <c r="I507" s="158">
        <v>119</v>
      </c>
      <c r="J507" s="535">
        <v>113</v>
      </c>
      <c r="K507" s="160">
        <f t="shared" si="191"/>
        <v>0</v>
      </c>
      <c r="L507" s="161">
        <f t="shared" si="184"/>
        <v>0</v>
      </c>
      <c r="M507" s="54"/>
      <c r="N507" s="55"/>
      <c r="O507" s="55"/>
      <c r="P507" s="55"/>
      <c r="Q507" s="162">
        <f t="shared" si="192"/>
        <v>0</v>
      </c>
      <c r="R507" s="535"/>
      <c r="S507" s="277"/>
      <c r="T507" s="277"/>
      <c r="U507" s="277"/>
      <c r="V507" s="97">
        <f t="shared" si="193"/>
        <v>0</v>
      </c>
      <c r="W507" s="279"/>
      <c r="X507" s="52"/>
      <c r="Y507" s="99"/>
      <c r="Z507" s="53"/>
      <c r="AA507" s="228"/>
      <c r="AB507" s="52"/>
      <c r="AC507" s="99"/>
      <c r="AD507" s="53"/>
      <c r="AE507" s="228"/>
      <c r="AF507" s="52"/>
      <c r="AG507" s="99"/>
      <c r="AH507" s="53"/>
      <c r="AI507" s="228"/>
      <c r="AJ507" s="52"/>
      <c r="AK507" s="99"/>
      <c r="AL507" s="53"/>
      <c r="AM507" s="228"/>
      <c r="AN507" s="52"/>
      <c r="AO507" s="99"/>
      <c r="AP507" s="53"/>
      <c r="AQ507" s="50">
        <f t="shared" si="185"/>
        <v>0</v>
      </c>
      <c r="AR507" s="163">
        <f t="shared" si="186"/>
        <v>0</v>
      </c>
      <c r="AS507" s="97">
        <f t="shared" si="187"/>
        <v>0</v>
      </c>
      <c r="AT507" s="278">
        <f t="shared" si="188"/>
        <v>0</v>
      </c>
      <c r="AU507" s="55"/>
      <c r="AV507" s="277"/>
      <c r="AW507" s="279"/>
      <c r="AX507" s="52"/>
      <c r="AY507" s="105"/>
      <c r="AZ507" s="98"/>
      <c r="BA507" s="279"/>
      <c r="BB507" s="52"/>
      <c r="BC507" s="105"/>
      <c r="BD507" s="98"/>
      <c r="BE507" s="279"/>
      <c r="BF507" s="52"/>
      <c r="BG507" s="105"/>
      <c r="BH507" s="98"/>
      <c r="BI507" s="279"/>
      <c r="BJ507" s="52"/>
      <c r="BK507" s="105"/>
      <c r="BL507" s="98"/>
      <c r="BM507" s="279"/>
      <c r="BN507" s="52"/>
      <c r="BO507" s="105"/>
      <c r="BP507" s="98"/>
      <c r="BQ507" s="279"/>
      <c r="BR507" s="52"/>
      <c r="BS507" s="105"/>
      <c r="BT507" s="98"/>
      <c r="BU507" s="279"/>
      <c r="BV507" s="52"/>
      <c r="BW507" s="105"/>
      <c r="BX507" s="98"/>
      <c r="BY507" s="279"/>
      <c r="BZ507" s="52"/>
      <c r="CA507" s="105"/>
      <c r="CB507" s="98"/>
      <c r="CC507" s="279"/>
      <c r="CD507" s="52"/>
      <c r="CE507" s="105"/>
      <c r="CF507" s="98"/>
      <c r="CG507" s="279"/>
      <c r="CH507" s="52"/>
      <c r="CI507" s="105"/>
      <c r="CJ507" s="98"/>
      <c r="CK507" s="281"/>
      <c r="CL507" s="277"/>
      <c r="CM507" s="159"/>
      <c r="CN507" s="277"/>
      <c r="CO507" s="50">
        <f t="shared" si="194"/>
        <v>0</v>
      </c>
      <c r="CP507" s="103">
        <f t="shared" si="195"/>
        <v>0</v>
      </c>
      <c r="CQ507" s="280">
        <f t="shared" si="196"/>
        <v>0</v>
      </c>
      <c r="CR507" s="63">
        <f t="shared" si="197"/>
        <v>0</v>
      </c>
      <c r="CS507" s="279"/>
      <c r="CT507" s="52"/>
      <c r="CU507" s="105"/>
      <c r="CV507" s="98"/>
      <c r="CW507" s="279"/>
      <c r="CX507" s="52"/>
      <c r="CY507" s="105"/>
      <c r="CZ507" s="98"/>
      <c r="DA507" s="279"/>
      <c r="DB507" s="52"/>
      <c r="DC507" s="105"/>
      <c r="DD507" s="98"/>
      <c r="DE507" s="279"/>
      <c r="DF507" s="52"/>
      <c r="DG507" s="105"/>
      <c r="DH507" s="98"/>
      <c r="DI507" s="279"/>
      <c r="DJ507" s="52"/>
      <c r="DK507" s="105"/>
      <c r="DL507" s="98"/>
      <c r="DM507" s="279"/>
      <c r="DN507" s="52"/>
      <c r="DO507" s="105"/>
      <c r="DP507" s="98"/>
      <c r="DQ507" s="279"/>
      <c r="DR507" s="52"/>
      <c r="DS507" s="105"/>
      <c r="DT507" s="98"/>
      <c r="DU507" s="279"/>
      <c r="DV507" s="52"/>
      <c r="DW507" s="105"/>
      <c r="DX507" s="98"/>
      <c r="DY507" s="279"/>
      <c r="DZ507" s="52"/>
      <c r="EA507" s="105"/>
      <c r="EB507" s="98"/>
      <c r="EC507" s="279"/>
      <c r="ED507" s="52"/>
      <c r="EE507" s="105"/>
      <c r="EF507" s="98"/>
      <c r="EG507" s="159"/>
      <c r="EH507" s="277"/>
      <c r="EI507" s="50">
        <f t="shared" si="198"/>
        <v>0</v>
      </c>
      <c r="EJ507" s="103">
        <f t="shared" si="199"/>
        <v>0</v>
      </c>
      <c r="EK507" s="164">
        <f t="shared" si="200"/>
        <v>0</v>
      </c>
      <c r="EL507" s="280">
        <f t="shared" si="201"/>
        <v>0</v>
      </c>
      <c r="EM507" s="63">
        <f t="shared" si="202"/>
        <v>0</v>
      </c>
      <c r="EN507" s="359">
        <f t="shared" si="203"/>
        <v>0</v>
      </c>
      <c r="EO507" s="51">
        <f t="shared" si="204"/>
        <v>0</v>
      </c>
      <c r="EP507" s="361">
        <f t="shared" si="205"/>
        <v>0</v>
      </c>
      <c r="EQ507" s="281"/>
      <c r="ER507" s="277"/>
      <c r="ES507" s="281"/>
      <c r="ET507" s="277"/>
      <c r="EU507" s="281"/>
      <c r="EV507" s="277"/>
      <c r="EW507" s="281"/>
      <c r="EX507" s="277"/>
      <c r="EY507" s="281"/>
      <c r="EZ507" s="277"/>
      <c r="FA507" s="281"/>
      <c r="FB507" s="277"/>
      <c r="FC507" s="281"/>
      <c r="FD507" s="277"/>
      <c r="FE507" s="281"/>
      <c r="FF507" s="277"/>
      <c r="FG507" s="281"/>
      <c r="FH507" s="277"/>
      <c r="FI507" s="281"/>
      <c r="FJ507" s="277"/>
      <c r="FK507" s="50">
        <f t="shared" si="206"/>
        <v>0</v>
      </c>
      <c r="FL507" s="63">
        <f t="shared" si="207"/>
        <v>0</v>
      </c>
      <c r="FM507" s="50">
        <f t="shared" si="189"/>
        <v>258</v>
      </c>
      <c r="FN507" s="360">
        <f t="shared" si="190"/>
        <v>219</v>
      </c>
      <c r="FO507" s="3"/>
      <c r="FP507" s="279"/>
      <c r="FQ507" s="52"/>
      <c r="FR507" s="296"/>
      <c r="FS507" s="98"/>
      <c r="FT507" s="467"/>
      <c r="FU507" s="52"/>
      <c r="FV507" s="296"/>
      <c r="FW507" s="98"/>
      <c r="FX507" s="467"/>
      <c r="FY507" s="52"/>
      <c r="FZ507" s="296"/>
      <c r="GA507" s="98"/>
      <c r="GB507" s="467"/>
      <c r="GC507" s="52"/>
      <c r="GD507" s="296"/>
      <c r="GE507" s="98"/>
      <c r="GF507" s="467"/>
      <c r="GG507" s="52"/>
      <c r="GH507" s="296"/>
      <c r="GI507" s="98"/>
      <c r="GJ507" s="467"/>
      <c r="GK507" s="52"/>
      <c r="GL507" s="296"/>
      <c r="GM507" s="464"/>
      <c r="GN507" s="467"/>
      <c r="GO507" s="52"/>
      <c r="GP507" s="296"/>
      <c r="GQ507" s="464"/>
      <c r="GR507" s="467"/>
      <c r="GS507" s="52"/>
      <c r="GT507" s="296"/>
      <c r="GU507" s="464"/>
      <c r="GV507" s="467"/>
      <c r="GW507" s="52"/>
      <c r="GX507" s="296"/>
      <c r="GY507" s="464"/>
      <c r="GZ507" s="467"/>
      <c r="HA507" s="52"/>
      <c r="HB507" s="296"/>
      <c r="HC507" s="3"/>
    </row>
    <row r="508" spans="1:211" s="86" customFormat="1">
      <c r="A508" s="491" t="s">
        <v>35</v>
      </c>
      <c r="B508" s="326" t="s">
        <v>62</v>
      </c>
      <c r="C508" s="325">
        <v>217712</v>
      </c>
      <c r="D508" s="349">
        <v>10</v>
      </c>
      <c r="E508" s="460">
        <v>146</v>
      </c>
      <c r="F508" s="535">
        <v>177</v>
      </c>
      <c r="G508" s="460"/>
      <c r="H508" s="277"/>
      <c r="I508" s="158">
        <v>148</v>
      </c>
      <c r="J508" s="535">
        <v>183</v>
      </c>
      <c r="K508" s="160">
        <f t="shared" si="191"/>
        <v>0</v>
      </c>
      <c r="L508" s="161">
        <f t="shared" si="184"/>
        <v>0</v>
      </c>
      <c r="M508" s="54"/>
      <c r="N508" s="55"/>
      <c r="O508" s="55"/>
      <c r="P508" s="55"/>
      <c r="Q508" s="162">
        <f t="shared" si="192"/>
        <v>0</v>
      </c>
      <c r="R508" s="535"/>
      <c r="S508" s="277"/>
      <c r="T508" s="277"/>
      <c r="U508" s="277"/>
      <c r="V508" s="97">
        <f t="shared" si="193"/>
        <v>0</v>
      </c>
      <c r="W508" s="279"/>
      <c r="X508" s="52"/>
      <c r="Y508" s="99"/>
      <c r="Z508" s="53"/>
      <c r="AA508" s="228"/>
      <c r="AB508" s="52"/>
      <c r="AC508" s="99"/>
      <c r="AD508" s="53"/>
      <c r="AE508" s="228"/>
      <c r="AF508" s="52"/>
      <c r="AG508" s="99"/>
      <c r="AH508" s="53"/>
      <c r="AI508" s="228"/>
      <c r="AJ508" s="52"/>
      <c r="AK508" s="99"/>
      <c r="AL508" s="53"/>
      <c r="AM508" s="228"/>
      <c r="AN508" s="52"/>
      <c r="AO508" s="99"/>
      <c r="AP508" s="53"/>
      <c r="AQ508" s="50">
        <f t="shared" si="185"/>
        <v>0</v>
      </c>
      <c r="AR508" s="163">
        <f t="shared" si="186"/>
        <v>0</v>
      </c>
      <c r="AS508" s="97">
        <f t="shared" si="187"/>
        <v>0</v>
      </c>
      <c r="AT508" s="278">
        <f t="shared" si="188"/>
        <v>0</v>
      </c>
      <c r="AU508" s="55"/>
      <c r="AV508" s="277"/>
      <c r="AW508" s="279"/>
      <c r="AX508" s="52"/>
      <c r="AY508" s="105"/>
      <c r="AZ508" s="98"/>
      <c r="BA508" s="279"/>
      <c r="BB508" s="52"/>
      <c r="BC508" s="105"/>
      <c r="BD508" s="98"/>
      <c r="BE508" s="279"/>
      <c r="BF508" s="52"/>
      <c r="BG508" s="105"/>
      <c r="BH508" s="98"/>
      <c r="BI508" s="279"/>
      <c r="BJ508" s="52"/>
      <c r="BK508" s="105"/>
      <c r="BL508" s="98"/>
      <c r="BM508" s="279"/>
      <c r="BN508" s="52"/>
      <c r="BO508" s="105"/>
      <c r="BP508" s="98"/>
      <c r="BQ508" s="279"/>
      <c r="BR508" s="52"/>
      <c r="BS508" s="105"/>
      <c r="BT508" s="98"/>
      <c r="BU508" s="279"/>
      <c r="BV508" s="52"/>
      <c r="BW508" s="105"/>
      <c r="BX508" s="98"/>
      <c r="BY508" s="279"/>
      <c r="BZ508" s="52"/>
      <c r="CA508" s="105"/>
      <c r="CB508" s="98"/>
      <c r="CC508" s="279"/>
      <c r="CD508" s="52"/>
      <c r="CE508" s="105"/>
      <c r="CF508" s="98"/>
      <c r="CG508" s="279"/>
      <c r="CH508" s="52"/>
      <c r="CI508" s="105"/>
      <c r="CJ508" s="98"/>
      <c r="CK508" s="281"/>
      <c r="CL508" s="277"/>
      <c r="CM508" s="159"/>
      <c r="CN508" s="277"/>
      <c r="CO508" s="50">
        <f t="shared" si="194"/>
        <v>0</v>
      </c>
      <c r="CP508" s="103">
        <f t="shared" si="195"/>
        <v>0</v>
      </c>
      <c r="CQ508" s="280">
        <f t="shared" si="196"/>
        <v>0</v>
      </c>
      <c r="CR508" s="63">
        <f t="shared" si="197"/>
        <v>0</v>
      </c>
      <c r="CS508" s="279"/>
      <c r="CT508" s="52"/>
      <c r="CU508" s="105"/>
      <c r="CV508" s="98"/>
      <c r="CW508" s="279"/>
      <c r="CX508" s="52"/>
      <c r="CY508" s="105"/>
      <c r="CZ508" s="98"/>
      <c r="DA508" s="279"/>
      <c r="DB508" s="52"/>
      <c r="DC508" s="105"/>
      <c r="DD508" s="98"/>
      <c r="DE508" s="279"/>
      <c r="DF508" s="52"/>
      <c r="DG508" s="105"/>
      <c r="DH508" s="98"/>
      <c r="DI508" s="279"/>
      <c r="DJ508" s="52"/>
      <c r="DK508" s="105"/>
      <c r="DL508" s="98"/>
      <c r="DM508" s="279"/>
      <c r="DN508" s="52"/>
      <c r="DO508" s="105"/>
      <c r="DP508" s="98"/>
      <c r="DQ508" s="279"/>
      <c r="DR508" s="52"/>
      <c r="DS508" s="105"/>
      <c r="DT508" s="98"/>
      <c r="DU508" s="279"/>
      <c r="DV508" s="52"/>
      <c r="DW508" s="105"/>
      <c r="DX508" s="98"/>
      <c r="DY508" s="279"/>
      <c r="DZ508" s="52"/>
      <c r="EA508" s="105"/>
      <c r="EB508" s="98"/>
      <c r="EC508" s="279"/>
      <c r="ED508" s="52"/>
      <c r="EE508" s="105"/>
      <c r="EF508" s="98"/>
      <c r="EG508" s="159"/>
      <c r="EH508" s="277"/>
      <c r="EI508" s="50">
        <f t="shared" si="198"/>
        <v>0</v>
      </c>
      <c r="EJ508" s="103">
        <f t="shared" si="199"/>
        <v>0</v>
      </c>
      <c r="EK508" s="164">
        <f t="shared" si="200"/>
        <v>0</v>
      </c>
      <c r="EL508" s="280">
        <f t="shared" si="201"/>
        <v>0</v>
      </c>
      <c r="EM508" s="63">
        <f t="shared" si="202"/>
        <v>0</v>
      </c>
      <c r="EN508" s="359">
        <f t="shared" si="203"/>
        <v>0</v>
      </c>
      <c r="EO508" s="51">
        <f t="shared" si="204"/>
        <v>0</v>
      </c>
      <c r="EP508" s="361">
        <f t="shared" si="205"/>
        <v>0</v>
      </c>
      <c r="EQ508" s="281"/>
      <c r="ER508" s="277"/>
      <c r="ES508" s="281"/>
      <c r="ET508" s="277"/>
      <c r="EU508" s="281"/>
      <c r="EV508" s="277"/>
      <c r="EW508" s="281"/>
      <c r="EX508" s="277"/>
      <c r="EY508" s="281"/>
      <c r="EZ508" s="277"/>
      <c r="FA508" s="281"/>
      <c r="FB508" s="277"/>
      <c r="FC508" s="281"/>
      <c r="FD508" s="277"/>
      <c r="FE508" s="281"/>
      <c r="FF508" s="277"/>
      <c r="FG508" s="281"/>
      <c r="FH508" s="277"/>
      <c r="FI508" s="281"/>
      <c r="FJ508" s="277"/>
      <c r="FK508" s="50">
        <f t="shared" si="206"/>
        <v>0</v>
      </c>
      <c r="FL508" s="63">
        <f t="shared" si="207"/>
        <v>0</v>
      </c>
      <c r="FM508" s="50">
        <f t="shared" si="189"/>
        <v>294</v>
      </c>
      <c r="FN508" s="360">
        <f t="shared" si="190"/>
        <v>360</v>
      </c>
      <c r="FO508" s="3"/>
      <c r="FP508" s="279"/>
      <c r="FQ508" s="52"/>
      <c r="FR508" s="296"/>
      <c r="FS508" s="98"/>
      <c r="FT508" s="467"/>
      <c r="FU508" s="52"/>
      <c r="FV508" s="296"/>
      <c r="FW508" s="98"/>
      <c r="FX508" s="467"/>
      <c r="FY508" s="52"/>
      <c r="FZ508" s="296"/>
      <c r="GA508" s="98"/>
      <c r="GB508" s="467"/>
      <c r="GC508" s="52"/>
      <c r="GD508" s="296"/>
      <c r="GE508" s="98"/>
      <c r="GF508" s="467"/>
      <c r="GG508" s="52"/>
      <c r="GH508" s="296"/>
      <c r="GI508" s="98"/>
      <c r="GJ508" s="467"/>
      <c r="GK508" s="52"/>
      <c r="GL508" s="296"/>
      <c r="GM508" s="464"/>
      <c r="GN508" s="467"/>
      <c r="GO508" s="52"/>
      <c r="GP508" s="296"/>
      <c r="GQ508" s="464"/>
      <c r="GR508" s="467"/>
      <c r="GS508" s="52"/>
      <c r="GT508" s="296"/>
      <c r="GU508" s="464"/>
      <c r="GV508" s="467"/>
      <c r="GW508" s="52"/>
      <c r="GX508" s="296"/>
      <c r="GY508" s="464"/>
      <c r="GZ508" s="467"/>
      <c r="HA508" s="52"/>
      <c r="HB508" s="296"/>
      <c r="HC508" s="3"/>
    </row>
    <row r="509" spans="1:211" s="86" customFormat="1">
      <c r="A509" s="491" t="s">
        <v>35</v>
      </c>
      <c r="B509" s="326" t="s">
        <v>63</v>
      </c>
      <c r="C509" s="325">
        <v>218672</v>
      </c>
      <c r="D509" s="349">
        <v>10</v>
      </c>
      <c r="E509" s="460"/>
      <c r="F509" s="535">
        <v>0</v>
      </c>
      <c r="G509" s="460"/>
      <c r="H509" s="277"/>
      <c r="I509" s="158">
        <v>143</v>
      </c>
      <c r="J509" s="535">
        <v>160</v>
      </c>
      <c r="K509" s="160">
        <f t="shared" si="191"/>
        <v>0</v>
      </c>
      <c r="L509" s="161">
        <f t="shared" si="184"/>
        <v>0</v>
      </c>
      <c r="M509" s="54"/>
      <c r="N509" s="55"/>
      <c r="O509" s="55"/>
      <c r="P509" s="55"/>
      <c r="Q509" s="162">
        <f t="shared" si="192"/>
        <v>0</v>
      </c>
      <c r="R509" s="535"/>
      <c r="S509" s="277"/>
      <c r="T509" s="277"/>
      <c r="U509" s="277"/>
      <c r="V509" s="97">
        <f t="shared" si="193"/>
        <v>0</v>
      </c>
      <c r="W509" s="279"/>
      <c r="X509" s="52"/>
      <c r="Y509" s="99"/>
      <c r="Z509" s="53"/>
      <c r="AA509" s="228"/>
      <c r="AB509" s="52"/>
      <c r="AC509" s="99"/>
      <c r="AD509" s="53"/>
      <c r="AE509" s="228"/>
      <c r="AF509" s="52"/>
      <c r="AG509" s="99"/>
      <c r="AH509" s="53"/>
      <c r="AI509" s="228"/>
      <c r="AJ509" s="52"/>
      <c r="AK509" s="99"/>
      <c r="AL509" s="53"/>
      <c r="AM509" s="228"/>
      <c r="AN509" s="52"/>
      <c r="AO509" s="99"/>
      <c r="AP509" s="53"/>
      <c r="AQ509" s="50">
        <f t="shared" si="185"/>
        <v>0</v>
      </c>
      <c r="AR509" s="163">
        <f t="shared" si="186"/>
        <v>0</v>
      </c>
      <c r="AS509" s="97">
        <f t="shared" si="187"/>
        <v>0</v>
      </c>
      <c r="AT509" s="278">
        <f t="shared" si="188"/>
        <v>0</v>
      </c>
      <c r="AU509" s="55"/>
      <c r="AV509" s="277"/>
      <c r="AW509" s="279"/>
      <c r="AX509" s="52"/>
      <c r="AY509" s="105"/>
      <c r="AZ509" s="98"/>
      <c r="BA509" s="279"/>
      <c r="BB509" s="52"/>
      <c r="BC509" s="105"/>
      <c r="BD509" s="98"/>
      <c r="BE509" s="279"/>
      <c r="BF509" s="52"/>
      <c r="BG509" s="105"/>
      <c r="BH509" s="98"/>
      <c r="BI509" s="279"/>
      <c r="BJ509" s="52"/>
      <c r="BK509" s="105"/>
      <c r="BL509" s="98"/>
      <c r="BM509" s="279"/>
      <c r="BN509" s="52"/>
      <c r="BO509" s="105"/>
      <c r="BP509" s="98"/>
      <c r="BQ509" s="279"/>
      <c r="BR509" s="52"/>
      <c r="BS509" s="105"/>
      <c r="BT509" s="98"/>
      <c r="BU509" s="279"/>
      <c r="BV509" s="52"/>
      <c r="BW509" s="105"/>
      <c r="BX509" s="98"/>
      <c r="BY509" s="279"/>
      <c r="BZ509" s="52"/>
      <c r="CA509" s="105"/>
      <c r="CB509" s="98"/>
      <c r="CC509" s="279"/>
      <c r="CD509" s="52"/>
      <c r="CE509" s="105"/>
      <c r="CF509" s="98"/>
      <c r="CG509" s="279"/>
      <c r="CH509" s="52"/>
      <c r="CI509" s="105"/>
      <c r="CJ509" s="98"/>
      <c r="CK509" s="281"/>
      <c r="CL509" s="277"/>
      <c r="CM509" s="159"/>
      <c r="CN509" s="277"/>
      <c r="CO509" s="50">
        <f t="shared" si="194"/>
        <v>0</v>
      </c>
      <c r="CP509" s="103">
        <f t="shared" si="195"/>
        <v>0</v>
      </c>
      <c r="CQ509" s="280">
        <f t="shared" si="196"/>
        <v>0</v>
      </c>
      <c r="CR509" s="63">
        <f t="shared" si="197"/>
        <v>0</v>
      </c>
      <c r="CS509" s="279"/>
      <c r="CT509" s="52"/>
      <c r="CU509" s="105"/>
      <c r="CV509" s="98"/>
      <c r="CW509" s="279"/>
      <c r="CX509" s="52"/>
      <c r="CY509" s="105"/>
      <c r="CZ509" s="98"/>
      <c r="DA509" s="279"/>
      <c r="DB509" s="52"/>
      <c r="DC509" s="105"/>
      <c r="DD509" s="98"/>
      <c r="DE509" s="279"/>
      <c r="DF509" s="52"/>
      <c r="DG509" s="105"/>
      <c r="DH509" s="98"/>
      <c r="DI509" s="279"/>
      <c r="DJ509" s="52"/>
      <c r="DK509" s="105"/>
      <c r="DL509" s="98"/>
      <c r="DM509" s="279"/>
      <c r="DN509" s="52"/>
      <c r="DO509" s="105"/>
      <c r="DP509" s="98"/>
      <c r="DQ509" s="279"/>
      <c r="DR509" s="52"/>
      <c r="DS509" s="105"/>
      <c r="DT509" s="98"/>
      <c r="DU509" s="279"/>
      <c r="DV509" s="52"/>
      <c r="DW509" s="105"/>
      <c r="DX509" s="98"/>
      <c r="DY509" s="279"/>
      <c r="DZ509" s="52"/>
      <c r="EA509" s="105"/>
      <c r="EB509" s="98"/>
      <c r="EC509" s="279"/>
      <c r="ED509" s="52"/>
      <c r="EE509" s="105"/>
      <c r="EF509" s="98"/>
      <c r="EG509" s="159"/>
      <c r="EH509" s="277"/>
      <c r="EI509" s="50">
        <f t="shared" si="198"/>
        <v>0</v>
      </c>
      <c r="EJ509" s="103">
        <f t="shared" si="199"/>
        <v>0</v>
      </c>
      <c r="EK509" s="164">
        <f t="shared" si="200"/>
        <v>0</v>
      </c>
      <c r="EL509" s="280">
        <f t="shared" si="201"/>
        <v>0</v>
      </c>
      <c r="EM509" s="63">
        <f t="shared" si="202"/>
        <v>0</v>
      </c>
      <c r="EN509" s="359">
        <f t="shared" si="203"/>
        <v>0</v>
      </c>
      <c r="EO509" s="51">
        <f t="shared" si="204"/>
        <v>0</v>
      </c>
      <c r="EP509" s="361">
        <f t="shared" si="205"/>
        <v>0</v>
      </c>
      <c r="EQ509" s="281"/>
      <c r="ER509" s="277"/>
      <c r="ES509" s="281"/>
      <c r="ET509" s="277"/>
      <c r="EU509" s="281"/>
      <c r="EV509" s="277"/>
      <c r="EW509" s="281"/>
      <c r="EX509" s="277"/>
      <c r="EY509" s="281"/>
      <c r="EZ509" s="277"/>
      <c r="FA509" s="281"/>
      <c r="FB509" s="277"/>
      <c r="FC509" s="281"/>
      <c r="FD509" s="277"/>
      <c r="FE509" s="281"/>
      <c r="FF509" s="277"/>
      <c r="FG509" s="281"/>
      <c r="FH509" s="277"/>
      <c r="FI509" s="281"/>
      <c r="FJ509" s="277"/>
      <c r="FK509" s="50">
        <f t="shared" si="206"/>
        <v>0</v>
      </c>
      <c r="FL509" s="63">
        <f t="shared" si="207"/>
        <v>0</v>
      </c>
      <c r="FM509" s="50">
        <f t="shared" si="189"/>
        <v>143</v>
      </c>
      <c r="FN509" s="360">
        <f t="shared" si="190"/>
        <v>160</v>
      </c>
      <c r="FO509" s="3"/>
      <c r="FP509" s="279"/>
      <c r="FQ509" s="52"/>
      <c r="FR509" s="296"/>
      <c r="FS509" s="98"/>
      <c r="FT509" s="467"/>
      <c r="FU509" s="52"/>
      <c r="FV509" s="296"/>
      <c r="FW509" s="98"/>
      <c r="FX509" s="467"/>
      <c r="FY509" s="52"/>
      <c r="FZ509" s="296"/>
      <c r="GA509" s="98"/>
      <c r="GB509" s="467"/>
      <c r="GC509" s="52"/>
      <c r="GD509" s="296"/>
      <c r="GE509" s="98"/>
      <c r="GF509" s="467"/>
      <c r="GG509" s="52"/>
      <c r="GH509" s="296"/>
      <c r="GI509" s="98"/>
      <c r="GJ509" s="467"/>
      <c r="GK509" s="52"/>
      <c r="GL509" s="296"/>
      <c r="GM509" s="464"/>
      <c r="GN509" s="467"/>
      <c r="GO509" s="52"/>
      <c r="GP509" s="296"/>
      <c r="GQ509" s="464"/>
      <c r="GR509" s="467"/>
      <c r="GS509" s="52"/>
      <c r="GT509" s="296"/>
      <c r="GU509" s="464"/>
      <c r="GV509" s="467"/>
      <c r="GW509" s="52"/>
      <c r="GX509" s="296"/>
      <c r="GY509" s="464"/>
      <c r="GZ509" s="467"/>
      <c r="HA509" s="52"/>
      <c r="HB509" s="296"/>
      <c r="HC509" s="3"/>
    </row>
    <row r="510" spans="1:211" s="86" customFormat="1">
      <c r="A510" s="491" t="s">
        <v>35</v>
      </c>
      <c r="B510" s="326" t="s">
        <v>64</v>
      </c>
      <c r="C510" s="325">
        <v>218681</v>
      </c>
      <c r="D510" s="349">
        <v>10</v>
      </c>
      <c r="E510" s="460"/>
      <c r="F510" s="535">
        <v>0</v>
      </c>
      <c r="G510" s="460"/>
      <c r="H510" s="277"/>
      <c r="I510" s="158">
        <v>55</v>
      </c>
      <c r="J510" s="535">
        <v>90</v>
      </c>
      <c r="K510" s="160">
        <f t="shared" si="191"/>
        <v>0</v>
      </c>
      <c r="L510" s="161">
        <f t="shared" si="184"/>
        <v>0</v>
      </c>
      <c r="M510" s="54"/>
      <c r="N510" s="55"/>
      <c r="O510" s="55"/>
      <c r="P510" s="55"/>
      <c r="Q510" s="162">
        <f t="shared" si="192"/>
        <v>0</v>
      </c>
      <c r="R510" s="535"/>
      <c r="S510" s="277"/>
      <c r="T510" s="277"/>
      <c r="U510" s="277"/>
      <c r="V510" s="97">
        <f t="shared" si="193"/>
        <v>0</v>
      </c>
      <c r="W510" s="279"/>
      <c r="X510" s="52"/>
      <c r="Y510" s="99"/>
      <c r="Z510" s="53"/>
      <c r="AA510" s="228"/>
      <c r="AB510" s="52"/>
      <c r="AC510" s="99"/>
      <c r="AD510" s="53"/>
      <c r="AE510" s="228"/>
      <c r="AF510" s="52"/>
      <c r="AG510" s="99"/>
      <c r="AH510" s="53"/>
      <c r="AI510" s="228"/>
      <c r="AJ510" s="52"/>
      <c r="AK510" s="99"/>
      <c r="AL510" s="53"/>
      <c r="AM510" s="228"/>
      <c r="AN510" s="52"/>
      <c r="AO510" s="99"/>
      <c r="AP510" s="53"/>
      <c r="AQ510" s="50">
        <f t="shared" si="185"/>
        <v>0</v>
      </c>
      <c r="AR510" s="163">
        <f t="shared" si="186"/>
        <v>0</v>
      </c>
      <c r="AS510" s="97">
        <f t="shared" si="187"/>
        <v>0</v>
      </c>
      <c r="AT510" s="278">
        <f t="shared" si="188"/>
        <v>0</v>
      </c>
      <c r="AU510" s="55"/>
      <c r="AV510" s="277"/>
      <c r="AW510" s="279"/>
      <c r="AX510" s="52"/>
      <c r="AY510" s="105"/>
      <c r="AZ510" s="98"/>
      <c r="BA510" s="279"/>
      <c r="BB510" s="52"/>
      <c r="BC510" s="105"/>
      <c r="BD510" s="98"/>
      <c r="BE510" s="279"/>
      <c r="BF510" s="52"/>
      <c r="BG510" s="105"/>
      <c r="BH510" s="98"/>
      <c r="BI510" s="279"/>
      <c r="BJ510" s="52"/>
      <c r="BK510" s="105"/>
      <c r="BL510" s="98"/>
      <c r="BM510" s="279"/>
      <c r="BN510" s="52"/>
      <c r="BO510" s="105"/>
      <c r="BP510" s="98"/>
      <c r="BQ510" s="279"/>
      <c r="BR510" s="52"/>
      <c r="BS510" s="105"/>
      <c r="BT510" s="98"/>
      <c r="BU510" s="279"/>
      <c r="BV510" s="52"/>
      <c r="BW510" s="105"/>
      <c r="BX510" s="98"/>
      <c r="BY510" s="279"/>
      <c r="BZ510" s="52"/>
      <c r="CA510" s="105"/>
      <c r="CB510" s="98"/>
      <c r="CC510" s="279"/>
      <c r="CD510" s="52"/>
      <c r="CE510" s="105"/>
      <c r="CF510" s="98"/>
      <c r="CG510" s="279"/>
      <c r="CH510" s="52"/>
      <c r="CI510" s="105"/>
      <c r="CJ510" s="98"/>
      <c r="CK510" s="281"/>
      <c r="CL510" s="277"/>
      <c r="CM510" s="159"/>
      <c r="CN510" s="277"/>
      <c r="CO510" s="50">
        <f t="shared" si="194"/>
        <v>0</v>
      </c>
      <c r="CP510" s="103">
        <f t="shared" si="195"/>
        <v>0</v>
      </c>
      <c r="CQ510" s="280">
        <f t="shared" si="196"/>
        <v>0</v>
      </c>
      <c r="CR510" s="63">
        <f t="shared" si="197"/>
        <v>0</v>
      </c>
      <c r="CS510" s="279"/>
      <c r="CT510" s="52"/>
      <c r="CU510" s="105"/>
      <c r="CV510" s="98"/>
      <c r="CW510" s="279"/>
      <c r="CX510" s="52"/>
      <c r="CY510" s="105"/>
      <c r="CZ510" s="98"/>
      <c r="DA510" s="279"/>
      <c r="DB510" s="52"/>
      <c r="DC510" s="105"/>
      <c r="DD510" s="98"/>
      <c r="DE510" s="279"/>
      <c r="DF510" s="52"/>
      <c r="DG510" s="105"/>
      <c r="DH510" s="98"/>
      <c r="DI510" s="279"/>
      <c r="DJ510" s="52"/>
      <c r="DK510" s="105"/>
      <c r="DL510" s="98"/>
      <c r="DM510" s="279"/>
      <c r="DN510" s="52"/>
      <c r="DO510" s="105"/>
      <c r="DP510" s="98"/>
      <c r="DQ510" s="279"/>
      <c r="DR510" s="52"/>
      <c r="DS510" s="105"/>
      <c r="DT510" s="98"/>
      <c r="DU510" s="279"/>
      <c r="DV510" s="52"/>
      <c r="DW510" s="105"/>
      <c r="DX510" s="98"/>
      <c r="DY510" s="279"/>
      <c r="DZ510" s="52"/>
      <c r="EA510" s="105"/>
      <c r="EB510" s="98"/>
      <c r="EC510" s="279"/>
      <c r="ED510" s="52"/>
      <c r="EE510" s="105"/>
      <c r="EF510" s="98"/>
      <c r="EG510" s="159"/>
      <c r="EH510" s="277"/>
      <c r="EI510" s="50">
        <f t="shared" si="198"/>
        <v>0</v>
      </c>
      <c r="EJ510" s="103">
        <f t="shared" si="199"/>
        <v>0</v>
      </c>
      <c r="EK510" s="164">
        <f t="shared" si="200"/>
        <v>0</v>
      </c>
      <c r="EL510" s="280">
        <f t="shared" si="201"/>
        <v>0</v>
      </c>
      <c r="EM510" s="63">
        <f t="shared" si="202"/>
        <v>0</v>
      </c>
      <c r="EN510" s="359">
        <f t="shared" si="203"/>
        <v>0</v>
      </c>
      <c r="EO510" s="51">
        <f t="shared" si="204"/>
        <v>0</v>
      </c>
      <c r="EP510" s="361">
        <f t="shared" si="205"/>
        <v>0</v>
      </c>
      <c r="EQ510" s="281"/>
      <c r="ER510" s="277"/>
      <c r="ES510" s="281"/>
      <c r="ET510" s="277"/>
      <c r="EU510" s="281"/>
      <c r="EV510" s="277"/>
      <c r="EW510" s="281"/>
      <c r="EX510" s="277"/>
      <c r="EY510" s="281"/>
      <c r="EZ510" s="277"/>
      <c r="FA510" s="281"/>
      <c r="FB510" s="277"/>
      <c r="FC510" s="281"/>
      <c r="FD510" s="277"/>
      <c r="FE510" s="281"/>
      <c r="FF510" s="277"/>
      <c r="FG510" s="281"/>
      <c r="FH510" s="277"/>
      <c r="FI510" s="281"/>
      <c r="FJ510" s="277"/>
      <c r="FK510" s="50">
        <f t="shared" si="206"/>
        <v>0</v>
      </c>
      <c r="FL510" s="63">
        <f t="shared" si="207"/>
        <v>0</v>
      </c>
      <c r="FM510" s="50">
        <f t="shared" si="189"/>
        <v>55</v>
      </c>
      <c r="FN510" s="360">
        <f t="shared" si="190"/>
        <v>90</v>
      </c>
      <c r="FO510" s="3"/>
      <c r="FP510" s="279"/>
      <c r="FQ510" s="52"/>
      <c r="FR510" s="296"/>
      <c r="FS510" s="98"/>
      <c r="FT510" s="467"/>
      <c r="FU510" s="52"/>
      <c r="FV510" s="296"/>
      <c r="FW510" s="98"/>
      <c r="FX510" s="467"/>
      <c r="FY510" s="52"/>
      <c r="FZ510" s="296"/>
      <c r="GA510" s="98"/>
      <c r="GB510" s="467"/>
      <c r="GC510" s="52"/>
      <c r="GD510" s="296"/>
      <c r="GE510" s="98"/>
      <c r="GF510" s="467"/>
      <c r="GG510" s="52"/>
      <c r="GH510" s="296"/>
      <c r="GI510" s="98"/>
      <c r="GJ510" s="467"/>
      <c r="GK510" s="52"/>
      <c r="GL510" s="296"/>
      <c r="GM510" s="464"/>
      <c r="GN510" s="467"/>
      <c r="GO510" s="52"/>
      <c r="GP510" s="296"/>
      <c r="GQ510" s="464"/>
      <c r="GR510" s="467"/>
      <c r="GS510" s="52"/>
      <c r="GT510" s="296"/>
      <c r="GU510" s="464"/>
      <c r="GV510" s="467"/>
      <c r="GW510" s="52"/>
      <c r="GX510" s="296"/>
      <c r="GY510" s="464"/>
      <c r="GZ510" s="467"/>
      <c r="HA510" s="52"/>
      <c r="HB510" s="296"/>
      <c r="HC510" s="3"/>
    </row>
    <row r="511" spans="1:211" s="86" customFormat="1">
      <c r="A511" s="491" t="s">
        <v>35</v>
      </c>
      <c r="B511" s="326" t="s">
        <v>65</v>
      </c>
      <c r="C511" s="325">
        <v>218690</v>
      </c>
      <c r="D511" s="349">
        <v>10</v>
      </c>
      <c r="E511" s="460"/>
      <c r="F511" s="535">
        <v>0</v>
      </c>
      <c r="G511" s="460"/>
      <c r="H511" s="277"/>
      <c r="I511" s="158">
        <v>91</v>
      </c>
      <c r="J511" s="535">
        <v>56</v>
      </c>
      <c r="K511" s="160">
        <f t="shared" si="191"/>
        <v>0</v>
      </c>
      <c r="L511" s="161">
        <f t="shared" si="184"/>
        <v>0</v>
      </c>
      <c r="M511" s="54"/>
      <c r="N511" s="55"/>
      <c r="O511" s="55"/>
      <c r="P511" s="55"/>
      <c r="Q511" s="162">
        <f t="shared" si="192"/>
        <v>0</v>
      </c>
      <c r="R511" s="535"/>
      <c r="S511" s="277"/>
      <c r="T511" s="277"/>
      <c r="U511" s="277"/>
      <c r="V511" s="97">
        <f t="shared" si="193"/>
        <v>0</v>
      </c>
      <c r="W511" s="279"/>
      <c r="X511" s="52"/>
      <c r="Y511" s="99"/>
      <c r="Z511" s="53"/>
      <c r="AA511" s="228"/>
      <c r="AB511" s="52"/>
      <c r="AC511" s="99"/>
      <c r="AD511" s="53"/>
      <c r="AE511" s="228"/>
      <c r="AF511" s="52"/>
      <c r="AG511" s="99"/>
      <c r="AH511" s="53"/>
      <c r="AI511" s="228"/>
      <c r="AJ511" s="52"/>
      <c r="AK511" s="99"/>
      <c r="AL511" s="53"/>
      <c r="AM511" s="228"/>
      <c r="AN511" s="52"/>
      <c r="AO511" s="99"/>
      <c r="AP511" s="53"/>
      <c r="AQ511" s="50">
        <f t="shared" si="185"/>
        <v>0</v>
      </c>
      <c r="AR511" s="163">
        <f t="shared" si="186"/>
        <v>0</v>
      </c>
      <c r="AS511" s="97">
        <f t="shared" si="187"/>
        <v>0</v>
      </c>
      <c r="AT511" s="278">
        <f t="shared" si="188"/>
        <v>0</v>
      </c>
      <c r="AU511" s="55"/>
      <c r="AV511" s="277"/>
      <c r="AW511" s="279"/>
      <c r="AX511" s="52"/>
      <c r="AY511" s="105"/>
      <c r="AZ511" s="98"/>
      <c r="BA511" s="279"/>
      <c r="BB511" s="52"/>
      <c r="BC511" s="105"/>
      <c r="BD511" s="98"/>
      <c r="BE511" s="279"/>
      <c r="BF511" s="52"/>
      <c r="BG511" s="105"/>
      <c r="BH511" s="98"/>
      <c r="BI511" s="279"/>
      <c r="BJ511" s="52"/>
      <c r="BK511" s="105"/>
      <c r="BL511" s="98"/>
      <c r="BM511" s="279"/>
      <c r="BN511" s="52"/>
      <c r="BO511" s="105"/>
      <c r="BP511" s="98"/>
      <c r="BQ511" s="279"/>
      <c r="BR511" s="52"/>
      <c r="BS511" s="105"/>
      <c r="BT511" s="98"/>
      <c r="BU511" s="279"/>
      <c r="BV511" s="52"/>
      <c r="BW511" s="105"/>
      <c r="BX511" s="98"/>
      <c r="BY511" s="279"/>
      <c r="BZ511" s="52"/>
      <c r="CA511" s="105"/>
      <c r="CB511" s="98"/>
      <c r="CC511" s="279"/>
      <c r="CD511" s="52"/>
      <c r="CE511" s="105"/>
      <c r="CF511" s="98"/>
      <c r="CG511" s="279"/>
      <c r="CH511" s="52"/>
      <c r="CI511" s="105"/>
      <c r="CJ511" s="98"/>
      <c r="CK511" s="281"/>
      <c r="CL511" s="277"/>
      <c r="CM511" s="159"/>
      <c r="CN511" s="277"/>
      <c r="CO511" s="50">
        <f t="shared" si="194"/>
        <v>0</v>
      </c>
      <c r="CP511" s="103">
        <f t="shared" si="195"/>
        <v>0</v>
      </c>
      <c r="CQ511" s="280">
        <f t="shared" si="196"/>
        <v>0</v>
      </c>
      <c r="CR511" s="63">
        <f t="shared" si="197"/>
        <v>0</v>
      </c>
      <c r="CS511" s="279"/>
      <c r="CT511" s="52"/>
      <c r="CU511" s="105"/>
      <c r="CV511" s="98"/>
      <c r="CW511" s="279"/>
      <c r="CX511" s="52"/>
      <c r="CY511" s="105"/>
      <c r="CZ511" s="98"/>
      <c r="DA511" s="279"/>
      <c r="DB511" s="52"/>
      <c r="DC511" s="105"/>
      <c r="DD511" s="98"/>
      <c r="DE511" s="279"/>
      <c r="DF511" s="52"/>
      <c r="DG511" s="105"/>
      <c r="DH511" s="98"/>
      <c r="DI511" s="279"/>
      <c r="DJ511" s="52"/>
      <c r="DK511" s="105"/>
      <c r="DL511" s="98"/>
      <c r="DM511" s="279"/>
      <c r="DN511" s="52"/>
      <c r="DO511" s="105"/>
      <c r="DP511" s="98"/>
      <c r="DQ511" s="279"/>
      <c r="DR511" s="52"/>
      <c r="DS511" s="105"/>
      <c r="DT511" s="98"/>
      <c r="DU511" s="279"/>
      <c r="DV511" s="52"/>
      <c r="DW511" s="105"/>
      <c r="DX511" s="98"/>
      <c r="DY511" s="279"/>
      <c r="DZ511" s="52"/>
      <c r="EA511" s="105"/>
      <c r="EB511" s="98"/>
      <c r="EC511" s="279"/>
      <c r="ED511" s="52"/>
      <c r="EE511" s="105"/>
      <c r="EF511" s="98"/>
      <c r="EG511" s="159"/>
      <c r="EH511" s="277"/>
      <c r="EI511" s="50">
        <f t="shared" si="198"/>
        <v>0</v>
      </c>
      <c r="EJ511" s="103">
        <f t="shared" si="199"/>
        <v>0</v>
      </c>
      <c r="EK511" s="164">
        <f t="shared" si="200"/>
        <v>0</v>
      </c>
      <c r="EL511" s="280">
        <f t="shared" si="201"/>
        <v>0</v>
      </c>
      <c r="EM511" s="63">
        <f t="shared" si="202"/>
        <v>0</v>
      </c>
      <c r="EN511" s="359">
        <f t="shared" si="203"/>
        <v>0</v>
      </c>
      <c r="EO511" s="51">
        <f t="shared" si="204"/>
        <v>0</v>
      </c>
      <c r="EP511" s="361">
        <f t="shared" si="205"/>
        <v>0</v>
      </c>
      <c r="EQ511" s="281"/>
      <c r="ER511" s="277"/>
      <c r="ES511" s="281"/>
      <c r="ET511" s="277"/>
      <c r="EU511" s="281"/>
      <c r="EV511" s="277"/>
      <c r="EW511" s="281"/>
      <c r="EX511" s="277"/>
      <c r="EY511" s="281"/>
      <c r="EZ511" s="277"/>
      <c r="FA511" s="281"/>
      <c r="FB511" s="277"/>
      <c r="FC511" s="281"/>
      <c r="FD511" s="277"/>
      <c r="FE511" s="281"/>
      <c r="FF511" s="277"/>
      <c r="FG511" s="281"/>
      <c r="FH511" s="277"/>
      <c r="FI511" s="281"/>
      <c r="FJ511" s="277"/>
      <c r="FK511" s="50">
        <f t="shared" si="206"/>
        <v>0</v>
      </c>
      <c r="FL511" s="63">
        <f t="shared" si="207"/>
        <v>0</v>
      </c>
      <c r="FM511" s="50">
        <f t="shared" si="189"/>
        <v>91</v>
      </c>
      <c r="FN511" s="360">
        <f t="shared" si="190"/>
        <v>56</v>
      </c>
      <c r="FO511" s="3"/>
      <c r="FP511" s="279"/>
      <c r="FQ511" s="52"/>
      <c r="FR511" s="296"/>
      <c r="FS511" s="98"/>
      <c r="FT511" s="467"/>
      <c r="FU511" s="52"/>
      <c r="FV511" s="296"/>
      <c r="FW511" s="98"/>
      <c r="FX511" s="467"/>
      <c r="FY511" s="52"/>
      <c r="FZ511" s="296"/>
      <c r="GA511" s="98"/>
      <c r="GB511" s="467"/>
      <c r="GC511" s="52"/>
      <c r="GD511" s="296"/>
      <c r="GE511" s="98"/>
      <c r="GF511" s="467"/>
      <c r="GG511" s="52"/>
      <c r="GH511" s="296"/>
      <c r="GI511" s="98"/>
      <c r="GJ511" s="467"/>
      <c r="GK511" s="52"/>
      <c r="GL511" s="296"/>
      <c r="GM511" s="464"/>
      <c r="GN511" s="467"/>
      <c r="GO511" s="52"/>
      <c r="GP511" s="296"/>
      <c r="GQ511" s="464"/>
      <c r="GR511" s="467"/>
      <c r="GS511" s="52"/>
      <c r="GT511" s="296"/>
      <c r="GU511" s="464"/>
      <c r="GV511" s="467"/>
      <c r="GW511" s="52"/>
      <c r="GX511" s="296"/>
      <c r="GY511" s="464"/>
      <c r="GZ511" s="467"/>
      <c r="HA511" s="52"/>
      <c r="HB511" s="296"/>
      <c r="HC511" s="3"/>
    </row>
    <row r="512" spans="1:211" s="86" customFormat="1">
      <c r="A512" s="491" t="s">
        <v>35</v>
      </c>
      <c r="B512" s="326" t="s">
        <v>67</v>
      </c>
      <c r="C512" s="325">
        <v>218706</v>
      </c>
      <c r="D512" s="349">
        <v>10</v>
      </c>
      <c r="E512" s="460"/>
      <c r="F512" s="535">
        <v>0</v>
      </c>
      <c r="G512" s="460"/>
      <c r="H512" s="277"/>
      <c r="I512" s="158">
        <v>70</v>
      </c>
      <c r="J512" s="535">
        <v>54</v>
      </c>
      <c r="K512" s="160">
        <f t="shared" si="191"/>
        <v>0</v>
      </c>
      <c r="L512" s="161">
        <f t="shared" si="184"/>
        <v>0</v>
      </c>
      <c r="M512" s="54"/>
      <c r="N512" s="55"/>
      <c r="O512" s="55"/>
      <c r="P512" s="55"/>
      <c r="Q512" s="162">
        <f t="shared" si="192"/>
        <v>0</v>
      </c>
      <c r="R512" s="535"/>
      <c r="S512" s="277"/>
      <c r="T512" s="277"/>
      <c r="U512" s="277"/>
      <c r="V512" s="97">
        <f t="shared" si="193"/>
        <v>0</v>
      </c>
      <c r="W512" s="279"/>
      <c r="X512" s="52"/>
      <c r="Y512" s="99"/>
      <c r="Z512" s="53"/>
      <c r="AA512" s="228"/>
      <c r="AB512" s="52"/>
      <c r="AC512" s="99"/>
      <c r="AD512" s="53"/>
      <c r="AE512" s="228"/>
      <c r="AF512" s="52"/>
      <c r="AG512" s="99"/>
      <c r="AH512" s="53"/>
      <c r="AI512" s="228"/>
      <c r="AJ512" s="52"/>
      <c r="AK512" s="99"/>
      <c r="AL512" s="53"/>
      <c r="AM512" s="228"/>
      <c r="AN512" s="52"/>
      <c r="AO512" s="99"/>
      <c r="AP512" s="53"/>
      <c r="AQ512" s="50">
        <f t="shared" si="185"/>
        <v>0</v>
      </c>
      <c r="AR512" s="163">
        <f t="shared" si="186"/>
        <v>0</v>
      </c>
      <c r="AS512" s="97">
        <f t="shared" si="187"/>
        <v>0</v>
      </c>
      <c r="AT512" s="278">
        <f t="shared" si="188"/>
        <v>0</v>
      </c>
      <c r="AU512" s="55"/>
      <c r="AV512" s="277"/>
      <c r="AW512" s="279"/>
      <c r="AX512" s="52"/>
      <c r="AY512" s="105"/>
      <c r="AZ512" s="98"/>
      <c r="BA512" s="279"/>
      <c r="BB512" s="52"/>
      <c r="BC512" s="105"/>
      <c r="BD512" s="98"/>
      <c r="BE512" s="279"/>
      <c r="BF512" s="52"/>
      <c r="BG512" s="105"/>
      <c r="BH512" s="98"/>
      <c r="BI512" s="279"/>
      <c r="BJ512" s="52"/>
      <c r="BK512" s="105"/>
      <c r="BL512" s="98"/>
      <c r="BM512" s="279"/>
      <c r="BN512" s="52"/>
      <c r="BO512" s="105"/>
      <c r="BP512" s="98"/>
      <c r="BQ512" s="279"/>
      <c r="BR512" s="52"/>
      <c r="BS512" s="105"/>
      <c r="BT512" s="98"/>
      <c r="BU512" s="279"/>
      <c r="BV512" s="52"/>
      <c r="BW512" s="105"/>
      <c r="BX512" s="98"/>
      <c r="BY512" s="279"/>
      <c r="BZ512" s="52"/>
      <c r="CA512" s="105"/>
      <c r="CB512" s="98"/>
      <c r="CC512" s="279"/>
      <c r="CD512" s="52"/>
      <c r="CE512" s="105"/>
      <c r="CF512" s="98"/>
      <c r="CG512" s="279"/>
      <c r="CH512" s="52"/>
      <c r="CI512" s="105"/>
      <c r="CJ512" s="98"/>
      <c r="CK512" s="281"/>
      <c r="CL512" s="277"/>
      <c r="CM512" s="159"/>
      <c r="CN512" s="277"/>
      <c r="CO512" s="50">
        <f t="shared" si="194"/>
        <v>0</v>
      </c>
      <c r="CP512" s="103">
        <f t="shared" si="195"/>
        <v>0</v>
      </c>
      <c r="CQ512" s="280">
        <f t="shared" si="196"/>
        <v>0</v>
      </c>
      <c r="CR512" s="63">
        <f t="shared" si="197"/>
        <v>0</v>
      </c>
      <c r="CS512" s="279"/>
      <c r="CT512" s="52"/>
      <c r="CU512" s="105"/>
      <c r="CV512" s="98"/>
      <c r="CW512" s="279"/>
      <c r="CX512" s="52"/>
      <c r="CY512" s="105"/>
      <c r="CZ512" s="98"/>
      <c r="DA512" s="279"/>
      <c r="DB512" s="52"/>
      <c r="DC512" s="105"/>
      <c r="DD512" s="98"/>
      <c r="DE512" s="279"/>
      <c r="DF512" s="52"/>
      <c r="DG512" s="105"/>
      <c r="DH512" s="98"/>
      <c r="DI512" s="279"/>
      <c r="DJ512" s="52"/>
      <c r="DK512" s="105"/>
      <c r="DL512" s="98"/>
      <c r="DM512" s="279"/>
      <c r="DN512" s="52"/>
      <c r="DO512" s="105"/>
      <c r="DP512" s="98"/>
      <c r="DQ512" s="279"/>
      <c r="DR512" s="52"/>
      <c r="DS512" s="105"/>
      <c r="DT512" s="98"/>
      <c r="DU512" s="279"/>
      <c r="DV512" s="52"/>
      <c r="DW512" s="105"/>
      <c r="DX512" s="98"/>
      <c r="DY512" s="279"/>
      <c r="DZ512" s="52"/>
      <c r="EA512" s="105"/>
      <c r="EB512" s="98"/>
      <c r="EC512" s="279"/>
      <c r="ED512" s="52"/>
      <c r="EE512" s="105"/>
      <c r="EF512" s="98"/>
      <c r="EG512" s="159"/>
      <c r="EH512" s="277"/>
      <c r="EI512" s="50">
        <f t="shared" si="198"/>
        <v>0</v>
      </c>
      <c r="EJ512" s="103">
        <f t="shared" si="199"/>
        <v>0</v>
      </c>
      <c r="EK512" s="164">
        <f t="shared" si="200"/>
        <v>0</v>
      </c>
      <c r="EL512" s="280">
        <f t="shared" si="201"/>
        <v>0</v>
      </c>
      <c r="EM512" s="63">
        <f t="shared" si="202"/>
        <v>0</v>
      </c>
      <c r="EN512" s="359">
        <f t="shared" si="203"/>
        <v>0</v>
      </c>
      <c r="EO512" s="51">
        <f t="shared" si="204"/>
        <v>0</v>
      </c>
      <c r="EP512" s="361">
        <f t="shared" si="205"/>
        <v>0</v>
      </c>
      <c r="EQ512" s="281"/>
      <c r="ER512" s="277"/>
      <c r="ES512" s="281"/>
      <c r="ET512" s="277"/>
      <c r="EU512" s="281"/>
      <c r="EV512" s="277"/>
      <c r="EW512" s="281"/>
      <c r="EX512" s="277"/>
      <c r="EY512" s="281"/>
      <c r="EZ512" s="277"/>
      <c r="FA512" s="281"/>
      <c r="FB512" s="277"/>
      <c r="FC512" s="281"/>
      <c r="FD512" s="277"/>
      <c r="FE512" s="281"/>
      <c r="FF512" s="277"/>
      <c r="FG512" s="281"/>
      <c r="FH512" s="277"/>
      <c r="FI512" s="281"/>
      <c r="FJ512" s="277"/>
      <c r="FK512" s="50">
        <f t="shared" si="206"/>
        <v>0</v>
      </c>
      <c r="FL512" s="63">
        <f t="shared" si="207"/>
        <v>0</v>
      </c>
      <c r="FM512" s="50">
        <f t="shared" si="189"/>
        <v>70</v>
      </c>
      <c r="FN512" s="360">
        <f t="shared" si="190"/>
        <v>54</v>
      </c>
      <c r="FO512" s="3"/>
      <c r="FP512" s="279"/>
      <c r="FQ512" s="52"/>
      <c r="FR512" s="296"/>
      <c r="FS512" s="98"/>
      <c r="FT512" s="467"/>
      <c r="FU512" s="52"/>
      <c r="FV512" s="296"/>
      <c r="FW512" s="98"/>
      <c r="FX512" s="467"/>
      <c r="FY512" s="52"/>
      <c r="FZ512" s="296"/>
      <c r="GA512" s="98"/>
      <c r="GB512" s="467"/>
      <c r="GC512" s="52"/>
      <c r="GD512" s="296"/>
      <c r="GE512" s="98"/>
      <c r="GF512" s="467"/>
      <c r="GG512" s="52"/>
      <c r="GH512" s="296"/>
      <c r="GI512" s="98"/>
      <c r="GJ512" s="467"/>
      <c r="GK512" s="52"/>
      <c r="GL512" s="296"/>
      <c r="GM512" s="464"/>
      <c r="GN512" s="467"/>
      <c r="GO512" s="52"/>
      <c r="GP512" s="296"/>
      <c r="GQ512" s="464"/>
      <c r="GR512" s="467"/>
      <c r="GS512" s="52"/>
      <c r="GT512" s="296"/>
      <c r="GU512" s="464"/>
      <c r="GV512" s="467"/>
      <c r="GW512" s="52"/>
      <c r="GX512" s="296"/>
      <c r="GY512" s="464"/>
      <c r="GZ512" s="467"/>
      <c r="HA512" s="52"/>
      <c r="HB512" s="296"/>
      <c r="HC512" s="3"/>
    </row>
    <row r="513" spans="1:211" s="86" customFormat="1">
      <c r="A513" s="491" t="s">
        <v>35</v>
      </c>
      <c r="B513" s="326" t="s">
        <v>68</v>
      </c>
      <c r="C513" s="325">
        <v>218955</v>
      </c>
      <c r="D513" s="349">
        <v>10</v>
      </c>
      <c r="E513" s="460">
        <v>57</v>
      </c>
      <c r="F513" s="535">
        <v>93</v>
      </c>
      <c r="G513" s="460"/>
      <c r="H513" s="277"/>
      <c r="I513" s="158">
        <v>56</v>
      </c>
      <c r="J513" s="535">
        <v>50</v>
      </c>
      <c r="K513" s="160">
        <f t="shared" si="191"/>
        <v>0</v>
      </c>
      <c r="L513" s="161">
        <f t="shared" si="184"/>
        <v>0</v>
      </c>
      <c r="M513" s="54"/>
      <c r="N513" s="55"/>
      <c r="O513" s="55"/>
      <c r="P513" s="55"/>
      <c r="Q513" s="162">
        <f t="shared" si="192"/>
        <v>0</v>
      </c>
      <c r="R513" s="535"/>
      <c r="S513" s="277"/>
      <c r="T513" s="277"/>
      <c r="U513" s="277"/>
      <c r="V513" s="97">
        <f t="shared" si="193"/>
        <v>0</v>
      </c>
      <c r="W513" s="279"/>
      <c r="X513" s="52"/>
      <c r="Y513" s="99"/>
      <c r="Z513" s="53"/>
      <c r="AA513" s="228"/>
      <c r="AB513" s="52"/>
      <c r="AC513" s="99"/>
      <c r="AD513" s="53"/>
      <c r="AE513" s="228"/>
      <c r="AF513" s="52"/>
      <c r="AG513" s="99"/>
      <c r="AH513" s="53"/>
      <c r="AI513" s="228"/>
      <c r="AJ513" s="52"/>
      <c r="AK513" s="99"/>
      <c r="AL513" s="53"/>
      <c r="AM513" s="228"/>
      <c r="AN513" s="52"/>
      <c r="AO513" s="99"/>
      <c r="AP513" s="53"/>
      <c r="AQ513" s="50">
        <f t="shared" si="185"/>
        <v>0</v>
      </c>
      <c r="AR513" s="163">
        <f t="shared" si="186"/>
        <v>0</v>
      </c>
      <c r="AS513" s="97">
        <f t="shared" si="187"/>
        <v>0</v>
      </c>
      <c r="AT513" s="278">
        <f t="shared" si="188"/>
        <v>0</v>
      </c>
      <c r="AU513" s="55"/>
      <c r="AV513" s="277"/>
      <c r="AW513" s="279"/>
      <c r="AX513" s="52"/>
      <c r="AY513" s="105"/>
      <c r="AZ513" s="98"/>
      <c r="BA513" s="279"/>
      <c r="BB513" s="52"/>
      <c r="BC513" s="105"/>
      <c r="BD513" s="98"/>
      <c r="BE513" s="279"/>
      <c r="BF513" s="52"/>
      <c r="BG513" s="105"/>
      <c r="BH513" s="98"/>
      <c r="BI513" s="279"/>
      <c r="BJ513" s="52"/>
      <c r="BK513" s="105"/>
      <c r="BL513" s="98"/>
      <c r="BM513" s="279"/>
      <c r="BN513" s="52"/>
      <c r="BO513" s="105"/>
      <c r="BP513" s="98"/>
      <c r="BQ513" s="279"/>
      <c r="BR513" s="52"/>
      <c r="BS513" s="105"/>
      <c r="BT513" s="98"/>
      <c r="BU513" s="279"/>
      <c r="BV513" s="52"/>
      <c r="BW513" s="105"/>
      <c r="BX513" s="98"/>
      <c r="BY513" s="279"/>
      <c r="BZ513" s="52"/>
      <c r="CA513" s="105"/>
      <c r="CB513" s="98"/>
      <c r="CC513" s="279"/>
      <c r="CD513" s="52"/>
      <c r="CE513" s="105"/>
      <c r="CF513" s="98"/>
      <c r="CG513" s="279"/>
      <c r="CH513" s="52"/>
      <c r="CI513" s="105"/>
      <c r="CJ513" s="98"/>
      <c r="CK513" s="281"/>
      <c r="CL513" s="277"/>
      <c r="CM513" s="159"/>
      <c r="CN513" s="277"/>
      <c r="CO513" s="50">
        <f t="shared" si="194"/>
        <v>0</v>
      </c>
      <c r="CP513" s="103">
        <f t="shared" si="195"/>
        <v>0</v>
      </c>
      <c r="CQ513" s="280">
        <f t="shared" si="196"/>
        <v>0</v>
      </c>
      <c r="CR513" s="63">
        <f t="shared" si="197"/>
        <v>0</v>
      </c>
      <c r="CS513" s="279"/>
      <c r="CT513" s="52"/>
      <c r="CU513" s="105"/>
      <c r="CV513" s="98"/>
      <c r="CW513" s="279"/>
      <c r="CX513" s="52"/>
      <c r="CY513" s="105"/>
      <c r="CZ513" s="98"/>
      <c r="DA513" s="279"/>
      <c r="DB513" s="52"/>
      <c r="DC513" s="105"/>
      <c r="DD513" s="98"/>
      <c r="DE513" s="279"/>
      <c r="DF513" s="52"/>
      <c r="DG513" s="105"/>
      <c r="DH513" s="98"/>
      <c r="DI513" s="279"/>
      <c r="DJ513" s="52"/>
      <c r="DK513" s="105"/>
      <c r="DL513" s="98"/>
      <c r="DM513" s="279"/>
      <c r="DN513" s="52"/>
      <c r="DO513" s="105"/>
      <c r="DP513" s="98"/>
      <c r="DQ513" s="279"/>
      <c r="DR513" s="52"/>
      <c r="DS513" s="105"/>
      <c r="DT513" s="98"/>
      <c r="DU513" s="279"/>
      <c r="DV513" s="52"/>
      <c r="DW513" s="105"/>
      <c r="DX513" s="98"/>
      <c r="DY513" s="279"/>
      <c r="DZ513" s="52"/>
      <c r="EA513" s="105"/>
      <c r="EB513" s="98"/>
      <c r="EC513" s="279"/>
      <c r="ED513" s="52"/>
      <c r="EE513" s="105"/>
      <c r="EF513" s="98"/>
      <c r="EG513" s="159"/>
      <c r="EH513" s="277"/>
      <c r="EI513" s="50">
        <f t="shared" si="198"/>
        <v>0</v>
      </c>
      <c r="EJ513" s="103">
        <f t="shared" si="199"/>
        <v>0</v>
      </c>
      <c r="EK513" s="164">
        <f t="shared" si="200"/>
        <v>0</v>
      </c>
      <c r="EL513" s="280">
        <f t="shared" si="201"/>
        <v>0</v>
      </c>
      <c r="EM513" s="63">
        <f t="shared" si="202"/>
        <v>0</v>
      </c>
      <c r="EN513" s="359">
        <f t="shared" si="203"/>
        <v>0</v>
      </c>
      <c r="EO513" s="51">
        <f t="shared" si="204"/>
        <v>0</v>
      </c>
      <c r="EP513" s="361">
        <f t="shared" si="205"/>
        <v>0</v>
      </c>
      <c r="EQ513" s="281"/>
      <c r="ER513" s="277"/>
      <c r="ES513" s="281"/>
      <c r="ET513" s="277"/>
      <c r="EU513" s="281"/>
      <c r="EV513" s="277"/>
      <c r="EW513" s="281"/>
      <c r="EX513" s="277"/>
      <c r="EY513" s="281"/>
      <c r="EZ513" s="277"/>
      <c r="FA513" s="281"/>
      <c r="FB513" s="277"/>
      <c r="FC513" s="281"/>
      <c r="FD513" s="277"/>
      <c r="FE513" s="281"/>
      <c r="FF513" s="277"/>
      <c r="FG513" s="281"/>
      <c r="FH513" s="277"/>
      <c r="FI513" s="281"/>
      <c r="FJ513" s="277"/>
      <c r="FK513" s="50">
        <f t="shared" si="206"/>
        <v>0</v>
      </c>
      <c r="FL513" s="63">
        <f t="shared" si="207"/>
        <v>0</v>
      </c>
      <c r="FM513" s="50">
        <f t="shared" si="189"/>
        <v>113</v>
      </c>
      <c r="FN513" s="360">
        <f t="shared" si="190"/>
        <v>143</v>
      </c>
      <c r="FO513" s="3"/>
      <c r="FP513" s="279"/>
      <c r="FQ513" s="52"/>
      <c r="FR513" s="296"/>
      <c r="FS513" s="98"/>
      <c r="FT513" s="467"/>
      <c r="FU513" s="52"/>
      <c r="FV513" s="296"/>
      <c r="FW513" s="98"/>
      <c r="FX513" s="467"/>
      <c r="FY513" s="52"/>
      <c r="FZ513" s="296"/>
      <c r="GA513" s="98"/>
      <c r="GB513" s="467"/>
      <c r="GC513" s="52"/>
      <c r="GD513" s="296"/>
      <c r="GE513" s="98"/>
      <c r="GF513" s="467"/>
      <c r="GG513" s="52"/>
      <c r="GH513" s="296"/>
      <c r="GI513" s="98"/>
      <c r="GJ513" s="467"/>
      <c r="GK513" s="52"/>
      <c r="GL513" s="296"/>
      <c r="GM513" s="464"/>
      <c r="GN513" s="467"/>
      <c r="GO513" s="52"/>
      <c r="GP513" s="296"/>
      <c r="GQ513" s="464"/>
      <c r="GR513" s="467"/>
      <c r="GS513" s="52"/>
      <c r="GT513" s="296"/>
      <c r="GU513" s="464"/>
      <c r="GV513" s="467"/>
      <c r="GW513" s="52"/>
      <c r="GX513" s="296"/>
      <c r="GY513" s="464"/>
      <c r="GZ513" s="467"/>
      <c r="HA513" s="52"/>
      <c r="HB513" s="296"/>
      <c r="HC513" s="3"/>
    </row>
    <row r="514" spans="1:211" s="86" customFormat="1">
      <c r="A514" s="491" t="s">
        <v>35</v>
      </c>
      <c r="B514" s="326" t="s">
        <v>69</v>
      </c>
      <c r="C514" s="325">
        <v>218335</v>
      </c>
      <c r="D514" s="349">
        <v>15</v>
      </c>
      <c r="E514" s="460"/>
      <c r="F514" s="535">
        <v>0</v>
      </c>
      <c r="G514" s="460"/>
      <c r="H514" s="277"/>
      <c r="I514" s="158"/>
      <c r="J514" s="535"/>
      <c r="K514" s="160">
        <f t="shared" si="191"/>
        <v>0</v>
      </c>
      <c r="L514" s="161">
        <f t="shared" si="184"/>
        <v>0</v>
      </c>
      <c r="M514" s="54">
        <v>182</v>
      </c>
      <c r="N514" s="55"/>
      <c r="O514" s="55"/>
      <c r="P514" s="55"/>
      <c r="Q514" s="162">
        <f t="shared" si="192"/>
        <v>0</v>
      </c>
      <c r="R514" s="535">
        <v>194</v>
      </c>
      <c r="S514" s="277"/>
      <c r="T514" s="277"/>
      <c r="U514" s="277"/>
      <c r="V514" s="97">
        <f t="shared" si="193"/>
        <v>0</v>
      </c>
      <c r="W514" s="279"/>
      <c r="X514" s="52"/>
      <c r="Y514" s="99"/>
      <c r="Z514" s="53"/>
      <c r="AA514" s="228"/>
      <c r="AB514" s="52"/>
      <c r="AC514" s="99"/>
      <c r="AD514" s="53"/>
      <c r="AE514" s="228"/>
      <c r="AF514" s="52"/>
      <c r="AG514" s="99"/>
      <c r="AH514" s="53"/>
      <c r="AI514" s="228"/>
      <c r="AJ514" s="52"/>
      <c r="AK514" s="99"/>
      <c r="AL514" s="53"/>
      <c r="AM514" s="228"/>
      <c r="AN514" s="52"/>
      <c r="AO514" s="99"/>
      <c r="AP514" s="53"/>
      <c r="AQ514" s="50">
        <f t="shared" si="185"/>
        <v>0</v>
      </c>
      <c r="AR514" s="163">
        <f t="shared" si="186"/>
        <v>0.20244716351501668</v>
      </c>
      <c r="AS514" s="97">
        <f t="shared" si="187"/>
        <v>0</v>
      </c>
      <c r="AT514" s="278">
        <f t="shared" si="188"/>
        <v>0.22298850574712645</v>
      </c>
      <c r="AU514" s="55">
        <v>7</v>
      </c>
      <c r="AV514" s="277">
        <v>2</v>
      </c>
      <c r="AW514" s="279">
        <v>51</v>
      </c>
      <c r="AX514" s="52">
        <v>263</v>
      </c>
      <c r="AY514" s="105">
        <v>51</v>
      </c>
      <c r="AZ514" s="98">
        <v>287</v>
      </c>
      <c r="BA514" s="279">
        <v>26</v>
      </c>
      <c r="BB514" s="52">
        <v>12</v>
      </c>
      <c r="BC514" s="105">
        <v>26</v>
      </c>
      <c r="BD514" s="98">
        <v>12</v>
      </c>
      <c r="BE514" s="279"/>
      <c r="BF514" s="52"/>
      <c r="BG514" s="105"/>
      <c r="BH514" s="98"/>
      <c r="BI514" s="279"/>
      <c r="BJ514" s="52"/>
      <c r="BK514" s="105"/>
      <c r="BL514" s="98"/>
      <c r="BM514" s="279"/>
      <c r="BN514" s="52"/>
      <c r="BO514" s="105"/>
      <c r="BP514" s="98"/>
      <c r="BQ514" s="279"/>
      <c r="BR514" s="52"/>
      <c r="BS514" s="105"/>
      <c r="BT514" s="98"/>
      <c r="BU514" s="279"/>
      <c r="BV514" s="52"/>
      <c r="BW514" s="105"/>
      <c r="BX514" s="98"/>
      <c r="BY514" s="279"/>
      <c r="BZ514" s="52"/>
      <c r="CA514" s="105"/>
      <c r="CB514" s="98"/>
      <c r="CC514" s="279"/>
      <c r="CD514" s="52"/>
      <c r="CE514" s="105"/>
      <c r="CF514" s="98"/>
      <c r="CG514" s="279"/>
      <c r="CH514" s="52"/>
      <c r="CI514" s="105"/>
      <c r="CJ514" s="98"/>
      <c r="CK514" s="281"/>
      <c r="CL514" s="277"/>
      <c r="CM514" s="159"/>
      <c r="CN514" s="277"/>
      <c r="CO514" s="50">
        <f t="shared" si="194"/>
        <v>275</v>
      </c>
      <c r="CP514" s="103">
        <f t="shared" si="195"/>
        <v>2</v>
      </c>
      <c r="CQ514" s="280">
        <f t="shared" si="196"/>
        <v>299</v>
      </c>
      <c r="CR514" s="63">
        <f t="shared" si="197"/>
        <v>2</v>
      </c>
      <c r="CS514" s="279">
        <v>51</v>
      </c>
      <c r="CT514" s="52">
        <v>130</v>
      </c>
      <c r="CU514" s="105">
        <v>51</v>
      </c>
      <c r="CV514" s="98">
        <v>70</v>
      </c>
      <c r="CW514" s="279">
        <v>26</v>
      </c>
      <c r="CX514" s="52">
        <v>38</v>
      </c>
      <c r="CY514" s="105">
        <v>26</v>
      </c>
      <c r="CZ514" s="98">
        <v>37</v>
      </c>
      <c r="DA514" s="279"/>
      <c r="DB514" s="52"/>
      <c r="DC514" s="105"/>
      <c r="DD514" s="98"/>
      <c r="DE514" s="279"/>
      <c r="DF514" s="52"/>
      <c r="DG514" s="105"/>
      <c r="DH514" s="98"/>
      <c r="DI514" s="279"/>
      <c r="DJ514" s="52"/>
      <c r="DK514" s="105"/>
      <c r="DL514" s="98"/>
      <c r="DM514" s="279"/>
      <c r="DN514" s="52"/>
      <c r="DO514" s="105"/>
      <c r="DP514" s="98"/>
      <c r="DQ514" s="279"/>
      <c r="DR514" s="52"/>
      <c r="DS514" s="105"/>
      <c r="DT514" s="98"/>
      <c r="DU514" s="279"/>
      <c r="DV514" s="52"/>
      <c r="DW514" s="105"/>
      <c r="DX514" s="98"/>
      <c r="DY514" s="279"/>
      <c r="DZ514" s="52"/>
      <c r="EA514" s="105"/>
      <c r="EB514" s="98"/>
      <c r="EC514" s="279"/>
      <c r="ED514" s="52"/>
      <c r="EE514" s="105"/>
      <c r="EF514" s="98"/>
      <c r="EG514" s="159"/>
      <c r="EH514" s="277"/>
      <c r="EI514" s="50">
        <f t="shared" si="198"/>
        <v>168</v>
      </c>
      <c r="EJ514" s="103">
        <f t="shared" si="199"/>
        <v>2</v>
      </c>
      <c r="EK514" s="164">
        <f t="shared" si="200"/>
        <v>0.77380952380952384</v>
      </c>
      <c r="EL514" s="280">
        <f t="shared" si="201"/>
        <v>107</v>
      </c>
      <c r="EM514" s="63">
        <f t="shared" si="202"/>
        <v>2</v>
      </c>
      <c r="EN514" s="359">
        <f t="shared" si="203"/>
        <v>0.65420560747663548</v>
      </c>
      <c r="EO514" s="51">
        <f t="shared" si="204"/>
        <v>443</v>
      </c>
      <c r="EP514" s="361">
        <f t="shared" si="205"/>
        <v>406</v>
      </c>
      <c r="EQ514" s="281"/>
      <c r="ER514" s="277"/>
      <c r="ES514" s="281">
        <v>135</v>
      </c>
      <c r="ET514" s="277">
        <v>133</v>
      </c>
      <c r="EU514" s="281">
        <v>54</v>
      </c>
      <c r="EV514" s="277">
        <v>57</v>
      </c>
      <c r="EW514" s="281">
        <v>78</v>
      </c>
      <c r="EX514" s="277">
        <v>78</v>
      </c>
      <c r="EY514" s="281"/>
      <c r="EZ514" s="277"/>
      <c r="FA514" s="281"/>
      <c r="FB514" s="277"/>
      <c r="FC514" s="281"/>
      <c r="FD514" s="277"/>
      <c r="FE514" s="281"/>
      <c r="FF514" s="277"/>
      <c r="FG514" s="281"/>
      <c r="FH514" s="277"/>
      <c r="FI514" s="281"/>
      <c r="FJ514" s="277"/>
      <c r="FK514" s="50">
        <f t="shared" si="206"/>
        <v>267</v>
      </c>
      <c r="FL514" s="63">
        <f t="shared" si="207"/>
        <v>268</v>
      </c>
      <c r="FM514" s="50">
        <f t="shared" si="189"/>
        <v>899</v>
      </c>
      <c r="FN514" s="360">
        <f t="shared" si="190"/>
        <v>870</v>
      </c>
      <c r="FO514" s="3"/>
      <c r="FP514" s="279"/>
      <c r="FQ514" s="52"/>
      <c r="FR514" s="296"/>
      <c r="FS514" s="98"/>
      <c r="FT514" s="467"/>
      <c r="FU514" s="52"/>
      <c r="FV514" s="296"/>
      <c r="FW514" s="98"/>
      <c r="FX514" s="467"/>
      <c r="FY514" s="52"/>
      <c r="FZ514" s="296"/>
      <c r="GA514" s="98"/>
      <c r="GB514" s="467"/>
      <c r="GC514" s="52"/>
      <c r="GD514" s="296"/>
      <c r="GE514" s="98"/>
      <c r="GF514" s="467"/>
      <c r="GG514" s="52"/>
      <c r="GH514" s="296"/>
      <c r="GI514" s="98"/>
      <c r="GJ514" s="467"/>
      <c r="GK514" s="52"/>
      <c r="GL514" s="296"/>
      <c r="GM514" s="464"/>
      <c r="GN514" s="467"/>
      <c r="GO514" s="52"/>
      <c r="GP514" s="296"/>
      <c r="GQ514" s="464"/>
      <c r="GR514" s="467"/>
      <c r="GS514" s="52"/>
      <c r="GT514" s="296"/>
      <c r="GU514" s="464"/>
      <c r="GV514" s="467"/>
      <c r="GW514" s="52"/>
      <c r="GX514" s="296"/>
      <c r="GY514" s="464"/>
      <c r="GZ514" s="467"/>
      <c r="HA514" s="52"/>
      <c r="HB514" s="296"/>
      <c r="HC514" s="3"/>
    </row>
    <row r="515" spans="1:211" s="86" customFormat="1">
      <c r="A515" s="499" t="s">
        <v>32</v>
      </c>
      <c r="B515" s="543" t="s">
        <v>639</v>
      </c>
      <c r="C515" s="544">
        <v>220862</v>
      </c>
      <c r="D515" s="477">
        <v>1</v>
      </c>
      <c r="E515" s="460"/>
      <c r="F515" s="535"/>
      <c r="G515" s="460"/>
      <c r="H515" s="277"/>
      <c r="I515" s="158"/>
      <c r="J515" s="535"/>
      <c r="K515" s="160">
        <f t="shared" si="191"/>
        <v>0</v>
      </c>
      <c r="L515" s="161">
        <f t="shared" si="184"/>
        <v>0</v>
      </c>
      <c r="M515" s="54">
        <v>2454</v>
      </c>
      <c r="N515" s="55">
        <v>209</v>
      </c>
      <c r="O515" s="55"/>
      <c r="P515" s="55">
        <v>17</v>
      </c>
      <c r="Q515" s="162">
        <f t="shared" si="192"/>
        <v>226</v>
      </c>
      <c r="R515" s="545">
        <v>2218</v>
      </c>
      <c r="S515" s="312"/>
      <c r="T515" s="277"/>
      <c r="U515" s="312"/>
      <c r="V515" s="97">
        <f t="shared" si="193"/>
        <v>0</v>
      </c>
      <c r="W515" s="279"/>
      <c r="X515" s="52"/>
      <c r="Y515" s="99"/>
      <c r="Z515" s="53"/>
      <c r="AA515" s="228"/>
      <c r="AB515" s="52"/>
      <c r="AC515" s="99"/>
      <c r="AD515" s="53"/>
      <c r="AE515" s="228"/>
      <c r="AF515" s="52"/>
      <c r="AG515" s="99"/>
      <c r="AH515" s="53"/>
      <c r="AI515" s="228"/>
      <c r="AJ515" s="52"/>
      <c r="AK515" s="99"/>
      <c r="AL515" s="53"/>
      <c r="AM515" s="228"/>
      <c r="AN515" s="52"/>
      <c r="AO515" s="99"/>
      <c r="AP515" s="53"/>
      <c r="AQ515" s="50">
        <f t="shared" si="185"/>
        <v>0</v>
      </c>
      <c r="AR515" s="163">
        <f t="shared" si="186"/>
        <v>0.68681780016792615</v>
      </c>
      <c r="AS515" s="97">
        <f t="shared" si="187"/>
        <v>0</v>
      </c>
      <c r="AT515" s="278">
        <f t="shared" si="188"/>
        <v>0.63208891422057567</v>
      </c>
      <c r="AU515" s="55"/>
      <c r="AV515" s="277"/>
      <c r="AW515" s="279">
        <v>13</v>
      </c>
      <c r="AX515" s="52">
        <v>270</v>
      </c>
      <c r="AY515" s="105">
        <v>13</v>
      </c>
      <c r="AZ515" s="98">
        <v>226</v>
      </c>
      <c r="BA515" s="279">
        <v>52</v>
      </c>
      <c r="BB515" s="52">
        <v>163</v>
      </c>
      <c r="BC515" s="105">
        <v>52</v>
      </c>
      <c r="BD515" s="98">
        <v>188</v>
      </c>
      <c r="BE515" s="279">
        <v>51</v>
      </c>
      <c r="BF515" s="52">
        <v>62</v>
      </c>
      <c r="BG515" s="105">
        <v>22</v>
      </c>
      <c r="BH515" s="98">
        <v>121</v>
      </c>
      <c r="BI515" s="279">
        <v>50</v>
      </c>
      <c r="BJ515" s="52">
        <v>47</v>
      </c>
      <c r="BK515" s="105">
        <v>51</v>
      </c>
      <c r="BL515" s="98">
        <v>107</v>
      </c>
      <c r="BM515" s="279">
        <v>14</v>
      </c>
      <c r="BN515" s="52">
        <v>45</v>
      </c>
      <c r="BO515" s="105">
        <v>50</v>
      </c>
      <c r="BP515" s="98">
        <v>41</v>
      </c>
      <c r="BQ515" s="279">
        <v>23</v>
      </c>
      <c r="BR515" s="52">
        <v>40</v>
      </c>
      <c r="BS515" s="105">
        <v>23</v>
      </c>
      <c r="BT515" s="98">
        <v>38</v>
      </c>
      <c r="BU515" s="279">
        <v>42</v>
      </c>
      <c r="BV515" s="52">
        <v>28</v>
      </c>
      <c r="BW515" s="105">
        <v>24</v>
      </c>
      <c r="BX515" s="98">
        <v>36</v>
      </c>
      <c r="BY515" s="279">
        <v>9</v>
      </c>
      <c r="BZ515" s="52">
        <v>24</v>
      </c>
      <c r="CA515" s="105">
        <v>14</v>
      </c>
      <c r="CB515" s="98">
        <v>33</v>
      </c>
      <c r="CC515" s="279">
        <v>44</v>
      </c>
      <c r="CD515" s="52">
        <v>22</v>
      </c>
      <c r="CE515" s="105">
        <v>42</v>
      </c>
      <c r="CF515" s="98">
        <v>29</v>
      </c>
      <c r="CG515" s="279">
        <v>45</v>
      </c>
      <c r="CH515" s="52">
        <v>22</v>
      </c>
      <c r="CI515" s="105">
        <v>45</v>
      </c>
      <c r="CJ515" s="98">
        <v>25</v>
      </c>
      <c r="CK515" s="281"/>
      <c r="CL515" s="277"/>
      <c r="CM515" s="159">
        <v>163</v>
      </c>
      <c r="CN515" s="277">
        <v>194</v>
      </c>
      <c r="CO515" s="50">
        <f t="shared" si="194"/>
        <v>886</v>
      </c>
      <c r="CP515" s="103">
        <f t="shared" si="195"/>
        <v>10</v>
      </c>
      <c r="CQ515" s="280">
        <f t="shared" si="196"/>
        <v>1038</v>
      </c>
      <c r="CR515" s="63">
        <f t="shared" si="197"/>
        <v>10</v>
      </c>
      <c r="CS515" s="279">
        <v>42</v>
      </c>
      <c r="CT515" s="52">
        <v>28</v>
      </c>
      <c r="CU515" s="105">
        <v>13</v>
      </c>
      <c r="CV515" s="98">
        <v>29</v>
      </c>
      <c r="CW515" s="279">
        <v>13</v>
      </c>
      <c r="CX515" s="52">
        <v>14</v>
      </c>
      <c r="CY515" s="105">
        <v>42</v>
      </c>
      <c r="CZ515" s="98">
        <v>29</v>
      </c>
      <c r="DA515" s="279">
        <v>52</v>
      </c>
      <c r="DB515" s="52">
        <v>11</v>
      </c>
      <c r="DC515" s="105">
        <v>40</v>
      </c>
      <c r="DD515" s="98">
        <v>13</v>
      </c>
      <c r="DE515" s="279">
        <v>50</v>
      </c>
      <c r="DF515" s="52">
        <v>11</v>
      </c>
      <c r="DG515" s="105">
        <v>50</v>
      </c>
      <c r="DH515" s="98">
        <v>11</v>
      </c>
      <c r="DI515" s="279">
        <v>14</v>
      </c>
      <c r="DJ515" s="52">
        <v>9</v>
      </c>
      <c r="DK515" s="105">
        <v>52</v>
      </c>
      <c r="DL515" s="98">
        <v>9</v>
      </c>
      <c r="DM515" s="279">
        <v>26</v>
      </c>
      <c r="DN515" s="52">
        <v>8</v>
      </c>
      <c r="DO515" s="105">
        <v>14</v>
      </c>
      <c r="DP515" s="98">
        <v>8</v>
      </c>
      <c r="DQ515" s="279">
        <v>51</v>
      </c>
      <c r="DR515" s="52">
        <v>5</v>
      </c>
      <c r="DS515" s="105">
        <v>54</v>
      </c>
      <c r="DT515" s="98">
        <v>7</v>
      </c>
      <c r="DU515" s="279">
        <v>40</v>
      </c>
      <c r="DV515" s="52">
        <v>5</v>
      </c>
      <c r="DW515" s="105">
        <v>51</v>
      </c>
      <c r="DX515" s="98">
        <v>6</v>
      </c>
      <c r="DY515" s="279">
        <v>9</v>
      </c>
      <c r="DZ515" s="52">
        <v>4</v>
      </c>
      <c r="EA515" s="105">
        <v>9</v>
      </c>
      <c r="EB515" s="98">
        <v>6</v>
      </c>
      <c r="EC515" s="279">
        <v>38</v>
      </c>
      <c r="ED515" s="52">
        <v>4</v>
      </c>
      <c r="EE515" s="105">
        <v>27</v>
      </c>
      <c r="EF515" s="98">
        <v>5</v>
      </c>
      <c r="EG515" s="159">
        <v>8</v>
      </c>
      <c r="EH515" s="277">
        <v>9</v>
      </c>
      <c r="EI515" s="50">
        <f t="shared" si="198"/>
        <v>107</v>
      </c>
      <c r="EJ515" s="103">
        <f t="shared" si="199"/>
        <v>10</v>
      </c>
      <c r="EK515" s="164">
        <f t="shared" si="200"/>
        <v>0.26168224299065418</v>
      </c>
      <c r="EL515" s="280">
        <f t="shared" si="201"/>
        <v>132</v>
      </c>
      <c r="EM515" s="63">
        <f t="shared" si="202"/>
        <v>10</v>
      </c>
      <c r="EN515" s="359">
        <f t="shared" si="203"/>
        <v>0.2196969696969697</v>
      </c>
      <c r="EO515" s="51">
        <f t="shared" si="204"/>
        <v>993</v>
      </c>
      <c r="EP515" s="361">
        <f t="shared" si="205"/>
        <v>1170</v>
      </c>
      <c r="EQ515" s="281">
        <v>126</v>
      </c>
      <c r="ER515" s="277">
        <v>121</v>
      </c>
      <c r="ES515" s="281"/>
      <c r="ET515" s="277"/>
      <c r="EU515" s="281"/>
      <c r="EV515" s="277"/>
      <c r="EW515" s="281"/>
      <c r="EX515" s="277"/>
      <c r="EY515" s="281"/>
      <c r="EZ515" s="277"/>
      <c r="FA515" s="281"/>
      <c r="FB515" s="277"/>
      <c r="FC515" s="281"/>
      <c r="FD515" s="277"/>
      <c r="FE515" s="281"/>
      <c r="FF515" s="277"/>
      <c r="FG515" s="281"/>
      <c r="FH515" s="277"/>
      <c r="FI515" s="281"/>
      <c r="FJ515" s="277"/>
      <c r="FK515" s="50">
        <f t="shared" si="206"/>
        <v>126</v>
      </c>
      <c r="FL515" s="63">
        <f t="shared" si="207"/>
        <v>121</v>
      </c>
      <c r="FM515" s="50">
        <f t="shared" si="189"/>
        <v>3573</v>
      </c>
      <c r="FN515" s="360">
        <f t="shared" si="190"/>
        <v>3509</v>
      </c>
      <c r="FO515" s="3"/>
      <c r="FP515" s="279"/>
      <c r="FQ515" s="52"/>
      <c r="FR515" s="296"/>
      <c r="FS515" s="98"/>
      <c r="FT515" s="467"/>
      <c r="FU515" s="52"/>
      <c r="FV515" s="296"/>
      <c r="FW515" s="98"/>
      <c r="FX515" s="467"/>
      <c r="FY515" s="52"/>
      <c r="FZ515" s="296"/>
      <c r="GA515" s="98"/>
      <c r="GB515" s="467"/>
      <c r="GC515" s="52"/>
      <c r="GD515" s="296"/>
      <c r="GE515" s="98"/>
      <c r="GF515" s="467"/>
      <c r="GG515" s="52"/>
      <c r="GH515" s="296"/>
      <c r="GI515" s="98"/>
      <c r="GJ515" s="467"/>
      <c r="GK515" s="52"/>
      <c r="GL515" s="296"/>
      <c r="GM515" s="464"/>
      <c r="GN515" s="467"/>
      <c r="GO515" s="52"/>
      <c r="GP515" s="296"/>
      <c r="GQ515" s="464"/>
      <c r="GR515" s="467"/>
      <c r="GS515" s="52"/>
      <c r="GT515" s="296"/>
      <c r="GU515" s="464"/>
      <c r="GV515" s="467"/>
      <c r="GW515" s="52"/>
      <c r="GX515" s="296"/>
      <c r="GY515" s="464"/>
      <c r="GZ515" s="467"/>
      <c r="HA515" s="52"/>
      <c r="HB515" s="296"/>
      <c r="HC515" s="3"/>
    </row>
    <row r="516" spans="1:211" s="86" customFormat="1">
      <c r="A516" s="499" t="s">
        <v>32</v>
      </c>
      <c r="B516" s="311" t="s">
        <v>638</v>
      </c>
      <c r="C516" s="310">
        <v>221759</v>
      </c>
      <c r="D516" s="351">
        <v>1</v>
      </c>
      <c r="E516" s="460"/>
      <c r="F516" s="535"/>
      <c r="G516" s="460"/>
      <c r="H516" s="277"/>
      <c r="I516" s="158"/>
      <c r="J516" s="535"/>
      <c r="K516" s="160">
        <f t="shared" si="191"/>
        <v>0</v>
      </c>
      <c r="L516" s="161">
        <f t="shared" si="184"/>
        <v>0</v>
      </c>
      <c r="M516" s="54">
        <v>3624</v>
      </c>
      <c r="N516" s="55">
        <v>29</v>
      </c>
      <c r="O516" s="55"/>
      <c r="P516" s="55">
        <v>32</v>
      </c>
      <c r="Q516" s="162">
        <f t="shared" si="192"/>
        <v>61</v>
      </c>
      <c r="R516" s="545">
        <v>3680</v>
      </c>
      <c r="S516" s="312"/>
      <c r="T516" s="277"/>
      <c r="U516" s="312"/>
      <c r="V516" s="97">
        <f t="shared" si="193"/>
        <v>0</v>
      </c>
      <c r="W516" s="279"/>
      <c r="X516" s="52"/>
      <c r="Y516" s="99"/>
      <c r="Z516" s="53"/>
      <c r="AA516" s="228"/>
      <c r="AB516" s="52"/>
      <c r="AC516" s="99"/>
      <c r="AD516" s="53"/>
      <c r="AE516" s="228"/>
      <c r="AF516" s="52"/>
      <c r="AG516" s="99"/>
      <c r="AH516" s="53"/>
      <c r="AI516" s="228"/>
      <c r="AJ516" s="52"/>
      <c r="AK516" s="99"/>
      <c r="AL516" s="53"/>
      <c r="AM516" s="228"/>
      <c r="AN516" s="52"/>
      <c r="AO516" s="99"/>
      <c r="AP516" s="53"/>
      <c r="AQ516" s="50">
        <f t="shared" si="185"/>
        <v>0</v>
      </c>
      <c r="AR516" s="163">
        <f t="shared" si="186"/>
        <v>0.65074519662416952</v>
      </c>
      <c r="AS516" s="97">
        <f t="shared" si="187"/>
        <v>0</v>
      </c>
      <c r="AT516" s="278">
        <f t="shared" si="188"/>
        <v>0.60886829913964258</v>
      </c>
      <c r="AU516" s="55"/>
      <c r="AV516" s="277"/>
      <c r="AW516" s="279">
        <v>52</v>
      </c>
      <c r="AX516" s="52">
        <v>254</v>
      </c>
      <c r="AY516" s="105">
        <v>52</v>
      </c>
      <c r="AZ516" s="98">
        <v>325</v>
      </c>
      <c r="BA516" s="279">
        <v>13</v>
      </c>
      <c r="BB516" s="52">
        <v>230</v>
      </c>
      <c r="BC516" s="105">
        <v>13</v>
      </c>
      <c r="BD516" s="98">
        <v>267</v>
      </c>
      <c r="BE516" s="279">
        <v>44</v>
      </c>
      <c r="BF516" s="52">
        <v>211</v>
      </c>
      <c r="BG516" s="105">
        <v>44</v>
      </c>
      <c r="BH516" s="98">
        <v>225</v>
      </c>
      <c r="BI516" s="279">
        <v>51</v>
      </c>
      <c r="BJ516" s="52">
        <v>131</v>
      </c>
      <c r="BK516" s="105">
        <v>51</v>
      </c>
      <c r="BL516" s="98">
        <v>194</v>
      </c>
      <c r="BM516" s="279">
        <v>41</v>
      </c>
      <c r="BN516" s="52">
        <v>90</v>
      </c>
      <c r="BO516" s="105">
        <v>14</v>
      </c>
      <c r="BP516" s="98">
        <v>159</v>
      </c>
      <c r="BQ516" s="279">
        <v>25</v>
      </c>
      <c r="BR516" s="52">
        <v>66</v>
      </c>
      <c r="BS516" s="105">
        <v>22</v>
      </c>
      <c r="BT516" s="98">
        <v>139</v>
      </c>
      <c r="BU516" s="279">
        <v>31</v>
      </c>
      <c r="BV516" s="52">
        <v>62</v>
      </c>
      <c r="BW516" s="105">
        <v>31</v>
      </c>
      <c r="BX516" s="98">
        <v>72</v>
      </c>
      <c r="BY516" s="279">
        <v>40</v>
      </c>
      <c r="BZ516" s="52">
        <v>56</v>
      </c>
      <c r="CA516" s="105">
        <v>25</v>
      </c>
      <c r="CB516" s="98">
        <v>69</v>
      </c>
      <c r="CC516" s="279">
        <v>50</v>
      </c>
      <c r="CD516" s="52">
        <v>49</v>
      </c>
      <c r="CE516" s="105">
        <v>50</v>
      </c>
      <c r="CF516" s="98">
        <v>53</v>
      </c>
      <c r="CG516" s="279">
        <v>42</v>
      </c>
      <c r="CH516" s="52">
        <v>45</v>
      </c>
      <c r="CI516" s="105">
        <v>42</v>
      </c>
      <c r="CJ516" s="98">
        <v>49</v>
      </c>
      <c r="CK516" s="281"/>
      <c r="CL516" s="277"/>
      <c r="CM516" s="159">
        <v>308</v>
      </c>
      <c r="CN516" s="277">
        <v>335</v>
      </c>
      <c r="CO516" s="50">
        <f t="shared" si="194"/>
        <v>1502</v>
      </c>
      <c r="CP516" s="103">
        <f t="shared" si="195"/>
        <v>10</v>
      </c>
      <c r="CQ516" s="280">
        <f t="shared" si="196"/>
        <v>1887</v>
      </c>
      <c r="CR516" s="63">
        <f t="shared" si="197"/>
        <v>10</v>
      </c>
      <c r="CS516" s="279">
        <v>13</v>
      </c>
      <c r="CT516" s="52">
        <v>37</v>
      </c>
      <c r="CU516" s="105">
        <v>14</v>
      </c>
      <c r="CV516" s="98">
        <v>49</v>
      </c>
      <c r="CW516" s="279">
        <v>14</v>
      </c>
      <c r="CX516" s="52">
        <v>30</v>
      </c>
      <c r="CY516" s="105">
        <v>13</v>
      </c>
      <c r="CZ516" s="98">
        <v>39</v>
      </c>
      <c r="DA516" s="279">
        <v>45</v>
      </c>
      <c r="DB516" s="52">
        <v>21</v>
      </c>
      <c r="DC516" s="105">
        <v>42</v>
      </c>
      <c r="DD516" s="98">
        <v>29</v>
      </c>
      <c r="DE516" s="279">
        <v>40</v>
      </c>
      <c r="DF516" s="52">
        <v>20</v>
      </c>
      <c r="DG516" s="105">
        <v>40</v>
      </c>
      <c r="DH516" s="98">
        <v>27</v>
      </c>
      <c r="DI516" s="279">
        <v>51</v>
      </c>
      <c r="DJ516" s="52">
        <v>17</v>
      </c>
      <c r="DK516" s="105">
        <v>52</v>
      </c>
      <c r="DL516" s="98">
        <v>22</v>
      </c>
      <c r="DM516" s="279">
        <v>26</v>
      </c>
      <c r="DN516" s="52">
        <v>16</v>
      </c>
      <c r="DO516" s="105">
        <v>26</v>
      </c>
      <c r="DP516" s="98">
        <v>22</v>
      </c>
      <c r="DQ516" s="279">
        <v>42</v>
      </c>
      <c r="DR516" s="52">
        <v>16</v>
      </c>
      <c r="DS516" s="105">
        <v>51</v>
      </c>
      <c r="DT516" s="98">
        <v>16</v>
      </c>
      <c r="DU516" s="279">
        <v>52</v>
      </c>
      <c r="DV516" s="52">
        <v>11</v>
      </c>
      <c r="DW516" s="105">
        <v>45</v>
      </c>
      <c r="DX516" s="98">
        <v>13</v>
      </c>
      <c r="DY516" s="279">
        <v>19</v>
      </c>
      <c r="DZ516" s="52">
        <v>9</v>
      </c>
      <c r="EA516" s="105">
        <v>9</v>
      </c>
      <c r="EB516" s="98">
        <v>12</v>
      </c>
      <c r="EC516" s="279">
        <v>30</v>
      </c>
      <c r="ED516" s="52">
        <v>8</v>
      </c>
      <c r="EE516" s="105">
        <v>11</v>
      </c>
      <c r="EF516" s="98">
        <v>10</v>
      </c>
      <c r="EG516" s="159">
        <v>46</v>
      </c>
      <c r="EH516" s="277">
        <v>38</v>
      </c>
      <c r="EI516" s="50">
        <f t="shared" si="198"/>
        <v>231</v>
      </c>
      <c r="EJ516" s="103">
        <f t="shared" si="199"/>
        <v>10</v>
      </c>
      <c r="EK516" s="164">
        <f t="shared" si="200"/>
        <v>0.16017316017316016</v>
      </c>
      <c r="EL516" s="280">
        <f t="shared" si="201"/>
        <v>277</v>
      </c>
      <c r="EM516" s="63">
        <f t="shared" si="202"/>
        <v>10</v>
      </c>
      <c r="EN516" s="359">
        <f t="shared" si="203"/>
        <v>0.17689530685920576</v>
      </c>
      <c r="EO516" s="51">
        <f t="shared" si="204"/>
        <v>1733</v>
      </c>
      <c r="EP516" s="361">
        <f t="shared" si="205"/>
        <v>2164</v>
      </c>
      <c r="EQ516" s="281">
        <v>144</v>
      </c>
      <c r="ER516" s="277">
        <v>139</v>
      </c>
      <c r="ES516" s="281"/>
      <c r="ET516" s="277"/>
      <c r="EU516" s="281"/>
      <c r="EV516" s="277"/>
      <c r="EW516" s="281"/>
      <c r="EX516" s="277"/>
      <c r="EY516" s="281"/>
      <c r="EZ516" s="277"/>
      <c r="FA516" s="281"/>
      <c r="FB516" s="277"/>
      <c r="FC516" s="281"/>
      <c r="FD516" s="277"/>
      <c r="FE516" s="281">
        <v>68</v>
      </c>
      <c r="FF516" s="277">
        <v>61</v>
      </c>
      <c r="FG516" s="281"/>
      <c r="FH516" s="277"/>
      <c r="FI516" s="281"/>
      <c r="FJ516" s="277"/>
      <c r="FK516" s="50">
        <f t="shared" si="206"/>
        <v>212</v>
      </c>
      <c r="FL516" s="63">
        <f t="shared" si="207"/>
        <v>200</v>
      </c>
      <c r="FM516" s="50">
        <f t="shared" si="189"/>
        <v>5569</v>
      </c>
      <c r="FN516" s="360">
        <f t="shared" si="190"/>
        <v>6044</v>
      </c>
      <c r="FO516" s="3"/>
      <c r="FP516" s="279"/>
      <c r="FQ516" s="52"/>
      <c r="FR516" s="296"/>
      <c r="FS516" s="98"/>
      <c r="FT516" s="467"/>
      <c r="FU516" s="52"/>
      <c r="FV516" s="296"/>
      <c r="FW516" s="98"/>
      <c r="FX516" s="467"/>
      <c r="FY516" s="52"/>
      <c r="FZ516" s="296"/>
      <c r="GA516" s="98"/>
      <c r="GB516" s="467"/>
      <c r="GC516" s="52"/>
      <c r="GD516" s="296"/>
      <c r="GE516" s="98"/>
      <c r="GF516" s="467"/>
      <c r="GG516" s="52"/>
      <c r="GH516" s="296"/>
      <c r="GI516" s="98"/>
      <c r="GJ516" s="467"/>
      <c r="GK516" s="52"/>
      <c r="GL516" s="296"/>
      <c r="GM516" s="464"/>
      <c r="GN516" s="467"/>
      <c r="GO516" s="52"/>
      <c r="GP516" s="296"/>
      <c r="GQ516" s="464"/>
      <c r="GR516" s="467"/>
      <c r="GS516" s="52"/>
      <c r="GT516" s="296"/>
      <c r="GU516" s="464"/>
      <c r="GV516" s="467"/>
      <c r="GW516" s="52"/>
      <c r="GX516" s="296"/>
      <c r="GY516" s="464"/>
      <c r="GZ516" s="467"/>
      <c r="HA516" s="52"/>
      <c r="HB516" s="296"/>
      <c r="HC516" s="3"/>
    </row>
    <row r="517" spans="1:211" s="86" customFormat="1">
      <c r="A517" s="499" t="s">
        <v>32</v>
      </c>
      <c r="B517" s="311" t="s">
        <v>640</v>
      </c>
      <c r="C517" s="310">
        <v>220075</v>
      </c>
      <c r="D517" s="351">
        <v>3</v>
      </c>
      <c r="E517" s="460"/>
      <c r="F517" s="535"/>
      <c r="G517" s="460"/>
      <c r="H517" s="277"/>
      <c r="I517" s="158"/>
      <c r="J517" s="535"/>
      <c r="K517" s="160">
        <f t="shared" si="191"/>
        <v>0</v>
      </c>
      <c r="L517" s="161">
        <f t="shared" si="184"/>
        <v>0</v>
      </c>
      <c r="M517" s="54">
        <v>1693</v>
      </c>
      <c r="N517" s="55">
        <v>15</v>
      </c>
      <c r="O517" s="55"/>
      <c r="P517" s="55">
        <v>11</v>
      </c>
      <c r="Q517" s="162">
        <f t="shared" si="192"/>
        <v>26</v>
      </c>
      <c r="R517" s="545">
        <v>1715</v>
      </c>
      <c r="S517" s="312"/>
      <c r="T517" s="277"/>
      <c r="U517" s="312"/>
      <c r="V517" s="97">
        <f t="shared" si="193"/>
        <v>0</v>
      </c>
      <c r="W517" s="279"/>
      <c r="X517" s="52"/>
      <c r="Y517" s="99"/>
      <c r="Z517" s="53"/>
      <c r="AA517" s="228"/>
      <c r="AB517" s="52"/>
      <c r="AC517" s="99"/>
      <c r="AD517" s="53"/>
      <c r="AE517" s="228"/>
      <c r="AF517" s="52"/>
      <c r="AG517" s="99"/>
      <c r="AH517" s="53"/>
      <c r="AI517" s="228"/>
      <c r="AJ517" s="52"/>
      <c r="AK517" s="99"/>
      <c r="AL517" s="53"/>
      <c r="AM517" s="228"/>
      <c r="AN517" s="52"/>
      <c r="AO517" s="99"/>
      <c r="AP517" s="53"/>
      <c r="AQ517" s="50">
        <f t="shared" si="185"/>
        <v>0</v>
      </c>
      <c r="AR517" s="163">
        <f t="shared" si="186"/>
        <v>0.72073222647935287</v>
      </c>
      <c r="AS517" s="97">
        <f t="shared" si="187"/>
        <v>0</v>
      </c>
      <c r="AT517" s="278">
        <f t="shared" si="188"/>
        <v>0.68435754189944131</v>
      </c>
      <c r="AU517" s="55"/>
      <c r="AV517" s="277"/>
      <c r="AW517" s="279">
        <v>13</v>
      </c>
      <c r="AX517" s="52">
        <v>198</v>
      </c>
      <c r="AY517" s="105">
        <v>13</v>
      </c>
      <c r="AZ517" s="98">
        <v>228</v>
      </c>
      <c r="BA517" s="279">
        <v>51</v>
      </c>
      <c r="BB517" s="52">
        <v>90</v>
      </c>
      <c r="BC517" s="105">
        <v>51</v>
      </c>
      <c r="BD517" s="98">
        <v>175</v>
      </c>
      <c r="BE517" s="279">
        <v>52</v>
      </c>
      <c r="BF517" s="52">
        <v>63</v>
      </c>
      <c r="BG517" s="105">
        <v>52</v>
      </c>
      <c r="BH517" s="98">
        <v>57</v>
      </c>
      <c r="BI517" s="279">
        <v>31</v>
      </c>
      <c r="BJ517" s="52">
        <v>25</v>
      </c>
      <c r="BK517" s="105">
        <v>44</v>
      </c>
      <c r="BL517" s="98">
        <v>27</v>
      </c>
      <c r="BM517" s="279">
        <v>44</v>
      </c>
      <c r="BN517" s="52">
        <v>25</v>
      </c>
      <c r="BO517" s="105">
        <v>31</v>
      </c>
      <c r="BP517" s="98">
        <v>26</v>
      </c>
      <c r="BQ517" s="279">
        <v>23</v>
      </c>
      <c r="BR517" s="52">
        <v>18</v>
      </c>
      <c r="BS517" s="105">
        <v>54</v>
      </c>
      <c r="BT517" s="98">
        <v>19</v>
      </c>
      <c r="BU517" s="279">
        <v>54</v>
      </c>
      <c r="BV517" s="52">
        <v>18</v>
      </c>
      <c r="BW517" s="105">
        <v>11</v>
      </c>
      <c r="BX517" s="98">
        <v>19</v>
      </c>
      <c r="BY517" s="279">
        <v>11</v>
      </c>
      <c r="BZ517" s="52">
        <v>13</v>
      </c>
      <c r="CA517" s="105">
        <v>43</v>
      </c>
      <c r="CB517" s="98">
        <v>15</v>
      </c>
      <c r="CC517" s="279">
        <v>15</v>
      </c>
      <c r="CD517" s="52">
        <v>11</v>
      </c>
      <c r="CE517" s="105">
        <v>15</v>
      </c>
      <c r="CF517" s="98">
        <v>14</v>
      </c>
      <c r="CG517" s="279">
        <v>43</v>
      </c>
      <c r="CH517" s="52">
        <v>10</v>
      </c>
      <c r="CI517" s="105">
        <v>26</v>
      </c>
      <c r="CJ517" s="98">
        <v>12</v>
      </c>
      <c r="CK517" s="281"/>
      <c r="CL517" s="277"/>
      <c r="CM517" s="159">
        <v>59</v>
      </c>
      <c r="CN517" s="277">
        <v>63</v>
      </c>
      <c r="CO517" s="50">
        <f t="shared" si="194"/>
        <v>530</v>
      </c>
      <c r="CP517" s="103">
        <f t="shared" si="195"/>
        <v>10</v>
      </c>
      <c r="CQ517" s="280">
        <f t="shared" si="196"/>
        <v>655</v>
      </c>
      <c r="CR517" s="63">
        <f t="shared" si="197"/>
        <v>10</v>
      </c>
      <c r="CS517" s="279">
        <v>13</v>
      </c>
      <c r="CT517" s="52">
        <v>35</v>
      </c>
      <c r="CU517" s="105">
        <v>51</v>
      </c>
      <c r="CV517" s="98">
        <v>35</v>
      </c>
      <c r="CW517" s="279">
        <v>51</v>
      </c>
      <c r="CX517" s="52">
        <v>24</v>
      </c>
      <c r="CY517" s="105">
        <v>13</v>
      </c>
      <c r="CZ517" s="98">
        <v>34</v>
      </c>
      <c r="DA517" s="279">
        <v>26</v>
      </c>
      <c r="DB517" s="52">
        <v>7</v>
      </c>
      <c r="DC517" s="105">
        <v>26</v>
      </c>
      <c r="DD517" s="98">
        <v>6</v>
      </c>
      <c r="DE517" s="279">
        <v>51</v>
      </c>
      <c r="DF517" s="52">
        <v>3</v>
      </c>
      <c r="DG517" s="105"/>
      <c r="DH517" s="98"/>
      <c r="DI517" s="279"/>
      <c r="DJ517" s="52"/>
      <c r="DK517" s="105"/>
      <c r="DL517" s="98"/>
      <c r="DM517" s="279"/>
      <c r="DN517" s="52"/>
      <c r="DO517" s="105"/>
      <c r="DP517" s="98"/>
      <c r="DQ517" s="279"/>
      <c r="DR517" s="52"/>
      <c r="DS517" s="105"/>
      <c r="DT517" s="98"/>
      <c r="DU517" s="279"/>
      <c r="DV517" s="52"/>
      <c r="DW517" s="105"/>
      <c r="DX517" s="98"/>
      <c r="DY517" s="279"/>
      <c r="DZ517" s="52"/>
      <c r="EA517" s="105"/>
      <c r="EB517" s="98"/>
      <c r="EC517" s="279"/>
      <c r="ED517" s="52"/>
      <c r="EE517" s="105"/>
      <c r="EF517" s="98"/>
      <c r="EG517" s="159"/>
      <c r="EH517" s="277"/>
      <c r="EI517" s="50">
        <f t="shared" si="198"/>
        <v>69</v>
      </c>
      <c r="EJ517" s="103">
        <f t="shared" si="199"/>
        <v>4</v>
      </c>
      <c r="EK517" s="164">
        <f t="shared" si="200"/>
        <v>0.50724637681159424</v>
      </c>
      <c r="EL517" s="280">
        <f t="shared" si="201"/>
        <v>75</v>
      </c>
      <c r="EM517" s="63">
        <f t="shared" si="202"/>
        <v>3</v>
      </c>
      <c r="EN517" s="359">
        <f t="shared" si="203"/>
        <v>0.46666666666666667</v>
      </c>
      <c r="EO517" s="51">
        <f t="shared" si="204"/>
        <v>599</v>
      </c>
      <c r="EP517" s="361">
        <f t="shared" si="205"/>
        <v>730</v>
      </c>
      <c r="EQ517" s="281"/>
      <c r="ER517" s="277"/>
      <c r="ES517" s="281">
        <v>57</v>
      </c>
      <c r="ET517" s="277">
        <v>61</v>
      </c>
      <c r="EU517" s="281"/>
      <c r="EV517" s="277"/>
      <c r="EW517" s="281"/>
      <c r="EX517" s="277"/>
      <c r="EY517" s="281"/>
      <c r="EZ517" s="277"/>
      <c r="FA517" s="281"/>
      <c r="FB517" s="277"/>
      <c r="FC517" s="281"/>
      <c r="FD517" s="277"/>
      <c r="FE517" s="281"/>
      <c r="FF517" s="277"/>
      <c r="FG517" s="281"/>
      <c r="FH517" s="277"/>
      <c r="FI517" s="281"/>
      <c r="FJ517" s="277"/>
      <c r="FK517" s="50">
        <f t="shared" si="206"/>
        <v>57</v>
      </c>
      <c r="FL517" s="63">
        <f t="shared" si="207"/>
        <v>61</v>
      </c>
      <c r="FM517" s="50">
        <f t="shared" si="189"/>
        <v>2349</v>
      </c>
      <c r="FN517" s="360">
        <f t="shared" si="190"/>
        <v>2506</v>
      </c>
      <c r="FO517" s="3"/>
      <c r="FP517" s="279"/>
      <c r="FQ517" s="52"/>
      <c r="FR517" s="296"/>
      <c r="FS517" s="98"/>
      <c r="FT517" s="467"/>
      <c r="FU517" s="52"/>
      <c r="FV517" s="296"/>
      <c r="FW517" s="98"/>
      <c r="FX517" s="467"/>
      <c r="FY517" s="52"/>
      <c r="FZ517" s="296"/>
      <c r="GA517" s="98"/>
      <c r="GB517" s="467"/>
      <c r="GC517" s="52"/>
      <c r="GD517" s="296"/>
      <c r="GE517" s="98"/>
      <c r="GF517" s="467"/>
      <c r="GG517" s="52"/>
      <c r="GH517" s="296"/>
      <c r="GI517" s="98"/>
      <c r="GJ517" s="467"/>
      <c r="GK517" s="52"/>
      <c r="GL517" s="296"/>
      <c r="GM517" s="464"/>
      <c r="GN517" s="467"/>
      <c r="GO517" s="52"/>
      <c r="GP517" s="296"/>
      <c r="GQ517" s="464"/>
      <c r="GR517" s="467"/>
      <c r="GS517" s="52"/>
      <c r="GT517" s="296"/>
      <c r="GU517" s="464"/>
      <c r="GV517" s="467"/>
      <c r="GW517" s="52"/>
      <c r="GX517" s="296"/>
      <c r="GY517" s="464"/>
      <c r="GZ517" s="467"/>
      <c r="HA517" s="52"/>
      <c r="HB517" s="296"/>
      <c r="HC517" s="3"/>
    </row>
    <row r="518" spans="1:211" s="86" customFormat="1">
      <c r="A518" s="499" t="s">
        <v>32</v>
      </c>
      <c r="B518" s="311" t="s">
        <v>641</v>
      </c>
      <c r="C518" s="310">
        <v>220978</v>
      </c>
      <c r="D518" s="351">
        <v>3</v>
      </c>
      <c r="E518" s="460"/>
      <c r="F518" s="535"/>
      <c r="G518" s="460"/>
      <c r="H518" s="277"/>
      <c r="I518" s="158"/>
      <c r="J518" s="535">
        <v>3</v>
      </c>
      <c r="K518" s="160">
        <f t="shared" si="191"/>
        <v>0</v>
      </c>
      <c r="L518" s="161">
        <f t="shared" si="184"/>
        <v>8.4222346996069624E-4</v>
      </c>
      <c r="M518" s="54">
        <v>3549</v>
      </c>
      <c r="N518" s="55">
        <v>118</v>
      </c>
      <c r="O518" s="55"/>
      <c r="P518" s="55">
        <v>29</v>
      </c>
      <c r="Q518" s="162">
        <f t="shared" si="192"/>
        <v>147</v>
      </c>
      <c r="R518" s="545">
        <v>3562</v>
      </c>
      <c r="S518" s="312"/>
      <c r="T518" s="277"/>
      <c r="U518" s="312"/>
      <c r="V518" s="97">
        <f t="shared" si="193"/>
        <v>0</v>
      </c>
      <c r="W518" s="279"/>
      <c r="X518" s="52"/>
      <c r="Y518" s="99"/>
      <c r="Z518" s="53"/>
      <c r="AA518" s="228"/>
      <c r="AB518" s="52"/>
      <c r="AC518" s="99"/>
      <c r="AD518" s="53"/>
      <c r="AE518" s="228"/>
      <c r="AF518" s="52"/>
      <c r="AG518" s="99"/>
      <c r="AH518" s="53"/>
      <c r="AI518" s="228"/>
      <c r="AJ518" s="52"/>
      <c r="AK518" s="99"/>
      <c r="AL518" s="53"/>
      <c r="AM518" s="228"/>
      <c r="AN518" s="52"/>
      <c r="AO518" s="99"/>
      <c r="AP518" s="53"/>
      <c r="AQ518" s="50">
        <f t="shared" si="185"/>
        <v>0</v>
      </c>
      <c r="AR518" s="163">
        <f t="shared" si="186"/>
        <v>0.83466603951081841</v>
      </c>
      <c r="AS518" s="97">
        <f t="shared" si="187"/>
        <v>0</v>
      </c>
      <c r="AT518" s="278">
        <f t="shared" si="188"/>
        <v>0.81417142857142855</v>
      </c>
      <c r="AU518" s="55"/>
      <c r="AV518" s="277"/>
      <c r="AW518" s="279">
        <v>13</v>
      </c>
      <c r="AX518" s="52">
        <v>304</v>
      </c>
      <c r="AY518" s="105">
        <v>13</v>
      </c>
      <c r="AZ518" s="98">
        <v>396</v>
      </c>
      <c r="BA518" s="279">
        <v>52</v>
      </c>
      <c r="BB518" s="52">
        <v>156</v>
      </c>
      <c r="BC518" s="105">
        <v>52</v>
      </c>
      <c r="BD518" s="98">
        <v>161</v>
      </c>
      <c r="BE518" s="279">
        <v>26</v>
      </c>
      <c r="BF518" s="52">
        <v>30</v>
      </c>
      <c r="BG518" s="105">
        <v>31</v>
      </c>
      <c r="BH518" s="98">
        <v>42</v>
      </c>
      <c r="BI518" s="279">
        <v>31</v>
      </c>
      <c r="BJ518" s="52">
        <v>30</v>
      </c>
      <c r="BK518" s="105">
        <v>42</v>
      </c>
      <c r="BL518" s="98">
        <v>40</v>
      </c>
      <c r="BM518" s="279">
        <v>42</v>
      </c>
      <c r="BN518" s="52">
        <v>30</v>
      </c>
      <c r="BO518" s="105">
        <v>26</v>
      </c>
      <c r="BP518" s="98">
        <v>32</v>
      </c>
      <c r="BQ518" s="279">
        <v>23</v>
      </c>
      <c r="BR518" s="52">
        <v>17</v>
      </c>
      <c r="BS518" s="105">
        <v>9</v>
      </c>
      <c r="BT518" s="98">
        <v>18</v>
      </c>
      <c r="BU518" s="279">
        <v>9</v>
      </c>
      <c r="BV518" s="52">
        <v>15</v>
      </c>
      <c r="BW518" s="105">
        <v>45</v>
      </c>
      <c r="BX518" s="98">
        <v>16</v>
      </c>
      <c r="BY518" s="279">
        <v>45</v>
      </c>
      <c r="BZ518" s="52">
        <v>15</v>
      </c>
      <c r="CA518" s="105">
        <v>51</v>
      </c>
      <c r="CB518" s="98">
        <v>16</v>
      </c>
      <c r="CC518" s="279">
        <v>50</v>
      </c>
      <c r="CD518" s="52">
        <v>12</v>
      </c>
      <c r="CE518" s="105">
        <v>50</v>
      </c>
      <c r="CF518" s="98">
        <v>9</v>
      </c>
      <c r="CG518" s="279">
        <v>11</v>
      </c>
      <c r="CH518" s="52">
        <v>10</v>
      </c>
      <c r="CI518" s="105">
        <v>54</v>
      </c>
      <c r="CJ518" s="98">
        <v>7</v>
      </c>
      <c r="CK518" s="281"/>
      <c r="CL518" s="277"/>
      <c r="CM518" s="159">
        <v>69</v>
      </c>
      <c r="CN518" s="277">
        <v>49</v>
      </c>
      <c r="CO518" s="50">
        <f t="shared" si="194"/>
        <v>688</v>
      </c>
      <c r="CP518" s="103">
        <f t="shared" si="195"/>
        <v>10</v>
      </c>
      <c r="CQ518" s="280">
        <f t="shared" si="196"/>
        <v>786</v>
      </c>
      <c r="CR518" s="63">
        <f t="shared" si="197"/>
        <v>10</v>
      </c>
      <c r="CS518" s="279">
        <v>23</v>
      </c>
      <c r="CT518" s="52">
        <v>5</v>
      </c>
      <c r="CU518" s="105">
        <v>31</v>
      </c>
      <c r="CV518" s="98">
        <v>11</v>
      </c>
      <c r="CW518" s="279">
        <v>31</v>
      </c>
      <c r="CX518" s="52">
        <v>5</v>
      </c>
      <c r="CY518" s="105">
        <v>45</v>
      </c>
      <c r="CZ518" s="98">
        <v>6</v>
      </c>
      <c r="DA518" s="279">
        <v>45</v>
      </c>
      <c r="DB518" s="52">
        <v>2</v>
      </c>
      <c r="DC518" s="105">
        <v>23</v>
      </c>
      <c r="DD518" s="98">
        <v>5</v>
      </c>
      <c r="DE518" s="279">
        <v>54</v>
      </c>
      <c r="DF518" s="52">
        <v>2</v>
      </c>
      <c r="DG518" s="105">
        <v>54</v>
      </c>
      <c r="DH518" s="98">
        <v>1</v>
      </c>
      <c r="DI518" s="279">
        <v>40</v>
      </c>
      <c r="DJ518" s="52">
        <v>1</v>
      </c>
      <c r="DK518" s="105">
        <v>40</v>
      </c>
      <c r="DL518" s="98">
        <v>1</v>
      </c>
      <c r="DM518" s="279"/>
      <c r="DN518" s="52"/>
      <c r="DO518" s="105"/>
      <c r="DP518" s="98"/>
      <c r="DQ518" s="279"/>
      <c r="DR518" s="52"/>
      <c r="DS518" s="105"/>
      <c r="DT518" s="98"/>
      <c r="DU518" s="279"/>
      <c r="DV518" s="52"/>
      <c r="DW518" s="105"/>
      <c r="DX518" s="98"/>
      <c r="DY518" s="279"/>
      <c r="DZ518" s="52"/>
      <c r="EA518" s="105"/>
      <c r="EB518" s="98"/>
      <c r="EC518" s="279"/>
      <c r="ED518" s="52"/>
      <c r="EE518" s="105"/>
      <c r="EF518" s="98"/>
      <c r="EG518" s="159"/>
      <c r="EH518" s="277"/>
      <c r="EI518" s="50">
        <f t="shared" si="198"/>
        <v>15</v>
      </c>
      <c r="EJ518" s="103">
        <f t="shared" si="199"/>
        <v>5</v>
      </c>
      <c r="EK518" s="164">
        <f t="shared" si="200"/>
        <v>0.33333333333333331</v>
      </c>
      <c r="EL518" s="280">
        <f t="shared" si="201"/>
        <v>24</v>
      </c>
      <c r="EM518" s="63">
        <f t="shared" si="202"/>
        <v>5</v>
      </c>
      <c r="EN518" s="359">
        <f t="shared" si="203"/>
        <v>0.45833333333333331</v>
      </c>
      <c r="EO518" s="51">
        <f t="shared" si="204"/>
        <v>703</v>
      </c>
      <c r="EP518" s="361">
        <f t="shared" si="205"/>
        <v>810</v>
      </c>
      <c r="EQ518" s="281"/>
      <c r="ER518" s="277"/>
      <c r="ES518" s="281"/>
      <c r="ET518" s="277"/>
      <c r="EU518" s="281"/>
      <c r="EV518" s="277"/>
      <c r="EW518" s="281"/>
      <c r="EX518" s="277"/>
      <c r="EY518" s="281"/>
      <c r="EZ518" s="277"/>
      <c r="FA518" s="281"/>
      <c r="FB518" s="277"/>
      <c r="FC518" s="281"/>
      <c r="FD518" s="277"/>
      <c r="FE518" s="281"/>
      <c r="FF518" s="277"/>
      <c r="FG518" s="281"/>
      <c r="FH518" s="277"/>
      <c r="FI518" s="281"/>
      <c r="FJ518" s="277"/>
      <c r="FK518" s="50">
        <f t="shared" si="206"/>
        <v>0</v>
      </c>
      <c r="FL518" s="63">
        <f t="shared" si="207"/>
        <v>0</v>
      </c>
      <c r="FM518" s="50">
        <f t="shared" si="189"/>
        <v>4252</v>
      </c>
      <c r="FN518" s="360">
        <f t="shared" si="190"/>
        <v>4375</v>
      </c>
      <c r="FO518" s="3"/>
      <c r="FP518" s="279"/>
      <c r="FQ518" s="52"/>
      <c r="FR518" s="296"/>
      <c r="FS518" s="98"/>
      <c r="FT518" s="467"/>
      <c r="FU518" s="52"/>
      <c r="FV518" s="296"/>
      <c r="FW518" s="98"/>
      <c r="FX518" s="467"/>
      <c r="FY518" s="52"/>
      <c r="FZ518" s="296"/>
      <c r="GA518" s="98"/>
      <c r="GB518" s="467"/>
      <c r="GC518" s="52"/>
      <c r="GD518" s="296"/>
      <c r="GE518" s="98"/>
      <c r="GF518" s="467"/>
      <c r="GG518" s="52"/>
      <c r="GH518" s="296"/>
      <c r="GI518" s="98"/>
      <c r="GJ518" s="467"/>
      <c r="GK518" s="52"/>
      <c r="GL518" s="296"/>
      <c r="GM518" s="464"/>
      <c r="GN518" s="467"/>
      <c r="GO518" s="52"/>
      <c r="GP518" s="296"/>
      <c r="GQ518" s="464"/>
      <c r="GR518" s="467"/>
      <c r="GS518" s="52"/>
      <c r="GT518" s="296"/>
      <c r="GU518" s="464"/>
      <c r="GV518" s="467"/>
      <c r="GW518" s="52"/>
      <c r="GX518" s="296"/>
      <c r="GY518" s="464"/>
      <c r="GZ518" s="467"/>
      <c r="HA518" s="52"/>
      <c r="HB518" s="296"/>
      <c r="HC518" s="3"/>
    </row>
    <row r="519" spans="1:211" s="86" customFormat="1">
      <c r="A519" s="499" t="s">
        <v>32</v>
      </c>
      <c r="B519" s="311" t="s">
        <v>642</v>
      </c>
      <c r="C519" s="310">
        <v>221838</v>
      </c>
      <c r="D519" s="351">
        <v>3</v>
      </c>
      <c r="E519" s="460"/>
      <c r="F519" s="535"/>
      <c r="G519" s="460"/>
      <c r="H519" s="277"/>
      <c r="I519" s="158">
        <v>149</v>
      </c>
      <c r="J519" s="535">
        <v>89</v>
      </c>
      <c r="K519" s="160">
        <f t="shared" si="191"/>
        <v>0.14974874371859295</v>
      </c>
      <c r="L519" s="161">
        <f t="shared" si="184"/>
        <v>8.7254901960784309E-2</v>
      </c>
      <c r="M519" s="54">
        <v>995</v>
      </c>
      <c r="N519" s="55">
        <v>2</v>
      </c>
      <c r="O519" s="55"/>
      <c r="P519" s="55">
        <v>12</v>
      </c>
      <c r="Q519" s="162">
        <f t="shared" si="192"/>
        <v>14</v>
      </c>
      <c r="R519" s="545">
        <v>1020</v>
      </c>
      <c r="S519" s="312"/>
      <c r="T519" s="277"/>
      <c r="U519" s="312"/>
      <c r="V519" s="97">
        <f t="shared" si="193"/>
        <v>0</v>
      </c>
      <c r="W519" s="279"/>
      <c r="X519" s="52"/>
      <c r="Y519" s="99"/>
      <c r="Z519" s="53"/>
      <c r="AA519" s="228"/>
      <c r="AB519" s="52"/>
      <c r="AC519" s="99"/>
      <c r="AD519" s="53"/>
      <c r="AE519" s="228"/>
      <c r="AF519" s="52"/>
      <c r="AG519" s="99"/>
      <c r="AH519" s="53"/>
      <c r="AI519" s="228"/>
      <c r="AJ519" s="52"/>
      <c r="AK519" s="99"/>
      <c r="AL519" s="53"/>
      <c r="AM519" s="228"/>
      <c r="AN519" s="52"/>
      <c r="AO519" s="99"/>
      <c r="AP519" s="53"/>
      <c r="AQ519" s="50">
        <f t="shared" si="185"/>
        <v>0</v>
      </c>
      <c r="AR519" s="163">
        <f t="shared" si="186"/>
        <v>0.6074481074481074</v>
      </c>
      <c r="AS519" s="97">
        <f t="shared" si="187"/>
        <v>0</v>
      </c>
      <c r="AT519" s="278">
        <f t="shared" si="188"/>
        <v>0.63749999999999996</v>
      </c>
      <c r="AU519" s="55"/>
      <c r="AV519" s="277"/>
      <c r="AW519" s="279">
        <v>13</v>
      </c>
      <c r="AX519" s="52">
        <v>207</v>
      </c>
      <c r="AY519" s="105">
        <v>13</v>
      </c>
      <c r="AZ519" s="98">
        <v>215</v>
      </c>
      <c r="BA519" s="279">
        <v>51</v>
      </c>
      <c r="BB519" s="52">
        <v>80</v>
      </c>
      <c r="BC519" s="105">
        <v>51</v>
      </c>
      <c r="BD519" s="98">
        <v>91</v>
      </c>
      <c r="BE519" s="279">
        <v>52</v>
      </c>
      <c r="BF519" s="52">
        <v>40</v>
      </c>
      <c r="BG519" s="105">
        <v>52</v>
      </c>
      <c r="BH519" s="98">
        <v>28</v>
      </c>
      <c r="BI519" s="279">
        <v>42</v>
      </c>
      <c r="BJ519" s="52">
        <v>35</v>
      </c>
      <c r="BK519" s="105">
        <v>42</v>
      </c>
      <c r="BL519" s="98">
        <v>25</v>
      </c>
      <c r="BM519" s="279">
        <v>44</v>
      </c>
      <c r="BN519" s="52">
        <v>25</v>
      </c>
      <c r="BO519" s="105">
        <v>44</v>
      </c>
      <c r="BP519" s="98">
        <v>19</v>
      </c>
      <c r="BQ519" s="279">
        <v>31</v>
      </c>
      <c r="BR519" s="52">
        <v>22</v>
      </c>
      <c r="BS519" s="105">
        <v>14</v>
      </c>
      <c r="BT519" s="98">
        <v>13</v>
      </c>
      <c r="BU519" s="279">
        <v>14</v>
      </c>
      <c r="BV519" s="52">
        <v>15</v>
      </c>
      <c r="BW519" s="105">
        <v>31</v>
      </c>
      <c r="BX519" s="98">
        <v>11</v>
      </c>
      <c r="BY519" s="279">
        <v>26</v>
      </c>
      <c r="BZ519" s="52">
        <v>6</v>
      </c>
      <c r="CA519" s="105">
        <v>27</v>
      </c>
      <c r="CB519" s="98">
        <v>7</v>
      </c>
      <c r="CC519" s="279">
        <v>40</v>
      </c>
      <c r="CD519" s="52">
        <v>4</v>
      </c>
      <c r="CE519" s="105">
        <v>26</v>
      </c>
      <c r="CF519" s="98">
        <v>6</v>
      </c>
      <c r="CG519" s="279">
        <v>1</v>
      </c>
      <c r="CH519" s="52">
        <v>3</v>
      </c>
      <c r="CI519" s="105">
        <v>43</v>
      </c>
      <c r="CJ519" s="98">
        <v>5</v>
      </c>
      <c r="CK519" s="281"/>
      <c r="CL519" s="277"/>
      <c r="CM519" s="159">
        <v>7</v>
      </c>
      <c r="CN519" s="277">
        <v>11</v>
      </c>
      <c r="CO519" s="50">
        <f t="shared" si="194"/>
        <v>444</v>
      </c>
      <c r="CP519" s="103">
        <f t="shared" si="195"/>
        <v>10</v>
      </c>
      <c r="CQ519" s="280">
        <f t="shared" si="196"/>
        <v>431</v>
      </c>
      <c r="CR519" s="63">
        <f t="shared" si="197"/>
        <v>10</v>
      </c>
      <c r="CS519" s="279">
        <v>13</v>
      </c>
      <c r="CT519" s="52">
        <v>36</v>
      </c>
      <c r="CU519" s="105">
        <v>13</v>
      </c>
      <c r="CV519" s="98">
        <v>27</v>
      </c>
      <c r="CW519" s="279">
        <v>42</v>
      </c>
      <c r="CX519" s="52">
        <v>9</v>
      </c>
      <c r="CY519" s="105">
        <v>51</v>
      </c>
      <c r="CZ519" s="98">
        <v>18</v>
      </c>
      <c r="DA519" s="279">
        <v>44</v>
      </c>
      <c r="DB519" s="52">
        <v>4</v>
      </c>
      <c r="DC519" s="105">
        <v>42</v>
      </c>
      <c r="DD519" s="98">
        <v>8</v>
      </c>
      <c r="DE519" s="279">
        <v>14</v>
      </c>
      <c r="DF519" s="52">
        <v>1</v>
      </c>
      <c r="DG519" s="105">
        <v>44</v>
      </c>
      <c r="DH519" s="98">
        <v>3</v>
      </c>
      <c r="DI519" s="279"/>
      <c r="DJ519" s="52"/>
      <c r="DK519" s="105">
        <v>26</v>
      </c>
      <c r="DL519" s="98">
        <v>3</v>
      </c>
      <c r="DM519" s="279"/>
      <c r="DN519" s="52"/>
      <c r="DO519" s="105">
        <v>14</v>
      </c>
      <c r="DP519" s="98">
        <v>1</v>
      </c>
      <c r="DQ519" s="279"/>
      <c r="DR519" s="52"/>
      <c r="DS519" s="105"/>
      <c r="DT519" s="98"/>
      <c r="DU519" s="279"/>
      <c r="DV519" s="52"/>
      <c r="DW519" s="105"/>
      <c r="DX519" s="98"/>
      <c r="DY519" s="279"/>
      <c r="DZ519" s="52"/>
      <c r="EA519" s="105"/>
      <c r="EB519" s="98"/>
      <c r="EC519" s="279"/>
      <c r="ED519" s="52"/>
      <c r="EE519" s="105"/>
      <c r="EF519" s="98"/>
      <c r="EG519" s="159"/>
      <c r="EH519" s="277"/>
      <c r="EI519" s="50">
        <f t="shared" si="198"/>
        <v>50</v>
      </c>
      <c r="EJ519" s="103">
        <f t="shared" si="199"/>
        <v>4</v>
      </c>
      <c r="EK519" s="164">
        <f t="shared" si="200"/>
        <v>0.72</v>
      </c>
      <c r="EL519" s="280">
        <f t="shared" si="201"/>
        <v>60</v>
      </c>
      <c r="EM519" s="63">
        <f t="shared" si="202"/>
        <v>6</v>
      </c>
      <c r="EN519" s="359">
        <f t="shared" si="203"/>
        <v>0.45</v>
      </c>
      <c r="EO519" s="51">
        <f t="shared" si="204"/>
        <v>494</v>
      </c>
      <c r="EP519" s="361">
        <f t="shared" si="205"/>
        <v>491</v>
      </c>
      <c r="EQ519" s="281"/>
      <c r="ER519" s="277"/>
      <c r="ES519" s="281"/>
      <c r="ET519" s="277"/>
      <c r="EU519" s="281"/>
      <c r="EV519" s="277"/>
      <c r="EW519" s="281"/>
      <c r="EX519" s="277"/>
      <c r="EY519" s="281"/>
      <c r="EZ519" s="277"/>
      <c r="FA519" s="281"/>
      <c r="FB519" s="277"/>
      <c r="FC519" s="281"/>
      <c r="FD519" s="277"/>
      <c r="FE519" s="281"/>
      <c r="FF519" s="277"/>
      <c r="FG519" s="281"/>
      <c r="FH519" s="277"/>
      <c r="FI519" s="281"/>
      <c r="FJ519" s="277"/>
      <c r="FK519" s="50">
        <f t="shared" si="206"/>
        <v>0</v>
      </c>
      <c r="FL519" s="63">
        <f t="shared" si="207"/>
        <v>0</v>
      </c>
      <c r="FM519" s="50">
        <f t="shared" si="189"/>
        <v>1638</v>
      </c>
      <c r="FN519" s="360">
        <f t="shared" si="190"/>
        <v>1600</v>
      </c>
      <c r="FO519" s="3"/>
      <c r="FP519" s="279"/>
      <c r="FQ519" s="52"/>
      <c r="FR519" s="296"/>
      <c r="FS519" s="98"/>
      <c r="FT519" s="467"/>
      <c r="FU519" s="52"/>
      <c r="FV519" s="296"/>
      <c r="FW519" s="98"/>
      <c r="FX519" s="467"/>
      <c r="FY519" s="52"/>
      <c r="FZ519" s="296"/>
      <c r="GA519" s="98"/>
      <c r="GB519" s="467"/>
      <c r="GC519" s="52"/>
      <c r="GD519" s="296"/>
      <c r="GE519" s="98"/>
      <c r="GF519" s="467"/>
      <c r="GG519" s="52"/>
      <c r="GH519" s="296"/>
      <c r="GI519" s="98"/>
      <c r="GJ519" s="467"/>
      <c r="GK519" s="52"/>
      <c r="GL519" s="296"/>
      <c r="GM519" s="464"/>
      <c r="GN519" s="467"/>
      <c r="GO519" s="52"/>
      <c r="GP519" s="296"/>
      <c r="GQ519" s="464"/>
      <c r="GR519" s="467"/>
      <c r="GS519" s="52"/>
      <c r="GT519" s="296"/>
      <c r="GU519" s="464"/>
      <c r="GV519" s="467"/>
      <c r="GW519" s="52"/>
      <c r="GX519" s="296"/>
      <c r="GY519" s="464"/>
      <c r="GZ519" s="467"/>
      <c r="HA519" s="52"/>
      <c r="HB519" s="296"/>
      <c r="HC519" s="3"/>
    </row>
    <row r="520" spans="1:211" s="86" customFormat="1">
      <c r="A520" s="499" t="s">
        <v>32</v>
      </c>
      <c r="B520" s="543" t="s">
        <v>645</v>
      </c>
      <c r="C520" s="544">
        <v>221847</v>
      </c>
      <c r="D520" s="477">
        <v>3</v>
      </c>
      <c r="E520" s="460"/>
      <c r="F520" s="535"/>
      <c r="G520" s="460"/>
      <c r="H520" s="277"/>
      <c r="I520" s="158"/>
      <c r="J520" s="535"/>
      <c r="K520" s="160">
        <f t="shared" si="191"/>
        <v>0</v>
      </c>
      <c r="L520" s="161">
        <f t="shared" si="184"/>
        <v>0</v>
      </c>
      <c r="M520" s="54">
        <v>1445</v>
      </c>
      <c r="N520" s="55">
        <v>79</v>
      </c>
      <c r="O520" s="55"/>
      <c r="P520" s="55">
        <v>5</v>
      </c>
      <c r="Q520" s="162">
        <f t="shared" si="192"/>
        <v>84</v>
      </c>
      <c r="R520" s="545">
        <v>1295</v>
      </c>
      <c r="S520" s="312"/>
      <c r="T520" s="277"/>
      <c r="U520" s="312"/>
      <c r="V520" s="97">
        <f t="shared" si="193"/>
        <v>0</v>
      </c>
      <c r="W520" s="279"/>
      <c r="X520" s="52"/>
      <c r="Y520" s="99"/>
      <c r="Z520" s="53"/>
      <c r="AA520" s="228"/>
      <c r="AB520" s="52"/>
      <c r="AC520" s="99"/>
      <c r="AD520" s="53"/>
      <c r="AE520" s="228"/>
      <c r="AF520" s="52"/>
      <c r="AG520" s="99"/>
      <c r="AH520" s="53"/>
      <c r="AI520" s="228"/>
      <c r="AJ520" s="52"/>
      <c r="AK520" s="99"/>
      <c r="AL520" s="53"/>
      <c r="AM520" s="228"/>
      <c r="AN520" s="52"/>
      <c r="AO520" s="99"/>
      <c r="AP520" s="53"/>
      <c r="AQ520" s="50">
        <f t="shared" si="185"/>
        <v>0</v>
      </c>
      <c r="AR520" s="163">
        <f t="shared" si="186"/>
        <v>0.67115652577798424</v>
      </c>
      <c r="AS520" s="97">
        <f t="shared" si="187"/>
        <v>0</v>
      </c>
      <c r="AT520" s="278">
        <f t="shared" si="188"/>
        <v>0.6120037807183365</v>
      </c>
      <c r="AU520" s="55"/>
      <c r="AV520" s="277"/>
      <c r="AW520" s="279">
        <v>13</v>
      </c>
      <c r="AX520" s="52">
        <v>519</v>
      </c>
      <c r="AY520" s="105">
        <v>13</v>
      </c>
      <c r="AZ520" s="98">
        <v>579</v>
      </c>
      <c r="BA520" s="279">
        <v>52</v>
      </c>
      <c r="BB520" s="52">
        <v>64</v>
      </c>
      <c r="BC520" s="105">
        <v>52</v>
      </c>
      <c r="BD520" s="98">
        <v>118</v>
      </c>
      <c r="BE520" s="279">
        <v>14</v>
      </c>
      <c r="BF520" s="52">
        <v>46</v>
      </c>
      <c r="BG520" s="105">
        <v>14</v>
      </c>
      <c r="BH520" s="98">
        <v>42</v>
      </c>
      <c r="BI520" s="279">
        <v>31</v>
      </c>
      <c r="BJ520" s="52">
        <v>14</v>
      </c>
      <c r="BK520" s="105">
        <v>31</v>
      </c>
      <c r="BL520" s="98">
        <v>24</v>
      </c>
      <c r="BM520" s="279">
        <v>51</v>
      </c>
      <c r="BN520" s="52">
        <v>11</v>
      </c>
      <c r="BO520" s="105">
        <v>27</v>
      </c>
      <c r="BP520" s="98">
        <v>10</v>
      </c>
      <c r="BQ520" s="279">
        <v>26</v>
      </c>
      <c r="BR520" s="52">
        <v>10</v>
      </c>
      <c r="BS520" s="105">
        <v>23</v>
      </c>
      <c r="BT520" s="98">
        <v>8</v>
      </c>
      <c r="BU520" s="279">
        <v>11</v>
      </c>
      <c r="BV520" s="52">
        <v>10</v>
      </c>
      <c r="BW520" s="105">
        <v>26</v>
      </c>
      <c r="BX520" s="98">
        <v>7</v>
      </c>
      <c r="BY520" s="279">
        <v>23</v>
      </c>
      <c r="BZ520" s="52">
        <v>4</v>
      </c>
      <c r="CA520" s="105">
        <v>51</v>
      </c>
      <c r="CB520" s="98">
        <v>7</v>
      </c>
      <c r="CC520" s="279">
        <v>40</v>
      </c>
      <c r="CD520" s="52">
        <v>4</v>
      </c>
      <c r="CE520" s="105">
        <v>40</v>
      </c>
      <c r="CF520" s="98">
        <v>6</v>
      </c>
      <c r="CG520" s="279">
        <v>27</v>
      </c>
      <c r="CH520" s="52">
        <v>2</v>
      </c>
      <c r="CI520" s="105">
        <v>24</v>
      </c>
      <c r="CJ520" s="98">
        <v>2</v>
      </c>
      <c r="CK520" s="281"/>
      <c r="CL520" s="277"/>
      <c r="CM520" s="159"/>
      <c r="CN520" s="277">
        <v>1</v>
      </c>
      <c r="CO520" s="50">
        <f t="shared" si="194"/>
        <v>684</v>
      </c>
      <c r="CP520" s="103">
        <f t="shared" si="195"/>
        <v>10</v>
      </c>
      <c r="CQ520" s="280">
        <f t="shared" si="196"/>
        <v>804</v>
      </c>
      <c r="CR520" s="63">
        <f t="shared" si="197"/>
        <v>10</v>
      </c>
      <c r="CS520" s="279">
        <v>14</v>
      </c>
      <c r="CT520" s="52">
        <v>13</v>
      </c>
      <c r="CU520" s="105">
        <v>14</v>
      </c>
      <c r="CV520" s="98">
        <v>12</v>
      </c>
      <c r="CW520" s="279">
        <v>13</v>
      </c>
      <c r="CX520" s="52">
        <v>8</v>
      </c>
      <c r="CY520" s="105">
        <v>13</v>
      </c>
      <c r="CZ520" s="98">
        <v>5</v>
      </c>
      <c r="DA520" s="279">
        <v>3</v>
      </c>
      <c r="DB520" s="52">
        <v>3</v>
      </c>
      <c r="DC520" s="105"/>
      <c r="DD520" s="98"/>
      <c r="DE520" s="279"/>
      <c r="DF520" s="52"/>
      <c r="DG520" s="105"/>
      <c r="DH520" s="98"/>
      <c r="DI520" s="279"/>
      <c r="DJ520" s="52"/>
      <c r="DK520" s="105"/>
      <c r="DL520" s="98"/>
      <c r="DM520" s="279"/>
      <c r="DN520" s="52"/>
      <c r="DO520" s="105"/>
      <c r="DP520" s="98"/>
      <c r="DQ520" s="279"/>
      <c r="DR520" s="52"/>
      <c r="DS520" s="105"/>
      <c r="DT520" s="98"/>
      <c r="DU520" s="279"/>
      <c r="DV520" s="52"/>
      <c r="DW520" s="105"/>
      <c r="DX520" s="98"/>
      <c r="DY520" s="279"/>
      <c r="DZ520" s="52"/>
      <c r="EA520" s="105"/>
      <c r="EB520" s="98"/>
      <c r="EC520" s="279"/>
      <c r="ED520" s="52"/>
      <c r="EE520" s="105"/>
      <c r="EF520" s="98"/>
      <c r="EG520" s="159"/>
      <c r="EH520" s="277"/>
      <c r="EI520" s="50">
        <f t="shared" si="198"/>
        <v>24</v>
      </c>
      <c r="EJ520" s="103">
        <f t="shared" si="199"/>
        <v>3</v>
      </c>
      <c r="EK520" s="164">
        <f t="shared" si="200"/>
        <v>0.54166666666666663</v>
      </c>
      <c r="EL520" s="280">
        <f t="shared" si="201"/>
        <v>17</v>
      </c>
      <c r="EM520" s="63">
        <f t="shared" si="202"/>
        <v>2</v>
      </c>
      <c r="EN520" s="359">
        <f t="shared" si="203"/>
        <v>0.70588235294117652</v>
      </c>
      <c r="EO520" s="51">
        <f t="shared" si="204"/>
        <v>708</v>
      </c>
      <c r="EP520" s="361">
        <f t="shared" si="205"/>
        <v>821</v>
      </c>
      <c r="EQ520" s="281"/>
      <c r="ER520" s="277"/>
      <c r="ES520" s="281"/>
      <c r="ET520" s="277"/>
      <c r="EU520" s="281"/>
      <c r="EV520" s="277"/>
      <c r="EW520" s="281"/>
      <c r="EX520" s="277"/>
      <c r="EY520" s="281"/>
      <c r="EZ520" s="277"/>
      <c r="FA520" s="281"/>
      <c r="FB520" s="277"/>
      <c r="FC520" s="281"/>
      <c r="FD520" s="277"/>
      <c r="FE520" s="281"/>
      <c r="FF520" s="277"/>
      <c r="FG520" s="281"/>
      <c r="FH520" s="277"/>
      <c r="FI520" s="281"/>
      <c r="FJ520" s="277"/>
      <c r="FK520" s="50">
        <f t="shared" si="206"/>
        <v>0</v>
      </c>
      <c r="FL520" s="63">
        <f t="shared" si="207"/>
        <v>0</v>
      </c>
      <c r="FM520" s="50">
        <f t="shared" si="189"/>
        <v>2153</v>
      </c>
      <c r="FN520" s="360">
        <f t="shared" si="190"/>
        <v>2116</v>
      </c>
      <c r="FO520" s="3"/>
      <c r="FP520" s="279"/>
      <c r="FQ520" s="52"/>
      <c r="FR520" s="296"/>
      <c r="FS520" s="98"/>
      <c r="FT520" s="467"/>
      <c r="FU520" s="52"/>
      <c r="FV520" s="296"/>
      <c r="FW520" s="98"/>
      <c r="FX520" s="467"/>
      <c r="FY520" s="52"/>
      <c r="FZ520" s="296"/>
      <c r="GA520" s="98"/>
      <c r="GB520" s="467"/>
      <c r="GC520" s="52"/>
      <c r="GD520" s="296"/>
      <c r="GE520" s="98"/>
      <c r="GF520" s="467"/>
      <c r="GG520" s="52"/>
      <c r="GH520" s="296"/>
      <c r="GI520" s="98"/>
      <c r="GJ520" s="467"/>
      <c r="GK520" s="52"/>
      <c r="GL520" s="296"/>
      <c r="GM520" s="464"/>
      <c r="GN520" s="467"/>
      <c r="GO520" s="52"/>
      <c r="GP520" s="296"/>
      <c r="GQ520" s="464"/>
      <c r="GR520" s="467"/>
      <c r="GS520" s="52"/>
      <c r="GT520" s="296"/>
      <c r="GU520" s="464"/>
      <c r="GV520" s="467"/>
      <c r="GW520" s="52"/>
      <c r="GX520" s="296"/>
      <c r="GY520" s="464"/>
      <c r="GZ520" s="467"/>
      <c r="HA520" s="52"/>
      <c r="HB520" s="296"/>
      <c r="HC520" s="3"/>
    </row>
    <row r="521" spans="1:211" s="86" customFormat="1">
      <c r="A521" s="499" t="s">
        <v>32</v>
      </c>
      <c r="B521" s="311" t="s">
        <v>643</v>
      </c>
      <c r="C521" s="310">
        <v>221740</v>
      </c>
      <c r="D521" s="351">
        <v>3</v>
      </c>
      <c r="E521" s="460"/>
      <c r="F521" s="535"/>
      <c r="G521" s="460"/>
      <c r="H521" s="277"/>
      <c r="I521" s="158"/>
      <c r="J521" s="535"/>
      <c r="K521" s="160">
        <f t="shared" si="191"/>
        <v>0</v>
      </c>
      <c r="L521" s="161">
        <f t="shared" si="184"/>
        <v>0</v>
      </c>
      <c r="M521" s="54">
        <v>1258</v>
      </c>
      <c r="N521" s="55">
        <v>76</v>
      </c>
      <c r="O521" s="55"/>
      <c r="P521" s="55">
        <v>3</v>
      </c>
      <c r="Q521" s="162">
        <f t="shared" si="192"/>
        <v>79</v>
      </c>
      <c r="R521" s="545">
        <v>1121</v>
      </c>
      <c r="S521" s="312"/>
      <c r="T521" s="277"/>
      <c r="U521" s="312"/>
      <c r="V521" s="97">
        <f t="shared" si="193"/>
        <v>0</v>
      </c>
      <c r="W521" s="279"/>
      <c r="X521" s="52"/>
      <c r="Y521" s="99"/>
      <c r="Z521" s="53"/>
      <c r="AA521" s="228"/>
      <c r="AB521" s="52"/>
      <c r="AC521" s="99"/>
      <c r="AD521" s="53"/>
      <c r="AE521" s="228"/>
      <c r="AF521" s="52"/>
      <c r="AG521" s="99"/>
      <c r="AH521" s="53"/>
      <c r="AI521" s="228"/>
      <c r="AJ521" s="52"/>
      <c r="AK521" s="99"/>
      <c r="AL521" s="53"/>
      <c r="AM521" s="228"/>
      <c r="AN521" s="52"/>
      <c r="AO521" s="99"/>
      <c r="AP521" s="53"/>
      <c r="AQ521" s="50">
        <f t="shared" si="185"/>
        <v>0</v>
      </c>
      <c r="AR521" s="163">
        <f t="shared" si="186"/>
        <v>0.74043555032371988</v>
      </c>
      <c r="AS521" s="97">
        <f t="shared" si="187"/>
        <v>0</v>
      </c>
      <c r="AT521" s="278">
        <f t="shared" si="188"/>
        <v>0.71174603174603179</v>
      </c>
      <c r="AU521" s="55"/>
      <c r="AV521" s="277"/>
      <c r="AW521" s="279">
        <v>13</v>
      </c>
      <c r="AX521" s="52">
        <v>144</v>
      </c>
      <c r="AY521" s="105">
        <v>13</v>
      </c>
      <c r="AZ521" s="98">
        <v>134</v>
      </c>
      <c r="BA521" s="279">
        <v>52</v>
      </c>
      <c r="BB521" s="52">
        <v>112</v>
      </c>
      <c r="BC521" s="105">
        <v>52</v>
      </c>
      <c r="BD521" s="98">
        <v>92</v>
      </c>
      <c r="BE521" s="279">
        <v>51</v>
      </c>
      <c r="BF521" s="52">
        <v>68</v>
      </c>
      <c r="BG521" s="105">
        <v>51</v>
      </c>
      <c r="BH521" s="98">
        <v>57</v>
      </c>
      <c r="BI521" s="279">
        <v>42</v>
      </c>
      <c r="BJ521" s="52">
        <v>17</v>
      </c>
      <c r="BK521" s="105">
        <v>15</v>
      </c>
      <c r="BL521" s="98">
        <v>25</v>
      </c>
      <c r="BM521" s="279">
        <v>23</v>
      </c>
      <c r="BN521" s="52">
        <v>16</v>
      </c>
      <c r="BO521" s="105">
        <v>42</v>
      </c>
      <c r="BP521" s="98">
        <v>21</v>
      </c>
      <c r="BQ521" s="279">
        <v>30</v>
      </c>
      <c r="BR521" s="52">
        <v>9</v>
      </c>
      <c r="BS521" s="105">
        <v>43</v>
      </c>
      <c r="BT521" s="98">
        <v>15</v>
      </c>
      <c r="BU521" s="279">
        <v>43</v>
      </c>
      <c r="BV521" s="52">
        <v>8</v>
      </c>
      <c r="BW521" s="105">
        <v>23</v>
      </c>
      <c r="BX521" s="98">
        <v>15</v>
      </c>
      <c r="BY521" s="279">
        <v>44</v>
      </c>
      <c r="BZ521" s="52">
        <v>8</v>
      </c>
      <c r="CA521" s="105">
        <v>3</v>
      </c>
      <c r="CB521" s="98">
        <v>14</v>
      </c>
      <c r="CC521" s="279">
        <v>40</v>
      </c>
      <c r="CD521" s="52">
        <v>5</v>
      </c>
      <c r="CE521" s="105">
        <v>44</v>
      </c>
      <c r="CF521" s="98">
        <v>13</v>
      </c>
      <c r="CG521" s="279">
        <v>10</v>
      </c>
      <c r="CH521" s="52">
        <v>5</v>
      </c>
      <c r="CI521" s="105">
        <v>14</v>
      </c>
      <c r="CJ521" s="98">
        <v>9</v>
      </c>
      <c r="CK521" s="281"/>
      <c r="CL521" s="277"/>
      <c r="CM521" s="159">
        <v>11</v>
      </c>
      <c r="CN521" s="277">
        <v>9</v>
      </c>
      <c r="CO521" s="50">
        <f t="shared" si="194"/>
        <v>403</v>
      </c>
      <c r="CP521" s="103">
        <f t="shared" si="195"/>
        <v>10</v>
      </c>
      <c r="CQ521" s="280">
        <f t="shared" si="196"/>
        <v>404</v>
      </c>
      <c r="CR521" s="63">
        <f t="shared" si="197"/>
        <v>10</v>
      </c>
      <c r="CS521" s="279">
        <v>51</v>
      </c>
      <c r="CT521" s="52">
        <v>36</v>
      </c>
      <c r="CU521" s="105">
        <v>51</v>
      </c>
      <c r="CV521" s="98">
        <v>45</v>
      </c>
      <c r="CW521" s="279">
        <v>42</v>
      </c>
      <c r="CX521" s="52">
        <v>2</v>
      </c>
      <c r="CY521" s="105">
        <v>14</v>
      </c>
      <c r="CZ521" s="98">
        <v>4</v>
      </c>
      <c r="DA521" s="279"/>
      <c r="DB521" s="52"/>
      <c r="DC521" s="105">
        <v>13</v>
      </c>
      <c r="DD521" s="98">
        <v>1</v>
      </c>
      <c r="DE521" s="279"/>
      <c r="DF521" s="52"/>
      <c r="DG521" s="105"/>
      <c r="DH521" s="98"/>
      <c r="DI521" s="279"/>
      <c r="DJ521" s="52"/>
      <c r="DK521" s="105"/>
      <c r="DL521" s="98"/>
      <c r="DM521" s="279"/>
      <c r="DN521" s="52"/>
      <c r="DO521" s="105"/>
      <c r="DP521" s="98"/>
      <c r="DQ521" s="279"/>
      <c r="DR521" s="52"/>
      <c r="DS521" s="105"/>
      <c r="DT521" s="98"/>
      <c r="DU521" s="279"/>
      <c r="DV521" s="52"/>
      <c r="DW521" s="105"/>
      <c r="DX521" s="98"/>
      <c r="DY521" s="279"/>
      <c r="DZ521" s="52"/>
      <c r="EA521" s="105"/>
      <c r="EB521" s="98"/>
      <c r="EC521" s="279"/>
      <c r="ED521" s="52"/>
      <c r="EE521" s="105"/>
      <c r="EF521" s="98"/>
      <c r="EG521" s="159"/>
      <c r="EH521" s="277"/>
      <c r="EI521" s="50">
        <f t="shared" si="198"/>
        <v>38</v>
      </c>
      <c r="EJ521" s="103">
        <f t="shared" si="199"/>
        <v>2</v>
      </c>
      <c r="EK521" s="164">
        <f t="shared" si="200"/>
        <v>0.94736842105263153</v>
      </c>
      <c r="EL521" s="280">
        <f t="shared" si="201"/>
        <v>50</v>
      </c>
      <c r="EM521" s="63">
        <f t="shared" si="202"/>
        <v>3</v>
      </c>
      <c r="EN521" s="359">
        <f t="shared" si="203"/>
        <v>0.9</v>
      </c>
      <c r="EO521" s="51">
        <f t="shared" si="204"/>
        <v>441</v>
      </c>
      <c r="EP521" s="361">
        <f t="shared" si="205"/>
        <v>454</v>
      </c>
      <c r="EQ521" s="281"/>
      <c r="ER521" s="277"/>
      <c r="ES521" s="281"/>
      <c r="ET521" s="277"/>
      <c r="EU521" s="281"/>
      <c r="EV521" s="277"/>
      <c r="EW521" s="281"/>
      <c r="EX521" s="277"/>
      <c r="EY521" s="281"/>
      <c r="EZ521" s="277"/>
      <c r="FA521" s="281"/>
      <c r="FB521" s="277"/>
      <c r="FC521" s="281"/>
      <c r="FD521" s="277"/>
      <c r="FE521" s="281"/>
      <c r="FF521" s="277"/>
      <c r="FG521" s="281"/>
      <c r="FH521" s="277"/>
      <c r="FI521" s="281"/>
      <c r="FJ521" s="277"/>
      <c r="FK521" s="50">
        <f t="shared" si="206"/>
        <v>0</v>
      </c>
      <c r="FL521" s="63">
        <f t="shared" si="207"/>
        <v>0</v>
      </c>
      <c r="FM521" s="50">
        <f t="shared" si="189"/>
        <v>1699</v>
      </c>
      <c r="FN521" s="360">
        <f t="shared" si="190"/>
        <v>1575</v>
      </c>
      <c r="FO521" s="3"/>
      <c r="FP521" s="279"/>
      <c r="FQ521" s="52"/>
      <c r="FR521" s="296"/>
      <c r="FS521" s="98"/>
      <c r="FT521" s="467"/>
      <c r="FU521" s="52"/>
      <c r="FV521" s="296"/>
      <c r="FW521" s="98"/>
      <c r="FX521" s="467"/>
      <c r="FY521" s="52"/>
      <c r="FZ521" s="296"/>
      <c r="GA521" s="98"/>
      <c r="GB521" s="467"/>
      <c r="GC521" s="52"/>
      <c r="GD521" s="296"/>
      <c r="GE521" s="98"/>
      <c r="GF521" s="467"/>
      <c r="GG521" s="52"/>
      <c r="GH521" s="296"/>
      <c r="GI521" s="98"/>
      <c r="GJ521" s="467"/>
      <c r="GK521" s="52"/>
      <c r="GL521" s="296"/>
      <c r="GM521" s="464"/>
      <c r="GN521" s="467"/>
      <c r="GO521" s="52"/>
      <c r="GP521" s="296"/>
      <c r="GQ521" s="464"/>
      <c r="GR521" s="467"/>
      <c r="GS521" s="52"/>
      <c r="GT521" s="296"/>
      <c r="GU521" s="464"/>
      <c r="GV521" s="467"/>
      <c r="GW521" s="52"/>
      <c r="GX521" s="296"/>
      <c r="GY521" s="464"/>
      <c r="GZ521" s="467"/>
      <c r="HA521" s="52"/>
      <c r="HB521" s="296"/>
      <c r="HC521" s="3"/>
    </row>
    <row r="522" spans="1:211" s="86" customFormat="1">
      <c r="A522" s="499" t="s">
        <v>32</v>
      </c>
      <c r="B522" s="311" t="s">
        <v>644</v>
      </c>
      <c r="C522" s="310">
        <v>219602</v>
      </c>
      <c r="D522" s="351">
        <v>4</v>
      </c>
      <c r="E522" s="460"/>
      <c r="F522" s="535"/>
      <c r="G522" s="460"/>
      <c r="H522" s="277"/>
      <c r="I522" s="158">
        <v>109</v>
      </c>
      <c r="J522" s="535">
        <v>138</v>
      </c>
      <c r="K522" s="160">
        <f t="shared" si="191"/>
        <v>9.4046591889559966E-2</v>
      </c>
      <c r="L522" s="161">
        <f t="shared" ref="L522:L585" si="208">IF(R522&gt;0,J522/R522, )</f>
        <v>0.13745019920318724</v>
      </c>
      <c r="M522" s="54">
        <v>1159</v>
      </c>
      <c r="N522" s="55">
        <v>40</v>
      </c>
      <c r="O522" s="55"/>
      <c r="P522" s="55">
        <v>11</v>
      </c>
      <c r="Q522" s="162">
        <f t="shared" si="192"/>
        <v>51</v>
      </c>
      <c r="R522" s="545">
        <v>1004</v>
      </c>
      <c r="S522" s="312"/>
      <c r="T522" s="277"/>
      <c r="U522" s="312"/>
      <c r="V522" s="97">
        <f t="shared" si="193"/>
        <v>0</v>
      </c>
      <c r="W522" s="279"/>
      <c r="X522" s="52"/>
      <c r="Y522" s="99"/>
      <c r="Z522" s="53"/>
      <c r="AA522" s="228"/>
      <c r="AB522" s="52"/>
      <c r="AC522" s="99"/>
      <c r="AD522" s="53"/>
      <c r="AE522" s="228"/>
      <c r="AF522" s="52"/>
      <c r="AG522" s="99"/>
      <c r="AH522" s="53"/>
      <c r="AI522" s="228"/>
      <c r="AJ522" s="52"/>
      <c r="AK522" s="99"/>
      <c r="AL522" s="53"/>
      <c r="AM522" s="228"/>
      <c r="AN522" s="52"/>
      <c r="AO522" s="99"/>
      <c r="AP522" s="53"/>
      <c r="AQ522" s="50">
        <f t="shared" ref="AQ522:AQ585" si="209">COUNTA(W522,AA522,AE522,AI522,AM522)</f>
        <v>0</v>
      </c>
      <c r="AR522" s="163">
        <f t="shared" ref="AR522:AR585" si="210">IF(FM522&gt;0,M522/FM522,)</f>
        <v>0.77318212141427622</v>
      </c>
      <c r="AS522" s="97">
        <f t="shared" ref="AS522:AS585" si="211">COUNTA(Y522,AC522,AG522,AK522,AO522)</f>
        <v>0</v>
      </c>
      <c r="AT522" s="278">
        <f t="shared" ref="AT522:AT585" si="212">IF(FN522&gt;0,R522/FN522,)</f>
        <v>0.71919770773638969</v>
      </c>
      <c r="AU522" s="55"/>
      <c r="AV522" s="277"/>
      <c r="AW522" s="279">
        <v>13</v>
      </c>
      <c r="AX522" s="52">
        <v>121</v>
      </c>
      <c r="AY522" s="105">
        <v>13</v>
      </c>
      <c r="AZ522" s="98">
        <v>122</v>
      </c>
      <c r="BA522" s="279">
        <v>52</v>
      </c>
      <c r="BB522" s="52">
        <v>36</v>
      </c>
      <c r="BC522" s="105">
        <v>52</v>
      </c>
      <c r="BD522" s="98">
        <v>48</v>
      </c>
      <c r="BE522" s="279">
        <v>9</v>
      </c>
      <c r="BF522" s="52">
        <v>19</v>
      </c>
      <c r="BG522" s="105">
        <v>31</v>
      </c>
      <c r="BH522" s="98">
        <v>23</v>
      </c>
      <c r="BI522" s="279">
        <v>31</v>
      </c>
      <c r="BJ522" s="52">
        <v>16</v>
      </c>
      <c r="BK522" s="105">
        <v>9</v>
      </c>
      <c r="BL522" s="98">
        <v>18</v>
      </c>
      <c r="BM522" s="279">
        <v>50</v>
      </c>
      <c r="BN522" s="52">
        <v>12</v>
      </c>
      <c r="BO522" s="105">
        <v>51</v>
      </c>
      <c r="BP522" s="98">
        <v>9</v>
      </c>
      <c r="BQ522" s="279">
        <v>26</v>
      </c>
      <c r="BR522" s="52">
        <v>9</v>
      </c>
      <c r="BS522" s="105">
        <v>42</v>
      </c>
      <c r="BT522" s="98">
        <v>9</v>
      </c>
      <c r="BU522" s="279">
        <v>23</v>
      </c>
      <c r="BV522" s="52">
        <v>7</v>
      </c>
      <c r="BW522" s="105">
        <v>50</v>
      </c>
      <c r="BX522" s="98">
        <v>7</v>
      </c>
      <c r="BY522" s="279">
        <v>51</v>
      </c>
      <c r="BZ522" s="52">
        <v>7</v>
      </c>
      <c r="CA522" s="105">
        <v>23</v>
      </c>
      <c r="CB522" s="98">
        <v>6</v>
      </c>
      <c r="CC522" s="279">
        <v>42</v>
      </c>
      <c r="CD522" s="52">
        <v>2</v>
      </c>
      <c r="CE522" s="105">
        <v>24</v>
      </c>
      <c r="CF522" s="98">
        <v>4</v>
      </c>
      <c r="CG522" s="279">
        <v>54</v>
      </c>
      <c r="CH522" s="52">
        <v>2</v>
      </c>
      <c r="CI522" s="105">
        <v>26</v>
      </c>
      <c r="CJ522" s="98">
        <v>4</v>
      </c>
      <c r="CK522" s="281"/>
      <c r="CL522" s="277"/>
      <c r="CM522" s="159"/>
      <c r="CN522" s="277">
        <v>4</v>
      </c>
      <c r="CO522" s="50">
        <f t="shared" si="194"/>
        <v>231</v>
      </c>
      <c r="CP522" s="103">
        <f t="shared" si="195"/>
        <v>10</v>
      </c>
      <c r="CQ522" s="280">
        <f t="shared" si="196"/>
        <v>254</v>
      </c>
      <c r="CR522" s="63">
        <f t="shared" si="197"/>
        <v>10</v>
      </c>
      <c r="CS522" s="279"/>
      <c r="CT522" s="52"/>
      <c r="CU522" s="105"/>
      <c r="CV522" s="98"/>
      <c r="CW522" s="279"/>
      <c r="CX522" s="52"/>
      <c r="CY522" s="105"/>
      <c r="CZ522" s="98"/>
      <c r="DA522" s="279"/>
      <c r="DB522" s="52"/>
      <c r="DC522" s="105"/>
      <c r="DD522" s="98"/>
      <c r="DE522" s="279"/>
      <c r="DF522" s="52"/>
      <c r="DG522" s="105"/>
      <c r="DH522" s="98"/>
      <c r="DI522" s="279"/>
      <c r="DJ522" s="52"/>
      <c r="DK522" s="105"/>
      <c r="DL522" s="98"/>
      <c r="DM522" s="279"/>
      <c r="DN522" s="52"/>
      <c r="DO522" s="105"/>
      <c r="DP522" s="98"/>
      <c r="DQ522" s="279"/>
      <c r="DR522" s="52"/>
      <c r="DS522" s="105"/>
      <c r="DT522" s="98"/>
      <c r="DU522" s="279"/>
      <c r="DV522" s="52"/>
      <c r="DW522" s="105"/>
      <c r="DX522" s="98"/>
      <c r="DY522" s="279"/>
      <c r="DZ522" s="52"/>
      <c r="EA522" s="105"/>
      <c r="EB522" s="98"/>
      <c r="EC522" s="279"/>
      <c r="ED522" s="52"/>
      <c r="EE522" s="105"/>
      <c r="EF522" s="98"/>
      <c r="EG522" s="159"/>
      <c r="EH522" s="277"/>
      <c r="EI522" s="50">
        <f t="shared" si="198"/>
        <v>0</v>
      </c>
      <c r="EJ522" s="103">
        <f t="shared" si="199"/>
        <v>0</v>
      </c>
      <c r="EK522" s="164">
        <f t="shared" si="200"/>
        <v>0</v>
      </c>
      <c r="EL522" s="280">
        <f t="shared" si="201"/>
        <v>0</v>
      </c>
      <c r="EM522" s="63">
        <f t="shared" si="202"/>
        <v>0</v>
      </c>
      <c r="EN522" s="359">
        <f t="shared" si="203"/>
        <v>0</v>
      </c>
      <c r="EO522" s="51">
        <f t="shared" si="204"/>
        <v>231</v>
      </c>
      <c r="EP522" s="361">
        <f t="shared" si="205"/>
        <v>254</v>
      </c>
      <c r="EQ522" s="281"/>
      <c r="ER522" s="277"/>
      <c r="ES522" s="281"/>
      <c r="ET522" s="277"/>
      <c r="EU522" s="281"/>
      <c r="EV522" s="277"/>
      <c r="EW522" s="281"/>
      <c r="EX522" s="277"/>
      <c r="EY522" s="281"/>
      <c r="EZ522" s="277"/>
      <c r="FA522" s="281"/>
      <c r="FB522" s="277"/>
      <c r="FC522" s="281"/>
      <c r="FD522" s="277"/>
      <c r="FE522" s="281"/>
      <c r="FF522" s="277"/>
      <c r="FG522" s="281"/>
      <c r="FH522" s="277"/>
      <c r="FI522" s="281"/>
      <c r="FJ522" s="277"/>
      <c r="FK522" s="50">
        <f t="shared" si="206"/>
        <v>0</v>
      </c>
      <c r="FL522" s="63">
        <f t="shared" si="207"/>
        <v>0</v>
      </c>
      <c r="FM522" s="50">
        <f t="shared" ref="FM522:FM585" si="213">E522+G522+I522+M522+AU522+EO522+FK522</f>
        <v>1499</v>
      </c>
      <c r="FN522" s="360">
        <f t="shared" ref="FN522:FN585" si="214">F522+H522+J522+R522+AV522+EP522+FL522</f>
        <v>1396</v>
      </c>
      <c r="FO522" s="3"/>
      <c r="FP522" s="279"/>
      <c r="FQ522" s="52"/>
      <c r="FR522" s="296"/>
      <c r="FS522" s="98"/>
      <c r="FT522" s="467"/>
      <c r="FU522" s="52"/>
      <c r="FV522" s="296"/>
      <c r="FW522" s="98"/>
      <c r="FX522" s="467"/>
      <c r="FY522" s="52"/>
      <c r="FZ522" s="296"/>
      <c r="GA522" s="98"/>
      <c r="GB522" s="467"/>
      <c r="GC522" s="52"/>
      <c r="GD522" s="296"/>
      <c r="GE522" s="98"/>
      <c r="GF522" s="467"/>
      <c r="GG522" s="52"/>
      <c r="GH522" s="296"/>
      <c r="GI522" s="98"/>
      <c r="GJ522" s="467"/>
      <c r="GK522" s="52"/>
      <c r="GL522" s="296"/>
      <c r="GM522" s="464"/>
      <c r="GN522" s="467"/>
      <c r="GO522" s="52"/>
      <c r="GP522" s="296"/>
      <c r="GQ522" s="464"/>
      <c r="GR522" s="467"/>
      <c r="GS522" s="52"/>
      <c r="GT522" s="296"/>
      <c r="GU522" s="464"/>
      <c r="GV522" s="467"/>
      <c r="GW522" s="52"/>
      <c r="GX522" s="296"/>
      <c r="GY522" s="464"/>
      <c r="GZ522" s="467"/>
      <c r="HA522" s="52"/>
      <c r="HB522" s="296"/>
      <c r="HC522" s="3"/>
    </row>
    <row r="523" spans="1:211" s="86" customFormat="1">
      <c r="A523" s="499" t="s">
        <v>32</v>
      </c>
      <c r="B523" s="311" t="s">
        <v>646</v>
      </c>
      <c r="C523" s="310">
        <v>221768</v>
      </c>
      <c r="D523" s="351">
        <v>5</v>
      </c>
      <c r="E523" s="460"/>
      <c r="F523" s="535"/>
      <c r="G523" s="460"/>
      <c r="H523" s="277"/>
      <c r="I523" s="158"/>
      <c r="J523" s="535"/>
      <c r="K523" s="160">
        <f t="shared" ref="K523:K586" si="215">IF(M523&gt;0,I523/M523, )</f>
        <v>0</v>
      </c>
      <c r="L523" s="161">
        <f t="shared" si="208"/>
        <v>0</v>
      </c>
      <c r="M523" s="54">
        <v>998</v>
      </c>
      <c r="N523" s="55">
        <v>35</v>
      </c>
      <c r="O523" s="55"/>
      <c r="P523" s="55">
        <v>2</v>
      </c>
      <c r="Q523" s="162">
        <f t="shared" ref="Q523:Q586" si="216">SUM(N523:P523)</f>
        <v>37</v>
      </c>
      <c r="R523" s="545">
        <v>890</v>
      </c>
      <c r="S523" s="312"/>
      <c r="T523" s="277"/>
      <c r="U523" s="312"/>
      <c r="V523" s="97">
        <f t="shared" ref="V523:V586" si="217">SUM(S523:U523)</f>
        <v>0</v>
      </c>
      <c r="W523" s="279"/>
      <c r="X523" s="52"/>
      <c r="Y523" s="99"/>
      <c r="Z523" s="53"/>
      <c r="AA523" s="228"/>
      <c r="AB523" s="52"/>
      <c r="AC523" s="99"/>
      <c r="AD523" s="53"/>
      <c r="AE523" s="228"/>
      <c r="AF523" s="52"/>
      <c r="AG523" s="99"/>
      <c r="AH523" s="53"/>
      <c r="AI523" s="228"/>
      <c r="AJ523" s="52"/>
      <c r="AK523" s="99"/>
      <c r="AL523" s="53"/>
      <c r="AM523" s="228"/>
      <c r="AN523" s="52"/>
      <c r="AO523" s="99"/>
      <c r="AP523" s="53"/>
      <c r="AQ523" s="50">
        <f t="shared" si="209"/>
        <v>0</v>
      </c>
      <c r="AR523" s="163">
        <f t="shared" si="210"/>
        <v>0.87697715289982425</v>
      </c>
      <c r="AS523" s="97">
        <f t="shared" si="211"/>
        <v>0</v>
      </c>
      <c r="AT523" s="278">
        <f t="shared" si="212"/>
        <v>0.88557213930348255</v>
      </c>
      <c r="AU523" s="55"/>
      <c r="AV523" s="277"/>
      <c r="AW523" s="279">
        <v>13</v>
      </c>
      <c r="AX523" s="52">
        <v>78</v>
      </c>
      <c r="AY523" s="105">
        <v>13</v>
      </c>
      <c r="AZ523" s="98">
        <v>84</v>
      </c>
      <c r="BA523" s="279">
        <v>52</v>
      </c>
      <c r="BB523" s="52">
        <v>55</v>
      </c>
      <c r="BC523" s="105">
        <v>52</v>
      </c>
      <c r="BD523" s="98">
        <v>21</v>
      </c>
      <c r="BE523" s="279">
        <v>19</v>
      </c>
      <c r="BF523" s="52">
        <v>4</v>
      </c>
      <c r="BG523" s="105">
        <v>19</v>
      </c>
      <c r="BH523" s="98">
        <v>5</v>
      </c>
      <c r="BI523" s="279">
        <v>1</v>
      </c>
      <c r="BJ523" s="52">
        <v>3</v>
      </c>
      <c r="BK523" s="105">
        <v>1</v>
      </c>
      <c r="BL523" s="98">
        <v>5</v>
      </c>
      <c r="BM523" s="279"/>
      <c r="BN523" s="52"/>
      <c r="BO523" s="105"/>
      <c r="BP523" s="98"/>
      <c r="BQ523" s="279"/>
      <c r="BR523" s="52"/>
      <c r="BS523" s="105"/>
      <c r="BT523" s="98"/>
      <c r="BU523" s="279"/>
      <c r="BV523" s="52"/>
      <c r="BW523" s="105"/>
      <c r="BX523" s="98"/>
      <c r="BY523" s="279"/>
      <c r="BZ523" s="52"/>
      <c r="CA523" s="105"/>
      <c r="CB523" s="98"/>
      <c r="CC523" s="279"/>
      <c r="CD523" s="52"/>
      <c r="CE523" s="105"/>
      <c r="CF523" s="98"/>
      <c r="CG523" s="279"/>
      <c r="CH523" s="52"/>
      <c r="CI523" s="105"/>
      <c r="CJ523" s="98"/>
      <c r="CK523" s="281"/>
      <c r="CL523" s="277"/>
      <c r="CM523" s="159"/>
      <c r="CN523" s="277"/>
      <c r="CO523" s="50">
        <f t="shared" ref="CO523:CO586" si="218">AX523+BB523+BF523+BJ523+BN523+BR523+BV523+BZ523+CD523+CH523+CK523+CM523</f>
        <v>140</v>
      </c>
      <c r="CP523" s="103">
        <f t="shared" ref="CP523:CP586" si="219">COUNTA(AW523,BA523,BE523,BI523,BM523,BQ523,BU523,BY523,CC523,CG523)</f>
        <v>4</v>
      </c>
      <c r="CQ523" s="280">
        <f t="shared" ref="CQ523:CQ586" si="220">AZ523+BD523+BH523+BL523+BP523+BT523+BX523+CF523+CB523+CJ523+CL523+CN523</f>
        <v>115</v>
      </c>
      <c r="CR523" s="63">
        <f t="shared" ref="CR523:CR586" si="221">COUNTA(AY523,BC523,BG523,BK523,BO523,BS523,BW523,CE523,CA523,CI523)</f>
        <v>4</v>
      </c>
      <c r="CS523" s="279"/>
      <c r="CT523" s="52"/>
      <c r="CU523" s="105"/>
      <c r="CV523" s="98"/>
      <c r="CW523" s="279"/>
      <c r="CX523" s="52"/>
      <c r="CY523" s="105"/>
      <c r="CZ523" s="98"/>
      <c r="DA523" s="279"/>
      <c r="DB523" s="52"/>
      <c r="DC523" s="105"/>
      <c r="DD523" s="98"/>
      <c r="DE523" s="279"/>
      <c r="DF523" s="52"/>
      <c r="DG523" s="105"/>
      <c r="DH523" s="98"/>
      <c r="DI523" s="279"/>
      <c r="DJ523" s="52"/>
      <c r="DK523" s="105"/>
      <c r="DL523" s="98"/>
      <c r="DM523" s="279"/>
      <c r="DN523" s="52"/>
      <c r="DO523" s="105"/>
      <c r="DP523" s="98"/>
      <c r="DQ523" s="279"/>
      <c r="DR523" s="52"/>
      <c r="DS523" s="105"/>
      <c r="DT523" s="98"/>
      <c r="DU523" s="279"/>
      <c r="DV523" s="52"/>
      <c r="DW523" s="105"/>
      <c r="DX523" s="98"/>
      <c r="DY523" s="279"/>
      <c r="DZ523" s="52"/>
      <c r="EA523" s="105"/>
      <c r="EB523" s="98"/>
      <c r="EC523" s="279"/>
      <c r="ED523" s="52"/>
      <c r="EE523" s="105"/>
      <c r="EF523" s="98"/>
      <c r="EG523" s="159"/>
      <c r="EH523" s="277"/>
      <c r="EI523" s="50">
        <f t="shared" ref="EI523:EI586" si="222">CT523+CX523+DB523+DF523+DJ523+DN523+DR523+DV523+DZ523+ED523+EG523</f>
        <v>0</v>
      </c>
      <c r="EJ523" s="103">
        <f t="shared" ref="EJ523:EJ586" si="223">COUNTA(CS523,CW523,DA523,DE523,DI523,DM523,DQ523,DU523,DY523,EC523)</f>
        <v>0</v>
      </c>
      <c r="EK523" s="164">
        <f t="shared" ref="EK523:EK586" si="224">IF(EI523&gt;0,CT523/EI523,)</f>
        <v>0</v>
      </c>
      <c r="EL523" s="280">
        <f t="shared" ref="EL523:EL586" si="225">CV523+CZ523+DD523+DH523+DL523+DP523+DT523+DX523+EB523+EF523+EH523</f>
        <v>0</v>
      </c>
      <c r="EM523" s="63">
        <f t="shared" ref="EM523:EM586" si="226">COUNTA(CU523,CY523,DC523,DG523,DK523,DO523,DS523,DW523,EA523,EE523)</f>
        <v>0</v>
      </c>
      <c r="EN523" s="359">
        <f t="shared" ref="EN523:EN586" si="227">IF(EL523&gt;0,CV523/EL523,)</f>
        <v>0</v>
      </c>
      <c r="EO523" s="51">
        <f t="shared" ref="EO523:EO586" si="228">CO523+EI523</f>
        <v>140</v>
      </c>
      <c r="EP523" s="361">
        <f t="shared" ref="EP523:EP586" si="229">CQ523+EL523</f>
        <v>115</v>
      </c>
      <c r="EQ523" s="281"/>
      <c r="ER523" s="277"/>
      <c r="ES523" s="281"/>
      <c r="ET523" s="277"/>
      <c r="EU523" s="281"/>
      <c r="EV523" s="277"/>
      <c r="EW523" s="281"/>
      <c r="EX523" s="277"/>
      <c r="EY523" s="281"/>
      <c r="EZ523" s="277"/>
      <c r="FA523" s="281"/>
      <c r="FB523" s="277"/>
      <c r="FC523" s="281"/>
      <c r="FD523" s="277"/>
      <c r="FE523" s="281"/>
      <c r="FF523" s="277"/>
      <c r="FG523" s="281"/>
      <c r="FH523" s="277"/>
      <c r="FI523" s="281"/>
      <c r="FJ523" s="277"/>
      <c r="FK523" s="50">
        <f t="shared" ref="FK523:FK586" si="230">EQ523+ES523+EU523+EW523+EY523+FA523+FC523+FE523+FG523+FI523</f>
        <v>0</v>
      </c>
      <c r="FL523" s="63">
        <f t="shared" ref="FL523:FL586" si="231">ER523+ET523+EV523+EX523+EZ523+FB523+FD523+FF523+FH523+FJ523</f>
        <v>0</v>
      </c>
      <c r="FM523" s="50">
        <f t="shared" si="213"/>
        <v>1138</v>
      </c>
      <c r="FN523" s="360">
        <f t="shared" si="214"/>
        <v>1005</v>
      </c>
      <c r="FO523" s="3"/>
      <c r="FP523" s="279"/>
      <c r="FQ523" s="52"/>
      <c r="FR523" s="296"/>
      <c r="FS523" s="98"/>
      <c r="FT523" s="467"/>
      <c r="FU523" s="52"/>
      <c r="FV523" s="296"/>
      <c r="FW523" s="98"/>
      <c r="FX523" s="467"/>
      <c r="FY523" s="52"/>
      <c r="FZ523" s="296"/>
      <c r="GA523" s="98"/>
      <c r="GB523" s="467"/>
      <c r="GC523" s="52"/>
      <c r="GD523" s="296"/>
      <c r="GE523" s="98"/>
      <c r="GF523" s="467"/>
      <c r="GG523" s="52"/>
      <c r="GH523" s="296"/>
      <c r="GI523" s="98"/>
      <c r="GJ523" s="467"/>
      <c r="GK523" s="52"/>
      <c r="GL523" s="296"/>
      <c r="GM523" s="464"/>
      <c r="GN523" s="467"/>
      <c r="GO523" s="52"/>
      <c r="GP523" s="296"/>
      <c r="GQ523" s="464"/>
      <c r="GR523" s="467"/>
      <c r="GS523" s="52"/>
      <c r="GT523" s="296"/>
      <c r="GU523" s="464"/>
      <c r="GV523" s="467"/>
      <c r="GW523" s="52"/>
      <c r="GX523" s="296"/>
      <c r="GY523" s="464"/>
      <c r="GZ523" s="467"/>
      <c r="HA523" s="52"/>
      <c r="HB523" s="296"/>
      <c r="HC523" s="3"/>
    </row>
    <row r="524" spans="1:211" s="86" customFormat="1">
      <c r="A524" s="499" t="s">
        <v>32</v>
      </c>
      <c r="B524" s="311" t="s">
        <v>647</v>
      </c>
      <c r="C524" s="310">
        <v>219824</v>
      </c>
      <c r="D524" s="351">
        <v>8</v>
      </c>
      <c r="E524" s="460">
        <v>106</v>
      </c>
      <c r="F524" s="546"/>
      <c r="G524" s="460"/>
      <c r="H524" s="277"/>
      <c r="I524" s="158">
        <v>652</v>
      </c>
      <c r="J524" s="535">
        <v>636</v>
      </c>
      <c r="K524" s="160">
        <f t="shared" si="215"/>
        <v>0</v>
      </c>
      <c r="L524" s="161">
        <f t="shared" si="208"/>
        <v>0</v>
      </c>
      <c r="M524" s="54"/>
      <c r="N524" s="55"/>
      <c r="O524" s="55"/>
      <c r="P524" s="55"/>
      <c r="Q524" s="162">
        <f t="shared" si="216"/>
        <v>0</v>
      </c>
      <c r="R524" s="535"/>
      <c r="S524" s="277"/>
      <c r="T524" s="277"/>
      <c r="U524" s="277"/>
      <c r="V524" s="97">
        <f t="shared" si="217"/>
        <v>0</v>
      </c>
      <c r="W524" s="279"/>
      <c r="X524" s="52"/>
      <c r="Y524" s="99"/>
      <c r="Z524" s="53"/>
      <c r="AA524" s="228"/>
      <c r="AB524" s="52"/>
      <c r="AC524" s="99"/>
      <c r="AD524" s="53"/>
      <c r="AE524" s="228"/>
      <c r="AF524" s="52"/>
      <c r="AG524" s="99"/>
      <c r="AH524" s="53"/>
      <c r="AI524" s="228"/>
      <c r="AJ524" s="52"/>
      <c r="AK524" s="99"/>
      <c r="AL524" s="53"/>
      <c r="AM524" s="228"/>
      <c r="AN524" s="52"/>
      <c r="AO524" s="99"/>
      <c r="AP524" s="53"/>
      <c r="AQ524" s="50">
        <f t="shared" si="209"/>
        <v>0</v>
      </c>
      <c r="AR524" s="163">
        <f t="shared" si="210"/>
        <v>0</v>
      </c>
      <c r="AS524" s="97">
        <f t="shared" si="211"/>
        <v>0</v>
      </c>
      <c r="AT524" s="278">
        <f t="shared" si="212"/>
        <v>0</v>
      </c>
      <c r="AU524" s="55"/>
      <c r="AV524" s="277"/>
      <c r="AW524" s="279"/>
      <c r="AX524" s="52"/>
      <c r="AY524" s="105"/>
      <c r="AZ524" s="98"/>
      <c r="BA524" s="279"/>
      <c r="BB524" s="52"/>
      <c r="BC524" s="105"/>
      <c r="BD524" s="98"/>
      <c r="BE524" s="279"/>
      <c r="BF524" s="52"/>
      <c r="BG524" s="105"/>
      <c r="BH524" s="98"/>
      <c r="BI524" s="279"/>
      <c r="BJ524" s="52"/>
      <c r="BK524" s="105"/>
      <c r="BL524" s="98"/>
      <c r="BM524" s="279"/>
      <c r="BN524" s="52"/>
      <c r="BO524" s="105"/>
      <c r="BP524" s="98"/>
      <c r="BQ524" s="279"/>
      <c r="BR524" s="52"/>
      <c r="BS524" s="105"/>
      <c r="BT524" s="98"/>
      <c r="BU524" s="279"/>
      <c r="BV524" s="52"/>
      <c r="BW524" s="105"/>
      <c r="BX524" s="98"/>
      <c r="BY524" s="279"/>
      <c r="BZ524" s="52"/>
      <c r="CA524" s="105"/>
      <c r="CB524" s="98"/>
      <c r="CC524" s="279"/>
      <c r="CD524" s="52"/>
      <c r="CE524" s="105"/>
      <c r="CF524" s="98"/>
      <c r="CG524" s="279"/>
      <c r="CH524" s="52"/>
      <c r="CI524" s="105"/>
      <c r="CJ524" s="98"/>
      <c r="CK524" s="281"/>
      <c r="CL524" s="277"/>
      <c r="CM524" s="159"/>
      <c r="CN524" s="277"/>
      <c r="CO524" s="50">
        <f t="shared" si="218"/>
        <v>0</v>
      </c>
      <c r="CP524" s="103">
        <f t="shared" si="219"/>
        <v>0</v>
      </c>
      <c r="CQ524" s="280">
        <f t="shared" si="220"/>
        <v>0</v>
      </c>
      <c r="CR524" s="63">
        <f t="shared" si="221"/>
        <v>0</v>
      </c>
      <c r="CS524" s="279"/>
      <c r="CT524" s="52"/>
      <c r="CU524" s="105"/>
      <c r="CV524" s="98"/>
      <c r="CW524" s="279"/>
      <c r="CX524" s="52"/>
      <c r="CY524" s="105"/>
      <c r="CZ524" s="98"/>
      <c r="DA524" s="279"/>
      <c r="DB524" s="52"/>
      <c r="DC524" s="105"/>
      <c r="DD524" s="98"/>
      <c r="DE524" s="279"/>
      <c r="DF524" s="52"/>
      <c r="DG524" s="105"/>
      <c r="DH524" s="98"/>
      <c r="DI524" s="279"/>
      <c r="DJ524" s="52"/>
      <c r="DK524" s="105"/>
      <c r="DL524" s="98"/>
      <c r="DM524" s="279"/>
      <c r="DN524" s="52"/>
      <c r="DO524" s="105"/>
      <c r="DP524" s="98"/>
      <c r="DQ524" s="279"/>
      <c r="DR524" s="52"/>
      <c r="DS524" s="105"/>
      <c r="DT524" s="98"/>
      <c r="DU524" s="279"/>
      <c r="DV524" s="52"/>
      <c r="DW524" s="105"/>
      <c r="DX524" s="98"/>
      <c r="DY524" s="279"/>
      <c r="DZ524" s="52"/>
      <c r="EA524" s="105"/>
      <c r="EB524" s="98"/>
      <c r="EC524" s="279"/>
      <c r="ED524" s="52"/>
      <c r="EE524" s="105"/>
      <c r="EF524" s="98"/>
      <c r="EG524" s="159"/>
      <c r="EH524" s="277"/>
      <c r="EI524" s="50">
        <f t="shared" si="222"/>
        <v>0</v>
      </c>
      <c r="EJ524" s="103">
        <f t="shared" si="223"/>
        <v>0</v>
      </c>
      <c r="EK524" s="164">
        <f t="shared" si="224"/>
        <v>0</v>
      </c>
      <c r="EL524" s="280">
        <f t="shared" si="225"/>
        <v>0</v>
      </c>
      <c r="EM524" s="63">
        <f t="shared" si="226"/>
        <v>0</v>
      </c>
      <c r="EN524" s="359">
        <f t="shared" si="227"/>
        <v>0</v>
      </c>
      <c r="EO524" s="51">
        <f t="shared" si="228"/>
        <v>0</v>
      </c>
      <c r="EP524" s="361">
        <f t="shared" si="229"/>
        <v>0</v>
      </c>
      <c r="EQ524" s="281"/>
      <c r="ER524" s="277"/>
      <c r="ES524" s="281"/>
      <c r="ET524" s="277"/>
      <c r="EU524" s="281"/>
      <c r="EV524" s="277"/>
      <c r="EW524" s="281"/>
      <c r="EX524" s="277"/>
      <c r="EY524" s="281"/>
      <c r="EZ524" s="277"/>
      <c r="FA524" s="281"/>
      <c r="FB524" s="277"/>
      <c r="FC524" s="281"/>
      <c r="FD524" s="277"/>
      <c r="FE524" s="281"/>
      <c r="FF524" s="277"/>
      <c r="FG524" s="281"/>
      <c r="FH524" s="277"/>
      <c r="FI524" s="281"/>
      <c r="FJ524" s="277"/>
      <c r="FK524" s="50">
        <f t="shared" si="230"/>
        <v>0</v>
      </c>
      <c r="FL524" s="63">
        <f t="shared" si="231"/>
        <v>0</v>
      </c>
      <c r="FM524" s="50">
        <f t="shared" si="213"/>
        <v>758</v>
      </c>
      <c r="FN524" s="360">
        <f t="shared" si="214"/>
        <v>636</v>
      </c>
      <c r="FO524" s="3"/>
      <c r="FP524" s="279"/>
      <c r="FQ524" s="52"/>
      <c r="FR524" s="296"/>
      <c r="FS524" s="98"/>
      <c r="FT524" s="467"/>
      <c r="FU524" s="52"/>
      <c r="FV524" s="296"/>
      <c r="FW524" s="98"/>
      <c r="FX524" s="467"/>
      <c r="FY524" s="52"/>
      <c r="FZ524" s="296"/>
      <c r="GA524" s="98"/>
      <c r="GB524" s="467"/>
      <c r="GC524" s="52"/>
      <c r="GD524" s="296"/>
      <c r="GE524" s="98"/>
      <c r="GF524" s="467"/>
      <c r="GG524" s="52"/>
      <c r="GH524" s="296"/>
      <c r="GI524" s="98"/>
      <c r="GJ524" s="467"/>
      <c r="GK524" s="52"/>
      <c r="GL524" s="296"/>
      <c r="GM524" s="464"/>
      <c r="GN524" s="467"/>
      <c r="GO524" s="52"/>
      <c r="GP524" s="296"/>
      <c r="GQ524" s="464"/>
      <c r="GR524" s="467"/>
      <c r="GS524" s="52"/>
      <c r="GT524" s="296"/>
      <c r="GU524" s="464"/>
      <c r="GV524" s="467"/>
      <c r="GW524" s="52"/>
      <c r="GX524" s="296"/>
      <c r="GY524" s="464"/>
      <c r="GZ524" s="467"/>
      <c r="HA524" s="52"/>
      <c r="HB524" s="296"/>
      <c r="HC524" s="3"/>
    </row>
    <row r="525" spans="1:211" s="86" customFormat="1">
      <c r="A525" s="499" t="s">
        <v>32</v>
      </c>
      <c r="B525" s="311" t="s">
        <v>648</v>
      </c>
      <c r="C525" s="310">
        <v>221643</v>
      </c>
      <c r="D525" s="351">
        <v>8</v>
      </c>
      <c r="E525" s="460">
        <v>30</v>
      </c>
      <c r="F525" s="546"/>
      <c r="G525" s="460"/>
      <c r="H525" s="277"/>
      <c r="I525" s="158">
        <v>652</v>
      </c>
      <c r="J525" s="535">
        <v>645</v>
      </c>
      <c r="K525" s="160">
        <f t="shared" si="215"/>
        <v>0</v>
      </c>
      <c r="L525" s="161">
        <f t="shared" si="208"/>
        <v>0</v>
      </c>
      <c r="M525" s="54"/>
      <c r="N525" s="55"/>
      <c r="O525" s="55"/>
      <c r="P525" s="55"/>
      <c r="Q525" s="162">
        <f t="shared" si="216"/>
        <v>0</v>
      </c>
      <c r="R525" s="535"/>
      <c r="S525" s="277"/>
      <c r="T525" s="277"/>
      <c r="U525" s="277"/>
      <c r="V525" s="97">
        <f t="shared" si="217"/>
        <v>0</v>
      </c>
      <c r="W525" s="279"/>
      <c r="X525" s="52"/>
      <c r="Y525" s="99"/>
      <c r="Z525" s="53"/>
      <c r="AA525" s="228"/>
      <c r="AB525" s="52"/>
      <c r="AC525" s="99"/>
      <c r="AD525" s="53"/>
      <c r="AE525" s="228"/>
      <c r="AF525" s="52"/>
      <c r="AG525" s="99"/>
      <c r="AH525" s="53"/>
      <c r="AI525" s="228"/>
      <c r="AJ525" s="52"/>
      <c r="AK525" s="99"/>
      <c r="AL525" s="53"/>
      <c r="AM525" s="228"/>
      <c r="AN525" s="52"/>
      <c r="AO525" s="99"/>
      <c r="AP525" s="53"/>
      <c r="AQ525" s="50">
        <f t="shared" si="209"/>
        <v>0</v>
      </c>
      <c r="AR525" s="163">
        <f t="shared" si="210"/>
        <v>0</v>
      </c>
      <c r="AS525" s="97">
        <f t="shared" si="211"/>
        <v>0</v>
      </c>
      <c r="AT525" s="278">
        <f t="shared" si="212"/>
        <v>0</v>
      </c>
      <c r="AU525" s="55"/>
      <c r="AV525" s="277"/>
      <c r="AW525" s="279"/>
      <c r="AX525" s="52"/>
      <c r="AY525" s="105"/>
      <c r="AZ525" s="98"/>
      <c r="BA525" s="279"/>
      <c r="BB525" s="52"/>
      <c r="BC525" s="105"/>
      <c r="BD525" s="98"/>
      <c r="BE525" s="279"/>
      <c r="BF525" s="52"/>
      <c r="BG525" s="105"/>
      <c r="BH525" s="98"/>
      <c r="BI525" s="279"/>
      <c r="BJ525" s="52"/>
      <c r="BK525" s="105"/>
      <c r="BL525" s="98"/>
      <c r="BM525" s="279"/>
      <c r="BN525" s="52"/>
      <c r="BO525" s="105"/>
      <c r="BP525" s="98"/>
      <c r="BQ525" s="279"/>
      <c r="BR525" s="52"/>
      <c r="BS525" s="105"/>
      <c r="BT525" s="98"/>
      <c r="BU525" s="279"/>
      <c r="BV525" s="52"/>
      <c r="BW525" s="105"/>
      <c r="BX525" s="98"/>
      <c r="BY525" s="279"/>
      <c r="BZ525" s="52"/>
      <c r="CA525" s="105"/>
      <c r="CB525" s="98"/>
      <c r="CC525" s="279"/>
      <c r="CD525" s="52"/>
      <c r="CE525" s="105"/>
      <c r="CF525" s="98"/>
      <c r="CG525" s="279"/>
      <c r="CH525" s="52"/>
      <c r="CI525" s="105"/>
      <c r="CJ525" s="98"/>
      <c r="CK525" s="281"/>
      <c r="CL525" s="277"/>
      <c r="CM525" s="159"/>
      <c r="CN525" s="277"/>
      <c r="CO525" s="50">
        <f t="shared" si="218"/>
        <v>0</v>
      </c>
      <c r="CP525" s="103">
        <f t="shared" si="219"/>
        <v>0</v>
      </c>
      <c r="CQ525" s="280">
        <f t="shared" si="220"/>
        <v>0</v>
      </c>
      <c r="CR525" s="63">
        <f t="shared" si="221"/>
        <v>0</v>
      </c>
      <c r="CS525" s="279"/>
      <c r="CT525" s="52"/>
      <c r="CU525" s="105"/>
      <c r="CV525" s="98"/>
      <c r="CW525" s="279"/>
      <c r="CX525" s="52"/>
      <c r="CY525" s="105"/>
      <c r="CZ525" s="98"/>
      <c r="DA525" s="279"/>
      <c r="DB525" s="52"/>
      <c r="DC525" s="105"/>
      <c r="DD525" s="98"/>
      <c r="DE525" s="279"/>
      <c r="DF525" s="52"/>
      <c r="DG525" s="105"/>
      <c r="DH525" s="98"/>
      <c r="DI525" s="279"/>
      <c r="DJ525" s="52"/>
      <c r="DK525" s="105"/>
      <c r="DL525" s="98"/>
      <c r="DM525" s="279"/>
      <c r="DN525" s="52"/>
      <c r="DO525" s="105"/>
      <c r="DP525" s="98"/>
      <c r="DQ525" s="279"/>
      <c r="DR525" s="52"/>
      <c r="DS525" s="105"/>
      <c r="DT525" s="98"/>
      <c r="DU525" s="279"/>
      <c r="DV525" s="52"/>
      <c r="DW525" s="105"/>
      <c r="DX525" s="98"/>
      <c r="DY525" s="279"/>
      <c r="DZ525" s="52"/>
      <c r="EA525" s="105"/>
      <c r="EB525" s="98"/>
      <c r="EC525" s="279"/>
      <c r="ED525" s="52"/>
      <c r="EE525" s="105"/>
      <c r="EF525" s="98"/>
      <c r="EG525" s="159"/>
      <c r="EH525" s="277"/>
      <c r="EI525" s="50">
        <f t="shared" si="222"/>
        <v>0</v>
      </c>
      <c r="EJ525" s="103">
        <f t="shared" si="223"/>
        <v>0</v>
      </c>
      <c r="EK525" s="164">
        <f t="shared" si="224"/>
        <v>0</v>
      </c>
      <c r="EL525" s="280">
        <f t="shared" si="225"/>
        <v>0</v>
      </c>
      <c r="EM525" s="63">
        <f t="shared" si="226"/>
        <v>0</v>
      </c>
      <c r="EN525" s="359">
        <f t="shared" si="227"/>
        <v>0</v>
      </c>
      <c r="EO525" s="51">
        <f t="shared" si="228"/>
        <v>0</v>
      </c>
      <c r="EP525" s="361">
        <f t="shared" si="229"/>
        <v>0</v>
      </c>
      <c r="EQ525" s="281"/>
      <c r="ER525" s="277"/>
      <c r="ES525" s="281"/>
      <c r="ET525" s="277"/>
      <c r="EU525" s="281"/>
      <c r="EV525" s="277"/>
      <c r="EW525" s="281"/>
      <c r="EX525" s="277"/>
      <c r="EY525" s="281"/>
      <c r="EZ525" s="277"/>
      <c r="FA525" s="281"/>
      <c r="FB525" s="277"/>
      <c r="FC525" s="281"/>
      <c r="FD525" s="277"/>
      <c r="FE525" s="281"/>
      <c r="FF525" s="277"/>
      <c r="FG525" s="281"/>
      <c r="FH525" s="277"/>
      <c r="FI525" s="281"/>
      <c r="FJ525" s="277"/>
      <c r="FK525" s="50">
        <f t="shared" si="230"/>
        <v>0</v>
      </c>
      <c r="FL525" s="63">
        <f t="shared" si="231"/>
        <v>0</v>
      </c>
      <c r="FM525" s="50">
        <f t="shared" si="213"/>
        <v>682</v>
      </c>
      <c r="FN525" s="360">
        <f t="shared" si="214"/>
        <v>645</v>
      </c>
      <c r="FO525" s="3"/>
      <c r="FP525" s="279"/>
      <c r="FQ525" s="52"/>
      <c r="FR525" s="296"/>
      <c r="FS525" s="98"/>
      <c r="FT525" s="467"/>
      <c r="FU525" s="52"/>
      <c r="FV525" s="296"/>
      <c r="FW525" s="98"/>
      <c r="FX525" s="467"/>
      <c r="FY525" s="52"/>
      <c r="FZ525" s="296"/>
      <c r="GA525" s="98"/>
      <c r="GB525" s="467"/>
      <c r="GC525" s="52"/>
      <c r="GD525" s="296"/>
      <c r="GE525" s="98"/>
      <c r="GF525" s="467"/>
      <c r="GG525" s="52"/>
      <c r="GH525" s="296"/>
      <c r="GI525" s="98"/>
      <c r="GJ525" s="467"/>
      <c r="GK525" s="52"/>
      <c r="GL525" s="296"/>
      <c r="GM525" s="464"/>
      <c r="GN525" s="467"/>
      <c r="GO525" s="52"/>
      <c r="GP525" s="296"/>
      <c r="GQ525" s="464"/>
      <c r="GR525" s="467"/>
      <c r="GS525" s="52"/>
      <c r="GT525" s="296"/>
      <c r="GU525" s="464"/>
      <c r="GV525" s="467"/>
      <c r="GW525" s="52"/>
      <c r="GX525" s="296"/>
      <c r="GY525" s="464"/>
      <c r="GZ525" s="467"/>
      <c r="HA525" s="52"/>
      <c r="HB525" s="296"/>
      <c r="HC525" s="3"/>
    </row>
    <row r="526" spans="1:211" s="86" customFormat="1">
      <c r="A526" s="499" t="s">
        <v>32</v>
      </c>
      <c r="B526" s="311" t="s">
        <v>649</v>
      </c>
      <c r="C526" s="310">
        <v>221485</v>
      </c>
      <c r="D526" s="351">
        <v>8</v>
      </c>
      <c r="E526" s="460">
        <v>406</v>
      </c>
      <c r="F526" s="546"/>
      <c r="G526" s="460"/>
      <c r="H526" s="277"/>
      <c r="I526" s="158">
        <v>733</v>
      </c>
      <c r="J526" s="535">
        <v>809</v>
      </c>
      <c r="K526" s="160">
        <f t="shared" si="215"/>
        <v>0</v>
      </c>
      <c r="L526" s="161">
        <f t="shared" si="208"/>
        <v>0</v>
      </c>
      <c r="M526" s="54"/>
      <c r="N526" s="55"/>
      <c r="O526" s="55"/>
      <c r="P526" s="55"/>
      <c r="Q526" s="162">
        <f t="shared" si="216"/>
        <v>0</v>
      </c>
      <c r="R526" s="535"/>
      <c r="S526" s="277"/>
      <c r="T526" s="277"/>
      <c r="U526" s="277"/>
      <c r="V526" s="97">
        <f t="shared" si="217"/>
        <v>0</v>
      </c>
      <c r="W526" s="279"/>
      <c r="X526" s="52"/>
      <c r="Y526" s="99"/>
      <c r="Z526" s="53"/>
      <c r="AA526" s="228"/>
      <c r="AB526" s="52"/>
      <c r="AC526" s="99"/>
      <c r="AD526" s="53"/>
      <c r="AE526" s="228"/>
      <c r="AF526" s="52"/>
      <c r="AG526" s="99"/>
      <c r="AH526" s="53"/>
      <c r="AI526" s="228"/>
      <c r="AJ526" s="52"/>
      <c r="AK526" s="99"/>
      <c r="AL526" s="53"/>
      <c r="AM526" s="228"/>
      <c r="AN526" s="52"/>
      <c r="AO526" s="99"/>
      <c r="AP526" s="53"/>
      <c r="AQ526" s="50">
        <f t="shared" si="209"/>
        <v>0</v>
      </c>
      <c r="AR526" s="163">
        <f t="shared" si="210"/>
        <v>0</v>
      </c>
      <c r="AS526" s="97">
        <f t="shared" si="211"/>
        <v>0</v>
      </c>
      <c r="AT526" s="278">
        <f t="shared" si="212"/>
        <v>0</v>
      </c>
      <c r="AU526" s="55"/>
      <c r="AV526" s="277"/>
      <c r="AW526" s="279"/>
      <c r="AX526" s="536"/>
      <c r="AY526" s="98"/>
      <c r="AZ526" s="98"/>
      <c r="BA526" s="279"/>
      <c r="BB526" s="536"/>
      <c r="BC526" s="98"/>
      <c r="BD526" s="98"/>
      <c r="BE526" s="279"/>
      <c r="BF526" s="52"/>
      <c r="BG526" s="105"/>
      <c r="BH526" s="98"/>
      <c r="BI526" s="279"/>
      <c r="BJ526" s="52"/>
      <c r="BK526" s="105"/>
      <c r="BL526" s="98"/>
      <c r="BM526" s="279"/>
      <c r="BN526" s="52"/>
      <c r="BO526" s="105"/>
      <c r="BP526" s="98"/>
      <c r="BQ526" s="279"/>
      <c r="BR526" s="52"/>
      <c r="BS526" s="105"/>
      <c r="BT526" s="98"/>
      <c r="BU526" s="279"/>
      <c r="BV526" s="52"/>
      <c r="BW526" s="105"/>
      <c r="BX526" s="98"/>
      <c r="BY526" s="279"/>
      <c r="BZ526" s="52"/>
      <c r="CA526" s="105"/>
      <c r="CB526" s="98"/>
      <c r="CC526" s="279"/>
      <c r="CD526" s="52"/>
      <c r="CE526" s="105"/>
      <c r="CF526" s="98"/>
      <c r="CG526" s="279"/>
      <c r="CH526" s="52"/>
      <c r="CI526" s="105"/>
      <c r="CJ526" s="98"/>
      <c r="CK526" s="281"/>
      <c r="CL526" s="277"/>
      <c r="CM526" s="159"/>
      <c r="CN526" s="277"/>
      <c r="CO526" s="50">
        <f t="shared" si="218"/>
        <v>0</v>
      </c>
      <c r="CP526" s="103">
        <f t="shared" si="219"/>
        <v>0</v>
      </c>
      <c r="CQ526" s="280">
        <f t="shared" si="220"/>
        <v>0</v>
      </c>
      <c r="CR526" s="63">
        <f t="shared" si="221"/>
        <v>0</v>
      </c>
      <c r="CS526" s="279"/>
      <c r="CT526" s="536"/>
      <c r="CU526" s="98"/>
      <c r="CV526" s="98"/>
      <c r="CW526" s="279"/>
      <c r="CX526" s="536"/>
      <c r="CY526" s="98"/>
      <c r="CZ526" s="98"/>
      <c r="DA526" s="279"/>
      <c r="DB526" s="536"/>
      <c r="DC526" s="98"/>
      <c r="DD526" s="98"/>
      <c r="DE526" s="279"/>
      <c r="DF526" s="52"/>
      <c r="DG526" s="105"/>
      <c r="DH526" s="98"/>
      <c r="DI526" s="279"/>
      <c r="DJ526" s="52"/>
      <c r="DK526" s="105"/>
      <c r="DL526" s="98"/>
      <c r="DM526" s="279"/>
      <c r="DN526" s="52"/>
      <c r="DO526" s="105"/>
      <c r="DP526" s="98"/>
      <c r="DQ526" s="279"/>
      <c r="DR526" s="52"/>
      <c r="DS526" s="105"/>
      <c r="DT526" s="98"/>
      <c r="DU526" s="279"/>
      <c r="DV526" s="52"/>
      <c r="DW526" s="105"/>
      <c r="DX526" s="98"/>
      <c r="DY526" s="279"/>
      <c r="DZ526" s="52"/>
      <c r="EA526" s="105"/>
      <c r="EB526" s="98"/>
      <c r="EC526" s="279"/>
      <c r="ED526" s="52"/>
      <c r="EE526" s="105"/>
      <c r="EF526" s="98"/>
      <c r="EG526" s="159"/>
      <c r="EH526" s="277"/>
      <c r="EI526" s="50">
        <f t="shared" si="222"/>
        <v>0</v>
      </c>
      <c r="EJ526" s="103">
        <f t="shared" si="223"/>
        <v>0</v>
      </c>
      <c r="EK526" s="164">
        <f t="shared" si="224"/>
        <v>0</v>
      </c>
      <c r="EL526" s="280">
        <f t="shared" si="225"/>
        <v>0</v>
      </c>
      <c r="EM526" s="63">
        <f t="shared" si="226"/>
        <v>0</v>
      </c>
      <c r="EN526" s="359">
        <f t="shared" si="227"/>
        <v>0</v>
      </c>
      <c r="EO526" s="51">
        <f t="shared" si="228"/>
        <v>0</v>
      </c>
      <c r="EP526" s="361">
        <f t="shared" si="229"/>
        <v>0</v>
      </c>
      <c r="EQ526" s="281"/>
      <c r="ER526" s="277"/>
      <c r="ES526" s="281"/>
      <c r="ET526" s="277"/>
      <c r="EU526" s="281"/>
      <c r="EV526" s="277"/>
      <c r="EW526" s="281"/>
      <c r="EX526" s="277"/>
      <c r="EY526" s="281"/>
      <c r="EZ526" s="277"/>
      <c r="FA526" s="281"/>
      <c r="FB526" s="277"/>
      <c r="FC526" s="281"/>
      <c r="FD526" s="277"/>
      <c r="FE526" s="281"/>
      <c r="FF526" s="277"/>
      <c r="FG526" s="281"/>
      <c r="FH526" s="277"/>
      <c r="FI526" s="281"/>
      <c r="FJ526" s="277"/>
      <c r="FK526" s="50">
        <f t="shared" si="230"/>
        <v>0</v>
      </c>
      <c r="FL526" s="63">
        <f t="shared" si="231"/>
        <v>0</v>
      </c>
      <c r="FM526" s="50">
        <f t="shared" si="213"/>
        <v>1139</v>
      </c>
      <c r="FN526" s="360">
        <f t="shared" si="214"/>
        <v>809</v>
      </c>
      <c r="FO526" s="3"/>
      <c r="FP526" s="279"/>
      <c r="FQ526" s="52"/>
      <c r="FR526" s="296"/>
      <c r="FS526" s="98"/>
      <c r="FT526" s="467"/>
      <c r="FU526" s="52"/>
      <c r="FV526" s="296"/>
      <c r="FW526" s="98"/>
      <c r="FX526" s="467"/>
      <c r="FY526" s="52"/>
      <c r="FZ526" s="296"/>
      <c r="GA526" s="98"/>
      <c r="GB526" s="467"/>
      <c r="GC526" s="52"/>
      <c r="GD526" s="296"/>
      <c r="GE526" s="98"/>
      <c r="GF526" s="467"/>
      <c r="GG526" s="52"/>
      <c r="GH526" s="296"/>
      <c r="GI526" s="98"/>
      <c r="GJ526" s="467"/>
      <c r="GK526" s="52"/>
      <c r="GL526" s="296"/>
      <c r="GM526" s="464"/>
      <c r="GN526" s="467"/>
      <c r="GO526" s="52"/>
      <c r="GP526" s="296"/>
      <c r="GQ526" s="464"/>
      <c r="GR526" s="467"/>
      <c r="GS526" s="52"/>
      <c r="GT526" s="296"/>
      <c r="GU526" s="464"/>
      <c r="GV526" s="467"/>
      <c r="GW526" s="52"/>
      <c r="GX526" s="296"/>
      <c r="GY526" s="464"/>
      <c r="GZ526" s="467"/>
      <c r="HA526" s="52"/>
      <c r="HB526" s="296"/>
      <c r="HC526" s="3"/>
    </row>
    <row r="527" spans="1:211" s="86" customFormat="1">
      <c r="A527" s="499" t="s">
        <v>32</v>
      </c>
      <c r="B527" s="311" t="s">
        <v>650</v>
      </c>
      <c r="C527" s="310">
        <v>219879</v>
      </c>
      <c r="D527" s="351">
        <v>9</v>
      </c>
      <c r="E527" s="460">
        <v>45</v>
      </c>
      <c r="F527" s="546"/>
      <c r="G527" s="460"/>
      <c r="H527" s="277"/>
      <c r="I527" s="158">
        <v>277</v>
      </c>
      <c r="J527" s="535">
        <v>291</v>
      </c>
      <c r="K527" s="160">
        <f t="shared" si="215"/>
        <v>0</v>
      </c>
      <c r="L527" s="161">
        <f t="shared" si="208"/>
        <v>0</v>
      </c>
      <c r="M527" s="54"/>
      <c r="N527" s="55"/>
      <c r="O527" s="55"/>
      <c r="P527" s="55"/>
      <c r="Q527" s="162">
        <f t="shared" si="216"/>
        <v>0</v>
      </c>
      <c r="R527" s="535"/>
      <c r="S527" s="277"/>
      <c r="T527" s="277"/>
      <c r="U527" s="277"/>
      <c r="V527" s="97">
        <f t="shared" si="217"/>
        <v>0</v>
      </c>
      <c r="W527" s="279"/>
      <c r="X527" s="52"/>
      <c r="Y527" s="99"/>
      <c r="Z527" s="53"/>
      <c r="AA527" s="228"/>
      <c r="AB527" s="52"/>
      <c r="AC527" s="99"/>
      <c r="AD527" s="53"/>
      <c r="AE527" s="228"/>
      <c r="AF527" s="52"/>
      <c r="AG527" s="99"/>
      <c r="AH527" s="53"/>
      <c r="AI527" s="228"/>
      <c r="AJ527" s="52"/>
      <c r="AK527" s="99"/>
      <c r="AL527" s="53"/>
      <c r="AM527" s="228"/>
      <c r="AN527" s="52"/>
      <c r="AO527" s="99"/>
      <c r="AP527" s="53"/>
      <c r="AQ527" s="50">
        <f t="shared" si="209"/>
        <v>0</v>
      </c>
      <c r="AR527" s="163">
        <f t="shared" si="210"/>
        <v>0</v>
      </c>
      <c r="AS527" s="97">
        <f t="shared" si="211"/>
        <v>0</v>
      </c>
      <c r="AT527" s="278">
        <f t="shared" si="212"/>
        <v>0</v>
      </c>
      <c r="AU527" s="55"/>
      <c r="AV527" s="277"/>
      <c r="AW527" s="279"/>
      <c r="AX527" s="536"/>
      <c r="AY527" s="98"/>
      <c r="AZ527" s="98"/>
      <c r="BA527" s="279"/>
      <c r="BB527" s="536"/>
      <c r="BC527" s="98"/>
      <c r="BD527" s="98"/>
      <c r="BE527" s="279"/>
      <c r="BF527" s="52"/>
      <c r="BG527" s="105"/>
      <c r="BH527" s="98"/>
      <c r="BI527" s="279"/>
      <c r="BJ527" s="52"/>
      <c r="BK527" s="105"/>
      <c r="BL527" s="98"/>
      <c r="BM527" s="279"/>
      <c r="BN527" s="52"/>
      <c r="BO527" s="105"/>
      <c r="BP527" s="98"/>
      <c r="BQ527" s="279"/>
      <c r="BR527" s="52"/>
      <c r="BS527" s="105"/>
      <c r="BT527" s="98"/>
      <c r="BU527" s="279"/>
      <c r="BV527" s="52"/>
      <c r="BW527" s="105"/>
      <c r="BX527" s="98"/>
      <c r="BY527" s="279"/>
      <c r="BZ527" s="52"/>
      <c r="CA527" s="105"/>
      <c r="CB527" s="98"/>
      <c r="CC527" s="279"/>
      <c r="CD527" s="52"/>
      <c r="CE527" s="105"/>
      <c r="CF527" s="98"/>
      <c r="CG527" s="279"/>
      <c r="CH527" s="52"/>
      <c r="CI527" s="105"/>
      <c r="CJ527" s="98"/>
      <c r="CK527" s="281"/>
      <c r="CL527" s="277"/>
      <c r="CM527" s="159"/>
      <c r="CN527" s="277"/>
      <c r="CO527" s="50">
        <f t="shared" si="218"/>
        <v>0</v>
      </c>
      <c r="CP527" s="103">
        <f t="shared" si="219"/>
        <v>0</v>
      </c>
      <c r="CQ527" s="280">
        <f t="shared" si="220"/>
        <v>0</v>
      </c>
      <c r="CR527" s="63">
        <f t="shared" si="221"/>
        <v>0</v>
      </c>
      <c r="CS527" s="279"/>
      <c r="CT527" s="536"/>
      <c r="CU527" s="98"/>
      <c r="CV527" s="98"/>
      <c r="CW527" s="279"/>
      <c r="CX527" s="536"/>
      <c r="CY527" s="98"/>
      <c r="CZ527" s="98"/>
      <c r="DA527" s="279"/>
      <c r="DB527" s="52"/>
      <c r="DC527" s="105"/>
      <c r="DD527" s="98"/>
      <c r="DE527" s="279"/>
      <c r="DF527" s="52"/>
      <c r="DG527" s="105"/>
      <c r="DH527" s="98"/>
      <c r="DI527" s="279"/>
      <c r="DJ527" s="52"/>
      <c r="DK527" s="105"/>
      <c r="DL527" s="98"/>
      <c r="DM527" s="279"/>
      <c r="DN527" s="52"/>
      <c r="DO527" s="105"/>
      <c r="DP527" s="98"/>
      <c r="DQ527" s="279"/>
      <c r="DR527" s="52"/>
      <c r="DS527" s="105"/>
      <c r="DT527" s="98"/>
      <c r="DU527" s="279"/>
      <c r="DV527" s="52"/>
      <c r="DW527" s="105"/>
      <c r="DX527" s="98"/>
      <c r="DY527" s="279"/>
      <c r="DZ527" s="52"/>
      <c r="EA527" s="105"/>
      <c r="EB527" s="98"/>
      <c r="EC527" s="279"/>
      <c r="ED527" s="52"/>
      <c r="EE527" s="105"/>
      <c r="EF527" s="98"/>
      <c r="EG527" s="159"/>
      <c r="EH527" s="277"/>
      <c r="EI527" s="50">
        <f t="shared" si="222"/>
        <v>0</v>
      </c>
      <c r="EJ527" s="103">
        <f t="shared" si="223"/>
        <v>0</v>
      </c>
      <c r="EK527" s="164">
        <f t="shared" si="224"/>
        <v>0</v>
      </c>
      <c r="EL527" s="280">
        <f t="shared" si="225"/>
        <v>0</v>
      </c>
      <c r="EM527" s="63">
        <f t="shared" si="226"/>
        <v>0</v>
      </c>
      <c r="EN527" s="359">
        <f t="shared" si="227"/>
        <v>0</v>
      </c>
      <c r="EO527" s="51">
        <f t="shared" si="228"/>
        <v>0</v>
      </c>
      <c r="EP527" s="361">
        <f t="shared" si="229"/>
        <v>0</v>
      </c>
      <c r="EQ527" s="281"/>
      <c r="ER527" s="277"/>
      <c r="ES527" s="281"/>
      <c r="ET527" s="277"/>
      <c r="EU527" s="281"/>
      <c r="EV527" s="277"/>
      <c r="EW527" s="281"/>
      <c r="EX527" s="277"/>
      <c r="EY527" s="281"/>
      <c r="EZ527" s="277"/>
      <c r="FA527" s="281"/>
      <c r="FB527" s="277"/>
      <c r="FC527" s="281"/>
      <c r="FD527" s="277"/>
      <c r="FE527" s="281"/>
      <c r="FF527" s="277"/>
      <c r="FG527" s="281"/>
      <c r="FH527" s="277"/>
      <c r="FI527" s="281"/>
      <c r="FJ527" s="277"/>
      <c r="FK527" s="50">
        <f t="shared" si="230"/>
        <v>0</v>
      </c>
      <c r="FL527" s="63">
        <f t="shared" si="231"/>
        <v>0</v>
      </c>
      <c r="FM527" s="50">
        <f t="shared" si="213"/>
        <v>322</v>
      </c>
      <c r="FN527" s="360">
        <f t="shared" si="214"/>
        <v>291</v>
      </c>
      <c r="FO527" s="3"/>
      <c r="FP527" s="279"/>
      <c r="FQ527" s="52"/>
      <c r="FR527" s="296"/>
      <c r="FS527" s="98"/>
      <c r="FT527" s="467"/>
      <c r="FU527" s="52"/>
      <c r="FV527" s="296"/>
      <c r="FW527" s="98"/>
      <c r="FX527" s="467"/>
      <c r="FY527" s="52"/>
      <c r="FZ527" s="296"/>
      <c r="GA527" s="98"/>
      <c r="GB527" s="467"/>
      <c r="GC527" s="52"/>
      <c r="GD527" s="296"/>
      <c r="GE527" s="98"/>
      <c r="GF527" s="467"/>
      <c r="GG527" s="52"/>
      <c r="GH527" s="296"/>
      <c r="GI527" s="98"/>
      <c r="GJ527" s="467"/>
      <c r="GK527" s="52"/>
      <c r="GL527" s="296"/>
      <c r="GM527" s="464"/>
      <c r="GN527" s="467"/>
      <c r="GO527" s="52"/>
      <c r="GP527" s="296"/>
      <c r="GQ527" s="464"/>
      <c r="GR527" s="467"/>
      <c r="GS527" s="52"/>
      <c r="GT527" s="296"/>
      <c r="GU527" s="464"/>
      <c r="GV527" s="467"/>
      <c r="GW527" s="52"/>
      <c r="GX527" s="296"/>
      <c r="GY527" s="464"/>
      <c r="GZ527" s="467"/>
      <c r="HA527" s="52"/>
      <c r="HB527" s="296"/>
      <c r="HC527" s="3"/>
    </row>
    <row r="528" spans="1:211" s="86" customFormat="1">
      <c r="A528" s="499" t="s">
        <v>32</v>
      </c>
      <c r="B528" s="311" t="s">
        <v>651</v>
      </c>
      <c r="C528" s="310">
        <v>219888</v>
      </c>
      <c r="D528" s="351">
        <v>9</v>
      </c>
      <c r="E528" s="460">
        <v>31</v>
      </c>
      <c r="F528" s="312"/>
      <c r="G528" s="158"/>
      <c r="H528" s="277"/>
      <c r="I528" s="158">
        <v>472</v>
      </c>
      <c r="J528" s="277">
        <v>517</v>
      </c>
      <c r="K528" s="160">
        <f t="shared" si="215"/>
        <v>0</v>
      </c>
      <c r="L528" s="161">
        <f t="shared" si="208"/>
        <v>0</v>
      </c>
      <c r="M528" s="54"/>
      <c r="N528" s="55"/>
      <c r="O528" s="55"/>
      <c r="P528" s="55"/>
      <c r="Q528" s="162">
        <f t="shared" si="216"/>
        <v>0</v>
      </c>
      <c r="R528" s="277"/>
      <c r="S528" s="277"/>
      <c r="T528" s="277"/>
      <c r="U528" s="277"/>
      <c r="V528" s="97">
        <f t="shared" si="217"/>
        <v>0</v>
      </c>
      <c r="W528" s="279"/>
      <c r="X528" s="52"/>
      <c r="Y528" s="99"/>
      <c r="Z528" s="53"/>
      <c r="AA528" s="228"/>
      <c r="AB528" s="52"/>
      <c r="AC528" s="99"/>
      <c r="AD528" s="53"/>
      <c r="AE528" s="228"/>
      <c r="AF528" s="52"/>
      <c r="AG528" s="99"/>
      <c r="AH528" s="53"/>
      <c r="AI528" s="228"/>
      <c r="AJ528" s="52"/>
      <c r="AK528" s="99"/>
      <c r="AL528" s="53"/>
      <c r="AM528" s="228"/>
      <c r="AN528" s="52"/>
      <c r="AO528" s="99"/>
      <c r="AP528" s="53"/>
      <c r="AQ528" s="50">
        <f t="shared" si="209"/>
        <v>0</v>
      </c>
      <c r="AR528" s="163">
        <f t="shared" si="210"/>
        <v>0</v>
      </c>
      <c r="AS528" s="97">
        <f t="shared" si="211"/>
        <v>0</v>
      </c>
      <c r="AT528" s="278">
        <f t="shared" si="212"/>
        <v>0</v>
      </c>
      <c r="AU528" s="55"/>
      <c r="AV528" s="277"/>
      <c r="AW528" s="279"/>
      <c r="AX528" s="52"/>
      <c r="AY528" s="105"/>
      <c r="AZ528" s="98"/>
      <c r="BA528" s="279"/>
      <c r="BB528" s="52"/>
      <c r="BC528" s="105"/>
      <c r="BD528" s="98"/>
      <c r="BE528" s="279"/>
      <c r="BF528" s="52"/>
      <c r="BG528" s="105"/>
      <c r="BH528" s="98"/>
      <c r="BI528" s="279"/>
      <c r="BJ528" s="52"/>
      <c r="BK528" s="105"/>
      <c r="BL528" s="98"/>
      <c r="BM528" s="279"/>
      <c r="BN528" s="52"/>
      <c r="BO528" s="105"/>
      <c r="BP528" s="98"/>
      <c r="BQ528" s="279"/>
      <c r="BR528" s="52"/>
      <c r="BS528" s="105"/>
      <c r="BT528" s="98"/>
      <c r="BU528" s="279"/>
      <c r="BV528" s="52"/>
      <c r="BW528" s="105"/>
      <c r="BX528" s="98"/>
      <c r="BY528" s="279"/>
      <c r="BZ528" s="52"/>
      <c r="CA528" s="105"/>
      <c r="CB528" s="98"/>
      <c r="CC528" s="279"/>
      <c r="CD528" s="52"/>
      <c r="CE528" s="105"/>
      <c r="CF528" s="98"/>
      <c r="CG528" s="279"/>
      <c r="CH528" s="52"/>
      <c r="CI528" s="105"/>
      <c r="CJ528" s="98"/>
      <c r="CK528" s="281"/>
      <c r="CL528" s="277"/>
      <c r="CM528" s="159"/>
      <c r="CN528" s="277"/>
      <c r="CO528" s="50">
        <f t="shared" si="218"/>
        <v>0</v>
      </c>
      <c r="CP528" s="103">
        <f t="shared" si="219"/>
        <v>0</v>
      </c>
      <c r="CQ528" s="280">
        <f t="shared" si="220"/>
        <v>0</v>
      </c>
      <c r="CR528" s="63">
        <f t="shared" si="221"/>
        <v>0</v>
      </c>
      <c r="CS528" s="279"/>
      <c r="CT528" s="52"/>
      <c r="CU528" s="105"/>
      <c r="CV528" s="98"/>
      <c r="CW528" s="279"/>
      <c r="CX528" s="52"/>
      <c r="CY528" s="105"/>
      <c r="CZ528" s="98"/>
      <c r="DA528" s="279"/>
      <c r="DB528" s="52"/>
      <c r="DC528" s="105"/>
      <c r="DD528" s="98"/>
      <c r="DE528" s="279"/>
      <c r="DF528" s="52"/>
      <c r="DG528" s="105"/>
      <c r="DH528" s="98"/>
      <c r="DI528" s="279"/>
      <c r="DJ528" s="52"/>
      <c r="DK528" s="105"/>
      <c r="DL528" s="98"/>
      <c r="DM528" s="279"/>
      <c r="DN528" s="52"/>
      <c r="DO528" s="105"/>
      <c r="DP528" s="98"/>
      <c r="DQ528" s="279"/>
      <c r="DR528" s="52"/>
      <c r="DS528" s="105"/>
      <c r="DT528" s="98"/>
      <c r="DU528" s="279"/>
      <c r="DV528" s="52"/>
      <c r="DW528" s="105"/>
      <c r="DX528" s="98"/>
      <c r="DY528" s="279"/>
      <c r="DZ528" s="52"/>
      <c r="EA528" s="105"/>
      <c r="EB528" s="98"/>
      <c r="EC528" s="279"/>
      <c r="ED528" s="52"/>
      <c r="EE528" s="105"/>
      <c r="EF528" s="98"/>
      <c r="EG528" s="159"/>
      <c r="EH528" s="277"/>
      <c r="EI528" s="50">
        <f t="shared" si="222"/>
        <v>0</v>
      </c>
      <c r="EJ528" s="103">
        <f t="shared" si="223"/>
        <v>0</v>
      </c>
      <c r="EK528" s="164">
        <f t="shared" si="224"/>
        <v>0</v>
      </c>
      <c r="EL528" s="280">
        <f t="shared" si="225"/>
        <v>0</v>
      </c>
      <c r="EM528" s="63">
        <f t="shared" si="226"/>
        <v>0</v>
      </c>
      <c r="EN528" s="359">
        <f t="shared" si="227"/>
        <v>0</v>
      </c>
      <c r="EO528" s="51">
        <f t="shared" si="228"/>
        <v>0</v>
      </c>
      <c r="EP528" s="361">
        <f t="shared" si="229"/>
        <v>0</v>
      </c>
      <c r="EQ528" s="281"/>
      <c r="ER528" s="277"/>
      <c r="ES528" s="281"/>
      <c r="ET528" s="277"/>
      <c r="EU528" s="281"/>
      <c r="EV528" s="277"/>
      <c r="EW528" s="281"/>
      <c r="EX528" s="277"/>
      <c r="EY528" s="281"/>
      <c r="EZ528" s="277"/>
      <c r="FA528" s="281"/>
      <c r="FB528" s="277"/>
      <c r="FC528" s="281"/>
      <c r="FD528" s="277"/>
      <c r="FE528" s="281"/>
      <c r="FF528" s="277"/>
      <c r="FG528" s="281"/>
      <c r="FH528" s="277"/>
      <c r="FI528" s="281"/>
      <c r="FJ528" s="277"/>
      <c r="FK528" s="50">
        <f t="shared" si="230"/>
        <v>0</v>
      </c>
      <c r="FL528" s="63">
        <f t="shared" si="231"/>
        <v>0</v>
      </c>
      <c r="FM528" s="50">
        <f t="shared" si="213"/>
        <v>503</v>
      </c>
      <c r="FN528" s="360">
        <f t="shared" si="214"/>
        <v>517</v>
      </c>
      <c r="FO528" s="3"/>
      <c r="FP528" s="279"/>
      <c r="FQ528" s="52"/>
      <c r="FR528" s="296"/>
      <c r="FS528" s="98"/>
      <c r="FT528" s="467"/>
      <c r="FU528" s="52"/>
      <c r="FV528" s="296"/>
      <c r="FW528" s="98"/>
      <c r="FX528" s="467"/>
      <c r="FY528" s="52"/>
      <c r="FZ528" s="296"/>
      <c r="GA528" s="98"/>
      <c r="GB528" s="467"/>
      <c r="GC528" s="52"/>
      <c r="GD528" s="296"/>
      <c r="GE528" s="98"/>
      <c r="GF528" s="467"/>
      <c r="GG528" s="52"/>
      <c r="GH528" s="296"/>
      <c r="GI528" s="98"/>
      <c r="GJ528" s="467"/>
      <c r="GK528" s="52"/>
      <c r="GL528" s="296"/>
      <c r="GM528" s="464"/>
      <c r="GN528" s="467"/>
      <c r="GO528" s="52"/>
      <c r="GP528" s="296"/>
      <c r="GQ528" s="464"/>
      <c r="GR528" s="467"/>
      <c r="GS528" s="52"/>
      <c r="GT528" s="296"/>
      <c r="GU528" s="464"/>
      <c r="GV528" s="467"/>
      <c r="GW528" s="52"/>
      <c r="GX528" s="296"/>
      <c r="GY528" s="464"/>
      <c r="GZ528" s="467"/>
      <c r="HA528" s="52"/>
      <c r="HB528" s="296"/>
      <c r="HC528" s="3"/>
    </row>
    <row r="529" spans="1:211" s="86" customFormat="1">
      <c r="A529" s="499" t="s">
        <v>32</v>
      </c>
      <c r="B529" s="311" t="s">
        <v>652</v>
      </c>
      <c r="C529" s="310">
        <v>220400</v>
      </c>
      <c r="D529" s="351">
        <v>9</v>
      </c>
      <c r="E529" s="460">
        <v>25</v>
      </c>
      <c r="F529" s="312"/>
      <c r="G529" s="158"/>
      <c r="H529" s="277"/>
      <c r="I529" s="158">
        <v>470</v>
      </c>
      <c r="J529" s="277">
        <v>438</v>
      </c>
      <c r="K529" s="160">
        <f t="shared" si="215"/>
        <v>0</v>
      </c>
      <c r="L529" s="161">
        <f t="shared" si="208"/>
        <v>0</v>
      </c>
      <c r="M529" s="54"/>
      <c r="N529" s="55"/>
      <c r="O529" s="55"/>
      <c r="P529" s="55"/>
      <c r="Q529" s="162">
        <f t="shared" si="216"/>
        <v>0</v>
      </c>
      <c r="R529" s="277"/>
      <c r="S529" s="277"/>
      <c r="T529" s="277"/>
      <c r="U529" s="277"/>
      <c r="V529" s="97">
        <f t="shared" si="217"/>
        <v>0</v>
      </c>
      <c r="W529" s="279"/>
      <c r="X529" s="52"/>
      <c r="Y529" s="99"/>
      <c r="Z529" s="53"/>
      <c r="AA529" s="228"/>
      <c r="AB529" s="52"/>
      <c r="AC529" s="99"/>
      <c r="AD529" s="53"/>
      <c r="AE529" s="228"/>
      <c r="AF529" s="52"/>
      <c r="AG529" s="99"/>
      <c r="AH529" s="53"/>
      <c r="AI529" s="228"/>
      <c r="AJ529" s="52"/>
      <c r="AK529" s="99"/>
      <c r="AL529" s="53"/>
      <c r="AM529" s="228"/>
      <c r="AN529" s="52"/>
      <c r="AO529" s="99"/>
      <c r="AP529" s="53"/>
      <c r="AQ529" s="50">
        <f t="shared" si="209"/>
        <v>0</v>
      </c>
      <c r="AR529" s="163">
        <f t="shared" si="210"/>
        <v>0</v>
      </c>
      <c r="AS529" s="97">
        <f t="shared" si="211"/>
        <v>0</v>
      </c>
      <c r="AT529" s="278">
        <f t="shared" si="212"/>
        <v>0</v>
      </c>
      <c r="AU529" s="55"/>
      <c r="AV529" s="277"/>
      <c r="AW529" s="279"/>
      <c r="AX529" s="52"/>
      <c r="AY529" s="105"/>
      <c r="AZ529" s="98"/>
      <c r="BA529" s="279"/>
      <c r="BB529" s="52"/>
      <c r="BC529" s="105"/>
      <c r="BD529" s="98"/>
      <c r="BE529" s="279"/>
      <c r="BF529" s="52"/>
      <c r="BG529" s="105"/>
      <c r="BH529" s="98"/>
      <c r="BI529" s="279"/>
      <c r="BJ529" s="52"/>
      <c r="BK529" s="105"/>
      <c r="BL529" s="98"/>
      <c r="BM529" s="279"/>
      <c r="BN529" s="52"/>
      <c r="BO529" s="105"/>
      <c r="BP529" s="98"/>
      <c r="BQ529" s="279"/>
      <c r="BR529" s="52"/>
      <c r="BS529" s="105"/>
      <c r="BT529" s="98"/>
      <c r="BU529" s="279"/>
      <c r="BV529" s="52"/>
      <c r="BW529" s="105"/>
      <c r="BX529" s="98"/>
      <c r="BY529" s="279"/>
      <c r="BZ529" s="52"/>
      <c r="CA529" s="105"/>
      <c r="CB529" s="98"/>
      <c r="CC529" s="279"/>
      <c r="CD529" s="52"/>
      <c r="CE529" s="105"/>
      <c r="CF529" s="98"/>
      <c r="CG529" s="279"/>
      <c r="CH529" s="52"/>
      <c r="CI529" s="105"/>
      <c r="CJ529" s="98"/>
      <c r="CK529" s="281"/>
      <c r="CL529" s="277"/>
      <c r="CM529" s="159"/>
      <c r="CN529" s="277"/>
      <c r="CO529" s="50">
        <f t="shared" si="218"/>
        <v>0</v>
      </c>
      <c r="CP529" s="103">
        <f t="shared" si="219"/>
        <v>0</v>
      </c>
      <c r="CQ529" s="280">
        <f t="shared" si="220"/>
        <v>0</v>
      </c>
      <c r="CR529" s="63">
        <f t="shared" si="221"/>
        <v>0</v>
      </c>
      <c r="CS529" s="279"/>
      <c r="CT529" s="52"/>
      <c r="CU529" s="105"/>
      <c r="CV529" s="98"/>
      <c r="CW529" s="279"/>
      <c r="CX529" s="52"/>
      <c r="CY529" s="105"/>
      <c r="CZ529" s="98"/>
      <c r="DA529" s="279"/>
      <c r="DB529" s="52"/>
      <c r="DC529" s="105"/>
      <c r="DD529" s="98"/>
      <c r="DE529" s="279"/>
      <c r="DF529" s="52"/>
      <c r="DG529" s="105"/>
      <c r="DH529" s="98"/>
      <c r="DI529" s="279"/>
      <c r="DJ529" s="52"/>
      <c r="DK529" s="105"/>
      <c r="DL529" s="98"/>
      <c r="DM529" s="279"/>
      <c r="DN529" s="52"/>
      <c r="DO529" s="105"/>
      <c r="DP529" s="98"/>
      <c r="DQ529" s="279"/>
      <c r="DR529" s="52"/>
      <c r="DS529" s="105"/>
      <c r="DT529" s="98"/>
      <c r="DU529" s="279"/>
      <c r="DV529" s="52"/>
      <c r="DW529" s="105"/>
      <c r="DX529" s="98"/>
      <c r="DY529" s="279"/>
      <c r="DZ529" s="52"/>
      <c r="EA529" s="105"/>
      <c r="EB529" s="98"/>
      <c r="EC529" s="279"/>
      <c r="ED529" s="52"/>
      <c r="EE529" s="105"/>
      <c r="EF529" s="98"/>
      <c r="EG529" s="159"/>
      <c r="EH529" s="277"/>
      <c r="EI529" s="50">
        <f t="shared" si="222"/>
        <v>0</v>
      </c>
      <c r="EJ529" s="103">
        <f t="shared" si="223"/>
        <v>0</v>
      </c>
      <c r="EK529" s="164">
        <f t="shared" si="224"/>
        <v>0</v>
      </c>
      <c r="EL529" s="280">
        <f t="shared" si="225"/>
        <v>0</v>
      </c>
      <c r="EM529" s="63">
        <f t="shared" si="226"/>
        <v>0</v>
      </c>
      <c r="EN529" s="359">
        <f t="shared" si="227"/>
        <v>0</v>
      </c>
      <c r="EO529" s="51">
        <f t="shared" si="228"/>
        <v>0</v>
      </c>
      <c r="EP529" s="361">
        <f t="shared" si="229"/>
        <v>0</v>
      </c>
      <c r="EQ529" s="281"/>
      <c r="ER529" s="277"/>
      <c r="ES529" s="281"/>
      <c r="ET529" s="277"/>
      <c r="EU529" s="281"/>
      <c r="EV529" s="277"/>
      <c r="EW529" s="281"/>
      <c r="EX529" s="277"/>
      <c r="EY529" s="281"/>
      <c r="EZ529" s="277"/>
      <c r="FA529" s="281"/>
      <c r="FB529" s="277"/>
      <c r="FC529" s="281"/>
      <c r="FD529" s="277"/>
      <c r="FE529" s="281"/>
      <c r="FF529" s="277"/>
      <c r="FG529" s="281"/>
      <c r="FH529" s="277"/>
      <c r="FI529" s="281"/>
      <c r="FJ529" s="277"/>
      <c r="FK529" s="50">
        <f t="shared" si="230"/>
        <v>0</v>
      </c>
      <c r="FL529" s="63">
        <f t="shared" si="231"/>
        <v>0</v>
      </c>
      <c r="FM529" s="50">
        <f t="shared" si="213"/>
        <v>495</v>
      </c>
      <c r="FN529" s="360">
        <f t="shared" si="214"/>
        <v>438</v>
      </c>
      <c r="FO529" s="3"/>
      <c r="FP529" s="279"/>
      <c r="FQ529" s="52"/>
      <c r="FR529" s="296"/>
      <c r="FS529" s="98"/>
      <c r="FT529" s="467"/>
      <c r="FU529" s="52"/>
      <c r="FV529" s="296"/>
      <c r="FW529" s="98"/>
      <c r="FX529" s="467"/>
      <c r="FY529" s="52"/>
      <c r="FZ529" s="296"/>
      <c r="GA529" s="98"/>
      <c r="GB529" s="467"/>
      <c r="GC529" s="52"/>
      <c r="GD529" s="296"/>
      <c r="GE529" s="98"/>
      <c r="GF529" s="467"/>
      <c r="GG529" s="52"/>
      <c r="GH529" s="296"/>
      <c r="GI529" s="98"/>
      <c r="GJ529" s="467"/>
      <c r="GK529" s="52"/>
      <c r="GL529" s="296"/>
      <c r="GM529" s="464"/>
      <c r="GN529" s="467"/>
      <c r="GO529" s="52"/>
      <c r="GP529" s="296"/>
      <c r="GQ529" s="464"/>
      <c r="GR529" s="467"/>
      <c r="GS529" s="52"/>
      <c r="GT529" s="296"/>
      <c r="GU529" s="464"/>
      <c r="GV529" s="467"/>
      <c r="GW529" s="52"/>
      <c r="GX529" s="296"/>
      <c r="GY529" s="464"/>
      <c r="GZ529" s="467"/>
      <c r="HA529" s="52"/>
      <c r="HB529" s="296"/>
      <c r="HC529" s="3"/>
    </row>
    <row r="530" spans="1:211" s="86" customFormat="1">
      <c r="A530" s="499" t="s">
        <v>32</v>
      </c>
      <c r="B530" s="311" t="s">
        <v>653</v>
      </c>
      <c r="C530" s="310">
        <v>221096</v>
      </c>
      <c r="D530" s="351">
        <v>9</v>
      </c>
      <c r="E530" s="460"/>
      <c r="F530" s="277"/>
      <c r="G530" s="158"/>
      <c r="H530" s="277"/>
      <c r="I530" s="158">
        <v>404</v>
      </c>
      <c r="J530" s="277">
        <v>395</v>
      </c>
      <c r="K530" s="160">
        <f t="shared" si="215"/>
        <v>0</v>
      </c>
      <c r="L530" s="161">
        <f t="shared" si="208"/>
        <v>0</v>
      </c>
      <c r="M530" s="54"/>
      <c r="N530" s="55"/>
      <c r="O530" s="55"/>
      <c r="P530" s="55"/>
      <c r="Q530" s="162">
        <f t="shared" si="216"/>
        <v>0</v>
      </c>
      <c r="R530" s="277"/>
      <c r="S530" s="277"/>
      <c r="T530" s="277"/>
      <c r="U530" s="277"/>
      <c r="V530" s="97">
        <f t="shared" si="217"/>
        <v>0</v>
      </c>
      <c r="W530" s="279"/>
      <c r="X530" s="52"/>
      <c r="Y530" s="99"/>
      <c r="Z530" s="53"/>
      <c r="AA530" s="228"/>
      <c r="AB530" s="52"/>
      <c r="AC530" s="99"/>
      <c r="AD530" s="53"/>
      <c r="AE530" s="228"/>
      <c r="AF530" s="52"/>
      <c r="AG530" s="99"/>
      <c r="AH530" s="53"/>
      <c r="AI530" s="228"/>
      <c r="AJ530" s="52"/>
      <c r="AK530" s="99"/>
      <c r="AL530" s="53"/>
      <c r="AM530" s="228"/>
      <c r="AN530" s="52"/>
      <c r="AO530" s="99"/>
      <c r="AP530" s="53"/>
      <c r="AQ530" s="50">
        <f t="shared" si="209"/>
        <v>0</v>
      </c>
      <c r="AR530" s="163">
        <f t="shared" si="210"/>
        <v>0</v>
      </c>
      <c r="AS530" s="97">
        <f t="shared" si="211"/>
        <v>0</v>
      </c>
      <c r="AT530" s="278">
        <f t="shared" si="212"/>
        <v>0</v>
      </c>
      <c r="AU530" s="55"/>
      <c r="AV530" s="277"/>
      <c r="AW530" s="279"/>
      <c r="AX530" s="52"/>
      <c r="AY530" s="105"/>
      <c r="AZ530" s="98"/>
      <c r="BA530" s="279"/>
      <c r="BB530" s="52"/>
      <c r="BC530" s="105"/>
      <c r="BD530" s="98"/>
      <c r="BE530" s="279"/>
      <c r="BF530" s="52"/>
      <c r="BG530" s="105"/>
      <c r="BH530" s="98"/>
      <c r="BI530" s="279"/>
      <c r="BJ530" s="52"/>
      <c r="BK530" s="105"/>
      <c r="BL530" s="98"/>
      <c r="BM530" s="279"/>
      <c r="BN530" s="52"/>
      <c r="BO530" s="105"/>
      <c r="BP530" s="98"/>
      <c r="BQ530" s="279"/>
      <c r="BR530" s="52"/>
      <c r="BS530" s="105"/>
      <c r="BT530" s="98"/>
      <c r="BU530" s="279"/>
      <c r="BV530" s="52"/>
      <c r="BW530" s="105"/>
      <c r="BX530" s="98"/>
      <c r="BY530" s="279"/>
      <c r="BZ530" s="52"/>
      <c r="CA530" s="105"/>
      <c r="CB530" s="98"/>
      <c r="CC530" s="279"/>
      <c r="CD530" s="52"/>
      <c r="CE530" s="105"/>
      <c r="CF530" s="98"/>
      <c r="CG530" s="279"/>
      <c r="CH530" s="52"/>
      <c r="CI530" s="105"/>
      <c r="CJ530" s="98"/>
      <c r="CK530" s="281"/>
      <c r="CL530" s="277"/>
      <c r="CM530" s="159"/>
      <c r="CN530" s="277"/>
      <c r="CO530" s="50">
        <f t="shared" si="218"/>
        <v>0</v>
      </c>
      <c r="CP530" s="103">
        <f t="shared" si="219"/>
        <v>0</v>
      </c>
      <c r="CQ530" s="280">
        <f t="shared" si="220"/>
        <v>0</v>
      </c>
      <c r="CR530" s="63">
        <f t="shared" si="221"/>
        <v>0</v>
      </c>
      <c r="CS530" s="279"/>
      <c r="CT530" s="52"/>
      <c r="CU530" s="105"/>
      <c r="CV530" s="98"/>
      <c r="CW530" s="279"/>
      <c r="CX530" s="52"/>
      <c r="CY530" s="105"/>
      <c r="CZ530" s="98"/>
      <c r="DA530" s="279"/>
      <c r="DB530" s="52"/>
      <c r="DC530" s="105"/>
      <c r="DD530" s="98"/>
      <c r="DE530" s="279"/>
      <c r="DF530" s="52"/>
      <c r="DG530" s="105"/>
      <c r="DH530" s="98"/>
      <c r="DI530" s="279"/>
      <c r="DJ530" s="52"/>
      <c r="DK530" s="105"/>
      <c r="DL530" s="98"/>
      <c r="DM530" s="279"/>
      <c r="DN530" s="52"/>
      <c r="DO530" s="105"/>
      <c r="DP530" s="98"/>
      <c r="DQ530" s="279"/>
      <c r="DR530" s="52"/>
      <c r="DS530" s="105"/>
      <c r="DT530" s="98"/>
      <c r="DU530" s="279"/>
      <c r="DV530" s="52"/>
      <c r="DW530" s="105"/>
      <c r="DX530" s="98"/>
      <c r="DY530" s="279"/>
      <c r="DZ530" s="52"/>
      <c r="EA530" s="105"/>
      <c r="EB530" s="98"/>
      <c r="EC530" s="279"/>
      <c r="ED530" s="52"/>
      <c r="EE530" s="105"/>
      <c r="EF530" s="98"/>
      <c r="EG530" s="159"/>
      <c r="EH530" s="277"/>
      <c r="EI530" s="50">
        <f t="shared" si="222"/>
        <v>0</v>
      </c>
      <c r="EJ530" s="103">
        <f t="shared" si="223"/>
        <v>0</v>
      </c>
      <c r="EK530" s="164">
        <f t="shared" si="224"/>
        <v>0</v>
      </c>
      <c r="EL530" s="280">
        <f t="shared" si="225"/>
        <v>0</v>
      </c>
      <c r="EM530" s="63">
        <f t="shared" si="226"/>
        <v>0</v>
      </c>
      <c r="EN530" s="359">
        <f t="shared" si="227"/>
        <v>0</v>
      </c>
      <c r="EO530" s="51">
        <f t="shared" si="228"/>
        <v>0</v>
      </c>
      <c r="EP530" s="361">
        <f t="shared" si="229"/>
        <v>0</v>
      </c>
      <c r="EQ530" s="281"/>
      <c r="ER530" s="277"/>
      <c r="ES530" s="281"/>
      <c r="ET530" s="277"/>
      <c r="EU530" s="281"/>
      <c r="EV530" s="277"/>
      <c r="EW530" s="281"/>
      <c r="EX530" s="277"/>
      <c r="EY530" s="281"/>
      <c r="EZ530" s="277"/>
      <c r="FA530" s="281"/>
      <c r="FB530" s="277"/>
      <c r="FC530" s="281"/>
      <c r="FD530" s="277"/>
      <c r="FE530" s="281"/>
      <c r="FF530" s="277"/>
      <c r="FG530" s="281"/>
      <c r="FH530" s="277"/>
      <c r="FI530" s="281"/>
      <c r="FJ530" s="277"/>
      <c r="FK530" s="50">
        <f t="shared" si="230"/>
        <v>0</v>
      </c>
      <c r="FL530" s="63">
        <f t="shared" si="231"/>
        <v>0</v>
      </c>
      <c r="FM530" s="50">
        <f t="shared" si="213"/>
        <v>404</v>
      </c>
      <c r="FN530" s="360">
        <f t="shared" si="214"/>
        <v>395</v>
      </c>
      <c r="FO530" s="3"/>
      <c r="FP530" s="279"/>
      <c r="FQ530" s="52"/>
      <c r="FR530" s="296"/>
      <c r="FS530" s="98"/>
      <c r="FT530" s="467"/>
      <c r="FU530" s="52"/>
      <c r="FV530" s="296"/>
      <c r="FW530" s="98"/>
      <c r="FX530" s="467"/>
      <c r="FY530" s="52"/>
      <c r="FZ530" s="296"/>
      <c r="GA530" s="98"/>
      <c r="GB530" s="467"/>
      <c r="GC530" s="52"/>
      <c r="GD530" s="296"/>
      <c r="GE530" s="98"/>
      <c r="GF530" s="467"/>
      <c r="GG530" s="52"/>
      <c r="GH530" s="296"/>
      <c r="GI530" s="98"/>
      <c r="GJ530" s="467"/>
      <c r="GK530" s="52"/>
      <c r="GL530" s="296"/>
      <c r="GM530" s="464"/>
      <c r="GN530" s="467"/>
      <c r="GO530" s="52"/>
      <c r="GP530" s="296"/>
      <c r="GQ530" s="464"/>
      <c r="GR530" s="467"/>
      <c r="GS530" s="52"/>
      <c r="GT530" s="296"/>
      <c r="GU530" s="464"/>
      <c r="GV530" s="467"/>
      <c r="GW530" s="52"/>
      <c r="GX530" s="296"/>
      <c r="GY530" s="464"/>
      <c r="GZ530" s="467"/>
      <c r="HA530" s="52"/>
      <c r="HB530" s="296"/>
      <c r="HC530" s="3"/>
    </row>
    <row r="531" spans="1:211" s="86" customFormat="1">
      <c r="A531" s="499" t="s">
        <v>32</v>
      </c>
      <c r="B531" s="311" t="s">
        <v>654</v>
      </c>
      <c r="C531" s="310">
        <v>221184</v>
      </c>
      <c r="D531" s="351">
        <v>9</v>
      </c>
      <c r="E531" s="460">
        <v>123</v>
      </c>
      <c r="F531" s="312"/>
      <c r="G531" s="158"/>
      <c r="H531" s="277"/>
      <c r="I531" s="158">
        <v>501</v>
      </c>
      <c r="J531" s="277">
        <v>501</v>
      </c>
      <c r="K531" s="160">
        <f t="shared" si="215"/>
        <v>0</v>
      </c>
      <c r="L531" s="161">
        <f t="shared" si="208"/>
        <v>0</v>
      </c>
      <c r="M531" s="54"/>
      <c r="N531" s="55"/>
      <c r="O531" s="55"/>
      <c r="P531" s="55"/>
      <c r="Q531" s="162">
        <f t="shared" si="216"/>
        <v>0</v>
      </c>
      <c r="R531" s="277"/>
      <c r="S531" s="277"/>
      <c r="T531" s="277"/>
      <c r="U531" s="277"/>
      <c r="V531" s="97">
        <f t="shared" si="217"/>
        <v>0</v>
      </c>
      <c r="W531" s="279"/>
      <c r="X531" s="52"/>
      <c r="Y531" s="99"/>
      <c r="Z531" s="53"/>
      <c r="AA531" s="228"/>
      <c r="AB531" s="52"/>
      <c r="AC531" s="99"/>
      <c r="AD531" s="53"/>
      <c r="AE531" s="228"/>
      <c r="AF531" s="52"/>
      <c r="AG531" s="99"/>
      <c r="AH531" s="53"/>
      <c r="AI531" s="228"/>
      <c r="AJ531" s="52"/>
      <c r="AK531" s="99"/>
      <c r="AL531" s="53"/>
      <c r="AM531" s="228"/>
      <c r="AN531" s="52"/>
      <c r="AO531" s="99"/>
      <c r="AP531" s="53"/>
      <c r="AQ531" s="50">
        <f t="shared" si="209"/>
        <v>0</v>
      </c>
      <c r="AR531" s="163">
        <f t="shared" si="210"/>
        <v>0</v>
      </c>
      <c r="AS531" s="97">
        <f t="shared" si="211"/>
        <v>0</v>
      </c>
      <c r="AT531" s="278">
        <f t="shared" si="212"/>
        <v>0</v>
      </c>
      <c r="AU531" s="55"/>
      <c r="AV531" s="277"/>
      <c r="AW531" s="279"/>
      <c r="AX531" s="52"/>
      <c r="AY531" s="105"/>
      <c r="AZ531" s="98"/>
      <c r="BA531" s="279"/>
      <c r="BB531" s="52"/>
      <c r="BC531" s="105"/>
      <c r="BD531" s="98"/>
      <c r="BE531" s="279"/>
      <c r="BF531" s="52"/>
      <c r="BG531" s="105"/>
      <c r="BH531" s="98"/>
      <c r="BI531" s="279"/>
      <c r="BJ531" s="52"/>
      <c r="BK531" s="105"/>
      <c r="BL531" s="98"/>
      <c r="BM531" s="279"/>
      <c r="BN531" s="52"/>
      <c r="BO531" s="105"/>
      <c r="BP531" s="98"/>
      <c r="BQ531" s="279"/>
      <c r="BR531" s="52"/>
      <c r="BS531" s="105"/>
      <c r="BT531" s="98"/>
      <c r="BU531" s="279"/>
      <c r="BV531" s="52"/>
      <c r="BW531" s="105"/>
      <c r="BX531" s="98"/>
      <c r="BY531" s="279"/>
      <c r="BZ531" s="52"/>
      <c r="CA531" s="105"/>
      <c r="CB531" s="98"/>
      <c r="CC531" s="279"/>
      <c r="CD531" s="52"/>
      <c r="CE531" s="105"/>
      <c r="CF531" s="98"/>
      <c r="CG531" s="279"/>
      <c r="CH531" s="52"/>
      <c r="CI531" s="105"/>
      <c r="CJ531" s="98"/>
      <c r="CK531" s="281"/>
      <c r="CL531" s="277"/>
      <c r="CM531" s="159"/>
      <c r="CN531" s="277"/>
      <c r="CO531" s="50">
        <f t="shared" si="218"/>
        <v>0</v>
      </c>
      <c r="CP531" s="103">
        <f t="shared" si="219"/>
        <v>0</v>
      </c>
      <c r="CQ531" s="280">
        <f t="shared" si="220"/>
        <v>0</v>
      </c>
      <c r="CR531" s="63">
        <f t="shared" si="221"/>
        <v>0</v>
      </c>
      <c r="CS531" s="279"/>
      <c r="CT531" s="52"/>
      <c r="CU531" s="105"/>
      <c r="CV531" s="98"/>
      <c r="CW531" s="279"/>
      <c r="CX531" s="52"/>
      <c r="CY531" s="105"/>
      <c r="CZ531" s="98"/>
      <c r="DA531" s="279"/>
      <c r="DB531" s="52"/>
      <c r="DC531" s="105"/>
      <c r="DD531" s="98"/>
      <c r="DE531" s="279"/>
      <c r="DF531" s="52"/>
      <c r="DG531" s="105"/>
      <c r="DH531" s="98"/>
      <c r="DI531" s="279"/>
      <c r="DJ531" s="52"/>
      <c r="DK531" s="105"/>
      <c r="DL531" s="98"/>
      <c r="DM531" s="279"/>
      <c r="DN531" s="52"/>
      <c r="DO531" s="105"/>
      <c r="DP531" s="98"/>
      <c r="DQ531" s="279"/>
      <c r="DR531" s="52"/>
      <c r="DS531" s="105"/>
      <c r="DT531" s="98"/>
      <c r="DU531" s="279"/>
      <c r="DV531" s="52"/>
      <c r="DW531" s="105"/>
      <c r="DX531" s="98"/>
      <c r="DY531" s="279"/>
      <c r="DZ531" s="52"/>
      <c r="EA531" s="105"/>
      <c r="EB531" s="98"/>
      <c r="EC531" s="279"/>
      <c r="ED531" s="52"/>
      <c r="EE531" s="105"/>
      <c r="EF531" s="98"/>
      <c r="EG531" s="159"/>
      <c r="EH531" s="277"/>
      <c r="EI531" s="50">
        <f t="shared" si="222"/>
        <v>0</v>
      </c>
      <c r="EJ531" s="103">
        <f t="shared" si="223"/>
        <v>0</v>
      </c>
      <c r="EK531" s="164">
        <f t="shared" si="224"/>
        <v>0</v>
      </c>
      <c r="EL531" s="280">
        <f t="shared" si="225"/>
        <v>0</v>
      </c>
      <c r="EM531" s="63">
        <f t="shared" si="226"/>
        <v>0</v>
      </c>
      <c r="EN531" s="359">
        <f t="shared" si="227"/>
        <v>0</v>
      </c>
      <c r="EO531" s="51">
        <f t="shared" si="228"/>
        <v>0</v>
      </c>
      <c r="EP531" s="361">
        <f t="shared" si="229"/>
        <v>0</v>
      </c>
      <c r="EQ531" s="281"/>
      <c r="ER531" s="277"/>
      <c r="ES531" s="281"/>
      <c r="ET531" s="277"/>
      <c r="EU531" s="281"/>
      <c r="EV531" s="277"/>
      <c r="EW531" s="281"/>
      <c r="EX531" s="277"/>
      <c r="EY531" s="281"/>
      <c r="EZ531" s="277"/>
      <c r="FA531" s="281"/>
      <c r="FB531" s="277"/>
      <c r="FC531" s="281"/>
      <c r="FD531" s="277"/>
      <c r="FE531" s="281"/>
      <c r="FF531" s="277"/>
      <c r="FG531" s="281"/>
      <c r="FH531" s="277"/>
      <c r="FI531" s="281"/>
      <c r="FJ531" s="277"/>
      <c r="FK531" s="50">
        <f t="shared" si="230"/>
        <v>0</v>
      </c>
      <c r="FL531" s="63">
        <f t="shared" si="231"/>
        <v>0</v>
      </c>
      <c r="FM531" s="50">
        <f t="shared" si="213"/>
        <v>624</v>
      </c>
      <c r="FN531" s="360">
        <f t="shared" si="214"/>
        <v>501</v>
      </c>
      <c r="FO531" s="3"/>
      <c r="FP531" s="279"/>
      <c r="FQ531" s="52"/>
      <c r="FR531" s="296"/>
      <c r="FS531" s="98"/>
      <c r="FT531" s="467"/>
      <c r="FU531" s="52"/>
      <c r="FV531" s="296"/>
      <c r="FW531" s="98"/>
      <c r="FX531" s="467"/>
      <c r="FY531" s="52"/>
      <c r="FZ531" s="296"/>
      <c r="GA531" s="98"/>
      <c r="GB531" s="467"/>
      <c r="GC531" s="52"/>
      <c r="GD531" s="296"/>
      <c r="GE531" s="98"/>
      <c r="GF531" s="467"/>
      <c r="GG531" s="52"/>
      <c r="GH531" s="296"/>
      <c r="GI531" s="98"/>
      <c r="GJ531" s="467"/>
      <c r="GK531" s="52"/>
      <c r="GL531" s="296"/>
      <c r="GM531" s="464"/>
      <c r="GN531" s="467"/>
      <c r="GO531" s="52"/>
      <c r="GP531" s="296"/>
      <c r="GQ531" s="464"/>
      <c r="GR531" s="467"/>
      <c r="GS531" s="52"/>
      <c r="GT531" s="296"/>
      <c r="GU531" s="464"/>
      <c r="GV531" s="467"/>
      <c r="GW531" s="52"/>
      <c r="GX531" s="296"/>
      <c r="GY531" s="464"/>
      <c r="GZ531" s="467"/>
      <c r="HA531" s="52"/>
      <c r="HB531" s="296"/>
      <c r="HC531" s="3"/>
    </row>
    <row r="532" spans="1:211" s="86" customFormat="1">
      <c r="A532" s="499" t="s">
        <v>32</v>
      </c>
      <c r="B532" s="311" t="s">
        <v>655</v>
      </c>
      <c r="C532" s="310">
        <v>221908</v>
      </c>
      <c r="D532" s="351">
        <v>9</v>
      </c>
      <c r="E532" s="460">
        <v>136</v>
      </c>
      <c r="F532" s="312"/>
      <c r="G532" s="158"/>
      <c r="H532" s="277"/>
      <c r="I532" s="158">
        <v>536</v>
      </c>
      <c r="J532" s="277">
        <v>492</v>
      </c>
      <c r="K532" s="160">
        <f t="shared" si="215"/>
        <v>0</v>
      </c>
      <c r="L532" s="161">
        <f t="shared" si="208"/>
        <v>0</v>
      </c>
      <c r="M532" s="54"/>
      <c r="N532" s="55"/>
      <c r="O532" s="55"/>
      <c r="P532" s="55"/>
      <c r="Q532" s="162">
        <f t="shared" si="216"/>
        <v>0</v>
      </c>
      <c r="R532" s="277"/>
      <c r="S532" s="277"/>
      <c r="T532" s="277"/>
      <c r="U532" s="277"/>
      <c r="V532" s="97">
        <f t="shared" si="217"/>
        <v>0</v>
      </c>
      <c r="W532" s="279"/>
      <c r="X532" s="52"/>
      <c r="Y532" s="99"/>
      <c r="Z532" s="53"/>
      <c r="AA532" s="228"/>
      <c r="AB532" s="52"/>
      <c r="AC532" s="99"/>
      <c r="AD532" s="53"/>
      <c r="AE532" s="228"/>
      <c r="AF532" s="52"/>
      <c r="AG532" s="99"/>
      <c r="AH532" s="53"/>
      <c r="AI532" s="228"/>
      <c r="AJ532" s="52"/>
      <c r="AK532" s="99"/>
      <c r="AL532" s="53"/>
      <c r="AM532" s="228"/>
      <c r="AN532" s="52"/>
      <c r="AO532" s="99"/>
      <c r="AP532" s="53"/>
      <c r="AQ532" s="50">
        <f t="shared" si="209"/>
        <v>0</v>
      </c>
      <c r="AR532" s="163">
        <f t="shared" si="210"/>
        <v>0</v>
      </c>
      <c r="AS532" s="97">
        <f t="shared" si="211"/>
        <v>0</v>
      </c>
      <c r="AT532" s="278">
        <f t="shared" si="212"/>
        <v>0</v>
      </c>
      <c r="AU532" s="55"/>
      <c r="AV532" s="277"/>
      <c r="AW532" s="279"/>
      <c r="AX532" s="52"/>
      <c r="AY532" s="105"/>
      <c r="AZ532" s="98"/>
      <c r="BA532" s="279"/>
      <c r="BB532" s="52"/>
      <c r="BC532" s="105"/>
      <c r="BD532" s="98"/>
      <c r="BE532" s="279"/>
      <c r="BF532" s="52"/>
      <c r="BG532" s="105"/>
      <c r="BH532" s="98"/>
      <c r="BI532" s="279"/>
      <c r="BJ532" s="52"/>
      <c r="BK532" s="105"/>
      <c r="BL532" s="98"/>
      <c r="BM532" s="279"/>
      <c r="BN532" s="52"/>
      <c r="BO532" s="105"/>
      <c r="BP532" s="98"/>
      <c r="BQ532" s="279"/>
      <c r="BR532" s="52"/>
      <c r="BS532" s="105"/>
      <c r="BT532" s="98"/>
      <c r="BU532" s="279"/>
      <c r="BV532" s="52"/>
      <c r="BW532" s="105"/>
      <c r="BX532" s="98"/>
      <c r="BY532" s="279"/>
      <c r="BZ532" s="52"/>
      <c r="CA532" s="105"/>
      <c r="CB532" s="98"/>
      <c r="CC532" s="279"/>
      <c r="CD532" s="52"/>
      <c r="CE532" s="105"/>
      <c r="CF532" s="98"/>
      <c r="CG532" s="279"/>
      <c r="CH532" s="52"/>
      <c r="CI532" s="105"/>
      <c r="CJ532" s="98"/>
      <c r="CK532" s="281"/>
      <c r="CL532" s="277"/>
      <c r="CM532" s="159"/>
      <c r="CN532" s="277"/>
      <c r="CO532" s="50">
        <f t="shared" si="218"/>
        <v>0</v>
      </c>
      <c r="CP532" s="103">
        <f t="shared" si="219"/>
        <v>0</v>
      </c>
      <c r="CQ532" s="280">
        <f t="shared" si="220"/>
        <v>0</v>
      </c>
      <c r="CR532" s="63">
        <f t="shared" si="221"/>
        <v>0</v>
      </c>
      <c r="CS532" s="279"/>
      <c r="CT532" s="52"/>
      <c r="CU532" s="105"/>
      <c r="CV532" s="98"/>
      <c r="CW532" s="279"/>
      <c r="CX532" s="52"/>
      <c r="CY532" s="105"/>
      <c r="CZ532" s="98"/>
      <c r="DA532" s="279"/>
      <c r="DB532" s="52"/>
      <c r="DC532" s="105"/>
      <c r="DD532" s="98"/>
      <c r="DE532" s="279"/>
      <c r="DF532" s="52"/>
      <c r="DG532" s="105"/>
      <c r="DH532" s="98"/>
      <c r="DI532" s="279"/>
      <c r="DJ532" s="52"/>
      <c r="DK532" s="105"/>
      <c r="DL532" s="98"/>
      <c r="DM532" s="279"/>
      <c r="DN532" s="52"/>
      <c r="DO532" s="105"/>
      <c r="DP532" s="98"/>
      <c r="DQ532" s="279"/>
      <c r="DR532" s="52"/>
      <c r="DS532" s="105"/>
      <c r="DT532" s="98"/>
      <c r="DU532" s="279"/>
      <c r="DV532" s="52"/>
      <c r="DW532" s="105"/>
      <c r="DX532" s="98"/>
      <c r="DY532" s="279"/>
      <c r="DZ532" s="52"/>
      <c r="EA532" s="105"/>
      <c r="EB532" s="98"/>
      <c r="EC532" s="279"/>
      <c r="ED532" s="52"/>
      <c r="EE532" s="105"/>
      <c r="EF532" s="98"/>
      <c r="EG532" s="159"/>
      <c r="EH532" s="277"/>
      <c r="EI532" s="50">
        <f t="shared" si="222"/>
        <v>0</v>
      </c>
      <c r="EJ532" s="103">
        <f t="shared" si="223"/>
        <v>0</v>
      </c>
      <c r="EK532" s="164">
        <f t="shared" si="224"/>
        <v>0</v>
      </c>
      <c r="EL532" s="280">
        <f t="shared" si="225"/>
        <v>0</v>
      </c>
      <c r="EM532" s="63">
        <f t="shared" si="226"/>
        <v>0</v>
      </c>
      <c r="EN532" s="359">
        <f t="shared" si="227"/>
        <v>0</v>
      </c>
      <c r="EO532" s="51">
        <f t="shared" si="228"/>
        <v>0</v>
      </c>
      <c r="EP532" s="361">
        <f t="shared" si="229"/>
        <v>0</v>
      </c>
      <c r="EQ532" s="281"/>
      <c r="ER532" s="277"/>
      <c r="ES532" s="281"/>
      <c r="ET532" s="277"/>
      <c r="EU532" s="281"/>
      <c r="EV532" s="277"/>
      <c r="EW532" s="281"/>
      <c r="EX532" s="277"/>
      <c r="EY532" s="281"/>
      <c r="EZ532" s="277"/>
      <c r="FA532" s="281"/>
      <c r="FB532" s="277"/>
      <c r="FC532" s="281"/>
      <c r="FD532" s="277"/>
      <c r="FE532" s="281"/>
      <c r="FF532" s="277"/>
      <c r="FG532" s="281"/>
      <c r="FH532" s="277"/>
      <c r="FI532" s="281"/>
      <c r="FJ532" s="277"/>
      <c r="FK532" s="50">
        <f t="shared" si="230"/>
        <v>0</v>
      </c>
      <c r="FL532" s="63">
        <f t="shared" si="231"/>
        <v>0</v>
      </c>
      <c r="FM532" s="50">
        <f t="shared" si="213"/>
        <v>672</v>
      </c>
      <c r="FN532" s="360">
        <f t="shared" si="214"/>
        <v>492</v>
      </c>
      <c r="FO532" s="3"/>
      <c r="FP532" s="279"/>
      <c r="FQ532" s="52"/>
      <c r="FR532" s="296"/>
      <c r="FS532" s="98"/>
      <c r="FT532" s="467"/>
      <c r="FU532" s="52"/>
      <c r="FV532" s="296"/>
      <c r="FW532" s="98"/>
      <c r="FX532" s="467"/>
      <c r="FY532" s="52"/>
      <c r="FZ532" s="296"/>
      <c r="GA532" s="98"/>
      <c r="GB532" s="467"/>
      <c r="GC532" s="52"/>
      <c r="GD532" s="296"/>
      <c r="GE532" s="98"/>
      <c r="GF532" s="467"/>
      <c r="GG532" s="52"/>
      <c r="GH532" s="296"/>
      <c r="GI532" s="98"/>
      <c r="GJ532" s="467"/>
      <c r="GK532" s="52"/>
      <c r="GL532" s="296"/>
      <c r="GM532" s="464"/>
      <c r="GN532" s="467"/>
      <c r="GO532" s="52"/>
      <c r="GP532" s="296"/>
      <c r="GQ532" s="464"/>
      <c r="GR532" s="467"/>
      <c r="GS532" s="52"/>
      <c r="GT532" s="296"/>
      <c r="GU532" s="464"/>
      <c r="GV532" s="467"/>
      <c r="GW532" s="52"/>
      <c r="GX532" s="296"/>
      <c r="GY532" s="464"/>
      <c r="GZ532" s="467"/>
      <c r="HA532" s="52"/>
      <c r="HB532" s="296"/>
      <c r="HC532" s="3"/>
    </row>
    <row r="533" spans="1:211" s="86" customFormat="1">
      <c r="A533" s="499" t="s">
        <v>32</v>
      </c>
      <c r="B533" s="311" t="s">
        <v>656</v>
      </c>
      <c r="C533" s="310">
        <v>221397</v>
      </c>
      <c r="D533" s="351">
        <v>9</v>
      </c>
      <c r="E533" s="460">
        <v>86</v>
      </c>
      <c r="F533" s="312"/>
      <c r="G533" s="158"/>
      <c r="H533" s="277"/>
      <c r="I533" s="158">
        <v>620</v>
      </c>
      <c r="J533" s="277">
        <v>659</v>
      </c>
      <c r="K533" s="160">
        <f t="shared" si="215"/>
        <v>0</v>
      </c>
      <c r="L533" s="161">
        <f t="shared" si="208"/>
        <v>0</v>
      </c>
      <c r="M533" s="54"/>
      <c r="N533" s="55"/>
      <c r="O533" s="55"/>
      <c r="P533" s="55"/>
      <c r="Q533" s="162">
        <f t="shared" si="216"/>
        <v>0</v>
      </c>
      <c r="R533" s="277"/>
      <c r="S533" s="277"/>
      <c r="T533" s="277"/>
      <c r="U533" s="277"/>
      <c r="V533" s="97">
        <f t="shared" si="217"/>
        <v>0</v>
      </c>
      <c r="W533" s="279"/>
      <c r="X533" s="52"/>
      <c r="Y533" s="99"/>
      <c r="Z533" s="53"/>
      <c r="AA533" s="228"/>
      <c r="AB533" s="52"/>
      <c r="AC533" s="99"/>
      <c r="AD533" s="53"/>
      <c r="AE533" s="228"/>
      <c r="AF533" s="52"/>
      <c r="AG533" s="99"/>
      <c r="AH533" s="53"/>
      <c r="AI533" s="228"/>
      <c r="AJ533" s="52"/>
      <c r="AK533" s="99"/>
      <c r="AL533" s="53"/>
      <c r="AM533" s="228"/>
      <c r="AN533" s="52"/>
      <c r="AO533" s="99"/>
      <c r="AP533" s="53"/>
      <c r="AQ533" s="50">
        <f t="shared" si="209"/>
        <v>0</v>
      </c>
      <c r="AR533" s="163">
        <f t="shared" si="210"/>
        <v>0</v>
      </c>
      <c r="AS533" s="97">
        <f t="shared" si="211"/>
        <v>0</v>
      </c>
      <c r="AT533" s="278">
        <f t="shared" si="212"/>
        <v>0</v>
      </c>
      <c r="AU533" s="55"/>
      <c r="AV533" s="277"/>
      <c r="AW533" s="279"/>
      <c r="AX533" s="52"/>
      <c r="AY533" s="105"/>
      <c r="AZ533" s="98"/>
      <c r="BA533" s="279"/>
      <c r="BB533" s="52"/>
      <c r="BC533" s="105"/>
      <c r="BD533" s="98"/>
      <c r="BE533" s="279"/>
      <c r="BF533" s="52"/>
      <c r="BG533" s="105"/>
      <c r="BH533" s="98"/>
      <c r="BI533" s="279"/>
      <c r="BJ533" s="52"/>
      <c r="BK533" s="105"/>
      <c r="BL533" s="98"/>
      <c r="BM533" s="279"/>
      <c r="BN533" s="52"/>
      <c r="BO533" s="105"/>
      <c r="BP533" s="98"/>
      <c r="BQ533" s="279"/>
      <c r="BR533" s="52"/>
      <c r="BS533" s="105"/>
      <c r="BT533" s="98"/>
      <c r="BU533" s="279"/>
      <c r="BV533" s="52"/>
      <c r="BW533" s="105"/>
      <c r="BX533" s="98"/>
      <c r="BY533" s="279"/>
      <c r="BZ533" s="52"/>
      <c r="CA533" s="105"/>
      <c r="CB533" s="98"/>
      <c r="CC533" s="279"/>
      <c r="CD533" s="52"/>
      <c r="CE533" s="105"/>
      <c r="CF533" s="98"/>
      <c r="CG533" s="279"/>
      <c r="CH533" s="52"/>
      <c r="CI533" s="105"/>
      <c r="CJ533" s="98"/>
      <c r="CK533" s="281"/>
      <c r="CL533" s="277"/>
      <c r="CM533" s="159"/>
      <c r="CN533" s="277"/>
      <c r="CO533" s="50">
        <f t="shared" si="218"/>
        <v>0</v>
      </c>
      <c r="CP533" s="103">
        <f t="shared" si="219"/>
        <v>0</v>
      </c>
      <c r="CQ533" s="280">
        <f t="shared" si="220"/>
        <v>0</v>
      </c>
      <c r="CR533" s="63">
        <f t="shared" si="221"/>
        <v>0</v>
      </c>
      <c r="CS533" s="279"/>
      <c r="CT533" s="52"/>
      <c r="CU533" s="105"/>
      <c r="CV533" s="98"/>
      <c r="CW533" s="279"/>
      <c r="CX533" s="52"/>
      <c r="CY533" s="105"/>
      <c r="CZ533" s="98"/>
      <c r="DA533" s="279"/>
      <c r="DB533" s="52"/>
      <c r="DC533" s="105"/>
      <c r="DD533" s="98"/>
      <c r="DE533" s="279"/>
      <c r="DF533" s="52"/>
      <c r="DG533" s="105"/>
      <c r="DH533" s="98"/>
      <c r="DI533" s="279"/>
      <c r="DJ533" s="52"/>
      <c r="DK533" s="105"/>
      <c r="DL533" s="98"/>
      <c r="DM533" s="279"/>
      <c r="DN533" s="52"/>
      <c r="DO533" s="105"/>
      <c r="DP533" s="98"/>
      <c r="DQ533" s="279"/>
      <c r="DR533" s="52"/>
      <c r="DS533" s="105"/>
      <c r="DT533" s="98"/>
      <c r="DU533" s="279"/>
      <c r="DV533" s="52"/>
      <c r="DW533" s="105"/>
      <c r="DX533" s="98"/>
      <c r="DY533" s="279"/>
      <c r="DZ533" s="52"/>
      <c r="EA533" s="105"/>
      <c r="EB533" s="98"/>
      <c r="EC533" s="279"/>
      <c r="ED533" s="52"/>
      <c r="EE533" s="105"/>
      <c r="EF533" s="98"/>
      <c r="EG533" s="159"/>
      <c r="EH533" s="277"/>
      <c r="EI533" s="50">
        <f t="shared" si="222"/>
        <v>0</v>
      </c>
      <c r="EJ533" s="103">
        <f t="shared" si="223"/>
        <v>0</v>
      </c>
      <c r="EK533" s="164">
        <f t="shared" si="224"/>
        <v>0</v>
      </c>
      <c r="EL533" s="280">
        <f t="shared" si="225"/>
        <v>0</v>
      </c>
      <c r="EM533" s="63">
        <f t="shared" si="226"/>
        <v>0</v>
      </c>
      <c r="EN533" s="359">
        <f t="shared" si="227"/>
        <v>0</v>
      </c>
      <c r="EO533" s="51">
        <f t="shared" si="228"/>
        <v>0</v>
      </c>
      <c r="EP533" s="361">
        <f t="shared" si="229"/>
        <v>0</v>
      </c>
      <c r="EQ533" s="281"/>
      <c r="ER533" s="277"/>
      <c r="ES533" s="281"/>
      <c r="ET533" s="277"/>
      <c r="EU533" s="281"/>
      <c r="EV533" s="277"/>
      <c r="EW533" s="281"/>
      <c r="EX533" s="277"/>
      <c r="EY533" s="281"/>
      <c r="EZ533" s="277"/>
      <c r="FA533" s="281"/>
      <c r="FB533" s="277"/>
      <c r="FC533" s="281"/>
      <c r="FD533" s="277"/>
      <c r="FE533" s="281"/>
      <c r="FF533" s="277"/>
      <c r="FG533" s="281"/>
      <c r="FH533" s="277"/>
      <c r="FI533" s="281"/>
      <c r="FJ533" s="277"/>
      <c r="FK533" s="50">
        <f t="shared" si="230"/>
        <v>0</v>
      </c>
      <c r="FL533" s="63">
        <f t="shared" si="231"/>
        <v>0</v>
      </c>
      <c r="FM533" s="50">
        <f t="shared" si="213"/>
        <v>706</v>
      </c>
      <c r="FN533" s="360">
        <f t="shared" si="214"/>
        <v>659</v>
      </c>
      <c r="FO533" s="3"/>
      <c r="FP533" s="279"/>
      <c r="FQ533" s="52"/>
      <c r="FR533" s="296"/>
      <c r="FS533" s="98"/>
      <c r="FT533" s="467"/>
      <c r="FU533" s="52"/>
      <c r="FV533" s="296"/>
      <c r="FW533" s="98"/>
      <c r="FX533" s="467"/>
      <c r="FY533" s="52"/>
      <c r="FZ533" s="296"/>
      <c r="GA533" s="98"/>
      <c r="GB533" s="467"/>
      <c r="GC533" s="52"/>
      <c r="GD533" s="296"/>
      <c r="GE533" s="98"/>
      <c r="GF533" s="467"/>
      <c r="GG533" s="52"/>
      <c r="GH533" s="296"/>
      <c r="GI533" s="98"/>
      <c r="GJ533" s="467"/>
      <c r="GK533" s="52"/>
      <c r="GL533" s="296"/>
      <c r="GM533" s="464"/>
      <c r="GN533" s="467"/>
      <c r="GO533" s="52"/>
      <c r="GP533" s="296"/>
      <c r="GQ533" s="464"/>
      <c r="GR533" s="467"/>
      <c r="GS533" s="52"/>
      <c r="GT533" s="296"/>
      <c r="GU533" s="464"/>
      <c r="GV533" s="467"/>
      <c r="GW533" s="52"/>
      <c r="GX533" s="296"/>
      <c r="GY533" s="464"/>
      <c r="GZ533" s="467"/>
      <c r="HA533" s="52"/>
      <c r="HB533" s="296"/>
      <c r="HC533" s="3"/>
    </row>
    <row r="534" spans="1:211" s="86" customFormat="1">
      <c r="A534" s="499" t="s">
        <v>32</v>
      </c>
      <c r="B534" s="311" t="s">
        <v>657</v>
      </c>
      <c r="C534" s="310">
        <v>222053</v>
      </c>
      <c r="D534" s="351">
        <v>9</v>
      </c>
      <c r="E534" s="460">
        <v>241</v>
      </c>
      <c r="F534" s="312"/>
      <c r="G534" s="158"/>
      <c r="H534" s="277"/>
      <c r="I534" s="158">
        <v>590</v>
      </c>
      <c r="J534" s="277">
        <v>634</v>
      </c>
      <c r="K534" s="160">
        <f t="shared" si="215"/>
        <v>0</v>
      </c>
      <c r="L534" s="161">
        <f t="shared" si="208"/>
        <v>0</v>
      </c>
      <c r="M534" s="54"/>
      <c r="N534" s="55"/>
      <c r="O534" s="55"/>
      <c r="P534" s="55"/>
      <c r="Q534" s="162">
        <f t="shared" si="216"/>
        <v>0</v>
      </c>
      <c r="R534" s="277"/>
      <c r="S534" s="277"/>
      <c r="T534" s="277"/>
      <c r="U534" s="277"/>
      <c r="V534" s="97">
        <f t="shared" si="217"/>
        <v>0</v>
      </c>
      <c r="W534" s="279"/>
      <c r="X534" s="52"/>
      <c r="Y534" s="99"/>
      <c r="Z534" s="53"/>
      <c r="AA534" s="228"/>
      <c r="AB534" s="52"/>
      <c r="AC534" s="99"/>
      <c r="AD534" s="53"/>
      <c r="AE534" s="228"/>
      <c r="AF534" s="52"/>
      <c r="AG534" s="99"/>
      <c r="AH534" s="53"/>
      <c r="AI534" s="228"/>
      <c r="AJ534" s="52"/>
      <c r="AK534" s="99"/>
      <c r="AL534" s="53"/>
      <c r="AM534" s="228"/>
      <c r="AN534" s="52"/>
      <c r="AO534" s="99"/>
      <c r="AP534" s="53"/>
      <c r="AQ534" s="50">
        <f t="shared" si="209"/>
        <v>0</v>
      </c>
      <c r="AR534" s="163">
        <f t="shared" si="210"/>
        <v>0</v>
      </c>
      <c r="AS534" s="97">
        <f t="shared" si="211"/>
        <v>0</v>
      </c>
      <c r="AT534" s="278">
        <f t="shared" si="212"/>
        <v>0</v>
      </c>
      <c r="AU534" s="55"/>
      <c r="AV534" s="277"/>
      <c r="AW534" s="279"/>
      <c r="AX534" s="52"/>
      <c r="AY534" s="105"/>
      <c r="AZ534" s="98"/>
      <c r="BA534" s="279"/>
      <c r="BB534" s="52"/>
      <c r="BC534" s="105"/>
      <c r="BD534" s="98"/>
      <c r="BE534" s="279"/>
      <c r="BF534" s="52"/>
      <c r="BG534" s="105"/>
      <c r="BH534" s="98"/>
      <c r="BI534" s="279"/>
      <c r="BJ534" s="52"/>
      <c r="BK534" s="105"/>
      <c r="BL534" s="98"/>
      <c r="BM534" s="279"/>
      <c r="BN534" s="52"/>
      <c r="BO534" s="105"/>
      <c r="BP534" s="98"/>
      <c r="BQ534" s="279"/>
      <c r="BR534" s="52"/>
      <c r="BS534" s="105"/>
      <c r="BT534" s="98"/>
      <c r="BU534" s="279"/>
      <c r="BV534" s="52"/>
      <c r="BW534" s="105"/>
      <c r="BX534" s="98"/>
      <c r="BY534" s="279"/>
      <c r="BZ534" s="52"/>
      <c r="CA534" s="105"/>
      <c r="CB534" s="98"/>
      <c r="CC534" s="279"/>
      <c r="CD534" s="52"/>
      <c r="CE534" s="105"/>
      <c r="CF534" s="98"/>
      <c r="CG534" s="279"/>
      <c r="CH534" s="52"/>
      <c r="CI534" s="105"/>
      <c r="CJ534" s="98"/>
      <c r="CK534" s="281"/>
      <c r="CL534" s="277"/>
      <c r="CM534" s="159"/>
      <c r="CN534" s="277"/>
      <c r="CO534" s="50">
        <f t="shared" si="218"/>
        <v>0</v>
      </c>
      <c r="CP534" s="103">
        <f t="shared" si="219"/>
        <v>0</v>
      </c>
      <c r="CQ534" s="280">
        <f t="shared" si="220"/>
        <v>0</v>
      </c>
      <c r="CR534" s="63">
        <f t="shared" si="221"/>
        <v>0</v>
      </c>
      <c r="CS534" s="279"/>
      <c r="CT534" s="52"/>
      <c r="CU534" s="105"/>
      <c r="CV534" s="98"/>
      <c r="CW534" s="279"/>
      <c r="CX534" s="52"/>
      <c r="CY534" s="105"/>
      <c r="CZ534" s="98"/>
      <c r="DA534" s="279"/>
      <c r="DB534" s="52"/>
      <c r="DC534" s="105"/>
      <c r="DD534" s="98"/>
      <c r="DE534" s="279"/>
      <c r="DF534" s="52"/>
      <c r="DG534" s="105"/>
      <c r="DH534" s="98"/>
      <c r="DI534" s="279"/>
      <c r="DJ534" s="52"/>
      <c r="DK534" s="105"/>
      <c r="DL534" s="98"/>
      <c r="DM534" s="279"/>
      <c r="DN534" s="52"/>
      <c r="DO534" s="105"/>
      <c r="DP534" s="98"/>
      <c r="DQ534" s="279"/>
      <c r="DR534" s="52"/>
      <c r="DS534" s="105"/>
      <c r="DT534" s="98"/>
      <c r="DU534" s="279"/>
      <c r="DV534" s="52"/>
      <c r="DW534" s="105"/>
      <c r="DX534" s="98"/>
      <c r="DY534" s="279"/>
      <c r="DZ534" s="52"/>
      <c r="EA534" s="105"/>
      <c r="EB534" s="98"/>
      <c r="EC534" s="279"/>
      <c r="ED534" s="52"/>
      <c r="EE534" s="105"/>
      <c r="EF534" s="98"/>
      <c r="EG534" s="159"/>
      <c r="EH534" s="277"/>
      <c r="EI534" s="50">
        <f t="shared" si="222"/>
        <v>0</v>
      </c>
      <c r="EJ534" s="103">
        <f t="shared" si="223"/>
        <v>0</v>
      </c>
      <c r="EK534" s="164">
        <f t="shared" si="224"/>
        <v>0</v>
      </c>
      <c r="EL534" s="280">
        <f t="shared" si="225"/>
        <v>0</v>
      </c>
      <c r="EM534" s="63">
        <f t="shared" si="226"/>
        <v>0</v>
      </c>
      <c r="EN534" s="359">
        <f t="shared" si="227"/>
        <v>0</v>
      </c>
      <c r="EO534" s="51">
        <f t="shared" si="228"/>
        <v>0</v>
      </c>
      <c r="EP534" s="361">
        <f t="shared" si="229"/>
        <v>0</v>
      </c>
      <c r="EQ534" s="281"/>
      <c r="ER534" s="277"/>
      <c r="ES534" s="281"/>
      <c r="ET534" s="277"/>
      <c r="EU534" s="281"/>
      <c r="EV534" s="277"/>
      <c r="EW534" s="281"/>
      <c r="EX534" s="277"/>
      <c r="EY534" s="281"/>
      <c r="EZ534" s="277"/>
      <c r="FA534" s="281"/>
      <c r="FB534" s="277"/>
      <c r="FC534" s="281"/>
      <c r="FD534" s="277"/>
      <c r="FE534" s="281"/>
      <c r="FF534" s="277"/>
      <c r="FG534" s="281"/>
      <c r="FH534" s="277"/>
      <c r="FI534" s="281"/>
      <c r="FJ534" s="277"/>
      <c r="FK534" s="50">
        <f t="shared" si="230"/>
        <v>0</v>
      </c>
      <c r="FL534" s="63">
        <f t="shared" si="231"/>
        <v>0</v>
      </c>
      <c r="FM534" s="50">
        <f t="shared" si="213"/>
        <v>831</v>
      </c>
      <c r="FN534" s="360">
        <f t="shared" si="214"/>
        <v>634</v>
      </c>
      <c r="FO534" s="3"/>
      <c r="FP534" s="279"/>
      <c r="FQ534" s="52"/>
      <c r="FR534" s="296"/>
      <c r="FS534" s="98"/>
      <c r="FT534" s="467"/>
      <c r="FU534" s="52"/>
      <c r="FV534" s="296"/>
      <c r="FW534" s="98"/>
      <c r="FX534" s="467"/>
      <c r="FY534" s="52"/>
      <c r="FZ534" s="296"/>
      <c r="GA534" s="98"/>
      <c r="GB534" s="467"/>
      <c r="GC534" s="52"/>
      <c r="GD534" s="296"/>
      <c r="GE534" s="98"/>
      <c r="GF534" s="467"/>
      <c r="GG534" s="52"/>
      <c r="GH534" s="296"/>
      <c r="GI534" s="98"/>
      <c r="GJ534" s="467"/>
      <c r="GK534" s="52"/>
      <c r="GL534" s="296"/>
      <c r="GM534" s="464"/>
      <c r="GN534" s="467"/>
      <c r="GO534" s="52"/>
      <c r="GP534" s="296"/>
      <c r="GQ534" s="464"/>
      <c r="GR534" s="467"/>
      <c r="GS534" s="52"/>
      <c r="GT534" s="296"/>
      <c r="GU534" s="464"/>
      <c r="GV534" s="467"/>
      <c r="GW534" s="52"/>
      <c r="GX534" s="296"/>
      <c r="GY534" s="464"/>
      <c r="GZ534" s="467"/>
      <c r="HA534" s="52"/>
      <c r="HB534" s="296"/>
      <c r="HC534" s="3"/>
    </row>
    <row r="535" spans="1:211" s="86" customFormat="1">
      <c r="A535" s="499" t="s">
        <v>32</v>
      </c>
      <c r="B535" s="311" t="s">
        <v>658</v>
      </c>
      <c r="C535" s="310">
        <v>222062</v>
      </c>
      <c r="D535" s="351">
        <v>9</v>
      </c>
      <c r="E535" s="460">
        <v>280</v>
      </c>
      <c r="F535" s="312"/>
      <c r="G535" s="158"/>
      <c r="H535" s="277"/>
      <c r="I535" s="158">
        <v>622</v>
      </c>
      <c r="J535" s="277">
        <v>574</v>
      </c>
      <c r="K535" s="160">
        <f t="shared" si="215"/>
        <v>0</v>
      </c>
      <c r="L535" s="161">
        <f t="shared" si="208"/>
        <v>0</v>
      </c>
      <c r="M535" s="54"/>
      <c r="N535" s="55"/>
      <c r="O535" s="55"/>
      <c r="P535" s="55"/>
      <c r="Q535" s="162">
        <f t="shared" si="216"/>
        <v>0</v>
      </c>
      <c r="R535" s="277"/>
      <c r="S535" s="277"/>
      <c r="T535" s="277"/>
      <c r="U535" s="277"/>
      <c r="V535" s="97">
        <f t="shared" si="217"/>
        <v>0</v>
      </c>
      <c r="W535" s="279"/>
      <c r="X535" s="52"/>
      <c r="Y535" s="99"/>
      <c r="Z535" s="53"/>
      <c r="AA535" s="228"/>
      <c r="AB535" s="52"/>
      <c r="AC535" s="99"/>
      <c r="AD535" s="53"/>
      <c r="AE535" s="228"/>
      <c r="AF535" s="52"/>
      <c r="AG535" s="99"/>
      <c r="AH535" s="53"/>
      <c r="AI535" s="228"/>
      <c r="AJ535" s="52"/>
      <c r="AK535" s="99"/>
      <c r="AL535" s="53"/>
      <c r="AM535" s="228"/>
      <c r="AN535" s="52"/>
      <c r="AO535" s="99"/>
      <c r="AP535" s="53"/>
      <c r="AQ535" s="50">
        <f t="shared" si="209"/>
        <v>0</v>
      </c>
      <c r="AR535" s="163">
        <f t="shared" si="210"/>
        <v>0</v>
      </c>
      <c r="AS535" s="97">
        <f t="shared" si="211"/>
        <v>0</v>
      </c>
      <c r="AT535" s="278">
        <f t="shared" si="212"/>
        <v>0</v>
      </c>
      <c r="AU535" s="55"/>
      <c r="AV535" s="277"/>
      <c r="AW535" s="279"/>
      <c r="AX535" s="52"/>
      <c r="AY535" s="105"/>
      <c r="AZ535" s="98"/>
      <c r="BA535" s="279"/>
      <c r="BB535" s="52"/>
      <c r="BC535" s="105"/>
      <c r="BD535" s="98"/>
      <c r="BE535" s="279"/>
      <c r="BF535" s="52"/>
      <c r="BG535" s="105"/>
      <c r="BH535" s="98"/>
      <c r="BI535" s="279"/>
      <c r="BJ535" s="52"/>
      <c r="BK535" s="105"/>
      <c r="BL535" s="98"/>
      <c r="BM535" s="279"/>
      <c r="BN535" s="52"/>
      <c r="BO535" s="105"/>
      <c r="BP535" s="98"/>
      <c r="BQ535" s="279"/>
      <c r="BR535" s="52"/>
      <c r="BS535" s="105"/>
      <c r="BT535" s="98"/>
      <c r="BU535" s="279"/>
      <c r="BV535" s="52"/>
      <c r="BW535" s="105"/>
      <c r="BX535" s="98"/>
      <c r="BY535" s="279"/>
      <c r="BZ535" s="52"/>
      <c r="CA535" s="105"/>
      <c r="CB535" s="98"/>
      <c r="CC535" s="279"/>
      <c r="CD535" s="52"/>
      <c r="CE535" s="105"/>
      <c r="CF535" s="98"/>
      <c r="CG535" s="279"/>
      <c r="CH535" s="52"/>
      <c r="CI535" s="105"/>
      <c r="CJ535" s="98"/>
      <c r="CK535" s="281"/>
      <c r="CL535" s="277"/>
      <c r="CM535" s="159"/>
      <c r="CN535" s="277"/>
      <c r="CO535" s="50">
        <f t="shared" si="218"/>
        <v>0</v>
      </c>
      <c r="CP535" s="103">
        <f t="shared" si="219"/>
        <v>0</v>
      </c>
      <c r="CQ535" s="280">
        <f t="shared" si="220"/>
        <v>0</v>
      </c>
      <c r="CR535" s="63">
        <f t="shared" si="221"/>
        <v>0</v>
      </c>
      <c r="CS535" s="279"/>
      <c r="CT535" s="52"/>
      <c r="CU535" s="105"/>
      <c r="CV535" s="98"/>
      <c r="CW535" s="279"/>
      <c r="CX535" s="52"/>
      <c r="CY535" s="105"/>
      <c r="CZ535" s="98"/>
      <c r="DA535" s="279"/>
      <c r="DB535" s="52"/>
      <c r="DC535" s="105"/>
      <c r="DD535" s="98"/>
      <c r="DE535" s="279"/>
      <c r="DF535" s="52"/>
      <c r="DG535" s="105"/>
      <c r="DH535" s="98"/>
      <c r="DI535" s="279"/>
      <c r="DJ535" s="52"/>
      <c r="DK535" s="105"/>
      <c r="DL535" s="98"/>
      <c r="DM535" s="279"/>
      <c r="DN535" s="52"/>
      <c r="DO535" s="105"/>
      <c r="DP535" s="98"/>
      <c r="DQ535" s="279"/>
      <c r="DR535" s="52"/>
      <c r="DS535" s="105"/>
      <c r="DT535" s="98"/>
      <c r="DU535" s="279"/>
      <c r="DV535" s="52"/>
      <c r="DW535" s="105"/>
      <c r="DX535" s="98"/>
      <c r="DY535" s="279"/>
      <c r="DZ535" s="52"/>
      <c r="EA535" s="105"/>
      <c r="EB535" s="98"/>
      <c r="EC535" s="279"/>
      <c r="ED535" s="52"/>
      <c r="EE535" s="105"/>
      <c r="EF535" s="98"/>
      <c r="EG535" s="159"/>
      <c r="EH535" s="277"/>
      <c r="EI535" s="50">
        <f t="shared" si="222"/>
        <v>0</v>
      </c>
      <c r="EJ535" s="103">
        <f t="shared" si="223"/>
        <v>0</v>
      </c>
      <c r="EK535" s="164">
        <f t="shared" si="224"/>
        <v>0</v>
      </c>
      <c r="EL535" s="280">
        <f t="shared" si="225"/>
        <v>0</v>
      </c>
      <c r="EM535" s="63">
        <f t="shared" si="226"/>
        <v>0</v>
      </c>
      <c r="EN535" s="359">
        <f t="shared" si="227"/>
        <v>0</v>
      </c>
      <c r="EO535" s="51">
        <f t="shared" si="228"/>
        <v>0</v>
      </c>
      <c r="EP535" s="361">
        <f t="shared" si="229"/>
        <v>0</v>
      </c>
      <c r="EQ535" s="281"/>
      <c r="ER535" s="277"/>
      <c r="ES535" s="281"/>
      <c r="ET535" s="277"/>
      <c r="EU535" s="281"/>
      <c r="EV535" s="277"/>
      <c r="EW535" s="281"/>
      <c r="EX535" s="277"/>
      <c r="EY535" s="281"/>
      <c r="EZ535" s="277"/>
      <c r="FA535" s="281"/>
      <c r="FB535" s="277"/>
      <c r="FC535" s="281"/>
      <c r="FD535" s="277"/>
      <c r="FE535" s="281"/>
      <c r="FF535" s="277"/>
      <c r="FG535" s="281"/>
      <c r="FH535" s="277"/>
      <c r="FI535" s="281"/>
      <c r="FJ535" s="277"/>
      <c r="FK535" s="50">
        <f t="shared" si="230"/>
        <v>0</v>
      </c>
      <c r="FL535" s="63">
        <f t="shared" si="231"/>
        <v>0</v>
      </c>
      <c r="FM535" s="50">
        <f t="shared" si="213"/>
        <v>902</v>
      </c>
      <c r="FN535" s="360">
        <f t="shared" si="214"/>
        <v>574</v>
      </c>
      <c r="FO535" s="3"/>
      <c r="FP535" s="279"/>
      <c r="FQ535" s="52"/>
      <c r="FR535" s="296"/>
      <c r="FS535" s="98"/>
      <c r="FT535" s="467"/>
      <c r="FU535" s="52"/>
      <c r="FV535" s="296"/>
      <c r="FW535" s="98"/>
      <c r="FX535" s="467"/>
      <c r="FY535" s="52"/>
      <c r="FZ535" s="296"/>
      <c r="GA535" s="98"/>
      <c r="GB535" s="467"/>
      <c r="GC535" s="52"/>
      <c r="GD535" s="296"/>
      <c r="GE535" s="98"/>
      <c r="GF535" s="467"/>
      <c r="GG535" s="52"/>
      <c r="GH535" s="296"/>
      <c r="GI535" s="98"/>
      <c r="GJ535" s="467"/>
      <c r="GK535" s="52"/>
      <c r="GL535" s="296"/>
      <c r="GM535" s="464"/>
      <c r="GN535" s="467"/>
      <c r="GO535" s="52"/>
      <c r="GP535" s="296"/>
      <c r="GQ535" s="464"/>
      <c r="GR535" s="467"/>
      <c r="GS535" s="52"/>
      <c r="GT535" s="296"/>
      <c r="GU535" s="464"/>
      <c r="GV535" s="467"/>
      <c r="GW535" s="52"/>
      <c r="GX535" s="296"/>
      <c r="GY535" s="464"/>
      <c r="GZ535" s="467"/>
      <c r="HA535" s="52"/>
      <c r="HB535" s="296"/>
      <c r="HC535" s="3"/>
    </row>
    <row r="536" spans="1:211" s="86" customFormat="1">
      <c r="A536" s="499" t="s">
        <v>32</v>
      </c>
      <c r="B536" s="311" t="s">
        <v>659</v>
      </c>
      <c r="C536" s="310">
        <v>220057</v>
      </c>
      <c r="D536" s="351">
        <v>10</v>
      </c>
      <c r="E536" s="460">
        <v>9</v>
      </c>
      <c r="F536" s="312"/>
      <c r="G536" s="158"/>
      <c r="H536" s="277"/>
      <c r="I536" s="158">
        <v>187</v>
      </c>
      <c r="J536" s="277">
        <v>227</v>
      </c>
      <c r="K536" s="160">
        <f t="shared" si="215"/>
        <v>0</v>
      </c>
      <c r="L536" s="161">
        <f t="shared" si="208"/>
        <v>0</v>
      </c>
      <c r="M536" s="54"/>
      <c r="N536" s="55"/>
      <c r="O536" s="55"/>
      <c r="P536" s="55"/>
      <c r="Q536" s="162">
        <f t="shared" si="216"/>
        <v>0</v>
      </c>
      <c r="R536" s="277"/>
      <c r="S536" s="277"/>
      <c r="T536" s="277"/>
      <c r="U536" s="277"/>
      <c r="V536" s="97">
        <f t="shared" si="217"/>
        <v>0</v>
      </c>
      <c r="W536" s="279"/>
      <c r="X536" s="52"/>
      <c r="Y536" s="99"/>
      <c r="Z536" s="53"/>
      <c r="AA536" s="228"/>
      <c r="AB536" s="52"/>
      <c r="AC536" s="99"/>
      <c r="AD536" s="53"/>
      <c r="AE536" s="228"/>
      <c r="AF536" s="52"/>
      <c r="AG536" s="99"/>
      <c r="AH536" s="53"/>
      <c r="AI536" s="228"/>
      <c r="AJ536" s="52"/>
      <c r="AK536" s="99"/>
      <c r="AL536" s="53"/>
      <c r="AM536" s="228"/>
      <c r="AN536" s="52"/>
      <c r="AO536" s="99"/>
      <c r="AP536" s="53"/>
      <c r="AQ536" s="50">
        <f t="shared" si="209"/>
        <v>0</v>
      </c>
      <c r="AR536" s="163">
        <f t="shared" si="210"/>
        <v>0</v>
      </c>
      <c r="AS536" s="97">
        <f t="shared" si="211"/>
        <v>0</v>
      </c>
      <c r="AT536" s="278">
        <f t="shared" si="212"/>
        <v>0</v>
      </c>
      <c r="AU536" s="55"/>
      <c r="AV536" s="277"/>
      <c r="AW536" s="279"/>
      <c r="AX536" s="52"/>
      <c r="AY536" s="105"/>
      <c r="AZ536" s="98"/>
      <c r="BA536" s="279"/>
      <c r="BB536" s="52"/>
      <c r="BC536" s="105"/>
      <c r="BD536" s="98"/>
      <c r="BE536" s="279"/>
      <c r="BF536" s="52"/>
      <c r="BG536" s="105"/>
      <c r="BH536" s="98"/>
      <c r="BI536" s="279"/>
      <c r="BJ536" s="52"/>
      <c r="BK536" s="105"/>
      <c r="BL536" s="98"/>
      <c r="BM536" s="279"/>
      <c r="BN536" s="52"/>
      <c r="BO536" s="105"/>
      <c r="BP536" s="98"/>
      <c r="BQ536" s="279"/>
      <c r="BR536" s="52"/>
      <c r="BS536" s="105"/>
      <c r="BT536" s="98"/>
      <c r="BU536" s="279"/>
      <c r="BV536" s="52"/>
      <c r="BW536" s="105"/>
      <c r="BX536" s="98"/>
      <c r="BY536" s="279"/>
      <c r="BZ536" s="52"/>
      <c r="CA536" s="105"/>
      <c r="CB536" s="98"/>
      <c r="CC536" s="279"/>
      <c r="CD536" s="52"/>
      <c r="CE536" s="105"/>
      <c r="CF536" s="98"/>
      <c r="CG536" s="279"/>
      <c r="CH536" s="52"/>
      <c r="CI536" s="105"/>
      <c r="CJ536" s="98"/>
      <c r="CK536" s="281"/>
      <c r="CL536" s="277"/>
      <c r="CM536" s="159"/>
      <c r="CN536" s="277"/>
      <c r="CO536" s="50">
        <f t="shared" si="218"/>
        <v>0</v>
      </c>
      <c r="CP536" s="103">
        <f t="shared" si="219"/>
        <v>0</v>
      </c>
      <c r="CQ536" s="280">
        <f t="shared" si="220"/>
        <v>0</v>
      </c>
      <c r="CR536" s="63">
        <f t="shared" si="221"/>
        <v>0</v>
      </c>
      <c r="CS536" s="279"/>
      <c r="CT536" s="52"/>
      <c r="CU536" s="105"/>
      <c r="CV536" s="98"/>
      <c r="CW536" s="279"/>
      <c r="CX536" s="52"/>
      <c r="CY536" s="105"/>
      <c r="CZ536" s="98"/>
      <c r="DA536" s="279"/>
      <c r="DB536" s="52"/>
      <c r="DC536" s="105"/>
      <c r="DD536" s="98"/>
      <c r="DE536" s="279"/>
      <c r="DF536" s="52"/>
      <c r="DG536" s="105"/>
      <c r="DH536" s="98"/>
      <c r="DI536" s="279"/>
      <c r="DJ536" s="52"/>
      <c r="DK536" s="105"/>
      <c r="DL536" s="98"/>
      <c r="DM536" s="279"/>
      <c r="DN536" s="52"/>
      <c r="DO536" s="105"/>
      <c r="DP536" s="98"/>
      <c r="DQ536" s="279"/>
      <c r="DR536" s="52"/>
      <c r="DS536" s="105"/>
      <c r="DT536" s="98"/>
      <c r="DU536" s="279"/>
      <c r="DV536" s="52"/>
      <c r="DW536" s="105"/>
      <c r="DX536" s="98"/>
      <c r="DY536" s="279"/>
      <c r="DZ536" s="52"/>
      <c r="EA536" s="105"/>
      <c r="EB536" s="98"/>
      <c r="EC536" s="279"/>
      <c r="ED536" s="52"/>
      <c r="EE536" s="105"/>
      <c r="EF536" s="98"/>
      <c r="EG536" s="159"/>
      <c r="EH536" s="277"/>
      <c r="EI536" s="50">
        <f t="shared" si="222"/>
        <v>0</v>
      </c>
      <c r="EJ536" s="103">
        <f t="shared" si="223"/>
        <v>0</v>
      </c>
      <c r="EK536" s="164">
        <f t="shared" si="224"/>
        <v>0</v>
      </c>
      <c r="EL536" s="280">
        <f t="shared" si="225"/>
        <v>0</v>
      </c>
      <c r="EM536" s="63">
        <f t="shared" si="226"/>
        <v>0</v>
      </c>
      <c r="EN536" s="359">
        <f t="shared" si="227"/>
        <v>0</v>
      </c>
      <c r="EO536" s="51">
        <f t="shared" si="228"/>
        <v>0</v>
      </c>
      <c r="EP536" s="361">
        <f t="shared" si="229"/>
        <v>0</v>
      </c>
      <c r="EQ536" s="281"/>
      <c r="ER536" s="277"/>
      <c r="ES536" s="281"/>
      <c r="ET536" s="277"/>
      <c r="EU536" s="281"/>
      <c r="EV536" s="277"/>
      <c r="EW536" s="281"/>
      <c r="EX536" s="277"/>
      <c r="EY536" s="281"/>
      <c r="EZ536" s="277"/>
      <c r="FA536" s="281"/>
      <c r="FB536" s="277"/>
      <c r="FC536" s="281"/>
      <c r="FD536" s="277"/>
      <c r="FE536" s="281"/>
      <c r="FF536" s="277"/>
      <c r="FG536" s="281"/>
      <c r="FH536" s="277"/>
      <c r="FI536" s="281"/>
      <c r="FJ536" s="277"/>
      <c r="FK536" s="50">
        <f t="shared" si="230"/>
        <v>0</v>
      </c>
      <c r="FL536" s="63">
        <f t="shared" si="231"/>
        <v>0</v>
      </c>
      <c r="FM536" s="50">
        <f t="shared" si="213"/>
        <v>196</v>
      </c>
      <c r="FN536" s="360">
        <f t="shared" si="214"/>
        <v>227</v>
      </c>
      <c r="FO536" s="3"/>
      <c r="FP536" s="279"/>
      <c r="FQ536" s="52"/>
      <c r="FR536" s="296"/>
      <c r="FS536" s="98"/>
      <c r="FT536" s="467"/>
      <c r="FU536" s="52"/>
      <c r="FV536" s="296"/>
      <c r="FW536" s="98"/>
      <c r="FX536" s="467"/>
      <c r="FY536" s="52"/>
      <c r="FZ536" s="296"/>
      <c r="GA536" s="98"/>
      <c r="GB536" s="467"/>
      <c r="GC536" s="52"/>
      <c r="GD536" s="296"/>
      <c r="GE536" s="98"/>
      <c r="GF536" s="467"/>
      <c r="GG536" s="52"/>
      <c r="GH536" s="296"/>
      <c r="GI536" s="98"/>
      <c r="GJ536" s="467"/>
      <c r="GK536" s="52"/>
      <c r="GL536" s="296"/>
      <c r="GM536" s="464"/>
      <c r="GN536" s="467"/>
      <c r="GO536" s="52"/>
      <c r="GP536" s="296"/>
      <c r="GQ536" s="464"/>
      <c r="GR536" s="467"/>
      <c r="GS536" s="52"/>
      <c r="GT536" s="296"/>
      <c r="GU536" s="464"/>
      <c r="GV536" s="467"/>
      <c r="GW536" s="52"/>
      <c r="GX536" s="296"/>
      <c r="GY536" s="464"/>
      <c r="GZ536" s="467"/>
      <c r="HA536" s="52"/>
      <c r="HB536" s="296"/>
      <c r="HC536" s="3"/>
    </row>
    <row r="537" spans="1:211" s="86" customFormat="1">
      <c r="A537" s="499" t="s">
        <v>32</v>
      </c>
      <c r="B537" s="311" t="s">
        <v>660</v>
      </c>
      <c r="C537" s="310">
        <v>219596</v>
      </c>
      <c r="D537" s="351">
        <v>13</v>
      </c>
      <c r="E537" s="460">
        <v>156</v>
      </c>
      <c r="F537" s="277">
        <v>182</v>
      </c>
      <c r="G537" s="158"/>
      <c r="H537" s="277"/>
      <c r="I537" s="158"/>
      <c r="J537" s="277"/>
      <c r="K537" s="160">
        <f t="shared" si="215"/>
        <v>0</v>
      </c>
      <c r="L537" s="161">
        <f t="shared" si="208"/>
        <v>0</v>
      </c>
      <c r="M537" s="54"/>
      <c r="N537" s="55"/>
      <c r="O537" s="55"/>
      <c r="P537" s="55"/>
      <c r="Q537" s="162">
        <f t="shared" si="216"/>
        <v>0</v>
      </c>
      <c r="R537" s="277"/>
      <c r="S537" s="277"/>
      <c r="T537" s="277"/>
      <c r="U537" s="277"/>
      <c r="V537" s="97">
        <f t="shared" si="217"/>
        <v>0</v>
      </c>
      <c r="W537" s="279"/>
      <c r="X537" s="52"/>
      <c r="Y537" s="99"/>
      <c r="Z537" s="53"/>
      <c r="AA537" s="228"/>
      <c r="AB537" s="52"/>
      <c r="AC537" s="99"/>
      <c r="AD537" s="53"/>
      <c r="AE537" s="228"/>
      <c r="AF537" s="52"/>
      <c r="AG537" s="99"/>
      <c r="AH537" s="53"/>
      <c r="AI537" s="228"/>
      <c r="AJ537" s="52"/>
      <c r="AK537" s="99"/>
      <c r="AL537" s="53"/>
      <c r="AM537" s="228"/>
      <c r="AN537" s="52"/>
      <c r="AO537" s="99"/>
      <c r="AP537" s="53"/>
      <c r="AQ537" s="50">
        <f t="shared" si="209"/>
        <v>0</v>
      </c>
      <c r="AR537" s="163">
        <f t="shared" si="210"/>
        <v>0</v>
      </c>
      <c r="AS537" s="97">
        <f t="shared" si="211"/>
        <v>0</v>
      </c>
      <c r="AT537" s="278">
        <f t="shared" si="212"/>
        <v>0</v>
      </c>
      <c r="AU537" s="55"/>
      <c r="AV537" s="277"/>
      <c r="AW537" s="279"/>
      <c r="AX537" s="52"/>
      <c r="AY537" s="98"/>
      <c r="AZ537" s="98"/>
      <c r="BA537" s="279"/>
      <c r="BB537" s="52"/>
      <c r="BC537" s="98"/>
      <c r="BD537" s="98"/>
      <c r="BE537" s="279"/>
      <c r="BF537" s="52"/>
      <c r="BG537" s="98"/>
      <c r="BH537" s="98"/>
      <c r="BI537" s="279"/>
      <c r="BJ537" s="52"/>
      <c r="BK537" s="98"/>
      <c r="BL537" s="98"/>
      <c r="BM537" s="279"/>
      <c r="BN537" s="52"/>
      <c r="BO537" s="98"/>
      <c r="BP537" s="98"/>
      <c r="BQ537" s="279"/>
      <c r="BR537" s="52"/>
      <c r="BS537" s="98"/>
      <c r="BT537" s="98"/>
      <c r="BU537" s="279"/>
      <c r="BV537" s="52"/>
      <c r="BW537" s="98"/>
      <c r="BX537" s="98"/>
      <c r="BY537" s="279"/>
      <c r="BZ537" s="52"/>
      <c r="CA537" s="98"/>
      <c r="CB537" s="98"/>
      <c r="CC537" s="279"/>
      <c r="CD537" s="52"/>
      <c r="CE537" s="98"/>
      <c r="CF537" s="98"/>
      <c r="CG537" s="279"/>
      <c r="CH537" s="52"/>
      <c r="CI537" s="98"/>
      <c r="CJ537" s="98"/>
      <c r="CK537" s="281"/>
      <c r="CL537" s="277"/>
      <c r="CM537" s="159"/>
      <c r="CN537" s="277"/>
      <c r="CO537" s="50">
        <f t="shared" si="218"/>
        <v>0</v>
      </c>
      <c r="CP537" s="103">
        <f t="shared" si="219"/>
        <v>0</v>
      </c>
      <c r="CQ537" s="280">
        <f t="shared" si="220"/>
        <v>0</v>
      </c>
      <c r="CR537" s="63">
        <f t="shared" si="221"/>
        <v>0</v>
      </c>
      <c r="CS537" s="279"/>
      <c r="CT537" s="52"/>
      <c r="CU537" s="98"/>
      <c r="CV537" s="98"/>
      <c r="CW537" s="279"/>
      <c r="CX537" s="52"/>
      <c r="CY537" s="98"/>
      <c r="CZ537" s="98"/>
      <c r="DA537" s="279"/>
      <c r="DB537" s="52"/>
      <c r="DC537" s="98"/>
      <c r="DD537" s="98"/>
      <c r="DE537" s="279"/>
      <c r="DF537" s="52"/>
      <c r="DG537" s="98"/>
      <c r="DH537" s="98"/>
      <c r="DI537" s="279"/>
      <c r="DJ537" s="52"/>
      <c r="DK537" s="98"/>
      <c r="DL537" s="98"/>
      <c r="DM537" s="279"/>
      <c r="DN537" s="52"/>
      <c r="DO537" s="98"/>
      <c r="DP537" s="98"/>
      <c r="DQ537" s="279"/>
      <c r="DR537" s="52"/>
      <c r="DS537" s="98"/>
      <c r="DT537" s="98"/>
      <c r="DU537" s="279"/>
      <c r="DV537" s="52"/>
      <c r="DW537" s="98"/>
      <c r="DX537" s="98"/>
      <c r="DY537" s="279"/>
      <c r="DZ537" s="52"/>
      <c r="EA537" s="98"/>
      <c r="EB537" s="98"/>
      <c r="EC537" s="279"/>
      <c r="ED537" s="52"/>
      <c r="EE537" s="98"/>
      <c r="EF537" s="98"/>
      <c r="EG537" s="159"/>
      <c r="EH537" s="277"/>
      <c r="EI537" s="50">
        <f t="shared" si="222"/>
        <v>0</v>
      </c>
      <c r="EJ537" s="103">
        <f t="shared" si="223"/>
        <v>0</v>
      </c>
      <c r="EK537" s="164">
        <f t="shared" si="224"/>
        <v>0</v>
      </c>
      <c r="EL537" s="280">
        <f t="shared" si="225"/>
        <v>0</v>
      </c>
      <c r="EM537" s="63">
        <f t="shared" si="226"/>
        <v>0</v>
      </c>
      <c r="EN537" s="359">
        <f t="shared" si="227"/>
        <v>0</v>
      </c>
      <c r="EO537" s="51">
        <f t="shared" si="228"/>
        <v>0</v>
      </c>
      <c r="EP537" s="361">
        <f t="shared" si="229"/>
        <v>0</v>
      </c>
      <c r="EQ537" s="281"/>
      <c r="ER537" s="277"/>
      <c r="ES537" s="281"/>
      <c r="ET537" s="277"/>
      <c r="EU537" s="281"/>
      <c r="EV537" s="277"/>
      <c r="EW537" s="281"/>
      <c r="EX537" s="277"/>
      <c r="EY537" s="281"/>
      <c r="EZ537" s="277"/>
      <c r="FA537" s="281"/>
      <c r="FB537" s="277"/>
      <c r="FC537" s="281"/>
      <c r="FD537" s="277"/>
      <c r="FE537" s="281"/>
      <c r="FF537" s="277"/>
      <c r="FG537" s="281"/>
      <c r="FH537" s="277"/>
      <c r="FI537" s="281"/>
      <c r="FJ537" s="277"/>
      <c r="FK537" s="50">
        <f t="shared" si="230"/>
        <v>0</v>
      </c>
      <c r="FL537" s="63">
        <f t="shared" si="231"/>
        <v>0</v>
      </c>
      <c r="FM537" s="50">
        <f t="shared" si="213"/>
        <v>156</v>
      </c>
      <c r="FN537" s="360">
        <f t="shared" si="214"/>
        <v>182</v>
      </c>
      <c r="FO537" s="3"/>
      <c r="FP537" s="279"/>
      <c r="FQ537" s="52"/>
      <c r="FR537" s="296"/>
      <c r="FS537" s="98"/>
      <c r="FT537" s="467"/>
      <c r="FU537" s="52"/>
      <c r="FV537" s="296"/>
      <c r="FW537" s="98"/>
      <c r="FX537" s="467"/>
      <c r="FY537" s="52"/>
      <c r="FZ537" s="296"/>
      <c r="GA537" s="98"/>
      <c r="GB537" s="467"/>
      <c r="GC537" s="52"/>
      <c r="GD537" s="296"/>
      <c r="GE537" s="98"/>
      <c r="GF537" s="467"/>
      <c r="GG537" s="52"/>
      <c r="GH537" s="296"/>
      <c r="GI537" s="98"/>
      <c r="GJ537" s="467"/>
      <c r="GK537" s="52"/>
      <c r="GL537" s="296"/>
      <c r="GM537" s="464"/>
      <c r="GN537" s="467"/>
      <c r="GO537" s="52"/>
      <c r="GP537" s="296"/>
      <c r="GQ537" s="464"/>
      <c r="GR537" s="467"/>
      <c r="GS537" s="52"/>
      <c r="GT537" s="296"/>
      <c r="GU537" s="464"/>
      <c r="GV537" s="467"/>
      <c r="GW537" s="52"/>
      <c r="GX537" s="296"/>
      <c r="GY537" s="464"/>
      <c r="GZ537" s="467"/>
      <c r="HA537" s="52"/>
      <c r="HB537" s="296"/>
      <c r="HC537" s="3"/>
    </row>
    <row r="538" spans="1:211" s="86" customFormat="1">
      <c r="A538" s="499" t="s">
        <v>32</v>
      </c>
      <c r="B538" s="311" t="s">
        <v>661</v>
      </c>
      <c r="C538" s="310" t="s">
        <v>662</v>
      </c>
      <c r="D538" s="351">
        <v>13</v>
      </c>
      <c r="E538" s="460">
        <v>311</v>
      </c>
      <c r="F538" s="277">
        <v>530</v>
      </c>
      <c r="G538" s="158"/>
      <c r="H538" s="277"/>
      <c r="I538" s="158"/>
      <c r="J538" s="277"/>
      <c r="K538" s="160">
        <f t="shared" si="215"/>
        <v>0</v>
      </c>
      <c r="L538" s="161">
        <f t="shared" si="208"/>
        <v>0</v>
      </c>
      <c r="M538" s="54"/>
      <c r="N538" s="55"/>
      <c r="O538" s="55"/>
      <c r="P538" s="55"/>
      <c r="Q538" s="162">
        <f t="shared" si="216"/>
        <v>0</v>
      </c>
      <c r="R538" s="277"/>
      <c r="S538" s="277"/>
      <c r="T538" s="277"/>
      <c r="U538" s="277"/>
      <c r="V538" s="97">
        <f t="shared" si="217"/>
        <v>0</v>
      </c>
      <c r="W538" s="279"/>
      <c r="X538" s="52"/>
      <c r="Y538" s="99"/>
      <c r="Z538" s="53"/>
      <c r="AA538" s="228"/>
      <c r="AB538" s="52"/>
      <c r="AC538" s="99"/>
      <c r="AD538" s="53"/>
      <c r="AE538" s="228"/>
      <c r="AF538" s="52"/>
      <c r="AG538" s="99"/>
      <c r="AH538" s="53"/>
      <c r="AI538" s="228"/>
      <c r="AJ538" s="52"/>
      <c r="AK538" s="99"/>
      <c r="AL538" s="53"/>
      <c r="AM538" s="228"/>
      <c r="AN538" s="52"/>
      <c r="AO538" s="99"/>
      <c r="AP538" s="53"/>
      <c r="AQ538" s="50">
        <f t="shared" si="209"/>
        <v>0</v>
      </c>
      <c r="AR538" s="163">
        <f t="shared" si="210"/>
        <v>0</v>
      </c>
      <c r="AS538" s="97">
        <f t="shared" si="211"/>
        <v>0</v>
      </c>
      <c r="AT538" s="278">
        <f t="shared" si="212"/>
        <v>0</v>
      </c>
      <c r="AU538" s="55"/>
      <c r="AV538" s="277"/>
      <c r="AW538" s="279"/>
      <c r="AX538" s="52"/>
      <c r="AY538" s="98"/>
      <c r="AZ538" s="98"/>
      <c r="BA538" s="279"/>
      <c r="BB538" s="52"/>
      <c r="BC538" s="98"/>
      <c r="BD538" s="98"/>
      <c r="BE538" s="279"/>
      <c r="BF538" s="52"/>
      <c r="BG538" s="98"/>
      <c r="BH538" s="98"/>
      <c r="BI538" s="279"/>
      <c r="BJ538" s="52"/>
      <c r="BK538" s="98"/>
      <c r="BL538" s="98"/>
      <c r="BM538" s="279"/>
      <c r="BN538" s="52"/>
      <c r="BO538" s="98"/>
      <c r="BP538" s="98"/>
      <c r="BQ538" s="279"/>
      <c r="BR538" s="52"/>
      <c r="BS538" s="98"/>
      <c r="BT538" s="98"/>
      <c r="BU538" s="279"/>
      <c r="BV538" s="52"/>
      <c r="BW538" s="98"/>
      <c r="BX538" s="98"/>
      <c r="BY538" s="279"/>
      <c r="BZ538" s="52"/>
      <c r="CA538" s="98"/>
      <c r="CB538" s="98"/>
      <c r="CC538" s="279"/>
      <c r="CD538" s="52"/>
      <c r="CE538" s="98"/>
      <c r="CF538" s="98"/>
      <c r="CG538" s="279"/>
      <c r="CH538" s="52"/>
      <c r="CI538" s="98"/>
      <c r="CJ538" s="98"/>
      <c r="CK538" s="281"/>
      <c r="CL538" s="277"/>
      <c r="CM538" s="159"/>
      <c r="CN538" s="277"/>
      <c r="CO538" s="50">
        <f t="shared" si="218"/>
        <v>0</v>
      </c>
      <c r="CP538" s="103">
        <f t="shared" si="219"/>
        <v>0</v>
      </c>
      <c r="CQ538" s="280">
        <f t="shared" si="220"/>
        <v>0</v>
      </c>
      <c r="CR538" s="63">
        <f t="shared" si="221"/>
        <v>0</v>
      </c>
      <c r="CS538" s="279"/>
      <c r="CT538" s="52"/>
      <c r="CU538" s="98"/>
      <c r="CV538" s="98"/>
      <c r="CW538" s="279"/>
      <c r="CX538" s="52"/>
      <c r="CY538" s="98"/>
      <c r="CZ538" s="98"/>
      <c r="DA538" s="279"/>
      <c r="DB538" s="52"/>
      <c r="DC538" s="98"/>
      <c r="DD538" s="98"/>
      <c r="DE538" s="279"/>
      <c r="DF538" s="52"/>
      <c r="DG538" s="98"/>
      <c r="DH538" s="98"/>
      <c r="DI538" s="279"/>
      <c r="DJ538" s="52"/>
      <c r="DK538" s="98"/>
      <c r="DL538" s="98"/>
      <c r="DM538" s="279"/>
      <c r="DN538" s="52"/>
      <c r="DO538" s="98"/>
      <c r="DP538" s="98"/>
      <c r="DQ538" s="279"/>
      <c r="DR538" s="52"/>
      <c r="DS538" s="98"/>
      <c r="DT538" s="98"/>
      <c r="DU538" s="279"/>
      <c r="DV538" s="52"/>
      <c r="DW538" s="98"/>
      <c r="DX538" s="98"/>
      <c r="DY538" s="279"/>
      <c r="DZ538" s="52"/>
      <c r="EA538" s="98"/>
      <c r="EB538" s="98"/>
      <c r="EC538" s="279"/>
      <c r="ED538" s="52"/>
      <c r="EE538" s="98"/>
      <c r="EF538" s="98"/>
      <c r="EG538" s="159"/>
      <c r="EH538" s="277"/>
      <c r="EI538" s="50">
        <f t="shared" si="222"/>
        <v>0</v>
      </c>
      <c r="EJ538" s="103">
        <f t="shared" si="223"/>
        <v>0</v>
      </c>
      <c r="EK538" s="164">
        <f t="shared" si="224"/>
        <v>0</v>
      </c>
      <c r="EL538" s="280">
        <f t="shared" si="225"/>
        <v>0</v>
      </c>
      <c r="EM538" s="63">
        <f t="shared" si="226"/>
        <v>0</v>
      </c>
      <c r="EN538" s="359">
        <f t="shared" si="227"/>
        <v>0</v>
      </c>
      <c r="EO538" s="51">
        <f t="shared" si="228"/>
        <v>0</v>
      </c>
      <c r="EP538" s="361">
        <f t="shared" si="229"/>
        <v>0</v>
      </c>
      <c r="EQ538" s="281"/>
      <c r="ER538" s="277"/>
      <c r="ES538" s="281"/>
      <c r="ET538" s="277"/>
      <c r="EU538" s="281"/>
      <c r="EV538" s="277"/>
      <c r="EW538" s="281"/>
      <c r="EX538" s="277"/>
      <c r="EY538" s="281"/>
      <c r="EZ538" s="277"/>
      <c r="FA538" s="281"/>
      <c r="FB538" s="277"/>
      <c r="FC538" s="281"/>
      <c r="FD538" s="277"/>
      <c r="FE538" s="281"/>
      <c r="FF538" s="277"/>
      <c r="FG538" s="281"/>
      <c r="FH538" s="277"/>
      <c r="FI538" s="281"/>
      <c r="FJ538" s="277"/>
      <c r="FK538" s="50">
        <f t="shared" si="230"/>
        <v>0</v>
      </c>
      <c r="FL538" s="63">
        <f t="shared" si="231"/>
        <v>0</v>
      </c>
      <c r="FM538" s="50">
        <f t="shared" si="213"/>
        <v>311</v>
      </c>
      <c r="FN538" s="360">
        <f t="shared" si="214"/>
        <v>530</v>
      </c>
      <c r="FO538" s="3"/>
      <c r="FP538" s="279"/>
      <c r="FQ538" s="52"/>
      <c r="FR538" s="296"/>
      <c r="FS538" s="98"/>
      <c r="FT538" s="467"/>
      <c r="FU538" s="52"/>
      <c r="FV538" s="296"/>
      <c r="FW538" s="98"/>
      <c r="FX538" s="467"/>
      <c r="FY538" s="52"/>
      <c r="FZ538" s="296"/>
      <c r="GA538" s="98"/>
      <c r="GB538" s="467"/>
      <c r="GC538" s="52"/>
      <c r="GD538" s="296"/>
      <c r="GE538" s="98"/>
      <c r="GF538" s="467"/>
      <c r="GG538" s="52"/>
      <c r="GH538" s="296"/>
      <c r="GI538" s="98"/>
      <c r="GJ538" s="467"/>
      <c r="GK538" s="52"/>
      <c r="GL538" s="296"/>
      <c r="GM538" s="464"/>
      <c r="GN538" s="467"/>
      <c r="GO538" s="52"/>
      <c r="GP538" s="296"/>
      <c r="GQ538" s="464"/>
      <c r="GR538" s="467"/>
      <c r="GS538" s="52"/>
      <c r="GT538" s="296"/>
      <c r="GU538" s="464"/>
      <c r="GV538" s="467"/>
      <c r="GW538" s="52"/>
      <c r="GX538" s="296"/>
      <c r="GY538" s="464"/>
      <c r="GZ538" s="467"/>
      <c r="HA538" s="52"/>
      <c r="HB538" s="296"/>
      <c r="HC538" s="3"/>
    </row>
    <row r="539" spans="1:211" s="86" customFormat="1">
      <c r="A539" s="499" t="s">
        <v>32</v>
      </c>
      <c r="B539" s="311" t="s">
        <v>663</v>
      </c>
      <c r="C539" s="310">
        <v>219921</v>
      </c>
      <c r="D539" s="351">
        <v>13</v>
      </c>
      <c r="E539" s="460">
        <v>80</v>
      </c>
      <c r="F539" s="277">
        <v>112</v>
      </c>
      <c r="G539" s="158"/>
      <c r="H539" s="277"/>
      <c r="I539" s="158"/>
      <c r="J539" s="277"/>
      <c r="K539" s="160">
        <f t="shared" si="215"/>
        <v>0</v>
      </c>
      <c r="L539" s="161">
        <f t="shared" si="208"/>
        <v>0</v>
      </c>
      <c r="M539" s="54"/>
      <c r="N539" s="55"/>
      <c r="O539" s="55"/>
      <c r="P539" s="55"/>
      <c r="Q539" s="162">
        <f t="shared" si="216"/>
        <v>0</v>
      </c>
      <c r="R539" s="277"/>
      <c r="S539" s="277"/>
      <c r="T539" s="277"/>
      <c r="U539" s="277"/>
      <c r="V539" s="97">
        <f t="shared" si="217"/>
        <v>0</v>
      </c>
      <c r="W539" s="279"/>
      <c r="X539" s="52"/>
      <c r="Y539" s="99"/>
      <c r="Z539" s="53"/>
      <c r="AA539" s="228"/>
      <c r="AB539" s="52"/>
      <c r="AC539" s="99"/>
      <c r="AD539" s="53"/>
      <c r="AE539" s="228"/>
      <c r="AF539" s="52"/>
      <c r="AG539" s="99"/>
      <c r="AH539" s="53"/>
      <c r="AI539" s="228"/>
      <c r="AJ539" s="52"/>
      <c r="AK539" s="99"/>
      <c r="AL539" s="53"/>
      <c r="AM539" s="228"/>
      <c r="AN539" s="52"/>
      <c r="AO539" s="99"/>
      <c r="AP539" s="53"/>
      <c r="AQ539" s="50">
        <f t="shared" si="209"/>
        <v>0</v>
      </c>
      <c r="AR539" s="163">
        <f t="shared" si="210"/>
        <v>0</v>
      </c>
      <c r="AS539" s="97">
        <f t="shared" si="211"/>
        <v>0</v>
      </c>
      <c r="AT539" s="278">
        <f t="shared" si="212"/>
        <v>0</v>
      </c>
      <c r="AU539" s="55"/>
      <c r="AV539" s="277"/>
      <c r="AW539" s="279"/>
      <c r="AX539" s="52"/>
      <c r="AY539" s="98"/>
      <c r="AZ539" s="98"/>
      <c r="BA539" s="279"/>
      <c r="BB539" s="52"/>
      <c r="BC539" s="98"/>
      <c r="BD539" s="98"/>
      <c r="BE539" s="279"/>
      <c r="BF539" s="52"/>
      <c r="BG539" s="98"/>
      <c r="BH539" s="98"/>
      <c r="BI539" s="279"/>
      <c r="BJ539" s="52"/>
      <c r="BK539" s="98"/>
      <c r="BL539" s="98"/>
      <c r="BM539" s="279"/>
      <c r="BN539" s="52"/>
      <c r="BO539" s="98"/>
      <c r="BP539" s="98"/>
      <c r="BQ539" s="279"/>
      <c r="BR539" s="52"/>
      <c r="BS539" s="98"/>
      <c r="BT539" s="98"/>
      <c r="BU539" s="279"/>
      <c r="BV539" s="52"/>
      <c r="BW539" s="98"/>
      <c r="BX539" s="98"/>
      <c r="BY539" s="279"/>
      <c r="BZ539" s="52"/>
      <c r="CA539" s="98"/>
      <c r="CB539" s="98"/>
      <c r="CC539" s="279"/>
      <c r="CD539" s="52"/>
      <c r="CE539" s="98"/>
      <c r="CF539" s="98"/>
      <c r="CG539" s="279"/>
      <c r="CH539" s="52"/>
      <c r="CI539" s="98"/>
      <c r="CJ539" s="98"/>
      <c r="CK539" s="281"/>
      <c r="CL539" s="277"/>
      <c r="CM539" s="159"/>
      <c r="CN539" s="277"/>
      <c r="CO539" s="50">
        <f t="shared" si="218"/>
        <v>0</v>
      </c>
      <c r="CP539" s="103">
        <f t="shared" si="219"/>
        <v>0</v>
      </c>
      <c r="CQ539" s="280">
        <f t="shared" si="220"/>
        <v>0</v>
      </c>
      <c r="CR539" s="63">
        <f t="shared" si="221"/>
        <v>0</v>
      </c>
      <c r="CS539" s="279"/>
      <c r="CT539" s="52"/>
      <c r="CU539" s="98"/>
      <c r="CV539" s="98"/>
      <c r="CW539" s="279"/>
      <c r="CX539" s="52"/>
      <c r="CY539" s="98"/>
      <c r="CZ539" s="98"/>
      <c r="DA539" s="279"/>
      <c r="DB539" s="52"/>
      <c r="DC539" s="98"/>
      <c r="DD539" s="98"/>
      <c r="DE539" s="279"/>
      <c r="DF539" s="52"/>
      <c r="DG539" s="98"/>
      <c r="DH539" s="98"/>
      <c r="DI539" s="279"/>
      <c r="DJ539" s="52"/>
      <c r="DK539" s="98"/>
      <c r="DL539" s="98"/>
      <c r="DM539" s="279"/>
      <c r="DN539" s="52"/>
      <c r="DO539" s="98"/>
      <c r="DP539" s="98"/>
      <c r="DQ539" s="279"/>
      <c r="DR539" s="52"/>
      <c r="DS539" s="98"/>
      <c r="DT539" s="98"/>
      <c r="DU539" s="279"/>
      <c r="DV539" s="52"/>
      <c r="DW539" s="98"/>
      <c r="DX539" s="98"/>
      <c r="DY539" s="279"/>
      <c r="DZ539" s="52"/>
      <c r="EA539" s="98"/>
      <c r="EB539" s="98"/>
      <c r="EC539" s="279"/>
      <c r="ED539" s="52"/>
      <c r="EE539" s="98"/>
      <c r="EF539" s="98"/>
      <c r="EG539" s="159"/>
      <c r="EH539" s="277"/>
      <c r="EI539" s="50">
        <f t="shared" si="222"/>
        <v>0</v>
      </c>
      <c r="EJ539" s="103">
        <f t="shared" si="223"/>
        <v>0</v>
      </c>
      <c r="EK539" s="164">
        <f t="shared" si="224"/>
        <v>0</v>
      </c>
      <c r="EL539" s="280">
        <f t="shared" si="225"/>
        <v>0</v>
      </c>
      <c r="EM539" s="63">
        <f t="shared" si="226"/>
        <v>0</v>
      </c>
      <c r="EN539" s="359">
        <f t="shared" si="227"/>
        <v>0</v>
      </c>
      <c r="EO539" s="51">
        <f t="shared" si="228"/>
        <v>0</v>
      </c>
      <c r="EP539" s="361">
        <f t="shared" si="229"/>
        <v>0</v>
      </c>
      <c r="EQ539" s="281"/>
      <c r="ER539" s="277"/>
      <c r="ES539" s="281"/>
      <c r="ET539" s="277"/>
      <c r="EU539" s="281"/>
      <c r="EV539" s="277"/>
      <c r="EW539" s="281"/>
      <c r="EX539" s="277"/>
      <c r="EY539" s="281"/>
      <c r="EZ539" s="277"/>
      <c r="FA539" s="281"/>
      <c r="FB539" s="277"/>
      <c r="FC539" s="281"/>
      <c r="FD539" s="277"/>
      <c r="FE539" s="281"/>
      <c r="FF539" s="277"/>
      <c r="FG539" s="281"/>
      <c r="FH539" s="277"/>
      <c r="FI539" s="281"/>
      <c r="FJ539" s="277"/>
      <c r="FK539" s="50">
        <f t="shared" si="230"/>
        <v>0</v>
      </c>
      <c r="FL539" s="63">
        <f t="shared" si="231"/>
        <v>0</v>
      </c>
      <c r="FM539" s="50">
        <f t="shared" si="213"/>
        <v>80</v>
      </c>
      <c r="FN539" s="360">
        <f t="shared" si="214"/>
        <v>112</v>
      </c>
      <c r="FO539" s="3"/>
      <c r="FP539" s="279"/>
      <c r="FQ539" s="52"/>
      <c r="FR539" s="296"/>
      <c r="FS539" s="98"/>
      <c r="FT539" s="467"/>
      <c r="FU539" s="52"/>
      <c r="FV539" s="296"/>
      <c r="FW539" s="98"/>
      <c r="FX539" s="467"/>
      <c r="FY539" s="52"/>
      <c r="FZ539" s="296"/>
      <c r="GA539" s="98"/>
      <c r="GB539" s="467"/>
      <c r="GC539" s="52"/>
      <c r="GD539" s="296"/>
      <c r="GE539" s="98"/>
      <c r="GF539" s="467"/>
      <c r="GG539" s="52"/>
      <c r="GH539" s="296"/>
      <c r="GI539" s="98"/>
      <c r="GJ539" s="467"/>
      <c r="GK539" s="52"/>
      <c r="GL539" s="296"/>
      <c r="GM539" s="464"/>
      <c r="GN539" s="467"/>
      <c r="GO539" s="52"/>
      <c r="GP539" s="296"/>
      <c r="GQ539" s="464"/>
      <c r="GR539" s="467"/>
      <c r="GS539" s="52"/>
      <c r="GT539" s="296"/>
      <c r="GU539" s="464"/>
      <c r="GV539" s="467"/>
      <c r="GW539" s="52"/>
      <c r="GX539" s="296"/>
      <c r="GY539" s="464"/>
      <c r="GZ539" s="467"/>
      <c r="HA539" s="52"/>
      <c r="HB539" s="296"/>
      <c r="HC539" s="3"/>
    </row>
    <row r="540" spans="1:211" s="86" customFormat="1">
      <c r="A540" s="499" t="s">
        <v>32</v>
      </c>
      <c r="B540" s="311" t="s">
        <v>664</v>
      </c>
      <c r="C540" s="310">
        <v>221591</v>
      </c>
      <c r="D540" s="351">
        <v>13</v>
      </c>
      <c r="E540" s="460">
        <v>187</v>
      </c>
      <c r="F540" s="277">
        <v>168</v>
      </c>
      <c r="G540" s="158"/>
      <c r="H540" s="277"/>
      <c r="I540" s="158"/>
      <c r="J540" s="277"/>
      <c r="K540" s="160">
        <f t="shared" si="215"/>
        <v>0</v>
      </c>
      <c r="L540" s="161">
        <f t="shared" si="208"/>
        <v>0</v>
      </c>
      <c r="M540" s="54"/>
      <c r="N540" s="55"/>
      <c r="O540" s="55"/>
      <c r="P540" s="55"/>
      <c r="Q540" s="162">
        <f t="shared" si="216"/>
        <v>0</v>
      </c>
      <c r="R540" s="277"/>
      <c r="S540" s="277"/>
      <c r="T540" s="277"/>
      <c r="U540" s="277"/>
      <c r="V540" s="97">
        <f t="shared" si="217"/>
        <v>0</v>
      </c>
      <c r="W540" s="279"/>
      <c r="X540" s="52"/>
      <c r="Y540" s="99"/>
      <c r="Z540" s="53"/>
      <c r="AA540" s="228"/>
      <c r="AB540" s="52"/>
      <c r="AC540" s="99"/>
      <c r="AD540" s="53"/>
      <c r="AE540" s="228"/>
      <c r="AF540" s="52"/>
      <c r="AG540" s="99"/>
      <c r="AH540" s="53"/>
      <c r="AI540" s="228"/>
      <c r="AJ540" s="52"/>
      <c r="AK540" s="99"/>
      <c r="AL540" s="53"/>
      <c r="AM540" s="228"/>
      <c r="AN540" s="52"/>
      <c r="AO540" s="99"/>
      <c r="AP540" s="53"/>
      <c r="AQ540" s="50">
        <f t="shared" si="209"/>
        <v>0</v>
      </c>
      <c r="AR540" s="163">
        <f t="shared" si="210"/>
        <v>0</v>
      </c>
      <c r="AS540" s="97">
        <f t="shared" si="211"/>
        <v>0</v>
      </c>
      <c r="AT540" s="278">
        <f t="shared" si="212"/>
        <v>0</v>
      </c>
      <c r="AU540" s="55"/>
      <c r="AV540" s="277"/>
      <c r="AW540" s="279"/>
      <c r="AX540" s="52"/>
      <c r="AY540" s="98"/>
      <c r="AZ540" s="98"/>
      <c r="BA540" s="279"/>
      <c r="BB540" s="52"/>
      <c r="BC540" s="98"/>
      <c r="BD540" s="98"/>
      <c r="BE540" s="279"/>
      <c r="BF540" s="52"/>
      <c r="BG540" s="98"/>
      <c r="BH540" s="98"/>
      <c r="BI540" s="279"/>
      <c r="BJ540" s="52"/>
      <c r="BK540" s="98"/>
      <c r="BL540" s="98"/>
      <c r="BM540" s="279"/>
      <c r="BN540" s="52"/>
      <c r="BO540" s="98"/>
      <c r="BP540" s="98"/>
      <c r="BQ540" s="279"/>
      <c r="BR540" s="52"/>
      <c r="BS540" s="98"/>
      <c r="BT540" s="98"/>
      <c r="BU540" s="279"/>
      <c r="BV540" s="52"/>
      <c r="BW540" s="98"/>
      <c r="BX540" s="98"/>
      <c r="BY540" s="279"/>
      <c r="BZ540" s="52"/>
      <c r="CA540" s="98"/>
      <c r="CB540" s="98"/>
      <c r="CC540" s="279"/>
      <c r="CD540" s="52"/>
      <c r="CE540" s="98"/>
      <c r="CF540" s="98"/>
      <c r="CG540" s="279"/>
      <c r="CH540" s="52"/>
      <c r="CI540" s="98"/>
      <c r="CJ540" s="98"/>
      <c r="CK540" s="281"/>
      <c r="CL540" s="277"/>
      <c r="CM540" s="159"/>
      <c r="CN540" s="277"/>
      <c r="CO540" s="50">
        <f t="shared" si="218"/>
        <v>0</v>
      </c>
      <c r="CP540" s="103">
        <f t="shared" si="219"/>
        <v>0</v>
      </c>
      <c r="CQ540" s="280">
        <f t="shared" si="220"/>
        <v>0</v>
      </c>
      <c r="CR540" s="63">
        <f t="shared" si="221"/>
        <v>0</v>
      </c>
      <c r="CS540" s="279"/>
      <c r="CT540" s="52"/>
      <c r="CU540" s="98"/>
      <c r="CV540" s="98"/>
      <c r="CW540" s="279"/>
      <c r="CX540" s="52"/>
      <c r="CY540" s="98"/>
      <c r="CZ540" s="98"/>
      <c r="DA540" s="279"/>
      <c r="DB540" s="52"/>
      <c r="DC540" s="98"/>
      <c r="DD540" s="98"/>
      <c r="DE540" s="279"/>
      <c r="DF540" s="52"/>
      <c r="DG540" s="98"/>
      <c r="DH540" s="98"/>
      <c r="DI540" s="279"/>
      <c r="DJ540" s="52"/>
      <c r="DK540" s="98"/>
      <c r="DL540" s="98"/>
      <c r="DM540" s="279"/>
      <c r="DN540" s="52"/>
      <c r="DO540" s="98"/>
      <c r="DP540" s="98"/>
      <c r="DQ540" s="279"/>
      <c r="DR540" s="52"/>
      <c r="DS540" s="98"/>
      <c r="DT540" s="98"/>
      <c r="DU540" s="279"/>
      <c r="DV540" s="52"/>
      <c r="DW540" s="98"/>
      <c r="DX540" s="98"/>
      <c r="DY540" s="279"/>
      <c r="DZ540" s="52"/>
      <c r="EA540" s="98"/>
      <c r="EB540" s="98"/>
      <c r="EC540" s="279"/>
      <c r="ED540" s="52"/>
      <c r="EE540" s="98"/>
      <c r="EF540" s="98"/>
      <c r="EG540" s="159"/>
      <c r="EH540" s="277"/>
      <c r="EI540" s="50">
        <f t="shared" si="222"/>
        <v>0</v>
      </c>
      <c r="EJ540" s="103">
        <f t="shared" si="223"/>
        <v>0</v>
      </c>
      <c r="EK540" s="164">
        <f t="shared" si="224"/>
        <v>0</v>
      </c>
      <c r="EL540" s="280">
        <f t="shared" si="225"/>
        <v>0</v>
      </c>
      <c r="EM540" s="63">
        <f t="shared" si="226"/>
        <v>0</v>
      </c>
      <c r="EN540" s="359">
        <f t="shared" si="227"/>
        <v>0</v>
      </c>
      <c r="EO540" s="51">
        <f t="shared" si="228"/>
        <v>0</v>
      </c>
      <c r="EP540" s="361">
        <f t="shared" si="229"/>
        <v>0</v>
      </c>
      <c r="EQ540" s="281"/>
      <c r="ER540" s="277"/>
      <c r="ES540" s="281"/>
      <c r="ET540" s="277"/>
      <c r="EU540" s="281"/>
      <c r="EV540" s="277"/>
      <c r="EW540" s="281"/>
      <c r="EX540" s="277"/>
      <c r="EY540" s="281"/>
      <c r="EZ540" s="277"/>
      <c r="FA540" s="281"/>
      <c r="FB540" s="277"/>
      <c r="FC540" s="281"/>
      <c r="FD540" s="277"/>
      <c r="FE540" s="281"/>
      <c r="FF540" s="277"/>
      <c r="FG540" s="281"/>
      <c r="FH540" s="277"/>
      <c r="FI540" s="281"/>
      <c r="FJ540" s="277"/>
      <c r="FK540" s="50">
        <f t="shared" si="230"/>
        <v>0</v>
      </c>
      <c r="FL540" s="63">
        <f t="shared" si="231"/>
        <v>0</v>
      </c>
      <c r="FM540" s="50">
        <f t="shared" si="213"/>
        <v>187</v>
      </c>
      <c r="FN540" s="360">
        <f t="shared" si="214"/>
        <v>168</v>
      </c>
      <c r="FO540" s="3"/>
      <c r="FP540" s="279"/>
      <c r="FQ540" s="52"/>
      <c r="FR540" s="296"/>
      <c r="FS540" s="98"/>
      <c r="FT540" s="467"/>
      <c r="FU540" s="52"/>
      <c r="FV540" s="296"/>
      <c r="FW540" s="98"/>
      <c r="FX540" s="467"/>
      <c r="FY540" s="52"/>
      <c r="FZ540" s="296"/>
      <c r="GA540" s="98"/>
      <c r="GB540" s="467"/>
      <c r="GC540" s="52"/>
      <c r="GD540" s="296"/>
      <c r="GE540" s="98"/>
      <c r="GF540" s="467"/>
      <c r="GG540" s="52"/>
      <c r="GH540" s="296"/>
      <c r="GI540" s="98"/>
      <c r="GJ540" s="467"/>
      <c r="GK540" s="52"/>
      <c r="GL540" s="296"/>
      <c r="GM540" s="464"/>
      <c r="GN540" s="467"/>
      <c r="GO540" s="52"/>
      <c r="GP540" s="296"/>
      <c r="GQ540" s="464"/>
      <c r="GR540" s="467"/>
      <c r="GS540" s="52"/>
      <c r="GT540" s="296"/>
      <c r="GU540" s="464"/>
      <c r="GV540" s="467"/>
      <c r="GW540" s="52"/>
      <c r="GX540" s="296"/>
      <c r="GY540" s="464"/>
      <c r="GZ540" s="467"/>
      <c r="HA540" s="52"/>
      <c r="HB540" s="296"/>
      <c r="HC540" s="3"/>
    </row>
    <row r="541" spans="1:211" s="86" customFormat="1">
      <c r="A541" s="499" t="s">
        <v>32</v>
      </c>
      <c r="B541" s="311" t="s">
        <v>665</v>
      </c>
      <c r="C541" s="310">
        <v>221430</v>
      </c>
      <c r="D541" s="351">
        <v>13</v>
      </c>
      <c r="E541" s="460">
        <v>182</v>
      </c>
      <c r="F541" s="277">
        <v>185</v>
      </c>
      <c r="G541" s="158"/>
      <c r="H541" s="277"/>
      <c r="I541" s="158"/>
      <c r="J541" s="277"/>
      <c r="K541" s="160">
        <f t="shared" si="215"/>
        <v>0</v>
      </c>
      <c r="L541" s="161">
        <f t="shared" si="208"/>
        <v>0</v>
      </c>
      <c r="M541" s="54"/>
      <c r="N541" s="55"/>
      <c r="O541" s="55"/>
      <c r="P541" s="55"/>
      <c r="Q541" s="162">
        <f t="shared" si="216"/>
        <v>0</v>
      </c>
      <c r="R541" s="277"/>
      <c r="S541" s="277"/>
      <c r="T541" s="277"/>
      <c r="U541" s="277"/>
      <c r="V541" s="97">
        <f t="shared" si="217"/>
        <v>0</v>
      </c>
      <c r="W541" s="279"/>
      <c r="X541" s="52"/>
      <c r="Y541" s="99"/>
      <c r="Z541" s="53"/>
      <c r="AA541" s="228"/>
      <c r="AB541" s="52"/>
      <c r="AC541" s="99"/>
      <c r="AD541" s="53"/>
      <c r="AE541" s="228"/>
      <c r="AF541" s="52"/>
      <c r="AG541" s="99"/>
      <c r="AH541" s="53"/>
      <c r="AI541" s="228"/>
      <c r="AJ541" s="52"/>
      <c r="AK541" s="99"/>
      <c r="AL541" s="53"/>
      <c r="AM541" s="228"/>
      <c r="AN541" s="52"/>
      <c r="AO541" s="99"/>
      <c r="AP541" s="53"/>
      <c r="AQ541" s="50">
        <f t="shared" si="209"/>
        <v>0</v>
      </c>
      <c r="AR541" s="163">
        <f t="shared" si="210"/>
        <v>0</v>
      </c>
      <c r="AS541" s="97">
        <f t="shared" si="211"/>
        <v>0</v>
      </c>
      <c r="AT541" s="278">
        <f t="shared" si="212"/>
        <v>0</v>
      </c>
      <c r="AU541" s="55"/>
      <c r="AV541" s="277"/>
      <c r="AW541" s="279"/>
      <c r="AX541" s="52"/>
      <c r="AY541" s="98"/>
      <c r="AZ541" s="98"/>
      <c r="BA541" s="279"/>
      <c r="BB541" s="52"/>
      <c r="BC541" s="98"/>
      <c r="BD541" s="98"/>
      <c r="BE541" s="279"/>
      <c r="BF541" s="52"/>
      <c r="BG541" s="98"/>
      <c r="BH541" s="98"/>
      <c r="BI541" s="279"/>
      <c r="BJ541" s="52"/>
      <c r="BK541" s="98"/>
      <c r="BL541" s="98"/>
      <c r="BM541" s="279"/>
      <c r="BN541" s="52"/>
      <c r="BO541" s="98"/>
      <c r="BP541" s="98"/>
      <c r="BQ541" s="279"/>
      <c r="BR541" s="52"/>
      <c r="BS541" s="98"/>
      <c r="BT541" s="98"/>
      <c r="BU541" s="279"/>
      <c r="BV541" s="52"/>
      <c r="BW541" s="98"/>
      <c r="BX541" s="98"/>
      <c r="BY541" s="279"/>
      <c r="BZ541" s="52"/>
      <c r="CA541" s="98"/>
      <c r="CB541" s="98"/>
      <c r="CC541" s="279"/>
      <c r="CD541" s="52"/>
      <c r="CE541" s="98"/>
      <c r="CF541" s="98"/>
      <c r="CG541" s="279"/>
      <c r="CH541" s="52"/>
      <c r="CI541" s="98"/>
      <c r="CJ541" s="98"/>
      <c r="CK541" s="281"/>
      <c r="CL541" s="277"/>
      <c r="CM541" s="159"/>
      <c r="CN541" s="277"/>
      <c r="CO541" s="50">
        <f t="shared" si="218"/>
        <v>0</v>
      </c>
      <c r="CP541" s="103">
        <f t="shared" si="219"/>
        <v>0</v>
      </c>
      <c r="CQ541" s="280">
        <f t="shared" si="220"/>
        <v>0</v>
      </c>
      <c r="CR541" s="63">
        <f t="shared" si="221"/>
        <v>0</v>
      </c>
      <c r="CS541" s="279"/>
      <c r="CT541" s="52"/>
      <c r="CU541" s="98"/>
      <c r="CV541" s="98"/>
      <c r="CW541" s="279"/>
      <c r="CX541" s="52"/>
      <c r="CY541" s="98"/>
      <c r="CZ541" s="98"/>
      <c r="DA541" s="279"/>
      <c r="DB541" s="52"/>
      <c r="DC541" s="98"/>
      <c r="DD541" s="98"/>
      <c r="DE541" s="279"/>
      <c r="DF541" s="52"/>
      <c r="DG541" s="98"/>
      <c r="DH541" s="98"/>
      <c r="DI541" s="279"/>
      <c r="DJ541" s="52"/>
      <c r="DK541" s="98"/>
      <c r="DL541" s="98"/>
      <c r="DM541" s="279"/>
      <c r="DN541" s="52"/>
      <c r="DO541" s="98"/>
      <c r="DP541" s="98"/>
      <c r="DQ541" s="279"/>
      <c r="DR541" s="52"/>
      <c r="DS541" s="98"/>
      <c r="DT541" s="98"/>
      <c r="DU541" s="279"/>
      <c r="DV541" s="52"/>
      <c r="DW541" s="98"/>
      <c r="DX541" s="98"/>
      <c r="DY541" s="279"/>
      <c r="DZ541" s="52"/>
      <c r="EA541" s="98"/>
      <c r="EB541" s="98"/>
      <c r="EC541" s="279"/>
      <c r="ED541" s="52"/>
      <c r="EE541" s="98"/>
      <c r="EF541" s="98"/>
      <c r="EG541" s="159"/>
      <c r="EH541" s="277"/>
      <c r="EI541" s="50">
        <f t="shared" si="222"/>
        <v>0</v>
      </c>
      <c r="EJ541" s="103">
        <f t="shared" si="223"/>
        <v>0</v>
      </c>
      <c r="EK541" s="164">
        <f t="shared" si="224"/>
        <v>0</v>
      </c>
      <c r="EL541" s="280">
        <f t="shared" si="225"/>
        <v>0</v>
      </c>
      <c r="EM541" s="63">
        <f t="shared" si="226"/>
        <v>0</v>
      </c>
      <c r="EN541" s="359">
        <f t="shared" si="227"/>
        <v>0</v>
      </c>
      <c r="EO541" s="51">
        <f t="shared" si="228"/>
        <v>0</v>
      </c>
      <c r="EP541" s="361">
        <f t="shared" si="229"/>
        <v>0</v>
      </c>
      <c r="EQ541" s="281"/>
      <c r="ER541" s="277"/>
      <c r="ES541" s="281"/>
      <c r="ET541" s="277"/>
      <c r="EU541" s="281"/>
      <c r="EV541" s="277"/>
      <c r="EW541" s="281"/>
      <c r="EX541" s="277"/>
      <c r="EY541" s="281"/>
      <c r="EZ541" s="277"/>
      <c r="FA541" s="281"/>
      <c r="FB541" s="277"/>
      <c r="FC541" s="281"/>
      <c r="FD541" s="277"/>
      <c r="FE541" s="281"/>
      <c r="FF541" s="277"/>
      <c r="FG541" s="281"/>
      <c r="FH541" s="277"/>
      <c r="FI541" s="281"/>
      <c r="FJ541" s="277"/>
      <c r="FK541" s="50">
        <f t="shared" si="230"/>
        <v>0</v>
      </c>
      <c r="FL541" s="63">
        <f t="shared" si="231"/>
        <v>0</v>
      </c>
      <c r="FM541" s="50">
        <f t="shared" si="213"/>
        <v>182</v>
      </c>
      <c r="FN541" s="360">
        <f t="shared" si="214"/>
        <v>185</v>
      </c>
      <c r="FO541" s="3"/>
      <c r="FP541" s="279"/>
      <c r="FQ541" s="52"/>
      <c r="FR541" s="296"/>
      <c r="FS541" s="98"/>
      <c r="FT541" s="467"/>
      <c r="FU541" s="52"/>
      <c r="FV541" s="296"/>
      <c r="FW541" s="98"/>
      <c r="FX541" s="467"/>
      <c r="FY541" s="52"/>
      <c r="FZ541" s="296"/>
      <c r="GA541" s="98"/>
      <c r="GB541" s="467"/>
      <c r="GC541" s="52"/>
      <c r="GD541" s="296"/>
      <c r="GE541" s="98"/>
      <c r="GF541" s="467"/>
      <c r="GG541" s="52"/>
      <c r="GH541" s="296"/>
      <c r="GI541" s="98"/>
      <c r="GJ541" s="467"/>
      <c r="GK541" s="52"/>
      <c r="GL541" s="296"/>
      <c r="GM541" s="464"/>
      <c r="GN541" s="467"/>
      <c r="GO541" s="52"/>
      <c r="GP541" s="296"/>
      <c r="GQ541" s="464"/>
      <c r="GR541" s="467"/>
      <c r="GS541" s="52"/>
      <c r="GT541" s="296"/>
      <c r="GU541" s="464"/>
      <c r="GV541" s="467"/>
      <c r="GW541" s="52"/>
      <c r="GX541" s="296"/>
      <c r="GY541" s="464"/>
      <c r="GZ541" s="467"/>
      <c r="HA541" s="52"/>
      <c r="HB541" s="296"/>
      <c r="HC541" s="3"/>
    </row>
    <row r="542" spans="1:211" s="86" customFormat="1">
      <c r="A542" s="499" t="s">
        <v>32</v>
      </c>
      <c r="B542" s="311" t="s">
        <v>666</v>
      </c>
      <c r="C542" s="310">
        <v>219994</v>
      </c>
      <c r="D542" s="351">
        <v>13</v>
      </c>
      <c r="E542" s="460">
        <v>267</v>
      </c>
      <c r="F542" s="277">
        <v>294</v>
      </c>
      <c r="G542" s="158"/>
      <c r="H542" s="277"/>
      <c r="I542" s="158"/>
      <c r="J542" s="277"/>
      <c r="K542" s="160">
        <f t="shared" si="215"/>
        <v>0</v>
      </c>
      <c r="L542" s="161">
        <f t="shared" si="208"/>
        <v>0</v>
      </c>
      <c r="M542" s="54"/>
      <c r="N542" s="55"/>
      <c r="O542" s="55"/>
      <c r="P542" s="55"/>
      <c r="Q542" s="162">
        <f t="shared" si="216"/>
        <v>0</v>
      </c>
      <c r="R542" s="277"/>
      <c r="S542" s="277"/>
      <c r="T542" s="277"/>
      <c r="U542" s="277"/>
      <c r="V542" s="97">
        <f t="shared" si="217"/>
        <v>0</v>
      </c>
      <c r="W542" s="279"/>
      <c r="X542" s="52"/>
      <c r="Y542" s="99"/>
      <c r="Z542" s="53"/>
      <c r="AA542" s="228"/>
      <c r="AB542" s="52"/>
      <c r="AC542" s="99"/>
      <c r="AD542" s="53"/>
      <c r="AE542" s="228"/>
      <c r="AF542" s="52"/>
      <c r="AG542" s="99"/>
      <c r="AH542" s="53"/>
      <c r="AI542" s="228"/>
      <c r="AJ542" s="52"/>
      <c r="AK542" s="99"/>
      <c r="AL542" s="53"/>
      <c r="AM542" s="228"/>
      <c r="AN542" s="52"/>
      <c r="AO542" s="99"/>
      <c r="AP542" s="53"/>
      <c r="AQ542" s="50">
        <f t="shared" si="209"/>
        <v>0</v>
      </c>
      <c r="AR542" s="163">
        <f t="shared" si="210"/>
        <v>0</v>
      </c>
      <c r="AS542" s="97">
        <f t="shared" si="211"/>
        <v>0</v>
      </c>
      <c r="AT542" s="278">
        <f t="shared" si="212"/>
        <v>0</v>
      </c>
      <c r="AU542" s="55"/>
      <c r="AV542" s="277"/>
      <c r="AW542" s="279"/>
      <c r="AX542" s="52"/>
      <c r="AY542" s="98"/>
      <c r="AZ542" s="98"/>
      <c r="BA542" s="279"/>
      <c r="BB542" s="52"/>
      <c r="BC542" s="98"/>
      <c r="BD542" s="98"/>
      <c r="BE542" s="279"/>
      <c r="BF542" s="52"/>
      <c r="BG542" s="98"/>
      <c r="BH542" s="98"/>
      <c r="BI542" s="279"/>
      <c r="BJ542" s="52"/>
      <c r="BK542" s="98"/>
      <c r="BL542" s="98"/>
      <c r="BM542" s="279"/>
      <c r="BN542" s="52"/>
      <c r="BO542" s="98"/>
      <c r="BP542" s="98"/>
      <c r="BQ542" s="279"/>
      <c r="BR542" s="52"/>
      <c r="BS542" s="98"/>
      <c r="BT542" s="98"/>
      <c r="BU542" s="279"/>
      <c r="BV542" s="52"/>
      <c r="BW542" s="98"/>
      <c r="BX542" s="98"/>
      <c r="BY542" s="279"/>
      <c r="BZ542" s="52"/>
      <c r="CA542" s="98"/>
      <c r="CB542" s="98"/>
      <c r="CC542" s="279"/>
      <c r="CD542" s="52"/>
      <c r="CE542" s="98"/>
      <c r="CF542" s="98"/>
      <c r="CG542" s="279"/>
      <c r="CH542" s="52"/>
      <c r="CI542" s="98"/>
      <c r="CJ542" s="98"/>
      <c r="CK542" s="281"/>
      <c r="CL542" s="277"/>
      <c r="CM542" s="159"/>
      <c r="CN542" s="277"/>
      <c r="CO542" s="50">
        <f t="shared" si="218"/>
        <v>0</v>
      </c>
      <c r="CP542" s="103">
        <f t="shared" si="219"/>
        <v>0</v>
      </c>
      <c r="CQ542" s="280">
        <f t="shared" si="220"/>
        <v>0</v>
      </c>
      <c r="CR542" s="63">
        <f t="shared" si="221"/>
        <v>0</v>
      </c>
      <c r="CS542" s="279"/>
      <c r="CT542" s="52"/>
      <c r="CU542" s="98"/>
      <c r="CV542" s="98"/>
      <c r="CW542" s="279"/>
      <c r="CX542" s="52"/>
      <c r="CY542" s="98"/>
      <c r="CZ542" s="98"/>
      <c r="DA542" s="279"/>
      <c r="DB542" s="52"/>
      <c r="DC542" s="98"/>
      <c r="DD542" s="98"/>
      <c r="DE542" s="279"/>
      <c r="DF542" s="52"/>
      <c r="DG542" s="98"/>
      <c r="DH542" s="98"/>
      <c r="DI542" s="279"/>
      <c r="DJ542" s="52"/>
      <c r="DK542" s="98"/>
      <c r="DL542" s="98"/>
      <c r="DM542" s="279"/>
      <c r="DN542" s="52"/>
      <c r="DO542" s="98"/>
      <c r="DP542" s="98"/>
      <c r="DQ542" s="279"/>
      <c r="DR542" s="52"/>
      <c r="DS542" s="98"/>
      <c r="DT542" s="98"/>
      <c r="DU542" s="279"/>
      <c r="DV542" s="52"/>
      <c r="DW542" s="98"/>
      <c r="DX542" s="98"/>
      <c r="DY542" s="279"/>
      <c r="DZ542" s="52"/>
      <c r="EA542" s="98"/>
      <c r="EB542" s="98"/>
      <c r="EC542" s="279"/>
      <c r="ED542" s="52"/>
      <c r="EE542" s="98"/>
      <c r="EF542" s="98"/>
      <c r="EG542" s="159"/>
      <c r="EH542" s="277"/>
      <c r="EI542" s="50">
        <f t="shared" si="222"/>
        <v>0</v>
      </c>
      <c r="EJ542" s="103">
        <f t="shared" si="223"/>
        <v>0</v>
      </c>
      <c r="EK542" s="164">
        <f t="shared" si="224"/>
        <v>0</v>
      </c>
      <c r="EL542" s="280">
        <f t="shared" si="225"/>
        <v>0</v>
      </c>
      <c r="EM542" s="63">
        <f t="shared" si="226"/>
        <v>0</v>
      </c>
      <c r="EN542" s="359">
        <f t="shared" si="227"/>
        <v>0</v>
      </c>
      <c r="EO542" s="51">
        <f t="shared" si="228"/>
        <v>0</v>
      </c>
      <c r="EP542" s="361">
        <f t="shared" si="229"/>
        <v>0</v>
      </c>
      <c r="EQ542" s="281"/>
      <c r="ER542" s="277"/>
      <c r="ES542" s="281"/>
      <c r="ET542" s="277"/>
      <c r="EU542" s="281"/>
      <c r="EV542" s="277"/>
      <c r="EW542" s="281"/>
      <c r="EX542" s="277"/>
      <c r="EY542" s="281"/>
      <c r="EZ542" s="277"/>
      <c r="FA542" s="281"/>
      <c r="FB542" s="277"/>
      <c r="FC542" s="281"/>
      <c r="FD542" s="277"/>
      <c r="FE542" s="281"/>
      <c r="FF542" s="277"/>
      <c r="FG542" s="281"/>
      <c r="FH542" s="277"/>
      <c r="FI542" s="281"/>
      <c r="FJ542" s="277"/>
      <c r="FK542" s="50">
        <f t="shared" si="230"/>
        <v>0</v>
      </c>
      <c r="FL542" s="63">
        <f t="shared" si="231"/>
        <v>0</v>
      </c>
      <c r="FM542" s="50">
        <f t="shared" si="213"/>
        <v>267</v>
      </c>
      <c r="FN542" s="360">
        <f t="shared" si="214"/>
        <v>294</v>
      </c>
      <c r="FO542" s="3"/>
      <c r="FP542" s="279"/>
      <c r="FQ542" s="52"/>
      <c r="FR542" s="296"/>
      <c r="FS542" s="98"/>
      <c r="FT542" s="467"/>
      <c r="FU542" s="52"/>
      <c r="FV542" s="296"/>
      <c r="FW542" s="98"/>
      <c r="FX542" s="467"/>
      <c r="FY542" s="52"/>
      <c r="FZ542" s="296"/>
      <c r="GA542" s="98"/>
      <c r="GB542" s="467"/>
      <c r="GC542" s="52"/>
      <c r="GD542" s="296"/>
      <c r="GE542" s="98"/>
      <c r="GF542" s="467"/>
      <c r="GG542" s="52"/>
      <c r="GH542" s="296"/>
      <c r="GI542" s="98"/>
      <c r="GJ542" s="467"/>
      <c r="GK542" s="52"/>
      <c r="GL542" s="296"/>
      <c r="GM542" s="464"/>
      <c r="GN542" s="467"/>
      <c r="GO542" s="52"/>
      <c r="GP542" s="296"/>
      <c r="GQ542" s="464"/>
      <c r="GR542" s="467"/>
      <c r="GS542" s="52"/>
      <c r="GT542" s="296"/>
      <c r="GU542" s="464"/>
      <c r="GV542" s="467"/>
      <c r="GW542" s="52"/>
      <c r="GX542" s="296"/>
      <c r="GY542" s="464"/>
      <c r="GZ542" s="467"/>
      <c r="HA542" s="52"/>
      <c r="HB542" s="296"/>
      <c r="HC542" s="3"/>
    </row>
    <row r="543" spans="1:211" s="86" customFormat="1">
      <c r="A543" s="499" t="s">
        <v>32</v>
      </c>
      <c r="B543" s="311" t="s">
        <v>667</v>
      </c>
      <c r="C543" s="310">
        <v>220127</v>
      </c>
      <c r="D543" s="351">
        <v>13</v>
      </c>
      <c r="E543" s="460">
        <v>369</v>
      </c>
      <c r="F543" s="277">
        <v>409</v>
      </c>
      <c r="G543" s="158"/>
      <c r="H543" s="277"/>
      <c r="I543" s="158"/>
      <c r="J543" s="277"/>
      <c r="K543" s="160">
        <f t="shared" si="215"/>
        <v>0</v>
      </c>
      <c r="L543" s="161">
        <f t="shared" si="208"/>
        <v>0</v>
      </c>
      <c r="M543" s="54"/>
      <c r="N543" s="55"/>
      <c r="O543" s="55"/>
      <c r="P543" s="55"/>
      <c r="Q543" s="162">
        <f t="shared" si="216"/>
        <v>0</v>
      </c>
      <c r="R543" s="277"/>
      <c r="S543" s="277"/>
      <c r="T543" s="277"/>
      <c r="U543" s="277"/>
      <c r="V543" s="97">
        <f t="shared" si="217"/>
        <v>0</v>
      </c>
      <c r="W543" s="279"/>
      <c r="X543" s="52"/>
      <c r="Y543" s="99"/>
      <c r="Z543" s="53"/>
      <c r="AA543" s="228"/>
      <c r="AB543" s="52"/>
      <c r="AC543" s="99"/>
      <c r="AD543" s="53"/>
      <c r="AE543" s="228"/>
      <c r="AF543" s="52"/>
      <c r="AG543" s="99"/>
      <c r="AH543" s="53"/>
      <c r="AI543" s="228"/>
      <c r="AJ543" s="52"/>
      <c r="AK543" s="99"/>
      <c r="AL543" s="53"/>
      <c r="AM543" s="228"/>
      <c r="AN543" s="52"/>
      <c r="AO543" s="99"/>
      <c r="AP543" s="53"/>
      <c r="AQ543" s="50">
        <f t="shared" si="209"/>
        <v>0</v>
      </c>
      <c r="AR543" s="163">
        <f t="shared" si="210"/>
        <v>0</v>
      </c>
      <c r="AS543" s="97">
        <f t="shared" si="211"/>
        <v>0</v>
      </c>
      <c r="AT543" s="278">
        <f t="shared" si="212"/>
        <v>0</v>
      </c>
      <c r="AU543" s="55"/>
      <c r="AV543" s="277"/>
      <c r="AW543" s="279"/>
      <c r="AX543" s="52"/>
      <c r="AY543" s="98"/>
      <c r="AZ543" s="98"/>
      <c r="BA543" s="279"/>
      <c r="BB543" s="52"/>
      <c r="BC543" s="98"/>
      <c r="BD543" s="98"/>
      <c r="BE543" s="279"/>
      <c r="BF543" s="52"/>
      <c r="BG543" s="98"/>
      <c r="BH543" s="98"/>
      <c r="BI543" s="279"/>
      <c r="BJ543" s="52"/>
      <c r="BK543" s="98"/>
      <c r="BL543" s="98"/>
      <c r="BM543" s="279"/>
      <c r="BN543" s="52"/>
      <c r="BO543" s="98"/>
      <c r="BP543" s="98"/>
      <c r="BQ543" s="279"/>
      <c r="BR543" s="52"/>
      <c r="BS543" s="98"/>
      <c r="BT543" s="98"/>
      <c r="BU543" s="279"/>
      <c r="BV543" s="52"/>
      <c r="BW543" s="98"/>
      <c r="BX543" s="98"/>
      <c r="BY543" s="279"/>
      <c r="BZ543" s="52"/>
      <c r="CA543" s="98"/>
      <c r="CB543" s="98"/>
      <c r="CC543" s="279"/>
      <c r="CD543" s="52"/>
      <c r="CE543" s="98"/>
      <c r="CF543" s="98"/>
      <c r="CG543" s="279"/>
      <c r="CH543" s="52"/>
      <c r="CI543" s="98"/>
      <c r="CJ543" s="98"/>
      <c r="CK543" s="281"/>
      <c r="CL543" s="277"/>
      <c r="CM543" s="159"/>
      <c r="CN543" s="277"/>
      <c r="CO543" s="50">
        <f t="shared" si="218"/>
        <v>0</v>
      </c>
      <c r="CP543" s="103">
        <f t="shared" si="219"/>
        <v>0</v>
      </c>
      <c r="CQ543" s="280">
        <f t="shared" si="220"/>
        <v>0</v>
      </c>
      <c r="CR543" s="63">
        <f t="shared" si="221"/>
        <v>0</v>
      </c>
      <c r="CS543" s="279"/>
      <c r="CT543" s="52"/>
      <c r="CU543" s="98"/>
      <c r="CV543" s="98"/>
      <c r="CW543" s="279"/>
      <c r="CX543" s="52"/>
      <c r="CY543" s="98"/>
      <c r="CZ543" s="98"/>
      <c r="DA543" s="279"/>
      <c r="DB543" s="52"/>
      <c r="DC543" s="98"/>
      <c r="DD543" s="98"/>
      <c r="DE543" s="279"/>
      <c r="DF543" s="52"/>
      <c r="DG543" s="98"/>
      <c r="DH543" s="98"/>
      <c r="DI543" s="279"/>
      <c r="DJ543" s="52"/>
      <c r="DK543" s="98"/>
      <c r="DL543" s="98"/>
      <c r="DM543" s="279"/>
      <c r="DN543" s="52"/>
      <c r="DO543" s="98"/>
      <c r="DP543" s="98"/>
      <c r="DQ543" s="279"/>
      <c r="DR543" s="52"/>
      <c r="DS543" s="98"/>
      <c r="DT543" s="98"/>
      <c r="DU543" s="279"/>
      <c r="DV543" s="52"/>
      <c r="DW543" s="98"/>
      <c r="DX543" s="98"/>
      <c r="DY543" s="279"/>
      <c r="DZ543" s="52"/>
      <c r="EA543" s="98"/>
      <c r="EB543" s="98"/>
      <c r="EC543" s="279"/>
      <c r="ED543" s="52"/>
      <c r="EE543" s="98"/>
      <c r="EF543" s="98"/>
      <c r="EG543" s="159"/>
      <c r="EH543" s="277"/>
      <c r="EI543" s="50">
        <f t="shared" si="222"/>
        <v>0</v>
      </c>
      <c r="EJ543" s="103">
        <f t="shared" si="223"/>
        <v>0</v>
      </c>
      <c r="EK543" s="164">
        <f t="shared" si="224"/>
        <v>0</v>
      </c>
      <c r="EL543" s="280">
        <f t="shared" si="225"/>
        <v>0</v>
      </c>
      <c r="EM543" s="63">
        <f t="shared" si="226"/>
        <v>0</v>
      </c>
      <c r="EN543" s="359">
        <f t="shared" si="227"/>
        <v>0</v>
      </c>
      <c r="EO543" s="51">
        <f t="shared" si="228"/>
        <v>0</v>
      </c>
      <c r="EP543" s="361">
        <f t="shared" si="229"/>
        <v>0</v>
      </c>
      <c r="EQ543" s="281"/>
      <c r="ER543" s="277"/>
      <c r="ES543" s="281"/>
      <c r="ET543" s="277"/>
      <c r="EU543" s="281"/>
      <c r="EV543" s="277"/>
      <c r="EW543" s="281"/>
      <c r="EX543" s="277"/>
      <c r="EY543" s="281"/>
      <c r="EZ543" s="277"/>
      <c r="FA543" s="281"/>
      <c r="FB543" s="277"/>
      <c r="FC543" s="281"/>
      <c r="FD543" s="277"/>
      <c r="FE543" s="281"/>
      <c r="FF543" s="277"/>
      <c r="FG543" s="281"/>
      <c r="FH543" s="277"/>
      <c r="FI543" s="281"/>
      <c r="FJ543" s="277"/>
      <c r="FK543" s="50">
        <f t="shared" si="230"/>
        <v>0</v>
      </c>
      <c r="FL543" s="63">
        <f t="shared" si="231"/>
        <v>0</v>
      </c>
      <c r="FM543" s="50">
        <f t="shared" si="213"/>
        <v>369</v>
      </c>
      <c r="FN543" s="360">
        <f t="shared" si="214"/>
        <v>409</v>
      </c>
      <c r="FO543" s="3"/>
      <c r="FP543" s="279"/>
      <c r="FQ543" s="52"/>
      <c r="FR543" s="296"/>
      <c r="FS543" s="98"/>
      <c r="FT543" s="467"/>
      <c r="FU543" s="52"/>
      <c r="FV543" s="296"/>
      <c r="FW543" s="98"/>
      <c r="FX543" s="467"/>
      <c r="FY543" s="52"/>
      <c r="FZ543" s="296"/>
      <c r="GA543" s="98"/>
      <c r="GB543" s="467"/>
      <c r="GC543" s="52"/>
      <c r="GD543" s="296"/>
      <c r="GE543" s="98"/>
      <c r="GF543" s="467"/>
      <c r="GG543" s="52"/>
      <c r="GH543" s="296"/>
      <c r="GI543" s="98"/>
      <c r="GJ543" s="467"/>
      <c r="GK543" s="52"/>
      <c r="GL543" s="296"/>
      <c r="GM543" s="464"/>
      <c r="GN543" s="467"/>
      <c r="GO543" s="52"/>
      <c r="GP543" s="296"/>
      <c r="GQ543" s="464"/>
      <c r="GR543" s="467"/>
      <c r="GS543" s="52"/>
      <c r="GT543" s="296"/>
      <c r="GU543" s="464"/>
      <c r="GV543" s="467"/>
      <c r="GW543" s="52"/>
      <c r="GX543" s="296"/>
      <c r="GY543" s="464"/>
      <c r="GZ543" s="467"/>
      <c r="HA543" s="52"/>
      <c r="HB543" s="296"/>
      <c r="HC543" s="3"/>
    </row>
    <row r="544" spans="1:211" s="86" customFormat="1">
      <c r="A544" s="499" t="s">
        <v>32</v>
      </c>
      <c r="B544" s="311" t="s">
        <v>668</v>
      </c>
      <c r="C544" s="310">
        <v>220251</v>
      </c>
      <c r="D544" s="351">
        <v>13</v>
      </c>
      <c r="E544" s="460">
        <v>102</v>
      </c>
      <c r="F544" s="277">
        <v>144</v>
      </c>
      <c r="G544" s="158"/>
      <c r="H544" s="277"/>
      <c r="I544" s="158"/>
      <c r="J544" s="277"/>
      <c r="K544" s="160">
        <f t="shared" si="215"/>
        <v>0</v>
      </c>
      <c r="L544" s="161">
        <f t="shared" si="208"/>
        <v>0</v>
      </c>
      <c r="M544" s="54"/>
      <c r="N544" s="55"/>
      <c r="O544" s="55"/>
      <c r="P544" s="55"/>
      <c r="Q544" s="162">
        <f t="shared" si="216"/>
        <v>0</v>
      </c>
      <c r="R544" s="277"/>
      <c r="S544" s="277"/>
      <c r="T544" s="277"/>
      <c r="U544" s="277"/>
      <c r="V544" s="97">
        <f t="shared" si="217"/>
        <v>0</v>
      </c>
      <c r="W544" s="279"/>
      <c r="X544" s="52"/>
      <c r="Y544" s="99"/>
      <c r="Z544" s="53"/>
      <c r="AA544" s="228"/>
      <c r="AB544" s="52"/>
      <c r="AC544" s="99"/>
      <c r="AD544" s="53"/>
      <c r="AE544" s="228"/>
      <c r="AF544" s="52"/>
      <c r="AG544" s="99"/>
      <c r="AH544" s="53"/>
      <c r="AI544" s="228"/>
      <c r="AJ544" s="52"/>
      <c r="AK544" s="99"/>
      <c r="AL544" s="53"/>
      <c r="AM544" s="228"/>
      <c r="AN544" s="52"/>
      <c r="AO544" s="99"/>
      <c r="AP544" s="53"/>
      <c r="AQ544" s="50">
        <f t="shared" si="209"/>
        <v>0</v>
      </c>
      <c r="AR544" s="163">
        <f t="shared" si="210"/>
        <v>0</v>
      </c>
      <c r="AS544" s="97">
        <f t="shared" si="211"/>
        <v>0</v>
      </c>
      <c r="AT544" s="278">
        <f t="shared" si="212"/>
        <v>0</v>
      </c>
      <c r="AU544" s="55"/>
      <c r="AV544" s="277"/>
      <c r="AW544" s="279"/>
      <c r="AX544" s="52"/>
      <c r="AY544" s="98"/>
      <c r="AZ544" s="98"/>
      <c r="BA544" s="279"/>
      <c r="BB544" s="52"/>
      <c r="BC544" s="98"/>
      <c r="BD544" s="98"/>
      <c r="BE544" s="279"/>
      <c r="BF544" s="52"/>
      <c r="BG544" s="98"/>
      <c r="BH544" s="98"/>
      <c r="BI544" s="279"/>
      <c r="BJ544" s="52"/>
      <c r="BK544" s="98"/>
      <c r="BL544" s="98"/>
      <c r="BM544" s="279"/>
      <c r="BN544" s="52"/>
      <c r="BO544" s="98"/>
      <c r="BP544" s="98"/>
      <c r="BQ544" s="279"/>
      <c r="BR544" s="52"/>
      <c r="BS544" s="98"/>
      <c r="BT544" s="98"/>
      <c r="BU544" s="279"/>
      <c r="BV544" s="52"/>
      <c r="BW544" s="98"/>
      <c r="BX544" s="98"/>
      <c r="BY544" s="279"/>
      <c r="BZ544" s="52"/>
      <c r="CA544" s="98"/>
      <c r="CB544" s="98"/>
      <c r="CC544" s="279"/>
      <c r="CD544" s="52"/>
      <c r="CE544" s="98"/>
      <c r="CF544" s="98"/>
      <c r="CG544" s="279"/>
      <c r="CH544" s="52"/>
      <c r="CI544" s="98"/>
      <c r="CJ544" s="98"/>
      <c r="CK544" s="281"/>
      <c r="CL544" s="277"/>
      <c r="CM544" s="159"/>
      <c r="CN544" s="277"/>
      <c r="CO544" s="50">
        <f t="shared" si="218"/>
        <v>0</v>
      </c>
      <c r="CP544" s="103">
        <f t="shared" si="219"/>
        <v>0</v>
      </c>
      <c r="CQ544" s="280">
        <f t="shared" si="220"/>
        <v>0</v>
      </c>
      <c r="CR544" s="63">
        <f t="shared" si="221"/>
        <v>0</v>
      </c>
      <c r="CS544" s="279"/>
      <c r="CT544" s="52"/>
      <c r="CU544" s="98"/>
      <c r="CV544" s="98"/>
      <c r="CW544" s="279"/>
      <c r="CX544" s="52"/>
      <c r="CY544" s="98"/>
      <c r="CZ544" s="98"/>
      <c r="DA544" s="279"/>
      <c r="DB544" s="52"/>
      <c r="DC544" s="98"/>
      <c r="DD544" s="98"/>
      <c r="DE544" s="279"/>
      <c r="DF544" s="52"/>
      <c r="DG544" s="98"/>
      <c r="DH544" s="98"/>
      <c r="DI544" s="279"/>
      <c r="DJ544" s="52"/>
      <c r="DK544" s="98"/>
      <c r="DL544" s="98"/>
      <c r="DM544" s="279"/>
      <c r="DN544" s="52"/>
      <c r="DO544" s="98"/>
      <c r="DP544" s="98"/>
      <c r="DQ544" s="279"/>
      <c r="DR544" s="52"/>
      <c r="DS544" s="98"/>
      <c r="DT544" s="98"/>
      <c r="DU544" s="279"/>
      <c r="DV544" s="52"/>
      <c r="DW544" s="98"/>
      <c r="DX544" s="98"/>
      <c r="DY544" s="279"/>
      <c r="DZ544" s="52"/>
      <c r="EA544" s="98"/>
      <c r="EB544" s="98"/>
      <c r="EC544" s="279"/>
      <c r="ED544" s="52"/>
      <c r="EE544" s="98"/>
      <c r="EF544" s="98"/>
      <c r="EG544" s="159"/>
      <c r="EH544" s="277"/>
      <c r="EI544" s="50">
        <f t="shared" si="222"/>
        <v>0</v>
      </c>
      <c r="EJ544" s="103">
        <f t="shared" si="223"/>
        <v>0</v>
      </c>
      <c r="EK544" s="164">
        <f t="shared" si="224"/>
        <v>0</v>
      </c>
      <c r="EL544" s="280">
        <f t="shared" si="225"/>
        <v>0</v>
      </c>
      <c r="EM544" s="63">
        <f t="shared" si="226"/>
        <v>0</v>
      </c>
      <c r="EN544" s="359">
        <f t="shared" si="227"/>
        <v>0</v>
      </c>
      <c r="EO544" s="51">
        <f t="shared" si="228"/>
        <v>0</v>
      </c>
      <c r="EP544" s="361">
        <f t="shared" si="229"/>
        <v>0</v>
      </c>
      <c r="EQ544" s="281"/>
      <c r="ER544" s="277"/>
      <c r="ES544" s="281"/>
      <c r="ET544" s="277"/>
      <c r="EU544" s="281"/>
      <c r="EV544" s="277"/>
      <c r="EW544" s="281"/>
      <c r="EX544" s="277"/>
      <c r="EY544" s="281"/>
      <c r="EZ544" s="277"/>
      <c r="FA544" s="281"/>
      <c r="FB544" s="277"/>
      <c r="FC544" s="281"/>
      <c r="FD544" s="277"/>
      <c r="FE544" s="281"/>
      <c r="FF544" s="277"/>
      <c r="FG544" s="281"/>
      <c r="FH544" s="277"/>
      <c r="FI544" s="281"/>
      <c r="FJ544" s="277"/>
      <c r="FK544" s="50">
        <f t="shared" si="230"/>
        <v>0</v>
      </c>
      <c r="FL544" s="63">
        <f t="shared" si="231"/>
        <v>0</v>
      </c>
      <c r="FM544" s="50">
        <f t="shared" si="213"/>
        <v>102</v>
      </c>
      <c r="FN544" s="360">
        <f t="shared" si="214"/>
        <v>144</v>
      </c>
      <c r="FO544" s="3"/>
      <c r="FP544" s="279"/>
      <c r="FQ544" s="52"/>
      <c r="FR544" s="296"/>
      <c r="FS544" s="98"/>
      <c r="FT544" s="467"/>
      <c r="FU544" s="52"/>
      <c r="FV544" s="296"/>
      <c r="FW544" s="98"/>
      <c r="FX544" s="467"/>
      <c r="FY544" s="52"/>
      <c r="FZ544" s="296"/>
      <c r="GA544" s="98"/>
      <c r="GB544" s="467"/>
      <c r="GC544" s="52"/>
      <c r="GD544" s="296"/>
      <c r="GE544" s="98"/>
      <c r="GF544" s="467"/>
      <c r="GG544" s="52"/>
      <c r="GH544" s="296"/>
      <c r="GI544" s="98"/>
      <c r="GJ544" s="467"/>
      <c r="GK544" s="52"/>
      <c r="GL544" s="296"/>
      <c r="GM544" s="464"/>
      <c r="GN544" s="467"/>
      <c r="GO544" s="52"/>
      <c r="GP544" s="296"/>
      <c r="GQ544" s="464"/>
      <c r="GR544" s="467"/>
      <c r="GS544" s="52"/>
      <c r="GT544" s="296"/>
      <c r="GU544" s="464"/>
      <c r="GV544" s="467"/>
      <c r="GW544" s="52"/>
      <c r="GX544" s="296"/>
      <c r="GY544" s="464"/>
      <c r="GZ544" s="467"/>
      <c r="HA544" s="52"/>
      <c r="HB544" s="296"/>
      <c r="HC544" s="3"/>
    </row>
    <row r="545" spans="1:211" s="86" customFormat="1">
      <c r="A545" s="499" t="s">
        <v>32</v>
      </c>
      <c r="B545" s="311" t="s">
        <v>669</v>
      </c>
      <c r="C545" s="310">
        <v>220279</v>
      </c>
      <c r="D545" s="351">
        <v>13</v>
      </c>
      <c r="E545" s="460">
        <v>126</v>
      </c>
      <c r="F545" s="277">
        <v>186</v>
      </c>
      <c r="G545" s="158"/>
      <c r="H545" s="277"/>
      <c r="I545" s="158"/>
      <c r="J545" s="277"/>
      <c r="K545" s="160">
        <f t="shared" si="215"/>
        <v>0</v>
      </c>
      <c r="L545" s="161">
        <f t="shared" si="208"/>
        <v>0</v>
      </c>
      <c r="M545" s="54"/>
      <c r="N545" s="55"/>
      <c r="O545" s="55"/>
      <c r="P545" s="55"/>
      <c r="Q545" s="162">
        <f t="shared" si="216"/>
        <v>0</v>
      </c>
      <c r="R545" s="277"/>
      <c r="S545" s="277"/>
      <c r="T545" s="277"/>
      <c r="U545" s="277"/>
      <c r="V545" s="97">
        <f t="shared" si="217"/>
        <v>0</v>
      </c>
      <c r="W545" s="279"/>
      <c r="X545" s="52"/>
      <c r="Y545" s="99"/>
      <c r="Z545" s="53"/>
      <c r="AA545" s="228"/>
      <c r="AB545" s="52"/>
      <c r="AC545" s="99"/>
      <c r="AD545" s="53"/>
      <c r="AE545" s="228"/>
      <c r="AF545" s="52"/>
      <c r="AG545" s="99"/>
      <c r="AH545" s="53"/>
      <c r="AI545" s="228"/>
      <c r="AJ545" s="52"/>
      <c r="AK545" s="99"/>
      <c r="AL545" s="53"/>
      <c r="AM545" s="228"/>
      <c r="AN545" s="52"/>
      <c r="AO545" s="99"/>
      <c r="AP545" s="53"/>
      <c r="AQ545" s="50">
        <f t="shared" si="209"/>
        <v>0</v>
      </c>
      <c r="AR545" s="163">
        <f t="shared" si="210"/>
        <v>0</v>
      </c>
      <c r="AS545" s="97">
        <f t="shared" si="211"/>
        <v>0</v>
      </c>
      <c r="AT545" s="278">
        <f t="shared" si="212"/>
        <v>0</v>
      </c>
      <c r="AU545" s="55"/>
      <c r="AV545" s="277"/>
      <c r="AW545" s="279"/>
      <c r="AX545" s="52"/>
      <c r="AY545" s="98"/>
      <c r="AZ545" s="98"/>
      <c r="BA545" s="279"/>
      <c r="BB545" s="52"/>
      <c r="BC545" s="98"/>
      <c r="BD545" s="98"/>
      <c r="BE545" s="279"/>
      <c r="BF545" s="52"/>
      <c r="BG545" s="98"/>
      <c r="BH545" s="98"/>
      <c r="BI545" s="279"/>
      <c r="BJ545" s="52"/>
      <c r="BK545" s="98"/>
      <c r="BL545" s="98"/>
      <c r="BM545" s="279"/>
      <c r="BN545" s="52"/>
      <c r="BO545" s="98"/>
      <c r="BP545" s="98"/>
      <c r="BQ545" s="279"/>
      <c r="BR545" s="52"/>
      <c r="BS545" s="98"/>
      <c r="BT545" s="98"/>
      <c r="BU545" s="279"/>
      <c r="BV545" s="52"/>
      <c r="BW545" s="98"/>
      <c r="BX545" s="98"/>
      <c r="BY545" s="279"/>
      <c r="BZ545" s="52"/>
      <c r="CA545" s="98"/>
      <c r="CB545" s="98"/>
      <c r="CC545" s="279"/>
      <c r="CD545" s="52"/>
      <c r="CE545" s="98"/>
      <c r="CF545" s="98"/>
      <c r="CG545" s="279"/>
      <c r="CH545" s="52"/>
      <c r="CI545" s="98"/>
      <c r="CJ545" s="98"/>
      <c r="CK545" s="281"/>
      <c r="CL545" s="277"/>
      <c r="CM545" s="159"/>
      <c r="CN545" s="277"/>
      <c r="CO545" s="50">
        <f t="shared" si="218"/>
        <v>0</v>
      </c>
      <c r="CP545" s="103">
        <f t="shared" si="219"/>
        <v>0</v>
      </c>
      <c r="CQ545" s="280">
        <f t="shared" si="220"/>
        <v>0</v>
      </c>
      <c r="CR545" s="63">
        <f t="shared" si="221"/>
        <v>0</v>
      </c>
      <c r="CS545" s="279"/>
      <c r="CT545" s="52"/>
      <c r="CU545" s="98"/>
      <c r="CV545" s="98"/>
      <c r="CW545" s="279"/>
      <c r="CX545" s="52"/>
      <c r="CY545" s="98"/>
      <c r="CZ545" s="98"/>
      <c r="DA545" s="279"/>
      <c r="DB545" s="52"/>
      <c r="DC545" s="98"/>
      <c r="DD545" s="98"/>
      <c r="DE545" s="279"/>
      <c r="DF545" s="52"/>
      <c r="DG545" s="98"/>
      <c r="DH545" s="98"/>
      <c r="DI545" s="279"/>
      <c r="DJ545" s="52"/>
      <c r="DK545" s="98"/>
      <c r="DL545" s="98"/>
      <c r="DM545" s="279"/>
      <c r="DN545" s="52"/>
      <c r="DO545" s="98"/>
      <c r="DP545" s="98"/>
      <c r="DQ545" s="279"/>
      <c r="DR545" s="52"/>
      <c r="DS545" s="98"/>
      <c r="DT545" s="98"/>
      <c r="DU545" s="279"/>
      <c r="DV545" s="52"/>
      <c r="DW545" s="98"/>
      <c r="DX545" s="98"/>
      <c r="DY545" s="279"/>
      <c r="DZ545" s="52"/>
      <c r="EA545" s="98"/>
      <c r="EB545" s="98"/>
      <c r="EC545" s="279"/>
      <c r="ED545" s="52"/>
      <c r="EE545" s="105"/>
      <c r="EF545" s="98"/>
      <c r="EG545" s="159"/>
      <c r="EH545" s="277"/>
      <c r="EI545" s="50">
        <f t="shared" si="222"/>
        <v>0</v>
      </c>
      <c r="EJ545" s="103">
        <f t="shared" si="223"/>
        <v>0</v>
      </c>
      <c r="EK545" s="164">
        <f t="shared" si="224"/>
        <v>0</v>
      </c>
      <c r="EL545" s="280">
        <f t="shared" si="225"/>
        <v>0</v>
      </c>
      <c r="EM545" s="63">
        <f t="shared" si="226"/>
        <v>0</v>
      </c>
      <c r="EN545" s="359">
        <f t="shared" si="227"/>
        <v>0</v>
      </c>
      <c r="EO545" s="51">
        <f t="shared" si="228"/>
        <v>0</v>
      </c>
      <c r="EP545" s="361">
        <f t="shared" si="229"/>
        <v>0</v>
      </c>
      <c r="EQ545" s="281"/>
      <c r="ER545" s="277"/>
      <c r="ES545" s="281"/>
      <c r="ET545" s="277"/>
      <c r="EU545" s="281"/>
      <c r="EV545" s="277"/>
      <c r="EW545" s="281"/>
      <c r="EX545" s="277"/>
      <c r="EY545" s="281"/>
      <c r="EZ545" s="277"/>
      <c r="FA545" s="281"/>
      <c r="FB545" s="277"/>
      <c r="FC545" s="281"/>
      <c r="FD545" s="277"/>
      <c r="FE545" s="281"/>
      <c r="FF545" s="277"/>
      <c r="FG545" s="281"/>
      <c r="FH545" s="277"/>
      <c r="FI545" s="281"/>
      <c r="FJ545" s="277"/>
      <c r="FK545" s="50">
        <f t="shared" si="230"/>
        <v>0</v>
      </c>
      <c r="FL545" s="63">
        <f t="shared" si="231"/>
        <v>0</v>
      </c>
      <c r="FM545" s="50">
        <f t="shared" si="213"/>
        <v>126</v>
      </c>
      <c r="FN545" s="360">
        <f t="shared" si="214"/>
        <v>186</v>
      </c>
      <c r="FO545" s="3"/>
      <c r="FP545" s="279"/>
      <c r="FQ545" s="52"/>
      <c r="FR545" s="296"/>
      <c r="FS545" s="98"/>
      <c r="FT545" s="467"/>
      <c r="FU545" s="52"/>
      <c r="FV545" s="296"/>
      <c r="FW545" s="98"/>
      <c r="FX545" s="467"/>
      <c r="FY545" s="52"/>
      <c r="FZ545" s="296"/>
      <c r="GA545" s="98"/>
      <c r="GB545" s="467"/>
      <c r="GC545" s="52"/>
      <c r="GD545" s="296"/>
      <c r="GE545" s="98"/>
      <c r="GF545" s="467"/>
      <c r="GG545" s="52"/>
      <c r="GH545" s="296"/>
      <c r="GI545" s="98"/>
      <c r="GJ545" s="467"/>
      <c r="GK545" s="52"/>
      <c r="GL545" s="296"/>
      <c r="GM545" s="464"/>
      <c r="GN545" s="467"/>
      <c r="GO545" s="52"/>
      <c r="GP545" s="296"/>
      <c r="GQ545" s="464"/>
      <c r="GR545" s="467"/>
      <c r="GS545" s="52"/>
      <c r="GT545" s="296"/>
      <c r="GU545" s="464"/>
      <c r="GV545" s="467"/>
      <c r="GW545" s="52"/>
      <c r="GX545" s="296"/>
      <c r="GY545" s="464"/>
      <c r="GZ545" s="467"/>
      <c r="HA545" s="52"/>
      <c r="HB545" s="296"/>
      <c r="HC545" s="3"/>
    </row>
    <row r="546" spans="1:211" s="86" customFormat="1">
      <c r="A546" s="499" t="s">
        <v>32</v>
      </c>
      <c r="B546" s="311" t="s">
        <v>66</v>
      </c>
      <c r="C546" s="310">
        <v>220321</v>
      </c>
      <c r="D546" s="351">
        <v>13</v>
      </c>
      <c r="E546" s="460">
        <v>241</v>
      </c>
      <c r="F546" s="277">
        <v>295</v>
      </c>
      <c r="G546" s="158"/>
      <c r="H546" s="277"/>
      <c r="I546" s="158"/>
      <c r="J546" s="277"/>
      <c r="K546" s="160">
        <f t="shared" si="215"/>
        <v>0</v>
      </c>
      <c r="L546" s="161">
        <f t="shared" si="208"/>
        <v>0</v>
      </c>
      <c r="M546" s="54"/>
      <c r="N546" s="55"/>
      <c r="O546" s="55"/>
      <c r="P546" s="55"/>
      <c r="Q546" s="162">
        <f t="shared" si="216"/>
        <v>0</v>
      </c>
      <c r="R546" s="277"/>
      <c r="S546" s="277"/>
      <c r="T546" s="277"/>
      <c r="U546" s="277"/>
      <c r="V546" s="97">
        <f t="shared" si="217"/>
        <v>0</v>
      </c>
      <c r="W546" s="279"/>
      <c r="X546" s="52"/>
      <c r="Y546" s="99"/>
      <c r="Z546" s="53"/>
      <c r="AA546" s="228"/>
      <c r="AB546" s="52"/>
      <c r="AC546" s="99"/>
      <c r="AD546" s="53"/>
      <c r="AE546" s="228"/>
      <c r="AF546" s="52"/>
      <c r="AG546" s="99"/>
      <c r="AH546" s="53"/>
      <c r="AI546" s="228"/>
      <c r="AJ546" s="52"/>
      <c r="AK546" s="99"/>
      <c r="AL546" s="53"/>
      <c r="AM546" s="228"/>
      <c r="AN546" s="52"/>
      <c r="AO546" s="99"/>
      <c r="AP546" s="53"/>
      <c r="AQ546" s="50">
        <f t="shared" si="209"/>
        <v>0</v>
      </c>
      <c r="AR546" s="163">
        <f t="shared" si="210"/>
        <v>0</v>
      </c>
      <c r="AS546" s="97">
        <f t="shared" si="211"/>
        <v>0</v>
      </c>
      <c r="AT546" s="278">
        <f t="shared" si="212"/>
        <v>0</v>
      </c>
      <c r="AU546" s="55"/>
      <c r="AV546" s="277"/>
      <c r="AW546" s="279"/>
      <c r="AX546" s="52"/>
      <c r="AY546" s="98"/>
      <c r="AZ546" s="98"/>
      <c r="BA546" s="279"/>
      <c r="BB546" s="52"/>
      <c r="BC546" s="98"/>
      <c r="BD546" s="98"/>
      <c r="BE546" s="279"/>
      <c r="BF546" s="52"/>
      <c r="BG546" s="98"/>
      <c r="BH546" s="98"/>
      <c r="BI546" s="279"/>
      <c r="BJ546" s="52"/>
      <c r="BK546" s="98"/>
      <c r="BL546" s="98"/>
      <c r="BM546" s="279"/>
      <c r="BN546" s="52"/>
      <c r="BO546" s="98"/>
      <c r="BP546" s="98"/>
      <c r="BQ546" s="279"/>
      <c r="BR546" s="52"/>
      <c r="BS546" s="98"/>
      <c r="BT546" s="98"/>
      <c r="BU546" s="279"/>
      <c r="BV546" s="52"/>
      <c r="BW546" s="98"/>
      <c r="BX546" s="98"/>
      <c r="BY546" s="279"/>
      <c r="BZ546" s="52"/>
      <c r="CA546" s="98"/>
      <c r="CB546" s="98"/>
      <c r="CC546" s="279"/>
      <c r="CD546" s="52"/>
      <c r="CE546" s="98"/>
      <c r="CF546" s="98"/>
      <c r="CG546" s="279"/>
      <c r="CH546" s="52"/>
      <c r="CI546" s="98"/>
      <c r="CJ546" s="98"/>
      <c r="CK546" s="281"/>
      <c r="CL546" s="277"/>
      <c r="CM546" s="159"/>
      <c r="CN546" s="277"/>
      <c r="CO546" s="50">
        <f t="shared" si="218"/>
        <v>0</v>
      </c>
      <c r="CP546" s="103">
        <f t="shared" si="219"/>
        <v>0</v>
      </c>
      <c r="CQ546" s="280">
        <f t="shared" si="220"/>
        <v>0</v>
      </c>
      <c r="CR546" s="63">
        <f t="shared" si="221"/>
        <v>0</v>
      </c>
      <c r="CS546" s="279"/>
      <c r="CT546" s="52"/>
      <c r="CU546" s="105"/>
      <c r="CV546" s="98"/>
      <c r="CW546" s="279"/>
      <c r="CX546" s="52"/>
      <c r="CY546" s="105"/>
      <c r="CZ546" s="98"/>
      <c r="DA546" s="279"/>
      <c r="DB546" s="52"/>
      <c r="DC546" s="105"/>
      <c r="DD546" s="98"/>
      <c r="DE546" s="279"/>
      <c r="DF546" s="52"/>
      <c r="DG546" s="105"/>
      <c r="DH546" s="98"/>
      <c r="DI546" s="279"/>
      <c r="DJ546" s="52"/>
      <c r="DK546" s="105"/>
      <c r="DL546" s="98"/>
      <c r="DM546" s="279"/>
      <c r="DN546" s="52"/>
      <c r="DO546" s="105"/>
      <c r="DP546" s="98"/>
      <c r="DQ546" s="279"/>
      <c r="DR546" s="52"/>
      <c r="DS546" s="105"/>
      <c r="DT546" s="98"/>
      <c r="DU546" s="279"/>
      <c r="DV546" s="52"/>
      <c r="DW546" s="105"/>
      <c r="DX546" s="98"/>
      <c r="DY546" s="279"/>
      <c r="DZ546" s="52"/>
      <c r="EA546" s="105"/>
      <c r="EB546" s="98"/>
      <c r="EC546" s="279"/>
      <c r="ED546" s="52"/>
      <c r="EE546" s="105"/>
      <c r="EF546" s="98"/>
      <c r="EG546" s="159"/>
      <c r="EH546" s="277"/>
      <c r="EI546" s="50">
        <f t="shared" si="222"/>
        <v>0</v>
      </c>
      <c r="EJ546" s="103">
        <f t="shared" si="223"/>
        <v>0</v>
      </c>
      <c r="EK546" s="164">
        <f t="shared" si="224"/>
        <v>0</v>
      </c>
      <c r="EL546" s="280">
        <f t="shared" si="225"/>
        <v>0</v>
      </c>
      <c r="EM546" s="63">
        <f t="shared" si="226"/>
        <v>0</v>
      </c>
      <c r="EN546" s="359">
        <f t="shared" si="227"/>
        <v>0</v>
      </c>
      <c r="EO546" s="51">
        <f t="shared" si="228"/>
        <v>0</v>
      </c>
      <c r="EP546" s="361">
        <f t="shared" si="229"/>
        <v>0</v>
      </c>
      <c r="EQ546" s="281"/>
      <c r="ER546" s="277"/>
      <c r="ES546" s="281"/>
      <c r="ET546" s="277"/>
      <c r="EU546" s="281"/>
      <c r="EV546" s="277"/>
      <c r="EW546" s="281"/>
      <c r="EX546" s="277"/>
      <c r="EY546" s="281"/>
      <c r="EZ546" s="277"/>
      <c r="FA546" s="281"/>
      <c r="FB546" s="277"/>
      <c r="FC546" s="281"/>
      <c r="FD546" s="277"/>
      <c r="FE546" s="281"/>
      <c r="FF546" s="277"/>
      <c r="FG546" s="281"/>
      <c r="FH546" s="277"/>
      <c r="FI546" s="281"/>
      <c r="FJ546" s="277"/>
      <c r="FK546" s="50">
        <f t="shared" si="230"/>
        <v>0</v>
      </c>
      <c r="FL546" s="63">
        <f t="shared" si="231"/>
        <v>0</v>
      </c>
      <c r="FM546" s="50">
        <f t="shared" si="213"/>
        <v>241</v>
      </c>
      <c r="FN546" s="360">
        <f t="shared" si="214"/>
        <v>295</v>
      </c>
      <c r="FO546" s="3"/>
      <c r="FP546" s="279"/>
      <c r="FQ546" s="52"/>
      <c r="FR546" s="296"/>
      <c r="FS546" s="98"/>
      <c r="FT546" s="467"/>
      <c r="FU546" s="52"/>
      <c r="FV546" s="296"/>
      <c r="FW546" s="98"/>
      <c r="FX546" s="467"/>
      <c r="FY546" s="52"/>
      <c r="FZ546" s="296"/>
      <c r="GA546" s="98"/>
      <c r="GB546" s="467"/>
      <c r="GC546" s="52"/>
      <c r="GD546" s="296"/>
      <c r="GE546" s="98"/>
      <c r="GF546" s="467"/>
      <c r="GG546" s="52"/>
      <c r="GH546" s="296"/>
      <c r="GI546" s="98"/>
      <c r="GJ546" s="467"/>
      <c r="GK546" s="52"/>
      <c r="GL546" s="296"/>
      <c r="GM546" s="464"/>
      <c r="GN546" s="467"/>
      <c r="GO546" s="52"/>
      <c r="GP546" s="296"/>
      <c r="GQ546" s="464"/>
      <c r="GR546" s="467"/>
      <c r="GS546" s="52"/>
      <c r="GT546" s="296"/>
      <c r="GU546" s="464"/>
      <c r="GV546" s="467"/>
      <c r="GW546" s="52"/>
      <c r="GX546" s="296"/>
      <c r="GY546" s="464"/>
      <c r="GZ546" s="467"/>
      <c r="HA546" s="52"/>
      <c r="HB546" s="296"/>
      <c r="HC546" s="3"/>
    </row>
    <row r="547" spans="1:211" s="86" customFormat="1">
      <c r="A547" s="499" t="s">
        <v>32</v>
      </c>
      <c r="B547" s="311" t="s">
        <v>670</v>
      </c>
      <c r="C547" s="310">
        <v>220394</v>
      </c>
      <c r="D547" s="351">
        <v>13</v>
      </c>
      <c r="E547" s="460">
        <v>157</v>
      </c>
      <c r="F547" s="277">
        <v>123</v>
      </c>
      <c r="G547" s="158"/>
      <c r="H547" s="277"/>
      <c r="I547" s="158"/>
      <c r="J547" s="277"/>
      <c r="K547" s="160">
        <f t="shared" si="215"/>
        <v>0</v>
      </c>
      <c r="L547" s="161">
        <f t="shared" si="208"/>
        <v>0</v>
      </c>
      <c r="M547" s="54"/>
      <c r="N547" s="55"/>
      <c r="O547" s="55"/>
      <c r="P547" s="55"/>
      <c r="Q547" s="162">
        <f t="shared" si="216"/>
        <v>0</v>
      </c>
      <c r="R547" s="277"/>
      <c r="S547" s="277"/>
      <c r="T547" s="277"/>
      <c r="U547" s="277"/>
      <c r="V547" s="97">
        <f t="shared" si="217"/>
        <v>0</v>
      </c>
      <c r="W547" s="279"/>
      <c r="X547" s="52"/>
      <c r="Y547" s="99"/>
      <c r="Z547" s="53"/>
      <c r="AA547" s="228"/>
      <c r="AB547" s="52"/>
      <c r="AC547" s="99"/>
      <c r="AD547" s="53"/>
      <c r="AE547" s="228"/>
      <c r="AF547" s="52"/>
      <c r="AG547" s="99"/>
      <c r="AH547" s="53"/>
      <c r="AI547" s="228"/>
      <c r="AJ547" s="52"/>
      <c r="AK547" s="99"/>
      <c r="AL547" s="53"/>
      <c r="AM547" s="228"/>
      <c r="AN547" s="52"/>
      <c r="AO547" s="99"/>
      <c r="AP547" s="53"/>
      <c r="AQ547" s="50">
        <f t="shared" si="209"/>
        <v>0</v>
      </c>
      <c r="AR547" s="163">
        <f t="shared" si="210"/>
        <v>0</v>
      </c>
      <c r="AS547" s="97">
        <f t="shared" si="211"/>
        <v>0</v>
      </c>
      <c r="AT547" s="278">
        <f t="shared" si="212"/>
        <v>0</v>
      </c>
      <c r="AU547" s="55"/>
      <c r="AV547" s="277"/>
      <c r="AW547" s="279"/>
      <c r="AX547" s="52"/>
      <c r="AY547" s="98"/>
      <c r="AZ547" s="98"/>
      <c r="BA547" s="279"/>
      <c r="BB547" s="52"/>
      <c r="BC547" s="98"/>
      <c r="BD547" s="98"/>
      <c r="BE547" s="279"/>
      <c r="BF547" s="52"/>
      <c r="BG547" s="98"/>
      <c r="BH547" s="98"/>
      <c r="BI547" s="279"/>
      <c r="BJ547" s="52"/>
      <c r="BK547" s="98"/>
      <c r="BL547" s="98"/>
      <c r="BM547" s="279"/>
      <c r="BN547" s="52"/>
      <c r="BO547" s="98"/>
      <c r="BP547" s="98"/>
      <c r="BQ547" s="279"/>
      <c r="BR547" s="52"/>
      <c r="BS547" s="98"/>
      <c r="BT547" s="98"/>
      <c r="BU547" s="279"/>
      <c r="BV547" s="52"/>
      <c r="BW547" s="98"/>
      <c r="BX547" s="98"/>
      <c r="BY547" s="279"/>
      <c r="BZ547" s="52"/>
      <c r="CA547" s="98"/>
      <c r="CB547" s="98"/>
      <c r="CC547" s="279"/>
      <c r="CD547" s="52"/>
      <c r="CE547" s="98"/>
      <c r="CF547" s="98"/>
      <c r="CG547" s="279"/>
      <c r="CH547" s="52"/>
      <c r="CI547" s="98"/>
      <c r="CJ547" s="98"/>
      <c r="CK547" s="281"/>
      <c r="CL547" s="277"/>
      <c r="CM547" s="159"/>
      <c r="CN547" s="277"/>
      <c r="CO547" s="50">
        <f t="shared" si="218"/>
        <v>0</v>
      </c>
      <c r="CP547" s="103">
        <f t="shared" si="219"/>
        <v>0</v>
      </c>
      <c r="CQ547" s="280">
        <f t="shared" si="220"/>
        <v>0</v>
      </c>
      <c r="CR547" s="63">
        <f t="shared" si="221"/>
        <v>0</v>
      </c>
      <c r="CS547" s="279"/>
      <c r="CT547" s="52"/>
      <c r="CU547" s="98"/>
      <c r="CV547" s="98"/>
      <c r="CW547" s="279"/>
      <c r="CX547" s="52"/>
      <c r="CY547" s="98"/>
      <c r="CZ547" s="98"/>
      <c r="DA547" s="279"/>
      <c r="DB547" s="52"/>
      <c r="DC547" s="105"/>
      <c r="DD547" s="98"/>
      <c r="DE547" s="279"/>
      <c r="DF547" s="52"/>
      <c r="DG547" s="105"/>
      <c r="DH547" s="98"/>
      <c r="DI547" s="279"/>
      <c r="DJ547" s="52"/>
      <c r="DK547" s="105"/>
      <c r="DL547" s="98"/>
      <c r="DM547" s="279"/>
      <c r="DN547" s="52"/>
      <c r="DO547" s="105"/>
      <c r="DP547" s="98"/>
      <c r="DQ547" s="279"/>
      <c r="DR547" s="52"/>
      <c r="DS547" s="105"/>
      <c r="DT547" s="98"/>
      <c r="DU547" s="279"/>
      <c r="DV547" s="52"/>
      <c r="DW547" s="105"/>
      <c r="DX547" s="98"/>
      <c r="DY547" s="279"/>
      <c r="DZ547" s="52"/>
      <c r="EA547" s="105"/>
      <c r="EB547" s="98"/>
      <c r="EC547" s="279"/>
      <c r="ED547" s="52"/>
      <c r="EE547" s="105"/>
      <c r="EF547" s="98"/>
      <c r="EG547" s="159"/>
      <c r="EH547" s="277"/>
      <c r="EI547" s="50">
        <f t="shared" si="222"/>
        <v>0</v>
      </c>
      <c r="EJ547" s="103">
        <f t="shared" si="223"/>
        <v>0</v>
      </c>
      <c r="EK547" s="164">
        <f t="shared" si="224"/>
        <v>0</v>
      </c>
      <c r="EL547" s="280">
        <f t="shared" si="225"/>
        <v>0</v>
      </c>
      <c r="EM547" s="63">
        <f t="shared" si="226"/>
        <v>0</v>
      </c>
      <c r="EN547" s="359">
        <f t="shared" si="227"/>
        <v>0</v>
      </c>
      <c r="EO547" s="51">
        <f t="shared" si="228"/>
        <v>0</v>
      </c>
      <c r="EP547" s="361">
        <f t="shared" si="229"/>
        <v>0</v>
      </c>
      <c r="EQ547" s="281"/>
      <c r="ER547" s="277"/>
      <c r="ES547" s="281"/>
      <c r="ET547" s="277"/>
      <c r="EU547" s="281"/>
      <c r="EV547" s="277"/>
      <c r="EW547" s="281"/>
      <c r="EX547" s="277"/>
      <c r="EY547" s="281"/>
      <c r="EZ547" s="277"/>
      <c r="FA547" s="281"/>
      <c r="FB547" s="277"/>
      <c r="FC547" s="281"/>
      <c r="FD547" s="277"/>
      <c r="FE547" s="281"/>
      <c r="FF547" s="277"/>
      <c r="FG547" s="281"/>
      <c r="FH547" s="277"/>
      <c r="FI547" s="281"/>
      <c r="FJ547" s="277"/>
      <c r="FK547" s="50">
        <f t="shared" si="230"/>
        <v>0</v>
      </c>
      <c r="FL547" s="63">
        <f t="shared" si="231"/>
        <v>0</v>
      </c>
      <c r="FM547" s="50">
        <f t="shared" si="213"/>
        <v>157</v>
      </c>
      <c r="FN547" s="360">
        <f t="shared" si="214"/>
        <v>123</v>
      </c>
      <c r="FO547" s="3"/>
      <c r="FP547" s="279"/>
      <c r="FQ547" s="52"/>
      <c r="FR547" s="296"/>
      <c r="FS547" s="98"/>
      <c r="FT547" s="467"/>
      <c r="FU547" s="52"/>
      <c r="FV547" s="296"/>
      <c r="FW547" s="98"/>
      <c r="FX547" s="467"/>
      <c r="FY547" s="52"/>
      <c r="FZ547" s="296"/>
      <c r="GA547" s="98"/>
      <c r="GB547" s="467"/>
      <c r="GC547" s="52"/>
      <c r="GD547" s="296"/>
      <c r="GE547" s="98"/>
      <c r="GF547" s="467"/>
      <c r="GG547" s="52"/>
      <c r="GH547" s="296"/>
      <c r="GI547" s="98"/>
      <c r="GJ547" s="467"/>
      <c r="GK547" s="52"/>
      <c r="GL547" s="296"/>
      <c r="GM547" s="464"/>
      <c r="GN547" s="467"/>
      <c r="GO547" s="52"/>
      <c r="GP547" s="296"/>
      <c r="GQ547" s="464"/>
      <c r="GR547" s="467"/>
      <c r="GS547" s="52"/>
      <c r="GT547" s="296"/>
      <c r="GU547" s="464"/>
      <c r="GV547" s="467"/>
      <c r="GW547" s="52"/>
      <c r="GX547" s="296"/>
      <c r="GY547" s="464"/>
      <c r="GZ547" s="467"/>
      <c r="HA547" s="52"/>
      <c r="HB547" s="296"/>
      <c r="HC547" s="3"/>
    </row>
    <row r="548" spans="1:211" s="86" customFormat="1">
      <c r="A548" s="499" t="s">
        <v>32</v>
      </c>
      <c r="B548" s="311" t="s">
        <v>671</v>
      </c>
      <c r="C548" s="310">
        <v>221616</v>
      </c>
      <c r="D548" s="351">
        <v>13</v>
      </c>
      <c r="E548" s="460">
        <v>357</v>
      </c>
      <c r="F548" s="277">
        <v>349</v>
      </c>
      <c r="G548" s="158"/>
      <c r="H548" s="277"/>
      <c r="I548" s="158"/>
      <c r="J548" s="277"/>
      <c r="K548" s="160">
        <f t="shared" si="215"/>
        <v>0</v>
      </c>
      <c r="L548" s="161">
        <f t="shared" si="208"/>
        <v>0</v>
      </c>
      <c r="M548" s="54"/>
      <c r="N548" s="55"/>
      <c r="O548" s="55"/>
      <c r="P548" s="55"/>
      <c r="Q548" s="162">
        <f t="shared" si="216"/>
        <v>0</v>
      </c>
      <c r="R548" s="277"/>
      <c r="S548" s="277"/>
      <c r="T548" s="277"/>
      <c r="U548" s="277"/>
      <c r="V548" s="97">
        <f t="shared" si="217"/>
        <v>0</v>
      </c>
      <c r="W548" s="279"/>
      <c r="X548" s="52"/>
      <c r="Y548" s="99"/>
      <c r="Z548" s="53"/>
      <c r="AA548" s="228"/>
      <c r="AB548" s="52"/>
      <c r="AC548" s="99"/>
      <c r="AD548" s="53"/>
      <c r="AE548" s="228"/>
      <c r="AF548" s="52"/>
      <c r="AG548" s="99"/>
      <c r="AH548" s="53"/>
      <c r="AI548" s="228"/>
      <c r="AJ548" s="52"/>
      <c r="AK548" s="99"/>
      <c r="AL548" s="53"/>
      <c r="AM548" s="228"/>
      <c r="AN548" s="52"/>
      <c r="AO548" s="99"/>
      <c r="AP548" s="53"/>
      <c r="AQ548" s="50">
        <f t="shared" si="209"/>
        <v>0</v>
      </c>
      <c r="AR548" s="163">
        <f t="shared" si="210"/>
        <v>0</v>
      </c>
      <c r="AS548" s="97">
        <f t="shared" si="211"/>
        <v>0</v>
      </c>
      <c r="AT548" s="278">
        <f t="shared" si="212"/>
        <v>0</v>
      </c>
      <c r="AU548" s="55"/>
      <c r="AV548" s="277"/>
      <c r="AW548" s="279"/>
      <c r="AX548" s="52"/>
      <c r="AY548" s="98"/>
      <c r="AZ548" s="98"/>
      <c r="BA548" s="279"/>
      <c r="BB548" s="52"/>
      <c r="BC548" s="98"/>
      <c r="BD548" s="98"/>
      <c r="BE548" s="279"/>
      <c r="BF548" s="52"/>
      <c r="BG548" s="98"/>
      <c r="BH548" s="98"/>
      <c r="BI548" s="279"/>
      <c r="BJ548" s="52"/>
      <c r="BK548" s="98"/>
      <c r="BL548" s="98"/>
      <c r="BM548" s="279"/>
      <c r="BN548" s="52"/>
      <c r="BO548" s="98"/>
      <c r="BP548" s="98"/>
      <c r="BQ548" s="279"/>
      <c r="BR548" s="52"/>
      <c r="BS548" s="98"/>
      <c r="BT548" s="98"/>
      <c r="BU548" s="279"/>
      <c r="BV548" s="52"/>
      <c r="BW548" s="98"/>
      <c r="BX548" s="98"/>
      <c r="BY548" s="279"/>
      <c r="BZ548" s="52"/>
      <c r="CA548" s="98"/>
      <c r="CB548" s="98"/>
      <c r="CC548" s="279"/>
      <c r="CD548" s="52"/>
      <c r="CE548" s="98"/>
      <c r="CF548" s="98"/>
      <c r="CG548" s="279"/>
      <c r="CH548" s="52"/>
      <c r="CI548" s="98"/>
      <c r="CJ548" s="98"/>
      <c r="CK548" s="281"/>
      <c r="CL548" s="277"/>
      <c r="CM548" s="159"/>
      <c r="CN548" s="277"/>
      <c r="CO548" s="50">
        <f t="shared" si="218"/>
        <v>0</v>
      </c>
      <c r="CP548" s="103">
        <f t="shared" si="219"/>
        <v>0</v>
      </c>
      <c r="CQ548" s="280">
        <f t="shared" si="220"/>
        <v>0</v>
      </c>
      <c r="CR548" s="63">
        <f t="shared" si="221"/>
        <v>0</v>
      </c>
      <c r="CS548" s="279"/>
      <c r="CT548" s="52"/>
      <c r="CU548" s="105"/>
      <c r="CV548" s="98"/>
      <c r="CW548" s="279"/>
      <c r="CX548" s="52"/>
      <c r="CY548" s="105"/>
      <c r="CZ548" s="98"/>
      <c r="DA548" s="279"/>
      <c r="DB548" s="52"/>
      <c r="DC548" s="105"/>
      <c r="DD548" s="98"/>
      <c r="DE548" s="279"/>
      <c r="DF548" s="52"/>
      <c r="DG548" s="105"/>
      <c r="DH548" s="98"/>
      <c r="DI548" s="279"/>
      <c r="DJ548" s="52"/>
      <c r="DK548" s="105"/>
      <c r="DL548" s="98"/>
      <c r="DM548" s="279"/>
      <c r="DN548" s="52"/>
      <c r="DO548" s="105"/>
      <c r="DP548" s="98"/>
      <c r="DQ548" s="279"/>
      <c r="DR548" s="52"/>
      <c r="DS548" s="105"/>
      <c r="DT548" s="98"/>
      <c r="DU548" s="279"/>
      <c r="DV548" s="52"/>
      <c r="DW548" s="105"/>
      <c r="DX548" s="98"/>
      <c r="DY548" s="279"/>
      <c r="DZ548" s="52"/>
      <c r="EA548" s="105"/>
      <c r="EB548" s="98"/>
      <c r="EC548" s="279"/>
      <c r="ED548" s="52"/>
      <c r="EE548" s="105"/>
      <c r="EF548" s="98"/>
      <c r="EG548" s="159"/>
      <c r="EH548" s="277"/>
      <c r="EI548" s="50">
        <f t="shared" si="222"/>
        <v>0</v>
      </c>
      <c r="EJ548" s="103">
        <f t="shared" si="223"/>
        <v>0</v>
      </c>
      <c r="EK548" s="164">
        <f t="shared" si="224"/>
        <v>0</v>
      </c>
      <c r="EL548" s="280">
        <f t="shared" si="225"/>
        <v>0</v>
      </c>
      <c r="EM548" s="63">
        <f t="shared" si="226"/>
        <v>0</v>
      </c>
      <c r="EN548" s="359">
        <f t="shared" si="227"/>
        <v>0</v>
      </c>
      <c r="EO548" s="51">
        <f t="shared" si="228"/>
        <v>0</v>
      </c>
      <c r="EP548" s="361">
        <f t="shared" si="229"/>
        <v>0</v>
      </c>
      <c r="EQ548" s="281"/>
      <c r="ER548" s="277"/>
      <c r="ES548" s="281"/>
      <c r="ET548" s="277"/>
      <c r="EU548" s="281"/>
      <c r="EV548" s="277"/>
      <c r="EW548" s="281"/>
      <c r="EX548" s="277"/>
      <c r="EY548" s="281"/>
      <c r="EZ548" s="277"/>
      <c r="FA548" s="281"/>
      <c r="FB548" s="277"/>
      <c r="FC548" s="281"/>
      <c r="FD548" s="277"/>
      <c r="FE548" s="281"/>
      <c r="FF548" s="277"/>
      <c r="FG548" s="281"/>
      <c r="FH548" s="277"/>
      <c r="FI548" s="281"/>
      <c r="FJ548" s="277"/>
      <c r="FK548" s="50">
        <f t="shared" si="230"/>
        <v>0</v>
      </c>
      <c r="FL548" s="63">
        <f t="shared" si="231"/>
        <v>0</v>
      </c>
      <c r="FM548" s="50">
        <f t="shared" si="213"/>
        <v>357</v>
      </c>
      <c r="FN548" s="360">
        <f t="shared" si="214"/>
        <v>349</v>
      </c>
      <c r="FO548" s="3"/>
      <c r="FP548" s="279"/>
      <c r="FQ548" s="52"/>
      <c r="FR548" s="296"/>
      <c r="FS548" s="98"/>
      <c r="FT548" s="467"/>
      <c r="FU548" s="52"/>
      <c r="FV548" s="296"/>
      <c r="FW548" s="98"/>
      <c r="FX548" s="467"/>
      <c r="FY548" s="52"/>
      <c r="FZ548" s="296"/>
      <c r="GA548" s="98"/>
      <c r="GB548" s="467"/>
      <c r="GC548" s="52"/>
      <c r="GD548" s="296"/>
      <c r="GE548" s="98"/>
      <c r="GF548" s="467"/>
      <c r="GG548" s="52"/>
      <c r="GH548" s="296"/>
      <c r="GI548" s="98"/>
      <c r="GJ548" s="467"/>
      <c r="GK548" s="52"/>
      <c r="GL548" s="296"/>
      <c r="GM548" s="464"/>
      <c r="GN548" s="467"/>
      <c r="GO548" s="52"/>
      <c r="GP548" s="296"/>
      <c r="GQ548" s="464"/>
      <c r="GR548" s="467"/>
      <c r="GS548" s="52"/>
      <c r="GT548" s="296"/>
      <c r="GU548" s="464"/>
      <c r="GV548" s="467"/>
      <c r="GW548" s="52"/>
      <c r="GX548" s="296"/>
      <c r="GY548" s="464"/>
      <c r="GZ548" s="467"/>
      <c r="HA548" s="52"/>
      <c r="HB548" s="296"/>
      <c r="HC548" s="3"/>
    </row>
    <row r="549" spans="1:211" s="86" customFormat="1">
      <c r="A549" s="499" t="s">
        <v>32</v>
      </c>
      <c r="B549" s="311" t="s">
        <v>672</v>
      </c>
      <c r="C549" s="310">
        <v>221625</v>
      </c>
      <c r="D549" s="351">
        <v>13</v>
      </c>
      <c r="E549" s="460">
        <v>383</v>
      </c>
      <c r="F549" s="277">
        <v>431</v>
      </c>
      <c r="G549" s="158"/>
      <c r="H549" s="277"/>
      <c r="I549" s="158"/>
      <c r="J549" s="277"/>
      <c r="K549" s="160">
        <f t="shared" si="215"/>
        <v>0</v>
      </c>
      <c r="L549" s="161">
        <f t="shared" si="208"/>
        <v>0</v>
      </c>
      <c r="M549" s="54"/>
      <c r="N549" s="55"/>
      <c r="O549" s="55"/>
      <c r="P549" s="55"/>
      <c r="Q549" s="162">
        <f t="shared" si="216"/>
        <v>0</v>
      </c>
      <c r="R549" s="277"/>
      <c r="S549" s="277"/>
      <c r="T549" s="277"/>
      <c r="U549" s="277"/>
      <c r="V549" s="97">
        <f t="shared" si="217"/>
        <v>0</v>
      </c>
      <c r="W549" s="279"/>
      <c r="X549" s="52"/>
      <c r="Y549" s="99"/>
      <c r="Z549" s="53"/>
      <c r="AA549" s="228"/>
      <c r="AB549" s="52"/>
      <c r="AC549" s="99"/>
      <c r="AD549" s="53"/>
      <c r="AE549" s="228"/>
      <c r="AF549" s="52"/>
      <c r="AG549" s="99"/>
      <c r="AH549" s="53"/>
      <c r="AI549" s="228"/>
      <c r="AJ549" s="52"/>
      <c r="AK549" s="99"/>
      <c r="AL549" s="53"/>
      <c r="AM549" s="228"/>
      <c r="AN549" s="52"/>
      <c r="AO549" s="99"/>
      <c r="AP549" s="53"/>
      <c r="AQ549" s="50">
        <f t="shared" si="209"/>
        <v>0</v>
      </c>
      <c r="AR549" s="163">
        <f t="shared" si="210"/>
        <v>0</v>
      </c>
      <c r="AS549" s="97">
        <f t="shared" si="211"/>
        <v>0</v>
      </c>
      <c r="AT549" s="278">
        <f t="shared" si="212"/>
        <v>0</v>
      </c>
      <c r="AU549" s="55"/>
      <c r="AV549" s="277"/>
      <c r="AW549" s="279"/>
      <c r="AX549" s="52"/>
      <c r="AY549" s="98"/>
      <c r="AZ549" s="98"/>
      <c r="BA549" s="279"/>
      <c r="BB549" s="52"/>
      <c r="BC549" s="98"/>
      <c r="BD549" s="98"/>
      <c r="BE549" s="279"/>
      <c r="BF549" s="52"/>
      <c r="BG549" s="98"/>
      <c r="BH549" s="98"/>
      <c r="BI549" s="279"/>
      <c r="BJ549" s="52"/>
      <c r="BK549" s="98"/>
      <c r="BL549" s="98"/>
      <c r="BM549" s="279"/>
      <c r="BN549" s="52"/>
      <c r="BO549" s="98"/>
      <c r="BP549" s="98"/>
      <c r="BQ549" s="279"/>
      <c r="BR549" s="52"/>
      <c r="BS549" s="98"/>
      <c r="BT549" s="98"/>
      <c r="BU549" s="279"/>
      <c r="BV549" s="52"/>
      <c r="BW549" s="98"/>
      <c r="BX549" s="98"/>
      <c r="BY549" s="279"/>
      <c r="BZ549" s="52"/>
      <c r="CA549" s="98"/>
      <c r="CB549" s="98"/>
      <c r="CC549" s="279"/>
      <c r="CD549" s="52"/>
      <c r="CE549" s="98"/>
      <c r="CF549" s="98"/>
      <c r="CG549" s="279"/>
      <c r="CH549" s="52"/>
      <c r="CI549" s="98"/>
      <c r="CJ549" s="98"/>
      <c r="CK549" s="281"/>
      <c r="CL549" s="277"/>
      <c r="CM549" s="159"/>
      <c r="CN549" s="277"/>
      <c r="CO549" s="50">
        <f t="shared" si="218"/>
        <v>0</v>
      </c>
      <c r="CP549" s="103">
        <f t="shared" si="219"/>
        <v>0</v>
      </c>
      <c r="CQ549" s="280">
        <f t="shared" si="220"/>
        <v>0</v>
      </c>
      <c r="CR549" s="63">
        <f t="shared" si="221"/>
        <v>0</v>
      </c>
      <c r="CS549" s="279"/>
      <c r="CT549" s="52"/>
      <c r="CU549" s="98"/>
      <c r="CV549" s="98"/>
      <c r="CW549" s="279"/>
      <c r="CX549" s="52"/>
      <c r="CY549" s="98"/>
      <c r="CZ549" s="98"/>
      <c r="DA549" s="279"/>
      <c r="DB549" s="52"/>
      <c r="DC549" s="98"/>
      <c r="DD549" s="98"/>
      <c r="DE549" s="279"/>
      <c r="DF549" s="52"/>
      <c r="DG549" s="105"/>
      <c r="DH549" s="98"/>
      <c r="DI549" s="279"/>
      <c r="DJ549" s="52"/>
      <c r="DK549" s="105"/>
      <c r="DL549" s="98"/>
      <c r="DM549" s="279"/>
      <c r="DN549" s="52"/>
      <c r="DO549" s="105"/>
      <c r="DP549" s="98"/>
      <c r="DQ549" s="279"/>
      <c r="DR549" s="52"/>
      <c r="DS549" s="105"/>
      <c r="DT549" s="98"/>
      <c r="DU549" s="279"/>
      <c r="DV549" s="52"/>
      <c r="DW549" s="105"/>
      <c r="DX549" s="98"/>
      <c r="DY549" s="279"/>
      <c r="DZ549" s="52"/>
      <c r="EA549" s="105"/>
      <c r="EB549" s="98"/>
      <c r="EC549" s="279"/>
      <c r="ED549" s="52"/>
      <c r="EE549" s="105"/>
      <c r="EF549" s="98"/>
      <c r="EG549" s="159"/>
      <c r="EH549" s="277"/>
      <c r="EI549" s="50">
        <f t="shared" si="222"/>
        <v>0</v>
      </c>
      <c r="EJ549" s="103">
        <f t="shared" si="223"/>
        <v>0</v>
      </c>
      <c r="EK549" s="164">
        <f t="shared" si="224"/>
        <v>0</v>
      </c>
      <c r="EL549" s="280">
        <f t="shared" si="225"/>
        <v>0</v>
      </c>
      <c r="EM549" s="63">
        <f t="shared" si="226"/>
        <v>0</v>
      </c>
      <c r="EN549" s="359">
        <f t="shared" si="227"/>
        <v>0</v>
      </c>
      <c r="EO549" s="51">
        <f t="shared" si="228"/>
        <v>0</v>
      </c>
      <c r="EP549" s="361">
        <f t="shared" si="229"/>
        <v>0</v>
      </c>
      <c r="EQ549" s="281"/>
      <c r="ER549" s="277"/>
      <c r="ES549" s="281"/>
      <c r="ET549" s="277"/>
      <c r="EU549" s="281"/>
      <c r="EV549" s="277"/>
      <c r="EW549" s="281"/>
      <c r="EX549" s="277"/>
      <c r="EY549" s="281"/>
      <c r="EZ549" s="277"/>
      <c r="FA549" s="281"/>
      <c r="FB549" s="277"/>
      <c r="FC549" s="281"/>
      <c r="FD549" s="277"/>
      <c r="FE549" s="281"/>
      <c r="FF549" s="277"/>
      <c r="FG549" s="281"/>
      <c r="FH549" s="277"/>
      <c r="FI549" s="281"/>
      <c r="FJ549" s="277"/>
      <c r="FK549" s="50">
        <f t="shared" si="230"/>
        <v>0</v>
      </c>
      <c r="FL549" s="63">
        <f t="shared" si="231"/>
        <v>0</v>
      </c>
      <c r="FM549" s="50">
        <f t="shared" si="213"/>
        <v>383</v>
      </c>
      <c r="FN549" s="360">
        <f t="shared" si="214"/>
        <v>431</v>
      </c>
      <c r="FO549" s="3"/>
      <c r="FP549" s="279"/>
      <c r="FQ549" s="52"/>
      <c r="FR549" s="296"/>
      <c r="FS549" s="98"/>
      <c r="FT549" s="467"/>
      <c r="FU549" s="52"/>
      <c r="FV549" s="296"/>
      <c r="FW549" s="98"/>
      <c r="FX549" s="467"/>
      <c r="FY549" s="52"/>
      <c r="FZ549" s="296"/>
      <c r="GA549" s="98"/>
      <c r="GB549" s="467"/>
      <c r="GC549" s="52"/>
      <c r="GD549" s="296"/>
      <c r="GE549" s="98"/>
      <c r="GF549" s="467"/>
      <c r="GG549" s="52"/>
      <c r="GH549" s="296"/>
      <c r="GI549" s="98"/>
      <c r="GJ549" s="467"/>
      <c r="GK549" s="52"/>
      <c r="GL549" s="296"/>
      <c r="GM549" s="464"/>
      <c r="GN549" s="467"/>
      <c r="GO549" s="52"/>
      <c r="GP549" s="296"/>
      <c r="GQ549" s="464"/>
      <c r="GR549" s="467"/>
      <c r="GS549" s="52"/>
      <c r="GT549" s="296"/>
      <c r="GU549" s="464"/>
      <c r="GV549" s="467"/>
      <c r="GW549" s="52"/>
      <c r="GX549" s="296"/>
      <c r="GY549" s="464"/>
      <c r="GZ549" s="467"/>
      <c r="HA549" s="52"/>
      <c r="HB549" s="296"/>
      <c r="HC549" s="3"/>
    </row>
    <row r="550" spans="1:211" s="86" customFormat="1">
      <c r="A550" s="499" t="s">
        <v>32</v>
      </c>
      <c r="B550" s="311" t="s">
        <v>673</v>
      </c>
      <c r="C550" s="310">
        <v>220640</v>
      </c>
      <c r="D550" s="351">
        <v>13</v>
      </c>
      <c r="E550" s="460">
        <v>216</v>
      </c>
      <c r="F550" s="277">
        <v>208</v>
      </c>
      <c r="G550" s="158"/>
      <c r="H550" s="277"/>
      <c r="I550" s="158"/>
      <c r="J550" s="277"/>
      <c r="K550" s="160">
        <f t="shared" si="215"/>
        <v>0</v>
      </c>
      <c r="L550" s="161">
        <f t="shared" si="208"/>
        <v>0</v>
      </c>
      <c r="M550" s="54"/>
      <c r="N550" s="55"/>
      <c r="O550" s="55"/>
      <c r="P550" s="55"/>
      <c r="Q550" s="162">
        <f t="shared" si="216"/>
        <v>0</v>
      </c>
      <c r="R550" s="277"/>
      <c r="S550" s="277"/>
      <c r="T550" s="277"/>
      <c r="U550" s="277"/>
      <c r="V550" s="97">
        <f t="shared" si="217"/>
        <v>0</v>
      </c>
      <c r="W550" s="279"/>
      <c r="X550" s="52"/>
      <c r="Y550" s="99"/>
      <c r="Z550" s="53"/>
      <c r="AA550" s="228"/>
      <c r="AB550" s="52"/>
      <c r="AC550" s="99"/>
      <c r="AD550" s="53"/>
      <c r="AE550" s="228"/>
      <c r="AF550" s="52"/>
      <c r="AG550" s="99"/>
      <c r="AH550" s="53"/>
      <c r="AI550" s="228"/>
      <c r="AJ550" s="52"/>
      <c r="AK550" s="99"/>
      <c r="AL550" s="53"/>
      <c r="AM550" s="228"/>
      <c r="AN550" s="52"/>
      <c r="AO550" s="99"/>
      <c r="AP550" s="53"/>
      <c r="AQ550" s="50">
        <f t="shared" si="209"/>
        <v>0</v>
      </c>
      <c r="AR550" s="163">
        <f t="shared" si="210"/>
        <v>0</v>
      </c>
      <c r="AS550" s="97">
        <f t="shared" si="211"/>
        <v>0</v>
      </c>
      <c r="AT550" s="278">
        <f t="shared" si="212"/>
        <v>0</v>
      </c>
      <c r="AU550" s="55"/>
      <c r="AV550" s="277"/>
      <c r="AW550" s="279"/>
      <c r="AX550" s="52"/>
      <c r="AY550" s="98"/>
      <c r="AZ550" s="98"/>
      <c r="BA550" s="279"/>
      <c r="BB550" s="52"/>
      <c r="BC550" s="98"/>
      <c r="BD550" s="98"/>
      <c r="BE550" s="279"/>
      <c r="BF550" s="52"/>
      <c r="BG550" s="98"/>
      <c r="BH550" s="98"/>
      <c r="BI550" s="279"/>
      <c r="BJ550" s="52"/>
      <c r="BK550" s="98"/>
      <c r="BL550" s="98"/>
      <c r="BM550" s="279"/>
      <c r="BN550" s="52"/>
      <c r="BO550" s="98"/>
      <c r="BP550" s="98"/>
      <c r="BQ550" s="279"/>
      <c r="BR550" s="52"/>
      <c r="BS550" s="98"/>
      <c r="BT550" s="98"/>
      <c r="BU550" s="279"/>
      <c r="BV550" s="52"/>
      <c r="BW550" s="98"/>
      <c r="BX550" s="98"/>
      <c r="BY550" s="279"/>
      <c r="BZ550" s="52"/>
      <c r="CA550" s="98"/>
      <c r="CB550" s="98"/>
      <c r="CC550" s="279"/>
      <c r="CD550" s="52"/>
      <c r="CE550" s="98"/>
      <c r="CF550" s="98"/>
      <c r="CG550" s="279"/>
      <c r="CH550" s="52"/>
      <c r="CI550" s="98"/>
      <c r="CJ550" s="98"/>
      <c r="CK550" s="281"/>
      <c r="CL550" s="277"/>
      <c r="CM550" s="159"/>
      <c r="CN550" s="277"/>
      <c r="CO550" s="50">
        <f t="shared" si="218"/>
        <v>0</v>
      </c>
      <c r="CP550" s="103">
        <f t="shared" si="219"/>
        <v>0</v>
      </c>
      <c r="CQ550" s="280">
        <f t="shared" si="220"/>
        <v>0</v>
      </c>
      <c r="CR550" s="63">
        <f t="shared" si="221"/>
        <v>0</v>
      </c>
      <c r="CS550" s="279"/>
      <c r="CT550" s="52"/>
      <c r="CU550" s="98"/>
      <c r="CV550" s="98"/>
      <c r="CW550" s="279"/>
      <c r="CX550" s="52"/>
      <c r="CY550" s="98"/>
      <c r="CZ550" s="98"/>
      <c r="DA550" s="279"/>
      <c r="DB550" s="52"/>
      <c r="DC550" s="98"/>
      <c r="DD550" s="98"/>
      <c r="DE550" s="279"/>
      <c r="DF550" s="52"/>
      <c r="DG550" s="105"/>
      <c r="DH550" s="98"/>
      <c r="DI550" s="279"/>
      <c r="DJ550" s="52"/>
      <c r="DK550" s="105"/>
      <c r="DL550" s="98"/>
      <c r="DM550" s="279"/>
      <c r="DN550" s="52"/>
      <c r="DO550" s="105"/>
      <c r="DP550" s="98"/>
      <c r="DQ550" s="279"/>
      <c r="DR550" s="52"/>
      <c r="DS550" s="105"/>
      <c r="DT550" s="98"/>
      <c r="DU550" s="279"/>
      <c r="DV550" s="52"/>
      <c r="DW550" s="105"/>
      <c r="DX550" s="98"/>
      <c r="DY550" s="279"/>
      <c r="DZ550" s="52"/>
      <c r="EA550" s="105"/>
      <c r="EB550" s="98"/>
      <c r="EC550" s="279"/>
      <c r="ED550" s="52"/>
      <c r="EE550" s="105"/>
      <c r="EF550" s="98"/>
      <c r="EG550" s="159"/>
      <c r="EH550" s="277"/>
      <c r="EI550" s="50">
        <f t="shared" si="222"/>
        <v>0</v>
      </c>
      <c r="EJ550" s="103">
        <f t="shared" si="223"/>
        <v>0</v>
      </c>
      <c r="EK550" s="164">
        <f t="shared" si="224"/>
        <v>0</v>
      </c>
      <c r="EL550" s="280">
        <f t="shared" si="225"/>
        <v>0</v>
      </c>
      <c r="EM550" s="63">
        <f t="shared" si="226"/>
        <v>0</v>
      </c>
      <c r="EN550" s="359">
        <f t="shared" si="227"/>
        <v>0</v>
      </c>
      <c r="EO550" s="51">
        <f t="shared" si="228"/>
        <v>0</v>
      </c>
      <c r="EP550" s="361">
        <f t="shared" si="229"/>
        <v>0</v>
      </c>
      <c r="EQ550" s="281"/>
      <c r="ER550" s="277"/>
      <c r="ES550" s="281"/>
      <c r="ET550" s="277"/>
      <c r="EU550" s="281"/>
      <c r="EV550" s="277"/>
      <c r="EW550" s="281"/>
      <c r="EX550" s="277"/>
      <c r="EY550" s="281"/>
      <c r="EZ550" s="277"/>
      <c r="FA550" s="281"/>
      <c r="FB550" s="277"/>
      <c r="FC550" s="281"/>
      <c r="FD550" s="277"/>
      <c r="FE550" s="281"/>
      <c r="FF550" s="277"/>
      <c r="FG550" s="281"/>
      <c r="FH550" s="277"/>
      <c r="FI550" s="281"/>
      <c r="FJ550" s="277"/>
      <c r="FK550" s="50">
        <f t="shared" si="230"/>
        <v>0</v>
      </c>
      <c r="FL550" s="63">
        <f t="shared" si="231"/>
        <v>0</v>
      </c>
      <c r="FM550" s="50">
        <f t="shared" si="213"/>
        <v>216</v>
      </c>
      <c r="FN550" s="360">
        <f t="shared" si="214"/>
        <v>208</v>
      </c>
      <c r="FO550" s="3"/>
      <c r="FP550" s="279"/>
      <c r="FQ550" s="52"/>
      <c r="FR550" s="296"/>
      <c r="FS550" s="98"/>
      <c r="FT550" s="467"/>
      <c r="FU550" s="52"/>
      <c r="FV550" s="296"/>
      <c r="FW550" s="98"/>
      <c r="FX550" s="467"/>
      <c r="FY550" s="52"/>
      <c r="FZ550" s="296"/>
      <c r="GA550" s="98"/>
      <c r="GB550" s="467"/>
      <c r="GC550" s="52"/>
      <c r="GD550" s="296"/>
      <c r="GE550" s="98"/>
      <c r="GF550" s="467"/>
      <c r="GG550" s="52"/>
      <c r="GH550" s="296"/>
      <c r="GI550" s="98"/>
      <c r="GJ550" s="467"/>
      <c r="GK550" s="52"/>
      <c r="GL550" s="296"/>
      <c r="GM550" s="464"/>
      <c r="GN550" s="467"/>
      <c r="GO550" s="52"/>
      <c r="GP550" s="296"/>
      <c r="GQ550" s="464"/>
      <c r="GR550" s="467"/>
      <c r="GS550" s="52"/>
      <c r="GT550" s="296"/>
      <c r="GU550" s="464"/>
      <c r="GV550" s="467"/>
      <c r="GW550" s="52"/>
      <c r="GX550" s="296"/>
      <c r="GY550" s="464"/>
      <c r="GZ550" s="467"/>
      <c r="HA550" s="52"/>
      <c r="HB550" s="296"/>
      <c r="HC550" s="3"/>
    </row>
    <row r="551" spans="1:211" s="86" customFormat="1">
      <c r="A551" s="499" t="s">
        <v>32</v>
      </c>
      <c r="B551" s="311" t="s">
        <v>674</v>
      </c>
      <c r="C551" s="310">
        <v>220756</v>
      </c>
      <c r="D551" s="351">
        <v>13</v>
      </c>
      <c r="E551" s="460">
        <v>151</v>
      </c>
      <c r="F551" s="277">
        <v>164</v>
      </c>
      <c r="G551" s="158"/>
      <c r="H551" s="277"/>
      <c r="I551" s="158"/>
      <c r="J551" s="277"/>
      <c r="K551" s="160">
        <f t="shared" si="215"/>
        <v>0</v>
      </c>
      <c r="L551" s="161">
        <f t="shared" si="208"/>
        <v>0</v>
      </c>
      <c r="M551" s="54"/>
      <c r="N551" s="55"/>
      <c r="O551" s="55"/>
      <c r="P551" s="55"/>
      <c r="Q551" s="162">
        <f t="shared" si="216"/>
        <v>0</v>
      </c>
      <c r="R551" s="277"/>
      <c r="S551" s="277"/>
      <c r="T551" s="277"/>
      <c r="U551" s="277"/>
      <c r="V551" s="97">
        <f t="shared" si="217"/>
        <v>0</v>
      </c>
      <c r="W551" s="279"/>
      <c r="X551" s="52"/>
      <c r="Y551" s="99"/>
      <c r="Z551" s="53"/>
      <c r="AA551" s="228"/>
      <c r="AB551" s="52"/>
      <c r="AC551" s="99"/>
      <c r="AD551" s="53"/>
      <c r="AE551" s="228"/>
      <c r="AF551" s="52"/>
      <c r="AG551" s="99"/>
      <c r="AH551" s="53"/>
      <c r="AI551" s="228"/>
      <c r="AJ551" s="52"/>
      <c r="AK551" s="99"/>
      <c r="AL551" s="53"/>
      <c r="AM551" s="228"/>
      <c r="AN551" s="52"/>
      <c r="AO551" s="99"/>
      <c r="AP551" s="53"/>
      <c r="AQ551" s="50">
        <f t="shared" si="209"/>
        <v>0</v>
      </c>
      <c r="AR551" s="163">
        <f t="shared" si="210"/>
        <v>0</v>
      </c>
      <c r="AS551" s="97">
        <f t="shared" si="211"/>
        <v>0</v>
      </c>
      <c r="AT551" s="278">
        <f t="shared" si="212"/>
        <v>0</v>
      </c>
      <c r="AU551" s="55"/>
      <c r="AV551" s="277"/>
      <c r="AW551" s="279"/>
      <c r="AX551" s="52"/>
      <c r="AY551" s="98"/>
      <c r="AZ551" s="98"/>
      <c r="BA551" s="279"/>
      <c r="BB551" s="52"/>
      <c r="BC551" s="98"/>
      <c r="BD551" s="98"/>
      <c r="BE551" s="279"/>
      <c r="BF551" s="52"/>
      <c r="BG551" s="98"/>
      <c r="BH551" s="98"/>
      <c r="BI551" s="279"/>
      <c r="BJ551" s="52"/>
      <c r="BK551" s="98"/>
      <c r="BL551" s="98"/>
      <c r="BM551" s="279"/>
      <c r="BN551" s="52"/>
      <c r="BO551" s="98"/>
      <c r="BP551" s="98"/>
      <c r="BQ551" s="279"/>
      <c r="BR551" s="52"/>
      <c r="BS551" s="98"/>
      <c r="BT551" s="98"/>
      <c r="BU551" s="279"/>
      <c r="BV551" s="52"/>
      <c r="BW551" s="98"/>
      <c r="BX551" s="98"/>
      <c r="BY551" s="279"/>
      <c r="BZ551" s="52"/>
      <c r="CA551" s="98"/>
      <c r="CB551" s="98"/>
      <c r="CC551" s="279"/>
      <c r="CD551" s="52"/>
      <c r="CE551" s="98"/>
      <c r="CF551" s="98"/>
      <c r="CG551" s="279"/>
      <c r="CH551" s="52"/>
      <c r="CI551" s="98"/>
      <c r="CJ551" s="98"/>
      <c r="CK551" s="281"/>
      <c r="CL551" s="277"/>
      <c r="CM551" s="159"/>
      <c r="CN551" s="277"/>
      <c r="CO551" s="50">
        <f t="shared" si="218"/>
        <v>0</v>
      </c>
      <c r="CP551" s="103">
        <f t="shared" si="219"/>
        <v>0</v>
      </c>
      <c r="CQ551" s="280">
        <f t="shared" si="220"/>
        <v>0</v>
      </c>
      <c r="CR551" s="63">
        <f t="shared" si="221"/>
        <v>0</v>
      </c>
      <c r="CS551" s="279"/>
      <c r="CT551" s="52"/>
      <c r="CU551" s="98"/>
      <c r="CV551" s="98"/>
      <c r="CW551" s="279"/>
      <c r="CX551" s="52"/>
      <c r="CY551" s="98"/>
      <c r="CZ551" s="98"/>
      <c r="DA551" s="279"/>
      <c r="DB551" s="52"/>
      <c r="DC551" s="105"/>
      <c r="DD551" s="98"/>
      <c r="DE551" s="279"/>
      <c r="DF551" s="52"/>
      <c r="DG551" s="105"/>
      <c r="DH551" s="98"/>
      <c r="DI551" s="279"/>
      <c r="DJ551" s="52"/>
      <c r="DK551" s="105"/>
      <c r="DL551" s="98"/>
      <c r="DM551" s="279"/>
      <c r="DN551" s="52"/>
      <c r="DO551" s="105"/>
      <c r="DP551" s="98"/>
      <c r="DQ551" s="279"/>
      <c r="DR551" s="52"/>
      <c r="DS551" s="105"/>
      <c r="DT551" s="98"/>
      <c r="DU551" s="279"/>
      <c r="DV551" s="52"/>
      <c r="DW551" s="105"/>
      <c r="DX551" s="98"/>
      <c r="DY551" s="279"/>
      <c r="DZ551" s="52"/>
      <c r="EA551" s="105"/>
      <c r="EB551" s="98"/>
      <c r="EC551" s="279"/>
      <c r="ED551" s="52"/>
      <c r="EE551" s="105"/>
      <c r="EF551" s="98"/>
      <c r="EG551" s="159"/>
      <c r="EH551" s="277"/>
      <c r="EI551" s="50">
        <f t="shared" si="222"/>
        <v>0</v>
      </c>
      <c r="EJ551" s="103">
        <f t="shared" si="223"/>
        <v>0</v>
      </c>
      <c r="EK551" s="164">
        <f t="shared" si="224"/>
        <v>0</v>
      </c>
      <c r="EL551" s="280">
        <f t="shared" si="225"/>
        <v>0</v>
      </c>
      <c r="EM551" s="63">
        <f t="shared" si="226"/>
        <v>0</v>
      </c>
      <c r="EN551" s="359">
        <f t="shared" si="227"/>
        <v>0</v>
      </c>
      <c r="EO551" s="51">
        <f t="shared" si="228"/>
        <v>0</v>
      </c>
      <c r="EP551" s="361">
        <f t="shared" si="229"/>
        <v>0</v>
      </c>
      <c r="EQ551" s="281"/>
      <c r="ER551" s="277"/>
      <c r="ES551" s="281"/>
      <c r="ET551" s="277"/>
      <c r="EU551" s="281"/>
      <c r="EV551" s="277"/>
      <c r="EW551" s="281"/>
      <c r="EX551" s="277"/>
      <c r="EY551" s="281"/>
      <c r="EZ551" s="277"/>
      <c r="FA551" s="281"/>
      <c r="FB551" s="277"/>
      <c r="FC551" s="281"/>
      <c r="FD551" s="277"/>
      <c r="FE551" s="281"/>
      <c r="FF551" s="277"/>
      <c r="FG551" s="281"/>
      <c r="FH551" s="277"/>
      <c r="FI551" s="281"/>
      <c r="FJ551" s="277"/>
      <c r="FK551" s="50">
        <f t="shared" si="230"/>
        <v>0</v>
      </c>
      <c r="FL551" s="63">
        <f t="shared" si="231"/>
        <v>0</v>
      </c>
      <c r="FM551" s="50">
        <f t="shared" si="213"/>
        <v>151</v>
      </c>
      <c r="FN551" s="360">
        <f t="shared" si="214"/>
        <v>164</v>
      </c>
      <c r="FO551" s="3"/>
      <c r="FP551" s="279"/>
      <c r="FQ551" s="52"/>
      <c r="FR551" s="296"/>
      <c r="FS551" s="98"/>
      <c r="FT551" s="467"/>
      <c r="FU551" s="52"/>
      <c r="FV551" s="296"/>
      <c r="FW551" s="98"/>
      <c r="FX551" s="467"/>
      <c r="FY551" s="52"/>
      <c r="FZ551" s="296"/>
      <c r="GA551" s="98"/>
      <c r="GB551" s="467"/>
      <c r="GC551" s="52"/>
      <c r="GD551" s="296"/>
      <c r="GE551" s="98"/>
      <c r="GF551" s="467"/>
      <c r="GG551" s="52"/>
      <c r="GH551" s="296"/>
      <c r="GI551" s="98"/>
      <c r="GJ551" s="467"/>
      <c r="GK551" s="52"/>
      <c r="GL551" s="296"/>
      <c r="GM551" s="464"/>
      <c r="GN551" s="467"/>
      <c r="GO551" s="52"/>
      <c r="GP551" s="296"/>
      <c r="GQ551" s="464"/>
      <c r="GR551" s="467"/>
      <c r="GS551" s="52"/>
      <c r="GT551" s="296"/>
      <c r="GU551" s="464"/>
      <c r="GV551" s="467"/>
      <c r="GW551" s="52"/>
      <c r="GX551" s="296"/>
      <c r="GY551" s="464"/>
      <c r="GZ551" s="467"/>
      <c r="HA551" s="52"/>
      <c r="HB551" s="296"/>
      <c r="HC551" s="3"/>
    </row>
    <row r="552" spans="1:211" s="86" customFormat="1">
      <c r="A552" s="499" t="s">
        <v>32</v>
      </c>
      <c r="B552" s="311" t="s">
        <v>675</v>
      </c>
      <c r="C552" s="310">
        <v>221607</v>
      </c>
      <c r="D552" s="351">
        <v>13</v>
      </c>
      <c r="E552" s="460">
        <v>149</v>
      </c>
      <c r="F552" s="277">
        <v>137</v>
      </c>
      <c r="G552" s="158"/>
      <c r="H552" s="277"/>
      <c r="I552" s="158"/>
      <c r="J552" s="277"/>
      <c r="K552" s="160">
        <f t="shared" si="215"/>
        <v>0</v>
      </c>
      <c r="L552" s="161">
        <f t="shared" si="208"/>
        <v>0</v>
      </c>
      <c r="M552" s="54"/>
      <c r="N552" s="55"/>
      <c r="O552" s="55"/>
      <c r="P552" s="55"/>
      <c r="Q552" s="162">
        <f t="shared" si="216"/>
        <v>0</v>
      </c>
      <c r="R552" s="277"/>
      <c r="S552" s="277"/>
      <c r="T552" s="277"/>
      <c r="U552" s="277"/>
      <c r="V552" s="97">
        <f t="shared" si="217"/>
        <v>0</v>
      </c>
      <c r="W552" s="279"/>
      <c r="X552" s="52"/>
      <c r="Y552" s="99"/>
      <c r="Z552" s="53"/>
      <c r="AA552" s="228"/>
      <c r="AB552" s="52"/>
      <c r="AC552" s="99"/>
      <c r="AD552" s="53"/>
      <c r="AE552" s="228"/>
      <c r="AF552" s="52"/>
      <c r="AG552" s="99"/>
      <c r="AH552" s="53"/>
      <c r="AI552" s="228"/>
      <c r="AJ552" s="52"/>
      <c r="AK552" s="99"/>
      <c r="AL552" s="53"/>
      <c r="AM552" s="228"/>
      <c r="AN552" s="52"/>
      <c r="AO552" s="99"/>
      <c r="AP552" s="53"/>
      <c r="AQ552" s="50">
        <f t="shared" si="209"/>
        <v>0</v>
      </c>
      <c r="AR552" s="163">
        <f t="shared" si="210"/>
        <v>0</v>
      </c>
      <c r="AS552" s="97">
        <f t="shared" si="211"/>
        <v>0</v>
      </c>
      <c r="AT552" s="278">
        <f t="shared" si="212"/>
        <v>0</v>
      </c>
      <c r="AU552" s="55"/>
      <c r="AV552" s="277"/>
      <c r="AW552" s="279"/>
      <c r="AX552" s="52"/>
      <c r="AY552" s="98"/>
      <c r="AZ552" s="98"/>
      <c r="BA552" s="279"/>
      <c r="BB552" s="52"/>
      <c r="BC552" s="98"/>
      <c r="BD552" s="98"/>
      <c r="BE552" s="279"/>
      <c r="BF552" s="52"/>
      <c r="BG552" s="98"/>
      <c r="BH552" s="98"/>
      <c r="BI552" s="279"/>
      <c r="BJ552" s="52"/>
      <c r="BK552" s="98"/>
      <c r="BL552" s="98"/>
      <c r="BM552" s="279"/>
      <c r="BN552" s="52"/>
      <c r="BO552" s="98"/>
      <c r="BP552" s="98"/>
      <c r="BQ552" s="279"/>
      <c r="BR552" s="52"/>
      <c r="BS552" s="98"/>
      <c r="BT552" s="98"/>
      <c r="BU552" s="279"/>
      <c r="BV552" s="52"/>
      <c r="BW552" s="98"/>
      <c r="BX552" s="98"/>
      <c r="BY552" s="279"/>
      <c r="BZ552" s="52"/>
      <c r="CA552" s="98"/>
      <c r="CB552" s="98"/>
      <c r="CC552" s="279"/>
      <c r="CD552" s="52"/>
      <c r="CE552" s="98"/>
      <c r="CF552" s="98"/>
      <c r="CG552" s="279"/>
      <c r="CH552" s="52"/>
      <c r="CI552" s="98"/>
      <c r="CJ552" s="98"/>
      <c r="CK552" s="281"/>
      <c r="CL552" s="277"/>
      <c r="CM552" s="159"/>
      <c r="CN552" s="277"/>
      <c r="CO552" s="50">
        <f t="shared" si="218"/>
        <v>0</v>
      </c>
      <c r="CP552" s="103">
        <f t="shared" si="219"/>
        <v>0</v>
      </c>
      <c r="CQ552" s="280">
        <f t="shared" si="220"/>
        <v>0</v>
      </c>
      <c r="CR552" s="63">
        <f t="shared" si="221"/>
        <v>0</v>
      </c>
      <c r="CS552" s="279"/>
      <c r="CT552" s="52"/>
      <c r="CU552" s="105"/>
      <c r="CV552" s="98"/>
      <c r="CW552" s="279"/>
      <c r="CX552" s="52"/>
      <c r="CY552" s="105"/>
      <c r="CZ552" s="98"/>
      <c r="DA552" s="279"/>
      <c r="DB552" s="52"/>
      <c r="DC552" s="105"/>
      <c r="DD552" s="98"/>
      <c r="DE552" s="279"/>
      <c r="DF552" s="52"/>
      <c r="DG552" s="105"/>
      <c r="DH552" s="98"/>
      <c r="DI552" s="279"/>
      <c r="DJ552" s="52"/>
      <c r="DK552" s="105"/>
      <c r="DL552" s="98"/>
      <c r="DM552" s="279"/>
      <c r="DN552" s="52"/>
      <c r="DO552" s="105"/>
      <c r="DP552" s="98"/>
      <c r="DQ552" s="279"/>
      <c r="DR552" s="52"/>
      <c r="DS552" s="105"/>
      <c r="DT552" s="98"/>
      <c r="DU552" s="279"/>
      <c r="DV552" s="52"/>
      <c r="DW552" s="105"/>
      <c r="DX552" s="98"/>
      <c r="DY552" s="279"/>
      <c r="DZ552" s="52"/>
      <c r="EA552" s="105"/>
      <c r="EB552" s="98"/>
      <c r="EC552" s="279"/>
      <c r="ED552" s="52"/>
      <c r="EE552" s="105"/>
      <c r="EF552" s="98"/>
      <c r="EG552" s="159"/>
      <c r="EH552" s="277"/>
      <c r="EI552" s="50">
        <f t="shared" si="222"/>
        <v>0</v>
      </c>
      <c r="EJ552" s="103">
        <f t="shared" si="223"/>
        <v>0</v>
      </c>
      <c r="EK552" s="164">
        <f t="shared" si="224"/>
        <v>0</v>
      </c>
      <c r="EL552" s="280">
        <f t="shared" si="225"/>
        <v>0</v>
      </c>
      <c r="EM552" s="63">
        <f t="shared" si="226"/>
        <v>0</v>
      </c>
      <c r="EN552" s="359">
        <f t="shared" si="227"/>
        <v>0</v>
      </c>
      <c r="EO552" s="51">
        <f t="shared" si="228"/>
        <v>0</v>
      </c>
      <c r="EP552" s="361">
        <f t="shared" si="229"/>
        <v>0</v>
      </c>
      <c r="EQ552" s="281"/>
      <c r="ER552" s="277"/>
      <c r="ES552" s="281"/>
      <c r="ET552" s="277"/>
      <c r="EU552" s="281"/>
      <c r="EV552" s="277"/>
      <c r="EW552" s="281"/>
      <c r="EX552" s="277"/>
      <c r="EY552" s="281"/>
      <c r="EZ552" s="277"/>
      <c r="FA552" s="281"/>
      <c r="FB552" s="277"/>
      <c r="FC552" s="281"/>
      <c r="FD552" s="277"/>
      <c r="FE552" s="281"/>
      <c r="FF552" s="277"/>
      <c r="FG552" s="281"/>
      <c r="FH552" s="277"/>
      <c r="FI552" s="281"/>
      <c r="FJ552" s="277"/>
      <c r="FK552" s="50">
        <f t="shared" si="230"/>
        <v>0</v>
      </c>
      <c r="FL552" s="63">
        <f t="shared" si="231"/>
        <v>0</v>
      </c>
      <c r="FM552" s="50">
        <f t="shared" si="213"/>
        <v>149</v>
      </c>
      <c r="FN552" s="360">
        <f t="shared" si="214"/>
        <v>137</v>
      </c>
      <c r="FO552" s="3"/>
      <c r="FP552" s="279"/>
      <c r="FQ552" s="52"/>
      <c r="FR552" s="296"/>
      <c r="FS552" s="98"/>
      <c r="FT552" s="467"/>
      <c r="FU552" s="52"/>
      <c r="FV552" s="296"/>
      <c r="FW552" s="98"/>
      <c r="FX552" s="467"/>
      <c r="FY552" s="52"/>
      <c r="FZ552" s="296"/>
      <c r="GA552" s="98"/>
      <c r="GB552" s="467"/>
      <c r="GC552" s="52"/>
      <c r="GD552" s="296"/>
      <c r="GE552" s="98"/>
      <c r="GF552" s="467"/>
      <c r="GG552" s="52"/>
      <c r="GH552" s="296"/>
      <c r="GI552" s="98"/>
      <c r="GJ552" s="467"/>
      <c r="GK552" s="52"/>
      <c r="GL552" s="296"/>
      <c r="GM552" s="464"/>
      <c r="GN552" s="467"/>
      <c r="GO552" s="52"/>
      <c r="GP552" s="296"/>
      <c r="GQ552" s="464"/>
      <c r="GR552" s="467"/>
      <c r="GS552" s="52"/>
      <c r="GT552" s="296"/>
      <c r="GU552" s="464"/>
      <c r="GV552" s="467"/>
      <c r="GW552" s="52"/>
      <c r="GX552" s="296"/>
      <c r="GY552" s="464"/>
      <c r="GZ552" s="467"/>
      <c r="HA552" s="52"/>
      <c r="HB552" s="296"/>
      <c r="HC552" s="3"/>
    </row>
    <row r="553" spans="1:211" s="86" customFormat="1">
      <c r="A553" s="499" t="s">
        <v>32</v>
      </c>
      <c r="B553" s="311" t="s">
        <v>676</v>
      </c>
      <c r="C553" s="310">
        <v>220853</v>
      </c>
      <c r="D553" s="351">
        <v>13</v>
      </c>
      <c r="E553" s="460">
        <v>637</v>
      </c>
      <c r="F553" s="277">
        <v>500</v>
      </c>
      <c r="G553" s="158"/>
      <c r="H553" s="277"/>
      <c r="I553" s="158"/>
      <c r="J553" s="277"/>
      <c r="K553" s="160">
        <f t="shared" si="215"/>
        <v>0</v>
      </c>
      <c r="L553" s="161">
        <f t="shared" si="208"/>
        <v>0</v>
      </c>
      <c r="M553" s="54"/>
      <c r="N553" s="55"/>
      <c r="O553" s="55"/>
      <c r="P553" s="55"/>
      <c r="Q553" s="162">
        <f t="shared" si="216"/>
        <v>0</v>
      </c>
      <c r="R553" s="277"/>
      <c r="S553" s="277"/>
      <c r="T553" s="277"/>
      <c r="U553" s="277"/>
      <c r="V553" s="97">
        <f t="shared" si="217"/>
        <v>0</v>
      </c>
      <c r="W553" s="279"/>
      <c r="X553" s="52"/>
      <c r="Y553" s="99"/>
      <c r="Z553" s="53"/>
      <c r="AA553" s="228"/>
      <c r="AB553" s="52"/>
      <c r="AC553" s="99"/>
      <c r="AD553" s="53"/>
      <c r="AE553" s="228"/>
      <c r="AF553" s="52"/>
      <c r="AG553" s="99"/>
      <c r="AH553" s="53"/>
      <c r="AI553" s="228"/>
      <c r="AJ553" s="52"/>
      <c r="AK553" s="99"/>
      <c r="AL553" s="53"/>
      <c r="AM553" s="228"/>
      <c r="AN553" s="52"/>
      <c r="AO553" s="99"/>
      <c r="AP553" s="53"/>
      <c r="AQ553" s="50">
        <f t="shared" si="209"/>
        <v>0</v>
      </c>
      <c r="AR553" s="163">
        <f t="shared" si="210"/>
        <v>0</v>
      </c>
      <c r="AS553" s="97">
        <f t="shared" si="211"/>
        <v>0</v>
      </c>
      <c r="AT553" s="278">
        <f t="shared" si="212"/>
        <v>0</v>
      </c>
      <c r="AU553" s="55"/>
      <c r="AV553" s="277"/>
      <c r="AW553" s="279"/>
      <c r="AX553" s="52"/>
      <c r="AY553" s="98"/>
      <c r="AZ553" s="98"/>
      <c r="BA553" s="279"/>
      <c r="BB553" s="52"/>
      <c r="BC553" s="98"/>
      <c r="BD553" s="98"/>
      <c r="BE553" s="279"/>
      <c r="BF553" s="52"/>
      <c r="BG553" s="98"/>
      <c r="BH553" s="98"/>
      <c r="BI553" s="279"/>
      <c r="BJ553" s="52"/>
      <c r="BK553" s="98"/>
      <c r="BL553" s="98"/>
      <c r="BM553" s="279"/>
      <c r="BN553" s="52"/>
      <c r="BO553" s="98"/>
      <c r="BP553" s="98"/>
      <c r="BQ553" s="279"/>
      <c r="BR553" s="52"/>
      <c r="BS553" s="98"/>
      <c r="BT553" s="98"/>
      <c r="BU553" s="279"/>
      <c r="BV553" s="52"/>
      <c r="BW553" s="98"/>
      <c r="BX553" s="98"/>
      <c r="BY553" s="279"/>
      <c r="BZ553" s="52"/>
      <c r="CA553" s="98"/>
      <c r="CB553" s="98"/>
      <c r="CC553" s="279"/>
      <c r="CD553" s="52"/>
      <c r="CE553" s="98"/>
      <c r="CF553" s="98"/>
      <c r="CG553" s="279"/>
      <c r="CH553" s="52"/>
      <c r="CI553" s="98"/>
      <c r="CJ553" s="98"/>
      <c r="CK553" s="281"/>
      <c r="CL553" s="277"/>
      <c r="CM553" s="159"/>
      <c r="CN553" s="277"/>
      <c r="CO553" s="50">
        <f t="shared" si="218"/>
        <v>0</v>
      </c>
      <c r="CP553" s="103">
        <f t="shared" si="219"/>
        <v>0</v>
      </c>
      <c r="CQ553" s="280">
        <f t="shared" si="220"/>
        <v>0</v>
      </c>
      <c r="CR553" s="63">
        <f t="shared" si="221"/>
        <v>0</v>
      </c>
      <c r="CS553" s="279"/>
      <c r="CT553" s="52"/>
      <c r="CU553" s="98"/>
      <c r="CV553" s="98"/>
      <c r="CW553" s="279"/>
      <c r="CX553" s="52"/>
      <c r="CY553" s="105"/>
      <c r="CZ553" s="98"/>
      <c r="DA553" s="279"/>
      <c r="DB553" s="52"/>
      <c r="DC553" s="105"/>
      <c r="DD553" s="98"/>
      <c r="DE553" s="279"/>
      <c r="DF553" s="52"/>
      <c r="DG553" s="105"/>
      <c r="DH553" s="98"/>
      <c r="DI553" s="279"/>
      <c r="DJ553" s="52"/>
      <c r="DK553" s="105"/>
      <c r="DL553" s="98"/>
      <c r="DM553" s="279"/>
      <c r="DN553" s="52"/>
      <c r="DO553" s="105"/>
      <c r="DP553" s="98"/>
      <c r="DQ553" s="279"/>
      <c r="DR553" s="52"/>
      <c r="DS553" s="105"/>
      <c r="DT553" s="98"/>
      <c r="DU553" s="279"/>
      <c r="DV553" s="52"/>
      <c r="DW553" s="105"/>
      <c r="DX553" s="98"/>
      <c r="DY553" s="279"/>
      <c r="DZ553" s="52"/>
      <c r="EA553" s="105"/>
      <c r="EB553" s="98"/>
      <c r="EC553" s="279"/>
      <c r="ED553" s="52"/>
      <c r="EE553" s="105"/>
      <c r="EF553" s="98"/>
      <c r="EG553" s="159"/>
      <c r="EH553" s="277"/>
      <c r="EI553" s="50">
        <f t="shared" si="222"/>
        <v>0</v>
      </c>
      <c r="EJ553" s="103">
        <f t="shared" si="223"/>
        <v>0</v>
      </c>
      <c r="EK553" s="164">
        <f t="shared" si="224"/>
        <v>0</v>
      </c>
      <c r="EL553" s="280">
        <f t="shared" si="225"/>
        <v>0</v>
      </c>
      <c r="EM553" s="63">
        <f t="shared" si="226"/>
        <v>0</v>
      </c>
      <c r="EN553" s="359">
        <f t="shared" si="227"/>
        <v>0</v>
      </c>
      <c r="EO553" s="51">
        <f t="shared" si="228"/>
        <v>0</v>
      </c>
      <c r="EP553" s="361">
        <f t="shared" si="229"/>
        <v>0</v>
      </c>
      <c r="EQ553" s="281"/>
      <c r="ER553" s="277"/>
      <c r="ES553" s="281"/>
      <c r="ET553" s="277"/>
      <c r="EU553" s="281"/>
      <c r="EV553" s="277"/>
      <c r="EW553" s="281"/>
      <c r="EX553" s="277"/>
      <c r="EY553" s="281"/>
      <c r="EZ553" s="277"/>
      <c r="FA553" s="281"/>
      <c r="FB553" s="277"/>
      <c r="FC553" s="281"/>
      <c r="FD553" s="277"/>
      <c r="FE553" s="281"/>
      <c r="FF553" s="277"/>
      <c r="FG553" s="281"/>
      <c r="FH553" s="277"/>
      <c r="FI553" s="281"/>
      <c r="FJ553" s="277"/>
      <c r="FK553" s="50">
        <f t="shared" si="230"/>
        <v>0</v>
      </c>
      <c r="FL553" s="63">
        <f t="shared" si="231"/>
        <v>0</v>
      </c>
      <c r="FM553" s="50">
        <f t="shared" si="213"/>
        <v>637</v>
      </c>
      <c r="FN553" s="360">
        <f t="shared" si="214"/>
        <v>500</v>
      </c>
      <c r="FO553" s="3"/>
      <c r="FP553" s="279"/>
      <c r="FQ553" s="52"/>
      <c r="FR553" s="296"/>
      <c r="FS553" s="98"/>
      <c r="FT553" s="467"/>
      <c r="FU553" s="52"/>
      <c r="FV553" s="296"/>
      <c r="FW553" s="98"/>
      <c r="FX553" s="467"/>
      <c r="FY553" s="52"/>
      <c r="FZ553" s="296"/>
      <c r="GA553" s="98"/>
      <c r="GB553" s="467"/>
      <c r="GC553" s="52"/>
      <c r="GD553" s="296"/>
      <c r="GE553" s="98"/>
      <c r="GF553" s="467"/>
      <c r="GG553" s="52"/>
      <c r="GH553" s="296"/>
      <c r="GI553" s="98"/>
      <c r="GJ553" s="467"/>
      <c r="GK553" s="52"/>
      <c r="GL553" s="296"/>
      <c r="GM553" s="464"/>
      <c r="GN553" s="467"/>
      <c r="GO553" s="52"/>
      <c r="GP553" s="296"/>
      <c r="GQ553" s="464"/>
      <c r="GR553" s="467"/>
      <c r="GS553" s="52"/>
      <c r="GT553" s="296"/>
      <c r="GU553" s="464"/>
      <c r="GV553" s="467"/>
      <c r="GW553" s="52"/>
      <c r="GX553" s="296"/>
      <c r="GY553" s="464"/>
      <c r="GZ553" s="467"/>
      <c r="HA553" s="52"/>
      <c r="HB553" s="296"/>
      <c r="HC553" s="3"/>
    </row>
    <row r="554" spans="1:211" s="86" customFormat="1">
      <c r="A554" s="499" t="s">
        <v>32</v>
      </c>
      <c r="B554" s="311" t="s">
        <v>677</v>
      </c>
      <c r="C554" s="310">
        <v>221050</v>
      </c>
      <c r="D554" s="351">
        <v>13</v>
      </c>
      <c r="E554" s="460">
        <v>389</v>
      </c>
      <c r="F554" s="277">
        <v>257</v>
      </c>
      <c r="G554" s="158"/>
      <c r="H554" s="277"/>
      <c r="I554" s="158"/>
      <c r="J554" s="277"/>
      <c r="K554" s="160">
        <f t="shared" si="215"/>
        <v>0</v>
      </c>
      <c r="L554" s="161">
        <f t="shared" si="208"/>
        <v>0</v>
      </c>
      <c r="M554" s="54"/>
      <c r="N554" s="55"/>
      <c r="O554" s="55"/>
      <c r="P554" s="55"/>
      <c r="Q554" s="162">
        <f t="shared" si="216"/>
        <v>0</v>
      </c>
      <c r="R554" s="277"/>
      <c r="S554" s="277"/>
      <c r="T554" s="277"/>
      <c r="U554" s="277"/>
      <c r="V554" s="97">
        <f t="shared" si="217"/>
        <v>0</v>
      </c>
      <c r="W554" s="279"/>
      <c r="X554" s="52"/>
      <c r="Y554" s="99"/>
      <c r="Z554" s="53"/>
      <c r="AA554" s="228"/>
      <c r="AB554" s="52"/>
      <c r="AC554" s="99"/>
      <c r="AD554" s="53"/>
      <c r="AE554" s="228"/>
      <c r="AF554" s="52"/>
      <c r="AG554" s="99"/>
      <c r="AH554" s="53"/>
      <c r="AI554" s="228"/>
      <c r="AJ554" s="52"/>
      <c r="AK554" s="99"/>
      <c r="AL554" s="53"/>
      <c r="AM554" s="228"/>
      <c r="AN554" s="52"/>
      <c r="AO554" s="99"/>
      <c r="AP554" s="53"/>
      <c r="AQ554" s="50">
        <f t="shared" si="209"/>
        <v>0</v>
      </c>
      <c r="AR554" s="163">
        <f t="shared" si="210"/>
        <v>0</v>
      </c>
      <c r="AS554" s="97">
        <f t="shared" si="211"/>
        <v>0</v>
      </c>
      <c r="AT554" s="278">
        <f t="shared" si="212"/>
        <v>0</v>
      </c>
      <c r="AU554" s="55"/>
      <c r="AV554" s="277"/>
      <c r="AW554" s="279"/>
      <c r="AX554" s="52"/>
      <c r="AY554" s="98"/>
      <c r="AZ554" s="98"/>
      <c r="BA554" s="279"/>
      <c r="BB554" s="52"/>
      <c r="BC554" s="98"/>
      <c r="BD554" s="98"/>
      <c r="BE554" s="279"/>
      <c r="BF554" s="52"/>
      <c r="BG554" s="98"/>
      <c r="BH554" s="98"/>
      <c r="BI554" s="279"/>
      <c r="BJ554" s="52"/>
      <c r="BK554" s="98"/>
      <c r="BL554" s="98"/>
      <c r="BM554" s="279"/>
      <c r="BN554" s="52"/>
      <c r="BO554" s="98"/>
      <c r="BP554" s="98"/>
      <c r="BQ554" s="279"/>
      <c r="BR554" s="52"/>
      <c r="BS554" s="98"/>
      <c r="BT554" s="98"/>
      <c r="BU554" s="279"/>
      <c r="BV554" s="52"/>
      <c r="BW554" s="98"/>
      <c r="BX554" s="98"/>
      <c r="BY554" s="279"/>
      <c r="BZ554" s="52"/>
      <c r="CA554" s="98"/>
      <c r="CB554" s="98"/>
      <c r="CC554" s="279"/>
      <c r="CD554" s="52"/>
      <c r="CE554" s="98"/>
      <c r="CF554" s="98"/>
      <c r="CG554" s="279"/>
      <c r="CH554" s="52"/>
      <c r="CI554" s="98"/>
      <c r="CJ554" s="98"/>
      <c r="CK554" s="281"/>
      <c r="CL554" s="277"/>
      <c r="CM554" s="159"/>
      <c r="CN554" s="277"/>
      <c r="CO554" s="50">
        <f t="shared" si="218"/>
        <v>0</v>
      </c>
      <c r="CP554" s="103">
        <f t="shared" si="219"/>
        <v>0</v>
      </c>
      <c r="CQ554" s="280">
        <f t="shared" si="220"/>
        <v>0</v>
      </c>
      <c r="CR554" s="63">
        <f t="shared" si="221"/>
        <v>0</v>
      </c>
      <c r="CS554" s="279"/>
      <c r="CT554" s="52"/>
      <c r="CU554" s="98"/>
      <c r="CV554" s="98"/>
      <c r="CW554" s="279"/>
      <c r="CX554" s="52"/>
      <c r="CY554" s="98"/>
      <c r="CZ554" s="98"/>
      <c r="DA554" s="279"/>
      <c r="DB554" s="52"/>
      <c r="DC554" s="98"/>
      <c r="DD554" s="98"/>
      <c r="DE554" s="279"/>
      <c r="DF554" s="52"/>
      <c r="DG554" s="105"/>
      <c r="DH554" s="98"/>
      <c r="DI554" s="279"/>
      <c r="DJ554" s="52"/>
      <c r="DK554" s="105"/>
      <c r="DL554" s="98"/>
      <c r="DM554" s="279"/>
      <c r="DN554" s="52"/>
      <c r="DO554" s="105"/>
      <c r="DP554" s="98"/>
      <c r="DQ554" s="279"/>
      <c r="DR554" s="52"/>
      <c r="DS554" s="105"/>
      <c r="DT554" s="98"/>
      <c r="DU554" s="279"/>
      <c r="DV554" s="52"/>
      <c r="DW554" s="105"/>
      <c r="DX554" s="98"/>
      <c r="DY554" s="279"/>
      <c r="DZ554" s="52"/>
      <c r="EA554" s="105"/>
      <c r="EB554" s="98"/>
      <c r="EC554" s="279"/>
      <c r="ED554" s="52"/>
      <c r="EE554" s="105"/>
      <c r="EF554" s="98"/>
      <c r="EG554" s="159"/>
      <c r="EH554" s="277"/>
      <c r="EI554" s="50">
        <f t="shared" si="222"/>
        <v>0</v>
      </c>
      <c r="EJ554" s="103">
        <f t="shared" si="223"/>
        <v>0</v>
      </c>
      <c r="EK554" s="164">
        <f t="shared" si="224"/>
        <v>0</v>
      </c>
      <c r="EL554" s="280">
        <f t="shared" si="225"/>
        <v>0</v>
      </c>
      <c r="EM554" s="63">
        <f t="shared" si="226"/>
        <v>0</v>
      </c>
      <c r="EN554" s="359">
        <f t="shared" si="227"/>
        <v>0</v>
      </c>
      <c r="EO554" s="51">
        <f t="shared" si="228"/>
        <v>0</v>
      </c>
      <c r="EP554" s="361">
        <f t="shared" si="229"/>
        <v>0</v>
      </c>
      <c r="EQ554" s="281"/>
      <c r="ER554" s="277"/>
      <c r="ES554" s="281"/>
      <c r="ET554" s="277"/>
      <c r="EU554" s="281"/>
      <c r="EV554" s="277"/>
      <c r="EW554" s="281"/>
      <c r="EX554" s="277"/>
      <c r="EY554" s="281"/>
      <c r="EZ554" s="277"/>
      <c r="FA554" s="281"/>
      <c r="FB554" s="277"/>
      <c r="FC554" s="281"/>
      <c r="FD554" s="277"/>
      <c r="FE554" s="281"/>
      <c r="FF554" s="277"/>
      <c r="FG554" s="281"/>
      <c r="FH554" s="277"/>
      <c r="FI554" s="281"/>
      <c r="FJ554" s="277"/>
      <c r="FK554" s="50">
        <f t="shared" si="230"/>
        <v>0</v>
      </c>
      <c r="FL554" s="63">
        <f t="shared" si="231"/>
        <v>0</v>
      </c>
      <c r="FM554" s="50">
        <f t="shared" si="213"/>
        <v>389</v>
      </c>
      <c r="FN554" s="360">
        <f t="shared" si="214"/>
        <v>257</v>
      </c>
      <c r="FO554" s="3"/>
      <c r="FP554" s="279"/>
      <c r="FQ554" s="52"/>
      <c r="FR554" s="296"/>
      <c r="FS554" s="98"/>
      <c r="FT554" s="467"/>
      <c r="FU554" s="52"/>
      <c r="FV554" s="296"/>
      <c r="FW554" s="98"/>
      <c r="FX554" s="467"/>
      <c r="FY554" s="52"/>
      <c r="FZ554" s="296"/>
      <c r="GA554" s="98"/>
      <c r="GB554" s="467"/>
      <c r="GC554" s="52"/>
      <c r="GD554" s="296"/>
      <c r="GE554" s="98"/>
      <c r="GF554" s="467"/>
      <c r="GG554" s="52"/>
      <c r="GH554" s="296"/>
      <c r="GI554" s="98"/>
      <c r="GJ554" s="467"/>
      <c r="GK554" s="52"/>
      <c r="GL554" s="296"/>
      <c r="GM554" s="464"/>
      <c r="GN554" s="467"/>
      <c r="GO554" s="52"/>
      <c r="GP554" s="296"/>
      <c r="GQ554" s="464"/>
      <c r="GR554" s="467"/>
      <c r="GS554" s="52"/>
      <c r="GT554" s="296"/>
      <c r="GU554" s="464"/>
      <c r="GV554" s="467"/>
      <c r="GW554" s="52"/>
      <c r="GX554" s="296"/>
      <c r="GY554" s="464"/>
      <c r="GZ554" s="467"/>
      <c r="HA554" s="52"/>
      <c r="HB554" s="296"/>
      <c r="HC554" s="3"/>
    </row>
    <row r="555" spans="1:211" s="86" customFormat="1">
      <c r="A555" s="499" t="s">
        <v>32</v>
      </c>
      <c r="B555" s="311" t="s">
        <v>678</v>
      </c>
      <c r="C555" s="310">
        <v>221102</v>
      </c>
      <c r="D555" s="351">
        <v>13</v>
      </c>
      <c r="E555" s="460">
        <v>201</v>
      </c>
      <c r="F555" s="277">
        <v>214</v>
      </c>
      <c r="G555" s="158"/>
      <c r="H555" s="277"/>
      <c r="I555" s="158"/>
      <c r="J555" s="277"/>
      <c r="K555" s="160">
        <f t="shared" si="215"/>
        <v>0</v>
      </c>
      <c r="L555" s="161">
        <f t="shared" si="208"/>
        <v>0</v>
      </c>
      <c r="M555" s="54"/>
      <c r="N555" s="55"/>
      <c r="O555" s="55"/>
      <c r="P555" s="55"/>
      <c r="Q555" s="162">
        <f t="shared" si="216"/>
        <v>0</v>
      </c>
      <c r="R555" s="277"/>
      <c r="S555" s="277"/>
      <c r="T555" s="277"/>
      <c r="U555" s="277"/>
      <c r="V555" s="97">
        <f t="shared" si="217"/>
        <v>0</v>
      </c>
      <c r="W555" s="279"/>
      <c r="X555" s="52"/>
      <c r="Y555" s="99"/>
      <c r="Z555" s="53"/>
      <c r="AA555" s="228"/>
      <c r="AB555" s="52"/>
      <c r="AC555" s="99"/>
      <c r="AD555" s="53"/>
      <c r="AE555" s="228"/>
      <c r="AF555" s="52"/>
      <c r="AG555" s="99"/>
      <c r="AH555" s="53"/>
      <c r="AI555" s="228"/>
      <c r="AJ555" s="52"/>
      <c r="AK555" s="99"/>
      <c r="AL555" s="53"/>
      <c r="AM555" s="228"/>
      <c r="AN555" s="52"/>
      <c r="AO555" s="99"/>
      <c r="AP555" s="53"/>
      <c r="AQ555" s="50">
        <f t="shared" si="209"/>
        <v>0</v>
      </c>
      <c r="AR555" s="163">
        <f t="shared" si="210"/>
        <v>0</v>
      </c>
      <c r="AS555" s="97">
        <f t="shared" si="211"/>
        <v>0</v>
      </c>
      <c r="AT555" s="278">
        <f t="shared" si="212"/>
        <v>0</v>
      </c>
      <c r="AU555" s="55"/>
      <c r="AV555" s="277"/>
      <c r="AW555" s="279"/>
      <c r="AX555" s="52"/>
      <c r="AY555" s="98"/>
      <c r="AZ555" s="98"/>
      <c r="BA555" s="279"/>
      <c r="BB555" s="52"/>
      <c r="BC555" s="98"/>
      <c r="BD555" s="98"/>
      <c r="BE555" s="279"/>
      <c r="BF555" s="52"/>
      <c r="BG555" s="98"/>
      <c r="BH555" s="98"/>
      <c r="BI555" s="279"/>
      <c r="BJ555" s="52"/>
      <c r="BK555" s="98"/>
      <c r="BL555" s="98"/>
      <c r="BM555" s="279"/>
      <c r="BN555" s="52"/>
      <c r="BO555" s="98"/>
      <c r="BP555" s="98"/>
      <c r="BQ555" s="279"/>
      <c r="BR555" s="52"/>
      <c r="BS555" s="98"/>
      <c r="BT555" s="98"/>
      <c r="BU555" s="279"/>
      <c r="BV555" s="52"/>
      <c r="BW555" s="98"/>
      <c r="BX555" s="98"/>
      <c r="BY555" s="279"/>
      <c r="BZ555" s="52"/>
      <c r="CA555" s="98"/>
      <c r="CB555" s="98"/>
      <c r="CC555" s="279"/>
      <c r="CD555" s="52"/>
      <c r="CE555" s="98"/>
      <c r="CF555" s="98"/>
      <c r="CG555" s="279"/>
      <c r="CH555" s="52"/>
      <c r="CI555" s="98"/>
      <c r="CJ555" s="98"/>
      <c r="CK555" s="281"/>
      <c r="CL555" s="277"/>
      <c r="CM555" s="159"/>
      <c r="CN555" s="277"/>
      <c r="CO555" s="50">
        <f t="shared" si="218"/>
        <v>0</v>
      </c>
      <c r="CP555" s="103">
        <f t="shared" si="219"/>
        <v>0</v>
      </c>
      <c r="CQ555" s="280">
        <f t="shared" si="220"/>
        <v>0</v>
      </c>
      <c r="CR555" s="63">
        <f t="shared" si="221"/>
        <v>0</v>
      </c>
      <c r="CS555" s="279"/>
      <c r="CT555" s="52"/>
      <c r="CU555" s="98"/>
      <c r="CV555" s="98"/>
      <c r="CW555" s="279"/>
      <c r="CX555" s="52"/>
      <c r="CY555" s="98"/>
      <c r="CZ555" s="98"/>
      <c r="DA555" s="279"/>
      <c r="DB555" s="52"/>
      <c r="DC555" s="105"/>
      <c r="DD555" s="98"/>
      <c r="DE555" s="279"/>
      <c r="DF555" s="52"/>
      <c r="DG555" s="105"/>
      <c r="DH555" s="98"/>
      <c r="DI555" s="279"/>
      <c r="DJ555" s="52"/>
      <c r="DK555" s="105"/>
      <c r="DL555" s="98"/>
      <c r="DM555" s="279"/>
      <c r="DN555" s="52"/>
      <c r="DO555" s="105"/>
      <c r="DP555" s="98"/>
      <c r="DQ555" s="279"/>
      <c r="DR555" s="52"/>
      <c r="DS555" s="105"/>
      <c r="DT555" s="98"/>
      <c r="DU555" s="279"/>
      <c r="DV555" s="52"/>
      <c r="DW555" s="105"/>
      <c r="DX555" s="98"/>
      <c r="DY555" s="279"/>
      <c r="DZ555" s="52"/>
      <c r="EA555" s="105"/>
      <c r="EB555" s="98"/>
      <c r="EC555" s="279"/>
      <c r="ED555" s="52"/>
      <c r="EE555" s="105"/>
      <c r="EF555" s="98"/>
      <c r="EG555" s="159"/>
      <c r="EH555" s="277"/>
      <c r="EI555" s="50">
        <f t="shared" si="222"/>
        <v>0</v>
      </c>
      <c r="EJ555" s="103">
        <f t="shared" si="223"/>
        <v>0</v>
      </c>
      <c r="EK555" s="164">
        <f t="shared" si="224"/>
        <v>0</v>
      </c>
      <c r="EL555" s="280">
        <f t="shared" si="225"/>
        <v>0</v>
      </c>
      <c r="EM555" s="63">
        <f t="shared" si="226"/>
        <v>0</v>
      </c>
      <c r="EN555" s="359">
        <f t="shared" si="227"/>
        <v>0</v>
      </c>
      <c r="EO555" s="51">
        <f t="shared" si="228"/>
        <v>0</v>
      </c>
      <c r="EP555" s="361">
        <f t="shared" si="229"/>
        <v>0</v>
      </c>
      <c r="EQ555" s="281"/>
      <c r="ER555" s="277"/>
      <c r="ES555" s="281"/>
      <c r="ET555" s="277"/>
      <c r="EU555" s="281"/>
      <c r="EV555" s="277"/>
      <c r="EW555" s="281"/>
      <c r="EX555" s="277"/>
      <c r="EY555" s="281"/>
      <c r="EZ555" s="277"/>
      <c r="FA555" s="281"/>
      <c r="FB555" s="277"/>
      <c r="FC555" s="281"/>
      <c r="FD555" s="277"/>
      <c r="FE555" s="281"/>
      <c r="FF555" s="277"/>
      <c r="FG555" s="281"/>
      <c r="FH555" s="277"/>
      <c r="FI555" s="281"/>
      <c r="FJ555" s="277"/>
      <c r="FK555" s="50">
        <f t="shared" si="230"/>
        <v>0</v>
      </c>
      <c r="FL555" s="63">
        <f t="shared" si="231"/>
        <v>0</v>
      </c>
      <c r="FM555" s="50">
        <f t="shared" si="213"/>
        <v>201</v>
      </c>
      <c r="FN555" s="360">
        <f t="shared" si="214"/>
        <v>214</v>
      </c>
      <c r="FO555" s="3"/>
      <c r="FP555" s="279"/>
      <c r="FQ555" s="52"/>
      <c r="FR555" s="296"/>
      <c r="FS555" s="98"/>
      <c r="FT555" s="467"/>
      <c r="FU555" s="52"/>
      <c r="FV555" s="296"/>
      <c r="FW555" s="98"/>
      <c r="FX555" s="467"/>
      <c r="FY555" s="52"/>
      <c r="FZ555" s="296"/>
      <c r="GA555" s="98"/>
      <c r="GB555" s="467"/>
      <c r="GC555" s="52"/>
      <c r="GD555" s="296"/>
      <c r="GE555" s="98"/>
      <c r="GF555" s="467"/>
      <c r="GG555" s="52"/>
      <c r="GH555" s="296"/>
      <c r="GI555" s="98"/>
      <c r="GJ555" s="467"/>
      <c r="GK555" s="52"/>
      <c r="GL555" s="296"/>
      <c r="GM555" s="464"/>
      <c r="GN555" s="467"/>
      <c r="GO555" s="52"/>
      <c r="GP555" s="296"/>
      <c r="GQ555" s="464"/>
      <c r="GR555" s="467"/>
      <c r="GS555" s="52"/>
      <c r="GT555" s="296"/>
      <c r="GU555" s="464"/>
      <c r="GV555" s="467"/>
      <c r="GW555" s="52"/>
      <c r="GX555" s="296"/>
      <c r="GY555" s="464"/>
      <c r="GZ555" s="467"/>
      <c r="HA555" s="52"/>
      <c r="HB555" s="296"/>
      <c r="HC555" s="3"/>
    </row>
    <row r="556" spans="1:211" s="86" customFormat="1">
      <c r="A556" s="499" t="s">
        <v>32</v>
      </c>
      <c r="B556" s="311" t="s">
        <v>679</v>
      </c>
      <c r="C556" s="310">
        <v>248925</v>
      </c>
      <c r="D556" s="351">
        <v>13</v>
      </c>
      <c r="E556" s="460">
        <v>419</v>
      </c>
      <c r="F556" s="277">
        <v>490</v>
      </c>
      <c r="G556" s="158"/>
      <c r="H556" s="277"/>
      <c r="I556" s="158"/>
      <c r="J556" s="277"/>
      <c r="K556" s="160">
        <f t="shared" si="215"/>
        <v>0</v>
      </c>
      <c r="L556" s="161">
        <f t="shared" si="208"/>
        <v>0</v>
      </c>
      <c r="M556" s="54"/>
      <c r="N556" s="55"/>
      <c r="O556" s="55"/>
      <c r="P556" s="55"/>
      <c r="Q556" s="162">
        <f t="shared" si="216"/>
        <v>0</v>
      </c>
      <c r="R556" s="277"/>
      <c r="S556" s="277"/>
      <c r="T556" s="277"/>
      <c r="U556" s="277"/>
      <c r="V556" s="97">
        <f t="shared" si="217"/>
        <v>0</v>
      </c>
      <c r="W556" s="279"/>
      <c r="X556" s="52"/>
      <c r="Y556" s="99"/>
      <c r="Z556" s="53"/>
      <c r="AA556" s="228"/>
      <c r="AB556" s="52"/>
      <c r="AC556" s="99"/>
      <c r="AD556" s="53"/>
      <c r="AE556" s="228"/>
      <c r="AF556" s="52"/>
      <c r="AG556" s="99"/>
      <c r="AH556" s="53"/>
      <c r="AI556" s="228"/>
      <c r="AJ556" s="52"/>
      <c r="AK556" s="99"/>
      <c r="AL556" s="53"/>
      <c r="AM556" s="228"/>
      <c r="AN556" s="52"/>
      <c r="AO556" s="99"/>
      <c r="AP556" s="53"/>
      <c r="AQ556" s="50">
        <f t="shared" si="209"/>
        <v>0</v>
      </c>
      <c r="AR556" s="163">
        <f t="shared" si="210"/>
        <v>0</v>
      </c>
      <c r="AS556" s="97">
        <f t="shared" si="211"/>
        <v>0</v>
      </c>
      <c r="AT556" s="278">
        <f t="shared" si="212"/>
        <v>0</v>
      </c>
      <c r="AU556" s="55"/>
      <c r="AV556" s="277"/>
      <c r="AW556" s="279"/>
      <c r="AX556" s="52"/>
      <c r="AY556" s="98"/>
      <c r="AZ556" s="98"/>
      <c r="BA556" s="279"/>
      <c r="BB556" s="52"/>
      <c r="BC556" s="98"/>
      <c r="BD556" s="98"/>
      <c r="BE556" s="279"/>
      <c r="BF556" s="52"/>
      <c r="BG556" s="98"/>
      <c r="BH556" s="98"/>
      <c r="BI556" s="279"/>
      <c r="BJ556" s="52"/>
      <c r="BK556" s="98"/>
      <c r="BL556" s="98"/>
      <c r="BM556" s="279"/>
      <c r="BN556" s="52"/>
      <c r="BO556" s="98"/>
      <c r="BP556" s="98"/>
      <c r="BQ556" s="279"/>
      <c r="BR556" s="52"/>
      <c r="BS556" s="98"/>
      <c r="BT556" s="98"/>
      <c r="BU556" s="279"/>
      <c r="BV556" s="52"/>
      <c r="BW556" s="98"/>
      <c r="BX556" s="98"/>
      <c r="BY556" s="279"/>
      <c r="BZ556" s="52"/>
      <c r="CA556" s="98"/>
      <c r="CB556" s="98"/>
      <c r="CC556" s="279"/>
      <c r="CD556" s="52"/>
      <c r="CE556" s="98"/>
      <c r="CF556" s="98"/>
      <c r="CG556" s="279"/>
      <c r="CH556" s="52"/>
      <c r="CI556" s="98"/>
      <c r="CJ556" s="98"/>
      <c r="CK556" s="281"/>
      <c r="CL556" s="277"/>
      <c r="CM556" s="159"/>
      <c r="CN556" s="277"/>
      <c r="CO556" s="50">
        <f t="shared" si="218"/>
        <v>0</v>
      </c>
      <c r="CP556" s="103">
        <f t="shared" si="219"/>
        <v>0</v>
      </c>
      <c r="CQ556" s="280">
        <f t="shared" si="220"/>
        <v>0</v>
      </c>
      <c r="CR556" s="63">
        <f t="shared" si="221"/>
        <v>0</v>
      </c>
      <c r="CS556" s="279"/>
      <c r="CT556" s="52"/>
      <c r="CU556" s="98"/>
      <c r="CV556" s="98"/>
      <c r="CW556" s="279"/>
      <c r="CX556" s="52"/>
      <c r="CY556" s="98"/>
      <c r="CZ556" s="98"/>
      <c r="DA556" s="279"/>
      <c r="DB556" s="52"/>
      <c r="DC556" s="98"/>
      <c r="DD556" s="98"/>
      <c r="DE556" s="279"/>
      <c r="DF556" s="52"/>
      <c r="DG556" s="105"/>
      <c r="DH556" s="98"/>
      <c r="DI556" s="279"/>
      <c r="DJ556" s="52"/>
      <c r="DK556" s="105"/>
      <c r="DL556" s="98"/>
      <c r="DM556" s="279"/>
      <c r="DN556" s="52"/>
      <c r="DO556" s="105"/>
      <c r="DP556" s="98"/>
      <c r="DQ556" s="279"/>
      <c r="DR556" s="52"/>
      <c r="DS556" s="105"/>
      <c r="DT556" s="98"/>
      <c r="DU556" s="279"/>
      <c r="DV556" s="52"/>
      <c r="DW556" s="105"/>
      <c r="DX556" s="98"/>
      <c r="DY556" s="279"/>
      <c r="DZ556" s="52"/>
      <c r="EA556" s="105"/>
      <c r="EB556" s="98"/>
      <c r="EC556" s="279"/>
      <c r="ED556" s="52"/>
      <c r="EE556" s="105"/>
      <c r="EF556" s="98"/>
      <c r="EG556" s="159"/>
      <c r="EH556" s="277"/>
      <c r="EI556" s="50">
        <f t="shared" si="222"/>
        <v>0</v>
      </c>
      <c r="EJ556" s="103">
        <f t="shared" si="223"/>
        <v>0</v>
      </c>
      <c r="EK556" s="164">
        <f t="shared" si="224"/>
        <v>0</v>
      </c>
      <c r="EL556" s="280">
        <f t="shared" si="225"/>
        <v>0</v>
      </c>
      <c r="EM556" s="63">
        <f t="shared" si="226"/>
        <v>0</v>
      </c>
      <c r="EN556" s="359">
        <f t="shared" si="227"/>
        <v>0</v>
      </c>
      <c r="EO556" s="51">
        <f t="shared" si="228"/>
        <v>0</v>
      </c>
      <c r="EP556" s="361">
        <f t="shared" si="229"/>
        <v>0</v>
      </c>
      <c r="EQ556" s="281"/>
      <c r="ER556" s="277"/>
      <c r="ES556" s="281"/>
      <c r="ET556" s="277"/>
      <c r="EU556" s="281"/>
      <c r="EV556" s="277"/>
      <c r="EW556" s="281"/>
      <c r="EX556" s="277"/>
      <c r="EY556" s="281"/>
      <c r="EZ556" s="277"/>
      <c r="FA556" s="281"/>
      <c r="FB556" s="277"/>
      <c r="FC556" s="281"/>
      <c r="FD556" s="277"/>
      <c r="FE556" s="281"/>
      <c r="FF556" s="277"/>
      <c r="FG556" s="281"/>
      <c r="FH556" s="277"/>
      <c r="FI556" s="281"/>
      <c r="FJ556" s="277"/>
      <c r="FK556" s="50">
        <f t="shared" si="230"/>
        <v>0</v>
      </c>
      <c r="FL556" s="63">
        <f t="shared" si="231"/>
        <v>0</v>
      </c>
      <c r="FM556" s="50">
        <f t="shared" si="213"/>
        <v>419</v>
      </c>
      <c r="FN556" s="360">
        <f t="shared" si="214"/>
        <v>490</v>
      </c>
      <c r="FO556" s="3"/>
      <c r="FP556" s="279"/>
      <c r="FQ556" s="52"/>
      <c r="FR556" s="296"/>
      <c r="FS556" s="98"/>
      <c r="FT556" s="467"/>
      <c r="FU556" s="52"/>
      <c r="FV556" s="296"/>
      <c r="FW556" s="98"/>
      <c r="FX556" s="467"/>
      <c r="FY556" s="52"/>
      <c r="FZ556" s="296"/>
      <c r="GA556" s="98"/>
      <c r="GB556" s="467"/>
      <c r="GC556" s="52"/>
      <c r="GD556" s="296"/>
      <c r="GE556" s="98"/>
      <c r="GF556" s="467"/>
      <c r="GG556" s="52"/>
      <c r="GH556" s="296"/>
      <c r="GI556" s="98"/>
      <c r="GJ556" s="467"/>
      <c r="GK556" s="52"/>
      <c r="GL556" s="296"/>
      <c r="GM556" s="464"/>
      <c r="GN556" s="467"/>
      <c r="GO556" s="52"/>
      <c r="GP556" s="296"/>
      <c r="GQ556" s="464"/>
      <c r="GR556" s="467"/>
      <c r="GS556" s="52"/>
      <c r="GT556" s="296"/>
      <c r="GU556" s="464"/>
      <c r="GV556" s="467"/>
      <c r="GW556" s="52"/>
      <c r="GX556" s="296"/>
      <c r="GY556" s="464"/>
      <c r="GZ556" s="467"/>
      <c r="HA556" s="52"/>
      <c r="HB556" s="296"/>
      <c r="HC556" s="3"/>
    </row>
    <row r="557" spans="1:211" s="86" customFormat="1">
      <c r="A557" s="499" t="s">
        <v>32</v>
      </c>
      <c r="B557" s="311" t="s">
        <v>680</v>
      </c>
      <c r="C557" s="310">
        <v>221236</v>
      </c>
      <c r="D557" s="351">
        <v>13</v>
      </c>
      <c r="E557" s="460">
        <v>161</v>
      </c>
      <c r="F557" s="277">
        <v>173</v>
      </c>
      <c r="G557" s="158"/>
      <c r="H557" s="277"/>
      <c r="I557" s="158"/>
      <c r="J557" s="277"/>
      <c r="K557" s="160">
        <f t="shared" si="215"/>
        <v>0</v>
      </c>
      <c r="L557" s="161">
        <f t="shared" si="208"/>
        <v>0</v>
      </c>
      <c r="M557" s="54"/>
      <c r="N557" s="55"/>
      <c r="O557" s="55"/>
      <c r="P557" s="55"/>
      <c r="Q557" s="162">
        <f t="shared" si="216"/>
        <v>0</v>
      </c>
      <c r="R557" s="277"/>
      <c r="S557" s="277"/>
      <c r="T557" s="277"/>
      <c r="U557" s="277"/>
      <c r="V557" s="97">
        <f t="shared" si="217"/>
        <v>0</v>
      </c>
      <c r="W557" s="279"/>
      <c r="X557" s="52"/>
      <c r="Y557" s="99"/>
      <c r="Z557" s="53"/>
      <c r="AA557" s="228"/>
      <c r="AB557" s="52"/>
      <c r="AC557" s="99"/>
      <c r="AD557" s="53"/>
      <c r="AE557" s="228"/>
      <c r="AF557" s="52"/>
      <c r="AG557" s="99"/>
      <c r="AH557" s="53"/>
      <c r="AI557" s="228"/>
      <c r="AJ557" s="52"/>
      <c r="AK557" s="99"/>
      <c r="AL557" s="53"/>
      <c r="AM557" s="228"/>
      <c r="AN557" s="52"/>
      <c r="AO557" s="99"/>
      <c r="AP557" s="53"/>
      <c r="AQ557" s="50">
        <f t="shared" si="209"/>
        <v>0</v>
      </c>
      <c r="AR557" s="163">
        <f t="shared" si="210"/>
        <v>0</v>
      </c>
      <c r="AS557" s="97">
        <f t="shared" si="211"/>
        <v>0</v>
      </c>
      <c r="AT557" s="278">
        <f t="shared" si="212"/>
        <v>0</v>
      </c>
      <c r="AU557" s="55"/>
      <c r="AV557" s="277"/>
      <c r="AW557" s="279"/>
      <c r="AX557" s="52"/>
      <c r="AY557" s="98"/>
      <c r="AZ557" s="98"/>
      <c r="BA557" s="279"/>
      <c r="BB557" s="52"/>
      <c r="BC557" s="98"/>
      <c r="BD557" s="98"/>
      <c r="BE557" s="279"/>
      <c r="BF557" s="52"/>
      <c r="BG557" s="98"/>
      <c r="BH557" s="98"/>
      <c r="BI557" s="279"/>
      <c r="BJ557" s="52"/>
      <c r="BK557" s="98"/>
      <c r="BL557" s="98"/>
      <c r="BM557" s="279"/>
      <c r="BN557" s="52"/>
      <c r="BO557" s="98"/>
      <c r="BP557" s="98"/>
      <c r="BQ557" s="279"/>
      <c r="BR557" s="52"/>
      <c r="BS557" s="98"/>
      <c r="BT557" s="98"/>
      <c r="BU557" s="279"/>
      <c r="BV557" s="52"/>
      <c r="BW557" s="98"/>
      <c r="BX557" s="98"/>
      <c r="BY557" s="279"/>
      <c r="BZ557" s="52"/>
      <c r="CA557" s="98"/>
      <c r="CB557" s="98"/>
      <c r="CC557" s="279"/>
      <c r="CD557" s="52"/>
      <c r="CE557" s="98"/>
      <c r="CF557" s="98"/>
      <c r="CG557" s="279"/>
      <c r="CH557" s="52"/>
      <c r="CI557" s="98"/>
      <c r="CJ557" s="98"/>
      <c r="CK557" s="281"/>
      <c r="CL557" s="277"/>
      <c r="CM557" s="159"/>
      <c r="CN557" s="277"/>
      <c r="CO557" s="50">
        <f t="shared" si="218"/>
        <v>0</v>
      </c>
      <c r="CP557" s="103">
        <f t="shared" si="219"/>
        <v>0</v>
      </c>
      <c r="CQ557" s="280">
        <f t="shared" si="220"/>
        <v>0</v>
      </c>
      <c r="CR557" s="63">
        <f t="shared" si="221"/>
        <v>0</v>
      </c>
      <c r="CS557" s="279"/>
      <c r="CT557" s="52"/>
      <c r="CU557" s="98"/>
      <c r="CV557" s="98"/>
      <c r="CW557" s="279"/>
      <c r="CX557" s="52"/>
      <c r="CY557" s="98"/>
      <c r="CZ557" s="98"/>
      <c r="DA557" s="279"/>
      <c r="DB557" s="52"/>
      <c r="DC557" s="98"/>
      <c r="DD557" s="98"/>
      <c r="DE557" s="279"/>
      <c r="DF557" s="52"/>
      <c r="DG557" s="98"/>
      <c r="DH557" s="98"/>
      <c r="DI557" s="279"/>
      <c r="DJ557" s="52"/>
      <c r="DK557" s="105"/>
      <c r="DL557" s="98"/>
      <c r="DM557" s="279"/>
      <c r="DN557" s="52"/>
      <c r="DO557" s="105"/>
      <c r="DP557" s="98"/>
      <c r="DQ557" s="279"/>
      <c r="DR557" s="52"/>
      <c r="DS557" s="105"/>
      <c r="DT557" s="98"/>
      <c r="DU557" s="279"/>
      <c r="DV557" s="52"/>
      <c r="DW557" s="105"/>
      <c r="DX557" s="98"/>
      <c r="DY557" s="279"/>
      <c r="DZ557" s="52"/>
      <c r="EA557" s="105"/>
      <c r="EB557" s="98"/>
      <c r="EC557" s="279"/>
      <c r="ED557" s="52"/>
      <c r="EE557" s="105"/>
      <c r="EF557" s="98"/>
      <c r="EG557" s="159"/>
      <c r="EH557" s="277"/>
      <c r="EI557" s="50">
        <f t="shared" si="222"/>
        <v>0</v>
      </c>
      <c r="EJ557" s="103">
        <f t="shared" si="223"/>
        <v>0</v>
      </c>
      <c r="EK557" s="164">
        <f t="shared" si="224"/>
        <v>0</v>
      </c>
      <c r="EL557" s="280">
        <f t="shared" si="225"/>
        <v>0</v>
      </c>
      <c r="EM557" s="63">
        <f t="shared" si="226"/>
        <v>0</v>
      </c>
      <c r="EN557" s="359">
        <f t="shared" si="227"/>
        <v>0</v>
      </c>
      <c r="EO557" s="51">
        <f t="shared" si="228"/>
        <v>0</v>
      </c>
      <c r="EP557" s="361">
        <f t="shared" si="229"/>
        <v>0</v>
      </c>
      <c r="EQ557" s="281"/>
      <c r="ER557" s="277"/>
      <c r="ES557" s="281"/>
      <c r="ET557" s="277"/>
      <c r="EU557" s="281"/>
      <c r="EV557" s="277"/>
      <c r="EW557" s="281"/>
      <c r="EX557" s="277"/>
      <c r="EY557" s="281"/>
      <c r="EZ557" s="277"/>
      <c r="FA557" s="281"/>
      <c r="FB557" s="277"/>
      <c r="FC557" s="281"/>
      <c r="FD557" s="277"/>
      <c r="FE557" s="281"/>
      <c r="FF557" s="277"/>
      <c r="FG557" s="281"/>
      <c r="FH557" s="277"/>
      <c r="FI557" s="281"/>
      <c r="FJ557" s="277"/>
      <c r="FK557" s="50">
        <f t="shared" si="230"/>
        <v>0</v>
      </c>
      <c r="FL557" s="63">
        <f t="shared" si="231"/>
        <v>0</v>
      </c>
      <c r="FM557" s="50">
        <f t="shared" si="213"/>
        <v>161</v>
      </c>
      <c r="FN557" s="360">
        <f t="shared" si="214"/>
        <v>173</v>
      </c>
      <c r="FO557" s="3"/>
      <c r="FP557" s="279"/>
      <c r="FQ557" s="52"/>
      <c r="FR557" s="296"/>
      <c r="FS557" s="98"/>
      <c r="FT557" s="467"/>
      <c r="FU557" s="52"/>
      <c r="FV557" s="296"/>
      <c r="FW557" s="98"/>
      <c r="FX557" s="467"/>
      <c r="FY557" s="52"/>
      <c r="FZ557" s="296"/>
      <c r="GA557" s="98"/>
      <c r="GB557" s="467"/>
      <c r="GC557" s="52"/>
      <c r="GD557" s="296"/>
      <c r="GE557" s="98"/>
      <c r="GF557" s="467"/>
      <c r="GG557" s="52"/>
      <c r="GH557" s="296"/>
      <c r="GI557" s="98"/>
      <c r="GJ557" s="467"/>
      <c r="GK557" s="52"/>
      <c r="GL557" s="296"/>
      <c r="GM557" s="464"/>
      <c r="GN557" s="467"/>
      <c r="GO557" s="52"/>
      <c r="GP557" s="296"/>
      <c r="GQ557" s="464"/>
      <c r="GR557" s="467"/>
      <c r="GS557" s="52"/>
      <c r="GT557" s="296"/>
      <c r="GU557" s="464"/>
      <c r="GV557" s="467"/>
      <c r="GW557" s="52"/>
      <c r="GX557" s="296"/>
      <c r="GY557" s="464"/>
      <c r="GZ557" s="467"/>
      <c r="HA557" s="52"/>
      <c r="HB557" s="296"/>
      <c r="HC557" s="3"/>
    </row>
    <row r="558" spans="1:211" s="85" customFormat="1">
      <c r="A558" s="499" t="s">
        <v>32</v>
      </c>
      <c r="B558" s="311" t="s">
        <v>681</v>
      </c>
      <c r="C558" s="310">
        <v>221582</v>
      </c>
      <c r="D558" s="351">
        <v>13</v>
      </c>
      <c r="E558" s="460">
        <v>150</v>
      </c>
      <c r="F558" s="277">
        <v>127</v>
      </c>
      <c r="G558" s="158"/>
      <c r="H558" s="277"/>
      <c r="I558" s="158"/>
      <c r="J558" s="277"/>
      <c r="K558" s="160">
        <f t="shared" si="215"/>
        <v>0</v>
      </c>
      <c r="L558" s="161">
        <f t="shared" si="208"/>
        <v>0</v>
      </c>
      <c r="M558" s="54"/>
      <c r="N558" s="55"/>
      <c r="O558" s="55"/>
      <c r="P558" s="55"/>
      <c r="Q558" s="162">
        <f t="shared" si="216"/>
        <v>0</v>
      </c>
      <c r="R558" s="277"/>
      <c r="S558" s="277"/>
      <c r="T558" s="277"/>
      <c r="U558" s="277"/>
      <c r="V558" s="97">
        <f t="shared" si="217"/>
        <v>0</v>
      </c>
      <c r="W558" s="279"/>
      <c r="X558" s="52"/>
      <c r="Y558" s="99"/>
      <c r="Z558" s="53"/>
      <c r="AA558" s="228"/>
      <c r="AB558" s="52"/>
      <c r="AC558" s="99"/>
      <c r="AD558" s="53"/>
      <c r="AE558" s="228"/>
      <c r="AF558" s="52"/>
      <c r="AG558" s="99"/>
      <c r="AH558" s="53"/>
      <c r="AI558" s="228"/>
      <c r="AJ558" s="52"/>
      <c r="AK558" s="99"/>
      <c r="AL558" s="53"/>
      <c r="AM558" s="228"/>
      <c r="AN558" s="52"/>
      <c r="AO558" s="99"/>
      <c r="AP558" s="53"/>
      <c r="AQ558" s="50">
        <f t="shared" si="209"/>
        <v>0</v>
      </c>
      <c r="AR558" s="163">
        <f t="shared" si="210"/>
        <v>0</v>
      </c>
      <c r="AS558" s="97">
        <f t="shared" si="211"/>
        <v>0</v>
      </c>
      <c r="AT558" s="278">
        <f t="shared" si="212"/>
        <v>0</v>
      </c>
      <c r="AU558" s="55"/>
      <c r="AV558" s="277"/>
      <c r="AW558" s="279"/>
      <c r="AX558" s="52"/>
      <c r="AY558" s="98"/>
      <c r="AZ558" s="98"/>
      <c r="BA558" s="279"/>
      <c r="BB558" s="52"/>
      <c r="BC558" s="98"/>
      <c r="BD558" s="98"/>
      <c r="BE558" s="279"/>
      <c r="BF558" s="52"/>
      <c r="BG558" s="98"/>
      <c r="BH558" s="98"/>
      <c r="BI558" s="279"/>
      <c r="BJ558" s="52"/>
      <c r="BK558" s="98"/>
      <c r="BL558" s="98"/>
      <c r="BM558" s="279"/>
      <c r="BN558" s="52"/>
      <c r="BO558" s="98"/>
      <c r="BP558" s="98"/>
      <c r="BQ558" s="279"/>
      <c r="BR558" s="52"/>
      <c r="BS558" s="98"/>
      <c r="BT558" s="98"/>
      <c r="BU558" s="279"/>
      <c r="BV558" s="52"/>
      <c r="BW558" s="98"/>
      <c r="BX558" s="98"/>
      <c r="BY558" s="279"/>
      <c r="BZ558" s="52"/>
      <c r="CA558" s="98"/>
      <c r="CB558" s="98"/>
      <c r="CC558" s="279"/>
      <c r="CD558" s="52"/>
      <c r="CE558" s="98"/>
      <c r="CF558" s="98"/>
      <c r="CG558" s="279"/>
      <c r="CH558" s="52"/>
      <c r="CI558" s="98"/>
      <c r="CJ558" s="98"/>
      <c r="CK558" s="281"/>
      <c r="CL558" s="277"/>
      <c r="CM558" s="159"/>
      <c r="CN558" s="277"/>
      <c r="CO558" s="50">
        <f t="shared" si="218"/>
        <v>0</v>
      </c>
      <c r="CP558" s="103">
        <f t="shared" si="219"/>
        <v>0</v>
      </c>
      <c r="CQ558" s="280">
        <f t="shared" si="220"/>
        <v>0</v>
      </c>
      <c r="CR558" s="63">
        <f t="shared" si="221"/>
        <v>0</v>
      </c>
      <c r="CS558" s="279"/>
      <c r="CT558" s="52"/>
      <c r="CU558" s="98"/>
      <c r="CV558" s="98"/>
      <c r="CW558" s="279"/>
      <c r="CX558" s="52"/>
      <c r="CY558" s="98"/>
      <c r="CZ558" s="98"/>
      <c r="DA558" s="279"/>
      <c r="DB558" s="52"/>
      <c r="DC558" s="98"/>
      <c r="DD558" s="98"/>
      <c r="DE558" s="279"/>
      <c r="DF558" s="52"/>
      <c r="DG558" s="105"/>
      <c r="DH558" s="98"/>
      <c r="DI558" s="279"/>
      <c r="DJ558" s="52"/>
      <c r="DK558" s="105"/>
      <c r="DL558" s="98"/>
      <c r="DM558" s="279"/>
      <c r="DN558" s="52"/>
      <c r="DO558" s="105"/>
      <c r="DP558" s="98"/>
      <c r="DQ558" s="279"/>
      <c r="DR558" s="52"/>
      <c r="DS558" s="105"/>
      <c r="DT558" s="98"/>
      <c r="DU558" s="279"/>
      <c r="DV558" s="52"/>
      <c r="DW558" s="105"/>
      <c r="DX558" s="98"/>
      <c r="DY558" s="279"/>
      <c r="DZ558" s="52"/>
      <c r="EA558" s="105"/>
      <c r="EB558" s="98"/>
      <c r="EC558" s="279"/>
      <c r="ED558" s="52"/>
      <c r="EE558" s="105"/>
      <c r="EF558" s="98"/>
      <c r="EG558" s="159"/>
      <c r="EH558" s="277"/>
      <c r="EI558" s="50">
        <f t="shared" si="222"/>
        <v>0</v>
      </c>
      <c r="EJ558" s="103">
        <f t="shared" si="223"/>
        <v>0</v>
      </c>
      <c r="EK558" s="164">
        <f t="shared" si="224"/>
        <v>0</v>
      </c>
      <c r="EL558" s="280">
        <f t="shared" si="225"/>
        <v>0</v>
      </c>
      <c r="EM558" s="63">
        <f t="shared" si="226"/>
        <v>0</v>
      </c>
      <c r="EN558" s="359">
        <f t="shared" si="227"/>
        <v>0</v>
      </c>
      <c r="EO558" s="51">
        <f t="shared" si="228"/>
        <v>0</v>
      </c>
      <c r="EP558" s="361">
        <f t="shared" si="229"/>
        <v>0</v>
      </c>
      <c r="EQ558" s="281"/>
      <c r="ER558" s="277"/>
      <c r="ES558" s="281"/>
      <c r="ET558" s="277"/>
      <c r="EU558" s="281"/>
      <c r="EV558" s="277"/>
      <c r="EW558" s="281"/>
      <c r="EX558" s="277"/>
      <c r="EY558" s="281"/>
      <c r="EZ558" s="277"/>
      <c r="FA558" s="281"/>
      <c r="FB558" s="277"/>
      <c r="FC558" s="281"/>
      <c r="FD558" s="277"/>
      <c r="FE558" s="281"/>
      <c r="FF558" s="277"/>
      <c r="FG558" s="281"/>
      <c r="FH558" s="277"/>
      <c r="FI558" s="281"/>
      <c r="FJ558" s="277"/>
      <c r="FK558" s="50">
        <f t="shared" si="230"/>
        <v>0</v>
      </c>
      <c r="FL558" s="63">
        <f t="shared" si="231"/>
        <v>0</v>
      </c>
      <c r="FM558" s="50">
        <f t="shared" si="213"/>
        <v>150</v>
      </c>
      <c r="FN558" s="360">
        <f t="shared" si="214"/>
        <v>127</v>
      </c>
      <c r="FO558" s="3"/>
      <c r="FP558" s="279"/>
      <c r="FQ558" s="467"/>
      <c r="FR558" s="296"/>
      <c r="FS558" s="98"/>
      <c r="FT558" s="467"/>
      <c r="FU558" s="52"/>
      <c r="FV558" s="296"/>
      <c r="FW558" s="98"/>
      <c r="FX558" s="467"/>
      <c r="FY558" s="52"/>
      <c r="FZ558" s="296"/>
      <c r="GA558" s="98"/>
      <c r="GB558" s="467"/>
      <c r="GC558" s="52"/>
      <c r="GD558" s="296"/>
      <c r="GE558" s="98"/>
      <c r="GF558" s="467"/>
      <c r="GG558" s="52"/>
      <c r="GH558" s="296"/>
      <c r="GI558" s="98"/>
      <c r="GJ558" s="467"/>
      <c r="GK558" s="52"/>
      <c r="GL558" s="296"/>
      <c r="GM558" s="464"/>
      <c r="GN558" s="467"/>
      <c r="GO558" s="52"/>
      <c r="GP558" s="296"/>
      <c r="GQ558" s="464"/>
      <c r="GR558" s="467"/>
      <c r="GS558" s="52"/>
      <c r="GT558" s="296"/>
      <c r="GU558" s="464"/>
      <c r="GV558" s="467"/>
      <c r="GW558" s="52"/>
      <c r="GX558" s="296"/>
      <c r="GY558" s="464"/>
      <c r="GZ558" s="467"/>
      <c r="HA558" s="52"/>
      <c r="HB558" s="296"/>
      <c r="HC558" s="3"/>
    </row>
    <row r="559" spans="1:211" s="85" customFormat="1">
      <c r="A559" s="499" t="s">
        <v>32</v>
      </c>
      <c r="B559" s="311" t="s">
        <v>682</v>
      </c>
      <c r="C559" s="310">
        <v>221281</v>
      </c>
      <c r="D559" s="351">
        <v>13</v>
      </c>
      <c r="E559" s="460">
        <v>254</v>
      </c>
      <c r="F559" s="277">
        <v>246</v>
      </c>
      <c r="G559" s="158"/>
      <c r="H559" s="277"/>
      <c r="I559" s="158"/>
      <c r="J559" s="277"/>
      <c r="K559" s="160">
        <f t="shared" si="215"/>
        <v>0</v>
      </c>
      <c r="L559" s="161">
        <f t="shared" si="208"/>
        <v>0</v>
      </c>
      <c r="M559" s="54"/>
      <c r="N559" s="55"/>
      <c r="O559" s="55"/>
      <c r="P559" s="55"/>
      <c r="Q559" s="162">
        <f t="shared" si="216"/>
        <v>0</v>
      </c>
      <c r="R559" s="277"/>
      <c r="S559" s="277"/>
      <c r="T559" s="277"/>
      <c r="U559" s="277"/>
      <c r="V559" s="97">
        <f t="shared" si="217"/>
        <v>0</v>
      </c>
      <c r="W559" s="279"/>
      <c r="X559" s="52"/>
      <c r="Y559" s="99"/>
      <c r="Z559" s="53"/>
      <c r="AA559" s="228"/>
      <c r="AB559" s="52"/>
      <c r="AC559" s="99"/>
      <c r="AD559" s="53"/>
      <c r="AE559" s="228"/>
      <c r="AF559" s="52"/>
      <c r="AG559" s="99"/>
      <c r="AH559" s="53"/>
      <c r="AI559" s="228"/>
      <c r="AJ559" s="52"/>
      <c r="AK559" s="99"/>
      <c r="AL559" s="53"/>
      <c r="AM559" s="228"/>
      <c r="AN559" s="52"/>
      <c r="AO559" s="99"/>
      <c r="AP559" s="53"/>
      <c r="AQ559" s="50">
        <f t="shared" si="209"/>
        <v>0</v>
      </c>
      <c r="AR559" s="163">
        <f t="shared" si="210"/>
        <v>0</v>
      </c>
      <c r="AS559" s="97">
        <f t="shared" si="211"/>
        <v>0</v>
      </c>
      <c r="AT559" s="278">
        <f t="shared" si="212"/>
        <v>0</v>
      </c>
      <c r="AU559" s="55"/>
      <c r="AV559" s="277"/>
      <c r="AW559" s="279"/>
      <c r="AX559" s="52"/>
      <c r="AY559" s="98"/>
      <c r="AZ559" s="98"/>
      <c r="BA559" s="279"/>
      <c r="BB559" s="52"/>
      <c r="BC559" s="98"/>
      <c r="BD559" s="98"/>
      <c r="BE559" s="279"/>
      <c r="BF559" s="52"/>
      <c r="BG559" s="98"/>
      <c r="BH559" s="98"/>
      <c r="BI559" s="279"/>
      <c r="BJ559" s="52"/>
      <c r="BK559" s="98"/>
      <c r="BL559" s="98"/>
      <c r="BM559" s="279"/>
      <c r="BN559" s="52"/>
      <c r="BO559" s="98"/>
      <c r="BP559" s="98"/>
      <c r="BQ559" s="279"/>
      <c r="BR559" s="52"/>
      <c r="BS559" s="98"/>
      <c r="BT559" s="98"/>
      <c r="BU559" s="279"/>
      <c r="BV559" s="52"/>
      <c r="BW559" s="98"/>
      <c r="BX559" s="98"/>
      <c r="BY559" s="279"/>
      <c r="BZ559" s="52"/>
      <c r="CA559" s="98"/>
      <c r="CB559" s="98"/>
      <c r="CC559" s="279"/>
      <c r="CD559" s="52"/>
      <c r="CE559" s="98"/>
      <c r="CF559" s="98"/>
      <c r="CG559" s="279"/>
      <c r="CH559" s="52"/>
      <c r="CI559" s="98"/>
      <c r="CJ559" s="98"/>
      <c r="CK559" s="281"/>
      <c r="CL559" s="277"/>
      <c r="CM559" s="159"/>
      <c r="CN559" s="277"/>
      <c r="CO559" s="50">
        <f t="shared" si="218"/>
        <v>0</v>
      </c>
      <c r="CP559" s="103">
        <f t="shared" si="219"/>
        <v>0</v>
      </c>
      <c r="CQ559" s="280">
        <f t="shared" si="220"/>
        <v>0</v>
      </c>
      <c r="CR559" s="63">
        <f t="shared" si="221"/>
        <v>0</v>
      </c>
      <c r="CS559" s="279"/>
      <c r="CT559" s="52"/>
      <c r="CU559" s="105"/>
      <c r="CV559" s="98"/>
      <c r="CW559" s="279"/>
      <c r="CX559" s="52"/>
      <c r="CY559" s="105"/>
      <c r="CZ559" s="98"/>
      <c r="DA559" s="279"/>
      <c r="DB559" s="52"/>
      <c r="DC559" s="105"/>
      <c r="DD559" s="98"/>
      <c r="DE559" s="279"/>
      <c r="DF559" s="52"/>
      <c r="DG559" s="105"/>
      <c r="DH559" s="98"/>
      <c r="DI559" s="279"/>
      <c r="DJ559" s="52"/>
      <c r="DK559" s="105"/>
      <c r="DL559" s="98"/>
      <c r="DM559" s="279"/>
      <c r="DN559" s="52"/>
      <c r="DO559" s="105"/>
      <c r="DP559" s="98"/>
      <c r="DQ559" s="279"/>
      <c r="DR559" s="52"/>
      <c r="DS559" s="105"/>
      <c r="DT559" s="98"/>
      <c r="DU559" s="279"/>
      <c r="DV559" s="52"/>
      <c r="DW559" s="105"/>
      <c r="DX559" s="98"/>
      <c r="DY559" s="279"/>
      <c r="DZ559" s="52"/>
      <c r="EA559" s="105"/>
      <c r="EB559" s="98"/>
      <c r="EC559" s="279"/>
      <c r="ED559" s="52"/>
      <c r="EE559" s="105"/>
      <c r="EF559" s="98"/>
      <c r="EG559" s="159"/>
      <c r="EH559" s="277"/>
      <c r="EI559" s="50">
        <f t="shared" si="222"/>
        <v>0</v>
      </c>
      <c r="EJ559" s="103">
        <f t="shared" si="223"/>
        <v>0</v>
      </c>
      <c r="EK559" s="164">
        <f t="shared" si="224"/>
        <v>0</v>
      </c>
      <c r="EL559" s="280">
        <f t="shared" si="225"/>
        <v>0</v>
      </c>
      <c r="EM559" s="63">
        <f t="shared" si="226"/>
        <v>0</v>
      </c>
      <c r="EN559" s="359">
        <f t="shared" si="227"/>
        <v>0</v>
      </c>
      <c r="EO559" s="51">
        <f t="shared" si="228"/>
        <v>0</v>
      </c>
      <c r="EP559" s="361">
        <f t="shared" si="229"/>
        <v>0</v>
      </c>
      <c r="EQ559" s="281"/>
      <c r="ER559" s="277"/>
      <c r="ES559" s="281"/>
      <c r="ET559" s="277"/>
      <c r="EU559" s="281"/>
      <c r="EV559" s="277"/>
      <c r="EW559" s="281"/>
      <c r="EX559" s="277"/>
      <c r="EY559" s="281"/>
      <c r="EZ559" s="277"/>
      <c r="FA559" s="281"/>
      <c r="FB559" s="277"/>
      <c r="FC559" s="281"/>
      <c r="FD559" s="277"/>
      <c r="FE559" s="281"/>
      <c r="FF559" s="277"/>
      <c r="FG559" s="281"/>
      <c r="FH559" s="277"/>
      <c r="FI559" s="281"/>
      <c r="FJ559" s="277"/>
      <c r="FK559" s="50">
        <f t="shared" si="230"/>
        <v>0</v>
      </c>
      <c r="FL559" s="63">
        <f t="shared" si="231"/>
        <v>0</v>
      </c>
      <c r="FM559" s="50">
        <f t="shared" si="213"/>
        <v>254</v>
      </c>
      <c r="FN559" s="360">
        <f t="shared" si="214"/>
        <v>246</v>
      </c>
      <c r="FO559" s="3"/>
      <c r="FP559" s="279"/>
      <c r="FQ559" s="467"/>
      <c r="FR559" s="296"/>
      <c r="FS559" s="98"/>
      <c r="FT559" s="467"/>
      <c r="FU559" s="52"/>
      <c r="FV559" s="296"/>
      <c r="FW559" s="98"/>
      <c r="FX559" s="467"/>
      <c r="FY559" s="52"/>
      <c r="FZ559" s="296"/>
      <c r="GA559" s="98"/>
      <c r="GB559" s="467"/>
      <c r="GC559" s="52"/>
      <c r="GD559" s="296"/>
      <c r="GE559" s="98"/>
      <c r="GF559" s="467"/>
      <c r="GG559" s="52"/>
      <c r="GH559" s="296"/>
      <c r="GI559" s="98"/>
      <c r="GJ559" s="467"/>
      <c r="GK559" s="52"/>
      <c r="GL559" s="296"/>
      <c r="GM559" s="464"/>
      <c r="GN559" s="467"/>
      <c r="GO559" s="52"/>
      <c r="GP559" s="296"/>
      <c r="GQ559" s="464"/>
      <c r="GR559" s="467"/>
      <c r="GS559" s="52"/>
      <c r="GT559" s="296"/>
      <c r="GU559" s="464"/>
      <c r="GV559" s="467"/>
      <c r="GW559" s="52"/>
      <c r="GX559" s="296"/>
      <c r="GY559" s="464"/>
      <c r="GZ559" s="467"/>
      <c r="HA559" s="52"/>
      <c r="HB559" s="296"/>
      <c r="HC559" s="3"/>
    </row>
    <row r="560" spans="1:211" s="85" customFormat="1">
      <c r="A560" s="499" t="s">
        <v>32</v>
      </c>
      <c r="B560" s="311" t="s">
        <v>683</v>
      </c>
      <c r="C560" s="310">
        <v>221333</v>
      </c>
      <c r="D560" s="351">
        <v>13</v>
      </c>
      <c r="E560" s="460">
        <v>178</v>
      </c>
      <c r="F560" s="277">
        <v>156</v>
      </c>
      <c r="G560" s="158"/>
      <c r="H560" s="277"/>
      <c r="I560" s="158"/>
      <c r="J560" s="277"/>
      <c r="K560" s="160">
        <f t="shared" si="215"/>
        <v>0</v>
      </c>
      <c r="L560" s="161">
        <f t="shared" si="208"/>
        <v>0</v>
      </c>
      <c r="M560" s="54"/>
      <c r="N560" s="55"/>
      <c r="O560" s="55"/>
      <c r="P560" s="55"/>
      <c r="Q560" s="162">
        <f t="shared" si="216"/>
        <v>0</v>
      </c>
      <c r="R560" s="277"/>
      <c r="S560" s="277"/>
      <c r="T560" s="277"/>
      <c r="U560" s="277"/>
      <c r="V560" s="97">
        <f t="shared" si="217"/>
        <v>0</v>
      </c>
      <c r="W560" s="279"/>
      <c r="X560" s="52"/>
      <c r="Y560" s="99"/>
      <c r="Z560" s="53"/>
      <c r="AA560" s="228"/>
      <c r="AB560" s="52"/>
      <c r="AC560" s="99"/>
      <c r="AD560" s="53"/>
      <c r="AE560" s="228"/>
      <c r="AF560" s="52"/>
      <c r="AG560" s="99"/>
      <c r="AH560" s="53"/>
      <c r="AI560" s="228"/>
      <c r="AJ560" s="52"/>
      <c r="AK560" s="99"/>
      <c r="AL560" s="53"/>
      <c r="AM560" s="228"/>
      <c r="AN560" s="52"/>
      <c r="AO560" s="99"/>
      <c r="AP560" s="53"/>
      <c r="AQ560" s="50">
        <f t="shared" si="209"/>
        <v>0</v>
      </c>
      <c r="AR560" s="163">
        <f t="shared" si="210"/>
        <v>0</v>
      </c>
      <c r="AS560" s="97">
        <f t="shared" si="211"/>
        <v>0</v>
      </c>
      <c r="AT560" s="278">
        <f t="shared" si="212"/>
        <v>0</v>
      </c>
      <c r="AU560" s="55"/>
      <c r="AV560" s="277"/>
      <c r="AW560" s="279"/>
      <c r="AX560" s="52"/>
      <c r="AY560" s="98"/>
      <c r="AZ560" s="98"/>
      <c r="BA560" s="279"/>
      <c r="BB560" s="52"/>
      <c r="BC560" s="98"/>
      <c r="BD560" s="98"/>
      <c r="BE560" s="279"/>
      <c r="BF560" s="52"/>
      <c r="BG560" s="98"/>
      <c r="BH560" s="98"/>
      <c r="BI560" s="279"/>
      <c r="BJ560" s="52"/>
      <c r="BK560" s="98"/>
      <c r="BL560" s="98"/>
      <c r="BM560" s="279"/>
      <c r="BN560" s="52"/>
      <c r="BO560" s="98"/>
      <c r="BP560" s="98"/>
      <c r="BQ560" s="279"/>
      <c r="BR560" s="52"/>
      <c r="BS560" s="98"/>
      <c r="BT560" s="98"/>
      <c r="BU560" s="279"/>
      <c r="BV560" s="52"/>
      <c r="BW560" s="98"/>
      <c r="BX560" s="98"/>
      <c r="BY560" s="279"/>
      <c r="BZ560" s="52"/>
      <c r="CA560" s="98"/>
      <c r="CB560" s="98"/>
      <c r="CC560" s="279"/>
      <c r="CD560" s="52"/>
      <c r="CE560" s="98"/>
      <c r="CF560" s="98"/>
      <c r="CG560" s="279"/>
      <c r="CH560" s="52"/>
      <c r="CI560" s="98"/>
      <c r="CJ560" s="98"/>
      <c r="CK560" s="281"/>
      <c r="CL560" s="277"/>
      <c r="CM560" s="159"/>
      <c r="CN560" s="277"/>
      <c r="CO560" s="50">
        <f t="shared" si="218"/>
        <v>0</v>
      </c>
      <c r="CP560" s="103">
        <f t="shared" si="219"/>
        <v>0</v>
      </c>
      <c r="CQ560" s="280">
        <f t="shared" si="220"/>
        <v>0</v>
      </c>
      <c r="CR560" s="63">
        <f t="shared" si="221"/>
        <v>0</v>
      </c>
      <c r="CS560" s="279"/>
      <c r="CT560" s="52"/>
      <c r="CU560" s="98"/>
      <c r="CV560" s="98"/>
      <c r="CW560" s="279"/>
      <c r="CX560" s="52"/>
      <c r="CY560" s="98"/>
      <c r="CZ560" s="98"/>
      <c r="DA560" s="279"/>
      <c r="DB560" s="52"/>
      <c r="DC560" s="98"/>
      <c r="DD560" s="98"/>
      <c r="DE560" s="279"/>
      <c r="DF560" s="52"/>
      <c r="DG560" s="98"/>
      <c r="DH560" s="98"/>
      <c r="DI560" s="279"/>
      <c r="DJ560" s="52"/>
      <c r="DK560" s="98"/>
      <c r="DL560" s="98"/>
      <c r="DM560" s="279"/>
      <c r="DN560" s="52"/>
      <c r="DO560" s="98"/>
      <c r="DP560" s="98"/>
      <c r="DQ560" s="279"/>
      <c r="DR560" s="52"/>
      <c r="DS560" s="98"/>
      <c r="DT560" s="98"/>
      <c r="DU560" s="279"/>
      <c r="DV560" s="52"/>
      <c r="DW560" s="98"/>
      <c r="DX560" s="98"/>
      <c r="DY560" s="279"/>
      <c r="DZ560" s="52"/>
      <c r="EA560" s="98"/>
      <c r="EB560" s="98"/>
      <c r="EC560" s="279"/>
      <c r="ED560" s="52"/>
      <c r="EE560" s="105"/>
      <c r="EF560" s="98"/>
      <c r="EG560" s="159"/>
      <c r="EH560" s="277"/>
      <c r="EI560" s="50">
        <f t="shared" si="222"/>
        <v>0</v>
      </c>
      <c r="EJ560" s="103">
        <f t="shared" si="223"/>
        <v>0</v>
      </c>
      <c r="EK560" s="164">
        <f t="shared" si="224"/>
        <v>0</v>
      </c>
      <c r="EL560" s="280">
        <f t="shared" si="225"/>
        <v>0</v>
      </c>
      <c r="EM560" s="63">
        <f t="shared" si="226"/>
        <v>0</v>
      </c>
      <c r="EN560" s="359">
        <f t="shared" si="227"/>
        <v>0</v>
      </c>
      <c r="EO560" s="51">
        <f t="shared" si="228"/>
        <v>0</v>
      </c>
      <c r="EP560" s="361">
        <f t="shared" si="229"/>
        <v>0</v>
      </c>
      <c r="EQ560" s="281"/>
      <c r="ER560" s="277"/>
      <c r="ES560" s="281"/>
      <c r="ET560" s="277"/>
      <c r="EU560" s="281"/>
      <c r="EV560" s="277"/>
      <c r="EW560" s="281"/>
      <c r="EX560" s="277"/>
      <c r="EY560" s="281"/>
      <c r="EZ560" s="277"/>
      <c r="FA560" s="281"/>
      <c r="FB560" s="277"/>
      <c r="FC560" s="281"/>
      <c r="FD560" s="277"/>
      <c r="FE560" s="281"/>
      <c r="FF560" s="277"/>
      <c r="FG560" s="281"/>
      <c r="FH560" s="277"/>
      <c r="FI560" s="281"/>
      <c r="FJ560" s="277"/>
      <c r="FK560" s="50">
        <f t="shared" si="230"/>
        <v>0</v>
      </c>
      <c r="FL560" s="63">
        <f t="shared" si="231"/>
        <v>0</v>
      </c>
      <c r="FM560" s="50">
        <f t="shared" si="213"/>
        <v>178</v>
      </c>
      <c r="FN560" s="360">
        <f t="shared" si="214"/>
        <v>156</v>
      </c>
      <c r="FO560" s="3"/>
      <c r="FP560" s="279"/>
      <c r="FQ560" s="467"/>
      <c r="FR560" s="296"/>
      <c r="FS560" s="98"/>
      <c r="FT560" s="467"/>
      <c r="FU560" s="52"/>
      <c r="FV560" s="296"/>
      <c r="FW560" s="98"/>
      <c r="FX560" s="467"/>
      <c r="FY560" s="52"/>
      <c r="FZ560" s="296"/>
      <c r="GA560" s="98"/>
      <c r="GB560" s="467"/>
      <c r="GC560" s="52"/>
      <c r="GD560" s="296"/>
      <c r="GE560" s="98"/>
      <c r="GF560" s="467"/>
      <c r="GG560" s="52"/>
      <c r="GH560" s="296"/>
      <c r="GI560" s="98"/>
      <c r="GJ560" s="467"/>
      <c r="GK560" s="52"/>
      <c r="GL560" s="296"/>
      <c r="GM560" s="464"/>
      <c r="GN560" s="467"/>
      <c r="GO560" s="52"/>
      <c r="GP560" s="296"/>
      <c r="GQ560" s="464"/>
      <c r="GR560" s="467"/>
      <c r="GS560" s="52"/>
      <c r="GT560" s="296"/>
      <c r="GU560" s="464"/>
      <c r="GV560" s="467"/>
      <c r="GW560" s="52"/>
      <c r="GX560" s="296"/>
      <c r="GY560" s="464"/>
      <c r="GZ560" s="467"/>
      <c r="HA560" s="52"/>
      <c r="HB560" s="296"/>
      <c r="HC560" s="3"/>
    </row>
    <row r="561" spans="1:211" s="85" customFormat="1">
      <c r="A561" s="499" t="s">
        <v>32</v>
      </c>
      <c r="B561" s="311" t="s">
        <v>684</v>
      </c>
      <c r="C561" s="310">
        <v>221388</v>
      </c>
      <c r="D561" s="351">
        <v>13</v>
      </c>
      <c r="E561" s="460">
        <v>106</v>
      </c>
      <c r="F561" s="277">
        <v>138</v>
      </c>
      <c r="G561" s="158"/>
      <c r="H561" s="277"/>
      <c r="I561" s="158"/>
      <c r="J561" s="277"/>
      <c r="K561" s="160">
        <f t="shared" si="215"/>
        <v>0</v>
      </c>
      <c r="L561" s="161">
        <f t="shared" si="208"/>
        <v>0</v>
      </c>
      <c r="M561" s="54"/>
      <c r="N561" s="55"/>
      <c r="O561" s="55"/>
      <c r="P561" s="55"/>
      <c r="Q561" s="162">
        <f t="shared" si="216"/>
        <v>0</v>
      </c>
      <c r="R561" s="277"/>
      <c r="S561" s="277"/>
      <c r="T561" s="277"/>
      <c r="U561" s="277"/>
      <c r="V561" s="97">
        <f t="shared" si="217"/>
        <v>0</v>
      </c>
      <c r="W561" s="279"/>
      <c r="X561" s="52"/>
      <c r="Y561" s="99"/>
      <c r="Z561" s="53"/>
      <c r="AA561" s="228"/>
      <c r="AB561" s="52"/>
      <c r="AC561" s="99"/>
      <c r="AD561" s="53"/>
      <c r="AE561" s="228"/>
      <c r="AF561" s="52"/>
      <c r="AG561" s="99"/>
      <c r="AH561" s="53"/>
      <c r="AI561" s="228"/>
      <c r="AJ561" s="52"/>
      <c r="AK561" s="99"/>
      <c r="AL561" s="53"/>
      <c r="AM561" s="228"/>
      <c r="AN561" s="52"/>
      <c r="AO561" s="99"/>
      <c r="AP561" s="53"/>
      <c r="AQ561" s="50">
        <f t="shared" si="209"/>
        <v>0</v>
      </c>
      <c r="AR561" s="163">
        <f t="shared" si="210"/>
        <v>0</v>
      </c>
      <c r="AS561" s="97">
        <f t="shared" si="211"/>
        <v>0</v>
      </c>
      <c r="AT561" s="278">
        <f t="shared" si="212"/>
        <v>0</v>
      </c>
      <c r="AU561" s="55"/>
      <c r="AV561" s="277"/>
      <c r="AW561" s="279"/>
      <c r="AX561" s="52"/>
      <c r="AY561" s="98"/>
      <c r="AZ561" s="98"/>
      <c r="BA561" s="279"/>
      <c r="BB561" s="52"/>
      <c r="BC561" s="98"/>
      <c r="BD561" s="98"/>
      <c r="BE561" s="279"/>
      <c r="BF561" s="52"/>
      <c r="BG561" s="98"/>
      <c r="BH561" s="98"/>
      <c r="BI561" s="279"/>
      <c r="BJ561" s="52"/>
      <c r="BK561" s="98"/>
      <c r="BL561" s="98"/>
      <c r="BM561" s="279"/>
      <c r="BN561" s="52"/>
      <c r="BO561" s="98"/>
      <c r="BP561" s="98"/>
      <c r="BQ561" s="279"/>
      <c r="BR561" s="52"/>
      <c r="BS561" s="98"/>
      <c r="BT561" s="98"/>
      <c r="BU561" s="279"/>
      <c r="BV561" s="52"/>
      <c r="BW561" s="98"/>
      <c r="BX561" s="98"/>
      <c r="BY561" s="279"/>
      <c r="BZ561" s="52"/>
      <c r="CA561" s="98"/>
      <c r="CB561" s="98"/>
      <c r="CC561" s="279"/>
      <c r="CD561" s="52"/>
      <c r="CE561" s="98"/>
      <c r="CF561" s="98"/>
      <c r="CG561" s="279"/>
      <c r="CH561" s="52"/>
      <c r="CI561" s="98"/>
      <c r="CJ561" s="98"/>
      <c r="CK561" s="281"/>
      <c r="CL561" s="277"/>
      <c r="CM561" s="159"/>
      <c r="CN561" s="277"/>
      <c r="CO561" s="50">
        <f t="shared" si="218"/>
        <v>0</v>
      </c>
      <c r="CP561" s="103">
        <f t="shared" si="219"/>
        <v>0</v>
      </c>
      <c r="CQ561" s="280">
        <f t="shared" si="220"/>
        <v>0</v>
      </c>
      <c r="CR561" s="63">
        <f t="shared" si="221"/>
        <v>0</v>
      </c>
      <c r="CS561" s="279"/>
      <c r="CT561" s="52"/>
      <c r="CU561" s="105"/>
      <c r="CV561" s="98"/>
      <c r="CW561" s="279"/>
      <c r="CX561" s="52"/>
      <c r="CY561" s="105"/>
      <c r="CZ561" s="98"/>
      <c r="DA561" s="279"/>
      <c r="DB561" s="52"/>
      <c r="DC561" s="105"/>
      <c r="DD561" s="98"/>
      <c r="DE561" s="279"/>
      <c r="DF561" s="52"/>
      <c r="DG561" s="105"/>
      <c r="DH561" s="98"/>
      <c r="DI561" s="279"/>
      <c r="DJ561" s="52"/>
      <c r="DK561" s="105"/>
      <c r="DL561" s="98"/>
      <c r="DM561" s="279"/>
      <c r="DN561" s="52"/>
      <c r="DO561" s="105"/>
      <c r="DP561" s="98"/>
      <c r="DQ561" s="279"/>
      <c r="DR561" s="52"/>
      <c r="DS561" s="105"/>
      <c r="DT561" s="98"/>
      <c r="DU561" s="279"/>
      <c r="DV561" s="52"/>
      <c r="DW561" s="105"/>
      <c r="DX561" s="98"/>
      <c r="DY561" s="279"/>
      <c r="DZ561" s="52"/>
      <c r="EA561" s="105"/>
      <c r="EB561" s="98"/>
      <c r="EC561" s="279"/>
      <c r="ED561" s="52"/>
      <c r="EE561" s="105"/>
      <c r="EF561" s="98"/>
      <c r="EG561" s="159"/>
      <c r="EH561" s="277"/>
      <c r="EI561" s="50">
        <f t="shared" si="222"/>
        <v>0</v>
      </c>
      <c r="EJ561" s="103">
        <f t="shared" si="223"/>
        <v>0</v>
      </c>
      <c r="EK561" s="164">
        <f t="shared" si="224"/>
        <v>0</v>
      </c>
      <c r="EL561" s="280">
        <f t="shared" si="225"/>
        <v>0</v>
      </c>
      <c r="EM561" s="63">
        <f t="shared" si="226"/>
        <v>0</v>
      </c>
      <c r="EN561" s="359">
        <f t="shared" si="227"/>
        <v>0</v>
      </c>
      <c r="EO561" s="51">
        <f t="shared" si="228"/>
        <v>0</v>
      </c>
      <c r="EP561" s="361">
        <f t="shared" si="229"/>
        <v>0</v>
      </c>
      <c r="EQ561" s="281"/>
      <c r="ER561" s="277"/>
      <c r="ES561" s="281"/>
      <c r="ET561" s="277"/>
      <c r="EU561" s="281"/>
      <c r="EV561" s="277"/>
      <c r="EW561" s="281"/>
      <c r="EX561" s="277"/>
      <c r="EY561" s="281"/>
      <c r="EZ561" s="277"/>
      <c r="FA561" s="281"/>
      <c r="FB561" s="277"/>
      <c r="FC561" s="281"/>
      <c r="FD561" s="277"/>
      <c r="FE561" s="281"/>
      <c r="FF561" s="277"/>
      <c r="FG561" s="281"/>
      <c r="FH561" s="277"/>
      <c r="FI561" s="281"/>
      <c r="FJ561" s="277"/>
      <c r="FK561" s="50">
        <f t="shared" si="230"/>
        <v>0</v>
      </c>
      <c r="FL561" s="63">
        <f t="shared" si="231"/>
        <v>0</v>
      </c>
      <c r="FM561" s="50">
        <f t="shared" si="213"/>
        <v>106</v>
      </c>
      <c r="FN561" s="360">
        <f t="shared" si="214"/>
        <v>138</v>
      </c>
      <c r="FO561" s="3"/>
      <c r="FP561" s="279"/>
      <c r="FQ561" s="467"/>
      <c r="FR561" s="296"/>
      <c r="FS561" s="98"/>
      <c r="FT561" s="467"/>
      <c r="FU561" s="52"/>
      <c r="FV561" s="296"/>
      <c r="FW561" s="98"/>
      <c r="FX561" s="467"/>
      <c r="FY561" s="52"/>
      <c r="FZ561" s="296"/>
      <c r="GA561" s="98"/>
      <c r="GB561" s="467"/>
      <c r="GC561" s="52"/>
      <c r="GD561" s="296"/>
      <c r="GE561" s="98"/>
      <c r="GF561" s="467"/>
      <c r="GG561" s="52"/>
      <c r="GH561" s="296"/>
      <c r="GI561" s="98"/>
      <c r="GJ561" s="467"/>
      <c r="GK561" s="52"/>
      <c r="GL561" s="296"/>
      <c r="GM561" s="464"/>
      <c r="GN561" s="467"/>
      <c r="GO561" s="52"/>
      <c r="GP561" s="296"/>
      <c r="GQ561" s="464"/>
      <c r="GR561" s="467"/>
      <c r="GS561" s="52"/>
      <c r="GT561" s="296"/>
      <c r="GU561" s="464"/>
      <c r="GV561" s="467"/>
      <c r="GW561" s="52"/>
      <c r="GX561" s="296"/>
      <c r="GY561" s="464"/>
      <c r="GZ561" s="467"/>
      <c r="HA561" s="52"/>
      <c r="HB561" s="296"/>
      <c r="HC561" s="3"/>
    </row>
    <row r="562" spans="1:211" s="85" customFormat="1">
      <c r="A562" s="499" t="s">
        <v>32</v>
      </c>
      <c r="B562" s="311" t="s">
        <v>685</v>
      </c>
      <c r="C562" s="310">
        <v>221494</v>
      </c>
      <c r="D562" s="351">
        <v>13</v>
      </c>
      <c r="E562" s="460">
        <v>366</v>
      </c>
      <c r="F562" s="277">
        <v>436</v>
      </c>
      <c r="G562" s="158"/>
      <c r="H562" s="277"/>
      <c r="I562" s="158"/>
      <c r="J562" s="277"/>
      <c r="K562" s="160">
        <f t="shared" si="215"/>
        <v>0</v>
      </c>
      <c r="L562" s="161">
        <f t="shared" si="208"/>
        <v>0</v>
      </c>
      <c r="M562" s="54"/>
      <c r="N562" s="55"/>
      <c r="O562" s="55"/>
      <c r="P562" s="55"/>
      <c r="Q562" s="162">
        <f t="shared" si="216"/>
        <v>0</v>
      </c>
      <c r="R562" s="277"/>
      <c r="S562" s="277"/>
      <c r="T562" s="277"/>
      <c r="U562" s="277"/>
      <c r="V562" s="97">
        <f t="shared" si="217"/>
        <v>0</v>
      </c>
      <c r="W562" s="279"/>
      <c r="X562" s="52"/>
      <c r="Y562" s="99"/>
      <c r="Z562" s="53"/>
      <c r="AA562" s="228"/>
      <c r="AB562" s="52"/>
      <c r="AC562" s="99"/>
      <c r="AD562" s="53"/>
      <c r="AE562" s="228"/>
      <c r="AF562" s="52"/>
      <c r="AG562" s="99"/>
      <c r="AH562" s="53"/>
      <c r="AI562" s="228"/>
      <c r="AJ562" s="52"/>
      <c r="AK562" s="99"/>
      <c r="AL562" s="53"/>
      <c r="AM562" s="228"/>
      <c r="AN562" s="52"/>
      <c r="AO562" s="99"/>
      <c r="AP562" s="53"/>
      <c r="AQ562" s="50">
        <f t="shared" si="209"/>
        <v>0</v>
      </c>
      <c r="AR562" s="163">
        <f t="shared" si="210"/>
        <v>0</v>
      </c>
      <c r="AS562" s="97">
        <f t="shared" si="211"/>
        <v>0</v>
      </c>
      <c r="AT562" s="278">
        <f t="shared" si="212"/>
        <v>0</v>
      </c>
      <c r="AU562" s="55"/>
      <c r="AV562" s="277"/>
      <c r="AW562" s="279"/>
      <c r="AX562" s="52"/>
      <c r="AY562" s="98"/>
      <c r="AZ562" s="98"/>
      <c r="BA562" s="279"/>
      <c r="BB562" s="52"/>
      <c r="BC562" s="98"/>
      <c r="BD562" s="98"/>
      <c r="BE562" s="279"/>
      <c r="BF562" s="52"/>
      <c r="BG562" s="98"/>
      <c r="BH562" s="98"/>
      <c r="BI562" s="279"/>
      <c r="BJ562" s="52"/>
      <c r="BK562" s="98"/>
      <c r="BL562" s="98"/>
      <c r="BM562" s="279"/>
      <c r="BN562" s="52"/>
      <c r="BO562" s="98"/>
      <c r="BP562" s="98"/>
      <c r="BQ562" s="279"/>
      <c r="BR562" s="52"/>
      <c r="BS562" s="98"/>
      <c r="BT562" s="98"/>
      <c r="BU562" s="279"/>
      <c r="BV562" s="52"/>
      <c r="BW562" s="98"/>
      <c r="BX562" s="98"/>
      <c r="BY562" s="279"/>
      <c r="BZ562" s="52"/>
      <c r="CA562" s="98"/>
      <c r="CB562" s="98"/>
      <c r="CC562" s="279"/>
      <c r="CD562" s="52"/>
      <c r="CE562" s="98"/>
      <c r="CF562" s="98"/>
      <c r="CG562" s="279"/>
      <c r="CH562" s="52"/>
      <c r="CI562" s="98"/>
      <c r="CJ562" s="98"/>
      <c r="CK562" s="281"/>
      <c r="CL562" s="277"/>
      <c r="CM562" s="159"/>
      <c r="CN562" s="277"/>
      <c r="CO562" s="50">
        <f t="shared" si="218"/>
        <v>0</v>
      </c>
      <c r="CP562" s="103">
        <f t="shared" si="219"/>
        <v>0</v>
      </c>
      <c r="CQ562" s="280">
        <f t="shared" si="220"/>
        <v>0</v>
      </c>
      <c r="CR562" s="63">
        <f t="shared" si="221"/>
        <v>0</v>
      </c>
      <c r="CS562" s="279"/>
      <c r="CT562" s="52"/>
      <c r="CU562" s="98"/>
      <c r="CV562" s="98"/>
      <c r="CW562" s="279"/>
      <c r="CX562" s="52"/>
      <c r="CY562" s="98"/>
      <c r="CZ562" s="98"/>
      <c r="DA562" s="279"/>
      <c r="DB562" s="52"/>
      <c r="DC562" s="105"/>
      <c r="DD562" s="98"/>
      <c r="DE562" s="279"/>
      <c r="DF562" s="52"/>
      <c r="DG562" s="105"/>
      <c r="DH562" s="98"/>
      <c r="DI562" s="279"/>
      <c r="DJ562" s="52"/>
      <c r="DK562" s="105"/>
      <c r="DL562" s="98"/>
      <c r="DM562" s="279"/>
      <c r="DN562" s="52"/>
      <c r="DO562" s="105"/>
      <c r="DP562" s="98"/>
      <c r="DQ562" s="279"/>
      <c r="DR562" s="52"/>
      <c r="DS562" s="105"/>
      <c r="DT562" s="98"/>
      <c r="DU562" s="279"/>
      <c r="DV562" s="52"/>
      <c r="DW562" s="105"/>
      <c r="DX562" s="98"/>
      <c r="DY562" s="279"/>
      <c r="DZ562" s="52"/>
      <c r="EA562" s="105"/>
      <c r="EB562" s="98"/>
      <c r="EC562" s="279"/>
      <c r="ED562" s="52"/>
      <c r="EE562" s="105"/>
      <c r="EF562" s="98"/>
      <c r="EG562" s="159"/>
      <c r="EH562" s="277"/>
      <c r="EI562" s="50">
        <f t="shared" si="222"/>
        <v>0</v>
      </c>
      <c r="EJ562" s="103">
        <f t="shared" si="223"/>
        <v>0</v>
      </c>
      <c r="EK562" s="164">
        <f t="shared" si="224"/>
        <v>0</v>
      </c>
      <c r="EL562" s="280">
        <f t="shared" si="225"/>
        <v>0</v>
      </c>
      <c r="EM562" s="63">
        <f t="shared" si="226"/>
        <v>0</v>
      </c>
      <c r="EN562" s="359">
        <f t="shared" si="227"/>
        <v>0</v>
      </c>
      <c r="EO562" s="51">
        <f t="shared" si="228"/>
        <v>0</v>
      </c>
      <c r="EP562" s="361">
        <f t="shared" si="229"/>
        <v>0</v>
      </c>
      <c r="EQ562" s="281"/>
      <c r="ER562" s="277"/>
      <c r="ES562" s="281"/>
      <c r="ET562" s="277"/>
      <c r="EU562" s="281"/>
      <c r="EV562" s="277"/>
      <c r="EW562" s="281"/>
      <c r="EX562" s="277"/>
      <c r="EY562" s="281"/>
      <c r="EZ562" s="277"/>
      <c r="FA562" s="281"/>
      <c r="FB562" s="277"/>
      <c r="FC562" s="281"/>
      <c r="FD562" s="277"/>
      <c r="FE562" s="281"/>
      <c r="FF562" s="277"/>
      <c r="FG562" s="281"/>
      <c r="FH562" s="277"/>
      <c r="FI562" s="281"/>
      <c r="FJ562" s="277"/>
      <c r="FK562" s="50">
        <f t="shared" si="230"/>
        <v>0</v>
      </c>
      <c r="FL562" s="63">
        <f t="shared" si="231"/>
        <v>0</v>
      </c>
      <c r="FM562" s="50">
        <f t="shared" si="213"/>
        <v>366</v>
      </c>
      <c r="FN562" s="360">
        <f t="shared" si="214"/>
        <v>436</v>
      </c>
      <c r="FO562" s="3"/>
      <c r="FP562" s="279"/>
      <c r="FQ562" s="467"/>
      <c r="FR562" s="296"/>
      <c r="FS562" s="98"/>
      <c r="FT562" s="467"/>
      <c r="FU562" s="52"/>
      <c r="FV562" s="296"/>
      <c r="FW562" s="98"/>
      <c r="FX562" s="467"/>
      <c r="FY562" s="52"/>
      <c r="FZ562" s="296"/>
      <c r="GA562" s="98"/>
      <c r="GB562" s="467"/>
      <c r="GC562" s="52"/>
      <c r="GD562" s="296"/>
      <c r="GE562" s="98"/>
      <c r="GF562" s="467"/>
      <c r="GG562" s="52"/>
      <c r="GH562" s="296"/>
      <c r="GI562" s="98"/>
      <c r="GJ562" s="467"/>
      <c r="GK562" s="52"/>
      <c r="GL562" s="296"/>
      <c r="GM562" s="464"/>
      <c r="GN562" s="467"/>
      <c r="GO562" s="52"/>
      <c r="GP562" s="296"/>
      <c r="GQ562" s="464"/>
      <c r="GR562" s="467"/>
      <c r="GS562" s="52"/>
      <c r="GT562" s="296"/>
      <c r="GU562" s="464"/>
      <c r="GV562" s="467"/>
      <c r="GW562" s="52"/>
      <c r="GX562" s="296"/>
      <c r="GY562" s="464"/>
      <c r="GZ562" s="467"/>
      <c r="HA562" s="52"/>
      <c r="HB562" s="296"/>
      <c r="HC562" s="3"/>
    </row>
    <row r="563" spans="1:211" s="85" customFormat="1">
      <c r="A563" s="499" t="s">
        <v>32</v>
      </c>
      <c r="B563" s="311" t="s">
        <v>686</v>
      </c>
      <c r="C563" s="310">
        <v>221634</v>
      </c>
      <c r="D563" s="351">
        <v>13</v>
      </c>
      <c r="E563" s="460">
        <v>109</v>
      </c>
      <c r="F563" s="277">
        <v>108</v>
      </c>
      <c r="G563" s="158"/>
      <c r="H563" s="277"/>
      <c r="I563" s="158"/>
      <c r="J563" s="277"/>
      <c r="K563" s="160">
        <f t="shared" si="215"/>
        <v>0</v>
      </c>
      <c r="L563" s="161">
        <f t="shared" si="208"/>
        <v>0</v>
      </c>
      <c r="M563" s="54"/>
      <c r="N563" s="55"/>
      <c r="O563" s="55"/>
      <c r="P563" s="55"/>
      <c r="Q563" s="162">
        <f t="shared" si="216"/>
        <v>0</v>
      </c>
      <c r="R563" s="277"/>
      <c r="S563" s="277"/>
      <c r="T563" s="277"/>
      <c r="U563" s="277"/>
      <c r="V563" s="97">
        <f t="shared" si="217"/>
        <v>0</v>
      </c>
      <c r="W563" s="279"/>
      <c r="X563" s="52"/>
      <c r="Y563" s="99"/>
      <c r="Z563" s="53"/>
      <c r="AA563" s="228"/>
      <c r="AB563" s="52"/>
      <c r="AC563" s="99"/>
      <c r="AD563" s="53"/>
      <c r="AE563" s="228"/>
      <c r="AF563" s="52"/>
      <c r="AG563" s="99"/>
      <c r="AH563" s="53"/>
      <c r="AI563" s="228"/>
      <c r="AJ563" s="52"/>
      <c r="AK563" s="99"/>
      <c r="AL563" s="53"/>
      <c r="AM563" s="228"/>
      <c r="AN563" s="52"/>
      <c r="AO563" s="99"/>
      <c r="AP563" s="53"/>
      <c r="AQ563" s="50">
        <f t="shared" si="209"/>
        <v>0</v>
      </c>
      <c r="AR563" s="163">
        <f t="shared" si="210"/>
        <v>0</v>
      </c>
      <c r="AS563" s="97">
        <f t="shared" si="211"/>
        <v>0</v>
      </c>
      <c r="AT563" s="278">
        <f t="shared" si="212"/>
        <v>0</v>
      </c>
      <c r="AU563" s="55"/>
      <c r="AV563" s="277"/>
      <c r="AW563" s="279"/>
      <c r="AX563" s="52"/>
      <c r="AY563" s="98"/>
      <c r="AZ563" s="98"/>
      <c r="BA563" s="279"/>
      <c r="BB563" s="52"/>
      <c r="BC563" s="98"/>
      <c r="BD563" s="98"/>
      <c r="BE563" s="279"/>
      <c r="BF563" s="52"/>
      <c r="BG563" s="98"/>
      <c r="BH563" s="98"/>
      <c r="BI563" s="279"/>
      <c r="BJ563" s="52"/>
      <c r="BK563" s="98"/>
      <c r="BL563" s="98"/>
      <c r="BM563" s="279"/>
      <c r="BN563" s="52"/>
      <c r="BO563" s="98"/>
      <c r="BP563" s="98"/>
      <c r="BQ563" s="279"/>
      <c r="BR563" s="52"/>
      <c r="BS563" s="98"/>
      <c r="BT563" s="98"/>
      <c r="BU563" s="279"/>
      <c r="BV563" s="52"/>
      <c r="BW563" s="98"/>
      <c r="BX563" s="98"/>
      <c r="BY563" s="279"/>
      <c r="BZ563" s="52"/>
      <c r="CA563" s="98"/>
      <c r="CB563" s="98"/>
      <c r="CC563" s="279"/>
      <c r="CD563" s="52"/>
      <c r="CE563" s="98"/>
      <c r="CF563" s="98"/>
      <c r="CG563" s="279"/>
      <c r="CH563" s="52"/>
      <c r="CI563" s="98"/>
      <c r="CJ563" s="98"/>
      <c r="CK563" s="281"/>
      <c r="CL563" s="277"/>
      <c r="CM563" s="159"/>
      <c r="CN563" s="277"/>
      <c r="CO563" s="50">
        <f t="shared" si="218"/>
        <v>0</v>
      </c>
      <c r="CP563" s="103">
        <f t="shared" si="219"/>
        <v>0</v>
      </c>
      <c r="CQ563" s="280">
        <f t="shared" si="220"/>
        <v>0</v>
      </c>
      <c r="CR563" s="63">
        <f t="shared" si="221"/>
        <v>0</v>
      </c>
      <c r="CS563" s="279"/>
      <c r="CT563" s="52"/>
      <c r="CU563" s="98"/>
      <c r="CV563" s="98"/>
      <c r="CW563" s="279"/>
      <c r="CX563" s="52"/>
      <c r="CY563" s="105"/>
      <c r="CZ563" s="98"/>
      <c r="DA563" s="279"/>
      <c r="DB563" s="52"/>
      <c r="DC563" s="105"/>
      <c r="DD563" s="98"/>
      <c r="DE563" s="279"/>
      <c r="DF563" s="52"/>
      <c r="DG563" s="105"/>
      <c r="DH563" s="98"/>
      <c r="DI563" s="279"/>
      <c r="DJ563" s="52"/>
      <c r="DK563" s="105"/>
      <c r="DL563" s="98"/>
      <c r="DM563" s="279"/>
      <c r="DN563" s="52"/>
      <c r="DO563" s="105"/>
      <c r="DP563" s="98"/>
      <c r="DQ563" s="279"/>
      <c r="DR563" s="52"/>
      <c r="DS563" s="105"/>
      <c r="DT563" s="98"/>
      <c r="DU563" s="279"/>
      <c r="DV563" s="52"/>
      <c r="DW563" s="105"/>
      <c r="DX563" s="98"/>
      <c r="DY563" s="279"/>
      <c r="DZ563" s="52"/>
      <c r="EA563" s="105"/>
      <c r="EB563" s="98"/>
      <c r="EC563" s="279"/>
      <c r="ED563" s="52"/>
      <c r="EE563" s="105"/>
      <c r="EF563" s="98"/>
      <c r="EG563" s="159"/>
      <c r="EH563" s="277"/>
      <c r="EI563" s="50">
        <f t="shared" si="222"/>
        <v>0</v>
      </c>
      <c r="EJ563" s="103">
        <f t="shared" si="223"/>
        <v>0</v>
      </c>
      <c r="EK563" s="164">
        <f t="shared" si="224"/>
        <v>0</v>
      </c>
      <c r="EL563" s="280">
        <f t="shared" si="225"/>
        <v>0</v>
      </c>
      <c r="EM563" s="63">
        <f t="shared" si="226"/>
        <v>0</v>
      </c>
      <c r="EN563" s="359">
        <f t="shared" si="227"/>
        <v>0</v>
      </c>
      <c r="EO563" s="51">
        <f t="shared" si="228"/>
        <v>0</v>
      </c>
      <c r="EP563" s="361">
        <f t="shared" si="229"/>
        <v>0</v>
      </c>
      <c r="EQ563" s="281"/>
      <c r="ER563" s="277"/>
      <c r="ES563" s="281"/>
      <c r="ET563" s="277"/>
      <c r="EU563" s="281"/>
      <c r="EV563" s="277"/>
      <c r="EW563" s="281"/>
      <c r="EX563" s="277"/>
      <c r="EY563" s="281"/>
      <c r="EZ563" s="277"/>
      <c r="FA563" s="281"/>
      <c r="FB563" s="277"/>
      <c r="FC563" s="281"/>
      <c r="FD563" s="277"/>
      <c r="FE563" s="281"/>
      <c r="FF563" s="277"/>
      <c r="FG563" s="281"/>
      <c r="FH563" s="277"/>
      <c r="FI563" s="281"/>
      <c r="FJ563" s="277"/>
      <c r="FK563" s="50">
        <f t="shared" si="230"/>
        <v>0</v>
      </c>
      <c r="FL563" s="63">
        <f t="shared" si="231"/>
        <v>0</v>
      </c>
      <c r="FM563" s="50">
        <f t="shared" si="213"/>
        <v>109</v>
      </c>
      <c r="FN563" s="360">
        <f t="shared" si="214"/>
        <v>108</v>
      </c>
      <c r="FO563" s="3"/>
      <c r="FP563" s="279"/>
      <c r="FQ563" s="467"/>
      <c r="FR563" s="296"/>
      <c r="FS563" s="98"/>
      <c r="FT563" s="467"/>
      <c r="FU563" s="52"/>
      <c r="FV563" s="296"/>
      <c r="FW563" s="98"/>
      <c r="FX563" s="467"/>
      <c r="FY563" s="52"/>
      <c r="FZ563" s="296"/>
      <c r="GA563" s="98"/>
      <c r="GB563" s="467"/>
      <c r="GC563" s="52"/>
      <c r="GD563" s="296"/>
      <c r="GE563" s="98"/>
      <c r="GF563" s="467"/>
      <c r="GG563" s="52"/>
      <c r="GH563" s="296"/>
      <c r="GI563" s="98"/>
      <c r="GJ563" s="467"/>
      <c r="GK563" s="52"/>
      <c r="GL563" s="296"/>
      <c r="GM563" s="464"/>
      <c r="GN563" s="467"/>
      <c r="GO563" s="52"/>
      <c r="GP563" s="296"/>
      <c r="GQ563" s="464"/>
      <c r="GR563" s="467"/>
      <c r="GS563" s="52"/>
      <c r="GT563" s="296"/>
      <c r="GU563" s="464"/>
      <c r="GV563" s="467"/>
      <c r="GW563" s="52"/>
      <c r="GX563" s="296"/>
      <c r="GY563" s="464"/>
      <c r="GZ563" s="467"/>
      <c r="HA563" s="52"/>
      <c r="HB563" s="296"/>
      <c r="HC563" s="3"/>
    </row>
    <row r="564" spans="1:211" s="85" customFormat="1">
      <c r="A564" s="499" t="s">
        <v>32</v>
      </c>
      <c r="B564" s="311" t="s">
        <v>687</v>
      </c>
      <c r="C564" s="310">
        <v>221704</v>
      </c>
      <c r="D564" s="351">
        <v>15</v>
      </c>
      <c r="E564" s="460"/>
      <c r="F564" s="277"/>
      <c r="G564" s="158"/>
      <c r="H564" s="277"/>
      <c r="I564" s="158"/>
      <c r="J564" s="277"/>
      <c r="K564" s="160">
        <f t="shared" si="215"/>
        <v>0</v>
      </c>
      <c r="L564" s="161">
        <f t="shared" si="208"/>
        <v>0</v>
      </c>
      <c r="M564" s="54">
        <v>103</v>
      </c>
      <c r="N564" s="55"/>
      <c r="O564" s="55"/>
      <c r="P564" s="55"/>
      <c r="Q564" s="162">
        <f t="shared" si="216"/>
        <v>0</v>
      </c>
      <c r="R564" s="277">
        <v>47</v>
      </c>
      <c r="S564" s="277"/>
      <c r="T564" s="277"/>
      <c r="U564" s="277"/>
      <c r="V564" s="97">
        <f t="shared" si="217"/>
        <v>0</v>
      </c>
      <c r="W564" s="279"/>
      <c r="X564" s="52"/>
      <c r="Y564" s="99"/>
      <c r="Z564" s="53"/>
      <c r="AA564" s="228"/>
      <c r="AB564" s="52"/>
      <c r="AC564" s="99"/>
      <c r="AD564" s="53"/>
      <c r="AE564" s="228"/>
      <c r="AF564" s="52"/>
      <c r="AG564" s="99"/>
      <c r="AH564" s="53"/>
      <c r="AI564" s="228"/>
      <c r="AJ564" s="52"/>
      <c r="AK564" s="99"/>
      <c r="AL564" s="53"/>
      <c r="AM564" s="228"/>
      <c r="AN564" s="52"/>
      <c r="AO564" s="99"/>
      <c r="AP564" s="53"/>
      <c r="AQ564" s="50">
        <f t="shared" si="209"/>
        <v>0</v>
      </c>
      <c r="AR564" s="163">
        <f t="shared" si="210"/>
        <v>0.10729166666666666</v>
      </c>
      <c r="AS564" s="97">
        <f t="shared" si="211"/>
        <v>0</v>
      </c>
      <c r="AT564" s="278">
        <f t="shared" si="212"/>
        <v>4.3680297397769519E-2</v>
      </c>
      <c r="AU564" s="55"/>
      <c r="AV564" s="277"/>
      <c r="AW564" s="279">
        <v>51</v>
      </c>
      <c r="AX564" s="52">
        <v>392</v>
      </c>
      <c r="AY564" s="547">
        <v>51</v>
      </c>
      <c r="AZ564" s="547">
        <v>487</v>
      </c>
      <c r="BA564" s="279">
        <v>26</v>
      </c>
      <c r="BB564" s="52">
        <v>6</v>
      </c>
      <c r="BC564" s="547">
        <v>26</v>
      </c>
      <c r="BD564" s="547">
        <v>16</v>
      </c>
      <c r="BE564" s="279">
        <v>14</v>
      </c>
      <c r="BF564" s="52">
        <v>1</v>
      </c>
      <c r="BG564" s="547">
        <v>14</v>
      </c>
      <c r="BH564" s="547">
        <v>7</v>
      </c>
      <c r="BI564" s="279"/>
      <c r="BJ564" s="52"/>
      <c r="BK564" s="98">
        <v>40</v>
      </c>
      <c r="BL564" s="98">
        <v>1</v>
      </c>
      <c r="BM564" s="279"/>
      <c r="BN564" s="52"/>
      <c r="BO564" s="98"/>
      <c r="BP564" s="98"/>
      <c r="BQ564" s="279"/>
      <c r="BR564" s="52"/>
      <c r="BS564" s="98"/>
      <c r="BT564" s="98"/>
      <c r="BU564" s="279"/>
      <c r="BV564" s="52"/>
      <c r="BW564" s="98"/>
      <c r="BX564" s="98"/>
      <c r="BY564" s="279"/>
      <c r="BZ564" s="52"/>
      <c r="CA564" s="98"/>
      <c r="CB564" s="98"/>
      <c r="CC564" s="279"/>
      <c r="CD564" s="52"/>
      <c r="CE564" s="98"/>
      <c r="CF564" s="98"/>
      <c r="CG564" s="279"/>
      <c r="CH564" s="52"/>
      <c r="CI564" s="98"/>
      <c r="CJ564" s="98"/>
      <c r="CK564" s="281"/>
      <c r="CL564" s="277"/>
      <c r="CM564" s="159"/>
      <c r="CN564" s="277"/>
      <c r="CO564" s="50">
        <f t="shared" si="218"/>
        <v>399</v>
      </c>
      <c r="CP564" s="103">
        <f t="shared" si="219"/>
        <v>3</v>
      </c>
      <c r="CQ564" s="280">
        <f t="shared" si="220"/>
        <v>511</v>
      </c>
      <c r="CR564" s="63">
        <f t="shared" si="221"/>
        <v>4</v>
      </c>
      <c r="CS564" s="279" t="s">
        <v>733</v>
      </c>
      <c r="CT564" s="52">
        <v>98</v>
      </c>
      <c r="CU564" s="548" t="s">
        <v>733</v>
      </c>
      <c r="CV564" s="549">
        <v>120</v>
      </c>
      <c r="CW564" s="279" t="s">
        <v>738</v>
      </c>
      <c r="CX564" s="52">
        <v>7</v>
      </c>
      <c r="CY564" s="548" t="s">
        <v>738</v>
      </c>
      <c r="CZ564" s="549">
        <v>12</v>
      </c>
      <c r="DA564" s="279"/>
      <c r="DB564" s="52"/>
      <c r="DC564" s="524" t="s">
        <v>344</v>
      </c>
      <c r="DD564" s="172">
        <v>1</v>
      </c>
      <c r="DE564" s="279"/>
      <c r="DF564" s="52"/>
      <c r="DG564" s="105"/>
      <c r="DH564" s="98"/>
      <c r="DI564" s="279"/>
      <c r="DJ564" s="52"/>
      <c r="DK564" s="105"/>
      <c r="DL564" s="98"/>
      <c r="DM564" s="279"/>
      <c r="DN564" s="52"/>
      <c r="DO564" s="105"/>
      <c r="DP564" s="98"/>
      <c r="DQ564" s="279"/>
      <c r="DR564" s="52"/>
      <c r="DS564" s="105"/>
      <c r="DT564" s="98"/>
      <c r="DU564" s="279"/>
      <c r="DV564" s="52"/>
      <c r="DW564" s="105"/>
      <c r="DX564" s="98"/>
      <c r="DY564" s="279"/>
      <c r="DZ564" s="52"/>
      <c r="EA564" s="105"/>
      <c r="EB564" s="98"/>
      <c r="EC564" s="279"/>
      <c r="ED564" s="52"/>
      <c r="EE564" s="105"/>
      <c r="EF564" s="98"/>
      <c r="EG564" s="159"/>
      <c r="EH564" s="277"/>
      <c r="EI564" s="50">
        <f t="shared" si="222"/>
        <v>105</v>
      </c>
      <c r="EJ564" s="103">
        <f t="shared" si="223"/>
        <v>2</v>
      </c>
      <c r="EK564" s="164">
        <f t="shared" si="224"/>
        <v>0.93333333333333335</v>
      </c>
      <c r="EL564" s="280">
        <f t="shared" si="225"/>
        <v>133</v>
      </c>
      <c r="EM564" s="63">
        <f t="shared" si="226"/>
        <v>3</v>
      </c>
      <c r="EN564" s="359">
        <f t="shared" si="227"/>
        <v>0.90225563909774431</v>
      </c>
      <c r="EO564" s="51">
        <f t="shared" si="228"/>
        <v>504</v>
      </c>
      <c r="EP564" s="361">
        <f t="shared" si="229"/>
        <v>644</v>
      </c>
      <c r="EQ564" s="281"/>
      <c r="ER564" s="277"/>
      <c r="ES564" s="281">
        <v>150</v>
      </c>
      <c r="ET564" s="277">
        <v>140</v>
      </c>
      <c r="EU564" s="281">
        <v>77</v>
      </c>
      <c r="EV564" s="277">
        <v>83</v>
      </c>
      <c r="EW564" s="281">
        <v>126</v>
      </c>
      <c r="EX564" s="277">
        <v>162</v>
      </c>
      <c r="EY564" s="281"/>
      <c r="EZ564" s="277"/>
      <c r="FA564" s="281"/>
      <c r="FB564" s="277"/>
      <c r="FC564" s="281"/>
      <c r="FD564" s="277"/>
      <c r="FE564" s="281"/>
      <c r="FF564" s="277"/>
      <c r="FG564" s="281"/>
      <c r="FH564" s="277"/>
      <c r="FI564" s="281"/>
      <c r="FJ564" s="277"/>
      <c r="FK564" s="50">
        <f t="shared" si="230"/>
        <v>353</v>
      </c>
      <c r="FL564" s="63">
        <f t="shared" si="231"/>
        <v>385</v>
      </c>
      <c r="FM564" s="50">
        <f t="shared" si="213"/>
        <v>960</v>
      </c>
      <c r="FN564" s="360">
        <f t="shared" si="214"/>
        <v>1076</v>
      </c>
      <c r="FO564" s="3"/>
      <c r="FP564" s="279"/>
      <c r="FQ564" s="467"/>
      <c r="FR564" s="296"/>
      <c r="FS564" s="98"/>
      <c r="FT564" s="467"/>
      <c r="FU564" s="52"/>
      <c r="FV564" s="296"/>
      <c r="FW564" s="98"/>
      <c r="FX564" s="467"/>
      <c r="FY564" s="52"/>
      <c r="FZ564" s="296"/>
      <c r="GA564" s="98"/>
      <c r="GB564" s="467"/>
      <c r="GC564" s="52"/>
      <c r="GD564" s="296"/>
      <c r="GE564" s="98"/>
      <c r="GF564" s="467"/>
      <c r="GG564" s="52"/>
      <c r="GH564" s="296"/>
      <c r="GI564" s="98"/>
      <c r="GJ564" s="467"/>
      <c r="GK564" s="52"/>
      <c r="GL564" s="296"/>
      <c r="GM564" s="464"/>
      <c r="GN564" s="467"/>
      <c r="GO564" s="52"/>
      <c r="GP564" s="296"/>
      <c r="GQ564" s="464"/>
      <c r="GR564" s="467"/>
      <c r="GS564" s="52"/>
      <c r="GT564" s="296"/>
      <c r="GU564" s="464"/>
      <c r="GV564" s="467"/>
      <c r="GW564" s="52"/>
      <c r="GX564" s="296"/>
      <c r="GY564" s="464"/>
      <c r="GZ564" s="467"/>
      <c r="HA564" s="52"/>
      <c r="HB564" s="296"/>
      <c r="HC564" s="3"/>
    </row>
    <row r="565" spans="1:211" s="85" customFormat="1">
      <c r="A565" s="502" t="s">
        <v>951</v>
      </c>
      <c r="B565" s="315" t="s">
        <v>791</v>
      </c>
      <c r="C565" s="314">
        <v>228723</v>
      </c>
      <c r="D565" s="343">
        <v>1</v>
      </c>
      <c r="E565" s="460"/>
      <c r="F565" s="277"/>
      <c r="G565" s="158"/>
      <c r="H565" s="277"/>
      <c r="I565" s="158"/>
      <c r="J565" s="277"/>
      <c r="K565" s="160">
        <f t="shared" si="215"/>
        <v>0</v>
      </c>
      <c r="L565" s="161">
        <f t="shared" si="208"/>
        <v>0</v>
      </c>
      <c r="M565" s="54">
        <v>8118</v>
      </c>
      <c r="N565" s="55"/>
      <c r="O565" s="55"/>
      <c r="P565" s="55"/>
      <c r="Q565" s="162">
        <f t="shared" si="216"/>
        <v>0</v>
      </c>
      <c r="R565" s="277">
        <v>8311</v>
      </c>
      <c r="S565" s="277"/>
      <c r="T565" s="277"/>
      <c r="U565" s="277"/>
      <c r="V565" s="97">
        <f t="shared" si="217"/>
        <v>0</v>
      </c>
      <c r="W565" s="279"/>
      <c r="X565" s="52"/>
      <c r="Y565" s="99"/>
      <c r="Z565" s="53"/>
      <c r="AA565" s="228"/>
      <c r="AB565" s="52"/>
      <c r="AC565" s="99"/>
      <c r="AD565" s="53"/>
      <c r="AE565" s="228"/>
      <c r="AF565" s="52"/>
      <c r="AG565" s="99"/>
      <c r="AH565" s="53"/>
      <c r="AI565" s="228"/>
      <c r="AJ565" s="52"/>
      <c r="AK565" s="99"/>
      <c r="AL565" s="53"/>
      <c r="AM565" s="228"/>
      <c r="AN565" s="52"/>
      <c r="AO565" s="99"/>
      <c r="AP565" s="53"/>
      <c r="AQ565" s="50">
        <f t="shared" si="209"/>
        <v>0</v>
      </c>
      <c r="AR565" s="163">
        <f t="shared" si="210"/>
        <v>0.75369046513787019</v>
      </c>
      <c r="AS565" s="97">
        <f t="shared" si="211"/>
        <v>0</v>
      </c>
      <c r="AT565" s="278">
        <f t="shared" si="212"/>
        <v>0.75267161746060496</v>
      </c>
      <c r="AU565" s="55"/>
      <c r="AV565" s="277"/>
      <c r="AW565" s="279">
        <v>52</v>
      </c>
      <c r="AX565" s="52">
        <v>632</v>
      </c>
      <c r="AY565" s="550">
        <v>14</v>
      </c>
      <c r="AZ565" s="551">
        <v>512</v>
      </c>
      <c r="BA565" s="279">
        <v>14</v>
      </c>
      <c r="BB565" s="52">
        <v>451</v>
      </c>
      <c r="BC565" s="550">
        <v>52</v>
      </c>
      <c r="BD565" s="551">
        <v>507</v>
      </c>
      <c r="BE565" s="279">
        <v>13</v>
      </c>
      <c r="BF565" s="52">
        <v>185</v>
      </c>
      <c r="BG565" s="550">
        <v>13</v>
      </c>
      <c r="BH565" s="551">
        <v>208</v>
      </c>
      <c r="BI565" s="279">
        <v>1</v>
      </c>
      <c r="BJ565" s="52">
        <v>95</v>
      </c>
      <c r="BK565" s="550">
        <v>11</v>
      </c>
      <c r="BL565" s="551">
        <v>150</v>
      </c>
      <c r="BM565" s="279">
        <v>45</v>
      </c>
      <c r="BN565" s="52">
        <v>76</v>
      </c>
      <c r="BO565" s="550">
        <v>45</v>
      </c>
      <c r="BP565" s="551">
        <v>101</v>
      </c>
      <c r="BQ565" s="279">
        <v>4</v>
      </c>
      <c r="BR565" s="52">
        <v>56</v>
      </c>
      <c r="BS565" s="550">
        <v>1</v>
      </c>
      <c r="BT565" s="551">
        <v>97</v>
      </c>
      <c r="BU565" s="279">
        <v>31</v>
      </c>
      <c r="BV565" s="52">
        <v>50</v>
      </c>
      <c r="BW565" s="552">
        <v>4</v>
      </c>
      <c r="BX565" s="551">
        <v>73</v>
      </c>
      <c r="BY565" s="279">
        <v>40</v>
      </c>
      <c r="BZ565" s="52">
        <v>49</v>
      </c>
      <c r="CA565" s="552">
        <v>42</v>
      </c>
      <c r="CB565" s="551">
        <v>56</v>
      </c>
      <c r="CC565" s="279">
        <v>42</v>
      </c>
      <c r="CD565" s="52">
        <v>48</v>
      </c>
      <c r="CE565" s="552">
        <v>26</v>
      </c>
      <c r="CF565" s="551">
        <v>50</v>
      </c>
      <c r="CG565" s="279">
        <v>11</v>
      </c>
      <c r="CH565" s="52">
        <v>45</v>
      </c>
      <c r="CI565" s="552">
        <v>27</v>
      </c>
      <c r="CJ565" s="551">
        <v>46</v>
      </c>
      <c r="CK565" s="281"/>
      <c r="CL565" s="277"/>
      <c r="CM565" s="159">
        <v>243</v>
      </c>
      <c r="CN565" s="277">
        <v>215</v>
      </c>
      <c r="CO565" s="50">
        <f t="shared" si="218"/>
        <v>1930</v>
      </c>
      <c r="CP565" s="103">
        <f t="shared" si="219"/>
        <v>10</v>
      </c>
      <c r="CQ565" s="280">
        <f t="shared" si="220"/>
        <v>2015</v>
      </c>
      <c r="CR565" s="63">
        <f t="shared" si="221"/>
        <v>10</v>
      </c>
      <c r="CS565" s="279">
        <v>14</v>
      </c>
      <c r="CT565" s="52">
        <v>165</v>
      </c>
      <c r="CU565" s="552">
        <v>14</v>
      </c>
      <c r="CV565" s="551">
        <v>170</v>
      </c>
      <c r="CW565" s="279">
        <v>13</v>
      </c>
      <c r="CX565" s="52">
        <v>80</v>
      </c>
      <c r="CY565" s="552">
        <v>40</v>
      </c>
      <c r="CZ565" s="551">
        <v>70</v>
      </c>
      <c r="DA565" s="279">
        <v>26</v>
      </c>
      <c r="DB565" s="52">
        <v>64</v>
      </c>
      <c r="DC565" s="552">
        <v>13</v>
      </c>
      <c r="DD565" s="551">
        <v>55</v>
      </c>
      <c r="DE565" s="279">
        <v>40</v>
      </c>
      <c r="DF565" s="52">
        <v>63</v>
      </c>
      <c r="DG565" s="552">
        <v>45</v>
      </c>
      <c r="DH565" s="551">
        <v>45</v>
      </c>
      <c r="DI565" s="279">
        <v>1</v>
      </c>
      <c r="DJ565" s="52">
        <v>37</v>
      </c>
      <c r="DK565" s="552">
        <v>1</v>
      </c>
      <c r="DL565" s="551">
        <v>40</v>
      </c>
      <c r="DM565" s="279">
        <v>42</v>
      </c>
      <c r="DN565" s="52">
        <v>32</v>
      </c>
      <c r="DO565" s="552">
        <v>26</v>
      </c>
      <c r="DP565" s="551">
        <v>38</v>
      </c>
      <c r="DQ565" s="279">
        <v>45</v>
      </c>
      <c r="DR565" s="52">
        <v>30</v>
      </c>
      <c r="DS565" s="552">
        <v>42</v>
      </c>
      <c r="DT565" s="551">
        <v>38</v>
      </c>
      <c r="DU565" s="279">
        <v>11</v>
      </c>
      <c r="DV565" s="52">
        <v>19</v>
      </c>
      <c r="DW565" s="552">
        <v>31</v>
      </c>
      <c r="DX565" s="551">
        <v>23</v>
      </c>
      <c r="DY565" s="279">
        <v>52</v>
      </c>
      <c r="DZ565" s="52">
        <v>17</v>
      </c>
      <c r="EA565" s="552">
        <v>23</v>
      </c>
      <c r="EB565" s="551">
        <v>22</v>
      </c>
      <c r="EC565" s="279">
        <v>27</v>
      </c>
      <c r="ED565" s="52">
        <v>16</v>
      </c>
      <c r="EE565" s="552">
        <v>4</v>
      </c>
      <c r="EF565" s="551">
        <v>20</v>
      </c>
      <c r="EG565" s="159">
        <v>71</v>
      </c>
      <c r="EH565" s="277">
        <v>76</v>
      </c>
      <c r="EI565" s="50">
        <f t="shared" si="222"/>
        <v>594</v>
      </c>
      <c r="EJ565" s="103">
        <f t="shared" si="223"/>
        <v>10</v>
      </c>
      <c r="EK565" s="164">
        <f t="shared" si="224"/>
        <v>0.27777777777777779</v>
      </c>
      <c r="EL565" s="280">
        <f t="shared" si="225"/>
        <v>597</v>
      </c>
      <c r="EM565" s="63">
        <f t="shared" si="226"/>
        <v>10</v>
      </c>
      <c r="EN565" s="359">
        <f t="shared" si="227"/>
        <v>0.28475711892797317</v>
      </c>
      <c r="EO565" s="51">
        <f t="shared" si="228"/>
        <v>2524</v>
      </c>
      <c r="EP565" s="361">
        <f t="shared" si="229"/>
        <v>2612</v>
      </c>
      <c r="EQ565" s="281"/>
      <c r="ER565" s="277"/>
      <c r="ES565" s="281"/>
      <c r="ET565" s="277"/>
      <c r="EU565" s="281"/>
      <c r="EV565" s="277"/>
      <c r="EW565" s="281"/>
      <c r="EX565" s="277"/>
      <c r="EY565" s="281"/>
      <c r="EZ565" s="277"/>
      <c r="FA565" s="281"/>
      <c r="FB565" s="277"/>
      <c r="FC565" s="281"/>
      <c r="FD565" s="277"/>
      <c r="FE565" s="281">
        <v>129</v>
      </c>
      <c r="FF565" s="277">
        <v>119</v>
      </c>
      <c r="FG565" s="281"/>
      <c r="FH565" s="277"/>
      <c r="FI565" s="281"/>
      <c r="FJ565" s="277"/>
      <c r="FK565" s="50">
        <f t="shared" si="230"/>
        <v>129</v>
      </c>
      <c r="FL565" s="63">
        <f t="shared" si="231"/>
        <v>119</v>
      </c>
      <c r="FM565" s="50">
        <f t="shared" si="213"/>
        <v>10771</v>
      </c>
      <c r="FN565" s="360">
        <f t="shared" si="214"/>
        <v>11042</v>
      </c>
      <c r="FO565" s="43"/>
      <c r="FP565" s="279"/>
      <c r="FQ565" s="467"/>
      <c r="FR565" s="296"/>
      <c r="FS565" s="98"/>
      <c r="FT565" s="467"/>
      <c r="FU565" s="52"/>
      <c r="FV565" s="296"/>
      <c r="FW565" s="98"/>
      <c r="FX565" s="467"/>
      <c r="FY565" s="52"/>
      <c r="FZ565" s="296"/>
      <c r="GA565" s="98"/>
      <c r="GB565" s="467"/>
      <c r="GC565" s="52"/>
      <c r="GD565" s="296"/>
      <c r="GE565" s="98"/>
      <c r="GF565" s="467"/>
      <c r="GG565" s="52"/>
      <c r="GH565" s="296"/>
      <c r="GI565" s="98"/>
      <c r="GJ565" s="467"/>
      <c r="GK565" s="52"/>
      <c r="GL565" s="296"/>
      <c r="GM565" s="464"/>
      <c r="GN565" s="467"/>
      <c r="GO565" s="52"/>
      <c r="GP565" s="296"/>
      <c r="GQ565" s="464"/>
      <c r="GR565" s="467"/>
      <c r="GS565" s="52"/>
      <c r="GT565" s="296"/>
      <c r="GU565" s="464"/>
      <c r="GV565" s="467"/>
      <c r="GW565" s="52"/>
      <c r="GX565" s="296"/>
      <c r="GY565" s="464"/>
      <c r="GZ565" s="467"/>
      <c r="HA565" s="52"/>
      <c r="HB565" s="296"/>
      <c r="HC565" s="43"/>
    </row>
    <row r="566" spans="1:211" s="85" customFormat="1">
      <c r="A566" s="502" t="s">
        <v>951</v>
      </c>
      <c r="B566" s="315" t="s">
        <v>792</v>
      </c>
      <c r="C566" s="314">
        <v>229115</v>
      </c>
      <c r="D566" s="343">
        <v>1</v>
      </c>
      <c r="E566" s="460"/>
      <c r="F566" s="277"/>
      <c r="G566" s="158"/>
      <c r="H566" s="277"/>
      <c r="I566" s="158"/>
      <c r="J566" s="277"/>
      <c r="K566" s="160">
        <f t="shared" si="215"/>
        <v>0</v>
      </c>
      <c r="L566" s="161">
        <f t="shared" si="208"/>
        <v>0</v>
      </c>
      <c r="M566" s="54">
        <v>4777</v>
      </c>
      <c r="N566" s="55"/>
      <c r="O566" s="55"/>
      <c r="P566" s="55"/>
      <c r="Q566" s="162">
        <f t="shared" si="216"/>
        <v>0</v>
      </c>
      <c r="R566" s="277">
        <v>4460</v>
      </c>
      <c r="S566" s="277"/>
      <c r="T566" s="277"/>
      <c r="U566" s="277"/>
      <c r="V566" s="97">
        <f t="shared" si="217"/>
        <v>0</v>
      </c>
      <c r="W566" s="279"/>
      <c r="X566" s="52"/>
      <c r="Y566" s="99"/>
      <c r="Z566" s="53"/>
      <c r="AA566" s="228"/>
      <c r="AB566" s="52"/>
      <c r="AC566" s="99"/>
      <c r="AD566" s="53"/>
      <c r="AE566" s="228"/>
      <c r="AF566" s="52"/>
      <c r="AG566" s="99"/>
      <c r="AH566" s="53"/>
      <c r="AI566" s="228"/>
      <c r="AJ566" s="52"/>
      <c r="AK566" s="99"/>
      <c r="AL566" s="53"/>
      <c r="AM566" s="228"/>
      <c r="AN566" s="52"/>
      <c r="AO566" s="99"/>
      <c r="AP566" s="53"/>
      <c r="AQ566" s="50">
        <f t="shared" si="209"/>
        <v>0</v>
      </c>
      <c r="AR566" s="163">
        <f t="shared" si="210"/>
        <v>0.75489886219974711</v>
      </c>
      <c r="AS566" s="97">
        <f t="shared" si="211"/>
        <v>0</v>
      </c>
      <c r="AT566" s="278">
        <f t="shared" si="212"/>
        <v>0.75580410099983053</v>
      </c>
      <c r="AU566" s="55"/>
      <c r="AV566" s="277"/>
      <c r="AW566" s="279">
        <v>52</v>
      </c>
      <c r="AX566" s="52">
        <v>294</v>
      </c>
      <c r="AY566" s="550">
        <v>52</v>
      </c>
      <c r="AZ566" s="551">
        <v>243</v>
      </c>
      <c r="BA566" s="279">
        <v>13</v>
      </c>
      <c r="BB566" s="52">
        <v>185</v>
      </c>
      <c r="BC566" s="550">
        <v>13</v>
      </c>
      <c r="BD566" s="551">
        <v>189</v>
      </c>
      <c r="BE566" s="279">
        <v>14</v>
      </c>
      <c r="BF566" s="52">
        <v>138</v>
      </c>
      <c r="BG566" s="550">
        <v>14</v>
      </c>
      <c r="BH566" s="551">
        <v>145</v>
      </c>
      <c r="BI566" s="279">
        <v>4</v>
      </c>
      <c r="BJ566" s="52">
        <v>67</v>
      </c>
      <c r="BK566" s="550">
        <v>4</v>
      </c>
      <c r="BL566" s="551">
        <v>56</v>
      </c>
      <c r="BM566" s="279">
        <v>19</v>
      </c>
      <c r="BN566" s="52">
        <v>48</v>
      </c>
      <c r="BO566" s="550">
        <v>1</v>
      </c>
      <c r="BP566" s="551">
        <v>52</v>
      </c>
      <c r="BQ566" s="279">
        <v>23</v>
      </c>
      <c r="BR566" s="52">
        <v>37</v>
      </c>
      <c r="BS566" s="550">
        <v>19</v>
      </c>
      <c r="BT566" s="551">
        <v>43</v>
      </c>
      <c r="BU566" s="279">
        <v>30</v>
      </c>
      <c r="BV566" s="52">
        <v>37</v>
      </c>
      <c r="BW566" s="550">
        <v>23</v>
      </c>
      <c r="BX566" s="551">
        <v>36</v>
      </c>
      <c r="BY566" s="279">
        <v>50</v>
      </c>
      <c r="BZ566" s="52">
        <v>32</v>
      </c>
      <c r="CA566" s="550">
        <v>30</v>
      </c>
      <c r="CB566" s="551">
        <v>32</v>
      </c>
      <c r="CC566" s="279">
        <v>1</v>
      </c>
      <c r="CD566" s="52">
        <v>30</v>
      </c>
      <c r="CE566" s="550">
        <v>26</v>
      </c>
      <c r="CF566" s="551">
        <v>31</v>
      </c>
      <c r="CG566" s="279">
        <v>11</v>
      </c>
      <c r="CH566" s="52">
        <v>29</v>
      </c>
      <c r="CI566" s="550">
        <v>11</v>
      </c>
      <c r="CJ566" s="551">
        <v>27</v>
      </c>
      <c r="CK566" s="281"/>
      <c r="CL566" s="277"/>
      <c r="CM566" s="159">
        <v>196</v>
      </c>
      <c r="CN566" s="277">
        <v>180</v>
      </c>
      <c r="CO566" s="50">
        <f t="shared" si="218"/>
        <v>1093</v>
      </c>
      <c r="CP566" s="103">
        <f t="shared" si="219"/>
        <v>10</v>
      </c>
      <c r="CQ566" s="280">
        <f t="shared" si="220"/>
        <v>1034</v>
      </c>
      <c r="CR566" s="63">
        <f t="shared" si="221"/>
        <v>10</v>
      </c>
      <c r="CS566" s="279">
        <v>13</v>
      </c>
      <c r="CT566" s="52">
        <v>48</v>
      </c>
      <c r="CU566" s="552">
        <v>14</v>
      </c>
      <c r="CV566" s="551">
        <v>32</v>
      </c>
      <c r="CW566" s="279">
        <v>14</v>
      </c>
      <c r="CX566" s="52">
        <v>32</v>
      </c>
      <c r="CY566" s="552">
        <v>13</v>
      </c>
      <c r="CZ566" s="551">
        <v>31</v>
      </c>
      <c r="DA566" s="279">
        <v>23</v>
      </c>
      <c r="DB566" s="52">
        <v>18</v>
      </c>
      <c r="DC566" s="552">
        <v>50</v>
      </c>
      <c r="DD566" s="551">
        <v>23</v>
      </c>
      <c r="DE566" s="279">
        <v>50</v>
      </c>
      <c r="DF566" s="52">
        <v>18</v>
      </c>
      <c r="DG566" s="552">
        <v>42</v>
      </c>
      <c r="DH566" s="551">
        <v>18</v>
      </c>
      <c r="DI566" s="279">
        <v>26</v>
      </c>
      <c r="DJ566" s="52">
        <v>17</v>
      </c>
      <c r="DK566" s="552">
        <v>52</v>
      </c>
      <c r="DL566" s="551">
        <v>17</v>
      </c>
      <c r="DM566" s="279">
        <v>52</v>
      </c>
      <c r="DN566" s="52">
        <v>14</v>
      </c>
      <c r="DO566" s="552">
        <v>23</v>
      </c>
      <c r="DP566" s="551">
        <v>14</v>
      </c>
      <c r="DQ566" s="279">
        <v>1</v>
      </c>
      <c r="DR566" s="52">
        <v>13</v>
      </c>
      <c r="DS566" s="552">
        <v>26</v>
      </c>
      <c r="DT566" s="551">
        <v>10</v>
      </c>
      <c r="DU566" s="279">
        <v>42</v>
      </c>
      <c r="DV566" s="52">
        <v>12</v>
      </c>
      <c r="DW566" s="552">
        <v>40</v>
      </c>
      <c r="DX566" s="551">
        <v>10</v>
      </c>
      <c r="DY566" s="279">
        <v>51</v>
      </c>
      <c r="DZ566" s="52">
        <v>9</v>
      </c>
      <c r="EA566" s="552">
        <v>1</v>
      </c>
      <c r="EB566" s="551">
        <v>9</v>
      </c>
      <c r="EC566" s="279">
        <v>40</v>
      </c>
      <c r="ED566" s="52">
        <v>8</v>
      </c>
      <c r="EE566" s="552">
        <v>19</v>
      </c>
      <c r="EF566" s="551">
        <v>7</v>
      </c>
      <c r="EG566" s="159">
        <v>32</v>
      </c>
      <c r="EH566" s="277">
        <v>30</v>
      </c>
      <c r="EI566" s="50">
        <f t="shared" si="222"/>
        <v>221</v>
      </c>
      <c r="EJ566" s="103">
        <f t="shared" si="223"/>
        <v>10</v>
      </c>
      <c r="EK566" s="164">
        <f t="shared" si="224"/>
        <v>0.21719457013574661</v>
      </c>
      <c r="EL566" s="280">
        <f t="shared" si="225"/>
        <v>201</v>
      </c>
      <c r="EM566" s="63">
        <f t="shared" si="226"/>
        <v>10</v>
      </c>
      <c r="EN566" s="359">
        <f t="shared" si="227"/>
        <v>0.15920398009950248</v>
      </c>
      <c r="EO566" s="51">
        <f t="shared" si="228"/>
        <v>1314</v>
      </c>
      <c r="EP566" s="361">
        <f t="shared" si="229"/>
        <v>1235</v>
      </c>
      <c r="EQ566" s="281">
        <v>237</v>
      </c>
      <c r="ER566" s="277">
        <v>206</v>
      </c>
      <c r="ES566" s="281"/>
      <c r="ET566" s="277"/>
      <c r="EU566" s="281"/>
      <c r="EV566" s="277"/>
      <c r="EW566" s="281"/>
      <c r="EX566" s="277"/>
      <c r="EY566" s="281"/>
      <c r="EZ566" s="277"/>
      <c r="FA566" s="281"/>
      <c r="FB566" s="277"/>
      <c r="FC566" s="281"/>
      <c r="FD566" s="277"/>
      <c r="FE566" s="281"/>
      <c r="FF566" s="277"/>
      <c r="FG566" s="281"/>
      <c r="FH566" s="277"/>
      <c r="FI566" s="281"/>
      <c r="FJ566" s="277"/>
      <c r="FK566" s="50">
        <f t="shared" si="230"/>
        <v>237</v>
      </c>
      <c r="FL566" s="63">
        <f t="shared" si="231"/>
        <v>206</v>
      </c>
      <c r="FM566" s="50">
        <f t="shared" si="213"/>
        <v>6328</v>
      </c>
      <c r="FN566" s="360">
        <f t="shared" si="214"/>
        <v>5901</v>
      </c>
      <c r="FO566" s="43"/>
      <c r="FP566" s="279"/>
      <c r="FQ566" s="467"/>
      <c r="FR566" s="296"/>
      <c r="FS566" s="98"/>
      <c r="FT566" s="467"/>
      <c r="FU566" s="52"/>
      <c r="FV566" s="296"/>
      <c r="FW566" s="98"/>
      <c r="FX566" s="467"/>
      <c r="FY566" s="52"/>
      <c r="FZ566" s="296"/>
      <c r="GA566" s="98"/>
      <c r="GB566" s="467"/>
      <c r="GC566" s="52"/>
      <c r="GD566" s="296"/>
      <c r="GE566" s="98"/>
      <c r="GF566" s="467"/>
      <c r="GG566" s="52"/>
      <c r="GH566" s="296"/>
      <c r="GI566" s="98"/>
      <c r="GJ566" s="467"/>
      <c r="GK566" s="52"/>
      <c r="GL566" s="296"/>
      <c r="GM566" s="464"/>
      <c r="GN566" s="467"/>
      <c r="GO566" s="52"/>
      <c r="GP566" s="296"/>
      <c r="GQ566" s="464"/>
      <c r="GR566" s="467"/>
      <c r="GS566" s="52"/>
      <c r="GT566" s="296"/>
      <c r="GU566" s="464"/>
      <c r="GV566" s="467"/>
      <c r="GW566" s="52"/>
      <c r="GX566" s="296"/>
      <c r="GY566" s="464"/>
      <c r="GZ566" s="467"/>
      <c r="HA566" s="52"/>
      <c r="HB566" s="296"/>
      <c r="HC566" s="43"/>
    </row>
    <row r="567" spans="1:211" s="85" customFormat="1">
      <c r="A567" s="502" t="s">
        <v>951</v>
      </c>
      <c r="B567" s="315" t="s">
        <v>793</v>
      </c>
      <c r="C567" s="314">
        <v>225511</v>
      </c>
      <c r="D567" s="343">
        <v>1</v>
      </c>
      <c r="E567" s="460"/>
      <c r="F567" s="277"/>
      <c r="G567" s="158"/>
      <c r="H567" s="277"/>
      <c r="I567" s="158"/>
      <c r="J567" s="277"/>
      <c r="K567" s="160">
        <f t="shared" si="215"/>
        <v>0</v>
      </c>
      <c r="L567" s="161">
        <f t="shared" si="208"/>
        <v>0</v>
      </c>
      <c r="M567" s="54">
        <v>4759</v>
      </c>
      <c r="N567" s="55"/>
      <c r="O567" s="55"/>
      <c r="P567" s="55"/>
      <c r="Q567" s="162">
        <f t="shared" si="216"/>
        <v>0</v>
      </c>
      <c r="R567" s="277">
        <v>4874</v>
      </c>
      <c r="S567" s="277"/>
      <c r="T567" s="277"/>
      <c r="U567" s="277"/>
      <c r="V567" s="97">
        <f t="shared" si="217"/>
        <v>0</v>
      </c>
      <c r="W567" s="279"/>
      <c r="X567" s="52"/>
      <c r="Y567" s="99"/>
      <c r="Z567" s="53"/>
      <c r="AA567" s="228"/>
      <c r="AB567" s="52"/>
      <c r="AC567" s="99"/>
      <c r="AD567" s="53"/>
      <c r="AE567" s="228"/>
      <c r="AF567" s="52"/>
      <c r="AG567" s="99"/>
      <c r="AH567" s="53"/>
      <c r="AI567" s="228"/>
      <c r="AJ567" s="52"/>
      <c r="AK567" s="99"/>
      <c r="AL567" s="53"/>
      <c r="AM567" s="228"/>
      <c r="AN567" s="52"/>
      <c r="AO567" s="99"/>
      <c r="AP567" s="53"/>
      <c r="AQ567" s="50">
        <f t="shared" si="209"/>
        <v>0</v>
      </c>
      <c r="AR567" s="163">
        <f t="shared" si="210"/>
        <v>0.67830672748004561</v>
      </c>
      <c r="AS567" s="97">
        <f t="shared" si="211"/>
        <v>0</v>
      </c>
      <c r="AT567" s="278">
        <f t="shared" si="212"/>
        <v>0.67873555215151093</v>
      </c>
      <c r="AU567" s="55"/>
      <c r="AV567" s="277"/>
      <c r="AW567" s="279">
        <v>52</v>
      </c>
      <c r="AX567" s="52">
        <v>534</v>
      </c>
      <c r="AY567" s="550">
        <v>52</v>
      </c>
      <c r="AZ567" s="551">
        <v>521</v>
      </c>
      <c r="BA567" s="279">
        <v>13</v>
      </c>
      <c r="BB567" s="52">
        <v>225</v>
      </c>
      <c r="BC567" s="550">
        <v>14</v>
      </c>
      <c r="BD567" s="551">
        <v>158</v>
      </c>
      <c r="BE567" s="279">
        <v>14</v>
      </c>
      <c r="BF567" s="52">
        <v>143</v>
      </c>
      <c r="BG567" s="550">
        <v>13</v>
      </c>
      <c r="BH567" s="551">
        <v>157</v>
      </c>
      <c r="BI567" s="279">
        <v>44</v>
      </c>
      <c r="BJ567" s="52">
        <v>132</v>
      </c>
      <c r="BK567" s="550">
        <v>44</v>
      </c>
      <c r="BL567" s="551">
        <v>142</v>
      </c>
      <c r="BM567" s="279">
        <v>11</v>
      </c>
      <c r="BN567" s="52">
        <v>59</v>
      </c>
      <c r="BO567" s="550">
        <v>22</v>
      </c>
      <c r="BP567" s="551">
        <v>98</v>
      </c>
      <c r="BQ567" s="279">
        <v>22</v>
      </c>
      <c r="BR567" s="52">
        <v>51</v>
      </c>
      <c r="BS567" s="550">
        <v>50</v>
      </c>
      <c r="BT567" s="551">
        <v>87</v>
      </c>
      <c r="BU567" s="279">
        <v>40</v>
      </c>
      <c r="BV567" s="52">
        <v>50</v>
      </c>
      <c r="BW567" s="550">
        <v>11</v>
      </c>
      <c r="BX567" s="551">
        <v>80</v>
      </c>
      <c r="BY567" s="279">
        <v>51</v>
      </c>
      <c r="BZ567" s="52">
        <v>45</v>
      </c>
      <c r="CA567" s="550">
        <v>45</v>
      </c>
      <c r="CB567" s="551">
        <v>62</v>
      </c>
      <c r="CC567" s="279">
        <v>50</v>
      </c>
      <c r="CD567" s="52">
        <v>41</v>
      </c>
      <c r="CE567" s="550">
        <v>40</v>
      </c>
      <c r="CF567" s="551">
        <v>41</v>
      </c>
      <c r="CG567" s="279">
        <v>23</v>
      </c>
      <c r="CH567" s="52">
        <v>33</v>
      </c>
      <c r="CI567" s="550">
        <v>42</v>
      </c>
      <c r="CJ567" s="551">
        <v>40</v>
      </c>
      <c r="CK567" s="281"/>
      <c r="CL567" s="277"/>
      <c r="CM567" s="159">
        <v>165</v>
      </c>
      <c r="CN567" s="277">
        <v>186</v>
      </c>
      <c r="CO567" s="50">
        <f t="shared" si="218"/>
        <v>1478</v>
      </c>
      <c r="CP567" s="103">
        <f t="shared" si="219"/>
        <v>10</v>
      </c>
      <c r="CQ567" s="280">
        <f t="shared" si="220"/>
        <v>1572</v>
      </c>
      <c r="CR567" s="63">
        <f t="shared" si="221"/>
        <v>10</v>
      </c>
      <c r="CS567" s="279">
        <v>14</v>
      </c>
      <c r="CT567" s="52">
        <v>51</v>
      </c>
      <c r="CU567" s="552">
        <v>13</v>
      </c>
      <c r="CV567" s="551">
        <v>40</v>
      </c>
      <c r="CW567" s="279">
        <v>13</v>
      </c>
      <c r="CX567" s="52">
        <v>45</v>
      </c>
      <c r="CY567" s="552">
        <v>14</v>
      </c>
      <c r="CZ567" s="551">
        <v>38</v>
      </c>
      <c r="DA567" s="279">
        <v>42</v>
      </c>
      <c r="DB567" s="52">
        <v>34</v>
      </c>
      <c r="DC567" s="552">
        <v>40</v>
      </c>
      <c r="DD567" s="551">
        <v>33</v>
      </c>
      <c r="DE567" s="279">
        <v>40</v>
      </c>
      <c r="DF567" s="52">
        <v>33</v>
      </c>
      <c r="DG567" s="552">
        <v>42</v>
      </c>
      <c r="DH567" s="551">
        <v>31</v>
      </c>
      <c r="DI567" s="279">
        <v>26</v>
      </c>
      <c r="DJ567" s="52">
        <v>17</v>
      </c>
      <c r="DK567" s="552">
        <v>45</v>
      </c>
      <c r="DL567" s="551">
        <v>14</v>
      </c>
      <c r="DM567" s="279">
        <v>11</v>
      </c>
      <c r="DN567" s="52">
        <v>13</v>
      </c>
      <c r="DO567" s="552">
        <v>26</v>
      </c>
      <c r="DP567" s="551">
        <v>11</v>
      </c>
      <c r="DQ567" s="279">
        <v>23</v>
      </c>
      <c r="DR567" s="52">
        <v>13</v>
      </c>
      <c r="DS567" s="552">
        <v>52</v>
      </c>
      <c r="DT567" s="551">
        <v>11</v>
      </c>
      <c r="DU567" s="279">
        <v>45</v>
      </c>
      <c r="DV567" s="52">
        <v>10</v>
      </c>
      <c r="DW567" s="552">
        <v>54</v>
      </c>
      <c r="DX567" s="551">
        <v>9</v>
      </c>
      <c r="DY567" s="279">
        <v>27</v>
      </c>
      <c r="DZ567" s="52">
        <v>9</v>
      </c>
      <c r="EA567" s="552">
        <v>23</v>
      </c>
      <c r="EB567" s="551">
        <v>8</v>
      </c>
      <c r="EC567" s="279">
        <v>50</v>
      </c>
      <c r="ED567" s="52">
        <v>9</v>
      </c>
      <c r="EE567" s="552">
        <v>50</v>
      </c>
      <c r="EF567" s="551">
        <v>8</v>
      </c>
      <c r="EG567" s="159">
        <v>28</v>
      </c>
      <c r="EH567" s="277">
        <v>32</v>
      </c>
      <c r="EI567" s="50">
        <f t="shared" si="222"/>
        <v>262</v>
      </c>
      <c r="EJ567" s="103">
        <f t="shared" si="223"/>
        <v>10</v>
      </c>
      <c r="EK567" s="164">
        <f t="shared" si="224"/>
        <v>0.19465648854961831</v>
      </c>
      <c r="EL567" s="280">
        <f t="shared" si="225"/>
        <v>235</v>
      </c>
      <c r="EM567" s="63">
        <f t="shared" si="226"/>
        <v>10</v>
      </c>
      <c r="EN567" s="359">
        <f t="shared" si="227"/>
        <v>0.1702127659574468</v>
      </c>
      <c r="EO567" s="51">
        <f t="shared" si="228"/>
        <v>1740</v>
      </c>
      <c r="EP567" s="361">
        <f t="shared" si="229"/>
        <v>1807</v>
      </c>
      <c r="EQ567" s="281">
        <v>301</v>
      </c>
      <c r="ER567" s="277">
        <v>290</v>
      </c>
      <c r="ES567" s="281"/>
      <c r="ET567" s="277"/>
      <c r="EU567" s="281"/>
      <c r="EV567" s="277"/>
      <c r="EW567" s="281">
        <v>116</v>
      </c>
      <c r="EX567" s="277">
        <v>123</v>
      </c>
      <c r="EY567" s="281"/>
      <c r="EZ567" s="277"/>
      <c r="FA567" s="281">
        <v>100</v>
      </c>
      <c r="FB567" s="277">
        <v>87</v>
      </c>
      <c r="FC567" s="281"/>
      <c r="FD567" s="277"/>
      <c r="FE567" s="281"/>
      <c r="FF567" s="277"/>
      <c r="FG567" s="281"/>
      <c r="FH567" s="277"/>
      <c r="FI567" s="281"/>
      <c r="FJ567" s="277"/>
      <c r="FK567" s="50">
        <f t="shared" si="230"/>
        <v>517</v>
      </c>
      <c r="FL567" s="63">
        <f t="shared" si="231"/>
        <v>500</v>
      </c>
      <c r="FM567" s="50">
        <f t="shared" si="213"/>
        <v>7016</v>
      </c>
      <c r="FN567" s="360">
        <f t="shared" si="214"/>
        <v>7181</v>
      </c>
      <c r="FO567" s="43"/>
      <c r="FP567" s="279"/>
      <c r="FQ567" s="467"/>
      <c r="FR567" s="296"/>
      <c r="FS567" s="98"/>
      <c r="FT567" s="467"/>
      <c r="FU567" s="52"/>
      <c r="FV567" s="296"/>
      <c r="FW567" s="98"/>
      <c r="FX567" s="467"/>
      <c r="FY567" s="52"/>
      <c r="FZ567" s="296"/>
      <c r="GA567" s="98"/>
      <c r="GB567" s="467"/>
      <c r="GC567" s="52"/>
      <c r="GD567" s="296"/>
      <c r="GE567" s="98"/>
      <c r="GF567" s="467"/>
      <c r="GG567" s="52"/>
      <c r="GH567" s="296"/>
      <c r="GI567" s="98"/>
      <c r="GJ567" s="467"/>
      <c r="GK567" s="52"/>
      <c r="GL567" s="296"/>
      <c r="GM567" s="464"/>
      <c r="GN567" s="467"/>
      <c r="GO567" s="52"/>
      <c r="GP567" s="296"/>
      <c r="GQ567" s="464"/>
      <c r="GR567" s="467"/>
      <c r="GS567" s="52"/>
      <c r="GT567" s="296"/>
      <c r="GU567" s="464"/>
      <c r="GV567" s="467"/>
      <c r="GW567" s="52"/>
      <c r="GX567" s="296"/>
      <c r="GY567" s="464"/>
      <c r="GZ567" s="467"/>
      <c r="HA567" s="52"/>
      <c r="HB567" s="296"/>
      <c r="HC567" s="43"/>
    </row>
    <row r="568" spans="1:211" s="85" customFormat="1">
      <c r="A568" s="502" t="s">
        <v>951</v>
      </c>
      <c r="B568" s="315" t="s">
        <v>794</v>
      </c>
      <c r="C568" s="314">
        <v>227216</v>
      </c>
      <c r="D568" s="343">
        <v>1</v>
      </c>
      <c r="E568" s="460"/>
      <c r="F568" s="277"/>
      <c r="G568" s="158"/>
      <c r="H568" s="277"/>
      <c r="I568" s="158"/>
      <c r="J568" s="277"/>
      <c r="K568" s="160">
        <f t="shared" si="215"/>
        <v>0</v>
      </c>
      <c r="L568" s="161">
        <f t="shared" si="208"/>
        <v>0</v>
      </c>
      <c r="M568" s="54">
        <v>5360</v>
      </c>
      <c r="N568" s="55"/>
      <c r="O568" s="55"/>
      <c r="P568" s="55"/>
      <c r="Q568" s="162">
        <f t="shared" si="216"/>
        <v>0</v>
      </c>
      <c r="R568" s="277">
        <v>5876</v>
      </c>
      <c r="S568" s="277"/>
      <c r="T568" s="277"/>
      <c r="U568" s="277"/>
      <c r="V568" s="97">
        <f t="shared" si="217"/>
        <v>0</v>
      </c>
      <c r="W568" s="279"/>
      <c r="X568" s="52"/>
      <c r="Y568" s="99"/>
      <c r="Z568" s="53"/>
      <c r="AA568" s="228"/>
      <c r="AB568" s="52"/>
      <c r="AC568" s="99"/>
      <c r="AD568" s="53"/>
      <c r="AE568" s="228"/>
      <c r="AF568" s="52"/>
      <c r="AG568" s="99"/>
      <c r="AH568" s="53"/>
      <c r="AI568" s="228"/>
      <c r="AJ568" s="52"/>
      <c r="AK568" s="99"/>
      <c r="AL568" s="53"/>
      <c r="AM568" s="228"/>
      <c r="AN568" s="52"/>
      <c r="AO568" s="99"/>
      <c r="AP568" s="53"/>
      <c r="AQ568" s="50">
        <f t="shared" si="209"/>
        <v>0</v>
      </c>
      <c r="AR568" s="163">
        <f t="shared" si="210"/>
        <v>0.76006806579693709</v>
      </c>
      <c r="AS568" s="97">
        <f t="shared" si="211"/>
        <v>0</v>
      </c>
      <c r="AT568" s="278">
        <f t="shared" si="212"/>
        <v>0.75907505490246741</v>
      </c>
      <c r="AU568" s="55"/>
      <c r="AV568" s="277"/>
      <c r="AW568" s="279">
        <v>13</v>
      </c>
      <c r="AX568" s="52">
        <v>333</v>
      </c>
      <c r="AY568" s="550">
        <v>13</v>
      </c>
      <c r="AZ568" s="551">
        <v>485</v>
      </c>
      <c r="BA568" s="279">
        <v>25</v>
      </c>
      <c r="BB568" s="52">
        <v>305</v>
      </c>
      <c r="BC568" s="550">
        <v>25</v>
      </c>
      <c r="BD568" s="551">
        <v>348</v>
      </c>
      <c r="BE568" s="279">
        <v>52</v>
      </c>
      <c r="BF568" s="52">
        <v>204</v>
      </c>
      <c r="BG568" s="552">
        <v>52</v>
      </c>
      <c r="BH568" s="551">
        <v>217</v>
      </c>
      <c r="BI568" s="279">
        <v>50</v>
      </c>
      <c r="BJ568" s="52">
        <v>112</v>
      </c>
      <c r="BK568" s="552">
        <v>50</v>
      </c>
      <c r="BL568" s="551">
        <v>122</v>
      </c>
      <c r="BM568" s="279">
        <v>51</v>
      </c>
      <c r="BN568" s="52">
        <v>92</v>
      </c>
      <c r="BO568" s="552">
        <v>11</v>
      </c>
      <c r="BP568" s="551">
        <v>90</v>
      </c>
      <c r="BQ568" s="279">
        <v>11</v>
      </c>
      <c r="BR568" s="52">
        <v>69</v>
      </c>
      <c r="BS568" s="552">
        <v>51</v>
      </c>
      <c r="BT568" s="551">
        <v>73</v>
      </c>
      <c r="BU568" s="279">
        <v>45</v>
      </c>
      <c r="BV568" s="52">
        <v>47</v>
      </c>
      <c r="BW568" s="552">
        <v>45</v>
      </c>
      <c r="BX568" s="551">
        <v>45</v>
      </c>
      <c r="BY568" s="279">
        <v>23</v>
      </c>
      <c r="BZ568" s="52">
        <v>39</v>
      </c>
      <c r="CA568" s="552">
        <v>14</v>
      </c>
      <c r="CB568" s="551">
        <v>43</v>
      </c>
      <c r="CC568" s="279">
        <v>44</v>
      </c>
      <c r="CD568" s="52">
        <v>38</v>
      </c>
      <c r="CE568" s="552">
        <v>23</v>
      </c>
      <c r="CF568" s="551">
        <v>39</v>
      </c>
      <c r="CG568" s="279">
        <v>9</v>
      </c>
      <c r="CH568" s="52">
        <v>31</v>
      </c>
      <c r="CI568" s="552">
        <v>44</v>
      </c>
      <c r="CJ568" s="551">
        <v>34</v>
      </c>
      <c r="CK568" s="281"/>
      <c r="CL568" s="277"/>
      <c r="CM568" s="159">
        <v>204</v>
      </c>
      <c r="CN568" s="277">
        <v>187</v>
      </c>
      <c r="CO568" s="50">
        <f t="shared" si="218"/>
        <v>1474</v>
      </c>
      <c r="CP568" s="103">
        <f t="shared" si="219"/>
        <v>10</v>
      </c>
      <c r="CQ568" s="280">
        <f t="shared" si="220"/>
        <v>1683</v>
      </c>
      <c r="CR568" s="63">
        <f t="shared" si="221"/>
        <v>10</v>
      </c>
      <c r="CS568" s="279">
        <v>13</v>
      </c>
      <c r="CT568" s="52">
        <v>62</v>
      </c>
      <c r="CU568" s="552">
        <v>13</v>
      </c>
      <c r="CV568" s="551">
        <v>51</v>
      </c>
      <c r="CW568" s="279">
        <v>50</v>
      </c>
      <c r="CX568" s="52">
        <v>37</v>
      </c>
      <c r="CY568" s="552">
        <v>50</v>
      </c>
      <c r="CZ568" s="551">
        <v>32</v>
      </c>
      <c r="DA568" s="279">
        <v>42</v>
      </c>
      <c r="DB568" s="52">
        <v>36</v>
      </c>
      <c r="DC568" s="552">
        <v>11</v>
      </c>
      <c r="DD568" s="551">
        <v>22</v>
      </c>
      <c r="DE568" s="279">
        <v>52</v>
      </c>
      <c r="DF568" s="52">
        <v>21</v>
      </c>
      <c r="DG568" s="552">
        <v>42</v>
      </c>
      <c r="DH568" s="551">
        <v>19</v>
      </c>
      <c r="DI568" s="279">
        <v>40</v>
      </c>
      <c r="DJ568" s="52">
        <v>15</v>
      </c>
      <c r="DK568" s="552">
        <v>52</v>
      </c>
      <c r="DL568" s="551">
        <v>12</v>
      </c>
      <c r="DM568" s="279">
        <v>11</v>
      </c>
      <c r="DN568" s="52">
        <v>12</v>
      </c>
      <c r="DO568" s="552">
        <v>26</v>
      </c>
      <c r="DP568" s="551">
        <v>8</v>
      </c>
      <c r="DQ568" s="279">
        <v>45</v>
      </c>
      <c r="DR568" s="52">
        <v>8</v>
      </c>
      <c r="DS568" s="552">
        <v>40</v>
      </c>
      <c r="DT568" s="551">
        <v>8</v>
      </c>
      <c r="DU568" s="279">
        <v>14</v>
      </c>
      <c r="DV568" s="52">
        <v>5</v>
      </c>
      <c r="DW568" s="552">
        <v>23</v>
      </c>
      <c r="DX568" s="551">
        <v>5</v>
      </c>
      <c r="DY568" s="279">
        <v>23</v>
      </c>
      <c r="DZ568" s="52">
        <v>4</v>
      </c>
      <c r="EA568" s="552">
        <v>45</v>
      </c>
      <c r="EB568" s="551">
        <v>5</v>
      </c>
      <c r="EC568" s="279">
        <v>27</v>
      </c>
      <c r="ED568" s="52">
        <v>4</v>
      </c>
      <c r="EE568" s="552">
        <v>14</v>
      </c>
      <c r="EF568" s="551">
        <v>4</v>
      </c>
      <c r="EG568" s="159">
        <v>7</v>
      </c>
      <c r="EH568" s="277">
        <v>9</v>
      </c>
      <c r="EI568" s="50">
        <f t="shared" si="222"/>
        <v>211</v>
      </c>
      <c r="EJ568" s="103">
        <f t="shared" si="223"/>
        <v>10</v>
      </c>
      <c r="EK568" s="164">
        <f t="shared" si="224"/>
        <v>0.29383886255924169</v>
      </c>
      <c r="EL568" s="280">
        <f t="shared" si="225"/>
        <v>175</v>
      </c>
      <c r="EM568" s="63">
        <f t="shared" si="226"/>
        <v>10</v>
      </c>
      <c r="EN568" s="359">
        <f t="shared" si="227"/>
        <v>0.29142857142857143</v>
      </c>
      <c r="EO568" s="51">
        <f t="shared" si="228"/>
        <v>1685</v>
      </c>
      <c r="EP568" s="361">
        <f t="shared" si="229"/>
        <v>1858</v>
      </c>
      <c r="EQ568" s="281"/>
      <c r="ER568" s="277"/>
      <c r="ES568" s="281"/>
      <c r="ET568" s="277"/>
      <c r="EU568" s="281"/>
      <c r="EV568" s="277"/>
      <c r="EW568" s="281"/>
      <c r="EX568" s="277"/>
      <c r="EY568" s="281"/>
      <c r="EZ568" s="277"/>
      <c r="FA568" s="281"/>
      <c r="FB568" s="277"/>
      <c r="FC568" s="281"/>
      <c r="FD568" s="277"/>
      <c r="FE568" s="281"/>
      <c r="FF568" s="277"/>
      <c r="FG568" s="281"/>
      <c r="FH568" s="277"/>
      <c r="FI568" s="281">
        <f t="shared" ref="FI568:FI573" si="232">FQ568+FU568</f>
        <v>7</v>
      </c>
      <c r="FJ568" s="277">
        <f t="shared" ref="FJ568:FJ573" si="233">FS568+FW568</f>
        <v>7</v>
      </c>
      <c r="FK568" s="50">
        <f t="shared" si="230"/>
        <v>7</v>
      </c>
      <c r="FL568" s="63">
        <f t="shared" si="231"/>
        <v>7</v>
      </c>
      <c r="FM568" s="50">
        <f t="shared" si="213"/>
        <v>7052</v>
      </c>
      <c r="FN568" s="360">
        <f t="shared" si="214"/>
        <v>7741</v>
      </c>
      <c r="FO568" s="43"/>
      <c r="FP568" s="279" t="s">
        <v>1243</v>
      </c>
      <c r="FQ568" s="467">
        <v>7</v>
      </c>
      <c r="FR568" s="296" t="s">
        <v>1243</v>
      </c>
      <c r="FS568" s="98">
        <v>7</v>
      </c>
      <c r="FT568" s="467"/>
      <c r="FU568" s="52"/>
      <c r="FV568" s="296"/>
      <c r="FW568" s="98"/>
      <c r="FX568" s="467"/>
      <c r="FY568" s="52"/>
      <c r="FZ568" s="296"/>
      <c r="GA568" s="98"/>
      <c r="GB568" s="467"/>
      <c r="GC568" s="52"/>
      <c r="GD568" s="296"/>
      <c r="GE568" s="98"/>
      <c r="GF568" s="467"/>
      <c r="GG568" s="52"/>
      <c r="GH568" s="296"/>
      <c r="GI568" s="98"/>
      <c r="GJ568" s="467"/>
      <c r="GK568" s="52"/>
      <c r="GL568" s="296"/>
      <c r="GM568" s="464"/>
      <c r="GN568" s="467"/>
      <c r="GO568" s="52"/>
      <c r="GP568" s="296"/>
      <c r="GQ568" s="464"/>
      <c r="GR568" s="467"/>
      <c r="GS568" s="52"/>
      <c r="GT568" s="296"/>
      <c r="GU568" s="464"/>
      <c r="GV568" s="467"/>
      <c r="GW568" s="52"/>
      <c r="GX568" s="296"/>
      <c r="GY568" s="464"/>
      <c r="GZ568" s="467"/>
      <c r="HA568" s="52"/>
      <c r="HB568" s="296"/>
      <c r="HC568" s="43"/>
    </row>
    <row r="569" spans="1:211" s="85" customFormat="1">
      <c r="A569" s="502" t="s">
        <v>951</v>
      </c>
      <c r="B569" s="315" t="s">
        <v>798</v>
      </c>
      <c r="C569" s="314">
        <v>228769</v>
      </c>
      <c r="D569" s="553">
        <v>1</v>
      </c>
      <c r="E569" s="460"/>
      <c r="F569" s="277"/>
      <c r="G569" s="158"/>
      <c r="H569" s="277"/>
      <c r="I569" s="158"/>
      <c r="J569" s="277"/>
      <c r="K569" s="160">
        <f t="shared" si="215"/>
        <v>0</v>
      </c>
      <c r="L569" s="161">
        <f t="shared" si="208"/>
        <v>0</v>
      </c>
      <c r="M569" s="54">
        <v>3920</v>
      </c>
      <c r="N569" s="55"/>
      <c r="O569" s="55"/>
      <c r="P569" s="55"/>
      <c r="Q569" s="162">
        <f t="shared" si="216"/>
        <v>0</v>
      </c>
      <c r="R569" s="277">
        <v>3999</v>
      </c>
      <c r="S569" s="277"/>
      <c r="T569" s="277"/>
      <c r="U569" s="277"/>
      <c r="V569" s="97">
        <f t="shared" si="217"/>
        <v>0</v>
      </c>
      <c r="W569" s="279"/>
      <c r="X569" s="52"/>
      <c r="Y569" s="99"/>
      <c r="Z569" s="53"/>
      <c r="AA569" s="228"/>
      <c r="AB569" s="52"/>
      <c r="AC569" s="99"/>
      <c r="AD569" s="53"/>
      <c r="AE569" s="228"/>
      <c r="AF569" s="52"/>
      <c r="AG569" s="99"/>
      <c r="AH569" s="53"/>
      <c r="AI569" s="228"/>
      <c r="AJ569" s="52"/>
      <c r="AK569" s="99"/>
      <c r="AL569" s="53"/>
      <c r="AM569" s="228"/>
      <c r="AN569" s="52"/>
      <c r="AO569" s="99"/>
      <c r="AP569" s="53"/>
      <c r="AQ569" s="50">
        <f t="shared" si="209"/>
        <v>0</v>
      </c>
      <c r="AR569" s="163">
        <f t="shared" si="210"/>
        <v>0.67972949540488992</v>
      </c>
      <c r="AS569" s="97">
        <f t="shared" si="211"/>
        <v>0</v>
      </c>
      <c r="AT569" s="278">
        <f t="shared" si="212"/>
        <v>0.6775669264656049</v>
      </c>
      <c r="AU569" s="55"/>
      <c r="AV569" s="277"/>
      <c r="AW569" s="279">
        <v>52</v>
      </c>
      <c r="AX569" s="52">
        <v>473</v>
      </c>
      <c r="AY569" s="550">
        <v>52</v>
      </c>
      <c r="AZ569" s="551">
        <v>579</v>
      </c>
      <c r="BA569" s="279">
        <v>14</v>
      </c>
      <c r="BB569" s="52">
        <v>340</v>
      </c>
      <c r="BC569" s="550">
        <v>14</v>
      </c>
      <c r="BD569" s="551">
        <v>348</v>
      </c>
      <c r="BE569" s="279">
        <v>44</v>
      </c>
      <c r="BF569" s="52">
        <v>274</v>
      </c>
      <c r="BG569" s="550">
        <v>44</v>
      </c>
      <c r="BH569" s="551">
        <v>247</v>
      </c>
      <c r="BI569" s="279">
        <v>13</v>
      </c>
      <c r="BJ569" s="52">
        <v>163</v>
      </c>
      <c r="BK569" s="552">
        <v>13</v>
      </c>
      <c r="BL569" s="551">
        <v>173</v>
      </c>
      <c r="BM569" s="279">
        <v>51</v>
      </c>
      <c r="BN569" s="52">
        <v>159</v>
      </c>
      <c r="BO569" s="552">
        <v>51</v>
      </c>
      <c r="BP569" s="551">
        <v>134</v>
      </c>
      <c r="BQ569" s="279">
        <v>4</v>
      </c>
      <c r="BR569" s="52">
        <v>70</v>
      </c>
      <c r="BS569" s="552">
        <v>11</v>
      </c>
      <c r="BT569" s="551">
        <v>80</v>
      </c>
      <c r="BU569" s="279">
        <v>11</v>
      </c>
      <c r="BV569" s="52">
        <v>37</v>
      </c>
      <c r="BW569" s="552">
        <v>4</v>
      </c>
      <c r="BX569" s="551">
        <v>60</v>
      </c>
      <c r="BY569" s="279">
        <v>45</v>
      </c>
      <c r="BZ569" s="52">
        <v>28</v>
      </c>
      <c r="CA569" s="552">
        <v>45</v>
      </c>
      <c r="CB569" s="551">
        <v>38</v>
      </c>
      <c r="CC569" s="279">
        <v>27</v>
      </c>
      <c r="CD569" s="52">
        <v>23</v>
      </c>
      <c r="CE569" s="552">
        <v>42</v>
      </c>
      <c r="CF569" s="551">
        <v>16</v>
      </c>
      <c r="CG569" s="279">
        <v>54</v>
      </c>
      <c r="CH569" s="52">
        <v>18</v>
      </c>
      <c r="CI569" s="552">
        <v>54</v>
      </c>
      <c r="CJ569" s="551">
        <v>15</v>
      </c>
      <c r="CK569" s="281"/>
      <c r="CL569" s="277"/>
      <c r="CM569" s="159">
        <v>109</v>
      </c>
      <c r="CN569" s="277">
        <v>100</v>
      </c>
      <c r="CO569" s="50">
        <f t="shared" si="218"/>
        <v>1694</v>
      </c>
      <c r="CP569" s="103">
        <f t="shared" si="219"/>
        <v>10</v>
      </c>
      <c r="CQ569" s="280">
        <f t="shared" si="220"/>
        <v>1790</v>
      </c>
      <c r="CR569" s="63">
        <f t="shared" si="221"/>
        <v>10</v>
      </c>
      <c r="CS569" s="279">
        <v>14</v>
      </c>
      <c r="CT569" s="52">
        <v>62</v>
      </c>
      <c r="CU569" s="552">
        <v>14</v>
      </c>
      <c r="CV569" s="551">
        <v>40</v>
      </c>
      <c r="CW569" s="279">
        <v>44</v>
      </c>
      <c r="CX569" s="52">
        <v>26</v>
      </c>
      <c r="CY569" s="552">
        <v>44</v>
      </c>
      <c r="CZ569" s="551">
        <v>13</v>
      </c>
      <c r="DA569" s="279">
        <v>52</v>
      </c>
      <c r="DB569" s="52">
        <v>12</v>
      </c>
      <c r="DC569" s="552">
        <v>40</v>
      </c>
      <c r="DD569" s="551">
        <v>11</v>
      </c>
      <c r="DE569" s="279">
        <v>40</v>
      </c>
      <c r="DF569" s="52">
        <v>10</v>
      </c>
      <c r="DG569" s="552">
        <v>27</v>
      </c>
      <c r="DH569" s="551">
        <v>9</v>
      </c>
      <c r="DI569" s="279">
        <v>23</v>
      </c>
      <c r="DJ569" s="52">
        <v>7</v>
      </c>
      <c r="DK569" s="552">
        <v>16</v>
      </c>
      <c r="DL569" s="551">
        <v>7</v>
      </c>
      <c r="DM569" s="279">
        <v>26</v>
      </c>
      <c r="DN569" s="52">
        <v>7</v>
      </c>
      <c r="DO569" s="552">
        <v>52</v>
      </c>
      <c r="DP569" s="551">
        <v>7</v>
      </c>
      <c r="DQ569" s="279">
        <v>54</v>
      </c>
      <c r="DR569" s="52">
        <v>7</v>
      </c>
      <c r="DS569" s="552">
        <v>11</v>
      </c>
      <c r="DT569" s="551">
        <v>6</v>
      </c>
      <c r="DU569" s="279">
        <v>16</v>
      </c>
      <c r="DV569" s="52">
        <v>6</v>
      </c>
      <c r="DW569" s="552">
        <v>26</v>
      </c>
      <c r="DX569" s="551">
        <v>6</v>
      </c>
      <c r="DY569" s="279">
        <v>27</v>
      </c>
      <c r="DZ569" s="52">
        <v>6</v>
      </c>
      <c r="EA569" s="552">
        <v>42</v>
      </c>
      <c r="EB569" s="551">
        <v>6</v>
      </c>
      <c r="EC569" s="279">
        <v>42</v>
      </c>
      <c r="ED569" s="52">
        <v>4</v>
      </c>
      <c r="EE569" s="552">
        <v>23</v>
      </c>
      <c r="EF569" s="551">
        <v>3</v>
      </c>
      <c r="EG569" s="159">
        <v>6</v>
      </c>
      <c r="EH569" s="277">
        <v>5</v>
      </c>
      <c r="EI569" s="50">
        <f t="shared" si="222"/>
        <v>153</v>
      </c>
      <c r="EJ569" s="103">
        <f t="shared" si="223"/>
        <v>10</v>
      </c>
      <c r="EK569" s="164">
        <f t="shared" si="224"/>
        <v>0.40522875816993464</v>
      </c>
      <c r="EL569" s="280">
        <f t="shared" si="225"/>
        <v>113</v>
      </c>
      <c r="EM569" s="63">
        <f t="shared" si="226"/>
        <v>10</v>
      </c>
      <c r="EN569" s="359">
        <f t="shared" si="227"/>
        <v>0.35398230088495575</v>
      </c>
      <c r="EO569" s="51">
        <f t="shared" si="228"/>
        <v>1847</v>
      </c>
      <c r="EP569" s="361">
        <f t="shared" si="229"/>
        <v>1903</v>
      </c>
      <c r="EQ569" s="281"/>
      <c r="ER569" s="277"/>
      <c r="ES569" s="281"/>
      <c r="ET569" s="277"/>
      <c r="EU569" s="281"/>
      <c r="EV569" s="277"/>
      <c r="EW569" s="281"/>
      <c r="EX569" s="277"/>
      <c r="EY569" s="281"/>
      <c r="EZ569" s="277"/>
      <c r="FA569" s="281"/>
      <c r="FB569" s="277"/>
      <c r="FC569" s="281"/>
      <c r="FD569" s="277"/>
      <c r="FE569" s="281"/>
      <c r="FF569" s="277"/>
      <c r="FG569" s="281"/>
      <c r="FH569" s="277"/>
      <c r="FI569" s="281">
        <f t="shared" si="232"/>
        <v>0</v>
      </c>
      <c r="FJ569" s="277">
        <f t="shared" si="233"/>
        <v>0</v>
      </c>
      <c r="FK569" s="50">
        <f t="shared" si="230"/>
        <v>0</v>
      </c>
      <c r="FL569" s="63">
        <f t="shared" si="231"/>
        <v>0</v>
      </c>
      <c r="FM569" s="50">
        <f t="shared" si="213"/>
        <v>5767</v>
      </c>
      <c r="FN569" s="360">
        <f t="shared" si="214"/>
        <v>5902</v>
      </c>
      <c r="FO569" s="43"/>
      <c r="FP569" s="279"/>
      <c r="FQ569" s="467"/>
      <c r="FR569" s="296"/>
      <c r="FS569" s="98"/>
      <c r="FT569" s="467"/>
      <c r="FU569" s="52"/>
      <c r="FV569" s="296"/>
      <c r="FW569" s="98"/>
      <c r="FX569" s="467"/>
      <c r="FY569" s="52"/>
      <c r="FZ569" s="296"/>
      <c r="GA569" s="98"/>
      <c r="GB569" s="467"/>
      <c r="GC569" s="52"/>
      <c r="GD569" s="296"/>
      <c r="GE569" s="98"/>
      <c r="GF569" s="467"/>
      <c r="GG569" s="52"/>
      <c r="GH569" s="296"/>
      <c r="GI569" s="98"/>
      <c r="GJ569" s="467"/>
      <c r="GK569" s="52"/>
      <c r="GL569" s="296"/>
      <c r="GM569" s="464"/>
      <c r="GN569" s="467"/>
      <c r="GO569" s="52"/>
      <c r="GP569" s="296"/>
      <c r="GQ569" s="464"/>
      <c r="GR569" s="467"/>
      <c r="GS569" s="52"/>
      <c r="GT569" s="296"/>
      <c r="GU569" s="464"/>
      <c r="GV569" s="467"/>
      <c r="GW569" s="52"/>
      <c r="GX569" s="296"/>
      <c r="GY569" s="464"/>
      <c r="GZ569" s="467"/>
      <c r="HA569" s="52"/>
      <c r="HB569" s="296"/>
      <c r="HC569" s="43"/>
    </row>
    <row r="570" spans="1:211" s="85" customFormat="1">
      <c r="A570" s="502" t="s">
        <v>951</v>
      </c>
      <c r="B570" s="315" t="s">
        <v>795</v>
      </c>
      <c r="C570" s="314">
        <v>228778</v>
      </c>
      <c r="D570" s="343">
        <v>1</v>
      </c>
      <c r="E570" s="460"/>
      <c r="F570" s="277"/>
      <c r="G570" s="158"/>
      <c r="H570" s="277"/>
      <c r="I570" s="158"/>
      <c r="J570" s="277"/>
      <c r="K570" s="160">
        <f t="shared" si="215"/>
        <v>0</v>
      </c>
      <c r="L570" s="161">
        <f t="shared" si="208"/>
        <v>0</v>
      </c>
      <c r="M570" s="54">
        <v>8617</v>
      </c>
      <c r="N570" s="55"/>
      <c r="O570" s="55"/>
      <c r="P570" s="55"/>
      <c r="Q570" s="162">
        <f t="shared" si="216"/>
        <v>0</v>
      </c>
      <c r="R570" s="277">
        <v>8609</v>
      </c>
      <c r="S570" s="277"/>
      <c r="T570" s="277"/>
      <c r="U570" s="277"/>
      <c r="V570" s="97">
        <f t="shared" si="217"/>
        <v>0</v>
      </c>
      <c r="W570" s="279"/>
      <c r="X570" s="52"/>
      <c r="Y570" s="99"/>
      <c r="Z570" s="53"/>
      <c r="AA570" s="228"/>
      <c r="AB570" s="52"/>
      <c r="AC570" s="99"/>
      <c r="AD570" s="53"/>
      <c r="AE570" s="228"/>
      <c r="AF570" s="52"/>
      <c r="AG570" s="99"/>
      <c r="AH570" s="53"/>
      <c r="AI570" s="228"/>
      <c r="AJ570" s="52"/>
      <c r="AK570" s="99"/>
      <c r="AL570" s="53"/>
      <c r="AM570" s="228"/>
      <c r="AN570" s="52"/>
      <c r="AO570" s="99"/>
      <c r="AP570" s="53"/>
      <c r="AQ570" s="50">
        <f t="shared" si="209"/>
        <v>0</v>
      </c>
      <c r="AR570" s="163">
        <f t="shared" si="210"/>
        <v>0.65843967295789718</v>
      </c>
      <c r="AS570" s="97">
        <f t="shared" si="211"/>
        <v>0</v>
      </c>
      <c r="AT570" s="278">
        <f t="shared" si="212"/>
        <v>0.66954425260538186</v>
      </c>
      <c r="AU570" s="55"/>
      <c r="AV570" s="277"/>
      <c r="AW570" s="279">
        <v>52</v>
      </c>
      <c r="AX570" s="52">
        <v>961</v>
      </c>
      <c r="AY570" s="550">
        <v>52</v>
      </c>
      <c r="AZ570" s="551">
        <v>964</v>
      </c>
      <c r="BA570" s="279">
        <v>14</v>
      </c>
      <c r="BB570" s="52">
        <v>470</v>
      </c>
      <c r="BC570" s="550">
        <v>14</v>
      </c>
      <c r="BD570" s="551">
        <v>436</v>
      </c>
      <c r="BE570" s="279">
        <v>44</v>
      </c>
      <c r="BF570" s="52">
        <v>289</v>
      </c>
      <c r="BG570" s="550">
        <v>44</v>
      </c>
      <c r="BH570" s="551">
        <v>320</v>
      </c>
      <c r="BI570" s="279">
        <v>13</v>
      </c>
      <c r="BJ570" s="52">
        <v>184</v>
      </c>
      <c r="BK570" s="550">
        <v>13</v>
      </c>
      <c r="BL570" s="551">
        <v>161</v>
      </c>
      <c r="BM570" s="279">
        <v>9</v>
      </c>
      <c r="BN570" s="52">
        <v>164</v>
      </c>
      <c r="BO570" s="550">
        <v>9</v>
      </c>
      <c r="BP570" s="551">
        <v>121</v>
      </c>
      <c r="BQ570" s="279">
        <v>50</v>
      </c>
      <c r="BR570" s="52">
        <v>123</v>
      </c>
      <c r="BS570" s="552">
        <v>25</v>
      </c>
      <c r="BT570" s="551">
        <v>104</v>
      </c>
      <c r="BU570" s="279">
        <v>51</v>
      </c>
      <c r="BV570" s="52">
        <v>94</v>
      </c>
      <c r="BW570" s="552">
        <v>50</v>
      </c>
      <c r="BX570" s="551">
        <v>103</v>
      </c>
      <c r="BY570" s="279">
        <v>4</v>
      </c>
      <c r="BZ570" s="52">
        <v>90</v>
      </c>
      <c r="CA570" s="552">
        <v>51</v>
      </c>
      <c r="CB570" s="551">
        <v>86</v>
      </c>
      <c r="CC570" s="279">
        <v>25</v>
      </c>
      <c r="CD570" s="52">
        <v>80</v>
      </c>
      <c r="CE570" s="552">
        <v>4</v>
      </c>
      <c r="CF570" s="551">
        <v>85</v>
      </c>
      <c r="CG570" s="279">
        <v>45</v>
      </c>
      <c r="CH570" s="52">
        <v>72</v>
      </c>
      <c r="CI570" s="552">
        <v>45</v>
      </c>
      <c r="CJ570" s="551">
        <v>74</v>
      </c>
      <c r="CK570" s="281"/>
      <c r="CL570" s="277"/>
      <c r="CM570" s="159">
        <v>479</v>
      </c>
      <c r="CN570" s="277">
        <v>459</v>
      </c>
      <c r="CO570" s="50">
        <f t="shared" si="218"/>
        <v>3006</v>
      </c>
      <c r="CP570" s="103">
        <f t="shared" si="219"/>
        <v>10</v>
      </c>
      <c r="CQ570" s="280">
        <f t="shared" si="220"/>
        <v>2913</v>
      </c>
      <c r="CR570" s="63">
        <f t="shared" si="221"/>
        <v>10</v>
      </c>
      <c r="CS570" s="279">
        <v>14</v>
      </c>
      <c r="CT570" s="52">
        <v>216</v>
      </c>
      <c r="CU570" s="552">
        <v>14</v>
      </c>
      <c r="CV570" s="551">
        <v>169</v>
      </c>
      <c r="CW570" s="279">
        <v>40</v>
      </c>
      <c r="CX570" s="52">
        <v>97</v>
      </c>
      <c r="CY570" s="552">
        <v>13</v>
      </c>
      <c r="CZ570" s="551">
        <v>83</v>
      </c>
      <c r="DA570" s="279">
        <v>13</v>
      </c>
      <c r="DB570" s="52">
        <v>82</v>
      </c>
      <c r="DC570" s="552">
        <v>40</v>
      </c>
      <c r="DD570" s="551">
        <v>79</v>
      </c>
      <c r="DE570" s="279">
        <v>45</v>
      </c>
      <c r="DF570" s="52">
        <v>68</v>
      </c>
      <c r="DG570" s="552">
        <v>50</v>
      </c>
      <c r="DH570" s="551">
        <v>68</v>
      </c>
      <c r="DI570" s="279">
        <v>26</v>
      </c>
      <c r="DJ570" s="52">
        <v>61</v>
      </c>
      <c r="DK570" s="552">
        <v>26</v>
      </c>
      <c r="DL570" s="551">
        <v>56</v>
      </c>
      <c r="DM570" s="279">
        <v>50</v>
      </c>
      <c r="DN570" s="52">
        <v>56</v>
      </c>
      <c r="DO570" s="552">
        <v>45</v>
      </c>
      <c r="DP570" s="551">
        <v>47</v>
      </c>
      <c r="DQ570" s="279">
        <v>42</v>
      </c>
      <c r="DR570" s="52">
        <v>55</v>
      </c>
      <c r="DS570" s="552">
        <v>42</v>
      </c>
      <c r="DT570" s="551">
        <v>41</v>
      </c>
      <c r="DU570" s="279">
        <v>16</v>
      </c>
      <c r="DV570" s="52">
        <v>36</v>
      </c>
      <c r="DW570" s="552">
        <v>16</v>
      </c>
      <c r="DX570" s="551">
        <v>40</v>
      </c>
      <c r="DY570" s="279">
        <v>9</v>
      </c>
      <c r="DZ570" s="52">
        <v>28</v>
      </c>
      <c r="EA570" s="552">
        <v>23</v>
      </c>
      <c r="EB570" s="551">
        <v>25</v>
      </c>
      <c r="EC570" s="279">
        <v>52</v>
      </c>
      <c r="ED570" s="52">
        <v>26</v>
      </c>
      <c r="EE570" s="552">
        <v>9</v>
      </c>
      <c r="EF570" s="551">
        <v>23</v>
      </c>
      <c r="EG570" s="159">
        <v>165</v>
      </c>
      <c r="EH570" s="277">
        <v>145</v>
      </c>
      <c r="EI570" s="50">
        <f t="shared" si="222"/>
        <v>890</v>
      </c>
      <c r="EJ570" s="103">
        <f t="shared" si="223"/>
        <v>10</v>
      </c>
      <c r="EK570" s="164">
        <f t="shared" si="224"/>
        <v>0.24269662921348314</v>
      </c>
      <c r="EL570" s="280">
        <f t="shared" si="225"/>
        <v>776</v>
      </c>
      <c r="EM570" s="63">
        <f t="shared" si="226"/>
        <v>10</v>
      </c>
      <c r="EN570" s="359">
        <f t="shared" si="227"/>
        <v>0.21778350515463918</v>
      </c>
      <c r="EO570" s="51">
        <f t="shared" si="228"/>
        <v>3896</v>
      </c>
      <c r="EP570" s="361">
        <f t="shared" si="229"/>
        <v>3689</v>
      </c>
      <c r="EQ570" s="281">
        <v>441</v>
      </c>
      <c r="ER570" s="277">
        <v>433</v>
      </c>
      <c r="ES570" s="281"/>
      <c r="ET570" s="277"/>
      <c r="EU570" s="281"/>
      <c r="EV570" s="277"/>
      <c r="EW570" s="281">
        <v>132</v>
      </c>
      <c r="EX570" s="277">
        <v>121</v>
      </c>
      <c r="EY570" s="281"/>
      <c r="EZ570" s="277"/>
      <c r="FA570" s="281"/>
      <c r="FB570" s="277"/>
      <c r="FC570" s="281"/>
      <c r="FD570" s="277"/>
      <c r="FE570" s="281"/>
      <c r="FF570" s="277"/>
      <c r="FG570" s="281"/>
      <c r="FH570" s="277"/>
      <c r="FI570" s="281">
        <f t="shared" si="232"/>
        <v>1</v>
      </c>
      <c r="FJ570" s="277">
        <f t="shared" si="233"/>
        <v>6</v>
      </c>
      <c r="FK570" s="50">
        <f t="shared" si="230"/>
        <v>574</v>
      </c>
      <c r="FL570" s="63">
        <f t="shared" si="231"/>
        <v>560</v>
      </c>
      <c r="FM570" s="50">
        <f t="shared" si="213"/>
        <v>13087</v>
      </c>
      <c r="FN570" s="360">
        <f t="shared" si="214"/>
        <v>12858</v>
      </c>
      <c r="FO570" s="43"/>
      <c r="FP570" s="279"/>
      <c r="FQ570" s="467"/>
      <c r="FR570" s="296"/>
      <c r="FS570" s="98"/>
      <c r="FT570" s="467" t="s">
        <v>1244</v>
      </c>
      <c r="FU570" s="52">
        <v>1</v>
      </c>
      <c r="FV570" s="296" t="s">
        <v>1244</v>
      </c>
      <c r="FW570" s="98">
        <v>6</v>
      </c>
      <c r="FX570" s="467"/>
      <c r="FY570" s="52"/>
      <c r="FZ570" s="296"/>
      <c r="GA570" s="98"/>
      <c r="GB570" s="467"/>
      <c r="GC570" s="52"/>
      <c r="GD570" s="296"/>
      <c r="GE570" s="98"/>
      <c r="GF570" s="467"/>
      <c r="GG570" s="52"/>
      <c r="GH570" s="296"/>
      <c r="GI570" s="98"/>
      <c r="GJ570" s="467"/>
      <c r="GK570" s="52"/>
      <c r="GL570" s="296"/>
      <c r="GM570" s="464"/>
      <c r="GN570" s="467"/>
      <c r="GO570" s="52"/>
      <c r="GP570" s="296"/>
      <c r="GQ570" s="464"/>
      <c r="GR570" s="467"/>
      <c r="GS570" s="52"/>
      <c r="GT570" s="296"/>
      <c r="GU570" s="464"/>
      <c r="GV570" s="467"/>
      <c r="GW570" s="52"/>
      <c r="GX570" s="296"/>
      <c r="GY570" s="464"/>
      <c r="GZ570" s="467"/>
      <c r="HA570" s="52"/>
      <c r="HB570" s="296"/>
      <c r="HC570" s="43"/>
    </row>
    <row r="571" spans="1:211" s="85" customFormat="1">
      <c r="A571" s="502" t="s">
        <v>951</v>
      </c>
      <c r="B571" s="315" t="s">
        <v>796</v>
      </c>
      <c r="C571" s="314">
        <v>228787</v>
      </c>
      <c r="D571" s="343">
        <v>1</v>
      </c>
      <c r="E571" s="460"/>
      <c r="F571" s="277"/>
      <c r="G571" s="158"/>
      <c r="H571" s="277"/>
      <c r="I571" s="158"/>
      <c r="J571" s="277"/>
      <c r="K571" s="160">
        <f t="shared" si="215"/>
        <v>0</v>
      </c>
      <c r="L571" s="161">
        <f t="shared" si="208"/>
        <v>0</v>
      </c>
      <c r="M571" s="54">
        <v>2314</v>
      </c>
      <c r="N571" s="55"/>
      <c r="O571" s="55"/>
      <c r="P571" s="55"/>
      <c r="Q571" s="162">
        <f t="shared" si="216"/>
        <v>0</v>
      </c>
      <c r="R571" s="277">
        <v>2313</v>
      </c>
      <c r="S571" s="277"/>
      <c r="T571" s="277"/>
      <c r="U571" s="277"/>
      <c r="V571" s="97">
        <f t="shared" si="217"/>
        <v>0</v>
      </c>
      <c r="W571" s="279"/>
      <c r="X571" s="52"/>
      <c r="Y571" s="99"/>
      <c r="Z571" s="53"/>
      <c r="AA571" s="228"/>
      <c r="AB571" s="52"/>
      <c r="AC571" s="99"/>
      <c r="AD571" s="53"/>
      <c r="AE571" s="228"/>
      <c r="AF571" s="52"/>
      <c r="AG571" s="99"/>
      <c r="AH571" s="53"/>
      <c r="AI571" s="228"/>
      <c r="AJ571" s="52"/>
      <c r="AK571" s="99"/>
      <c r="AL571" s="53"/>
      <c r="AM571" s="228"/>
      <c r="AN571" s="52"/>
      <c r="AO571" s="99"/>
      <c r="AP571" s="53"/>
      <c r="AQ571" s="50">
        <f t="shared" si="209"/>
        <v>0</v>
      </c>
      <c r="AR571" s="163">
        <f t="shared" si="210"/>
        <v>0.59746966176090888</v>
      </c>
      <c r="AS571" s="97">
        <f t="shared" si="211"/>
        <v>0</v>
      </c>
      <c r="AT571" s="278">
        <f t="shared" si="212"/>
        <v>0.58705583756345181</v>
      </c>
      <c r="AU571" s="55"/>
      <c r="AV571" s="277"/>
      <c r="AW571" s="279">
        <v>52</v>
      </c>
      <c r="AX571" s="52">
        <v>758</v>
      </c>
      <c r="AY571" s="550">
        <v>52</v>
      </c>
      <c r="AZ571" s="551">
        <v>726</v>
      </c>
      <c r="BA571" s="279">
        <v>14</v>
      </c>
      <c r="BB571" s="52">
        <v>141</v>
      </c>
      <c r="BC571" s="552">
        <v>14</v>
      </c>
      <c r="BD571" s="551">
        <v>198</v>
      </c>
      <c r="BE571" s="279">
        <v>11</v>
      </c>
      <c r="BF571" s="52">
        <v>128</v>
      </c>
      <c r="BG571" s="552">
        <v>11</v>
      </c>
      <c r="BH571" s="551">
        <v>189</v>
      </c>
      <c r="BI571" s="279">
        <v>51</v>
      </c>
      <c r="BJ571" s="52">
        <v>112</v>
      </c>
      <c r="BK571" s="552">
        <v>51</v>
      </c>
      <c r="BL571" s="551">
        <v>96</v>
      </c>
      <c r="BM571" s="279">
        <v>30</v>
      </c>
      <c r="BN571" s="52">
        <v>63</v>
      </c>
      <c r="BO571" s="552">
        <v>30</v>
      </c>
      <c r="BP571" s="551">
        <v>59</v>
      </c>
      <c r="BQ571" s="279">
        <v>24</v>
      </c>
      <c r="BR571" s="52">
        <v>47</v>
      </c>
      <c r="BS571" s="552">
        <v>45</v>
      </c>
      <c r="BT571" s="551">
        <v>53</v>
      </c>
      <c r="BU571" s="279">
        <v>45</v>
      </c>
      <c r="BV571" s="52">
        <v>36</v>
      </c>
      <c r="BW571" s="552">
        <v>44</v>
      </c>
      <c r="BX571" s="551">
        <v>40</v>
      </c>
      <c r="BY571" s="279">
        <v>26</v>
      </c>
      <c r="BZ571" s="52">
        <v>34</v>
      </c>
      <c r="CA571" s="552">
        <v>26</v>
      </c>
      <c r="CB571" s="551">
        <v>36</v>
      </c>
      <c r="CC571" s="279">
        <v>50</v>
      </c>
      <c r="CD571" s="52">
        <v>31</v>
      </c>
      <c r="CE571" s="552">
        <v>24</v>
      </c>
      <c r="CF571" s="551">
        <v>24</v>
      </c>
      <c r="CG571" s="279">
        <v>44</v>
      </c>
      <c r="CH571" s="52">
        <v>29</v>
      </c>
      <c r="CI571" s="552">
        <v>50</v>
      </c>
      <c r="CJ571" s="551">
        <v>22</v>
      </c>
      <c r="CK571" s="281"/>
      <c r="CL571" s="277"/>
      <c r="CM571" s="159">
        <v>61</v>
      </c>
      <c r="CN571" s="277">
        <v>60</v>
      </c>
      <c r="CO571" s="50">
        <f t="shared" si="218"/>
        <v>1440</v>
      </c>
      <c r="CP571" s="103">
        <f t="shared" si="219"/>
        <v>10</v>
      </c>
      <c r="CQ571" s="280">
        <f t="shared" si="220"/>
        <v>1503</v>
      </c>
      <c r="CR571" s="63">
        <f t="shared" si="221"/>
        <v>10</v>
      </c>
      <c r="CS571" s="279">
        <v>40</v>
      </c>
      <c r="CT571" s="52">
        <v>21</v>
      </c>
      <c r="CU571" s="552">
        <v>44</v>
      </c>
      <c r="CV571" s="551">
        <v>29</v>
      </c>
      <c r="CW571" s="279">
        <v>14</v>
      </c>
      <c r="CX571" s="52">
        <v>19</v>
      </c>
      <c r="CY571" s="552">
        <v>40</v>
      </c>
      <c r="CZ571" s="551">
        <v>15</v>
      </c>
      <c r="DA571" s="279">
        <v>44</v>
      </c>
      <c r="DB571" s="52">
        <v>14</v>
      </c>
      <c r="DC571" s="552">
        <v>11</v>
      </c>
      <c r="DD571" s="551">
        <v>14</v>
      </c>
      <c r="DE571" s="279">
        <v>11</v>
      </c>
      <c r="DF571" s="52">
        <v>13</v>
      </c>
      <c r="DG571" s="552">
        <v>24</v>
      </c>
      <c r="DH571" s="551">
        <v>14</v>
      </c>
      <c r="DI571" s="279">
        <v>52</v>
      </c>
      <c r="DJ571" s="52">
        <v>11</v>
      </c>
      <c r="DK571" s="552">
        <v>14</v>
      </c>
      <c r="DL571" s="551">
        <v>13</v>
      </c>
      <c r="DM571" s="279">
        <v>24</v>
      </c>
      <c r="DN571" s="52">
        <v>9</v>
      </c>
      <c r="DO571" s="552">
        <v>52</v>
      </c>
      <c r="DP571" s="551">
        <v>11</v>
      </c>
      <c r="DQ571" s="279">
        <v>30</v>
      </c>
      <c r="DR571" s="52">
        <v>6</v>
      </c>
      <c r="DS571" s="552">
        <v>45</v>
      </c>
      <c r="DT571" s="551">
        <v>9</v>
      </c>
      <c r="DU571" s="279">
        <v>45</v>
      </c>
      <c r="DV571" s="52">
        <v>6</v>
      </c>
      <c r="DW571" s="552">
        <v>26</v>
      </c>
      <c r="DX571" s="551">
        <v>6</v>
      </c>
      <c r="DY571" s="279">
        <v>51</v>
      </c>
      <c r="DZ571" s="52">
        <v>6</v>
      </c>
      <c r="EA571" s="552">
        <v>30</v>
      </c>
      <c r="EB571" s="551">
        <v>3</v>
      </c>
      <c r="EC571" s="279">
        <v>26</v>
      </c>
      <c r="ED571" s="52">
        <v>4</v>
      </c>
      <c r="EE571" s="552">
        <v>27</v>
      </c>
      <c r="EF571" s="551">
        <v>2</v>
      </c>
      <c r="EG571" s="159">
        <v>2</v>
      </c>
      <c r="EH571" s="277">
        <v>1</v>
      </c>
      <c r="EI571" s="50">
        <f t="shared" si="222"/>
        <v>111</v>
      </c>
      <c r="EJ571" s="103">
        <f t="shared" si="223"/>
        <v>10</v>
      </c>
      <c r="EK571" s="164">
        <f t="shared" si="224"/>
        <v>0.1891891891891892</v>
      </c>
      <c r="EL571" s="280">
        <f t="shared" si="225"/>
        <v>117</v>
      </c>
      <c r="EM571" s="63">
        <f t="shared" si="226"/>
        <v>10</v>
      </c>
      <c r="EN571" s="359">
        <f t="shared" si="227"/>
        <v>0.24786324786324787</v>
      </c>
      <c r="EO571" s="51">
        <f t="shared" si="228"/>
        <v>1551</v>
      </c>
      <c r="EP571" s="361">
        <f t="shared" si="229"/>
        <v>1620</v>
      </c>
      <c r="EQ571" s="281"/>
      <c r="ER571" s="277"/>
      <c r="ES571" s="281"/>
      <c r="ET571" s="277"/>
      <c r="EU571" s="281"/>
      <c r="EV571" s="277"/>
      <c r="EW571" s="281"/>
      <c r="EX571" s="277"/>
      <c r="EY571" s="281"/>
      <c r="EZ571" s="277"/>
      <c r="FA571" s="281"/>
      <c r="FB571" s="277"/>
      <c r="FC571" s="281"/>
      <c r="FD571" s="277"/>
      <c r="FE571" s="281"/>
      <c r="FF571" s="277"/>
      <c r="FG571" s="281"/>
      <c r="FH571" s="277"/>
      <c r="FI571" s="281">
        <f t="shared" si="232"/>
        <v>8</v>
      </c>
      <c r="FJ571" s="277">
        <f t="shared" si="233"/>
        <v>7</v>
      </c>
      <c r="FK571" s="50">
        <f t="shared" si="230"/>
        <v>8</v>
      </c>
      <c r="FL571" s="63">
        <f t="shared" si="231"/>
        <v>7</v>
      </c>
      <c r="FM571" s="50">
        <f t="shared" si="213"/>
        <v>3873</v>
      </c>
      <c r="FN571" s="360">
        <f t="shared" si="214"/>
        <v>3940</v>
      </c>
      <c r="FO571" s="43"/>
      <c r="FP571" s="279" t="s">
        <v>1243</v>
      </c>
      <c r="FQ571" s="467">
        <v>8</v>
      </c>
      <c r="FR571" s="296" t="s">
        <v>1243</v>
      </c>
      <c r="FS571" s="98">
        <v>7</v>
      </c>
      <c r="FT571" s="467"/>
      <c r="FU571" s="52"/>
      <c r="FV571" s="296"/>
      <c r="FW571" s="98"/>
      <c r="FX571" s="467"/>
      <c r="FY571" s="52"/>
      <c r="FZ571" s="296"/>
      <c r="GA571" s="98"/>
      <c r="GB571" s="467"/>
      <c r="GC571" s="52"/>
      <c r="GD571" s="296"/>
      <c r="GE571" s="98"/>
      <c r="GF571" s="467"/>
      <c r="GG571" s="52"/>
      <c r="GH571" s="296"/>
      <c r="GI571" s="98"/>
      <c r="GJ571" s="467"/>
      <c r="GK571" s="52"/>
      <c r="GL571" s="296"/>
      <c r="GM571" s="464"/>
      <c r="GN571" s="467"/>
      <c r="GO571" s="52"/>
      <c r="GP571" s="296"/>
      <c r="GQ571" s="464"/>
      <c r="GR571" s="467"/>
      <c r="GS571" s="52"/>
      <c r="GT571" s="296"/>
      <c r="GU571" s="464"/>
      <c r="GV571" s="467"/>
      <c r="GW571" s="52"/>
      <c r="GX571" s="296"/>
      <c r="GY571" s="464"/>
      <c r="GZ571" s="467"/>
      <c r="HA571" s="52"/>
      <c r="HB571" s="296"/>
      <c r="HC571" s="43"/>
    </row>
    <row r="572" spans="1:211" s="85" customFormat="1">
      <c r="A572" s="502" t="s">
        <v>951</v>
      </c>
      <c r="B572" s="315" t="s">
        <v>797</v>
      </c>
      <c r="C572" s="314">
        <v>229179</v>
      </c>
      <c r="D572" s="343">
        <v>2</v>
      </c>
      <c r="E572" s="460"/>
      <c r="F572" s="277"/>
      <c r="G572" s="158"/>
      <c r="H572" s="277"/>
      <c r="I572" s="158"/>
      <c r="J572" s="277"/>
      <c r="K572" s="160">
        <f t="shared" si="215"/>
        <v>0</v>
      </c>
      <c r="L572" s="161">
        <f t="shared" si="208"/>
        <v>0</v>
      </c>
      <c r="M572" s="54">
        <v>1472</v>
      </c>
      <c r="N572" s="55"/>
      <c r="O572" s="55"/>
      <c r="P572" s="55"/>
      <c r="Q572" s="162">
        <f t="shared" si="216"/>
        <v>0</v>
      </c>
      <c r="R572" s="277">
        <v>1602</v>
      </c>
      <c r="S572" s="277"/>
      <c r="T572" s="277"/>
      <c r="U572" s="277"/>
      <c r="V572" s="97">
        <f t="shared" si="217"/>
        <v>0</v>
      </c>
      <c r="W572" s="279"/>
      <c r="X572" s="52"/>
      <c r="Y572" s="99"/>
      <c r="Z572" s="53"/>
      <c r="AA572" s="228"/>
      <c r="AB572" s="52"/>
      <c r="AC572" s="99"/>
      <c r="AD572" s="53"/>
      <c r="AE572" s="228"/>
      <c r="AF572" s="52"/>
      <c r="AG572" s="99"/>
      <c r="AH572" s="53"/>
      <c r="AI572" s="228"/>
      <c r="AJ572" s="52"/>
      <c r="AK572" s="99"/>
      <c r="AL572" s="53"/>
      <c r="AM572" s="228"/>
      <c r="AN572" s="52"/>
      <c r="AO572" s="99"/>
      <c r="AP572" s="53"/>
      <c r="AQ572" s="50">
        <f t="shared" si="209"/>
        <v>0</v>
      </c>
      <c r="AR572" s="163">
        <f t="shared" si="210"/>
        <v>0.46864056033110474</v>
      </c>
      <c r="AS572" s="97">
        <f t="shared" si="211"/>
        <v>0</v>
      </c>
      <c r="AT572" s="278">
        <f t="shared" si="212"/>
        <v>0.51084183673469385</v>
      </c>
      <c r="AU572" s="55"/>
      <c r="AV572" s="277"/>
      <c r="AW572" s="279">
        <v>51</v>
      </c>
      <c r="AX572" s="52">
        <v>561</v>
      </c>
      <c r="AY572" s="552">
        <v>52</v>
      </c>
      <c r="AZ572" s="551">
        <v>392</v>
      </c>
      <c r="BA572" s="279">
        <v>52</v>
      </c>
      <c r="BB572" s="52">
        <v>389</v>
      </c>
      <c r="BC572" s="552">
        <v>51</v>
      </c>
      <c r="BD572" s="551">
        <v>346</v>
      </c>
      <c r="BE572" s="279">
        <v>13</v>
      </c>
      <c r="BF572" s="52">
        <v>256</v>
      </c>
      <c r="BG572" s="552">
        <v>13</v>
      </c>
      <c r="BH572" s="551">
        <v>269</v>
      </c>
      <c r="BI572" s="279">
        <v>25</v>
      </c>
      <c r="BJ572" s="52">
        <v>192</v>
      </c>
      <c r="BK572" s="552">
        <v>25</v>
      </c>
      <c r="BL572" s="551">
        <v>208</v>
      </c>
      <c r="BM572" s="279">
        <v>19</v>
      </c>
      <c r="BN572" s="52">
        <v>38</v>
      </c>
      <c r="BO572" s="552">
        <v>50</v>
      </c>
      <c r="BP572" s="551">
        <v>50</v>
      </c>
      <c r="BQ572" s="279">
        <v>30</v>
      </c>
      <c r="BR572" s="52">
        <v>35</v>
      </c>
      <c r="BS572" s="552">
        <v>30</v>
      </c>
      <c r="BT572" s="551">
        <v>49</v>
      </c>
      <c r="BU572" s="279">
        <v>50</v>
      </c>
      <c r="BV572" s="52">
        <v>32</v>
      </c>
      <c r="BW572" s="552">
        <v>31</v>
      </c>
      <c r="BX572" s="551">
        <v>37</v>
      </c>
      <c r="BY572" s="279">
        <v>31</v>
      </c>
      <c r="BZ572" s="52">
        <v>24</v>
      </c>
      <c r="CA572" s="552">
        <v>19</v>
      </c>
      <c r="CB572" s="551">
        <v>34</v>
      </c>
      <c r="CC572" s="279">
        <v>42</v>
      </c>
      <c r="CD572" s="52">
        <v>20</v>
      </c>
      <c r="CE572" s="552">
        <v>42</v>
      </c>
      <c r="CF572" s="551">
        <v>22</v>
      </c>
      <c r="CG572" s="279">
        <v>45</v>
      </c>
      <c r="CH572" s="52">
        <v>10</v>
      </c>
      <c r="CI572" s="552">
        <v>45</v>
      </c>
      <c r="CJ572" s="551">
        <v>12</v>
      </c>
      <c r="CK572" s="281"/>
      <c r="CL572" s="277"/>
      <c r="CM572" s="159">
        <v>28</v>
      </c>
      <c r="CN572" s="277">
        <v>34</v>
      </c>
      <c r="CO572" s="50">
        <f t="shared" si="218"/>
        <v>1585</v>
      </c>
      <c r="CP572" s="103">
        <f t="shared" si="219"/>
        <v>10</v>
      </c>
      <c r="CQ572" s="280">
        <f t="shared" si="220"/>
        <v>1453</v>
      </c>
      <c r="CR572" s="63">
        <f t="shared" si="221"/>
        <v>10</v>
      </c>
      <c r="CS572" s="279">
        <v>51</v>
      </c>
      <c r="CT572" s="52">
        <v>39</v>
      </c>
      <c r="CU572" s="552">
        <v>51</v>
      </c>
      <c r="CV572" s="551">
        <v>27</v>
      </c>
      <c r="CW572" s="279">
        <v>13</v>
      </c>
      <c r="CX572" s="52">
        <v>11</v>
      </c>
      <c r="CY572" s="552">
        <v>19</v>
      </c>
      <c r="CZ572" s="551">
        <v>17</v>
      </c>
      <c r="DA572" s="279">
        <v>19</v>
      </c>
      <c r="DB572" s="52">
        <v>11</v>
      </c>
      <c r="DC572" s="552">
        <v>13</v>
      </c>
      <c r="DD572" s="551">
        <v>12</v>
      </c>
      <c r="DE572" s="279">
        <v>31</v>
      </c>
      <c r="DF572" s="52">
        <v>6</v>
      </c>
      <c r="DG572" s="552">
        <v>42</v>
      </c>
      <c r="DH572" s="551">
        <v>11</v>
      </c>
      <c r="DI572" s="279">
        <v>23</v>
      </c>
      <c r="DJ572" s="52">
        <v>3</v>
      </c>
      <c r="DK572" s="552">
        <v>23</v>
      </c>
      <c r="DL572" s="551">
        <v>4</v>
      </c>
      <c r="DM572" s="279">
        <v>42</v>
      </c>
      <c r="DN572" s="52">
        <v>3</v>
      </c>
      <c r="DO572" s="552">
        <v>31</v>
      </c>
      <c r="DP572" s="551">
        <v>4</v>
      </c>
      <c r="DQ572" s="279">
        <v>50</v>
      </c>
      <c r="DR572" s="52">
        <v>3</v>
      </c>
      <c r="DS572" s="552">
        <v>26</v>
      </c>
      <c r="DT572" s="551">
        <v>2</v>
      </c>
      <c r="DU572" s="279">
        <v>26</v>
      </c>
      <c r="DV572" s="52">
        <v>2</v>
      </c>
      <c r="DW572" s="552">
        <v>30</v>
      </c>
      <c r="DX572" s="551">
        <v>2</v>
      </c>
      <c r="DY572" s="279">
        <v>45</v>
      </c>
      <c r="DZ572" s="52">
        <v>2</v>
      </c>
      <c r="EA572" s="552">
        <v>25</v>
      </c>
      <c r="EB572" s="551">
        <v>1</v>
      </c>
      <c r="EC572" s="279">
        <v>52</v>
      </c>
      <c r="ED572" s="52">
        <v>2</v>
      </c>
      <c r="EE572" s="552">
        <v>45</v>
      </c>
      <c r="EF572" s="551">
        <v>1</v>
      </c>
      <c r="EG572" s="159">
        <v>2</v>
      </c>
      <c r="EH572" s="277"/>
      <c r="EI572" s="50">
        <f t="shared" si="222"/>
        <v>84</v>
      </c>
      <c r="EJ572" s="103">
        <f t="shared" si="223"/>
        <v>10</v>
      </c>
      <c r="EK572" s="164">
        <f t="shared" si="224"/>
        <v>0.4642857142857143</v>
      </c>
      <c r="EL572" s="280">
        <f t="shared" si="225"/>
        <v>81</v>
      </c>
      <c r="EM572" s="63">
        <f t="shared" si="226"/>
        <v>10</v>
      </c>
      <c r="EN572" s="359">
        <f t="shared" si="227"/>
        <v>0.33333333333333331</v>
      </c>
      <c r="EO572" s="51">
        <f t="shared" si="228"/>
        <v>1669</v>
      </c>
      <c r="EP572" s="361">
        <f t="shared" si="229"/>
        <v>1534</v>
      </c>
      <c r="EQ572" s="281"/>
      <c r="ER572" s="277"/>
      <c r="ES572" s="281"/>
      <c r="ET572" s="277"/>
      <c r="EU572" s="281"/>
      <c r="EV572" s="277"/>
      <c r="EW572" s="281"/>
      <c r="EX572" s="277"/>
      <c r="EY572" s="281"/>
      <c r="EZ572" s="277"/>
      <c r="FA572" s="281"/>
      <c r="FB572" s="277"/>
      <c r="FC572" s="281"/>
      <c r="FD572" s="277"/>
      <c r="FE572" s="281"/>
      <c r="FF572" s="277"/>
      <c r="FG572" s="281"/>
      <c r="FH572" s="277"/>
      <c r="FI572" s="281">
        <f t="shared" si="232"/>
        <v>0</v>
      </c>
      <c r="FJ572" s="277">
        <f t="shared" si="233"/>
        <v>0</v>
      </c>
      <c r="FK572" s="50">
        <f t="shared" si="230"/>
        <v>0</v>
      </c>
      <c r="FL572" s="63">
        <f t="shared" si="231"/>
        <v>0</v>
      </c>
      <c r="FM572" s="50">
        <f t="shared" si="213"/>
        <v>3141</v>
      </c>
      <c r="FN572" s="360">
        <f t="shared" si="214"/>
        <v>3136</v>
      </c>
      <c r="FO572" s="43"/>
      <c r="FP572" s="279"/>
      <c r="FQ572" s="467"/>
      <c r="FR572" s="296"/>
      <c r="FS572" s="98"/>
      <c r="FT572" s="467"/>
      <c r="FU572" s="52"/>
      <c r="FV572" s="296"/>
      <c r="FW572" s="98"/>
      <c r="FX572" s="467"/>
      <c r="FY572" s="52"/>
      <c r="FZ572" s="296" t="s">
        <v>1245</v>
      </c>
      <c r="GA572" s="98">
        <v>12</v>
      </c>
      <c r="GB572" s="467"/>
      <c r="GC572" s="52"/>
      <c r="GD572" s="296"/>
      <c r="GE572" s="98"/>
      <c r="GF572" s="467"/>
      <c r="GG572" s="52"/>
      <c r="GH572" s="296"/>
      <c r="GI572" s="98"/>
      <c r="GJ572" s="467"/>
      <c r="GK572" s="52"/>
      <c r="GL572" s="296"/>
      <c r="GM572" s="464"/>
      <c r="GN572" s="467"/>
      <c r="GO572" s="52"/>
      <c r="GP572" s="296"/>
      <c r="GQ572" s="464"/>
      <c r="GR572" s="467"/>
      <c r="GS572" s="52"/>
      <c r="GT572" s="296"/>
      <c r="GU572" s="464"/>
      <c r="GV572" s="467"/>
      <c r="GW572" s="52"/>
      <c r="GX572" s="296"/>
      <c r="GY572" s="464"/>
      <c r="GZ572" s="467"/>
      <c r="HA572" s="52"/>
      <c r="HB572" s="296"/>
      <c r="HC572" s="43"/>
    </row>
    <row r="573" spans="1:211" s="85" customFormat="1">
      <c r="A573" s="502" t="s">
        <v>951</v>
      </c>
      <c r="B573" s="315" t="s">
        <v>813</v>
      </c>
      <c r="C573" s="314">
        <v>228796</v>
      </c>
      <c r="D573" s="553">
        <v>2</v>
      </c>
      <c r="E573" s="460"/>
      <c r="F573" s="277"/>
      <c r="G573" s="158"/>
      <c r="H573" s="277"/>
      <c r="I573" s="158"/>
      <c r="J573" s="277"/>
      <c r="K573" s="160">
        <f t="shared" si="215"/>
        <v>0</v>
      </c>
      <c r="L573" s="161">
        <f t="shared" si="208"/>
        <v>0</v>
      </c>
      <c r="M573" s="54">
        <v>2749</v>
      </c>
      <c r="N573" s="55"/>
      <c r="O573" s="55"/>
      <c r="P573" s="55"/>
      <c r="Q573" s="162">
        <f t="shared" si="216"/>
        <v>0</v>
      </c>
      <c r="R573" s="277">
        <v>2999</v>
      </c>
      <c r="S573" s="277"/>
      <c r="T573" s="277"/>
      <c r="U573" s="277"/>
      <c r="V573" s="97">
        <f t="shared" si="217"/>
        <v>0</v>
      </c>
      <c r="W573" s="279"/>
      <c r="X573" s="52"/>
      <c r="Y573" s="99"/>
      <c r="Z573" s="53"/>
      <c r="AA573" s="228"/>
      <c r="AB573" s="52"/>
      <c r="AC573" s="99"/>
      <c r="AD573" s="53"/>
      <c r="AE573" s="228"/>
      <c r="AF573" s="52"/>
      <c r="AG573" s="99"/>
      <c r="AH573" s="53"/>
      <c r="AI573" s="228"/>
      <c r="AJ573" s="52"/>
      <c r="AK573" s="99"/>
      <c r="AL573" s="53"/>
      <c r="AM573" s="228"/>
      <c r="AN573" s="52"/>
      <c r="AO573" s="99"/>
      <c r="AP573" s="53"/>
      <c r="AQ573" s="50">
        <f t="shared" si="209"/>
        <v>0</v>
      </c>
      <c r="AR573" s="163">
        <f t="shared" si="210"/>
        <v>0.77897421365826014</v>
      </c>
      <c r="AS573" s="97">
        <f t="shared" si="211"/>
        <v>0</v>
      </c>
      <c r="AT573" s="278">
        <f t="shared" si="212"/>
        <v>0.78139656070870245</v>
      </c>
      <c r="AU573" s="55"/>
      <c r="AV573" s="277"/>
      <c r="AW573" s="279">
        <v>13</v>
      </c>
      <c r="AX573" s="52">
        <v>273</v>
      </c>
      <c r="AY573" s="552">
        <v>13</v>
      </c>
      <c r="AZ573" s="551">
        <v>284</v>
      </c>
      <c r="BA573" s="279">
        <v>14</v>
      </c>
      <c r="BB573" s="52">
        <v>107</v>
      </c>
      <c r="BC573" s="552">
        <v>52</v>
      </c>
      <c r="BD573" s="551">
        <v>95</v>
      </c>
      <c r="BE573" s="279">
        <v>52</v>
      </c>
      <c r="BF573" s="52">
        <v>87</v>
      </c>
      <c r="BG573" s="552">
        <v>14</v>
      </c>
      <c r="BH573" s="551">
        <v>93</v>
      </c>
      <c r="BI573" s="279">
        <v>30</v>
      </c>
      <c r="BJ573" s="52">
        <v>63</v>
      </c>
      <c r="BK573" s="552">
        <v>30</v>
      </c>
      <c r="BL573" s="551">
        <v>70</v>
      </c>
      <c r="BM573" s="279">
        <v>51</v>
      </c>
      <c r="BN573" s="52">
        <v>63</v>
      </c>
      <c r="BO573" s="552">
        <v>51</v>
      </c>
      <c r="BP573" s="551">
        <v>70</v>
      </c>
      <c r="BQ573" s="279">
        <v>11</v>
      </c>
      <c r="BR573" s="52">
        <v>30</v>
      </c>
      <c r="BS573" s="552">
        <v>11</v>
      </c>
      <c r="BT573" s="551">
        <v>21</v>
      </c>
      <c r="BU573" s="279">
        <v>40</v>
      </c>
      <c r="BV573" s="52">
        <v>19</v>
      </c>
      <c r="BW573" s="552">
        <v>40</v>
      </c>
      <c r="BX573" s="551">
        <v>20</v>
      </c>
      <c r="BY573" s="279">
        <v>16</v>
      </c>
      <c r="BZ573" s="52">
        <v>17</v>
      </c>
      <c r="CA573" s="552">
        <v>44</v>
      </c>
      <c r="CB573" s="551">
        <v>17</v>
      </c>
      <c r="CC573" s="279">
        <v>9</v>
      </c>
      <c r="CD573" s="52">
        <v>15</v>
      </c>
      <c r="CE573" s="552">
        <v>27</v>
      </c>
      <c r="CF573" s="551">
        <v>15</v>
      </c>
      <c r="CG573" s="279">
        <v>27</v>
      </c>
      <c r="CH573" s="52">
        <v>10</v>
      </c>
      <c r="CI573" s="552">
        <v>26</v>
      </c>
      <c r="CJ573" s="551">
        <v>14</v>
      </c>
      <c r="CK573" s="281"/>
      <c r="CL573" s="277"/>
      <c r="CM573" s="159">
        <v>61</v>
      </c>
      <c r="CN573" s="277">
        <v>81</v>
      </c>
      <c r="CO573" s="50">
        <f t="shared" si="218"/>
        <v>745</v>
      </c>
      <c r="CP573" s="103">
        <f t="shared" si="219"/>
        <v>10</v>
      </c>
      <c r="CQ573" s="280">
        <f t="shared" si="220"/>
        <v>780</v>
      </c>
      <c r="CR573" s="63">
        <f t="shared" si="221"/>
        <v>10</v>
      </c>
      <c r="CS573" s="279">
        <v>40</v>
      </c>
      <c r="CT573" s="52">
        <v>10</v>
      </c>
      <c r="CU573" s="552">
        <v>13</v>
      </c>
      <c r="CV573" s="551">
        <v>16</v>
      </c>
      <c r="CW573" s="279">
        <v>14</v>
      </c>
      <c r="CX573" s="52">
        <v>6</v>
      </c>
      <c r="CY573" s="552">
        <v>14</v>
      </c>
      <c r="CZ573" s="551">
        <v>14</v>
      </c>
      <c r="DA573" s="279">
        <v>42</v>
      </c>
      <c r="DB573" s="52">
        <v>5</v>
      </c>
      <c r="DC573" s="552">
        <v>42</v>
      </c>
      <c r="DD573" s="551">
        <v>9</v>
      </c>
      <c r="DE573" s="279">
        <v>13</v>
      </c>
      <c r="DF573" s="52">
        <v>4</v>
      </c>
      <c r="DG573" s="552">
        <v>40</v>
      </c>
      <c r="DH573" s="551">
        <v>7</v>
      </c>
      <c r="DI573" s="279">
        <v>26</v>
      </c>
      <c r="DJ573" s="52">
        <v>3</v>
      </c>
      <c r="DK573" s="552">
        <v>26</v>
      </c>
      <c r="DL573" s="551">
        <v>5</v>
      </c>
      <c r="DM573" s="279">
        <v>52</v>
      </c>
      <c r="DN573" s="52">
        <v>3</v>
      </c>
      <c r="DO573" s="552">
        <v>23</v>
      </c>
      <c r="DP573" s="551">
        <v>3</v>
      </c>
      <c r="DQ573" s="279">
        <v>11</v>
      </c>
      <c r="DR573" s="52">
        <v>2</v>
      </c>
      <c r="DS573" s="552">
        <v>52</v>
      </c>
      <c r="DT573" s="551">
        <v>3</v>
      </c>
      <c r="DU573" s="279">
        <v>23</v>
      </c>
      <c r="DV573" s="52">
        <v>1</v>
      </c>
      <c r="DW573" s="552">
        <v>11</v>
      </c>
      <c r="DX573" s="551">
        <v>1</v>
      </c>
      <c r="DY573" s="279">
        <v>54</v>
      </c>
      <c r="DZ573" s="52">
        <v>1</v>
      </c>
      <c r="EA573" s="552">
        <v>54</v>
      </c>
      <c r="EB573" s="551">
        <v>1</v>
      </c>
      <c r="EC573" s="279"/>
      <c r="ED573" s="52"/>
      <c r="EE573" s="105"/>
      <c r="EF573" s="98"/>
      <c r="EG573" s="159"/>
      <c r="EH573" s="277"/>
      <c r="EI573" s="50">
        <f t="shared" si="222"/>
        <v>35</v>
      </c>
      <c r="EJ573" s="103">
        <f t="shared" si="223"/>
        <v>9</v>
      </c>
      <c r="EK573" s="164">
        <f t="shared" si="224"/>
        <v>0.2857142857142857</v>
      </c>
      <c r="EL573" s="280">
        <f t="shared" si="225"/>
        <v>59</v>
      </c>
      <c r="EM573" s="63">
        <f t="shared" si="226"/>
        <v>9</v>
      </c>
      <c r="EN573" s="359">
        <f t="shared" si="227"/>
        <v>0.2711864406779661</v>
      </c>
      <c r="EO573" s="51">
        <f t="shared" si="228"/>
        <v>780</v>
      </c>
      <c r="EP573" s="361">
        <f t="shared" si="229"/>
        <v>839</v>
      </c>
      <c r="EQ573" s="281"/>
      <c r="ER573" s="277"/>
      <c r="ES573" s="281"/>
      <c r="ET573" s="277"/>
      <c r="EU573" s="281"/>
      <c r="EV573" s="277"/>
      <c r="EW573" s="281"/>
      <c r="EX573" s="277"/>
      <c r="EY573" s="281"/>
      <c r="EZ573" s="277"/>
      <c r="FA573" s="281"/>
      <c r="FB573" s="277"/>
      <c r="FC573" s="281"/>
      <c r="FD573" s="277"/>
      <c r="FE573" s="281"/>
      <c r="FF573" s="277"/>
      <c r="FG573" s="281"/>
      <c r="FH573" s="277"/>
      <c r="FI573" s="281">
        <f t="shared" si="232"/>
        <v>0</v>
      </c>
      <c r="FJ573" s="277">
        <f t="shared" si="233"/>
        <v>0</v>
      </c>
      <c r="FK573" s="50">
        <f t="shared" si="230"/>
        <v>0</v>
      </c>
      <c r="FL573" s="63">
        <f t="shared" si="231"/>
        <v>0</v>
      </c>
      <c r="FM573" s="50">
        <f t="shared" si="213"/>
        <v>3529</v>
      </c>
      <c r="FN573" s="360">
        <f t="shared" si="214"/>
        <v>3838</v>
      </c>
      <c r="FO573" s="43"/>
      <c r="FP573" s="279"/>
      <c r="FQ573" s="467"/>
      <c r="FR573" s="296"/>
      <c r="FS573" s="98"/>
      <c r="FT573" s="467"/>
      <c r="FU573" s="52"/>
      <c r="FV573" s="296"/>
      <c r="FW573" s="98"/>
      <c r="FX573" s="467"/>
      <c r="FY573" s="52"/>
      <c r="FZ573" s="296"/>
      <c r="GA573" s="98"/>
      <c r="GB573" s="467"/>
      <c r="GC573" s="52"/>
      <c r="GD573" s="296"/>
      <c r="GE573" s="98"/>
      <c r="GF573" s="467"/>
      <c r="GG573" s="52"/>
      <c r="GH573" s="296"/>
      <c r="GI573" s="98"/>
      <c r="GJ573" s="467"/>
      <c r="GK573" s="52"/>
      <c r="GL573" s="296"/>
      <c r="GM573" s="464"/>
      <c r="GN573" s="467"/>
      <c r="GO573" s="52"/>
      <c r="GP573" s="296"/>
      <c r="GQ573" s="464"/>
      <c r="GR573" s="467"/>
      <c r="GS573" s="52"/>
      <c r="GT573" s="296"/>
      <c r="GU573" s="464"/>
      <c r="GV573" s="467"/>
      <c r="GW573" s="52"/>
      <c r="GX573" s="296"/>
      <c r="GY573" s="464"/>
      <c r="GZ573" s="467"/>
      <c r="HA573" s="52"/>
      <c r="HB573" s="296"/>
      <c r="HC573" s="43"/>
    </row>
    <row r="574" spans="1:211" s="85" customFormat="1">
      <c r="A574" s="502" t="s">
        <v>951</v>
      </c>
      <c r="B574" s="515" t="s">
        <v>814</v>
      </c>
      <c r="C574" s="516">
        <v>229027</v>
      </c>
      <c r="D574" s="480">
        <v>2</v>
      </c>
      <c r="E574" s="460"/>
      <c r="F574" s="277"/>
      <c r="G574" s="158"/>
      <c r="H574" s="277"/>
      <c r="I574" s="158"/>
      <c r="J574" s="277"/>
      <c r="K574" s="160">
        <f t="shared" si="215"/>
        <v>0</v>
      </c>
      <c r="L574" s="161">
        <f t="shared" si="208"/>
        <v>0</v>
      </c>
      <c r="M574" s="54">
        <v>3596</v>
      </c>
      <c r="N574" s="55"/>
      <c r="O574" s="55"/>
      <c r="P574" s="55"/>
      <c r="Q574" s="162">
        <f t="shared" si="216"/>
        <v>0</v>
      </c>
      <c r="R574" s="277">
        <v>3841</v>
      </c>
      <c r="S574" s="277"/>
      <c r="T574" s="277"/>
      <c r="U574" s="277"/>
      <c r="V574" s="97">
        <f t="shared" si="217"/>
        <v>0</v>
      </c>
      <c r="W574" s="279"/>
      <c r="X574" s="52"/>
      <c r="Y574" s="99"/>
      <c r="Z574" s="53"/>
      <c r="AA574" s="228"/>
      <c r="AB574" s="52"/>
      <c r="AC574" s="99"/>
      <c r="AD574" s="53"/>
      <c r="AE574" s="228"/>
      <c r="AF574" s="52"/>
      <c r="AG574" s="99"/>
      <c r="AH574" s="53"/>
      <c r="AI574" s="228"/>
      <c r="AJ574" s="52"/>
      <c r="AK574" s="99"/>
      <c r="AL574" s="53"/>
      <c r="AM574" s="228"/>
      <c r="AN574" s="52"/>
      <c r="AO574" s="99"/>
      <c r="AP574" s="53"/>
      <c r="AQ574" s="50">
        <f t="shared" si="209"/>
        <v>0</v>
      </c>
      <c r="AR574" s="163">
        <f t="shared" si="210"/>
        <v>0.78327161838379433</v>
      </c>
      <c r="AS574" s="97">
        <f t="shared" si="211"/>
        <v>0</v>
      </c>
      <c r="AT574" s="278">
        <f t="shared" si="212"/>
        <v>0.79920932168123182</v>
      </c>
      <c r="AU574" s="55"/>
      <c r="AV574" s="277"/>
      <c r="AW574" s="279">
        <v>13</v>
      </c>
      <c r="AX574" s="52">
        <v>329</v>
      </c>
      <c r="AY574" s="552">
        <v>13</v>
      </c>
      <c r="AZ574" s="551">
        <v>317</v>
      </c>
      <c r="BA574" s="279">
        <v>52</v>
      </c>
      <c r="BB574" s="52">
        <v>201</v>
      </c>
      <c r="BC574" s="552">
        <v>52</v>
      </c>
      <c r="BD574" s="551">
        <v>220</v>
      </c>
      <c r="BE574" s="279">
        <v>26</v>
      </c>
      <c r="BF574" s="52">
        <v>66</v>
      </c>
      <c r="BG574" s="552">
        <v>14</v>
      </c>
      <c r="BH574" s="551">
        <v>62</v>
      </c>
      <c r="BI574" s="279">
        <v>14</v>
      </c>
      <c r="BJ574" s="52">
        <v>50</v>
      </c>
      <c r="BK574" s="552">
        <v>44</v>
      </c>
      <c r="BL574" s="551">
        <v>53</v>
      </c>
      <c r="BM574" s="279">
        <v>44</v>
      </c>
      <c r="BN574" s="52">
        <v>47</v>
      </c>
      <c r="BO574" s="552">
        <v>26</v>
      </c>
      <c r="BP574" s="551">
        <v>45</v>
      </c>
      <c r="BQ574" s="279">
        <v>11</v>
      </c>
      <c r="BR574" s="52">
        <v>31</v>
      </c>
      <c r="BS574" s="552">
        <v>4</v>
      </c>
      <c r="BT574" s="551">
        <v>33</v>
      </c>
      <c r="BU574" s="279">
        <v>45</v>
      </c>
      <c r="BV574" s="52">
        <v>27</v>
      </c>
      <c r="BW574" s="552">
        <v>45</v>
      </c>
      <c r="BX574" s="551">
        <v>26</v>
      </c>
      <c r="BY574" s="279">
        <v>4</v>
      </c>
      <c r="BZ574" s="52">
        <v>23</v>
      </c>
      <c r="CA574" s="552">
        <v>11</v>
      </c>
      <c r="CB574" s="551">
        <v>24</v>
      </c>
      <c r="CC574" s="279">
        <v>23</v>
      </c>
      <c r="CD574" s="52">
        <v>23</v>
      </c>
      <c r="CE574" s="552">
        <v>54</v>
      </c>
      <c r="CF574" s="551">
        <v>23</v>
      </c>
      <c r="CG574" s="279">
        <v>27</v>
      </c>
      <c r="CH574" s="52">
        <v>23</v>
      </c>
      <c r="CI574" s="552">
        <v>27</v>
      </c>
      <c r="CJ574" s="551">
        <v>19</v>
      </c>
      <c r="CK574" s="281"/>
      <c r="CL574" s="277"/>
      <c r="CM574" s="159">
        <v>114</v>
      </c>
      <c r="CN574" s="277">
        <v>97</v>
      </c>
      <c r="CO574" s="50">
        <f t="shared" si="218"/>
        <v>934</v>
      </c>
      <c r="CP574" s="103">
        <f t="shared" si="219"/>
        <v>10</v>
      </c>
      <c r="CQ574" s="280">
        <f t="shared" si="220"/>
        <v>919</v>
      </c>
      <c r="CR574" s="63">
        <f t="shared" si="221"/>
        <v>10</v>
      </c>
      <c r="CS574" s="279">
        <v>13</v>
      </c>
      <c r="CT574" s="52">
        <v>18</v>
      </c>
      <c r="CU574" s="552">
        <v>13</v>
      </c>
      <c r="CV574" s="551">
        <v>13</v>
      </c>
      <c r="CW574" s="279">
        <v>14</v>
      </c>
      <c r="CX574" s="52">
        <v>15</v>
      </c>
      <c r="CY574" s="552">
        <v>14</v>
      </c>
      <c r="CZ574" s="551">
        <v>7</v>
      </c>
      <c r="DA574" s="279">
        <v>52</v>
      </c>
      <c r="DB574" s="52">
        <v>7</v>
      </c>
      <c r="DC574" s="552">
        <v>23</v>
      </c>
      <c r="DD574" s="551">
        <v>5</v>
      </c>
      <c r="DE574" s="279">
        <v>30</v>
      </c>
      <c r="DF574" s="52">
        <v>6</v>
      </c>
      <c r="DG574" s="552">
        <v>52</v>
      </c>
      <c r="DH574" s="551">
        <v>5</v>
      </c>
      <c r="DI574" s="279">
        <v>45</v>
      </c>
      <c r="DJ574" s="52">
        <v>6</v>
      </c>
      <c r="DK574" s="552">
        <v>11</v>
      </c>
      <c r="DL574" s="551">
        <v>4</v>
      </c>
      <c r="DM574" s="279">
        <v>11</v>
      </c>
      <c r="DN574" s="52">
        <v>4</v>
      </c>
      <c r="DO574" s="552">
        <v>40</v>
      </c>
      <c r="DP574" s="551">
        <v>4</v>
      </c>
      <c r="DQ574" s="279">
        <v>23</v>
      </c>
      <c r="DR574" s="52">
        <v>2</v>
      </c>
      <c r="DS574" s="552">
        <v>45</v>
      </c>
      <c r="DT574" s="551">
        <v>4</v>
      </c>
      <c r="DU574" s="279">
        <v>26</v>
      </c>
      <c r="DV574" s="52">
        <v>2</v>
      </c>
      <c r="DW574" s="552">
        <v>26</v>
      </c>
      <c r="DX574" s="551">
        <v>2</v>
      </c>
      <c r="DY574" s="279">
        <v>40</v>
      </c>
      <c r="DZ574" s="52">
        <v>1</v>
      </c>
      <c r="EA574" s="552">
        <v>30</v>
      </c>
      <c r="EB574" s="551">
        <v>2</v>
      </c>
      <c r="EC574" s="279"/>
      <c r="ED574" s="52"/>
      <c r="EE574" s="105"/>
      <c r="EF574" s="98"/>
      <c r="EG574" s="159"/>
      <c r="EH574" s="277"/>
      <c r="EI574" s="50">
        <f t="shared" si="222"/>
        <v>61</v>
      </c>
      <c r="EJ574" s="103">
        <f t="shared" si="223"/>
        <v>9</v>
      </c>
      <c r="EK574" s="164">
        <f t="shared" si="224"/>
        <v>0.29508196721311475</v>
      </c>
      <c r="EL574" s="280">
        <f t="shared" si="225"/>
        <v>46</v>
      </c>
      <c r="EM574" s="63">
        <f t="shared" si="226"/>
        <v>9</v>
      </c>
      <c r="EN574" s="359">
        <f t="shared" si="227"/>
        <v>0.28260869565217389</v>
      </c>
      <c r="EO574" s="51">
        <f t="shared" si="228"/>
        <v>995</v>
      </c>
      <c r="EP574" s="361">
        <f t="shared" si="229"/>
        <v>965</v>
      </c>
      <c r="EQ574" s="281"/>
      <c r="ER574" s="277"/>
      <c r="ES574" s="281"/>
      <c r="ET574" s="277"/>
      <c r="EU574" s="281"/>
      <c r="EV574" s="277"/>
      <c r="EW574" s="281"/>
      <c r="EX574" s="277"/>
      <c r="EY574" s="281"/>
      <c r="EZ574" s="277"/>
      <c r="FA574" s="281"/>
      <c r="FB574" s="277"/>
      <c r="FC574" s="281"/>
      <c r="FD574" s="277"/>
      <c r="FE574" s="281"/>
      <c r="FF574" s="277"/>
      <c r="FG574" s="281"/>
      <c r="FH574" s="277"/>
      <c r="FI574" s="281"/>
      <c r="FJ574" s="277"/>
      <c r="FK574" s="50">
        <f t="shared" si="230"/>
        <v>0</v>
      </c>
      <c r="FL574" s="63">
        <f t="shared" si="231"/>
        <v>0</v>
      </c>
      <c r="FM574" s="50">
        <f t="shared" si="213"/>
        <v>4591</v>
      </c>
      <c r="FN574" s="360">
        <f t="shared" si="214"/>
        <v>4806</v>
      </c>
      <c r="FO574" s="43"/>
      <c r="FP574" s="279"/>
      <c r="FQ574" s="467"/>
      <c r="FR574" s="296"/>
      <c r="FS574" s="98"/>
      <c r="FT574" s="467"/>
      <c r="FU574" s="52"/>
      <c r="FV574" s="296"/>
      <c r="FW574" s="98"/>
      <c r="FX574" s="467"/>
      <c r="FY574" s="52"/>
      <c r="FZ574" s="296"/>
      <c r="GA574" s="98"/>
      <c r="GB574" s="467"/>
      <c r="GC574" s="52"/>
      <c r="GD574" s="296"/>
      <c r="GE574" s="98"/>
      <c r="GF574" s="467"/>
      <c r="GG574" s="52"/>
      <c r="GH574" s="296"/>
      <c r="GI574" s="98"/>
      <c r="GJ574" s="467"/>
      <c r="GK574" s="52"/>
      <c r="GL574" s="296"/>
      <c r="GM574" s="464"/>
      <c r="GN574" s="467"/>
      <c r="GO574" s="52"/>
      <c r="GP574" s="296"/>
      <c r="GQ574" s="464"/>
      <c r="GR574" s="467"/>
      <c r="GS574" s="52"/>
      <c r="GT574" s="296"/>
      <c r="GU574" s="464"/>
      <c r="GV574" s="467"/>
      <c r="GW574" s="52"/>
      <c r="GX574" s="296"/>
      <c r="GY574" s="464"/>
      <c r="GZ574" s="467"/>
      <c r="HA574" s="52"/>
      <c r="HB574" s="296"/>
      <c r="HC574" s="43"/>
    </row>
    <row r="575" spans="1:211" s="85" customFormat="1">
      <c r="A575" s="502" t="s">
        <v>951</v>
      </c>
      <c r="B575" s="315" t="s">
        <v>799</v>
      </c>
      <c r="C575" s="314">
        <v>222831</v>
      </c>
      <c r="D575" s="343">
        <v>3</v>
      </c>
      <c r="E575" s="460"/>
      <c r="F575" s="277"/>
      <c r="G575" s="158"/>
      <c r="H575" s="277"/>
      <c r="I575" s="158">
        <v>70</v>
      </c>
      <c r="J575" s="277">
        <v>98</v>
      </c>
      <c r="K575" s="160">
        <f t="shared" si="215"/>
        <v>8.9171974522292988E-2</v>
      </c>
      <c r="L575" s="161">
        <f t="shared" si="208"/>
        <v>0.12531969309462915</v>
      </c>
      <c r="M575" s="54">
        <v>785</v>
      </c>
      <c r="N575" s="55"/>
      <c r="O575" s="55"/>
      <c r="P575" s="55"/>
      <c r="Q575" s="162">
        <f t="shared" si="216"/>
        <v>0</v>
      </c>
      <c r="R575" s="277">
        <v>782</v>
      </c>
      <c r="S575" s="277"/>
      <c r="T575" s="277"/>
      <c r="U575" s="277"/>
      <c r="V575" s="97">
        <f t="shared" si="217"/>
        <v>0</v>
      </c>
      <c r="W575" s="279"/>
      <c r="X575" s="52"/>
      <c r="Y575" s="99"/>
      <c r="Z575" s="53"/>
      <c r="AA575" s="228"/>
      <c r="AB575" s="52"/>
      <c r="AC575" s="99"/>
      <c r="AD575" s="53"/>
      <c r="AE575" s="228"/>
      <c r="AF575" s="52"/>
      <c r="AG575" s="99"/>
      <c r="AH575" s="53"/>
      <c r="AI575" s="228"/>
      <c r="AJ575" s="52"/>
      <c r="AK575" s="99"/>
      <c r="AL575" s="53"/>
      <c r="AM575" s="228"/>
      <c r="AN575" s="52"/>
      <c r="AO575" s="99"/>
      <c r="AP575" s="53"/>
      <c r="AQ575" s="50">
        <f t="shared" si="209"/>
        <v>0</v>
      </c>
      <c r="AR575" s="163">
        <f t="shared" si="210"/>
        <v>0.78657314629258512</v>
      </c>
      <c r="AS575" s="97">
        <f t="shared" si="211"/>
        <v>0</v>
      </c>
      <c r="AT575" s="278">
        <f t="shared" si="212"/>
        <v>0.7454718779790277</v>
      </c>
      <c r="AU575" s="55"/>
      <c r="AV575" s="277"/>
      <c r="AW575" s="279">
        <v>13</v>
      </c>
      <c r="AX575" s="52">
        <v>31</v>
      </c>
      <c r="AY575" s="552">
        <v>13</v>
      </c>
      <c r="AZ575" s="551">
        <v>65</v>
      </c>
      <c r="BA575" s="279">
        <v>51</v>
      </c>
      <c r="BB575" s="52">
        <v>31</v>
      </c>
      <c r="BC575" s="552">
        <v>52</v>
      </c>
      <c r="BD575" s="551">
        <v>26</v>
      </c>
      <c r="BE575" s="279">
        <v>42</v>
      </c>
      <c r="BF575" s="52">
        <v>25</v>
      </c>
      <c r="BG575" s="552">
        <v>51</v>
      </c>
      <c r="BH575" s="551">
        <v>25</v>
      </c>
      <c r="BI575" s="279">
        <v>52</v>
      </c>
      <c r="BJ575" s="52">
        <v>24</v>
      </c>
      <c r="BK575" s="552">
        <v>42</v>
      </c>
      <c r="BL575" s="551">
        <v>17</v>
      </c>
      <c r="BM575" s="279">
        <v>31</v>
      </c>
      <c r="BN575" s="52">
        <v>9</v>
      </c>
      <c r="BO575" s="552">
        <v>1</v>
      </c>
      <c r="BP575" s="551">
        <v>13</v>
      </c>
      <c r="BQ575" s="279">
        <v>23</v>
      </c>
      <c r="BR575" s="52">
        <v>7</v>
      </c>
      <c r="BS575" s="552">
        <v>23</v>
      </c>
      <c r="BT575" s="551">
        <v>5</v>
      </c>
      <c r="BU575" s="279">
        <v>1</v>
      </c>
      <c r="BV575" s="52">
        <v>6</v>
      </c>
      <c r="BW575" s="552">
        <v>31</v>
      </c>
      <c r="BX575" s="551">
        <v>5</v>
      </c>
      <c r="BY575" s="279">
        <v>26</v>
      </c>
      <c r="BZ575" s="52">
        <v>5</v>
      </c>
      <c r="CA575" s="552">
        <v>9</v>
      </c>
      <c r="CB575" s="551">
        <v>4</v>
      </c>
      <c r="CC575" s="279">
        <v>9</v>
      </c>
      <c r="CD575" s="52">
        <v>2</v>
      </c>
      <c r="CE575" s="552">
        <v>26</v>
      </c>
      <c r="CF575" s="551">
        <v>4</v>
      </c>
      <c r="CG575" s="279">
        <v>44</v>
      </c>
      <c r="CH575" s="52">
        <v>2</v>
      </c>
      <c r="CI575" s="552">
        <v>44</v>
      </c>
      <c r="CJ575" s="551">
        <v>4</v>
      </c>
      <c r="CK575" s="281"/>
      <c r="CL575" s="277"/>
      <c r="CM575" s="159">
        <v>1</v>
      </c>
      <c r="CN575" s="277">
        <v>1</v>
      </c>
      <c r="CO575" s="50">
        <f t="shared" si="218"/>
        <v>143</v>
      </c>
      <c r="CP575" s="103">
        <f t="shared" si="219"/>
        <v>10</v>
      </c>
      <c r="CQ575" s="280">
        <f t="shared" si="220"/>
        <v>169</v>
      </c>
      <c r="CR575" s="63">
        <f t="shared" si="221"/>
        <v>10</v>
      </c>
      <c r="CS575" s="279"/>
      <c r="CT575" s="52"/>
      <c r="CU575" s="105"/>
      <c r="CV575" s="98"/>
      <c r="CW575" s="279"/>
      <c r="CX575" s="52"/>
      <c r="CY575" s="105"/>
      <c r="CZ575" s="98"/>
      <c r="DA575" s="279"/>
      <c r="DB575" s="52"/>
      <c r="DC575" s="105"/>
      <c r="DD575" s="98"/>
      <c r="DE575" s="279"/>
      <c r="DF575" s="52"/>
      <c r="DG575" s="105"/>
      <c r="DH575" s="98"/>
      <c r="DI575" s="279"/>
      <c r="DJ575" s="52"/>
      <c r="DK575" s="105"/>
      <c r="DL575" s="98"/>
      <c r="DM575" s="279"/>
      <c r="DN575" s="52"/>
      <c r="DO575" s="105"/>
      <c r="DP575" s="98"/>
      <c r="DQ575" s="279"/>
      <c r="DR575" s="52"/>
      <c r="DS575" s="105"/>
      <c r="DT575" s="98"/>
      <c r="DU575" s="279"/>
      <c r="DV575" s="52"/>
      <c r="DW575" s="105"/>
      <c r="DX575" s="98"/>
      <c r="DY575" s="279"/>
      <c r="DZ575" s="52"/>
      <c r="EA575" s="105"/>
      <c r="EB575" s="98"/>
      <c r="EC575" s="279"/>
      <c r="ED575" s="52"/>
      <c r="EE575" s="105"/>
      <c r="EF575" s="98"/>
      <c r="EG575" s="159"/>
      <c r="EH575" s="277"/>
      <c r="EI575" s="50">
        <f t="shared" si="222"/>
        <v>0</v>
      </c>
      <c r="EJ575" s="103">
        <f t="shared" si="223"/>
        <v>0</v>
      </c>
      <c r="EK575" s="164">
        <f t="shared" si="224"/>
        <v>0</v>
      </c>
      <c r="EL575" s="280">
        <f t="shared" si="225"/>
        <v>0</v>
      </c>
      <c r="EM575" s="63">
        <f t="shared" si="226"/>
        <v>0</v>
      </c>
      <c r="EN575" s="359">
        <f t="shared" si="227"/>
        <v>0</v>
      </c>
      <c r="EO575" s="51">
        <f t="shared" si="228"/>
        <v>143</v>
      </c>
      <c r="EP575" s="361">
        <f t="shared" si="229"/>
        <v>169</v>
      </c>
      <c r="EQ575" s="281"/>
      <c r="ER575" s="277"/>
      <c r="ES575" s="281"/>
      <c r="ET575" s="277"/>
      <c r="EU575" s="281"/>
      <c r="EV575" s="277"/>
      <c r="EW575" s="281"/>
      <c r="EX575" s="277"/>
      <c r="EY575" s="281"/>
      <c r="EZ575" s="277"/>
      <c r="FA575" s="281"/>
      <c r="FB575" s="277"/>
      <c r="FC575" s="281"/>
      <c r="FD575" s="277"/>
      <c r="FE575" s="281"/>
      <c r="FF575" s="277"/>
      <c r="FG575" s="281"/>
      <c r="FH575" s="277"/>
      <c r="FI575" s="281">
        <f t="shared" ref="FI575:FI582" si="234">FQ575+FU575</f>
        <v>0</v>
      </c>
      <c r="FJ575" s="277">
        <f t="shared" ref="FJ575:FJ582" si="235">FS575+FW575</f>
        <v>0</v>
      </c>
      <c r="FK575" s="50">
        <f t="shared" si="230"/>
        <v>0</v>
      </c>
      <c r="FL575" s="63">
        <f t="shared" si="231"/>
        <v>0</v>
      </c>
      <c r="FM575" s="50">
        <f t="shared" si="213"/>
        <v>998</v>
      </c>
      <c r="FN575" s="360">
        <f t="shared" si="214"/>
        <v>1049</v>
      </c>
      <c r="FO575" s="43"/>
      <c r="FP575" s="279"/>
      <c r="FQ575" s="467"/>
      <c r="FR575" s="296"/>
      <c r="FS575" s="98"/>
      <c r="FT575" s="467"/>
      <c r="FU575" s="52"/>
      <c r="FV575" s="296"/>
      <c r="FW575" s="98"/>
      <c r="FX575" s="467"/>
      <c r="FY575" s="52"/>
      <c r="FZ575" s="296"/>
      <c r="GA575" s="98"/>
      <c r="GB575" s="467"/>
      <c r="GC575" s="52"/>
      <c r="GD575" s="296"/>
      <c r="GE575" s="98"/>
      <c r="GF575" s="467"/>
      <c r="GG575" s="52"/>
      <c r="GH575" s="296"/>
      <c r="GI575" s="98"/>
      <c r="GJ575" s="467"/>
      <c r="GK575" s="52"/>
      <c r="GL575" s="296"/>
      <c r="GM575" s="464"/>
      <c r="GN575" s="467"/>
      <c r="GO575" s="52"/>
      <c r="GP575" s="296"/>
      <c r="GQ575" s="464"/>
      <c r="GR575" s="467"/>
      <c r="GS575" s="52"/>
      <c r="GT575" s="296"/>
      <c r="GU575" s="464"/>
      <c r="GV575" s="467"/>
      <c r="GW575" s="52"/>
      <c r="GX575" s="296"/>
      <c r="GY575" s="464"/>
      <c r="GZ575" s="467"/>
      <c r="HA575" s="52"/>
      <c r="HB575" s="296"/>
      <c r="HC575" s="43"/>
    </row>
    <row r="576" spans="1:211" s="85" customFormat="1">
      <c r="A576" s="502" t="s">
        <v>951</v>
      </c>
      <c r="B576" s="315" t="s">
        <v>800</v>
      </c>
      <c r="C576" s="314">
        <v>226091</v>
      </c>
      <c r="D576" s="343">
        <v>3</v>
      </c>
      <c r="E576" s="460"/>
      <c r="F576" s="277"/>
      <c r="G576" s="158"/>
      <c r="H576" s="277"/>
      <c r="I576" s="158">
        <v>54</v>
      </c>
      <c r="J576" s="277">
        <v>65</v>
      </c>
      <c r="K576" s="160">
        <f t="shared" si="215"/>
        <v>4.4226044226044224E-2</v>
      </c>
      <c r="L576" s="161">
        <f t="shared" si="208"/>
        <v>5.3586150041220117E-2</v>
      </c>
      <c r="M576" s="54">
        <v>1221</v>
      </c>
      <c r="N576" s="55"/>
      <c r="O576" s="55"/>
      <c r="P576" s="55"/>
      <c r="Q576" s="162">
        <f t="shared" si="216"/>
        <v>0</v>
      </c>
      <c r="R576" s="277">
        <v>1213</v>
      </c>
      <c r="S576" s="277"/>
      <c r="T576" s="277"/>
      <c r="U576" s="277"/>
      <c r="V576" s="97">
        <f t="shared" si="217"/>
        <v>0</v>
      </c>
      <c r="W576" s="279"/>
      <c r="X576" s="52"/>
      <c r="Y576" s="99"/>
      <c r="Z576" s="53"/>
      <c r="AA576" s="228"/>
      <c r="AB576" s="52"/>
      <c r="AC576" s="99"/>
      <c r="AD576" s="53"/>
      <c r="AE576" s="228"/>
      <c r="AF576" s="52"/>
      <c r="AG576" s="99"/>
      <c r="AH576" s="53"/>
      <c r="AI576" s="228"/>
      <c r="AJ576" s="52"/>
      <c r="AK576" s="99"/>
      <c r="AL576" s="53"/>
      <c r="AM576" s="228"/>
      <c r="AN576" s="52"/>
      <c r="AO576" s="99"/>
      <c r="AP576" s="53"/>
      <c r="AQ576" s="50">
        <f t="shared" si="209"/>
        <v>0</v>
      </c>
      <c r="AR576" s="163">
        <f t="shared" si="210"/>
        <v>0.69931271477663226</v>
      </c>
      <c r="AS576" s="97">
        <f t="shared" si="211"/>
        <v>0</v>
      </c>
      <c r="AT576" s="278">
        <f t="shared" si="212"/>
        <v>0.42711267605633801</v>
      </c>
      <c r="AU576" s="55"/>
      <c r="AV576" s="277"/>
      <c r="AW576" s="279">
        <v>14</v>
      </c>
      <c r="AX576" s="52">
        <v>207</v>
      </c>
      <c r="AY576" s="552">
        <v>13</v>
      </c>
      <c r="AZ576" s="551">
        <v>1214</v>
      </c>
      <c r="BA576" s="279">
        <v>13</v>
      </c>
      <c r="BB576" s="52">
        <v>68</v>
      </c>
      <c r="BC576" s="552">
        <v>14</v>
      </c>
      <c r="BD576" s="551">
        <v>156</v>
      </c>
      <c r="BE576" s="279">
        <v>52</v>
      </c>
      <c r="BF576" s="52">
        <v>46</v>
      </c>
      <c r="BG576" s="552">
        <v>52</v>
      </c>
      <c r="BH576" s="551">
        <v>43</v>
      </c>
      <c r="BI576" s="279">
        <v>42</v>
      </c>
      <c r="BJ576" s="52">
        <v>41</v>
      </c>
      <c r="BK576" s="552">
        <v>51</v>
      </c>
      <c r="BL576" s="551">
        <v>27</v>
      </c>
      <c r="BM576" s="279">
        <v>11</v>
      </c>
      <c r="BN576" s="52">
        <v>25</v>
      </c>
      <c r="BO576" s="552">
        <v>11</v>
      </c>
      <c r="BP576" s="551">
        <v>19</v>
      </c>
      <c r="BQ576" s="279">
        <v>51</v>
      </c>
      <c r="BR576" s="52">
        <v>15</v>
      </c>
      <c r="BS576" s="552">
        <v>42</v>
      </c>
      <c r="BT576" s="551">
        <v>19</v>
      </c>
      <c r="BU576" s="279">
        <v>40</v>
      </c>
      <c r="BV576" s="52">
        <v>8</v>
      </c>
      <c r="BW576" s="552">
        <v>31</v>
      </c>
      <c r="BX576" s="551">
        <v>11</v>
      </c>
      <c r="BY576" s="279">
        <v>50</v>
      </c>
      <c r="BZ576" s="52">
        <v>8</v>
      </c>
      <c r="CA576" s="552">
        <v>40</v>
      </c>
      <c r="CB576" s="551">
        <v>10</v>
      </c>
      <c r="CC576" s="279">
        <v>43</v>
      </c>
      <c r="CD576" s="52">
        <v>5</v>
      </c>
      <c r="CE576" s="552">
        <v>19</v>
      </c>
      <c r="CF576" s="551">
        <v>9</v>
      </c>
      <c r="CG576" s="279">
        <v>19</v>
      </c>
      <c r="CH576" s="52">
        <v>3</v>
      </c>
      <c r="CI576" s="552">
        <v>23</v>
      </c>
      <c r="CJ576" s="551">
        <v>5</v>
      </c>
      <c r="CK576" s="281"/>
      <c r="CL576" s="277"/>
      <c r="CM576" s="159">
        <v>11</v>
      </c>
      <c r="CN576" s="277">
        <v>15</v>
      </c>
      <c r="CO576" s="50">
        <f t="shared" si="218"/>
        <v>437</v>
      </c>
      <c r="CP576" s="103">
        <f t="shared" si="219"/>
        <v>10</v>
      </c>
      <c r="CQ576" s="280">
        <f t="shared" si="220"/>
        <v>1528</v>
      </c>
      <c r="CR576" s="63">
        <f t="shared" si="221"/>
        <v>10</v>
      </c>
      <c r="CS576" s="279">
        <v>13</v>
      </c>
      <c r="CT576" s="52">
        <v>23</v>
      </c>
      <c r="CU576" s="552">
        <v>13</v>
      </c>
      <c r="CV576" s="551">
        <v>23</v>
      </c>
      <c r="CW576" s="279">
        <v>14</v>
      </c>
      <c r="CX576" s="52">
        <v>7</v>
      </c>
      <c r="CY576" s="552">
        <v>14</v>
      </c>
      <c r="CZ576" s="551">
        <v>4</v>
      </c>
      <c r="DA576" s="279"/>
      <c r="DB576" s="52"/>
      <c r="DC576" s="105"/>
      <c r="DD576" s="98"/>
      <c r="DE576" s="279"/>
      <c r="DF576" s="52"/>
      <c r="DG576" s="105"/>
      <c r="DH576" s="98"/>
      <c r="DI576" s="279"/>
      <c r="DJ576" s="52"/>
      <c r="DK576" s="105"/>
      <c r="DL576" s="98"/>
      <c r="DM576" s="279"/>
      <c r="DN576" s="52"/>
      <c r="DO576" s="105"/>
      <c r="DP576" s="98"/>
      <c r="DQ576" s="279"/>
      <c r="DR576" s="52"/>
      <c r="DS576" s="105"/>
      <c r="DT576" s="98"/>
      <c r="DU576" s="279"/>
      <c r="DV576" s="52"/>
      <c r="DW576" s="105"/>
      <c r="DX576" s="98"/>
      <c r="DY576" s="279"/>
      <c r="DZ576" s="52"/>
      <c r="EA576" s="105"/>
      <c r="EB576" s="98"/>
      <c r="EC576" s="279"/>
      <c r="ED576" s="52"/>
      <c r="EE576" s="105"/>
      <c r="EF576" s="98"/>
      <c r="EG576" s="159"/>
      <c r="EH576" s="277"/>
      <c r="EI576" s="50">
        <f t="shared" si="222"/>
        <v>30</v>
      </c>
      <c r="EJ576" s="103">
        <f t="shared" si="223"/>
        <v>2</v>
      </c>
      <c r="EK576" s="164">
        <f t="shared" si="224"/>
        <v>0.76666666666666672</v>
      </c>
      <c r="EL576" s="280">
        <f t="shared" si="225"/>
        <v>27</v>
      </c>
      <c r="EM576" s="63">
        <f t="shared" si="226"/>
        <v>2</v>
      </c>
      <c r="EN576" s="359">
        <f t="shared" si="227"/>
        <v>0.85185185185185186</v>
      </c>
      <c r="EO576" s="51">
        <f t="shared" si="228"/>
        <v>467</v>
      </c>
      <c r="EP576" s="361">
        <f t="shared" si="229"/>
        <v>1555</v>
      </c>
      <c r="EQ576" s="281"/>
      <c r="ER576" s="277"/>
      <c r="ES576" s="281"/>
      <c r="ET576" s="277"/>
      <c r="EU576" s="281"/>
      <c r="EV576" s="277"/>
      <c r="EW576" s="281"/>
      <c r="EX576" s="277"/>
      <c r="EY576" s="281"/>
      <c r="EZ576" s="277"/>
      <c r="FA576" s="281"/>
      <c r="FB576" s="277"/>
      <c r="FC576" s="281"/>
      <c r="FD576" s="277"/>
      <c r="FE576" s="281"/>
      <c r="FF576" s="277"/>
      <c r="FG576" s="281"/>
      <c r="FH576" s="277"/>
      <c r="FI576" s="281">
        <f t="shared" si="234"/>
        <v>4</v>
      </c>
      <c r="FJ576" s="277">
        <f t="shared" si="235"/>
        <v>7</v>
      </c>
      <c r="FK576" s="50">
        <f t="shared" si="230"/>
        <v>4</v>
      </c>
      <c r="FL576" s="63">
        <f t="shared" si="231"/>
        <v>7</v>
      </c>
      <c r="FM576" s="50">
        <f t="shared" si="213"/>
        <v>1746</v>
      </c>
      <c r="FN576" s="360">
        <f t="shared" si="214"/>
        <v>2840</v>
      </c>
      <c r="FO576" s="43"/>
      <c r="FP576" s="279" t="s">
        <v>1243</v>
      </c>
      <c r="FQ576" s="467">
        <v>4</v>
      </c>
      <c r="FR576" s="296" t="s">
        <v>1243</v>
      </c>
      <c r="FS576" s="98">
        <v>7</v>
      </c>
      <c r="FT576" s="467"/>
      <c r="FU576" s="52"/>
      <c r="FV576" s="296"/>
      <c r="FW576" s="98"/>
      <c r="FX576" s="467"/>
      <c r="FY576" s="52"/>
      <c r="FZ576" s="296"/>
      <c r="GA576" s="98"/>
      <c r="GB576" s="467"/>
      <c r="GC576" s="52"/>
      <c r="GD576" s="296"/>
      <c r="GE576" s="98"/>
      <c r="GF576" s="467"/>
      <c r="GG576" s="52"/>
      <c r="GH576" s="296"/>
      <c r="GI576" s="98"/>
      <c r="GJ576" s="467"/>
      <c r="GK576" s="52"/>
      <c r="GL576" s="296"/>
      <c r="GM576" s="464"/>
      <c r="GN576" s="467"/>
      <c r="GO576" s="52"/>
      <c r="GP576" s="296"/>
      <c r="GQ576" s="464"/>
      <c r="GR576" s="467"/>
      <c r="GS576" s="52"/>
      <c r="GT576" s="296"/>
      <c r="GU576" s="464"/>
      <c r="GV576" s="467"/>
      <c r="GW576" s="52"/>
      <c r="GX576" s="296"/>
      <c r="GY576" s="464"/>
      <c r="GZ576" s="467"/>
      <c r="HA576" s="52"/>
      <c r="HB576" s="296"/>
      <c r="HC576" s="43"/>
    </row>
    <row r="577" spans="1:211" s="85" customFormat="1">
      <c r="A577" s="502" t="s">
        <v>951</v>
      </c>
      <c r="B577" s="315" t="s">
        <v>801</v>
      </c>
      <c r="C577" s="314">
        <v>226833</v>
      </c>
      <c r="D577" s="343">
        <v>3</v>
      </c>
      <c r="E577" s="460"/>
      <c r="F577" s="277"/>
      <c r="G577" s="158"/>
      <c r="H577" s="277"/>
      <c r="I577" s="158">
        <v>39</v>
      </c>
      <c r="J577" s="277">
        <v>43</v>
      </c>
      <c r="K577" s="160">
        <f t="shared" si="215"/>
        <v>4.0082219938335044E-2</v>
      </c>
      <c r="L577" s="161">
        <f t="shared" si="208"/>
        <v>4.2743538767395624E-2</v>
      </c>
      <c r="M577" s="54">
        <v>973</v>
      </c>
      <c r="N577" s="55"/>
      <c r="O577" s="55"/>
      <c r="P577" s="55"/>
      <c r="Q577" s="162">
        <f t="shared" si="216"/>
        <v>0</v>
      </c>
      <c r="R577" s="277">
        <v>1006</v>
      </c>
      <c r="S577" s="277"/>
      <c r="T577" s="277"/>
      <c r="U577" s="277"/>
      <c r="V577" s="97">
        <f t="shared" si="217"/>
        <v>0</v>
      </c>
      <c r="W577" s="279"/>
      <c r="X577" s="52"/>
      <c r="Y577" s="99"/>
      <c r="Z577" s="53"/>
      <c r="AA577" s="228"/>
      <c r="AB577" s="52"/>
      <c r="AC577" s="99"/>
      <c r="AD577" s="53"/>
      <c r="AE577" s="228"/>
      <c r="AF577" s="52"/>
      <c r="AG577" s="99"/>
      <c r="AH577" s="53"/>
      <c r="AI577" s="228"/>
      <c r="AJ577" s="52"/>
      <c r="AK577" s="99"/>
      <c r="AL577" s="53"/>
      <c r="AM577" s="228"/>
      <c r="AN577" s="52"/>
      <c r="AO577" s="99"/>
      <c r="AP577" s="53"/>
      <c r="AQ577" s="50">
        <f t="shared" si="209"/>
        <v>0</v>
      </c>
      <c r="AR577" s="163">
        <f t="shared" si="210"/>
        <v>0.8603006189213086</v>
      </c>
      <c r="AS577" s="97">
        <f t="shared" si="211"/>
        <v>0</v>
      </c>
      <c r="AT577" s="278">
        <f t="shared" si="212"/>
        <v>0.82459016393442619</v>
      </c>
      <c r="AU577" s="55"/>
      <c r="AV577" s="277"/>
      <c r="AW577" s="279">
        <v>13</v>
      </c>
      <c r="AX577" s="52">
        <v>32</v>
      </c>
      <c r="AY577" s="552">
        <v>13</v>
      </c>
      <c r="AZ577" s="551">
        <v>55</v>
      </c>
      <c r="BA577" s="279">
        <v>51</v>
      </c>
      <c r="BB577" s="52">
        <v>26</v>
      </c>
      <c r="BC577" s="552">
        <v>51</v>
      </c>
      <c r="BD577" s="551">
        <v>47</v>
      </c>
      <c r="BE577" s="279">
        <v>52</v>
      </c>
      <c r="BF577" s="52">
        <v>19</v>
      </c>
      <c r="BG577" s="552">
        <v>52</v>
      </c>
      <c r="BH577" s="551">
        <v>24</v>
      </c>
      <c r="BI577" s="279">
        <v>42</v>
      </c>
      <c r="BJ577" s="52">
        <v>14</v>
      </c>
      <c r="BK577" s="552">
        <v>42</v>
      </c>
      <c r="BL577" s="551">
        <v>16</v>
      </c>
      <c r="BM577" s="279">
        <v>31</v>
      </c>
      <c r="BN577" s="52">
        <v>7</v>
      </c>
      <c r="BO577" s="552">
        <v>54</v>
      </c>
      <c r="BP577" s="551">
        <v>8</v>
      </c>
      <c r="BQ577" s="279">
        <v>45</v>
      </c>
      <c r="BR577" s="52">
        <v>6</v>
      </c>
      <c r="BS577" s="552">
        <v>31</v>
      </c>
      <c r="BT577" s="551">
        <v>6</v>
      </c>
      <c r="BU577" s="279">
        <v>44</v>
      </c>
      <c r="BV577" s="52">
        <v>5</v>
      </c>
      <c r="BW577" s="552">
        <v>23</v>
      </c>
      <c r="BX577" s="551">
        <v>4</v>
      </c>
      <c r="BY577" s="279">
        <v>26</v>
      </c>
      <c r="BZ577" s="52">
        <v>4</v>
      </c>
      <c r="CA577" s="552">
        <v>44</v>
      </c>
      <c r="CB577" s="551">
        <v>4</v>
      </c>
      <c r="CC577" s="279">
        <v>11</v>
      </c>
      <c r="CD577" s="52">
        <v>3</v>
      </c>
      <c r="CE577" s="552">
        <v>11</v>
      </c>
      <c r="CF577" s="551">
        <v>3</v>
      </c>
      <c r="CG577" s="279">
        <v>23</v>
      </c>
      <c r="CH577" s="52">
        <v>3</v>
      </c>
      <c r="CI577" s="552">
        <v>26</v>
      </c>
      <c r="CJ577" s="551">
        <v>3</v>
      </c>
      <c r="CK577" s="281"/>
      <c r="CL577" s="277"/>
      <c r="CM577" s="159"/>
      <c r="CN577" s="277">
        <v>1</v>
      </c>
      <c r="CO577" s="50">
        <f t="shared" si="218"/>
        <v>119</v>
      </c>
      <c r="CP577" s="103">
        <f t="shared" si="219"/>
        <v>10</v>
      </c>
      <c r="CQ577" s="280">
        <f t="shared" si="220"/>
        <v>171</v>
      </c>
      <c r="CR577" s="63">
        <f t="shared" si="221"/>
        <v>10</v>
      </c>
      <c r="CS577" s="279"/>
      <c r="CT577" s="52"/>
      <c r="CU577" s="105"/>
      <c r="CV577" s="98"/>
      <c r="CW577" s="279"/>
      <c r="CX577" s="52"/>
      <c r="CY577" s="105"/>
      <c r="CZ577" s="98"/>
      <c r="DA577" s="279"/>
      <c r="DB577" s="52"/>
      <c r="DC577" s="105"/>
      <c r="DD577" s="98"/>
      <c r="DE577" s="279"/>
      <c r="DF577" s="52"/>
      <c r="DG577" s="105"/>
      <c r="DH577" s="98"/>
      <c r="DI577" s="279"/>
      <c r="DJ577" s="52"/>
      <c r="DK577" s="105"/>
      <c r="DL577" s="98"/>
      <c r="DM577" s="279"/>
      <c r="DN577" s="52"/>
      <c r="DO577" s="105"/>
      <c r="DP577" s="98"/>
      <c r="DQ577" s="279"/>
      <c r="DR577" s="52"/>
      <c r="DS577" s="105"/>
      <c r="DT577" s="98"/>
      <c r="DU577" s="279"/>
      <c r="DV577" s="52"/>
      <c r="DW577" s="105"/>
      <c r="DX577" s="98"/>
      <c r="DY577" s="279"/>
      <c r="DZ577" s="52"/>
      <c r="EA577" s="105"/>
      <c r="EB577" s="98"/>
      <c r="EC577" s="279"/>
      <c r="ED577" s="52"/>
      <c r="EE577" s="105"/>
      <c r="EF577" s="98"/>
      <c r="EG577" s="159"/>
      <c r="EH577" s="277"/>
      <c r="EI577" s="50">
        <f t="shared" si="222"/>
        <v>0</v>
      </c>
      <c r="EJ577" s="103">
        <f t="shared" si="223"/>
        <v>0</v>
      </c>
      <c r="EK577" s="164">
        <f t="shared" si="224"/>
        <v>0</v>
      </c>
      <c r="EL577" s="280">
        <f t="shared" si="225"/>
        <v>0</v>
      </c>
      <c r="EM577" s="63">
        <f t="shared" si="226"/>
        <v>0</v>
      </c>
      <c r="EN577" s="359">
        <f t="shared" si="227"/>
        <v>0</v>
      </c>
      <c r="EO577" s="51">
        <f t="shared" si="228"/>
        <v>119</v>
      </c>
      <c r="EP577" s="361">
        <f t="shared" si="229"/>
        <v>171</v>
      </c>
      <c r="EQ577" s="281"/>
      <c r="ER577" s="277"/>
      <c r="ES577" s="281"/>
      <c r="ET577" s="277"/>
      <c r="EU577" s="281"/>
      <c r="EV577" s="277"/>
      <c r="EW577" s="281"/>
      <c r="EX577" s="277"/>
      <c r="EY577" s="281"/>
      <c r="EZ577" s="277"/>
      <c r="FA577" s="281"/>
      <c r="FB577" s="277"/>
      <c r="FC577" s="281"/>
      <c r="FD577" s="277"/>
      <c r="FE577" s="281"/>
      <c r="FF577" s="277"/>
      <c r="FG577" s="281"/>
      <c r="FH577" s="277"/>
      <c r="FI577" s="281">
        <f t="shared" si="234"/>
        <v>0</v>
      </c>
      <c r="FJ577" s="277">
        <f t="shared" si="235"/>
        <v>0</v>
      </c>
      <c r="FK577" s="50">
        <f t="shared" si="230"/>
        <v>0</v>
      </c>
      <c r="FL577" s="63">
        <f t="shared" si="231"/>
        <v>0</v>
      </c>
      <c r="FM577" s="50">
        <f t="shared" si="213"/>
        <v>1131</v>
      </c>
      <c r="FN577" s="360">
        <f t="shared" si="214"/>
        <v>1220</v>
      </c>
      <c r="FO577" s="43"/>
      <c r="FP577" s="279"/>
      <c r="FQ577" s="467"/>
      <c r="FR577" s="296"/>
      <c r="FS577" s="98"/>
      <c r="FT577" s="467"/>
      <c r="FU577" s="52"/>
      <c r="FV577" s="296"/>
      <c r="FW577" s="98"/>
      <c r="FX577" s="467"/>
      <c r="FY577" s="52"/>
      <c r="FZ577" s="296"/>
      <c r="GA577" s="98"/>
      <c r="GB577" s="467"/>
      <c r="GC577" s="52"/>
      <c r="GD577" s="296"/>
      <c r="GE577" s="98"/>
      <c r="GF577" s="467"/>
      <c r="GG577" s="52"/>
      <c r="GH577" s="296"/>
      <c r="GI577" s="98"/>
      <c r="GJ577" s="467"/>
      <c r="GK577" s="52"/>
      <c r="GL577" s="296"/>
      <c r="GM577" s="464"/>
      <c r="GN577" s="467"/>
      <c r="GO577" s="52"/>
      <c r="GP577" s="296"/>
      <c r="GQ577" s="464"/>
      <c r="GR577" s="467"/>
      <c r="GS577" s="52"/>
      <c r="GT577" s="296"/>
      <c r="GU577" s="464"/>
      <c r="GV577" s="467"/>
      <c r="GW577" s="52"/>
      <c r="GX577" s="296"/>
      <c r="GY577" s="464"/>
      <c r="GZ577" s="467"/>
      <c r="HA577" s="52"/>
      <c r="HB577" s="296"/>
      <c r="HC577" s="43"/>
    </row>
    <row r="578" spans="1:211" s="85" customFormat="1">
      <c r="A578" s="502" t="s">
        <v>951</v>
      </c>
      <c r="B578" s="315" t="s">
        <v>802</v>
      </c>
      <c r="C578" s="314">
        <v>227526</v>
      </c>
      <c r="D578" s="343">
        <v>3</v>
      </c>
      <c r="E578" s="460"/>
      <c r="F578" s="277"/>
      <c r="G578" s="158"/>
      <c r="H578" s="277"/>
      <c r="I578" s="158"/>
      <c r="J578" s="277"/>
      <c r="K578" s="160">
        <f t="shared" si="215"/>
        <v>0</v>
      </c>
      <c r="L578" s="161">
        <f t="shared" si="208"/>
        <v>0</v>
      </c>
      <c r="M578" s="54">
        <v>787</v>
      </c>
      <c r="N578" s="55"/>
      <c r="O578" s="55"/>
      <c r="P578" s="55"/>
      <c r="Q578" s="162">
        <f t="shared" si="216"/>
        <v>0</v>
      </c>
      <c r="R578" s="277">
        <v>866</v>
      </c>
      <c r="S578" s="277"/>
      <c r="T578" s="277"/>
      <c r="U578" s="277"/>
      <c r="V578" s="97">
        <f t="shared" si="217"/>
        <v>0</v>
      </c>
      <c r="W578" s="279"/>
      <c r="X578" s="52"/>
      <c r="Y578" s="99"/>
      <c r="Z578" s="53"/>
      <c r="AA578" s="228"/>
      <c r="AB578" s="52"/>
      <c r="AC578" s="99"/>
      <c r="AD578" s="53"/>
      <c r="AE578" s="228"/>
      <c r="AF578" s="52"/>
      <c r="AG578" s="99"/>
      <c r="AH578" s="53"/>
      <c r="AI578" s="228"/>
      <c r="AJ578" s="52"/>
      <c r="AK578" s="99"/>
      <c r="AL578" s="53"/>
      <c r="AM578" s="228"/>
      <c r="AN578" s="52"/>
      <c r="AO578" s="99"/>
      <c r="AP578" s="53"/>
      <c r="AQ578" s="50">
        <f t="shared" si="209"/>
        <v>0</v>
      </c>
      <c r="AR578" s="163">
        <f t="shared" si="210"/>
        <v>0.50708762886597936</v>
      </c>
      <c r="AS578" s="97">
        <f t="shared" si="211"/>
        <v>0</v>
      </c>
      <c r="AT578" s="278">
        <f t="shared" si="212"/>
        <v>0.54914394419784396</v>
      </c>
      <c r="AU578" s="55"/>
      <c r="AV578" s="277"/>
      <c r="AW578" s="279">
        <v>13</v>
      </c>
      <c r="AX578" s="52">
        <v>333</v>
      </c>
      <c r="AY578" s="552">
        <v>13</v>
      </c>
      <c r="AZ578" s="551">
        <v>259</v>
      </c>
      <c r="BA578" s="279">
        <v>42</v>
      </c>
      <c r="BB578" s="52">
        <v>272</v>
      </c>
      <c r="BC578" s="552">
        <v>42</v>
      </c>
      <c r="BD578" s="551">
        <v>241</v>
      </c>
      <c r="BE578" s="279">
        <v>52</v>
      </c>
      <c r="BF578" s="52">
        <v>32</v>
      </c>
      <c r="BG578" s="552">
        <v>4</v>
      </c>
      <c r="BH578" s="551">
        <v>41</v>
      </c>
      <c r="BI578" s="279">
        <v>51</v>
      </c>
      <c r="BJ578" s="52">
        <v>26</v>
      </c>
      <c r="BK578" s="552">
        <v>52</v>
      </c>
      <c r="BL578" s="551">
        <v>38</v>
      </c>
      <c r="BM578" s="279">
        <v>4</v>
      </c>
      <c r="BN578" s="52">
        <v>25</v>
      </c>
      <c r="BO578" s="552">
        <v>51</v>
      </c>
      <c r="BP578" s="551">
        <v>34</v>
      </c>
      <c r="BQ578" s="279">
        <v>19</v>
      </c>
      <c r="BR578" s="52">
        <v>25</v>
      </c>
      <c r="BS578" s="552">
        <v>19</v>
      </c>
      <c r="BT578" s="551">
        <v>21</v>
      </c>
      <c r="BU578" s="279">
        <v>14</v>
      </c>
      <c r="BV578" s="52">
        <v>21</v>
      </c>
      <c r="BW578" s="552">
        <v>14</v>
      </c>
      <c r="BX578" s="551">
        <v>15</v>
      </c>
      <c r="BY578" s="279">
        <v>45</v>
      </c>
      <c r="BZ578" s="52">
        <v>6</v>
      </c>
      <c r="CA578" s="552">
        <v>26</v>
      </c>
      <c r="CB578" s="551">
        <v>8</v>
      </c>
      <c r="CC578" s="279">
        <v>11</v>
      </c>
      <c r="CD578" s="52">
        <v>3</v>
      </c>
      <c r="CE578" s="552">
        <v>43</v>
      </c>
      <c r="CF578" s="551">
        <v>8</v>
      </c>
      <c r="CG578" s="279">
        <v>43</v>
      </c>
      <c r="CH578" s="52">
        <v>3</v>
      </c>
      <c r="CI578" s="552">
        <v>45</v>
      </c>
      <c r="CJ578" s="551">
        <v>7</v>
      </c>
      <c r="CK578" s="281"/>
      <c r="CL578" s="277"/>
      <c r="CM578" s="159">
        <v>4</v>
      </c>
      <c r="CN578" s="277">
        <v>13</v>
      </c>
      <c r="CO578" s="50">
        <f t="shared" si="218"/>
        <v>750</v>
      </c>
      <c r="CP578" s="103">
        <f t="shared" si="219"/>
        <v>10</v>
      </c>
      <c r="CQ578" s="280">
        <f t="shared" si="220"/>
        <v>685</v>
      </c>
      <c r="CR578" s="63">
        <f t="shared" si="221"/>
        <v>10</v>
      </c>
      <c r="CS578" s="279">
        <v>43</v>
      </c>
      <c r="CT578" s="52">
        <v>9</v>
      </c>
      <c r="CU578" s="552">
        <v>13</v>
      </c>
      <c r="CV578" s="551">
        <v>17</v>
      </c>
      <c r="CW578" s="279">
        <v>13</v>
      </c>
      <c r="CX578" s="52">
        <v>5</v>
      </c>
      <c r="CY578" s="552">
        <v>43</v>
      </c>
      <c r="CZ578" s="551">
        <v>6</v>
      </c>
      <c r="DA578" s="279">
        <v>14</v>
      </c>
      <c r="DB578" s="52">
        <v>1</v>
      </c>
      <c r="DC578" s="552">
        <v>14</v>
      </c>
      <c r="DD578" s="551">
        <v>3</v>
      </c>
      <c r="DE578" s="279"/>
      <c r="DF578" s="52"/>
      <c r="DG578" s="105"/>
      <c r="DH578" s="98"/>
      <c r="DI578" s="279"/>
      <c r="DJ578" s="52"/>
      <c r="DK578" s="105"/>
      <c r="DL578" s="98"/>
      <c r="DM578" s="279"/>
      <c r="DN578" s="52"/>
      <c r="DO578" s="105"/>
      <c r="DP578" s="98"/>
      <c r="DQ578" s="279"/>
      <c r="DR578" s="52"/>
      <c r="DS578" s="105"/>
      <c r="DT578" s="98"/>
      <c r="DU578" s="279"/>
      <c r="DV578" s="52"/>
      <c r="DW578" s="105"/>
      <c r="DX578" s="98"/>
      <c r="DY578" s="279"/>
      <c r="DZ578" s="52"/>
      <c r="EA578" s="105"/>
      <c r="EB578" s="98"/>
      <c r="EC578" s="279"/>
      <c r="ED578" s="52"/>
      <c r="EE578" s="105"/>
      <c r="EF578" s="98"/>
      <c r="EG578" s="159"/>
      <c r="EH578" s="277"/>
      <c r="EI578" s="50">
        <f t="shared" si="222"/>
        <v>15</v>
      </c>
      <c r="EJ578" s="103">
        <f t="shared" si="223"/>
        <v>3</v>
      </c>
      <c r="EK578" s="164">
        <f t="shared" si="224"/>
        <v>0.6</v>
      </c>
      <c r="EL578" s="280">
        <f t="shared" si="225"/>
        <v>26</v>
      </c>
      <c r="EM578" s="63">
        <f t="shared" si="226"/>
        <v>3</v>
      </c>
      <c r="EN578" s="359">
        <f t="shared" si="227"/>
        <v>0.65384615384615385</v>
      </c>
      <c r="EO578" s="51">
        <f t="shared" si="228"/>
        <v>765</v>
      </c>
      <c r="EP578" s="361">
        <f t="shared" si="229"/>
        <v>711</v>
      </c>
      <c r="EQ578" s="281"/>
      <c r="ER578" s="277"/>
      <c r="ES578" s="281"/>
      <c r="ET578" s="277"/>
      <c r="EU578" s="281"/>
      <c r="EV578" s="277"/>
      <c r="EW578" s="281"/>
      <c r="EX578" s="277"/>
      <c r="EY578" s="281"/>
      <c r="EZ578" s="277"/>
      <c r="FA578" s="281"/>
      <c r="FB578" s="277"/>
      <c r="FC578" s="281"/>
      <c r="FD578" s="277"/>
      <c r="FE578" s="281"/>
      <c r="FF578" s="277"/>
      <c r="FG578" s="281"/>
      <c r="FH578" s="277"/>
      <c r="FI578" s="281">
        <f t="shared" si="234"/>
        <v>0</v>
      </c>
      <c r="FJ578" s="277">
        <f t="shared" si="235"/>
        <v>0</v>
      </c>
      <c r="FK578" s="50">
        <f t="shared" si="230"/>
        <v>0</v>
      </c>
      <c r="FL578" s="63">
        <f t="shared" si="231"/>
        <v>0</v>
      </c>
      <c r="FM578" s="50">
        <f t="shared" si="213"/>
        <v>1552</v>
      </c>
      <c r="FN578" s="360">
        <f t="shared" si="214"/>
        <v>1577</v>
      </c>
      <c r="FO578" s="43"/>
      <c r="FP578" s="279"/>
      <c r="FQ578" s="467"/>
      <c r="FR578" s="296"/>
      <c r="FS578" s="98"/>
      <c r="FT578" s="467"/>
      <c r="FU578" s="52"/>
      <c r="FV578" s="296"/>
      <c r="FW578" s="98"/>
      <c r="FX578" s="467"/>
      <c r="FY578" s="52"/>
      <c r="FZ578" s="296"/>
      <c r="GA578" s="98"/>
      <c r="GB578" s="467"/>
      <c r="GC578" s="52"/>
      <c r="GD578" s="296"/>
      <c r="GE578" s="98"/>
      <c r="GF578" s="467"/>
      <c r="GG578" s="52"/>
      <c r="GH578" s="296"/>
      <c r="GI578" s="98"/>
      <c r="GJ578" s="467"/>
      <c r="GK578" s="52"/>
      <c r="GL578" s="296"/>
      <c r="GM578" s="464"/>
      <c r="GN578" s="467"/>
      <c r="GO578" s="52"/>
      <c r="GP578" s="296"/>
      <c r="GQ578" s="464"/>
      <c r="GR578" s="467"/>
      <c r="GS578" s="52"/>
      <c r="GT578" s="296"/>
      <c r="GU578" s="464"/>
      <c r="GV578" s="467"/>
      <c r="GW578" s="52"/>
      <c r="GX578" s="296"/>
      <c r="GY578" s="464"/>
      <c r="GZ578" s="467"/>
      <c r="HA578" s="52"/>
      <c r="HB578" s="296"/>
      <c r="HC578" s="43"/>
    </row>
    <row r="579" spans="1:211" s="85" customFormat="1">
      <c r="A579" s="502" t="s">
        <v>951</v>
      </c>
      <c r="B579" s="315" t="s">
        <v>803</v>
      </c>
      <c r="C579" s="314">
        <v>227881</v>
      </c>
      <c r="D579" s="343">
        <v>3</v>
      </c>
      <c r="E579" s="460"/>
      <c r="F579" s="277"/>
      <c r="G579" s="158"/>
      <c r="H579" s="277"/>
      <c r="I579" s="158"/>
      <c r="J579" s="338"/>
      <c r="K579" s="160">
        <f t="shared" si="215"/>
        <v>0</v>
      </c>
      <c r="L579" s="161">
        <f t="shared" si="208"/>
        <v>0</v>
      </c>
      <c r="M579" s="54">
        <v>2730</v>
      </c>
      <c r="N579" s="55"/>
      <c r="O579" s="55"/>
      <c r="P579" s="55"/>
      <c r="Q579" s="162">
        <f t="shared" si="216"/>
        <v>0</v>
      </c>
      <c r="R579" s="277">
        <v>3101</v>
      </c>
      <c r="S579" s="277"/>
      <c r="T579" s="277"/>
      <c r="U579" s="277"/>
      <c r="V579" s="97">
        <f t="shared" si="217"/>
        <v>0</v>
      </c>
      <c r="W579" s="279"/>
      <c r="X579" s="52"/>
      <c r="Y579" s="99"/>
      <c r="Z579" s="53"/>
      <c r="AA579" s="228"/>
      <c r="AB579" s="52"/>
      <c r="AC579" s="99"/>
      <c r="AD579" s="53"/>
      <c r="AE579" s="228"/>
      <c r="AF579" s="52"/>
      <c r="AG579" s="99"/>
      <c r="AH579" s="53"/>
      <c r="AI579" s="228"/>
      <c r="AJ579" s="52"/>
      <c r="AK579" s="99"/>
      <c r="AL579" s="53"/>
      <c r="AM579" s="228"/>
      <c r="AN579" s="52"/>
      <c r="AO579" s="99"/>
      <c r="AP579" s="53"/>
      <c r="AQ579" s="50">
        <f t="shared" si="209"/>
        <v>0</v>
      </c>
      <c r="AR579" s="163">
        <f t="shared" si="210"/>
        <v>0.79291315713040955</v>
      </c>
      <c r="AS579" s="97">
        <f t="shared" si="211"/>
        <v>0</v>
      </c>
      <c r="AT579" s="278">
        <f t="shared" si="212"/>
        <v>0.77953745600804425</v>
      </c>
      <c r="AU579" s="55"/>
      <c r="AV579" s="277"/>
      <c r="AW579" s="279">
        <v>13</v>
      </c>
      <c r="AX579" s="52">
        <v>303</v>
      </c>
      <c r="AY579" s="552">
        <v>13</v>
      </c>
      <c r="AZ579" s="551">
        <v>470</v>
      </c>
      <c r="BA579" s="279">
        <v>52</v>
      </c>
      <c r="BB579" s="52">
        <v>102</v>
      </c>
      <c r="BC579" s="552">
        <v>52</v>
      </c>
      <c r="BD579" s="551">
        <v>104</v>
      </c>
      <c r="BE579" s="279">
        <v>25</v>
      </c>
      <c r="BF579" s="52">
        <v>66</v>
      </c>
      <c r="BG579" s="552">
        <v>25</v>
      </c>
      <c r="BH579" s="551">
        <v>72</v>
      </c>
      <c r="BI579" s="279">
        <v>42</v>
      </c>
      <c r="BJ579" s="52">
        <v>62</v>
      </c>
      <c r="BK579" s="552">
        <v>43</v>
      </c>
      <c r="BL579" s="551">
        <v>56</v>
      </c>
      <c r="BM579" s="279">
        <v>43</v>
      </c>
      <c r="BN579" s="52">
        <v>38</v>
      </c>
      <c r="BO579" s="552">
        <v>42</v>
      </c>
      <c r="BP579" s="551">
        <v>45</v>
      </c>
      <c r="BQ579" s="279">
        <v>11</v>
      </c>
      <c r="BR579" s="52">
        <v>19</v>
      </c>
      <c r="BS579" s="552">
        <v>50</v>
      </c>
      <c r="BT579" s="551">
        <v>14</v>
      </c>
      <c r="BU579" s="279">
        <v>54</v>
      </c>
      <c r="BV579" s="52">
        <v>15</v>
      </c>
      <c r="BW579" s="552">
        <v>54</v>
      </c>
      <c r="BX579" s="551">
        <v>13</v>
      </c>
      <c r="BY579" s="279">
        <v>23</v>
      </c>
      <c r="BZ579" s="52">
        <v>13</v>
      </c>
      <c r="CA579" s="552">
        <v>23</v>
      </c>
      <c r="CB579" s="551">
        <v>12</v>
      </c>
      <c r="CC579" s="279">
        <v>50</v>
      </c>
      <c r="CD579" s="52">
        <v>12</v>
      </c>
      <c r="CE579" s="552">
        <v>11</v>
      </c>
      <c r="CF579" s="551">
        <v>10</v>
      </c>
      <c r="CG579" s="279">
        <v>1</v>
      </c>
      <c r="CH579" s="52">
        <v>11</v>
      </c>
      <c r="CI579" s="552">
        <v>1</v>
      </c>
      <c r="CJ579" s="551">
        <v>9</v>
      </c>
      <c r="CK579" s="281"/>
      <c r="CL579" s="277"/>
      <c r="CM579" s="159">
        <v>38</v>
      </c>
      <c r="CN579" s="277">
        <v>39</v>
      </c>
      <c r="CO579" s="50">
        <f t="shared" si="218"/>
        <v>679</v>
      </c>
      <c r="CP579" s="103">
        <f t="shared" si="219"/>
        <v>10</v>
      </c>
      <c r="CQ579" s="280">
        <f t="shared" si="220"/>
        <v>844</v>
      </c>
      <c r="CR579" s="63">
        <f t="shared" si="221"/>
        <v>10</v>
      </c>
      <c r="CS579" s="279">
        <v>43</v>
      </c>
      <c r="CT579" s="52">
        <v>17</v>
      </c>
      <c r="CU579" s="552">
        <v>13</v>
      </c>
      <c r="CV579" s="551">
        <v>21</v>
      </c>
      <c r="CW579" s="279">
        <v>13</v>
      </c>
      <c r="CX579" s="52">
        <v>11</v>
      </c>
      <c r="CY579" s="552">
        <v>43</v>
      </c>
      <c r="CZ579" s="551">
        <v>9</v>
      </c>
      <c r="DA579" s="279">
        <v>42</v>
      </c>
      <c r="DB579" s="52">
        <v>6</v>
      </c>
      <c r="DC579" s="552">
        <v>42</v>
      </c>
      <c r="DD579" s="551">
        <v>3</v>
      </c>
      <c r="DE579" s="279"/>
      <c r="DF579" s="52"/>
      <c r="DG579" s="105"/>
      <c r="DH579" s="98"/>
      <c r="DI579" s="279"/>
      <c r="DJ579" s="52"/>
      <c r="DK579" s="105"/>
      <c r="DL579" s="98"/>
      <c r="DM579" s="279"/>
      <c r="DN579" s="52"/>
      <c r="DO579" s="105"/>
      <c r="DP579" s="98"/>
      <c r="DQ579" s="279"/>
      <c r="DR579" s="52"/>
      <c r="DS579" s="105"/>
      <c r="DT579" s="98"/>
      <c r="DU579" s="279"/>
      <c r="DV579" s="52"/>
      <c r="DW579" s="105"/>
      <c r="DX579" s="98"/>
      <c r="DY579" s="279"/>
      <c r="DZ579" s="52"/>
      <c r="EA579" s="105"/>
      <c r="EB579" s="98"/>
      <c r="EC579" s="279"/>
      <c r="ED579" s="52"/>
      <c r="EE579" s="105"/>
      <c r="EF579" s="98"/>
      <c r="EG579" s="159"/>
      <c r="EH579" s="277"/>
      <c r="EI579" s="50">
        <f t="shared" si="222"/>
        <v>34</v>
      </c>
      <c r="EJ579" s="103">
        <f t="shared" si="223"/>
        <v>3</v>
      </c>
      <c r="EK579" s="164">
        <f t="shared" si="224"/>
        <v>0.5</v>
      </c>
      <c r="EL579" s="280">
        <f t="shared" si="225"/>
        <v>33</v>
      </c>
      <c r="EM579" s="63">
        <f t="shared" si="226"/>
        <v>3</v>
      </c>
      <c r="EN579" s="359">
        <f t="shared" si="227"/>
        <v>0.63636363636363635</v>
      </c>
      <c r="EO579" s="51">
        <f t="shared" si="228"/>
        <v>713</v>
      </c>
      <c r="EP579" s="361">
        <f t="shared" si="229"/>
        <v>877</v>
      </c>
      <c r="EQ579" s="281"/>
      <c r="ER579" s="277"/>
      <c r="ES579" s="281"/>
      <c r="ET579" s="277"/>
      <c r="EU579" s="281"/>
      <c r="EV579" s="277"/>
      <c r="EW579" s="281"/>
      <c r="EX579" s="277"/>
      <c r="EY579" s="281"/>
      <c r="EZ579" s="277"/>
      <c r="FA579" s="281"/>
      <c r="FB579" s="277"/>
      <c r="FC579" s="281"/>
      <c r="FD579" s="277"/>
      <c r="FE579" s="281"/>
      <c r="FF579" s="277"/>
      <c r="FG579" s="281"/>
      <c r="FH579" s="277"/>
      <c r="FI579" s="281">
        <f t="shared" si="234"/>
        <v>0</v>
      </c>
      <c r="FJ579" s="277">
        <f t="shared" si="235"/>
        <v>0</v>
      </c>
      <c r="FK579" s="50">
        <f t="shared" si="230"/>
        <v>0</v>
      </c>
      <c r="FL579" s="63">
        <f t="shared" si="231"/>
        <v>0</v>
      </c>
      <c r="FM579" s="50">
        <f t="shared" si="213"/>
        <v>3443</v>
      </c>
      <c r="FN579" s="360">
        <f t="shared" si="214"/>
        <v>3978</v>
      </c>
      <c r="FO579" s="43"/>
      <c r="FP579" s="279"/>
      <c r="FQ579" s="467"/>
      <c r="FR579" s="296"/>
      <c r="FS579" s="98"/>
      <c r="FT579" s="467"/>
      <c r="FU579" s="52"/>
      <c r="FV579" s="296"/>
      <c r="FW579" s="98"/>
      <c r="FX579" s="467"/>
      <c r="FY579" s="52"/>
      <c r="FZ579" s="296"/>
      <c r="GA579" s="98"/>
      <c r="GB579" s="467"/>
      <c r="GC579" s="52"/>
      <c r="GD579" s="296"/>
      <c r="GE579" s="98"/>
      <c r="GF579" s="467"/>
      <c r="GG579" s="52"/>
      <c r="GH579" s="296"/>
      <c r="GI579" s="98"/>
      <c r="GJ579" s="467"/>
      <c r="GK579" s="52"/>
      <c r="GL579" s="296"/>
      <c r="GM579" s="464"/>
      <c r="GN579" s="467"/>
      <c r="GO579" s="52"/>
      <c r="GP579" s="296"/>
      <c r="GQ579" s="464"/>
      <c r="GR579" s="467"/>
      <c r="GS579" s="52"/>
      <c r="GT579" s="296"/>
      <c r="GU579" s="464"/>
      <c r="GV579" s="467"/>
      <c r="GW579" s="52"/>
      <c r="GX579" s="296"/>
      <c r="GY579" s="464"/>
      <c r="GZ579" s="467"/>
      <c r="HA579" s="52"/>
      <c r="HB579" s="296"/>
      <c r="HC579" s="43"/>
    </row>
    <row r="580" spans="1:211" s="85" customFormat="1">
      <c r="A580" s="502" t="s">
        <v>951</v>
      </c>
      <c r="B580" s="315" t="s">
        <v>804</v>
      </c>
      <c r="C580" s="314">
        <v>228431</v>
      </c>
      <c r="D580" s="343">
        <v>3</v>
      </c>
      <c r="E580" s="460"/>
      <c r="F580" s="277"/>
      <c r="G580" s="158"/>
      <c r="H580" s="277"/>
      <c r="I580" s="158"/>
      <c r="J580" s="338"/>
      <c r="K580" s="160">
        <f t="shared" si="215"/>
        <v>0</v>
      </c>
      <c r="L580" s="161">
        <f t="shared" si="208"/>
        <v>0</v>
      </c>
      <c r="M580" s="54">
        <v>1812</v>
      </c>
      <c r="N580" s="55"/>
      <c r="O580" s="55"/>
      <c r="P580" s="55"/>
      <c r="Q580" s="162">
        <f t="shared" si="216"/>
        <v>0</v>
      </c>
      <c r="R580" s="277">
        <v>1745</v>
      </c>
      <c r="S580" s="277"/>
      <c r="T580" s="277"/>
      <c r="U580" s="277"/>
      <c r="V580" s="97">
        <f t="shared" si="217"/>
        <v>0</v>
      </c>
      <c r="W580" s="279"/>
      <c r="X580" s="52"/>
      <c r="Y580" s="99"/>
      <c r="Z580" s="53"/>
      <c r="AA580" s="228"/>
      <c r="AB580" s="52"/>
      <c r="AC580" s="99"/>
      <c r="AD580" s="53"/>
      <c r="AE580" s="228"/>
      <c r="AF580" s="52"/>
      <c r="AG580" s="99"/>
      <c r="AH580" s="53"/>
      <c r="AI580" s="228"/>
      <c r="AJ580" s="52"/>
      <c r="AK580" s="99"/>
      <c r="AL580" s="53"/>
      <c r="AM580" s="228"/>
      <c r="AN580" s="52"/>
      <c r="AO580" s="99"/>
      <c r="AP580" s="53"/>
      <c r="AQ580" s="50">
        <f t="shared" si="209"/>
        <v>0</v>
      </c>
      <c r="AR580" s="163">
        <f t="shared" si="210"/>
        <v>0.79683377308707126</v>
      </c>
      <c r="AS580" s="97">
        <f t="shared" si="211"/>
        <v>0</v>
      </c>
      <c r="AT580" s="278">
        <f t="shared" si="212"/>
        <v>0.79462659380692169</v>
      </c>
      <c r="AU580" s="55"/>
      <c r="AV580" s="277"/>
      <c r="AW580" s="279">
        <v>13</v>
      </c>
      <c r="AX580" s="52">
        <v>145</v>
      </c>
      <c r="AY580" s="552">
        <v>13</v>
      </c>
      <c r="AZ580" s="551">
        <v>136</v>
      </c>
      <c r="BA580" s="279">
        <v>44</v>
      </c>
      <c r="BB580" s="52">
        <v>57</v>
      </c>
      <c r="BC580" s="552">
        <v>44</v>
      </c>
      <c r="BD580" s="551">
        <v>58</v>
      </c>
      <c r="BE580" s="279">
        <v>52</v>
      </c>
      <c r="BF580" s="52">
        <v>43</v>
      </c>
      <c r="BG580" s="552">
        <v>52</v>
      </c>
      <c r="BH580" s="551">
        <v>48</v>
      </c>
      <c r="BI580" s="279">
        <v>42</v>
      </c>
      <c r="BJ580" s="52">
        <v>31</v>
      </c>
      <c r="BK580" s="552">
        <v>51</v>
      </c>
      <c r="BL580" s="551">
        <v>31</v>
      </c>
      <c r="BM580" s="279">
        <v>31</v>
      </c>
      <c r="BN580" s="52">
        <v>26</v>
      </c>
      <c r="BO580" s="552">
        <v>42</v>
      </c>
      <c r="BP580" s="551">
        <v>29</v>
      </c>
      <c r="BQ580" s="279">
        <v>51</v>
      </c>
      <c r="BR580" s="52">
        <v>25</v>
      </c>
      <c r="BS580" s="552">
        <v>31</v>
      </c>
      <c r="BT580" s="551">
        <v>25</v>
      </c>
      <c r="BU580" s="279">
        <v>26</v>
      </c>
      <c r="BV580" s="52">
        <v>21</v>
      </c>
      <c r="BW580" s="552">
        <v>50</v>
      </c>
      <c r="BX580" s="551">
        <v>20</v>
      </c>
      <c r="BY580" s="279">
        <v>50</v>
      </c>
      <c r="BZ580" s="52">
        <v>21</v>
      </c>
      <c r="CA580" s="552">
        <v>3</v>
      </c>
      <c r="CB580" s="551">
        <v>17</v>
      </c>
      <c r="CC580" s="279">
        <v>3</v>
      </c>
      <c r="CD580" s="52">
        <v>14</v>
      </c>
      <c r="CE580" s="552">
        <v>26</v>
      </c>
      <c r="CF580" s="551">
        <v>16</v>
      </c>
      <c r="CG580" s="279">
        <v>19</v>
      </c>
      <c r="CH580" s="52">
        <v>14</v>
      </c>
      <c r="CI580" s="552">
        <v>19</v>
      </c>
      <c r="CJ580" s="551">
        <v>14</v>
      </c>
      <c r="CK580" s="281"/>
      <c r="CL580" s="277"/>
      <c r="CM580" s="159">
        <v>48</v>
      </c>
      <c r="CN580" s="277">
        <v>38</v>
      </c>
      <c r="CO580" s="50">
        <f t="shared" si="218"/>
        <v>445</v>
      </c>
      <c r="CP580" s="103">
        <f t="shared" si="219"/>
        <v>10</v>
      </c>
      <c r="CQ580" s="280">
        <f t="shared" si="220"/>
        <v>432</v>
      </c>
      <c r="CR580" s="63">
        <f t="shared" si="221"/>
        <v>10</v>
      </c>
      <c r="CS580" s="279">
        <v>13</v>
      </c>
      <c r="CT580" s="52">
        <v>16</v>
      </c>
      <c r="CU580" s="552">
        <v>13</v>
      </c>
      <c r="CV580" s="551">
        <v>14</v>
      </c>
      <c r="CW580" s="279">
        <v>3</v>
      </c>
      <c r="CX580" s="52">
        <v>1</v>
      </c>
      <c r="CY580" s="552">
        <v>3</v>
      </c>
      <c r="CZ580" s="551">
        <v>5</v>
      </c>
      <c r="DA580" s="279"/>
      <c r="DB580" s="52"/>
      <c r="DC580" s="105"/>
      <c r="DD580" s="98"/>
      <c r="DE580" s="279"/>
      <c r="DF580" s="52"/>
      <c r="DG580" s="105"/>
      <c r="DH580" s="98"/>
      <c r="DI580" s="279"/>
      <c r="DJ580" s="52"/>
      <c r="DK580" s="105"/>
      <c r="DL580" s="98"/>
      <c r="DM580" s="279"/>
      <c r="DN580" s="52"/>
      <c r="DO580" s="105"/>
      <c r="DP580" s="98"/>
      <c r="DQ580" s="279"/>
      <c r="DR580" s="52"/>
      <c r="DS580" s="105"/>
      <c r="DT580" s="98"/>
      <c r="DU580" s="279"/>
      <c r="DV580" s="52"/>
      <c r="DW580" s="105"/>
      <c r="DX580" s="98"/>
      <c r="DY580" s="279"/>
      <c r="DZ580" s="52"/>
      <c r="EA580" s="105"/>
      <c r="EB580" s="98"/>
      <c r="EC580" s="279"/>
      <c r="ED580" s="52"/>
      <c r="EE580" s="105"/>
      <c r="EF580" s="98"/>
      <c r="EG580" s="159"/>
      <c r="EH580" s="277"/>
      <c r="EI580" s="50">
        <f t="shared" si="222"/>
        <v>17</v>
      </c>
      <c r="EJ580" s="103">
        <f t="shared" si="223"/>
        <v>2</v>
      </c>
      <c r="EK580" s="164">
        <f t="shared" si="224"/>
        <v>0.94117647058823528</v>
      </c>
      <c r="EL580" s="280">
        <f t="shared" si="225"/>
        <v>19</v>
      </c>
      <c r="EM580" s="63">
        <f t="shared" si="226"/>
        <v>2</v>
      </c>
      <c r="EN580" s="359">
        <f t="shared" si="227"/>
        <v>0.73684210526315785</v>
      </c>
      <c r="EO580" s="51">
        <f t="shared" si="228"/>
        <v>462</v>
      </c>
      <c r="EP580" s="361">
        <f t="shared" si="229"/>
        <v>451</v>
      </c>
      <c r="EQ580" s="281"/>
      <c r="ER580" s="277"/>
      <c r="ES580" s="281"/>
      <c r="ET580" s="277"/>
      <c r="EU580" s="281"/>
      <c r="EV580" s="277"/>
      <c r="EW580" s="281"/>
      <c r="EX580" s="277"/>
      <c r="EY580" s="281"/>
      <c r="EZ580" s="277"/>
      <c r="FA580" s="281"/>
      <c r="FB580" s="277"/>
      <c r="FC580" s="281"/>
      <c r="FD580" s="277"/>
      <c r="FE580" s="281"/>
      <c r="FF580" s="277"/>
      <c r="FG580" s="281"/>
      <c r="FH580" s="277"/>
      <c r="FI580" s="281">
        <f t="shared" si="234"/>
        <v>0</v>
      </c>
      <c r="FJ580" s="277">
        <f t="shared" si="235"/>
        <v>0</v>
      </c>
      <c r="FK580" s="50">
        <f t="shared" si="230"/>
        <v>0</v>
      </c>
      <c r="FL580" s="63">
        <f t="shared" si="231"/>
        <v>0</v>
      </c>
      <c r="FM580" s="50">
        <f t="shared" si="213"/>
        <v>2274</v>
      </c>
      <c r="FN580" s="360">
        <f t="shared" si="214"/>
        <v>2196</v>
      </c>
      <c r="FO580" s="43"/>
      <c r="FP580" s="279"/>
      <c r="FQ580" s="467"/>
      <c r="FR580" s="296"/>
      <c r="FS580" s="98"/>
      <c r="FT580" s="467"/>
      <c r="FU580" s="52"/>
      <c r="FV580" s="296"/>
      <c r="FW580" s="98"/>
      <c r="FX580" s="467"/>
      <c r="FY580" s="52"/>
      <c r="FZ580" s="296"/>
      <c r="GA580" s="98"/>
      <c r="GB580" s="467"/>
      <c r="GC580" s="52"/>
      <c r="GD580" s="296"/>
      <c r="GE580" s="98"/>
      <c r="GF580" s="467"/>
      <c r="GG580" s="52"/>
      <c r="GH580" s="296"/>
      <c r="GI580" s="98"/>
      <c r="GJ580" s="467"/>
      <c r="GK580" s="52"/>
      <c r="GL580" s="296"/>
      <c r="GM580" s="464"/>
      <c r="GN580" s="467"/>
      <c r="GO580" s="52"/>
      <c r="GP580" s="296"/>
      <c r="GQ580" s="464"/>
      <c r="GR580" s="467"/>
      <c r="GS580" s="52"/>
      <c r="GT580" s="296"/>
      <c r="GU580" s="464"/>
      <c r="GV580" s="467"/>
      <c r="GW580" s="52"/>
      <c r="GX580" s="296"/>
      <c r="GY580" s="464"/>
      <c r="GZ580" s="467"/>
      <c r="HA580" s="52"/>
      <c r="HB580" s="296"/>
      <c r="HC580" s="43"/>
    </row>
    <row r="581" spans="1:211" s="85" customFormat="1">
      <c r="A581" s="502" t="s">
        <v>951</v>
      </c>
      <c r="B581" s="315" t="s">
        <v>805</v>
      </c>
      <c r="C581" s="314">
        <v>228501</v>
      </c>
      <c r="D581" s="343">
        <v>3</v>
      </c>
      <c r="E581" s="460"/>
      <c r="F581" s="277"/>
      <c r="G581" s="158"/>
      <c r="H581" s="277"/>
      <c r="I581" s="158">
        <v>14</v>
      </c>
      <c r="J581" s="338">
        <v>22</v>
      </c>
      <c r="K581" s="160">
        <f t="shared" si="215"/>
        <v>6.363636363636363E-2</v>
      </c>
      <c r="L581" s="161">
        <f t="shared" si="208"/>
        <v>0.11518324607329843</v>
      </c>
      <c r="M581" s="54">
        <v>220</v>
      </c>
      <c r="N581" s="55"/>
      <c r="O581" s="55"/>
      <c r="P581" s="55"/>
      <c r="Q581" s="162">
        <f t="shared" si="216"/>
        <v>0</v>
      </c>
      <c r="R581" s="277">
        <v>191</v>
      </c>
      <c r="S581" s="277"/>
      <c r="T581" s="277"/>
      <c r="U581" s="277"/>
      <c r="V581" s="97">
        <f t="shared" si="217"/>
        <v>0</v>
      </c>
      <c r="W581" s="279"/>
      <c r="X581" s="52"/>
      <c r="Y581" s="99"/>
      <c r="Z581" s="53"/>
      <c r="AA581" s="228"/>
      <c r="AB581" s="52"/>
      <c r="AC581" s="99"/>
      <c r="AD581" s="53"/>
      <c r="AE581" s="228"/>
      <c r="AF581" s="52"/>
      <c r="AG581" s="99"/>
      <c r="AH581" s="53"/>
      <c r="AI581" s="228"/>
      <c r="AJ581" s="52"/>
      <c r="AK581" s="99"/>
      <c r="AL581" s="53"/>
      <c r="AM581" s="228"/>
      <c r="AN581" s="52"/>
      <c r="AO581" s="99"/>
      <c r="AP581" s="53"/>
      <c r="AQ581" s="50">
        <f t="shared" si="209"/>
        <v>0</v>
      </c>
      <c r="AR581" s="163">
        <f t="shared" si="210"/>
        <v>0.57894736842105265</v>
      </c>
      <c r="AS581" s="97">
        <f t="shared" si="211"/>
        <v>0</v>
      </c>
      <c r="AT581" s="278">
        <f t="shared" si="212"/>
        <v>0.49739583333333331</v>
      </c>
      <c r="AU581" s="55"/>
      <c r="AV581" s="277"/>
      <c r="AW581" s="279">
        <v>13</v>
      </c>
      <c r="AX581" s="52">
        <v>77</v>
      </c>
      <c r="AY581" s="552">
        <v>13</v>
      </c>
      <c r="AZ581" s="551">
        <v>99</v>
      </c>
      <c r="BA581" s="279">
        <v>52</v>
      </c>
      <c r="BB581" s="52">
        <v>29</v>
      </c>
      <c r="BC581" s="552">
        <v>43</v>
      </c>
      <c r="BD581" s="551">
        <v>15</v>
      </c>
      <c r="BE581" s="279">
        <v>43</v>
      </c>
      <c r="BF581" s="52">
        <v>8</v>
      </c>
      <c r="BG581" s="552">
        <v>24</v>
      </c>
      <c r="BH581" s="551">
        <v>10</v>
      </c>
      <c r="BI581" s="279">
        <v>3</v>
      </c>
      <c r="BJ581" s="52">
        <v>5</v>
      </c>
      <c r="BK581" s="552">
        <v>52</v>
      </c>
      <c r="BL581" s="551">
        <v>9</v>
      </c>
      <c r="BM581" s="279">
        <v>23</v>
      </c>
      <c r="BN581" s="52">
        <v>5</v>
      </c>
      <c r="BO581" s="552">
        <v>1</v>
      </c>
      <c r="BP581" s="551">
        <v>7</v>
      </c>
      <c r="BQ581" s="279">
        <v>26</v>
      </c>
      <c r="BR581" s="52">
        <v>5</v>
      </c>
      <c r="BS581" s="552">
        <v>54</v>
      </c>
      <c r="BT581" s="551">
        <v>7</v>
      </c>
      <c r="BU581" s="279">
        <v>50</v>
      </c>
      <c r="BV581" s="52">
        <v>4</v>
      </c>
      <c r="BW581" s="552">
        <v>26</v>
      </c>
      <c r="BX581" s="551">
        <v>6</v>
      </c>
      <c r="BY581" s="279">
        <v>24</v>
      </c>
      <c r="BZ581" s="52">
        <v>3</v>
      </c>
      <c r="CA581" s="552">
        <v>44</v>
      </c>
      <c r="CB581" s="551">
        <v>5</v>
      </c>
      <c r="CC581" s="279">
        <v>44</v>
      </c>
      <c r="CD581" s="52">
        <v>3</v>
      </c>
      <c r="CE581" s="552">
        <v>3</v>
      </c>
      <c r="CF581" s="551">
        <v>4</v>
      </c>
      <c r="CG581" s="279">
        <v>54</v>
      </c>
      <c r="CH581" s="52">
        <v>3</v>
      </c>
      <c r="CI581" s="552">
        <v>40</v>
      </c>
      <c r="CJ581" s="551">
        <v>3</v>
      </c>
      <c r="CK581" s="281"/>
      <c r="CL581" s="277"/>
      <c r="CM581" s="159">
        <v>4</v>
      </c>
      <c r="CN581" s="277">
        <v>6</v>
      </c>
      <c r="CO581" s="50">
        <f t="shared" si="218"/>
        <v>146</v>
      </c>
      <c r="CP581" s="103">
        <f t="shared" si="219"/>
        <v>10</v>
      </c>
      <c r="CQ581" s="280">
        <f t="shared" si="220"/>
        <v>171</v>
      </c>
      <c r="CR581" s="63">
        <f t="shared" si="221"/>
        <v>10</v>
      </c>
      <c r="CS581" s="279"/>
      <c r="CT581" s="52"/>
      <c r="CU581" s="105"/>
      <c r="CV581" s="98"/>
      <c r="CW581" s="279"/>
      <c r="CX581" s="52"/>
      <c r="CY581" s="105"/>
      <c r="CZ581" s="98"/>
      <c r="DA581" s="279"/>
      <c r="DB581" s="52"/>
      <c r="DC581" s="105"/>
      <c r="DD581" s="98"/>
      <c r="DE581" s="279"/>
      <c r="DF581" s="52"/>
      <c r="DG581" s="105"/>
      <c r="DH581" s="98"/>
      <c r="DI581" s="279"/>
      <c r="DJ581" s="52"/>
      <c r="DK581" s="105"/>
      <c r="DL581" s="98"/>
      <c r="DM581" s="279"/>
      <c r="DN581" s="52"/>
      <c r="DO581" s="105"/>
      <c r="DP581" s="98"/>
      <c r="DQ581" s="279"/>
      <c r="DR581" s="52"/>
      <c r="DS581" s="105"/>
      <c r="DT581" s="98"/>
      <c r="DU581" s="279"/>
      <c r="DV581" s="52"/>
      <c r="DW581" s="105"/>
      <c r="DX581" s="98"/>
      <c r="DY581" s="279"/>
      <c r="DZ581" s="52"/>
      <c r="EA581" s="105"/>
      <c r="EB581" s="98"/>
      <c r="EC581" s="279"/>
      <c r="ED581" s="52"/>
      <c r="EE581" s="105"/>
      <c r="EF581" s="98"/>
      <c r="EG581" s="159"/>
      <c r="EH581" s="277"/>
      <c r="EI581" s="50">
        <f t="shared" si="222"/>
        <v>0</v>
      </c>
      <c r="EJ581" s="103">
        <f t="shared" si="223"/>
        <v>0</v>
      </c>
      <c r="EK581" s="164">
        <f t="shared" si="224"/>
        <v>0</v>
      </c>
      <c r="EL581" s="280">
        <f t="shared" si="225"/>
        <v>0</v>
      </c>
      <c r="EM581" s="63">
        <f t="shared" si="226"/>
        <v>0</v>
      </c>
      <c r="EN581" s="359">
        <f t="shared" si="227"/>
        <v>0</v>
      </c>
      <c r="EO581" s="51">
        <f t="shared" si="228"/>
        <v>146</v>
      </c>
      <c r="EP581" s="361">
        <f t="shared" si="229"/>
        <v>171</v>
      </c>
      <c r="EQ581" s="281"/>
      <c r="ER581" s="277"/>
      <c r="ES581" s="281"/>
      <c r="ET581" s="277"/>
      <c r="EU581" s="281"/>
      <c r="EV581" s="277"/>
      <c r="EW581" s="281"/>
      <c r="EX581" s="277"/>
      <c r="EY581" s="281"/>
      <c r="EZ581" s="277"/>
      <c r="FA581" s="281"/>
      <c r="FB581" s="277"/>
      <c r="FC581" s="281"/>
      <c r="FD581" s="277"/>
      <c r="FE581" s="281"/>
      <c r="FF581" s="277"/>
      <c r="FG581" s="281"/>
      <c r="FH581" s="277"/>
      <c r="FI581" s="281">
        <f t="shared" si="234"/>
        <v>0</v>
      </c>
      <c r="FJ581" s="277">
        <f t="shared" si="235"/>
        <v>0</v>
      </c>
      <c r="FK581" s="50">
        <f t="shared" si="230"/>
        <v>0</v>
      </c>
      <c r="FL581" s="63">
        <f t="shared" si="231"/>
        <v>0</v>
      </c>
      <c r="FM581" s="50">
        <f t="shared" si="213"/>
        <v>380</v>
      </c>
      <c r="FN581" s="360">
        <f t="shared" si="214"/>
        <v>384</v>
      </c>
      <c r="FO581" s="43"/>
      <c r="FP581" s="279"/>
      <c r="FQ581" s="467"/>
      <c r="FR581" s="296"/>
      <c r="FS581" s="98"/>
      <c r="FT581" s="467"/>
      <c r="FU581" s="52"/>
      <c r="FV581" s="296"/>
      <c r="FW581" s="98"/>
      <c r="FX581" s="467"/>
      <c r="FY581" s="52"/>
      <c r="FZ581" s="296"/>
      <c r="GA581" s="98"/>
      <c r="GB581" s="467"/>
      <c r="GC581" s="52"/>
      <c r="GD581" s="296"/>
      <c r="GE581" s="98"/>
      <c r="GF581" s="467"/>
      <c r="GG581" s="52"/>
      <c r="GH581" s="296"/>
      <c r="GI581" s="98"/>
      <c r="GJ581" s="467"/>
      <c r="GK581" s="52"/>
      <c r="GL581" s="296"/>
      <c r="GM581" s="464"/>
      <c r="GN581" s="467"/>
      <c r="GO581" s="52"/>
      <c r="GP581" s="296"/>
      <c r="GQ581" s="464"/>
      <c r="GR581" s="467"/>
      <c r="GS581" s="52"/>
      <c r="GT581" s="296"/>
      <c r="GU581" s="464"/>
      <c r="GV581" s="467"/>
      <c r="GW581" s="52"/>
      <c r="GX581" s="296"/>
      <c r="GY581" s="464"/>
      <c r="GZ581" s="467"/>
      <c r="HA581" s="52"/>
      <c r="HB581" s="296"/>
      <c r="HC581" s="43"/>
    </row>
    <row r="582" spans="1:211" s="85" customFormat="1">
      <c r="A582" s="502" t="s">
        <v>951</v>
      </c>
      <c r="B582" s="315" t="s">
        <v>806</v>
      </c>
      <c r="C582" s="314">
        <v>228529</v>
      </c>
      <c r="D582" s="343">
        <v>3</v>
      </c>
      <c r="E582" s="460"/>
      <c r="F582" s="277"/>
      <c r="G582" s="158"/>
      <c r="H582" s="277"/>
      <c r="I582" s="158">
        <v>12</v>
      </c>
      <c r="J582" s="338">
        <v>24</v>
      </c>
      <c r="K582" s="160">
        <f t="shared" si="215"/>
        <v>6.9645966337782937E-3</v>
      </c>
      <c r="L582" s="161">
        <f t="shared" si="208"/>
        <v>1.4243323442136498E-2</v>
      </c>
      <c r="M582" s="54">
        <v>1723</v>
      </c>
      <c r="N582" s="55"/>
      <c r="O582" s="55"/>
      <c r="P582" s="55"/>
      <c r="Q582" s="162">
        <f t="shared" si="216"/>
        <v>0</v>
      </c>
      <c r="R582" s="277">
        <v>1685</v>
      </c>
      <c r="S582" s="277"/>
      <c r="T582" s="277"/>
      <c r="U582" s="277"/>
      <c r="V582" s="97">
        <f t="shared" si="217"/>
        <v>0</v>
      </c>
      <c r="W582" s="279"/>
      <c r="X582" s="52"/>
      <c r="Y582" s="99"/>
      <c r="Z582" s="53"/>
      <c r="AA582" s="228"/>
      <c r="AB582" s="52"/>
      <c r="AC582" s="99"/>
      <c r="AD582" s="53"/>
      <c r="AE582" s="228"/>
      <c r="AF582" s="52"/>
      <c r="AG582" s="99"/>
      <c r="AH582" s="53"/>
      <c r="AI582" s="228"/>
      <c r="AJ582" s="52"/>
      <c r="AK582" s="99"/>
      <c r="AL582" s="53"/>
      <c r="AM582" s="228"/>
      <c r="AN582" s="52"/>
      <c r="AO582" s="99"/>
      <c r="AP582" s="53"/>
      <c r="AQ582" s="50">
        <f t="shared" si="209"/>
        <v>0</v>
      </c>
      <c r="AR582" s="163">
        <f t="shared" si="210"/>
        <v>0.78604014598540151</v>
      </c>
      <c r="AS582" s="97">
        <f t="shared" si="211"/>
        <v>0</v>
      </c>
      <c r="AT582" s="278">
        <f t="shared" si="212"/>
        <v>0.78299256505576209</v>
      </c>
      <c r="AU582" s="55"/>
      <c r="AV582" s="277"/>
      <c r="AW582" s="279">
        <v>13</v>
      </c>
      <c r="AX582" s="52">
        <v>246</v>
      </c>
      <c r="AY582" s="552">
        <v>13</v>
      </c>
      <c r="AZ582" s="551">
        <v>219</v>
      </c>
      <c r="BA582" s="279">
        <v>52</v>
      </c>
      <c r="BB582" s="52">
        <v>77</v>
      </c>
      <c r="BC582" s="552">
        <v>52</v>
      </c>
      <c r="BD582" s="551">
        <v>90</v>
      </c>
      <c r="BE582" s="279">
        <v>42</v>
      </c>
      <c r="BF582" s="52">
        <v>43</v>
      </c>
      <c r="BG582" s="552">
        <v>42</v>
      </c>
      <c r="BH582" s="551">
        <v>43</v>
      </c>
      <c r="BI582" s="279">
        <v>11</v>
      </c>
      <c r="BJ582" s="52">
        <v>28</v>
      </c>
      <c r="BK582" s="552">
        <v>11</v>
      </c>
      <c r="BL582" s="551">
        <v>37</v>
      </c>
      <c r="BM582" s="279">
        <v>1</v>
      </c>
      <c r="BN582" s="52">
        <v>14</v>
      </c>
      <c r="BO582" s="552">
        <v>1</v>
      </c>
      <c r="BP582" s="551">
        <v>17</v>
      </c>
      <c r="BQ582" s="279">
        <v>43</v>
      </c>
      <c r="BR582" s="52">
        <v>10</v>
      </c>
      <c r="BS582" s="552">
        <v>27</v>
      </c>
      <c r="BT582" s="551">
        <v>6</v>
      </c>
      <c r="BU582" s="279">
        <v>54</v>
      </c>
      <c r="BV582" s="52">
        <v>9</v>
      </c>
      <c r="BW582" s="552">
        <v>43</v>
      </c>
      <c r="BX582" s="551">
        <v>5</v>
      </c>
      <c r="BY582" s="279">
        <v>27</v>
      </c>
      <c r="BZ582" s="52">
        <v>8</v>
      </c>
      <c r="CA582" s="552">
        <v>24</v>
      </c>
      <c r="CB582" s="551">
        <v>4</v>
      </c>
      <c r="CC582" s="279">
        <v>26</v>
      </c>
      <c r="CD582" s="52">
        <v>3</v>
      </c>
      <c r="CE582" s="552">
        <v>54</v>
      </c>
      <c r="CF582" s="551">
        <v>4</v>
      </c>
      <c r="CG582" s="279">
        <v>3</v>
      </c>
      <c r="CH582" s="52">
        <v>2</v>
      </c>
      <c r="CI582" s="552">
        <v>15</v>
      </c>
      <c r="CJ582" s="551">
        <v>2</v>
      </c>
      <c r="CK582" s="281"/>
      <c r="CL582" s="277"/>
      <c r="CM582" s="159">
        <v>3</v>
      </c>
      <c r="CN582" s="277">
        <v>5</v>
      </c>
      <c r="CO582" s="50">
        <f t="shared" si="218"/>
        <v>443</v>
      </c>
      <c r="CP582" s="103">
        <f t="shared" si="219"/>
        <v>10</v>
      </c>
      <c r="CQ582" s="280">
        <f t="shared" si="220"/>
        <v>432</v>
      </c>
      <c r="CR582" s="63">
        <f t="shared" si="221"/>
        <v>10</v>
      </c>
      <c r="CS582" s="279">
        <v>13</v>
      </c>
      <c r="CT582" s="52">
        <v>14</v>
      </c>
      <c r="CU582" s="552">
        <v>13</v>
      </c>
      <c r="CV582" s="551">
        <v>11</v>
      </c>
      <c r="CW582" s="279"/>
      <c r="CX582" s="52"/>
      <c r="CY582" s="105"/>
      <c r="CZ582" s="98"/>
      <c r="DA582" s="279"/>
      <c r="DB582" s="52"/>
      <c r="DC582" s="105"/>
      <c r="DD582" s="98"/>
      <c r="DE582" s="279"/>
      <c r="DF582" s="52"/>
      <c r="DG582" s="105"/>
      <c r="DH582" s="98"/>
      <c r="DI582" s="279"/>
      <c r="DJ582" s="52"/>
      <c r="DK582" s="105"/>
      <c r="DL582" s="98"/>
      <c r="DM582" s="279"/>
      <c r="DN582" s="52"/>
      <c r="DO582" s="105"/>
      <c r="DP582" s="98"/>
      <c r="DQ582" s="279"/>
      <c r="DR582" s="52"/>
      <c r="DS582" s="105"/>
      <c r="DT582" s="98"/>
      <c r="DU582" s="279"/>
      <c r="DV582" s="52"/>
      <c r="DW582" s="105"/>
      <c r="DX582" s="98"/>
      <c r="DY582" s="279"/>
      <c r="DZ582" s="52"/>
      <c r="EA582" s="105"/>
      <c r="EB582" s="98"/>
      <c r="EC582" s="279"/>
      <c r="ED582" s="52"/>
      <c r="EE582" s="105"/>
      <c r="EF582" s="98"/>
      <c r="EG582" s="159"/>
      <c r="EH582" s="277"/>
      <c r="EI582" s="50">
        <f t="shared" si="222"/>
        <v>14</v>
      </c>
      <c r="EJ582" s="103">
        <f t="shared" si="223"/>
        <v>1</v>
      </c>
      <c r="EK582" s="164">
        <f t="shared" si="224"/>
        <v>1</v>
      </c>
      <c r="EL582" s="280">
        <f t="shared" si="225"/>
        <v>11</v>
      </c>
      <c r="EM582" s="63">
        <f t="shared" si="226"/>
        <v>1</v>
      </c>
      <c r="EN582" s="359">
        <f t="shared" si="227"/>
        <v>1</v>
      </c>
      <c r="EO582" s="51">
        <f t="shared" si="228"/>
        <v>457</v>
      </c>
      <c r="EP582" s="361">
        <f t="shared" si="229"/>
        <v>443</v>
      </c>
      <c r="EQ582" s="281"/>
      <c r="ER582" s="277"/>
      <c r="ES582" s="281"/>
      <c r="ET582" s="277"/>
      <c r="EU582" s="281"/>
      <c r="EV582" s="277"/>
      <c r="EW582" s="281"/>
      <c r="EX582" s="277"/>
      <c r="EY582" s="281"/>
      <c r="EZ582" s="277"/>
      <c r="FA582" s="281"/>
      <c r="FB582" s="277"/>
      <c r="FC582" s="281"/>
      <c r="FD582" s="277"/>
      <c r="FE582" s="281"/>
      <c r="FF582" s="277"/>
      <c r="FG582" s="281"/>
      <c r="FH582" s="277"/>
      <c r="FI582" s="281">
        <f t="shared" si="234"/>
        <v>0</v>
      </c>
      <c r="FJ582" s="277">
        <f t="shared" si="235"/>
        <v>0</v>
      </c>
      <c r="FK582" s="50">
        <f t="shared" si="230"/>
        <v>0</v>
      </c>
      <c r="FL582" s="63">
        <f t="shared" si="231"/>
        <v>0</v>
      </c>
      <c r="FM582" s="50">
        <f t="shared" si="213"/>
        <v>2192</v>
      </c>
      <c r="FN582" s="360">
        <f t="shared" si="214"/>
        <v>2152</v>
      </c>
      <c r="FO582" s="43"/>
      <c r="FP582" s="279"/>
      <c r="FQ582" s="467"/>
      <c r="FR582" s="296"/>
      <c r="FS582" s="98"/>
      <c r="FT582" s="467"/>
      <c r="FU582" s="52"/>
      <c r="FV582" s="296"/>
      <c r="FW582" s="98"/>
      <c r="FX582" s="467"/>
      <c r="FY582" s="52"/>
      <c r="FZ582" s="296"/>
      <c r="GA582" s="98"/>
      <c r="GB582" s="467"/>
      <c r="GC582" s="52"/>
      <c r="GD582" s="296"/>
      <c r="GE582" s="98"/>
      <c r="GF582" s="467"/>
      <c r="GG582" s="52"/>
      <c r="GH582" s="296"/>
      <c r="GI582" s="98"/>
      <c r="GJ582" s="467"/>
      <c r="GK582" s="52"/>
      <c r="GL582" s="296"/>
      <c r="GM582" s="464"/>
      <c r="GN582" s="467"/>
      <c r="GO582" s="52"/>
      <c r="GP582" s="296"/>
      <c r="GQ582" s="464"/>
      <c r="GR582" s="467"/>
      <c r="GS582" s="52"/>
      <c r="GT582" s="296"/>
      <c r="GU582" s="464"/>
      <c r="GV582" s="467"/>
      <c r="GW582" s="52"/>
      <c r="GX582" s="296"/>
      <c r="GY582" s="464"/>
      <c r="GZ582" s="467"/>
      <c r="HA582" s="52"/>
      <c r="HB582" s="296"/>
      <c r="HC582" s="43"/>
    </row>
    <row r="583" spans="1:211" s="85" customFormat="1">
      <c r="A583" s="502" t="s">
        <v>951</v>
      </c>
      <c r="B583" s="515" t="s">
        <v>818</v>
      </c>
      <c r="C583" s="516">
        <v>226152</v>
      </c>
      <c r="D583" s="480">
        <v>3</v>
      </c>
      <c r="E583" s="460"/>
      <c r="F583" s="277"/>
      <c r="G583" s="158"/>
      <c r="H583" s="277"/>
      <c r="I583" s="158"/>
      <c r="J583" s="338"/>
      <c r="K583" s="160">
        <f t="shared" si="215"/>
        <v>0</v>
      </c>
      <c r="L583" s="161">
        <f t="shared" si="208"/>
        <v>0</v>
      </c>
      <c r="M583" s="54">
        <v>705</v>
      </c>
      <c r="N583" s="55"/>
      <c r="O583" s="55"/>
      <c r="P583" s="55"/>
      <c r="Q583" s="162">
        <f t="shared" si="216"/>
        <v>0</v>
      </c>
      <c r="R583" s="277">
        <v>722</v>
      </c>
      <c r="S583" s="277"/>
      <c r="T583" s="277"/>
      <c r="U583" s="277"/>
      <c r="V583" s="97">
        <f t="shared" si="217"/>
        <v>0</v>
      </c>
      <c r="W583" s="279"/>
      <c r="X583" s="52"/>
      <c r="Y583" s="99"/>
      <c r="Z583" s="53"/>
      <c r="AA583" s="228"/>
      <c r="AB583" s="52"/>
      <c r="AC583" s="99"/>
      <c r="AD583" s="53"/>
      <c r="AE583" s="228"/>
      <c r="AF583" s="52"/>
      <c r="AG583" s="99"/>
      <c r="AH583" s="53"/>
      <c r="AI583" s="228"/>
      <c r="AJ583" s="52"/>
      <c r="AK583" s="99"/>
      <c r="AL583" s="53"/>
      <c r="AM583" s="228"/>
      <c r="AN583" s="52"/>
      <c r="AO583" s="99"/>
      <c r="AP583" s="53"/>
      <c r="AQ583" s="50">
        <f t="shared" si="209"/>
        <v>0</v>
      </c>
      <c r="AR583" s="163">
        <f t="shared" si="210"/>
        <v>0.69049951028403522</v>
      </c>
      <c r="AS583" s="97">
        <f t="shared" si="211"/>
        <v>0</v>
      </c>
      <c r="AT583" s="278">
        <f t="shared" si="212"/>
        <v>0.707843137254902</v>
      </c>
      <c r="AU583" s="55"/>
      <c r="AV583" s="277"/>
      <c r="AW583" s="279">
        <v>52</v>
      </c>
      <c r="AX583" s="52">
        <v>165</v>
      </c>
      <c r="AY583" s="552">
        <v>13</v>
      </c>
      <c r="AZ583" s="551">
        <v>131</v>
      </c>
      <c r="BA583" s="279">
        <v>13</v>
      </c>
      <c r="BB583" s="52">
        <v>107</v>
      </c>
      <c r="BC583" s="552">
        <v>52</v>
      </c>
      <c r="BD583" s="551">
        <v>128</v>
      </c>
      <c r="BE583" s="279">
        <v>42</v>
      </c>
      <c r="BF583" s="52">
        <v>13</v>
      </c>
      <c r="BG583" s="552">
        <v>42</v>
      </c>
      <c r="BH583" s="551">
        <v>13</v>
      </c>
      <c r="BI583" s="279">
        <v>43</v>
      </c>
      <c r="BJ583" s="52">
        <v>9</v>
      </c>
      <c r="BK583" s="552">
        <v>44</v>
      </c>
      <c r="BL583" s="551">
        <v>9</v>
      </c>
      <c r="BM583" s="279">
        <v>51</v>
      </c>
      <c r="BN583" s="52">
        <v>7</v>
      </c>
      <c r="BO583" s="552">
        <v>43</v>
      </c>
      <c r="BP583" s="551">
        <v>5</v>
      </c>
      <c r="BQ583" s="279">
        <v>16</v>
      </c>
      <c r="BR583" s="52">
        <v>5</v>
      </c>
      <c r="BS583" s="552">
        <v>30</v>
      </c>
      <c r="BT583" s="551">
        <v>4</v>
      </c>
      <c r="BU583" s="279">
        <v>26</v>
      </c>
      <c r="BV583" s="52">
        <v>3</v>
      </c>
      <c r="BW583" s="552">
        <v>45</v>
      </c>
      <c r="BX583" s="551">
        <v>3</v>
      </c>
      <c r="BY583" s="279">
        <v>45</v>
      </c>
      <c r="BZ583" s="52">
        <v>3</v>
      </c>
      <c r="CA583" s="552">
        <v>54</v>
      </c>
      <c r="CB583" s="551">
        <v>2</v>
      </c>
      <c r="CC583" s="279">
        <v>44</v>
      </c>
      <c r="CD583" s="52">
        <v>2</v>
      </c>
      <c r="CE583" s="552">
        <v>23</v>
      </c>
      <c r="CF583" s="551">
        <v>1</v>
      </c>
      <c r="CG583" s="279">
        <v>23</v>
      </c>
      <c r="CH583" s="52">
        <v>1</v>
      </c>
      <c r="CI583" s="552">
        <v>26</v>
      </c>
      <c r="CJ583" s="551">
        <v>1</v>
      </c>
      <c r="CK583" s="281"/>
      <c r="CL583" s="277"/>
      <c r="CM583" s="159">
        <v>1</v>
      </c>
      <c r="CN583" s="277">
        <v>1</v>
      </c>
      <c r="CO583" s="50">
        <f t="shared" si="218"/>
        <v>316</v>
      </c>
      <c r="CP583" s="103">
        <f t="shared" si="219"/>
        <v>10</v>
      </c>
      <c r="CQ583" s="280">
        <f t="shared" si="220"/>
        <v>298</v>
      </c>
      <c r="CR583" s="63">
        <f t="shared" si="221"/>
        <v>10</v>
      </c>
      <c r="CS583" s="279"/>
      <c r="CT583" s="52"/>
      <c r="CU583" s="105"/>
      <c r="CV583" s="98"/>
      <c r="CW583" s="279"/>
      <c r="CX583" s="52"/>
      <c r="CY583" s="105"/>
      <c r="CZ583" s="98"/>
      <c r="DA583" s="279"/>
      <c r="DB583" s="52"/>
      <c r="DC583" s="105"/>
      <c r="DD583" s="98"/>
      <c r="DE583" s="279"/>
      <c r="DF583" s="52"/>
      <c r="DG583" s="105"/>
      <c r="DH583" s="98"/>
      <c r="DI583" s="279"/>
      <c r="DJ583" s="52"/>
      <c r="DK583" s="105"/>
      <c r="DL583" s="98"/>
      <c r="DM583" s="279"/>
      <c r="DN583" s="52"/>
      <c r="DO583" s="105"/>
      <c r="DP583" s="98"/>
      <c r="DQ583" s="279"/>
      <c r="DR583" s="52"/>
      <c r="DS583" s="105"/>
      <c r="DT583" s="98"/>
      <c r="DU583" s="279"/>
      <c r="DV583" s="52"/>
      <c r="DW583" s="105"/>
      <c r="DX583" s="98"/>
      <c r="DY583" s="279"/>
      <c r="DZ583" s="52"/>
      <c r="EA583" s="105"/>
      <c r="EB583" s="98"/>
      <c r="EC583" s="279"/>
      <c r="ED583" s="52"/>
      <c r="EE583" s="105"/>
      <c r="EF583" s="98"/>
      <c r="EG583" s="159"/>
      <c r="EH583" s="277"/>
      <c r="EI583" s="50">
        <f t="shared" si="222"/>
        <v>0</v>
      </c>
      <c r="EJ583" s="103">
        <f t="shared" si="223"/>
        <v>0</v>
      </c>
      <c r="EK583" s="164">
        <f t="shared" si="224"/>
        <v>0</v>
      </c>
      <c r="EL583" s="280">
        <f t="shared" si="225"/>
        <v>0</v>
      </c>
      <c r="EM583" s="63">
        <f t="shared" si="226"/>
        <v>0</v>
      </c>
      <c r="EN583" s="359">
        <f t="shared" si="227"/>
        <v>0</v>
      </c>
      <c r="EO583" s="51">
        <f t="shared" si="228"/>
        <v>316</v>
      </c>
      <c r="EP583" s="361">
        <f t="shared" si="229"/>
        <v>298</v>
      </c>
      <c r="EQ583" s="281"/>
      <c r="ER583" s="277"/>
      <c r="ES583" s="281"/>
      <c r="ET583" s="277"/>
      <c r="EU583" s="281"/>
      <c r="EV583" s="277"/>
      <c r="EW583" s="281"/>
      <c r="EX583" s="277"/>
      <c r="EY583" s="281"/>
      <c r="EZ583" s="277"/>
      <c r="FA583" s="281"/>
      <c r="FB583" s="277"/>
      <c r="FC583" s="281"/>
      <c r="FD583" s="277"/>
      <c r="FE583" s="281"/>
      <c r="FF583" s="277"/>
      <c r="FG583" s="281"/>
      <c r="FH583" s="277"/>
      <c r="FI583" s="281"/>
      <c r="FJ583" s="277"/>
      <c r="FK583" s="50">
        <f t="shared" si="230"/>
        <v>0</v>
      </c>
      <c r="FL583" s="63">
        <f t="shared" si="231"/>
        <v>0</v>
      </c>
      <c r="FM583" s="50">
        <f t="shared" si="213"/>
        <v>1021</v>
      </c>
      <c r="FN583" s="360">
        <f t="shared" si="214"/>
        <v>1020</v>
      </c>
      <c r="FO583" s="43"/>
      <c r="FP583" s="279"/>
      <c r="FQ583" s="467"/>
      <c r="FR583" s="296"/>
      <c r="FS583" s="98"/>
      <c r="FT583" s="467"/>
      <c r="FU583" s="52"/>
      <c r="FV583" s="296"/>
      <c r="FW583" s="98"/>
      <c r="FX583" s="467"/>
      <c r="FY583" s="52"/>
      <c r="FZ583" s="296"/>
      <c r="GA583" s="98"/>
      <c r="GB583" s="467"/>
      <c r="GC583" s="52"/>
      <c r="GD583" s="296"/>
      <c r="GE583" s="98"/>
      <c r="GF583" s="467"/>
      <c r="GG583" s="52"/>
      <c r="GH583" s="296"/>
      <c r="GI583" s="98"/>
      <c r="GJ583" s="467"/>
      <c r="GK583" s="52"/>
      <c r="GL583" s="296"/>
      <c r="GM583" s="464"/>
      <c r="GN583" s="467"/>
      <c r="GO583" s="52"/>
      <c r="GP583" s="296"/>
      <c r="GQ583" s="464"/>
      <c r="GR583" s="467"/>
      <c r="GS583" s="52"/>
      <c r="GT583" s="296"/>
      <c r="GU583" s="464"/>
      <c r="GV583" s="467"/>
      <c r="GW583" s="52"/>
      <c r="GX583" s="296"/>
      <c r="GY583" s="464"/>
      <c r="GZ583" s="467"/>
      <c r="HA583" s="52"/>
      <c r="HB583" s="296"/>
      <c r="HC583" s="43"/>
    </row>
    <row r="584" spans="1:211" s="85" customFormat="1">
      <c r="A584" s="502" t="s">
        <v>951</v>
      </c>
      <c r="B584" s="315" t="s">
        <v>807</v>
      </c>
      <c r="C584" s="314">
        <v>224554</v>
      </c>
      <c r="D584" s="343">
        <v>3</v>
      </c>
      <c r="E584" s="460"/>
      <c r="F584" s="277"/>
      <c r="G584" s="158"/>
      <c r="H584" s="277"/>
      <c r="I584" s="158"/>
      <c r="J584" s="338"/>
      <c r="K584" s="160">
        <f t="shared" si="215"/>
        <v>0</v>
      </c>
      <c r="L584" s="161">
        <f t="shared" si="208"/>
        <v>0</v>
      </c>
      <c r="M584" s="54">
        <v>1290</v>
      </c>
      <c r="N584" s="55"/>
      <c r="O584" s="55"/>
      <c r="P584" s="55"/>
      <c r="Q584" s="162">
        <f t="shared" si="216"/>
        <v>0</v>
      </c>
      <c r="R584" s="277">
        <v>1201</v>
      </c>
      <c r="S584" s="277"/>
      <c r="T584" s="277"/>
      <c r="U584" s="277"/>
      <c r="V584" s="97">
        <f t="shared" si="217"/>
        <v>0</v>
      </c>
      <c r="W584" s="279"/>
      <c r="X584" s="52"/>
      <c r="Y584" s="99"/>
      <c r="Z584" s="53"/>
      <c r="AA584" s="228"/>
      <c r="AB584" s="52"/>
      <c r="AC584" s="99"/>
      <c r="AD584" s="53"/>
      <c r="AE584" s="228"/>
      <c r="AF584" s="52"/>
      <c r="AG584" s="99"/>
      <c r="AH584" s="53"/>
      <c r="AI584" s="228"/>
      <c r="AJ584" s="52"/>
      <c r="AK584" s="99"/>
      <c r="AL584" s="53"/>
      <c r="AM584" s="228"/>
      <c r="AN584" s="52"/>
      <c r="AO584" s="99"/>
      <c r="AP584" s="53"/>
      <c r="AQ584" s="50">
        <f t="shared" si="209"/>
        <v>0</v>
      </c>
      <c r="AR584" s="163">
        <f t="shared" si="210"/>
        <v>0.5538857878917991</v>
      </c>
      <c r="AS584" s="97">
        <f t="shared" si="211"/>
        <v>0</v>
      </c>
      <c r="AT584" s="278">
        <f t="shared" si="212"/>
        <v>0.51722652885443587</v>
      </c>
      <c r="AU584" s="55"/>
      <c r="AV584" s="277"/>
      <c r="AW584" s="279">
        <v>13</v>
      </c>
      <c r="AX584" s="52">
        <v>443</v>
      </c>
      <c r="AY584" s="552">
        <v>13</v>
      </c>
      <c r="AZ584" s="551">
        <v>395</v>
      </c>
      <c r="BA584" s="279">
        <v>52</v>
      </c>
      <c r="BB584" s="52">
        <v>330</v>
      </c>
      <c r="BC584" s="552">
        <v>52</v>
      </c>
      <c r="BD584" s="551">
        <v>393</v>
      </c>
      <c r="BE584" s="279">
        <v>11</v>
      </c>
      <c r="BF584" s="52">
        <v>55</v>
      </c>
      <c r="BG584" s="552">
        <v>11</v>
      </c>
      <c r="BH584" s="551">
        <v>81</v>
      </c>
      <c r="BI584" s="279">
        <v>44</v>
      </c>
      <c r="BJ584" s="52">
        <v>49</v>
      </c>
      <c r="BK584" s="552">
        <v>44</v>
      </c>
      <c r="BL584" s="551">
        <v>51</v>
      </c>
      <c r="BM584" s="279">
        <v>15</v>
      </c>
      <c r="BN584" s="52">
        <v>30</v>
      </c>
      <c r="BO584" s="552">
        <v>15</v>
      </c>
      <c r="BP584" s="551">
        <v>49</v>
      </c>
      <c r="BQ584" s="279">
        <v>30</v>
      </c>
      <c r="BR584" s="52">
        <v>16</v>
      </c>
      <c r="BS584" s="552">
        <v>30</v>
      </c>
      <c r="BT584" s="551">
        <v>24</v>
      </c>
      <c r="BU584" s="279">
        <v>50</v>
      </c>
      <c r="BV584" s="52">
        <v>12</v>
      </c>
      <c r="BW584" s="552">
        <v>25</v>
      </c>
      <c r="BX584" s="551">
        <v>16</v>
      </c>
      <c r="BY584" s="279">
        <v>25</v>
      </c>
      <c r="BZ584" s="52">
        <v>11</v>
      </c>
      <c r="CA584" s="552">
        <v>50</v>
      </c>
      <c r="CB584" s="551">
        <v>13</v>
      </c>
      <c r="CC584" s="279">
        <v>42</v>
      </c>
      <c r="CD584" s="52">
        <v>8</v>
      </c>
      <c r="CE584" s="552">
        <v>23</v>
      </c>
      <c r="CF584" s="551">
        <v>12</v>
      </c>
      <c r="CG584" s="279">
        <v>23</v>
      </c>
      <c r="CH584" s="52">
        <v>7</v>
      </c>
      <c r="CI584" s="552">
        <v>31</v>
      </c>
      <c r="CJ584" s="551">
        <v>12</v>
      </c>
      <c r="CK584" s="281"/>
      <c r="CL584" s="277"/>
      <c r="CM584" s="159">
        <v>38</v>
      </c>
      <c r="CN584" s="277">
        <v>46</v>
      </c>
      <c r="CO584" s="50">
        <f t="shared" si="218"/>
        <v>999</v>
      </c>
      <c r="CP584" s="103">
        <f t="shared" si="219"/>
        <v>10</v>
      </c>
      <c r="CQ584" s="280">
        <f t="shared" si="220"/>
        <v>1092</v>
      </c>
      <c r="CR584" s="63">
        <f t="shared" si="221"/>
        <v>10</v>
      </c>
      <c r="CS584" s="279">
        <v>13</v>
      </c>
      <c r="CT584" s="52">
        <v>31</v>
      </c>
      <c r="CU584" s="552">
        <v>13</v>
      </c>
      <c r="CV584" s="551">
        <v>25</v>
      </c>
      <c r="CW584" s="279">
        <v>42</v>
      </c>
      <c r="CX584" s="52">
        <v>5</v>
      </c>
      <c r="CY584" s="552">
        <v>42</v>
      </c>
      <c r="CZ584" s="551">
        <v>3</v>
      </c>
      <c r="DA584" s="279">
        <v>23</v>
      </c>
      <c r="DB584" s="52">
        <v>4</v>
      </c>
      <c r="DC584" s="552">
        <v>23</v>
      </c>
      <c r="DD584" s="551">
        <v>1</v>
      </c>
      <c r="DE584" s="279"/>
      <c r="DF584" s="52"/>
      <c r="DG584" s="105"/>
      <c r="DH584" s="98"/>
      <c r="DI584" s="279"/>
      <c r="DJ584" s="52"/>
      <c r="DK584" s="105"/>
      <c r="DL584" s="98"/>
      <c r="DM584" s="279"/>
      <c r="DN584" s="52"/>
      <c r="DO584" s="105"/>
      <c r="DP584" s="98"/>
      <c r="DQ584" s="279"/>
      <c r="DR584" s="52"/>
      <c r="DS584" s="105"/>
      <c r="DT584" s="98"/>
      <c r="DU584" s="279"/>
      <c r="DV584" s="52"/>
      <c r="DW584" s="105"/>
      <c r="DX584" s="98"/>
      <c r="DY584" s="279"/>
      <c r="DZ584" s="52"/>
      <c r="EA584" s="105"/>
      <c r="EB584" s="98"/>
      <c r="EC584" s="279"/>
      <c r="ED584" s="52"/>
      <c r="EE584" s="105"/>
      <c r="EF584" s="98"/>
      <c r="EG584" s="159"/>
      <c r="EH584" s="277"/>
      <c r="EI584" s="50">
        <f t="shared" si="222"/>
        <v>40</v>
      </c>
      <c r="EJ584" s="103">
        <f t="shared" si="223"/>
        <v>3</v>
      </c>
      <c r="EK584" s="164">
        <f t="shared" si="224"/>
        <v>0.77500000000000002</v>
      </c>
      <c r="EL584" s="280">
        <f t="shared" si="225"/>
        <v>29</v>
      </c>
      <c r="EM584" s="63">
        <f t="shared" si="226"/>
        <v>3</v>
      </c>
      <c r="EN584" s="359">
        <f t="shared" si="227"/>
        <v>0.86206896551724133</v>
      </c>
      <c r="EO584" s="51">
        <f t="shared" si="228"/>
        <v>1039</v>
      </c>
      <c r="EP584" s="361">
        <f t="shared" si="229"/>
        <v>1121</v>
      </c>
      <c r="EQ584" s="281"/>
      <c r="ER584" s="277"/>
      <c r="ES584" s="281"/>
      <c r="ET584" s="277"/>
      <c r="EU584" s="281"/>
      <c r="EV584" s="277"/>
      <c r="EW584" s="281"/>
      <c r="EX584" s="277"/>
      <c r="EY584" s="281"/>
      <c r="EZ584" s="277"/>
      <c r="FA584" s="281"/>
      <c r="FB584" s="277"/>
      <c r="FC584" s="281"/>
      <c r="FD584" s="277"/>
      <c r="FE584" s="281"/>
      <c r="FF584" s="277"/>
      <c r="FG584" s="281"/>
      <c r="FH584" s="277"/>
      <c r="FI584" s="281">
        <f>FQ584+FU584</f>
        <v>0</v>
      </c>
      <c r="FJ584" s="277"/>
      <c r="FK584" s="50">
        <f t="shared" si="230"/>
        <v>0</v>
      </c>
      <c r="FL584" s="63">
        <f t="shared" si="231"/>
        <v>0</v>
      </c>
      <c r="FM584" s="50">
        <f t="shared" si="213"/>
        <v>2329</v>
      </c>
      <c r="FN584" s="360">
        <f t="shared" si="214"/>
        <v>2322</v>
      </c>
      <c r="FO584" s="43"/>
      <c r="FP584" s="279"/>
      <c r="FQ584" s="467"/>
      <c r="FR584" s="296"/>
      <c r="FS584" s="98"/>
      <c r="FT584" s="467"/>
      <c r="FU584" s="52"/>
      <c r="FV584" s="296"/>
      <c r="FW584" s="98"/>
      <c r="FX584" s="467"/>
      <c r="FY584" s="52"/>
      <c r="FZ584" s="296"/>
      <c r="GA584" s="98"/>
      <c r="GB584" s="467"/>
      <c r="GC584" s="52"/>
      <c r="GD584" s="296"/>
      <c r="GE584" s="98"/>
      <c r="GF584" s="467"/>
      <c r="GG584" s="52"/>
      <c r="GH584" s="296"/>
      <c r="GI584" s="98"/>
      <c r="GJ584" s="467"/>
      <c r="GK584" s="52"/>
      <c r="GL584" s="296"/>
      <c r="GM584" s="464"/>
      <c r="GN584" s="467"/>
      <c r="GO584" s="52"/>
      <c r="GP584" s="296"/>
      <c r="GQ584" s="464"/>
      <c r="GR584" s="467"/>
      <c r="GS584" s="52"/>
      <c r="GT584" s="296"/>
      <c r="GU584" s="464"/>
      <c r="GV584" s="467"/>
      <c r="GW584" s="52"/>
      <c r="GX584" s="296"/>
      <c r="GY584" s="464"/>
      <c r="GZ584" s="467"/>
      <c r="HA584" s="52"/>
      <c r="HB584" s="296"/>
      <c r="HC584" s="43"/>
    </row>
    <row r="585" spans="1:211" s="85" customFormat="1">
      <c r="A585" s="502" t="s">
        <v>951</v>
      </c>
      <c r="B585" s="315" t="s">
        <v>808</v>
      </c>
      <c r="C585" s="314">
        <v>224147</v>
      </c>
      <c r="D585" s="343">
        <v>3</v>
      </c>
      <c r="E585" s="460"/>
      <c r="F585" s="277"/>
      <c r="G585" s="158"/>
      <c r="H585" s="277"/>
      <c r="I585" s="158"/>
      <c r="J585" s="338"/>
      <c r="K585" s="160">
        <f t="shared" si="215"/>
        <v>0</v>
      </c>
      <c r="L585" s="161">
        <f t="shared" si="208"/>
        <v>0</v>
      </c>
      <c r="M585" s="54">
        <v>1340</v>
      </c>
      <c r="N585" s="55"/>
      <c r="O585" s="55"/>
      <c r="P585" s="55"/>
      <c r="Q585" s="162">
        <f t="shared" si="216"/>
        <v>0</v>
      </c>
      <c r="R585" s="277">
        <v>1424</v>
      </c>
      <c r="S585" s="277"/>
      <c r="T585" s="277"/>
      <c r="U585" s="277"/>
      <c r="V585" s="97">
        <f t="shared" si="217"/>
        <v>0</v>
      </c>
      <c r="W585" s="279"/>
      <c r="X585" s="52"/>
      <c r="Y585" s="99"/>
      <c r="Z585" s="53"/>
      <c r="AA585" s="228"/>
      <c r="AB585" s="52"/>
      <c r="AC585" s="99"/>
      <c r="AD585" s="53"/>
      <c r="AE585" s="228"/>
      <c r="AF585" s="52"/>
      <c r="AG585" s="99"/>
      <c r="AH585" s="53"/>
      <c r="AI585" s="228"/>
      <c r="AJ585" s="52"/>
      <c r="AK585" s="99"/>
      <c r="AL585" s="53"/>
      <c r="AM585" s="228"/>
      <c r="AN585" s="52"/>
      <c r="AO585" s="99"/>
      <c r="AP585" s="53"/>
      <c r="AQ585" s="50">
        <f t="shared" si="209"/>
        <v>0</v>
      </c>
      <c r="AR585" s="163">
        <f t="shared" si="210"/>
        <v>0.75620767494356655</v>
      </c>
      <c r="AS585" s="97">
        <f t="shared" si="211"/>
        <v>0</v>
      </c>
      <c r="AT585" s="278">
        <f t="shared" si="212"/>
        <v>0.7416666666666667</v>
      </c>
      <c r="AU585" s="55"/>
      <c r="AV585" s="277"/>
      <c r="AW585" s="279">
        <v>13</v>
      </c>
      <c r="AX585" s="52">
        <v>180</v>
      </c>
      <c r="AY585" s="552">
        <v>13</v>
      </c>
      <c r="AZ585" s="551">
        <v>205</v>
      </c>
      <c r="BA585" s="279">
        <v>52</v>
      </c>
      <c r="BB585" s="52">
        <v>73</v>
      </c>
      <c r="BC585" s="552">
        <v>52</v>
      </c>
      <c r="BD585" s="551">
        <v>92</v>
      </c>
      <c r="BE585" s="279">
        <v>51</v>
      </c>
      <c r="BF585" s="52">
        <v>56</v>
      </c>
      <c r="BG585" s="552">
        <v>51</v>
      </c>
      <c r="BH585" s="551">
        <v>61</v>
      </c>
      <c r="BI585" s="279">
        <v>26</v>
      </c>
      <c r="BJ585" s="52">
        <v>19</v>
      </c>
      <c r="BK585" s="552">
        <v>11</v>
      </c>
      <c r="BL585" s="551">
        <v>24</v>
      </c>
      <c r="BM585" s="279">
        <v>11</v>
      </c>
      <c r="BN585" s="52">
        <v>13</v>
      </c>
      <c r="BO585" s="552">
        <v>44</v>
      </c>
      <c r="BP585" s="551">
        <v>17</v>
      </c>
      <c r="BQ585" s="279">
        <v>44</v>
      </c>
      <c r="BR585" s="52">
        <v>11</v>
      </c>
      <c r="BS585" s="552">
        <v>23</v>
      </c>
      <c r="BT585" s="551">
        <v>15</v>
      </c>
      <c r="BU585" s="279">
        <v>23</v>
      </c>
      <c r="BV585" s="52">
        <v>10</v>
      </c>
      <c r="BW585" s="552">
        <v>26</v>
      </c>
      <c r="BX585" s="551">
        <v>13</v>
      </c>
      <c r="BY585" s="279">
        <v>42</v>
      </c>
      <c r="BZ585" s="52">
        <v>9</v>
      </c>
      <c r="CA585" s="552">
        <v>50</v>
      </c>
      <c r="CB585" s="551">
        <v>12</v>
      </c>
      <c r="CC585" s="279">
        <v>3</v>
      </c>
      <c r="CD585" s="52">
        <v>8</v>
      </c>
      <c r="CE585" s="552">
        <v>14</v>
      </c>
      <c r="CF585" s="551">
        <v>7</v>
      </c>
      <c r="CG585" s="279">
        <v>27</v>
      </c>
      <c r="CH585" s="52">
        <v>8</v>
      </c>
      <c r="CI585" s="552">
        <v>31</v>
      </c>
      <c r="CJ585" s="551">
        <v>7</v>
      </c>
      <c r="CK585" s="281"/>
      <c r="CL585" s="277"/>
      <c r="CM585" s="159">
        <v>13</v>
      </c>
      <c r="CN585" s="277">
        <v>16</v>
      </c>
      <c r="CO585" s="50">
        <f t="shared" si="218"/>
        <v>400</v>
      </c>
      <c r="CP585" s="103">
        <f t="shared" si="219"/>
        <v>10</v>
      </c>
      <c r="CQ585" s="280">
        <f t="shared" si="220"/>
        <v>469</v>
      </c>
      <c r="CR585" s="63">
        <f t="shared" si="221"/>
        <v>10</v>
      </c>
      <c r="CS585" s="279">
        <v>13</v>
      </c>
      <c r="CT585" s="52">
        <v>32</v>
      </c>
      <c r="CU585" s="552">
        <v>13</v>
      </c>
      <c r="CV585" s="551">
        <v>25</v>
      </c>
      <c r="CW585" s="279"/>
      <c r="CX585" s="52"/>
      <c r="CY585" s="552">
        <v>3</v>
      </c>
      <c r="CZ585" s="551">
        <v>2</v>
      </c>
      <c r="DA585" s="279"/>
      <c r="DB585" s="52"/>
      <c r="DC585" s="105"/>
      <c r="DD585" s="98"/>
      <c r="DE585" s="279"/>
      <c r="DF585" s="52"/>
      <c r="DG585" s="105"/>
      <c r="DH585" s="98"/>
      <c r="DI585" s="279"/>
      <c r="DJ585" s="52"/>
      <c r="DK585" s="105"/>
      <c r="DL585" s="98"/>
      <c r="DM585" s="279"/>
      <c r="DN585" s="52"/>
      <c r="DO585" s="105"/>
      <c r="DP585" s="98"/>
      <c r="DQ585" s="279"/>
      <c r="DR585" s="52"/>
      <c r="DS585" s="105"/>
      <c r="DT585" s="98"/>
      <c r="DU585" s="279"/>
      <c r="DV585" s="52"/>
      <c r="DW585" s="105"/>
      <c r="DX585" s="98"/>
      <c r="DY585" s="279"/>
      <c r="DZ585" s="52"/>
      <c r="EA585" s="105"/>
      <c r="EB585" s="98"/>
      <c r="EC585" s="279"/>
      <c r="ED585" s="52"/>
      <c r="EE585" s="105"/>
      <c r="EF585" s="98"/>
      <c r="EG585" s="159"/>
      <c r="EH585" s="277"/>
      <c r="EI585" s="50">
        <f t="shared" si="222"/>
        <v>32</v>
      </c>
      <c r="EJ585" s="103">
        <f t="shared" si="223"/>
        <v>1</v>
      </c>
      <c r="EK585" s="164">
        <f t="shared" si="224"/>
        <v>1</v>
      </c>
      <c r="EL585" s="280">
        <f t="shared" si="225"/>
        <v>27</v>
      </c>
      <c r="EM585" s="63">
        <f t="shared" si="226"/>
        <v>2</v>
      </c>
      <c r="EN585" s="359">
        <f t="shared" si="227"/>
        <v>0.92592592592592593</v>
      </c>
      <c r="EO585" s="51">
        <f t="shared" si="228"/>
        <v>432</v>
      </c>
      <c r="EP585" s="361">
        <f t="shared" si="229"/>
        <v>496</v>
      </c>
      <c r="EQ585" s="281"/>
      <c r="ER585" s="277"/>
      <c r="ES585" s="281"/>
      <c r="ET585" s="277"/>
      <c r="EU585" s="281"/>
      <c r="EV585" s="277"/>
      <c r="EW585" s="281"/>
      <c r="EX585" s="277"/>
      <c r="EY585" s="281"/>
      <c r="EZ585" s="277"/>
      <c r="FA585" s="281"/>
      <c r="FB585" s="277"/>
      <c r="FC585" s="281"/>
      <c r="FD585" s="277"/>
      <c r="FE585" s="281"/>
      <c r="FF585" s="277"/>
      <c r="FG585" s="281"/>
      <c r="FH585" s="277"/>
      <c r="FI585" s="281">
        <f>FQ585+FU585</f>
        <v>0</v>
      </c>
      <c r="FJ585" s="277"/>
      <c r="FK585" s="50">
        <f t="shared" si="230"/>
        <v>0</v>
      </c>
      <c r="FL585" s="63">
        <f t="shared" si="231"/>
        <v>0</v>
      </c>
      <c r="FM585" s="50">
        <f t="shared" si="213"/>
        <v>1772</v>
      </c>
      <c r="FN585" s="360">
        <f t="shared" si="214"/>
        <v>1920</v>
      </c>
      <c r="FO585" s="43"/>
      <c r="FP585" s="279"/>
      <c r="FQ585" s="467"/>
      <c r="FR585" s="296"/>
      <c r="FS585" s="98"/>
      <c r="FT585" s="467"/>
      <c r="FU585" s="52"/>
      <c r="FV585" s="296"/>
      <c r="FW585" s="98"/>
      <c r="FX585" s="467"/>
      <c r="FY585" s="52"/>
      <c r="FZ585" s="296"/>
      <c r="GA585" s="98"/>
      <c r="GB585" s="467"/>
      <c r="GC585" s="52"/>
      <c r="GD585" s="296"/>
      <c r="GE585" s="98"/>
      <c r="GF585" s="467"/>
      <c r="GG585" s="52"/>
      <c r="GH585" s="296"/>
      <c r="GI585" s="98"/>
      <c r="GJ585" s="467"/>
      <c r="GK585" s="52"/>
      <c r="GL585" s="296"/>
      <c r="GM585" s="464"/>
      <c r="GN585" s="467"/>
      <c r="GO585" s="52"/>
      <c r="GP585" s="296"/>
      <c r="GQ585" s="464"/>
      <c r="GR585" s="467"/>
      <c r="GS585" s="52"/>
      <c r="GT585" s="296"/>
      <c r="GU585" s="464"/>
      <c r="GV585" s="467"/>
      <c r="GW585" s="52"/>
      <c r="GX585" s="296"/>
      <c r="GY585" s="464"/>
      <c r="GZ585" s="467"/>
      <c r="HA585" s="52"/>
      <c r="HB585" s="296"/>
      <c r="HC585" s="43"/>
    </row>
    <row r="586" spans="1:211" s="85" customFormat="1">
      <c r="A586" s="502" t="s">
        <v>951</v>
      </c>
      <c r="B586" s="315" t="s">
        <v>809</v>
      </c>
      <c r="C586" s="314">
        <v>228705</v>
      </c>
      <c r="D586" s="343">
        <v>3</v>
      </c>
      <c r="E586" s="460"/>
      <c r="F586" s="277"/>
      <c r="G586" s="158"/>
      <c r="H586" s="277"/>
      <c r="I586" s="158"/>
      <c r="J586" s="338"/>
      <c r="K586" s="160">
        <f t="shared" si="215"/>
        <v>0</v>
      </c>
      <c r="L586" s="161">
        <f t="shared" ref="L586:L649" si="236">IF(R586&gt;0,J586/R586, )</f>
        <v>0</v>
      </c>
      <c r="M586" s="54">
        <v>942</v>
      </c>
      <c r="N586" s="55"/>
      <c r="O586" s="55"/>
      <c r="P586" s="55"/>
      <c r="Q586" s="162">
        <f t="shared" si="216"/>
        <v>0</v>
      </c>
      <c r="R586" s="277">
        <v>1120</v>
      </c>
      <c r="S586" s="277"/>
      <c r="T586" s="277"/>
      <c r="U586" s="277"/>
      <c r="V586" s="97">
        <f t="shared" si="217"/>
        <v>0</v>
      </c>
      <c r="W586" s="279"/>
      <c r="X586" s="52"/>
      <c r="Y586" s="99"/>
      <c r="Z586" s="53"/>
      <c r="AA586" s="228"/>
      <c r="AB586" s="52"/>
      <c r="AC586" s="99"/>
      <c r="AD586" s="53"/>
      <c r="AE586" s="228"/>
      <c r="AF586" s="52"/>
      <c r="AG586" s="99"/>
      <c r="AH586" s="53"/>
      <c r="AI586" s="228"/>
      <c r="AJ586" s="52"/>
      <c r="AK586" s="99"/>
      <c r="AL586" s="53"/>
      <c r="AM586" s="228"/>
      <c r="AN586" s="52"/>
      <c r="AO586" s="99"/>
      <c r="AP586" s="53"/>
      <c r="AQ586" s="50">
        <f t="shared" ref="AQ586:AQ649" si="237">COUNTA(W586,AA586,AE586,AI586,AM586)</f>
        <v>0</v>
      </c>
      <c r="AR586" s="163">
        <f t="shared" ref="AR586:AR649" si="238">IF(FM586&gt;0,M586/FM586,)</f>
        <v>0.63951120162932795</v>
      </c>
      <c r="AS586" s="97">
        <f t="shared" ref="AS586:AS649" si="239">COUNTA(Y586,AC586,AG586,AK586,AO586)</f>
        <v>0</v>
      </c>
      <c r="AT586" s="278">
        <f t="shared" ref="AT586:AT649" si="240">IF(FN586&gt;0,R586/FN586,)</f>
        <v>0.74319840743198406</v>
      </c>
      <c r="AU586" s="55"/>
      <c r="AV586" s="277"/>
      <c r="AW586" s="279">
        <v>14</v>
      </c>
      <c r="AX586" s="52">
        <v>158</v>
      </c>
      <c r="AY586" s="552">
        <v>13</v>
      </c>
      <c r="AZ586" s="551">
        <v>110</v>
      </c>
      <c r="BA586" s="279">
        <v>13</v>
      </c>
      <c r="BB586" s="52">
        <v>111</v>
      </c>
      <c r="BC586" s="552">
        <v>14</v>
      </c>
      <c r="BD586" s="551">
        <v>98</v>
      </c>
      <c r="BE586" s="279">
        <v>11</v>
      </c>
      <c r="BF586" s="52">
        <v>102</v>
      </c>
      <c r="BG586" s="552">
        <v>11</v>
      </c>
      <c r="BH586" s="551">
        <v>61</v>
      </c>
      <c r="BI586" s="279">
        <v>1</v>
      </c>
      <c r="BJ586" s="52">
        <v>29</v>
      </c>
      <c r="BK586" s="552">
        <v>1</v>
      </c>
      <c r="BL586" s="551">
        <v>23</v>
      </c>
      <c r="BM586" s="279">
        <v>51</v>
      </c>
      <c r="BN586" s="52">
        <v>24</v>
      </c>
      <c r="BO586" s="552">
        <v>51</v>
      </c>
      <c r="BP586" s="551">
        <v>16</v>
      </c>
      <c r="BQ586" s="279">
        <v>52</v>
      </c>
      <c r="BR586" s="52">
        <v>17</v>
      </c>
      <c r="BS586" s="552">
        <v>3</v>
      </c>
      <c r="BT586" s="551">
        <v>13</v>
      </c>
      <c r="BU586" s="279">
        <v>42</v>
      </c>
      <c r="BV586" s="52">
        <v>12</v>
      </c>
      <c r="BW586" s="552">
        <v>52</v>
      </c>
      <c r="BX586" s="551">
        <v>13</v>
      </c>
      <c r="BY586" s="279">
        <v>3</v>
      </c>
      <c r="BZ586" s="52">
        <v>10</v>
      </c>
      <c r="CA586" s="552">
        <v>31</v>
      </c>
      <c r="CB586" s="551">
        <v>5</v>
      </c>
      <c r="CC586" s="279">
        <v>19</v>
      </c>
      <c r="CD586" s="52">
        <v>10</v>
      </c>
      <c r="CE586" s="552">
        <v>42</v>
      </c>
      <c r="CF586" s="551">
        <v>5</v>
      </c>
      <c r="CG586" s="279">
        <v>16</v>
      </c>
      <c r="CH586" s="52">
        <v>8</v>
      </c>
      <c r="CI586" s="552">
        <v>19</v>
      </c>
      <c r="CJ586" s="551">
        <v>4</v>
      </c>
      <c r="CK586" s="281"/>
      <c r="CL586" s="277"/>
      <c r="CM586" s="159">
        <v>28</v>
      </c>
      <c r="CN586" s="277">
        <v>14</v>
      </c>
      <c r="CO586" s="50">
        <f t="shared" si="218"/>
        <v>509</v>
      </c>
      <c r="CP586" s="103">
        <f t="shared" si="219"/>
        <v>10</v>
      </c>
      <c r="CQ586" s="280">
        <f t="shared" si="220"/>
        <v>362</v>
      </c>
      <c r="CR586" s="63">
        <f t="shared" si="221"/>
        <v>10</v>
      </c>
      <c r="CS586" s="279">
        <v>13</v>
      </c>
      <c r="CT586" s="52">
        <v>19</v>
      </c>
      <c r="CU586" s="552">
        <v>13</v>
      </c>
      <c r="CV586" s="551">
        <v>19</v>
      </c>
      <c r="CW586" s="279">
        <v>14</v>
      </c>
      <c r="CX586" s="52">
        <v>3</v>
      </c>
      <c r="CY586" s="552">
        <v>3</v>
      </c>
      <c r="CZ586" s="551">
        <v>5</v>
      </c>
      <c r="DA586" s="279"/>
      <c r="DB586" s="52"/>
      <c r="DC586" s="552">
        <v>14</v>
      </c>
      <c r="DD586" s="551">
        <v>1</v>
      </c>
      <c r="DE586" s="279"/>
      <c r="DF586" s="52"/>
      <c r="DG586" s="105"/>
      <c r="DH586" s="98"/>
      <c r="DI586" s="279"/>
      <c r="DJ586" s="52"/>
      <c r="DK586" s="105"/>
      <c r="DL586" s="98"/>
      <c r="DM586" s="279"/>
      <c r="DN586" s="52"/>
      <c r="DO586" s="105"/>
      <c r="DP586" s="98"/>
      <c r="DQ586" s="279"/>
      <c r="DR586" s="52"/>
      <c r="DS586" s="105"/>
      <c r="DT586" s="98"/>
      <c r="DU586" s="279"/>
      <c r="DV586" s="52"/>
      <c r="DW586" s="105"/>
      <c r="DX586" s="98"/>
      <c r="DY586" s="279"/>
      <c r="DZ586" s="52"/>
      <c r="EA586" s="105"/>
      <c r="EB586" s="98"/>
      <c r="EC586" s="279"/>
      <c r="ED586" s="52"/>
      <c r="EE586" s="105"/>
      <c r="EF586" s="98"/>
      <c r="EG586" s="159"/>
      <c r="EH586" s="277"/>
      <c r="EI586" s="50">
        <f t="shared" si="222"/>
        <v>22</v>
      </c>
      <c r="EJ586" s="103">
        <f t="shared" si="223"/>
        <v>2</v>
      </c>
      <c r="EK586" s="164">
        <f t="shared" si="224"/>
        <v>0.86363636363636365</v>
      </c>
      <c r="EL586" s="280">
        <f t="shared" si="225"/>
        <v>25</v>
      </c>
      <c r="EM586" s="63">
        <f t="shared" si="226"/>
        <v>3</v>
      </c>
      <c r="EN586" s="359">
        <f t="shared" si="227"/>
        <v>0.76</v>
      </c>
      <c r="EO586" s="51">
        <f t="shared" si="228"/>
        <v>531</v>
      </c>
      <c r="EP586" s="361">
        <f t="shared" si="229"/>
        <v>387</v>
      </c>
      <c r="EQ586" s="281"/>
      <c r="ER586" s="277"/>
      <c r="ES586" s="281"/>
      <c r="ET586" s="277"/>
      <c r="EU586" s="281"/>
      <c r="EV586" s="277"/>
      <c r="EW586" s="281"/>
      <c r="EX586" s="277"/>
      <c r="EY586" s="281"/>
      <c r="EZ586" s="277"/>
      <c r="FA586" s="281"/>
      <c r="FB586" s="277"/>
      <c r="FC586" s="281"/>
      <c r="FD586" s="277"/>
      <c r="FE586" s="281"/>
      <c r="FF586" s="277"/>
      <c r="FG586" s="281"/>
      <c r="FH586" s="277"/>
      <c r="FI586" s="281"/>
      <c r="FJ586" s="277"/>
      <c r="FK586" s="50">
        <f t="shared" si="230"/>
        <v>0</v>
      </c>
      <c r="FL586" s="63">
        <f t="shared" si="231"/>
        <v>0</v>
      </c>
      <c r="FM586" s="50">
        <f t="shared" ref="FM586:FM649" si="241">E586+G586+I586+M586+AU586+EO586+FK586</f>
        <v>1473</v>
      </c>
      <c r="FN586" s="360">
        <f t="shared" ref="FN586:FN649" si="242">F586+H586+J586+R586+AV586+EP586+FL586</f>
        <v>1507</v>
      </c>
      <c r="FO586" s="43"/>
      <c r="FP586" s="279"/>
      <c r="FQ586" s="467"/>
      <c r="FR586" s="296"/>
      <c r="FS586" s="98"/>
      <c r="FT586" s="467"/>
      <c r="FU586" s="52"/>
      <c r="FV586" s="296"/>
      <c r="FW586" s="98"/>
      <c r="FX586" s="467"/>
      <c r="FY586" s="52"/>
      <c r="FZ586" s="296"/>
      <c r="GA586" s="98"/>
      <c r="GB586" s="467"/>
      <c r="GC586" s="52"/>
      <c r="GD586" s="296"/>
      <c r="GE586" s="98"/>
      <c r="GF586" s="467"/>
      <c r="GG586" s="52"/>
      <c r="GH586" s="296"/>
      <c r="GI586" s="98"/>
      <c r="GJ586" s="467"/>
      <c r="GK586" s="52"/>
      <c r="GL586" s="296"/>
      <c r="GM586" s="464"/>
      <c r="GN586" s="467"/>
      <c r="GO586" s="52"/>
      <c r="GP586" s="296"/>
      <c r="GQ586" s="464"/>
      <c r="GR586" s="467"/>
      <c r="GS586" s="52"/>
      <c r="GT586" s="296"/>
      <c r="GU586" s="464"/>
      <c r="GV586" s="467"/>
      <c r="GW586" s="52"/>
      <c r="GX586" s="296"/>
      <c r="GY586" s="464"/>
      <c r="GZ586" s="467"/>
      <c r="HA586" s="52"/>
      <c r="HB586" s="296"/>
      <c r="HC586" s="43"/>
    </row>
    <row r="587" spans="1:211" s="85" customFormat="1">
      <c r="A587" s="502" t="s">
        <v>951</v>
      </c>
      <c r="B587" s="315" t="s">
        <v>810</v>
      </c>
      <c r="C587" s="314">
        <v>229063</v>
      </c>
      <c r="D587" s="343">
        <v>3</v>
      </c>
      <c r="E587" s="460"/>
      <c r="F587" s="277"/>
      <c r="G587" s="158"/>
      <c r="H587" s="277"/>
      <c r="I587" s="158"/>
      <c r="J587" s="338"/>
      <c r="K587" s="160">
        <f t="shared" ref="K587:K650" si="243">IF(M587&gt;0,I587/M587, )</f>
        <v>0</v>
      </c>
      <c r="L587" s="161">
        <f t="shared" si="236"/>
        <v>0</v>
      </c>
      <c r="M587" s="54">
        <v>821</v>
      </c>
      <c r="N587" s="55"/>
      <c r="O587" s="55"/>
      <c r="P587" s="55"/>
      <c r="Q587" s="162">
        <f t="shared" ref="Q587:Q650" si="244">SUM(N587:P587)</f>
        <v>0</v>
      </c>
      <c r="R587" s="277">
        <v>889</v>
      </c>
      <c r="S587" s="277"/>
      <c r="T587" s="277"/>
      <c r="U587" s="277"/>
      <c r="V587" s="97">
        <f t="shared" ref="V587:V650" si="245">SUM(S587:U587)</f>
        <v>0</v>
      </c>
      <c r="W587" s="279"/>
      <c r="X587" s="52"/>
      <c r="Y587" s="99"/>
      <c r="Z587" s="53"/>
      <c r="AA587" s="228"/>
      <c r="AB587" s="52"/>
      <c r="AC587" s="99"/>
      <c r="AD587" s="53"/>
      <c r="AE587" s="228"/>
      <c r="AF587" s="52"/>
      <c r="AG587" s="99"/>
      <c r="AH587" s="53"/>
      <c r="AI587" s="228"/>
      <c r="AJ587" s="52"/>
      <c r="AK587" s="99"/>
      <c r="AL587" s="53"/>
      <c r="AM587" s="228"/>
      <c r="AN587" s="52"/>
      <c r="AO587" s="99"/>
      <c r="AP587" s="53"/>
      <c r="AQ587" s="50">
        <f t="shared" si="237"/>
        <v>0</v>
      </c>
      <c r="AR587" s="163">
        <f t="shared" si="238"/>
        <v>0.60590405904059041</v>
      </c>
      <c r="AS587" s="97">
        <f t="shared" si="239"/>
        <v>0</v>
      </c>
      <c r="AT587" s="278">
        <f t="shared" si="240"/>
        <v>0.63319088319088324</v>
      </c>
      <c r="AU587" s="55"/>
      <c r="AV587" s="277"/>
      <c r="AW587" s="279">
        <v>13</v>
      </c>
      <c r="AX587" s="52">
        <v>78</v>
      </c>
      <c r="AY587" s="552">
        <v>13</v>
      </c>
      <c r="AZ587" s="551">
        <v>71</v>
      </c>
      <c r="BA587" s="279">
        <v>52</v>
      </c>
      <c r="BB587" s="52">
        <v>29</v>
      </c>
      <c r="BC587" s="552">
        <v>44</v>
      </c>
      <c r="BD587" s="551">
        <v>30</v>
      </c>
      <c r="BE587" s="279">
        <v>44</v>
      </c>
      <c r="BF587" s="52">
        <v>28</v>
      </c>
      <c r="BG587" s="552">
        <v>52</v>
      </c>
      <c r="BH587" s="551">
        <v>23</v>
      </c>
      <c r="BI587" s="279">
        <v>42</v>
      </c>
      <c r="BJ587" s="52">
        <v>16</v>
      </c>
      <c r="BK587" s="552">
        <v>42</v>
      </c>
      <c r="BL587" s="551">
        <v>12</v>
      </c>
      <c r="BM587" s="279">
        <v>9</v>
      </c>
      <c r="BN587" s="52">
        <v>13</v>
      </c>
      <c r="BO587" s="552">
        <v>11</v>
      </c>
      <c r="BP587" s="551">
        <v>8</v>
      </c>
      <c r="BQ587" s="279">
        <v>26</v>
      </c>
      <c r="BR587" s="52">
        <v>10</v>
      </c>
      <c r="BS587" s="552">
        <v>9</v>
      </c>
      <c r="BT587" s="551">
        <v>7</v>
      </c>
      <c r="BU587" s="279">
        <v>45</v>
      </c>
      <c r="BV587" s="52">
        <v>7</v>
      </c>
      <c r="BW587" s="552">
        <v>19</v>
      </c>
      <c r="BX587" s="551">
        <v>7</v>
      </c>
      <c r="BY587" s="279">
        <v>19</v>
      </c>
      <c r="BZ587" s="52">
        <v>6</v>
      </c>
      <c r="CA587" s="552">
        <v>51</v>
      </c>
      <c r="CB587" s="551">
        <v>4</v>
      </c>
      <c r="CC587" s="279">
        <v>4</v>
      </c>
      <c r="CD587" s="52">
        <v>5</v>
      </c>
      <c r="CE587" s="552">
        <v>26</v>
      </c>
      <c r="CF587" s="551">
        <v>3</v>
      </c>
      <c r="CG587" s="279">
        <v>11</v>
      </c>
      <c r="CH587" s="52">
        <v>5</v>
      </c>
      <c r="CI587" s="552">
        <v>45</v>
      </c>
      <c r="CJ587" s="551">
        <v>3</v>
      </c>
      <c r="CK587" s="281"/>
      <c r="CL587" s="277"/>
      <c r="CM587" s="159">
        <v>9</v>
      </c>
      <c r="CN587" s="277">
        <v>6</v>
      </c>
      <c r="CO587" s="50">
        <f t="shared" ref="CO587:CO650" si="246">AX587+BB587+BF587+BJ587+BN587+BR587+BV587+BZ587+CD587+CH587+CK587+CM587</f>
        <v>206</v>
      </c>
      <c r="CP587" s="103">
        <f t="shared" ref="CP587:CP650" si="247">COUNTA(AW587,BA587,BE587,BI587,BM587,BQ587,BU587,BY587,CC587,CG587)</f>
        <v>10</v>
      </c>
      <c r="CQ587" s="280">
        <f t="shared" ref="CQ587:CQ650" si="248">AZ587+BD587+BH587+BL587+BP587+BT587+BX587+CF587+CB587+CJ587+CL587+CN587</f>
        <v>174</v>
      </c>
      <c r="CR587" s="63">
        <f t="shared" ref="CR587:CR650" si="249">COUNTA(AY587,BC587,BG587,BK587,BO587,BS587,BW587,CE587,CA587,CI587)</f>
        <v>10</v>
      </c>
      <c r="CS587" s="279">
        <v>13</v>
      </c>
      <c r="CT587" s="52">
        <v>11</v>
      </c>
      <c r="CU587" s="552">
        <v>13</v>
      </c>
      <c r="CV587" s="551">
        <v>15</v>
      </c>
      <c r="CW587" s="279">
        <v>26</v>
      </c>
      <c r="CX587" s="52">
        <v>7</v>
      </c>
      <c r="CY587" s="552">
        <v>26</v>
      </c>
      <c r="CZ587" s="551">
        <v>9</v>
      </c>
      <c r="DA587" s="279">
        <v>4</v>
      </c>
      <c r="DB587" s="52">
        <v>2</v>
      </c>
      <c r="DC587" s="552">
        <v>4</v>
      </c>
      <c r="DD587" s="551">
        <v>2</v>
      </c>
      <c r="DE587" s="279"/>
      <c r="DF587" s="52"/>
      <c r="DG587" s="552">
        <v>51</v>
      </c>
      <c r="DH587" s="551">
        <v>1</v>
      </c>
      <c r="DI587" s="279"/>
      <c r="DJ587" s="52"/>
      <c r="DK587" s="105"/>
      <c r="DL587" s="98"/>
      <c r="DM587" s="279"/>
      <c r="DN587" s="52"/>
      <c r="DO587" s="105"/>
      <c r="DP587" s="98"/>
      <c r="DQ587" s="279"/>
      <c r="DR587" s="52"/>
      <c r="DS587" s="105"/>
      <c r="DT587" s="98"/>
      <c r="DU587" s="279"/>
      <c r="DV587" s="52"/>
      <c r="DW587" s="105"/>
      <c r="DX587" s="98"/>
      <c r="DY587" s="279"/>
      <c r="DZ587" s="52"/>
      <c r="EA587" s="105"/>
      <c r="EB587" s="98"/>
      <c r="EC587" s="279"/>
      <c r="ED587" s="52"/>
      <c r="EE587" s="105"/>
      <c r="EF587" s="98"/>
      <c r="EG587" s="159"/>
      <c r="EH587" s="277"/>
      <c r="EI587" s="50">
        <f t="shared" ref="EI587:EI650" si="250">CT587+CX587+DB587+DF587+DJ587+DN587+DR587+DV587+DZ587+ED587+EG587</f>
        <v>20</v>
      </c>
      <c r="EJ587" s="103">
        <f t="shared" ref="EJ587:EJ650" si="251">COUNTA(CS587,CW587,DA587,DE587,DI587,DM587,DQ587,DU587,DY587,EC587)</f>
        <v>3</v>
      </c>
      <c r="EK587" s="164">
        <f t="shared" ref="EK587:EK650" si="252">IF(EI587&gt;0,CT587/EI587,)</f>
        <v>0.55000000000000004</v>
      </c>
      <c r="EL587" s="280">
        <f t="shared" ref="EL587:EL650" si="253">CV587+CZ587+DD587+DH587+DL587+DP587+DT587+DX587+EB587+EF587+EH587</f>
        <v>27</v>
      </c>
      <c r="EM587" s="63">
        <f t="shared" ref="EM587:EM650" si="254">COUNTA(CU587,CY587,DC587,DG587,DK587,DO587,DS587,DW587,EA587,EE587)</f>
        <v>4</v>
      </c>
      <c r="EN587" s="359">
        <f t="shared" ref="EN587:EN650" si="255">IF(EL587&gt;0,CV587/EL587,)</f>
        <v>0.55555555555555558</v>
      </c>
      <c r="EO587" s="51">
        <f t="shared" ref="EO587:EO650" si="256">CO587+EI587</f>
        <v>226</v>
      </c>
      <c r="EP587" s="361">
        <f t="shared" ref="EP587:EP650" si="257">CQ587+EL587</f>
        <v>201</v>
      </c>
      <c r="EQ587" s="281">
        <v>190</v>
      </c>
      <c r="ER587" s="277">
        <v>192</v>
      </c>
      <c r="ES587" s="281"/>
      <c r="ET587" s="277"/>
      <c r="EU587" s="281"/>
      <c r="EV587" s="277"/>
      <c r="EW587" s="281">
        <v>118</v>
      </c>
      <c r="EX587" s="277">
        <v>122</v>
      </c>
      <c r="EY587" s="281"/>
      <c r="EZ587" s="277"/>
      <c r="FA587" s="281"/>
      <c r="FB587" s="277"/>
      <c r="FC587" s="281"/>
      <c r="FD587" s="277"/>
      <c r="FE587" s="281"/>
      <c r="FF587" s="277"/>
      <c r="FG587" s="281"/>
      <c r="FH587" s="277"/>
      <c r="FI587" s="281"/>
      <c r="FJ587" s="277"/>
      <c r="FK587" s="50">
        <f t="shared" ref="FK587:FK650" si="258">EQ587+ES587+EU587+EW587+EY587+FA587+FC587+FE587+FG587+FI587</f>
        <v>308</v>
      </c>
      <c r="FL587" s="63">
        <f t="shared" ref="FL587:FL650" si="259">ER587+ET587+EV587+EX587+EZ587+FB587+FD587+FF587+FH587+FJ587</f>
        <v>314</v>
      </c>
      <c r="FM587" s="50">
        <f t="shared" si="241"/>
        <v>1355</v>
      </c>
      <c r="FN587" s="360">
        <f t="shared" si="242"/>
        <v>1404</v>
      </c>
      <c r="FO587" s="43"/>
      <c r="FP587" s="279"/>
      <c r="FQ587" s="467"/>
      <c r="FR587" s="296"/>
      <c r="FS587" s="98"/>
      <c r="FT587" s="467"/>
      <c r="FU587" s="52"/>
      <c r="FV587" s="296"/>
      <c r="FW587" s="98"/>
      <c r="FX587" s="467"/>
      <c r="FY587" s="52"/>
      <c r="FZ587" s="296"/>
      <c r="GA587" s="98"/>
      <c r="GB587" s="467"/>
      <c r="GC587" s="52"/>
      <c r="GD587" s="296"/>
      <c r="GE587" s="98"/>
      <c r="GF587" s="467"/>
      <c r="GG587" s="52"/>
      <c r="GH587" s="296"/>
      <c r="GI587" s="98"/>
      <c r="GJ587" s="467"/>
      <c r="GK587" s="52"/>
      <c r="GL587" s="296"/>
      <c r="GM587" s="464"/>
      <c r="GN587" s="467"/>
      <c r="GO587" s="52"/>
      <c r="GP587" s="296"/>
      <c r="GQ587" s="464"/>
      <c r="GR587" s="467"/>
      <c r="GS587" s="52"/>
      <c r="GT587" s="296"/>
      <c r="GU587" s="464"/>
      <c r="GV587" s="467"/>
      <c r="GW587" s="52"/>
      <c r="GX587" s="296"/>
      <c r="GY587" s="464"/>
      <c r="GZ587" s="467"/>
      <c r="HA587" s="52"/>
      <c r="HB587" s="296"/>
      <c r="HC587" s="43"/>
    </row>
    <row r="588" spans="1:211" s="85" customFormat="1">
      <c r="A588" s="502" t="s">
        <v>951</v>
      </c>
      <c r="B588" s="354" t="s">
        <v>811</v>
      </c>
      <c r="C588" s="314">
        <v>228459</v>
      </c>
      <c r="D588" s="343">
        <v>3</v>
      </c>
      <c r="E588" s="460"/>
      <c r="F588" s="277"/>
      <c r="G588" s="158"/>
      <c r="H588" s="277"/>
      <c r="I588" s="158"/>
      <c r="J588" s="338"/>
      <c r="K588" s="160">
        <f t="shared" si="243"/>
        <v>0</v>
      </c>
      <c r="L588" s="161">
        <f t="shared" si="236"/>
        <v>0</v>
      </c>
      <c r="M588" s="54">
        <v>5017</v>
      </c>
      <c r="N588" s="55"/>
      <c r="O588" s="55"/>
      <c r="P588" s="55"/>
      <c r="Q588" s="162">
        <f t="shared" si="244"/>
        <v>0</v>
      </c>
      <c r="R588" s="277">
        <v>5256</v>
      </c>
      <c r="S588" s="277"/>
      <c r="T588" s="277"/>
      <c r="U588" s="277"/>
      <c r="V588" s="97">
        <f t="shared" si="245"/>
        <v>0</v>
      </c>
      <c r="W588" s="279"/>
      <c r="X588" s="52"/>
      <c r="Y588" s="99"/>
      <c r="Z588" s="53"/>
      <c r="AA588" s="228"/>
      <c r="AB588" s="52"/>
      <c r="AC588" s="99"/>
      <c r="AD588" s="53"/>
      <c r="AE588" s="228"/>
      <c r="AF588" s="52"/>
      <c r="AG588" s="99"/>
      <c r="AH588" s="53"/>
      <c r="AI588" s="228"/>
      <c r="AJ588" s="52"/>
      <c r="AK588" s="99"/>
      <c r="AL588" s="53"/>
      <c r="AM588" s="228"/>
      <c r="AN588" s="52"/>
      <c r="AO588" s="99"/>
      <c r="AP588" s="53"/>
      <c r="AQ588" s="50">
        <f t="shared" si="237"/>
        <v>0</v>
      </c>
      <c r="AR588" s="163">
        <f t="shared" si="238"/>
        <v>0.81194368020715324</v>
      </c>
      <c r="AS588" s="97">
        <f t="shared" si="239"/>
        <v>0</v>
      </c>
      <c r="AT588" s="278">
        <f t="shared" si="240"/>
        <v>0.81907433380084149</v>
      </c>
      <c r="AU588" s="55"/>
      <c r="AV588" s="277"/>
      <c r="AW588" s="279">
        <v>13</v>
      </c>
      <c r="AX588" s="52">
        <v>344</v>
      </c>
      <c r="AY588" s="552">
        <v>13</v>
      </c>
      <c r="AZ588" s="551">
        <v>342</v>
      </c>
      <c r="BA588" s="279">
        <v>52</v>
      </c>
      <c r="BB588" s="52">
        <v>177</v>
      </c>
      <c r="BC588" s="552">
        <v>52</v>
      </c>
      <c r="BD588" s="551">
        <v>158</v>
      </c>
      <c r="BE588" s="279">
        <v>44</v>
      </c>
      <c r="BF588" s="52">
        <v>102</v>
      </c>
      <c r="BG588" s="552">
        <v>51</v>
      </c>
      <c r="BH588" s="551">
        <v>105</v>
      </c>
      <c r="BI588" s="279">
        <v>51</v>
      </c>
      <c r="BJ588" s="52">
        <v>93</v>
      </c>
      <c r="BK588" s="552">
        <v>44</v>
      </c>
      <c r="BL588" s="551">
        <v>88</v>
      </c>
      <c r="BM588" s="279">
        <v>23</v>
      </c>
      <c r="BN588" s="52">
        <v>73</v>
      </c>
      <c r="BO588" s="552">
        <v>23</v>
      </c>
      <c r="BP588" s="551">
        <v>71</v>
      </c>
      <c r="BQ588" s="279">
        <v>45</v>
      </c>
      <c r="BR588" s="52">
        <v>68</v>
      </c>
      <c r="BS588" s="552">
        <v>45</v>
      </c>
      <c r="BT588" s="551">
        <v>61</v>
      </c>
      <c r="BU588" s="279">
        <v>42</v>
      </c>
      <c r="BV588" s="52">
        <v>57</v>
      </c>
      <c r="BW588" s="552">
        <v>42</v>
      </c>
      <c r="BX588" s="551">
        <v>60</v>
      </c>
      <c r="BY588" s="279">
        <v>11</v>
      </c>
      <c r="BZ588" s="52">
        <v>40</v>
      </c>
      <c r="CA588" s="552">
        <v>11</v>
      </c>
      <c r="CB588" s="551">
        <v>38</v>
      </c>
      <c r="CC588" s="279">
        <v>26</v>
      </c>
      <c r="CD588" s="52">
        <v>39</v>
      </c>
      <c r="CE588" s="552">
        <v>26</v>
      </c>
      <c r="CF588" s="551">
        <v>36</v>
      </c>
      <c r="CG588" s="279">
        <v>50</v>
      </c>
      <c r="CH588" s="52">
        <v>30</v>
      </c>
      <c r="CI588" s="552">
        <v>43</v>
      </c>
      <c r="CJ588" s="551">
        <v>32</v>
      </c>
      <c r="CK588" s="281"/>
      <c r="CL588" s="277"/>
      <c r="CM588" s="159">
        <v>130</v>
      </c>
      <c r="CN588" s="277">
        <v>153</v>
      </c>
      <c r="CO588" s="50">
        <f t="shared" si="246"/>
        <v>1153</v>
      </c>
      <c r="CP588" s="103">
        <f t="shared" si="247"/>
        <v>10</v>
      </c>
      <c r="CQ588" s="280">
        <f t="shared" si="248"/>
        <v>1144</v>
      </c>
      <c r="CR588" s="63">
        <f t="shared" si="249"/>
        <v>10</v>
      </c>
      <c r="CS588" s="279">
        <v>45</v>
      </c>
      <c r="CT588" s="52">
        <v>7</v>
      </c>
      <c r="CU588" s="552">
        <v>13</v>
      </c>
      <c r="CV588" s="551">
        <v>8</v>
      </c>
      <c r="CW588" s="279">
        <v>13</v>
      </c>
      <c r="CX588" s="52">
        <v>2</v>
      </c>
      <c r="CY588" s="552">
        <v>45</v>
      </c>
      <c r="CZ588" s="551">
        <v>6</v>
      </c>
      <c r="DA588" s="279"/>
      <c r="DB588" s="52"/>
      <c r="DC588" s="552">
        <v>3</v>
      </c>
      <c r="DD588" s="551">
        <v>3</v>
      </c>
      <c r="DE588" s="279"/>
      <c r="DF588" s="52"/>
      <c r="DG588" s="105"/>
      <c r="DH588" s="98"/>
      <c r="DI588" s="279"/>
      <c r="DJ588" s="52"/>
      <c r="DK588" s="105"/>
      <c r="DL588" s="98"/>
      <c r="DM588" s="279"/>
      <c r="DN588" s="52"/>
      <c r="DO588" s="105"/>
      <c r="DP588" s="98"/>
      <c r="DQ588" s="279"/>
      <c r="DR588" s="52"/>
      <c r="DS588" s="105"/>
      <c r="DT588" s="98"/>
      <c r="DU588" s="279"/>
      <c r="DV588" s="52"/>
      <c r="DW588" s="105"/>
      <c r="DX588" s="98"/>
      <c r="DY588" s="279"/>
      <c r="DZ588" s="52"/>
      <c r="EA588" s="105"/>
      <c r="EB588" s="98"/>
      <c r="EC588" s="279"/>
      <c r="ED588" s="52"/>
      <c r="EE588" s="105"/>
      <c r="EF588" s="98"/>
      <c r="EG588" s="159"/>
      <c r="EH588" s="277"/>
      <c r="EI588" s="50">
        <f t="shared" si="250"/>
        <v>9</v>
      </c>
      <c r="EJ588" s="103">
        <f t="shared" si="251"/>
        <v>2</v>
      </c>
      <c r="EK588" s="164">
        <f t="shared" si="252"/>
        <v>0.77777777777777779</v>
      </c>
      <c r="EL588" s="280">
        <f t="shared" si="253"/>
        <v>17</v>
      </c>
      <c r="EM588" s="63">
        <f t="shared" si="254"/>
        <v>3</v>
      </c>
      <c r="EN588" s="359">
        <f t="shared" si="255"/>
        <v>0.47058823529411764</v>
      </c>
      <c r="EO588" s="51">
        <f t="shared" si="256"/>
        <v>1162</v>
      </c>
      <c r="EP588" s="361">
        <f t="shared" si="257"/>
        <v>1161</v>
      </c>
      <c r="EQ588" s="281"/>
      <c r="ER588" s="277"/>
      <c r="ES588" s="281"/>
      <c r="ET588" s="277"/>
      <c r="EU588" s="281"/>
      <c r="EV588" s="277"/>
      <c r="EW588" s="281"/>
      <c r="EX588" s="277"/>
      <c r="EY588" s="281"/>
      <c r="EZ588" s="277"/>
      <c r="FA588" s="281"/>
      <c r="FB588" s="277"/>
      <c r="FC588" s="281"/>
      <c r="FD588" s="277"/>
      <c r="FE588" s="281"/>
      <c r="FF588" s="277"/>
      <c r="FG588" s="281"/>
      <c r="FH588" s="277"/>
      <c r="FI588" s="281"/>
      <c r="FJ588" s="277"/>
      <c r="FK588" s="50">
        <f t="shared" si="258"/>
        <v>0</v>
      </c>
      <c r="FL588" s="63">
        <f t="shared" si="259"/>
        <v>0</v>
      </c>
      <c r="FM588" s="50">
        <f t="shared" si="241"/>
        <v>6179</v>
      </c>
      <c r="FN588" s="360">
        <f t="shared" si="242"/>
        <v>6417</v>
      </c>
      <c r="FO588" s="43"/>
      <c r="FP588" s="279"/>
      <c r="FQ588" s="467"/>
      <c r="FR588" s="296"/>
      <c r="FS588" s="98"/>
      <c r="FT588" s="467"/>
      <c r="FU588" s="52"/>
      <c r="FV588" s="296"/>
      <c r="FW588" s="98"/>
      <c r="FX588" s="467"/>
      <c r="FY588" s="52"/>
      <c r="FZ588" s="296"/>
      <c r="GA588" s="98"/>
      <c r="GB588" s="467"/>
      <c r="GC588" s="52"/>
      <c r="GD588" s="296"/>
      <c r="GE588" s="98"/>
      <c r="GF588" s="467"/>
      <c r="GG588" s="52"/>
      <c r="GH588" s="296"/>
      <c r="GI588" s="98"/>
      <c r="GJ588" s="467"/>
      <c r="GK588" s="52"/>
      <c r="GL588" s="296"/>
      <c r="GM588" s="464"/>
      <c r="GN588" s="467"/>
      <c r="GO588" s="52"/>
      <c r="GP588" s="296"/>
      <c r="GQ588" s="464"/>
      <c r="GR588" s="467"/>
      <c r="GS588" s="52"/>
      <c r="GT588" s="296"/>
      <c r="GU588" s="464"/>
      <c r="GV588" s="467"/>
      <c r="GW588" s="52"/>
      <c r="GX588" s="296"/>
      <c r="GY588" s="464"/>
      <c r="GZ588" s="467"/>
      <c r="HA588" s="52"/>
      <c r="HB588" s="296"/>
      <c r="HC588" s="43"/>
    </row>
    <row r="589" spans="1:211" s="85" customFormat="1">
      <c r="A589" s="502" t="s">
        <v>951</v>
      </c>
      <c r="B589" s="315" t="s">
        <v>812</v>
      </c>
      <c r="C589" s="314">
        <v>225414</v>
      </c>
      <c r="D589" s="343">
        <v>3</v>
      </c>
      <c r="E589" s="460"/>
      <c r="F589" s="277"/>
      <c r="G589" s="158"/>
      <c r="H589" s="277"/>
      <c r="I589" s="158"/>
      <c r="J589" s="338"/>
      <c r="K589" s="160">
        <f t="shared" si="243"/>
        <v>0</v>
      </c>
      <c r="L589" s="161">
        <f t="shared" si="236"/>
        <v>0</v>
      </c>
      <c r="M589" s="54">
        <v>1197</v>
      </c>
      <c r="N589" s="55"/>
      <c r="O589" s="55"/>
      <c r="P589" s="55"/>
      <c r="Q589" s="162">
        <f t="shared" si="244"/>
        <v>0</v>
      </c>
      <c r="R589" s="277">
        <v>1204</v>
      </c>
      <c r="S589" s="277"/>
      <c r="T589" s="277"/>
      <c r="U589" s="277"/>
      <c r="V589" s="97">
        <f t="shared" si="245"/>
        <v>0</v>
      </c>
      <c r="W589" s="279"/>
      <c r="X589" s="52"/>
      <c r="Y589" s="99"/>
      <c r="Z589" s="53"/>
      <c r="AA589" s="228"/>
      <c r="AB589" s="52"/>
      <c r="AC589" s="99"/>
      <c r="AD589" s="53"/>
      <c r="AE589" s="228"/>
      <c r="AF589" s="52"/>
      <c r="AG589" s="99"/>
      <c r="AH589" s="53"/>
      <c r="AI589" s="228"/>
      <c r="AJ589" s="52"/>
      <c r="AK589" s="99"/>
      <c r="AL589" s="53"/>
      <c r="AM589" s="228"/>
      <c r="AN589" s="52"/>
      <c r="AO589" s="99"/>
      <c r="AP589" s="53"/>
      <c r="AQ589" s="50">
        <f t="shared" si="237"/>
        <v>0</v>
      </c>
      <c r="AR589" s="163">
        <f t="shared" si="238"/>
        <v>0.56355932203389836</v>
      </c>
      <c r="AS589" s="97">
        <f t="shared" si="239"/>
        <v>0</v>
      </c>
      <c r="AT589" s="278">
        <f t="shared" si="240"/>
        <v>0.51563169164882228</v>
      </c>
      <c r="AU589" s="55"/>
      <c r="AV589" s="277"/>
      <c r="AW589" s="279">
        <v>13</v>
      </c>
      <c r="AX589" s="52">
        <v>269</v>
      </c>
      <c r="AY589" s="552">
        <v>13</v>
      </c>
      <c r="AZ589" s="551">
        <v>392</v>
      </c>
      <c r="BA589" s="279">
        <v>52</v>
      </c>
      <c r="BB589" s="52">
        <v>211</v>
      </c>
      <c r="BC589" s="552">
        <v>52</v>
      </c>
      <c r="BD589" s="551">
        <v>245</v>
      </c>
      <c r="BE589" s="279">
        <v>51</v>
      </c>
      <c r="BF589" s="52">
        <v>62</v>
      </c>
      <c r="BG589" s="552">
        <v>51</v>
      </c>
      <c r="BH589" s="551">
        <v>71</v>
      </c>
      <c r="BI589" s="279">
        <v>45</v>
      </c>
      <c r="BJ589" s="52">
        <v>60</v>
      </c>
      <c r="BK589" s="552">
        <v>42</v>
      </c>
      <c r="BL589" s="551">
        <v>64</v>
      </c>
      <c r="BM589" s="279">
        <v>42</v>
      </c>
      <c r="BN589" s="52">
        <v>57</v>
      </c>
      <c r="BO589" s="552">
        <v>11</v>
      </c>
      <c r="BP589" s="551">
        <v>54</v>
      </c>
      <c r="BQ589" s="279">
        <v>11</v>
      </c>
      <c r="BR589" s="52">
        <v>52</v>
      </c>
      <c r="BS589" s="552">
        <v>30</v>
      </c>
      <c r="BT589" s="551">
        <v>48</v>
      </c>
      <c r="BU589" s="279">
        <v>30</v>
      </c>
      <c r="BV589" s="52">
        <v>47</v>
      </c>
      <c r="BW589" s="552">
        <v>14</v>
      </c>
      <c r="BX589" s="551">
        <v>44</v>
      </c>
      <c r="BY589" s="279">
        <v>14</v>
      </c>
      <c r="BZ589" s="52">
        <v>33</v>
      </c>
      <c r="CA589" s="552">
        <v>45</v>
      </c>
      <c r="CB589" s="551">
        <v>37</v>
      </c>
      <c r="CC589" s="279">
        <v>24</v>
      </c>
      <c r="CD589" s="52">
        <v>28</v>
      </c>
      <c r="CE589" s="552">
        <v>26</v>
      </c>
      <c r="CF589" s="551">
        <v>34</v>
      </c>
      <c r="CG589" s="279">
        <v>23</v>
      </c>
      <c r="CH589" s="52">
        <v>24</v>
      </c>
      <c r="CI589" s="552">
        <v>24</v>
      </c>
      <c r="CJ589" s="551">
        <v>32</v>
      </c>
      <c r="CK589" s="281"/>
      <c r="CL589" s="277"/>
      <c r="CM589" s="159">
        <v>84</v>
      </c>
      <c r="CN589" s="277">
        <v>110</v>
      </c>
      <c r="CO589" s="50">
        <f t="shared" si="246"/>
        <v>927</v>
      </c>
      <c r="CP589" s="103">
        <f t="shared" si="247"/>
        <v>10</v>
      </c>
      <c r="CQ589" s="280">
        <f t="shared" si="248"/>
        <v>1131</v>
      </c>
      <c r="CR589" s="63">
        <f t="shared" si="249"/>
        <v>10</v>
      </c>
      <c r="CS589" s="279"/>
      <c r="CT589" s="52"/>
      <c r="CU589" s="105"/>
      <c r="CV589" s="98"/>
      <c r="CW589" s="279"/>
      <c r="CX589" s="52"/>
      <c r="CY589" s="105"/>
      <c r="CZ589" s="98"/>
      <c r="DA589" s="279"/>
      <c r="DB589" s="52"/>
      <c r="DC589" s="105"/>
      <c r="DD589" s="98"/>
      <c r="DE589" s="279"/>
      <c r="DF589" s="52"/>
      <c r="DG589" s="105"/>
      <c r="DH589" s="98"/>
      <c r="DI589" s="279"/>
      <c r="DJ589" s="52"/>
      <c r="DK589" s="105"/>
      <c r="DL589" s="98"/>
      <c r="DM589" s="279"/>
      <c r="DN589" s="52"/>
      <c r="DO589" s="105"/>
      <c r="DP589" s="98"/>
      <c r="DQ589" s="279"/>
      <c r="DR589" s="52"/>
      <c r="DS589" s="105"/>
      <c r="DT589" s="98"/>
      <c r="DU589" s="279"/>
      <c r="DV589" s="52"/>
      <c r="DW589" s="105"/>
      <c r="DX589" s="98"/>
      <c r="DY589" s="279"/>
      <c r="DZ589" s="52"/>
      <c r="EA589" s="105"/>
      <c r="EB589" s="98"/>
      <c r="EC589" s="279"/>
      <c r="ED589" s="52"/>
      <c r="EE589" s="105"/>
      <c r="EF589" s="98"/>
      <c r="EG589" s="159"/>
      <c r="EH589" s="277"/>
      <c r="EI589" s="50">
        <f t="shared" si="250"/>
        <v>0</v>
      </c>
      <c r="EJ589" s="103">
        <f t="shared" si="251"/>
        <v>0</v>
      </c>
      <c r="EK589" s="164">
        <f t="shared" si="252"/>
        <v>0</v>
      </c>
      <c r="EL589" s="280">
        <f t="shared" si="253"/>
        <v>0</v>
      </c>
      <c r="EM589" s="63">
        <f t="shared" si="254"/>
        <v>0</v>
      </c>
      <c r="EN589" s="359">
        <f t="shared" si="255"/>
        <v>0</v>
      </c>
      <c r="EO589" s="51">
        <f t="shared" si="256"/>
        <v>927</v>
      </c>
      <c r="EP589" s="361">
        <f t="shared" si="257"/>
        <v>1131</v>
      </c>
      <c r="EQ589" s="281"/>
      <c r="ER589" s="277"/>
      <c r="ES589" s="281"/>
      <c r="ET589" s="277"/>
      <c r="EU589" s="281"/>
      <c r="EV589" s="277"/>
      <c r="EW589" s="281"/>
      <c r="EX589" s="277"/>
      <c r="EY589" s="281"/>
      <c r="EZ589" s="277"/>
      <c r="FA589" s="281"/>
      <c r="FB589" s="277"/>
      <c r="FC589" s="281"/>
      <c r="FD589" s="277"/>
      <c r="FE589" s="281"/>
      <c r="FF589" s="277"/>
      <c r="FG589" s="281"/>
      <c r="FH589" s="277"/>
      <c r="FI589" s="281"/>
      <c r="FJ589" s="277"/>
      <c r="FK589" s="50">
        <f t="shared" si="258"/>
        <v>0</v>
      </c>
      <c r="FL589" s="63">
        <f t="shared" si="259"/>
        <v>0</v>
      </c>
      <c r="FM589" s="50">
        <f t="shared" si="241"/>
        <v>2124</v>
      </c>
      <c r="FN589" s="360">
        <f t="shared" si="242"/>
        <v>2335</v>
      </c>
      <c r="FO589" s="43"/>
      <c r="FP589" s="279"/>
      <c r="FQ589" s="467"/>
      <c r="FR589" s="296"/>
      <c r="FS589" s="98"/>
      <c r="FT589" s="467"/>
      <c r="FU589" s="52"/>
      <c r="FV589" s="296"/>
      <c r="FW589" s="98"/>
      <c r="FX589" s="467"/>
      <c r="FY589" s="52"/>
      <c r="FZ589" s="296"/>
      <c r="GA589" s="98"/>
      <c r="GB589" s="467"/>
      <c r="GC589" s="52"/>
      <c r="GD589" s="296"/>
      <c r="GE589" s="98"/>
      <c r="GF589" s="467"/>
      <c r="GG589" s="52"/>
      <c r="GH589" s="296"/>
      <c r="GI589" s="98"/>
      <c r="GJ589" s="467"/>
      <c r="GK589" s="52"/>
      <c r="GL589" s="296"/>
      <c r="GM589" s="464"/>
      <c r="GN589" s="467"/>
      <c r="GO589" s="52"/>
      <c r="GP589" s="296"/>
      <c r="GQ589" s="464"/>
      <c r="GR589" s="467"/>
      <c r="GS589" s="52"/>
      <c r="GT589" s="296"/>
      <c r="GU589" s="464"/>
      <c r="GV589" s="467"/>
      <c r="GW589" s="52"/>
      <c r="GX589" s="296"/>
      <c r="GY589" s="464"/>
      <c r="GZ589" s="467"/>
      <c r="HA589" s="52"/>
      <c r="HB589" s="296"/>
      <c r="HC589" s="43"/>
    </row>
    <row r="590" spans="1:211" s="85" customFormat="1">
      <c r="A590" s="502" t="s">
        <v>951</v>
      </c>
      <c r="B590" s="315" t="s">
        <v>815</v>
      </c>
      <c r="C590" s="314">
        <v>228802</v>
      </c>
      <c r="D590" s="343">
        <v>3</v>
      </c>
      <c r="E590" s="460"/>
      <c r="F590" s="277"/>
      <c r="G590" s="158"/>
      <c r="H590" s="277"/>
      <c r="I590" s="158"/>
      <c r="J590" s="338"/>
      <c r="K590" s="160">
        <f t="shared" si="243"/>
        <v>0</v>
      </c>
      <c r="L590" s="161">
        <f t="shared" si="236"/>
        <v>0</v>
      </c>
      <c r="M590" s="54">
        <v>999</v>
      </c>
      <c r="N590" s="55"/>
      <c r="O590" s="55"/>
      <c r="P590" s="55"/>
      <c r="Q590" s="162">
        <f t="shared" si="244"/>
        <v>0</v>
      </c>
      <c r="R590" s="277">
        <v>1229</v>
      </c>
      <c r="S590" s="277"/>
      <c r="T590" s="277"/>
      <c r="U590" s="277"/>
      <c r="V590" s="97">
        <f t="shared" si="245"/>
        <v>0</v>
      </c>
      <c r="W590" s="279"/>
      <c r="X590" s="52"/>
      <c r="Y590" s="99"/>
      <c r="Z590" s="53"/>
      <c r="AA590" s="228"/>
      <c r="AB590" s="52"/>
      <c r="AC590" s="99"/>
      <c r="AD590" s="53"/>
      <c r="AE590" s="228"/>
      <c r="AF590" s="52"/>
      <c r="AG590" s="99"/>
      <c r="AH590" s="53"/>
      <c r="AI590" s="228"/>
      <c r="AJ590" s="52"/>
      <c r="AK590" s="99"/>
      <c r="AL590" s="53"/>
      <c r="AM590" s="228"/>
      <c r="AN590" s="52"/>
      <c r="AO590" s="99"/>
      <c r="AP590" s="53"/>
      <c r="AQ590" s="50">
        <f t="shared" si="237"/>
        <v>0</v>
      </c>
      <c r="AR590" s="163">
        <f t="shared" si="238"/>
        <v>0.82493806771263423</v>
      </c>
      <c r="AS590" s="97">
        <f t="shared" si="239"/>
        <v>0</v>
      </c>
      <c r="AT590" s="278">
        <f t="shared" si="240"/>
        <v>0.84178082191780823</v>
      </c>
      <c r="AU590" s="55"/>
      <c r="AV590" s="277"/>
      <c r="AW590" s="279">
        <v>13</v>
      </c>
      <c r="AX590" s="52">
        <v>60</v>
      </c>
      <c r="AY590" s="552">
        <v>52</v>
      </c>
      <c r="AZ590" s="551">
        <v>63</v>
      </c>
      <c r="BA590" s="279">
        <v>52</v>
      </c>
      <c r="BB590" s="52">
        <v>44</v>
      </c>
      <c r="BC590" s="552">
        <v>13</v>
      </c>
      <c r="BD590" s="551">
        <v>43</v>
      </c>
      <c r="BE590" s="279">
        <v>51</v>
      </c>
      <c r="BF590" s="52">
        <v>31</v>
      </c>
      <c r="BG590" s="552">
        <v>51</v>
      </c>
      <c r="BH590" s="551">
        <v>42</v>
      </c>
      <c r="BI590" s="279">
        <v>42</v>
      </c>
      <c r="BJ590" s="52">
        <v>19</v>
      </c>
      <c r="BK590" s="552">
        <v>42</v>
      </c>
      <c r="BL590" s="551">
        <v>26</v>
      </c>
      <c r="BM590" s="279">
        <v>30</v>
      </c>
      <c r="BN590" s="52">
        <v>13</v>
      </c>
      <c r="BO590" s="552">
        <v>11</v>
      </c>
      <c r="BP590" s="551">
        <v>10</v>
      </c>
      <c r="BQ590" s="279">
        <v>14</v>
      </c>
      <c r="BR590" s="52">
        <v>10</v>
      </c>
      <c r="BS590" s="552">
        <v>44</v>
      </c>
      <c r="BT590" s="551">
        <v>6</v>
      </c>
      <c r="BU590" s="279">
        <v>11</v>
      </c>
      <c r="BV590" s="52">
        <v>6</v>
      </c>
      <c r="BW590" s="552">
        <v>15</v>
      </c>
      <c r="BX590" s="551">
        <v>5</v>
      </c>
      <c r="BY590" s="279">
        <v>26</v>
      </c>
      <c r="BZ590" s="52">
        <v>6</v>
      </c>
      <c r="CA590" s="552">
        <v>26</v>
      </c>
      <c r="CB590" s="551">
        <v>5</v>
      </c>
      <c r="CC590" s="279">
        <v>44</v>
      </c>
      <c r="CD590" s="52">
        <v>4</v>
      </c>
      <c r="CE590" s="552">
        <v>30</v>
      </c>
      <c r="CF590" s="551">
        <v>5</v>
      </c>
      <c r="CG590" s="279">
        <v>54</v>
      </c>
      <c r="CH590" s="52">
        <v>4</v>
      </c>
      <c r="CI590" s="552">
        <v>14</v>
      </c>
      <c r="CJ590" s="551">
        <v>4</v>
      </c>
      <c r="CK590" s="281"/>
      <c r="CL590" s="277"/>
      <c r="CM590" s="159">
        <v>15</v>
      </c>
      <c r="CN590" s="277">
        <v>22</v>
      </c>
      <c r="CO590" s="50">
        <f t="shared" si="246"/>
        <v>212</v>
      </c>
      <c r="CP590" s="103">
        <f t="shared" si="247"/>
        <v>10</v>
      </c>
      <c r="CQ590" s="280">
        <f t="shared" si="248"/>
        <v>231</v>
      </c>
      <c r="CR590" s="63">
        <f t="shared" si="249"/>
        <v>10</v>
      </c>
      <c r="CS590" s="279"/>
      <c r="CT590" s="52"/>
      <c r="CU590" s="105"/>
      <c r="CV590" s="98"/>
      <c r="CW590" s="279"/>
      <c r="CX590" s="52"/>
      <c r="CY590" s="105"/>
      <c r="CZ590" s="98"/>
      <c r="DA590" s="279"/>
      <c r="DB590" s="52"/>
      <c r="DC590" s="105"/>
      <c r="DD590" s="98"/>
      <c r="DE590" s="279"/>
      <c r="DF590" s="52"/>
      <c r="DG590" s="105"/>
      <c r="DH590" s="98"/>
      <c r="DI590" s="279"/>
      <c r="DJ590" s="52"/>
      <c r="DK590" s="105"/>
      <c r="DL590" s="98"/>
      <c r="DM590" s="279"/>
      <c r="DN590" s="52"/>
      <c r="DO590" s="105"/>
      <c r="DP590" s="98"/>
      <c r="DQ590" s="279"/>
      <c r="DR590" s="52"/>
      <c r="DS590" s="105"/>
      <c r="DT590" s="98"/>
      <c r="DU590" s="279"/>
      <c r="DV590" s="52"/>
      <c r="DW590" s="105"/>
      <c r="DX590" s="98"/>
      <c r="DY590" s="279"/>
      <c r="DZ590" s="52"/>
      <c r="EA590" s="105"/>
      <c r="EB590" s="98"/>
      <c r="EC590" s="279"/>
      <c r="ED590" s="52"/>
      <c r="EE590" s="105"/>
      <c r="EF590" s="98"/>
      <c r="EG590" s="159"/>
      <c r="EH590" s="277"/>
      <c r="EI590" s="50">
        <f t="shared" si="250"/>
        <v>0</v>
      </c>
      <c r="EJ590" s="103">
        <f t="shared" si="251"/>
        <v>0</v>
      </c>
      <c r="EK590" s="164">
        <f t="shared" si="252"/>
        <v>0</v>
      </c>
      <c r="EL590" s="280">
        <f t="shared" si="253"/>
        <v>0</v>
      </c>
      <c r="EM590" s="63">
        <f t="shared" si="254"/>
        <v>0</v>
      </c>
      <c r="EN590" s="359">
        <f t="shared" si="255"/>
        <v>0</v>
      </c>
      <c r="EO590" s="51">
        <f t="shared" si="256"/>
        <v>212</v>
      </c>
      <c r="EP590" s="361">
        <f t="shared" si="257"/>
        <v>231</v>
      </c>
      <c r="EQ590" s="281"/>
      <c r="ER590" s="277"/>
      <c r="ES590" s="281"/>
      <c r="ET590" s="277"/>
      <c r="EU590" s="281"/>
      <c r="EV590" s="277"/>
      <c r="EW590" s="281"/>
      <c r="EX590" s="277"/>
      <c r="EY590" s="281"/>
      <c r="EZ590" s="277"/>
      <c r="FA590" s="281"/>
      <c r="FB590" s="277"/>
      <c r="FC590" s="281"/>
      <c r="FD590" s="277"/>
      <c r="FE590" s="281"/>
      <c r="FF590" s="277"/>
      <c r="FG590" s="281"/>
      <c r="FH590" s="277"/>
      <c r="FI590" s="281"/>
      <c r="FJ590" s="277"/>
      <c r="FK590" s="50">
        <f t="shared" si="258"/>
        <v>0</v>
      </c>
      <c r="FL590" s="63">
        <f t="shared" si="259"/>
        <v>0</v>
      </c>
      <c r="FM590" s="50">
        <f t="shared" si="241"/>
        <v>1211</v>
      </c>
      <c r="FN590" s="360">
        <f t="shared" si="242"/>
        <v>1460</v>
      </c>
      <c r="FO590" s="43"/>
      <c r="FP590" s="279"/>
      <c r="FQ590" s="467"/>
      <c r="FR590" s="296"/>
      <c r="FS590" s="98"/>
      <c r="FT590" s="467"/>
      <c r="FU590" s="52"/>
      <c r="FV590" s="296"/>
      <c r="FW590" s="98"/>
      <c r="FX590" s="467"/>
      <c r="FY590" s="52"/>
      <c r="FZ590" s="296"/>
      <c r="GA590" s="98"/>
      <c r="GB590" s="467"/>
      <c r="GC590" s="52"/>
      <c r="GD590" s="296"/>
      <c r="GE590" s="98"/>
      <c r="GF590" s="467"/>
      <c r="GG590" s="52"/>
      <c r="GH590" s="296"/>
      <c r="GI590" s="98"/>
      <c r="GJ590" s="467"/>
      <c r="GK590" s="52"/>
      <c r="GL590" s="296"/>
      <c r="GM590" s="464"/>
      <c r="GN590" s="467"/>
      <c r="GO590" s="52"/>
      <c r="GP590" s="296"/>
      <c r="GQ590" s="464"/>
      <c r="GR590" s="467"/>
      <c r="GS590" s="52"/>
      <c r="GT590" s="296"/>
      <c r="GU590" s="464"/>
      <c r="GV590" s="467"/>
      <c r="GW590" s="52"/>
      <c r="GX590" s="296"/>
      <c r="GY590" s="464"/>
      <c r="GZ590" s="467"/>
      <c r="HA590" s="52"/>
      <c r="HB590" s="296"/>
      <c r="HC590" s="43"/>
    </row>
    <row r="591" spans="1:211" s="85" customFormat="1">
      <c r="A591" s="502" t="s">
        <v>951</v>
      </c>
      <c r="B591" s="315" t="s">
        <v>816</v>
      </c>
      <c r="C591" s="314">
        <v>227368</v>
      </c>
      <c r="D591" s="343">
        <v>3</v>
      </c>
      <c r="E591" s="460"/>
      <c r="F591" s="277"/>
      <c r="G591" s="158"/>
      <c r="H591" s="277"/>
      <c r="I591" s="158"/>
      <c r="J591" s="338"/>
      <c r="K591" s="160">
        <f t="shared" si="243"/>
        <v>0</v>
      </c>
      <c r="L591" s="161">
        <f t="shared" si="236"/>
        <v>0</v>
      </c>
      <c r="M591" s="54">
        <v>2420</v>
      </c>
      <c r="N591" s="55"/>
      <c r="O591" s="55"/>
      <c r="P591" s="55"/>
      <c r="Q591" s="162">
        <f t="shared" si="244"/>
        <v>0</v>
      </c>
      <c r="R591" s="277">
        <v>2705</v>
      </c>
      <c r="S591" s="277"/>
      <c r="T591" s="277"/>
      <c r="U591" s="277"/>
      <c r="V591" s="97">
        <f t="shared" si="245"/>
        <v>0</v>
      </c>
      <c r="W591" s="279"/>
      <c r="X591" s="52"/>
      <c r="Y591" s="99"/>
      <c r="Z591" s="53"/>
      <c r="AA591" s="228"/>
      <c r="AB591" s="52"/>
      <c r="AC591" s="99"/>
      <c r="AD591" s="53"/>
      <c r="AE591" s="228"/>
      <c r="AF591" s="52"/>
      <c r="AG591" s="99"/>
      <c r="AH591" s="53"/>
      <c r="AI591" s="228"/>
      <c r="AJ591" s="52"/>
      <c r="AK591" s="99"/>
      <c r="AL591" s="53"/>
      <c r="AM591" s="228"/>
      <c r="AN591" s="52"/>
      <c r="AO591" s="99"/>
      <c r="AP591" s="53"/>
      <c r="AQ591" s="50">
        <f t="shared" si="237"/>
        <v>0</v>
      </c>
      <c r="AR591" s="163">
        <f t="shared" si="238"/>
        <v>0.78114912846998064</v>
      </c>
      <c r="AS591" s="97">
        <f t="shared" si="239"/>
        <v>0</v>
      </c>
      <c r="AT591" s="278">
        <f t="shared" si="240"/>
        <v>0.77998846597462512</v>
      </c>
      <c r="AU591" s="55"/>
      <c r="AV591" s="277"/>
      <c r="AW591" s="279">
        <v>13</v>
      </c>
      <c r="AX591" s="52">
        <v>278</v>
      </c>
      <c r="AY591" s="552">
        <v>13</v>
      </c>
      <c r="AZ591" s="551">
        <v>280</v>
      </c>
      <c r="BA591" s="279">
        <v>51</v>
      </c>
      <c r="BB591" s="52">
        <v>78</v>
      </c>
      <c r="BC591" s="552">
        <v>51</v>
      </c>
      <c r="BD591" s="551">
        <v>150</v>
      </c>
      <c r="BE591" s="279">
        <v>52</v>
      </c>
      <c r="BF591" s="52">
        <v>73</v>
      </c>
      <c r="BG591" s="552">
        <v>52</v>
      </c>
      <c r="BH591" s="551">
        <v>73</v>
      </c>
      <c r="BI591" s="279">
        <v>44</v>
      </c>
      <c r="BJ591" s="52">
        <v>46</v>
      </c>
      <c r="BK591" s="552">
        <v>44</v>
      </c>
      <c r="BL591" s="551">
        <v>43</v>
      </c>
      <c r="BM591" s="279">
        <v>14</v>
      </c>
      <c r="BN591" s="52">
        <v>28</v>
      </c>
      <c r="BO591" s="552">
        <v>14</v>
      </c>
      <c r="BP591" s="551">
        <v>27</v>
      </c>
      <c r="BQ591" s="279">
        <v>11</v>
      </c>
      <c r="BR591" s="52">
        <v>21</v>
      </c>
      <c r="BS591" s="552">
        <v>16</v>
      </c>
      <c r="BT591" s="551">
        <v>21</v>
      </c>
      <c r="BU591" s="279">
        <v>16</v>
      </c>
      <c r="BV591" s="52">
        <v>16</v>
      </c>
      <c r="BW591" s="552">
        <v>27</v>
      </c>
      <c r="BX591" s="551">
        <v>18</v>
      </c>
      <c r="BY591" s="279">
        <v>31</v>
      </c>
      <c r="BZ591" s="52">
        <v>15</v>
      </c>
      <c r="CA591" s="552">
        <v>23</v>
      </c>
      <c r="CB591" s="551">
        <v>16</v>
      </c>
      <c r="CC591" s="279">
        <v>42</v>
      </c>
      <c r="CD591" s="52">
        <v>14</v>
      </c>
      <c r="CE591" s="552">
        <v>30</v>
      </c>
      <c r="CF591" s="551">
        <v>15</v>
      </c>
      <c r="CG591" s="279">
        <v>43</v>
      </c>
      <c r="CH591" s="52">
        <v>13</v>
      </c>
      <c r="CI591" s="552">
        <v>31</v>
      </c>
      <c r="CJ591" s="551">
        <v>15</v>
      </c>
      <c r="CK591" s="281"/>
      <c r="CL591" s="277"/>
      <c r="CM591" s="159">
        <v>72</v>
      </c>
      <c r="CN591" s="277">
        <v>84</v>
      </c>
      <c r="CO591" s="50">
        <f t="shared" si="246"/>
        <v>654</v>
      </c>
      <c r="CP591" s="103">
        <f t="shared" si="247"/>
        <v>10</v>
      </c>
      <c r="CQ591" s="280">
        <f t="shared" si="248"/>
        <v>742</v>
      </c>
      <c r="CR591" s="63">
        <f t="shared" si="249"/>
        <v>10</v>
      </c>
      <c r="CS591" s="279">
        <v>52</v>
      </c>
      <c r="CT591" s="52">
        <v>17</v>
      </c>
      <c r="CU591" s="552">
        <v>13</v>
      </c>
      <c r="CV591" s="551">
        <v>13</v>
      </c>
      <c r="CW591" s="279">
        <v>13</v>
      </c>
      <c r="CX591" s="52">
        <v>7</v>
      </c>
      <c r="CY591" s="552">
        <v>52</v>
      </c>
      <c r="CZ591" s="551">
        <v>8</v>
      </c>
      <c r="DA591" s="279"/>
      <c r="DB591" s="52"/>
      <c r="DC591" s="105"/>
      <c r="DD591" s="98"/>
      <c r="DE591" s="279"/>
      <c r="DF591" s="52"/>
      <c r="DG591" s="105"/>
      <c r="DH591" s="98"/>
      <c r="DI591" s="279"/>
      <c r="DJ591" s="52"/>
      <c r="DK591" s="105"/>
      <c r="DL591" s="98"/>
      <c r="DM591" s="279"/>
      <c r="DN591" s="52"/>
      <c r="DO591" s="105"/>
      <c r="DP591" s="98"/>
      <c r="DQ591" s="279"/>
      <c r="DR591" s="52"/>
      <c r="DS591" s="105"/>
      <c r="DT591" s="98"/>
      <c r="DU591" s="279"/>
      <c r="DV591" s="52"/>
      <c r="DW591" s="105"/>
      <c r="DX591" s="98"/>
      <c r="DY591" s="279"/>
      <c r="DZ591" s="52"/>
      <c r="EA591" s="105"/>
      <c r="EB591" s="98"/>
      <c r="EC591" s="279"/>
      <c r="ED591" s="52"/>
      <c r="EE591" s="105"/>
      <c r="EF591" s="98"/>
      <c r="EG591" s="159"/>
      <c r="EH591" s="277"/>
      <c r="EI591" s="50">
        <f t="shared" si="250"/>
        <v>24</v>
      </c>
      <c r="EJ591" s="103">
        <f t="shared" si="251"/>
        <v>2</v>
      </c>
      <c r="EK591" s="164">
        <f t="shared" si="252"/>
        <v>0.70833333333333337</v>
      </c>
      <c r="EL591" s="280">
        <f t="shared" si="253"/>
        <v>21</v>
      </c>
      <c r="EM591" s="63">
        <f t="shared" si="254"/>
        <v>2</v>
      </c>
      <c r="EN591" s="359">
        <f t="shared" si="255"/>
        <v>0.61904761904761907</v>
      </c>
      <c r="EO591" s="51">
        <f t="shared" si="256"/>
        <v>678</v>
      </c>
      <c r="EP591" s="361">
        <f t="shared" si="257"/>
        <v>763</v>
      </c>
      <c r="EQ591" s="281"/>
      <c r="ER591" s="277"/>
      <c r="ES591" s="281"/>
      <c r="ET591" s="277"/>
      <c r="EU591" s="281"/>
      <c r="EV591" s="277"/>
      <c r="EW591" s="281"/>
      <c r="EX591" s="277"/>
      <c r="EY591" s="281"/>
      <c r="EZ591" s="277"/>
      <c r="FA591" s="281"/>
      <c r="FB591" s="277"/>
      <c r="FC591" s="281"/>
      <c r="FD591" s="277"/>
      <c r="FE591" s="281"/>
      <c r="FF591" s="277"/>
      <c r="FG591" s="281"/>
      <c r="FH591" s="277"/>
      <c r="FI591" s="281"/>
      <c r="FJ591" s="277"/>
      <c r="FK591" s="50">
        <f t="shared" si="258"/>
        <v>0</v>
      </c>
      <c r="FL591" s="63">
        <f t="shared" si="259"/>
        <v>0</v>
      </c>
      <c r="FM591" s="50">
        <f t="shared" si="241"/>
        <v>3098</v>
      </c>
      <c r="FN591" s="360">
        <f t="shared" si="242"/>
        <v>3468</v>
      </c>
      <c r="FO591" s="43"/>
      <c r="FP591" s="279"/>
      <c r="FQ591" s="467"/>
      <c r="FR591" s="296"/>
      <c r="FS591" s="98"/>
      <c r="FT591" s="467"/>
      <c r="FU591" s="52"/>
      <c r="FV591" s="296"/>
      <c r="FW591" s="98"/>
      <c r="FX591" s="467"/>
      <c r="FY591" s="52"/>
      <c r="FZ591" s="296"/>
      <c r="GA591" s="98"/>
      <c r="GB591" s="467"/>
      <c r="GC591" s="52"/>
      <c r="GD591" s="296"/>
      <c r="GE591" s="98"/>
      <c r="GF591" s="467"/>
      <c r="GG591" s="52"/>
      <c r="GH591" s="296"/>
      <c r="GI591" s="98"/>
      <c r="GJ591" s="467"/>
      <c r="GK591" s="52"/>
      <c r="GL591" s="296"/>
      <c r="GM591" s="464"/>
      <c r="GN591" s="467"/>
      <c r="GO591" s="52"/>
      <c r="GP591" s="296"/>
      <c r="GQ591" s="464"/>
      <c r="GR591" s="467"/>
      <c r="GS591" s="52"/>
      <c r="GT591" s="296"/>
      <c r="GU591" s="464"/>
      <c r="GV591" s="467"/>
      <c r="GW591" s="52"/>
      <c r="GX591" s="296"/>
      <c r="GY591" s="464"/>
      <c r="GZ591" s="467"/>
      <c r="HA591" s="52"/>
      <c r="HB591" s="296"/>
      <c r="HC591" s="43"/>
    </row>
    <row r="592" spans="1:211" s="85" customFormat="1">
      <c r="A592" s="502" t="s">
        <v>951</v>
      </c>
      <c r="B592" s="315" t="s">
        <v>817</v>
      </c>
      <c r="C592" s="314">
        <v>229814</v>
      </c>
      <c r="D592" s="343">
        <v>3</v>
      </c>
      <c r="E592" s="460"/>
      <c r="F592" s="277"/>
      <c r="G592" s="158"/>
      <c r="H592" s="277"/>
      <c r="I592" s="158"/>
      <c r="J592" s="338"/>
      <c r="K592" s="160">
        <f t="shared" si="243"/>
        <v>0</v>
      </c>
      <c r="L592" s="161">
        <f t="shared" si="236"/>
        <v>0</v>
      </c>
      <c r="M592" s="54">
        <v>1213</v>
      </c>
      <c r="N592" s="55"/>
      <c r="O592" s="55"/>
      <c r="P592" s="55"/>
      <c r="Q592" s="162">
        <f t="shared" si="244"/>
        <v>0</v>
      </c>
      <c r="R592" s="277">
        <v>1214</v>
      </c>
      <c r="S592" s="277"/>
      <c r="T592" s="277"/>
      <c r="U592" s="277"/>
      <c r="V592" s="97">
        <f t="shared" si="245"/>
        <v>0</v>
      </c>
      <c r="W592" s="279"/>
      <c r="X592" s="52"/>
      <c r="Y592" s="99"/>
      <c r="Z592" s="53"/>
      <c r="AA592" s="228"/>
      <c r="AB592" s="52"/>
      <c r="AC592" s="99"/>
      <c r="AD592" s="53"/>
      <c r="AE592" s="228"/>
      <c r="AF592" s="52"/>
      <c r="AG592" s="99"/>
      <c r="AH592" s="53"/>
      <c r="AI592" s="228"/>
      <c r="AJ592" s="52"/>
      <c r="AK592" s="99"/>
      <c r="AL592" s="53"/>
      <c r="AM592" s="228"/>
      <c r="AN592" s="52"/>
      <c r="AO592" s="99"/>
      <c r="AP592" s="53"/>
      <c r="AQ592" s="50">
        <f t="shared" si="237"/>
        <v>0</v>
      </c>
      <c r="AR592" s="163">
        <f t="shared" si="238"/>
        <v>0.74371551195585528</v>
      </c>
      <c r="AS592" s="97">
        <f t="shared" si="239"/>
        <v>0</v>
      </c>
      <c r="AT592" s="278">
        <f t="shared" si="240"/>
        <v>0.78120978120978124</v>
      </c>
      <c r="AU592" s="55"/>
      <c r="AV592" s="277"/>
      <c r="AW592" s="279">
        <v>52</v>
      </c>
      <c r="AX592" s="52">
        <v>163</v>
      </c>
      <c r="AY592" s="552">
        <v>52</v>
      </c>
      <c r="AZ592" s="551">
        <v>120</v>
      </c>
      <c r="BA592" s="279">
        <v>13</v>
      </c>
      <c r="BB592" s="52">
        <v>94</v>
      </c>
      <c r="BC592" s="552">
        <v>13</v>
      </c>
      <c r="BD592" s="551">
        <v>96</v>
      </c>
      <c r="BE592" s="279">
        <v>51</v>
      </c>
      <c r="BF592" s="52">
        <v>55</v>
      </c>
      <c r="BG592" s="552">
        <v>51</v>
      </c>
      <c r="BH592" s="551">
        <v>38</v>
      </c>
      <c r="BI592" s="279">
        <v>42</v>
      </c>
      <c r="BJ592" s="52">
        <v>18</v>
      </c>
      <c r="BK592" s="552">
        <v>1</v>
      </c>
      <c r="BL592" s="551">
        <v>16</v>
      </c>
      <c r="BM592" s="279">
        <v>1</v>
      </c>
      <c r="BN592" s="52">
        <v>14</v>
      </c>
      <c r="BO592" s="552">
        <v>42</v>
      </c>
      <c r="BP592" s="551">
        <v>14</v>
      </c>
      <c r="BQ592" s="279">
        <v>50</v>
      </c>
      <c r="BR592" s="52">
        <v>13</v>
      </c>
      <c r="BS592" s="552">
        <v>50</v>
      </c>
      <c r="BT592" s="551">
        <v>7</v>
      </c>
      <c r="BU592" s="279">
        <v>30</v>
      </c>
      <c r="BV592" s="52">
        <v>11</v>
      </c>
      <c r="BW592" s="552">
        <v>3</v>
      </c>
      <c r="BX592" s="551">
        <v>6</v>
      </c>
      <c r="BY592" s="279">
        <v>9</v>
      </c>
      <c r="BZ592" s="52">
        <v>8</v>
      </c>
      <c r="CA592" s="552">
        <v>9</v>
      </c>
      <c r="CB592" s="551">
        <v>6</v>
      </c>
      <c r="CC592" s="279">
        <v>23</v>
      </c>
      <c r="CD592" s="52">
        <v>8</v>
      </c>
      <c r="CE592" s="552">
        <v>26</v>
      </c>
      <c r="CF592" s="551">
        <v>6</v>
      </c>
      <c r="CG592" s="279">
        <v>26</v>
      </c>
      <c r="CH592" s="52">
        <v>8</v>
      </c>
      <c r="CI592" s="552">
        <v>31</v>
      </c>
      <c r="CJ592" s="551">
        <v>6</v>
      </c>
      <c r="CK592" s="281"/>
      <c r="CL592" s="277"/>
      <c r="CM592" s="159">
        <v>23</v>
      </c>
      <c r="CN592" s="277">
        <v>23</v>
      </c>
      <c r="CO592" s="50">
        <f t="shared" si="246"/>
        <v>415</v>
      </c>
      <c r="CP592" s="103">
        <f t="shared" si="247"/>
        <v>10</v>
      </c>
      <c r="CQ592" s="280">
        <f t="shared" si="248"/>
        <v>338</v>
      </c>
      <c r="CR592" s="63">
        <f t="shared" si="249"/>
        <v>10</v>
      </c>
      <c r="CS592" s="279">
        <v>1</v>
      </c>
      <c r="CT592" s="52">
        <v>3</v>
      </c>
      <c r="CU592" s="552">
        <v>1</v>
      </c>
      <c r="CV592" s="551">
        <v>2</v>
      </c>
      <c r="CW592" s="279"/>
      <c r="CX592" s="52"/>
      <c r="CY592" s="105"/>
      <c r="CZ592" s="98"/>
      <c r="DA592" s="279"/>
      <c r="DB592" s="52"/>
      <c r="DC592" s="105"/>
      <c r="DD592" s="98"/>
      <c r="DE592" s="279"/>
      <c r="DF592" s="52"/>
      <c r="DG592" s="105"/>
      <c r="DH592" s="98"/>
      <c r="DI592" s="279"/>
      <c r="DJ592" s="52"/>
      <c r="DK592" s="105"/>
      <c r="DL592" s="98"/>
      <c r="DM592" s="279"/>
      <c r="DN592" s="52"/>
      <c r="DO592" s="105"/>
      <c r="DP592" s="98"/>
      <c r="DQ592" s="279"/>
      <c r="DR592" s="52"/>
      <c r="DS592" s="105"/>
      <c r="DT592" s="98"/>
      <c r="DU592" s="279"/>
      <c r="DV592" s="52"/>
      <c r="DW592" s="105"/>
      <c r="DX592" s="98"/>
      <c r="DY592" s="279"/>
      <c r="DZ592" s="52"/>
      <c r="EA592" s="105"/>
      <c r="EB592" s="98"/>
      <c r="EC592" s="279"/>
      <c r="ED592" s="52"/>
      <c r="EE592" s="105"/>
      <c r="EF592" s="98"/>
      <c r="EG592" s="159"/>
      <c r="EH592" s="277"/>
      <c r="EI592" s="50">
        <f t="shared" si="250"/>
        <v>3</v>
      </c>
      <c r="EJ592" s="103">
        <f t="shared" si="251"/>
        <v>1</v>
      </c>
      <c r="EK592" s="164">
        <f t="shared" si="252"/>
        <v>1</v>
      </c>
      <c r="EL592" s="280">
        <f t="shared" si="253"/>
        <v>2</v>
      </c>
      <c r="EM592" s="63">
        <f t="shared" si="254"/>
        <v>1</v>
      </c>
      <c r="EN592" s="359">
        <f t="shared" si="255"/>
        <v>1</v>
      </c>
      <c r="EO592" s="51">
        <f t="shared" si="256"/>
        <v>418</v>
      </c>
      <c r="EP592" s="361">
        <f t="shared" si="257"/>
        <v>340</v>
      </c>
      <c r="EQ592" s="281"/>
      <c r="ER592" s="277"/>
      <c r="ES592" s="281"/>
      <c r="ET592" s="277"/>
      <c r="EU592" s="281"/>
      <c r="EV592" s="277"/>
      <c r="EW592" s="281"/>
      <c r="EX592" s="277"/>
      <c r="EY592" s="281"/>
      <c r="EZ592" s="277"/>
      <c r="FA592" s="281"/>
      <c r="FB592" s="277"/>
      <c r="FC592" s="281"/>
      <c r="FD592" s="277"/>
      <c r="FE592" s="281"/>
      <c r="FF592" s="277"/>
      <c r="FG592" s="281"/>
      <c r="FH592" s="277"/>
      <c r="FI592" s="281"/>
      <c r="FJ592" s="277"/>
      <c r="FK592" s="50">
        <f t="shared" si="258"/>
        <v>0</v>
      </c>
      <c r="FL592" s="63">
        <f t="shared" si="259"/>
        <v>0</v>
      </c>
      <c r="FM592" s="50">
        <f t="shared" si="241"/>
        <v>1631</v>
      </c>
      <c r="FN592" s="360">
        <f t="shared" si="242"/>
        <v>1554</v>
      </c>
      <c r="FO592" s="43"/>
      <c r="FP592" s="279"/>
      <c r="FQ592" s="467"/>
      <c r="FR592" s="296"/>
      <c r="FS592" s="98"/>
      <c r="FT592" s="467"/>
      <c r="FU592" s="52"/>
      <c r="FV592" s="296"/>
      <c r="FW592" s="98"/>
      <c r="FX592" s="467"/>
      <c r="FY592" s="52"/>
      <c r="FZ592" s="296"/>
      <c r="GA592" s="98"/>
      <c r="GB592" s="467"/>
      <c r="GC592" s="52"/>
      <c r="GD592" s="296"/>
      <c r="GE592" s="98"/>
      <c r="GF592" s="467"/>
      <c r="GG592" s="52"/>
      <c r="GH592" s="296"/>
      <c r="GI592" s="98"/>
      <c r="GJ592" s="467"/>
      <c r="GK592" s="52"/>
      <c r="GL592" s="296"/>
      <c r="GM592" s="464"/>
      <c r="GN592" s="467"/>
      <c r="GO592" s="52"/>
      <c r="GP592" s="296"/>
      <c r="GQ592" s="464"/>
      <c r="GR592" s="467"/>
      <c r="GS592" s="52"/>
      <c r="GT592" s="296"/>
      <c r="GU592" s="464"/>
      <c r="GV592" s="467"/>
      <c r="GW592" s="52"/>
      <c r="GX592" s="296"/>
      <c r="GY592" s="464"/>
      <c r="GZ592" s="467"/>
      <c r="HA592" s="52"/>
      <c r="HB592" s="296"/>
      <c r="HC592" s="43"/>
    </row>
    <row r="593" spans="1:211" s="85" customFormat="1">
      <c r="A593" s="502" t="s">
        <v>951</v>
      </c>
      <c r="B593" s="315" t="s">
        <v>819</v>
      </c>
      <c r="C593" s="314">
        <v>224545</v>
      </c>
      <c r="D593" s="343">
        <v>4</v>
      </c>
      <c r="E593" s="460"/>
      <c r="F593" s="277"/>
      <c r="G593" s="158"/>
      <c r="H593" s="277"/>
      <c r="I593" s="158"/>
      <c r="J593" s="338"/>
      <c r="K593" s="160">
        <f t="shared" si="243"/>
        <v>0</v>
      </c>
      <c r="L593" s="161">
        <f t="shared" si="236"/>
        <v>0</v>
      </c>
      <c r="M593" s="54">
        <v>354</v>
      </c>
      <c r="N593" s="55"/>
      <c r="O593" s="55"/>
      <c r="P593" s="55"/>
      <c r="Q593" s="162">
        <f t="shared" si="244"/>
        <v>0</v>
      </c>
      <c r="R593" s="277">
        <v>346</v>
      </c>
      <c r="S593" s="277"/>
      <c r="T593" s="277"/>
      <c r="U593" s="277"/>
      <c r="V593" s="97">
        <f t="shared" si="245"/>
        <v>0</v>
      </c>
      <c r="W593" s="279"/>
      <c r="X593" s="52"/>
      <c r="Y593" s="99"/>
      <c r="Z593" s="53"/>
      <c r="AA593" s="228"/>
      <c r="AB593" s="52"/>
      <c r="AC593" s="99"/>
      <c r="AD593" s="53"/>
      <c r="AE593" s="228"/>
      <c r="AF593" s="52"/>
      <c r="AG593" s="99"/>
      <c r="AH593" s="53"/>
      <c r="AI593" s="228"/>
      <c r="AJ593" s="52"/>
      <c r="AK593" s="99"/>
      <c r="AL593" s="53"/>
      <c r="AM593" s="228"/>
      <c r="AN593" s="52"/>
      <c r="AO593" s="99"/>
      <c r="AP593" s="53"/>
      <c r="AQ593" s="50">
        <f t="shared" si="237"/>
        <v>0</v>
      </c>
      <c r="AR593" s="163">
        <f t="shared" si="238"/>
        <v>0.59696458684654297</v>
      </c>
      <c r="AS593" s="97">
        <f t="shared" si="239"/>
        <v>0</v>
      </c>
      <c r="AT593" s="278">
        <f t="shared" si="240"/>
        <v>0.58843537414965985</v>
      </c>
      <c r="AU593" s="55"/>
      <c r="AV593" s="277"/>
      <c r="AW593" s="279">
        <v>52</v>
      </c>
      <c r="AX593" s="52">
        <v>135</v>
      </c>
      <c r="AY593" s="552">
        <v>13</v>
      </c>
      <c r="AZ593" s="551">
        <v>109</v>
      </c>
      <c r="BA593" s="279">
        <v>13</v>
      </c>
      <c r="BB593" s="52">
        <v>74</v>
      </c>
      <c r="BC593" s="552">
        <v>52</v>
      </c>
      <c r="BD593" s="551">
        <v>107</v>
      </c>
      <c r="BE593" s="279">
        <v>42</v>
      </c>
      <c r="BF593" s="52">
        <v>14</v>
      </c>
      <c r="BG593" s="552">
        <v>42</v>
      </c>
      <c r="BH593" s="551">
        <v>18</v>
      </c>
      <c r="BI593" s="279">
        <v>30</v>
      </c>
      <c r="BJ593" s="52">
        <v>13</v>
      </c>
      <c r="BK593" s="552">
        <v>23</v>
      </c>
      <c r="BL593" s="551">
        <v>3</v>
      </c>
      <c r="BM593" s="279">
        <v>23</v>
      </c>
      <c r="BN593" s="52">
        <v>3</v>
      </c>
      <c r="BO593" s="552">
        <v>30</v>
      </c>
      <c r="BP593" s="551">
        <v>3</v>
      </c>
      <c r="BQ593" s="279"/>
      <c r="BR593" s="52"/>
      <c r="BS593" s="552">
        <v>54</v>
      </c>
      <c r="BT593" s="551">
        <v>2</v>
      </c>
      <c r="BU593" s="279"/>
      <c r="BV593" s="52"/>
      <c r="BW593" s="105"/>
      <c r="BX593" s="98"/>
      <c r="BY593" s="279"/>
      <c r="BZ593" s="52"/>
      <c r="CA593" s="105"/>
      <c r="CB593" s="98"/>
      <c r="CC593" s="279"/>
      <c r="CD593" s="52"/>
      <c r="CE593" s="105"/>
      <c r="CF593" s="98"/>
      <c r="CG593" s="279"/>
      <c r="CH593" s="52"/>
      <c r="CI593" s="105"/>
      <c r="CJ593" s="98"/>
      <c r="CK593" s="281"/>
      <c r="CL593" s="277"/>
      <c r="CM593" s="159"/>
      <c r="CN593" s="277"/>
      <c r="CO593" s="50">
        <f t="shared" si="246"/>
        <v>239</v>
      </c>
      <c r="CP593" s="103">
        <f t="shared" si="247"/>
        <v>5</v>
      </c>
      <c r="CQ593" s="280">
        <f t="shared" si="248"/>
        <v>242</v>
      </c>
      <c r="CR593" s="63">
        <f t="shared" si="249"/>
        <v>6</v>
      </c>
      <c r="CS593" s="279"/>
      <c r="CT593" s="52"/>
      <c r="CU593" s="105"/>
      <c r="CV593" s="98"/>
      <c r="CW593" s="279"/>
      <c r="CX593" s="52"/>
      <c r="CY593" s="105"/>
      <c r="CZ593" s="98"/>
      <c r="DA593" s="279"/>
      <c r="DB593" s="52"/>
      <c r="DC593" s="105"/>
      <c r="DD593" s="98"/>
      <c r="DE593" s="279"/>
      <c r="DF593" s="52"/>
      <c r="DG593" s="105"/>
      <c r="DH593" s="98"/>
      <c r="DI593" s="279"/>
      <c r="DJ593" s="52"/>
      <c r="DK593" s="105"/>
      <c r="DL593" s="98"/>
      <c r="DM593" s="279"/>
      <c r="DN593" s="52"/>
      <c r="DO593" s="105"/>
      <c r="DP593" s="98"/>
      <c r="DQ593" s="279"/>
      <c r="DR593" s="52"/>
      <c r="DS593" s="105"/>
      <c r="DT593" s="98"/>
      <c r="DU593" s="279"/>
      <c r="DV593" s="52"/>
      <c r="DW593" s="105"/>
      <c r="DX593" s="98"/>
      <c r="DY593" s="279"/>
      <c r="DZ593" s="52"/>
      <c r="EA593" s="105"/>
      <c r="EB593" s="98"/>
      <c r="EC593" s="279"/>
      <c r="ED593" s="52"/>
      <c r="EE593" s="105"/>
      <c r="EF593" s="98"/>
      <c r="EG593" s="159"/>
      <c r="EH593" s="277"/>
      <c r="EI593" s="50">
        <f t="shared" si="250"/>
        <v>0</v>
      </c>
      <c r="EJ593" s="103">
        <f t="shared" si="251"/>
        <v>0</v>
      </c>
      <c r="EK593" s="164">
        <f t="shared" si="252"/>
        <v>0</v>
      </c>
      <c r="EL593" s="280">
        <f t="shared" si="253"/>
        <v>0</v>
      </c>
      <c r="EM593" s="63">
        <f t="shared" si="254"/>
        <v>0</v>
      </c>
      <c r="EN593" s="359">
        <f t="shared" si="255"/>
        <v>0</v>
      </c>
      <c r="EO593" s="51">
        <f t="shared" si="256"/>
        <v>239</v>
      </c>
      <c r="EP593" s="361">
        <f t="shared" si="257"/>
        <v>242</v>
      </c>
      <c r="EQ593" s="281"/>
      <c r="ER593" s="277"/>
      <c r="ES593" s="281"/>
      <c r="ET593" s="277"/>
      <c r="EU593" s="281"/>
      <c r="EV593" s="277"/>
      <c r="EW593" s="281"/>
      <c r="EX593" s="277"/>
      <c r="EY593" s="281"/>
      <c r="EZ593" s="277"/>
      <c r="FA593" s="281"/>
      <c r="FB593" s="277"/>
      <c r="FC593" s="281"/>
      <c r="FD593" s="277"/>
      <c r="FE593" s="281"/>
      <c r="FF593" s="277"/>
      <c r="FG593" s="281"/>
      <c r="FH593" s="277"/>
      <c r="FI593" s="281"/>
      <c r="FJ593" s="277"/>
      <c r="FK593" s="50">
        <f t="shared" si="258"/>
        <v>0</v>
      </c>
      <c r="FL593" s="63">
        <f t="shared" si="259"/>
        <v>0</v>
      </c>
      <c r="FM593" s="50">
        <f t="shared" si="241"/>
        <v>593</v>
      </c>
      <c r="FN593" s="360">
        <f t="shared" si="242"/>
        <v>588</v>
      </c>
      <c r="FO593" s="43"/>
      <c r="FP593" s="279"/>
      <c r="FQ593" s="467"/>
      <c r="FR593" s="296"/>
      <c r="FS593" s="98"/>
      <c r="FT593" s="467"/>
      <c r="FU593" s="52"/>
      <c r="FV593" s="296"/>
      <c r="FW593" s="98"/>
      <c r="FX593" s="467"/>
      <c r="FY593" s="52"/>
      <c r="FZ593" s="296"/>
      <c r="GA593" s="98"/>
      <c r="GB593" s="467"/>
      <c r="GC593" s="52"/>
      <c r="GD593" s="296"/>
      <c r="GE593" s="98"/>
      <c r="GF593" s="467"/>
      <c r="GG593" s="52"/>
      <c r="GH593" s="296"/>
      <c r="GI593" s="98"/>
      <c r="GJ593" s="467"/>
      <c r="GK593" s="52"/>
      <c r="GL593" s="296"/>
      <c r="GM593" s="464"/>
      <c r="GN593" s="467"/>
      <c r="GO593" s="52"/>
      <c r="GP593" s="296"/>
      <c r="GQ593" s="464"/>
      <c r="GR593" s="467"/>
      <c r="GS593" s="52"/>
      <c r="GT593" s="296"/>
      <c r="GU593" s="464"/>
      <c r="GV593" s="467"/>
      <c r="GW593" s="52"/>
      <c r="GX593" s="296"/>
      <c r="GY593" s="464"/>
      <c r="GZ593" s="467"/>
      <c r="HA593" s="52"/>
      <c r="HB593" s="296"/>
      <c r="HC593" s="43"/>
    </row>
    <row r="594" spans="1:211" s="85" customFormat="1">
      <c r="A594" s="502" t="s">
        <v>951</v>
      </c>
      <c r="B594" s="515" t="s">
        <v>825</v>
      </c>
      <c r="C594" s="516">
        <v>225502</v>
      </c>
      <c r="D594" s="480">
        <v>4</v>
      </c>
      <c r="E594" s="460"/>
      <c r="F594" s="277"/>
      <c r="G594" s="158"/>
      <c r="H594" s="277"/>
      <c r="I594" s="158"/>
      <c r="J594" s="338"/>
      <c r="K594" s="160">
        <f t="shared" si="243"/>
        <v>0</v>
      </c>
      <c r="L594" s="161">
        <f t="shared" si="236"/>
        <v>0</v>
      </c>
      <c r="M594" s="54">
        <v>390</v>
      </c>
      <c r="N594" s="55"/>
      <c r="O594" s="55"/>
      <c r="P594" s="55"/>
      <c r="Q594" s="162">
        <f t="shared" si="244"/>
        <v>0</v>
      </c>
      <c r="R594" s="277">
        <v>490</v>
      </c>
      <c r="S594" s="277"/>
      <c r="T594" s="277"/>
      <c r="U594" s="277"/>
      <c r="V594" s="97">
        <f t="shared" si="245"/>
        <v>0</v>
      </c>
      <c r="W594" s="279"/>
      <c r="X594" s="52"/>
      <c r="Y594" s="99"/>
      <c r="Z594" s="53"/>
      <c r="AA594" s="228"/>
      <c r="AB594" s="52"/>
      <c r="AC594" s="99"/>
      <c r="AD594" s="53"/>
      <c r="AE594" s="228"/>
      <c r="AF594" s="52"/>
      <c r="AG594" s="99"/>
      <c r="AH594" s="53"/>
      <c r="AI594" s="228"/>
      <c r="AJ594" s="52"/>
      <c r="AK594" s="99"/>
      <c r="AL594" s="53"/>
      <c r="AM594" s="228"/>
      <c r="AN594" s="52"/>
      <c r="AO594" s="99"/>
      <c r="AP594" s="53"/>
      <c r="AQ594" s="50">
        <f t="shared" si="237"/>
        <v>0</v>
      </c>
      <c r="AR594" s="163">
        <f t="shared" si="238"/>
        <v>0.55397727272727271</v>
      </c>
      <c r="AS594" s="97">
        <f t="shared" si="239"/>
        <v>0</v>
      </c>
      <c r="AT594" s="278">
        <f t="shared" si="240"/>
        <v>0.61173533083645448</v>
      </c>
      <c r="AU594" s="55"/>
      <c r="AV594" s="277"/>
      <c r="AW594" s="279">
        <v>13</v>
      </c>
      <c r="AX594" s="52">
        <v>143</v>
      </c>
      <c r="AY594" s="552">
        <v>52</v>
      </c>
      <c r="AZ594" s="551">
        <v>148</v>
      </c>
      <c r="BA594" s="279">
        <v>52</v>
      </c>
      <c r="BB594" s="52">
        <v>132</v>
      </c>
      <c r="BC594" s="552">
        <v>13</v>
      </c>
      <c r="BD594" s="551">
        <v>130</v>
      </c>
      <c r="BE594" s="279">
        <v>30</v>
      </c>
      <c r="BF594" s="52">
        <v>16</v>
      </c>
      <c r="BG594" s="552">
        <v>11</v>
      </c>
      <c r="BH594" s="551">
        <v>14</v>
      </c>
      <c r="BI594" s="279">
        <v>42</v>
      </c>
      <c r="BJ594" s="52">
        <v>15</v>
      </c>
      <c r="BK594" s="552">
        <v>30</v>
      </c>
      <c r="BL594" s="551">
        <v>14</v>
      </c>
      <c r="BM594" s="279">
        <v>11</v>
      </c>
      <c r="BN594" s="52">
        <v>8</v>
      </c>
      <c r="BO594" s="552">
        <v>42</v>
      </c>
      <c r="BP594" s="551">
        <v>5</v>
      </c>
      <c r="BQ594" s="279"/>
      <c r="BR594" s="52"/>
      <c r="BS594" s="105"/>
      <c r="BT594" s="98"/>
      <c r="BU594" s="279"/>
      <c r="BV594" s="52"/>
      <c r="BW594" s="105"/>
      <c r="BX594" s="98"/>
      <c r="BY594" s="279"/>
      <c r="BZ594" s="52"/>
      <c r="CA594" s="105"/>
      <c r="CB594" s="98"/>
      <c r="CC594" s="279"/>
      <c r="CD594" s="52"/>
      <c r="CE594" s="105"/>
      <c r="CF594" s="98"/>
      <c r="CG594" s="279"/>
      <c r="CH594" s="52"/>
      <c r="CI594" s="105"/>
      <c r="CJ594" s="98"/>
      <c r="CK594" s="281"/>
      <c r="CL594" s="277"/>
      <c r="CM594" s="159"/>
      <c r="CN594" s="277"/>
      <c r="CO594" s="50">
        <f t="shared" si="246"/>
        <v>314</v>
      </c>
      <c r="CP594" s="103">
        <f t="shared" si="247"/>
        <v>5</v>
      </c>
      <c r="CQ594" s="280">
        <f t="shared" si="248"/>
        <v>311</v>
      </c>
      <c r="CR594" s="63">
        <f t="shared" si="249"/>
        <v>5</v>
      </c>
      <c r="CS594" s="279"/>
      <c r="CT594" s="52"/>
      <c r="CU594" s="105"/>
      <c r="CV594" s="98"/>
      <c r="CW594" s="279"/>
      <c r="CX594" s="52"/>
      <c r="CY594" s="105"/>
      <c r="CZ594" s="98"/>
      <c r="DA594" s="279"/>
      <c r="DB594" s="52"/>
      <c r="DC594" s="105"/>
      <c r="DD594" s="98"/>
      <c r="DE594" s="279"/>
      <c r="DF594" s="52"/>
      <c r="DG594" s="105"/>
      <c r="DH594" s="98"/>
      <c r="DI594" s="279"/>
      <c r="DJ594" s="52"/>
      <c r="DK594" s="105"/>
      <c r="DL594" s="98"/>
      <c r="DM594" s="279"/>
      <c r="DN594" s="52"/>
      <c r="DO594" s="105"/>
      <c r="DP594" s="98"/>
      <c r="DQ594" s="279"/>
      <c r="DR594" s="52"/>
      <c r="DS594" s="105"/>
      <c r="DT594" s="98"/>
      <c r="DU594" s="279"/>
      <c r="DV594" s="52"/>
      <c r="DW594" s="105"/>
      <c r="DX594" s="98"/>
      <c r="DY594" s="279"/>
      <c r="DZ594" s="52"/>
      <c r="EA594" s="105"/>
      <c r="EB594" s="98"/>
      <c r="EC594" s="279"/>
      <c r="ED594" s="52"/>
      <c r="EE594" s="105"/>
      <c r="EF594" s="98"/>
      <c r="EG594" s="159"/>
      <c r="EH594" s="277"/>
      <c r="EI594" s="50">
        <f t="shared" si="250"/>
        <v>0</v>
      </c>
      <c r="EJ594" s="103">
        <f t="shared" si="251"/>
        <v>0</v>
      </c>
      <c r="EK594" s="164">
        <f t="shared" si="252"/>
        <v>0</v>
      </c>
      <c r="EL594" s="280">
        <f t="shared" si="253"/>
        <v>0</v>
      </c>
      <c r="EM594" s="63">
        <f t="shared" si="254"/>
        <v>0</v>
      </c>
      <c r="EN594" s="359">
        <f t="shared" si="255"/>
        <v>0</v>
      </c>
      <c r="EO594" s="51">
        <f t="shared" si="256"/>
        <v>314</v>
      </c>
      <c r="EP594" s="361">
        <f t="shared" si="257"/>
        <v>311</v>
      </c>
      <c r="EQ594" s="281"/>
      <c r="ER594" s="277"/>
      <c r="ES594" s="281"/>
      <c r="ET594" s="277"/>
      <c r="EU594" s="281"/>
      <c r="EV594" s="277"/>
      <c r="EW594" s="281"/>
      <c r="EX594" s="277"/>
      <c r="EY594" s="281"/>
      <c r="EZ594" s="277"/>
      <c r="FA594" s="281"/>
      <c r="FB594" s="277"/>
      <c r="FC594" s="281"/>
      <c r="FD594" s="277"/>
      <c r="FE594" s="281"/>
      <c r="FF594" s="277"/>
      <c r="FG594" s="281"/>
      <c r="FH594" s="277"/>
      <c r="FI594" s="281"/>
      <c r="FJ594" s="277"/>
      <c r="FK594" s="50">
        <f t="shared" si="258"/>
        <v>0</v>
      </c>
      <c r="FL594" s="63">
        <f t="shared" si="259"/>
        <v>0</v>
      </c>
      <c r="FM594" s="50">
        <f t="shared" si="241"/>
        <v>704</v>
      </c>
      <c r="FN594" s="360">
        <f t="shared" si="242"/>
        <v>801</v>
      </c>
      <c r="FO594" s="43"/>
      <c r="FP594" s="279"/>
      <c r="FQ594" s="467"/>
      <c r="FR594" s="296"/>
      <c r="FS594" s="98"/>
      <c r="FT594" s="467"/>
      <c r="FU594" s="52"/>
      <c r="FV594" s="296"/>
      <c r="FW594" s="98"/>
      <c r="FX594" s="467"/>
      <c r="FY594" s="52"/>
      <c r="FZ594" s="296"/>
      <c r="GA594" s="98"/>
      <c r="GB594" s="467"/>
      <c r="GC594" s="52"/>
      <c r="GD594" s="296"/>
      <c r="GE594" s="98"/>
      <c r="GF594" s="467"/>
      <c r="GG594" s="52"/>
      <c r="GH594" s="296"/>
      <c r="GI594" s="98"/>
      <c r="GJ594" s="467"/>
      <c r="GK594" s="52"/>
      <c r="GL594" s="296"/>
      <c r="GM594" s="464"/>
      <c r="GN594" s="467"/>
      <c r="GO594" s="52"/>
      <c r="GP594" s="296"/>
      <c r="GQ594" s="464"/>
      <c r="GR594" s="467"/>
      <c r="GS594" s="52"/>
      <c r="GT594" s="296"/>
      <c r="GU594" s="464"/>
      <c r="GV594" s="467"/>
      <c r="GW594" s="52"/>
      <c r="GX594" s="296"/>
      <c r="GY594" s="464"/>
      <c r="GZ594" s="467"/>
      <c r="HA594" s="52"/>
      <c r="HB594" s="296"/>
      <c r="HC594" s="43"/>
    </row>
    <row r="595" spans="1:211" s="85" customFormat="1">
      <c r="A595" s="502" t="s">
        <v>951</v>
      </c>
      <c r="B595" s="315" t="s">
        <v>820</v>
      </c>
      <c r="C595" s="314">
        <v>227377</v>
      </c>
      <c r="D595" s="343">
        <v>4</v>
      </c>
      <c r="E595" s="460"/>
      <c r="F595" s="277"/>
      <c r="G595" s="158"/>
      <c r="H595" s="277"/>
      <c r="I595" s="158">
        <v>1</v>
      </c>
      <c r="J595" s="338"/>
      <c r="K595" s="160">
        <f t="shared" si="243"/>
        <v>1.1111111111111111E-3</v>
      </c>
      <c r="L595" s="161">
        <f t="shared" si="236"/>
        <v>0</v>
      </c>
      <c r="M595" s="54">
        <v>900</v>
      </c>
      <c r="N595" s="55"/>
      <c r="O595" s="55"/>
      <c r="P595" s="55"/>
      <c r="Q595" s="162">
        <f t="shared" si="244"/>
        <v>0</v>
      </c>
      <c r="R595" s="277">
        <v>987</v>
      </c>
      <c r="S595" s="277"/>
      <c r="T595" s="277"/>
      <c r="U595" s="277"/>
      <c r="V595" s="97">
        <f t="shared" si="245"/>
        <v>0</v>
      </c>
      <c r="W595" s="279"/>
      <c r="X595" s="52"/>
      <c r="Y595" s="99"/>
      <c r="Z595" s="53"/>
      <c r="AA595" s="228"/>
      <c r="AB595" s="52"/>
      <c r="AC595" s="99"/>
      <c r="AD595" s="53"/>
      <c r="AE595" s="228"/>
      <c r="AF595" s="52"/>
      <c r="AG595" s="99"/>
      <c r="AH595" s="53"/>
      <c r="AI595" s="228"/>
      <c r="AJ595" s="52"/>
      <c r="AK595" s="99"/>
      <c r="AL595" s="53"/>
      <c r="AM595" s="228"/>
      <c r="AN595" s="52"/>
      <c r="AO595" s="99"/>
      <c r="AP595" s="53"/>
      <c r="AQ595" s="50">
        <f t="shared" si="237"/>
        <v>0</v>
      </c>
      <c r="AR595" s="163">
        <f t="shared" si="238"/>
        <v>0.8571428571428571</v>
      </c>
      <c r="AS595" s="97">
        <f t="shared" si="239"/>
        <v>0</v>
      </c>
      <c r="AT595" s="278">
        <f t="shared" si="240"/>
        <v>0.81705298013245031</v>
      </c>
      <c r="AU595" s="55"/>
      <c r="AV595" s="277"/>
      <c r="AW595" s="279">
        <v>13</v>
      </c>
      <c r="AX595" s="52">
        <v>90</v>
      </c>
      <c r="AY595" s="552">
        <v>13</v>
      </c>
      <c r="AZ595" s="551">
        <v>139</v>
      </c>
      <c r="BA595" s="279">
        <v>52</v>
      </c>
      <c r="BB595" s="52">
        <v>18</v>
      </c>
      <c r="BC595" s="552">
        <v>52</v>
      </c>
      <c r="BD595" s="551">
        <v>35</v>
      </c>
      <c r="BE595" s="279">
        <v>44</v>
      </c>
      <c r="BF595" s="52">
        <v>12</v>
      </c>
      <c r="BG595" s="552">
        <v>30</v>
      </c>
      <c r="BH595" s="551">
        <v>11</v>
      </c>
      <c r="BI595" s="279">
        <v>30</v>
      </c>
      <c r="BJ595" s="52">
        <v>7</v>
      </c>
      <c r="BK595" s="552">
        <v>23</v>
      </c>
      <c r="BL595" s="551">
        <v>8</v>
      </c>
      <c r="BM595" s="279">
        <v>40</v>
      </c>
      <c r="BN595" s="52">
        <v>7</v>
      </c>
      <c r="BO595" s="552">
        <v>44</v>
      </c>
      <c r="BP595" s="551">
        <v>6</v>
      </c>
      <c r="BQ595" s="279">
        <v>51</v>
      </c>
      <c r="BR595" s="52">
        <v>7</v>
      </c>
      <c r="BS595" s="552">
        <v>26</v>
      </c>
      <c r="BT595" s="551">
        <v>5</v>
      </c>
      <c r="BU595" s="279">
        <v>16</v>
      </c>
      <c r="BV595" s="52">
        <v>3</v>
      </c>
      <c r="BW595" s="552">
        <v>40</v>
      </c>
      <c r="BX595" s="551">
        <v>4</v>
      </c>
      <c r="BY595" s="279">
        <v>23</v>
      </c>
      <c r="BZ595" s="52">
        <v>2</v>
      </c>
      <c r="CA595" s="552">
        <v>51</v>
      </c>
      <c r="CB595" s="551">
        <v>4</v>
      </c>
      <c r="CC595" s="279">
        <v>27</v>
      </c>
      <c r="CD595" s="52">
        <v>2</v>
      </c>
      <c r="CE595" s="552">
        <v>54</v>
      </c>
      <c r="CF595" s="551">
        <v>4</v>
      </c>
      <c r="CG595" s="279">
        <v>26</v>
      </c>
      <c r="CH595" s="52">
        <v>1</v>
      </c>
      <c r="CI595" s="552">
        <v>27</v>
      </c>
      <c r="CJ595" s="551">
        <v>3</v>
      </c>
      <c r="CK595" s="281"/>
      <c r="CL595" s="277"/>
      <c r="CM595" s="159"/>
      <c r="CN595" s="277">
        <v>2</v>
      </c>
      <c r="CO595" s="50">
        <f t="shared" si="246"/>
        <v>149</v>
      </c>
      <c r="CP595" s="103">
        <f t="shared" si="247"/>
        <v>10</v>
      </c>
      <c r="CQ595" s="280">
        <f t="shared" si="248"/>
        <v>221</v>
      </c>
      <c r="CR595" s="63">
        <f t="shared" si="249"/>
        <v>10</v>
      </c>
      <c r="CS595" s="279"/>
      <c r="CT595" s="52"/>
      <c r="CU595" s="105"/>
      <c r="CV595" s="98"/>
      <c r="CW595" s="279"/>
      <c r="CX595" s="52"/>
      <c r="CY595" s="105"/>
      <c r="CZ595" s="98"/>
      <c r="DA595" s="279"/>
      <c r="DB595" s="52"/>
      <c r="DC595" s="105"/>
      <c r="DD595" s="98"/>
      <c r="DE595" s="279"/>
      <c r="DF595" s="52"/>
      <c r="DG595" s="105"/>
      <c r="DH595" s="98"/>
      <c r="DI595" s="279"/>
      <c r="DJ595" s="52"/>
      <c r="DK595" s="105"/>
      <c r="DL595" s="98"/>
      <c r="DM595" s="279"/>
      <c r="DN595" s="52"/>
      <c r="DO595" s="105"/>
      <c r="DP595" s="98"/>
      <c r="DQ595" s="279"/>
      <c r="DR595" s="52"/>
      <c r="DS595" s="105"/>
      <c r="DT595" s="98"/>
      <c r="DU595" s="279"/>
      <c r="DV595" s="52"/>
      <c r="DW595" s="105"/>
      <c r="DX595" s="98"/>
      <c r="DY595" s="279"/>
      <c r="DZ595" s="52"/>
      <c r="EA595" s="105"/>
      <c r="EB595" s="98"/>
      <c r="EC595" s="279"/>
      <c r="ED595" s="52"/>
      <c r="EE595" s="105"/>
      <c r="EF595" s="98"/>
      <c r="EG595" s="159"/>
      <c r="EH595" s="277"/>
      <c r="EI595" s="50">
        <f t="shared" si="250"/>
        <v>0</v>
      </c>
      <c r="EJ595" s="103">
        <f t="shared" si="251"/>
        <v>0</v>
      </c>
      <c r="EK595" s="164">
        <f t="shared" si="252"/>
        <v>0</v>
      </c>
      <c r="EL595" s="280">
        <f t="shared" si="253"/>
        <v>0</v>
      </c>
      <c r="EM595" s="63">
        <f t="shared" si="254"/>
        <v>0</v>
      </c>
      <c r="EN595" s="359">
        <f t="shared" si="255"/>
        <v>0</v>
      </c>
      <c r="EO595" s="51">
        <f t="shared" si="256"/>
        <v>149</v>
      </c>
      <c r="EP595" s="361">
        <f t="shared" si="257"/>
        <v>221</v>
      </c>
      <c r="EQ595" s="281"/>
      <c r="ER595" s="277"/>
      <c r="ES595" s="281"/>
      <c r="ET595" s="277"/>
      <c r="EU595" s="281"/>
      <c r="EV595" s="277"/>
      <c r="EW595" s="281"/>
      <c r="EX595" s="277"/>
      <c r="EY595" s="281"/>
      <c r="EZ595" s="277"/>
      <c r="FA595" s="281"/>
      <c r="FB595" s="277"/>
      <c r="FC595" s="281"/>
      <c r="FD595" s="277"/>
      <c r="FE595" s="281"/>
      <c r="FF595" s="277"/>
      <c r="FG595" s="281"/>
      <c r="FH595" s="277"/>
      <c r="FI595" s="281"/>
      <c r="FJ595" s="277"/>
      <c r="FK595" s="50">
        <f t="shared" si="258"/>
        <v>0</v>
      </c>
      <c r="FL595" s="63">
        <f t="shared" si="259"/>
        <v>0</v>
      </c>
      <c r="FM595" s="50">
        <f t="shared" si="241"/>
        <v>1050</v>
      </c>
      <c r="FN595" s="360">
        <f t="shared" si="242"/>
        <v>1208</v>
      </c>
      <c r="FO595" s="43"/>
      <c r="FP595" s="279"/>
      <c r="FQ595" s="467"/>
      <c r="FR595" s="296"/>
      <c r="FS595" s="98"/>
      <c r="FT595" s="467"/>
      <c r="FU595" s="52"/>
      <c r="FV595" s="296"/>
      <c r="FW595" s="98"/>
      <c r="FX595" s="467"/>
      <c r="FY595" s="52"/>
      <c r="FZ595" s="296"/>
      <c r="GA595" s="98"/>
      <c r="GB595" s="467"/>
      <c r="GC595" s="52"/>
      <c r="GD595" s="296"/>
      <c r="GE595" s="98"/>
      <c r="GF595" s="467"/>
      <c r="GG595" s="52"/>
      <c r="GH595" s="296"/>
      <c r="GI595" s="98"/>
      <c r="GJ595" s="467"/>
      <c r="GK595" s="52"/>
      <c r="GL595" s="296"/>
      <c r="GM595" s="464"/>
      <c r="GN595" s="467"/>
      <c r="GO595" s="52"/>
      <c r="GP595" s="296"/>
      <c r="GQ595" s="464"/>
      <c r="GR595" s="467"/>
      <c r="GS595" s="52"/>
      <c r="GT595" s="296"/>
      <c r="GU595" s="464"/>
      <c r="GV595" s="467"/>
      <c r="GW595" s="52"/>
      <c r="GX595" s="296"/>
      <c r="GY595" s="464"/>
      <c r="GZ595" s="467"/>
      <c r="HA595" s="52"/>
      <c r="HB595" s="296"/>
      <c r="HC595" s="43"/>
    </row>
    <row r="596" spans="1:211" s="85" customFormat="1">
      <c r="A596" s="502" t="s">
        <v>951</v>
      </c>
      <c r="B596" s="315" t="s">
        <v>821</v>
      </c>
      <c r="C596" s="314">
        <v>229018</v>
      </c>
      <c r="D596" s="343">
        <v>4</v>
      </c>
      <c r="E596" s="460"/>
      <c r="F596" s="277"/>
      <c r="G596" s="158"/>
      <c r="H596" s="277"/>
      <c r="I596" s="158"/>
      <c r="J596" s="338"/>
      <c r="K596" s="160">
        <f t="shared" si="243"/>
        <v>0</v>
      </c>
      <c r="L596" s="161">
        <f t="shared" si="236"/>
        <v>0</v>
      </c>
      <c r="M596" s="54">
        <v>518</v>
      </c>
      <c r="N596" s="55"/>
      <c r="O596" s="55"/>
      <c r="P596" s="55"/>
      <c r="Q596" s="162">
        <f t="shared" si="244"/>
        <v>0</v>
      </c>
      <c r="R596" s="277">
        <v>573</v>
      </c>
      <c r="S596" s="277"/>
      <c r="T596" s="277"/>
      <c r="U596" s="277"/>
      <c r="V596" s="97">
        <f t="shared" si="245"/>
        <v>0</v>
      </c>
      <c r="W596" s="279"/>
      <c r="X596" s="52"/>
      <c r="Y596" s="99"/>
      <c r="Z596" s="53"/>
      <c r="AA596" s="228"/>
      <c r="AB596" s="52"/>
      <c r="AC596" s="99"/>
      <c r="AD596" s="53"/>
      <c r="AE596" s="228"/>
      <c r="AF596" s="52"/>
      <c r="AG596" s="99"/>
      <c r="AH596" s="53"/>
      <c r="AI596" s="228"/>
      <c r="AJ596" s="52"/>
      <c r="AK596" s="99"/>
      <c r="AL596" s="53"/>
      <c r="AM596" s="228"/>
      <c r="AN596" s="52"/>
      <c r="AO596" s="99"/>
      <c r="AP596" s="53"/>
      <c r="AQ596" s="50">
        <f t="shared" si="237"/>
        <v>0</v>
      </c>
      <c r="AR596" s="163">
        <f t="shared" si="238"/>
        <v>0.82615629984051042</v>
      </c>
      <c r="AS596" s="97">
        <f t="shared" si="239"/>
        <v>0</v>
      </c>
      <c r="AT596" s="278">
        <f t="shared" si="240"/>
        <v>0.78171896316507505</v>
      </c>
      <c r="AU596" s="55"/>
      <c r="AV596" s="277"/>
      <c r="AW596" s="279">
        <v>13</v>
      </c>
      <c r="AX596" s="52">
        <v>52</v>
      </c>
      <c r="AY596" s="552">
        <v>13</v>
      </c>
      <c r="AZ596" s="551">
        <v>87</v>
      </c>
      <c r="BA596" s="279">
        <v>52</v>
      </c>
      <c r="BB596" s="52">
        <v>19</v>
      </c>
      <c r="BC596" s="552">
        <v>52</v>
      </c>
      <c r="BD596" s="551">
        <v>23</v>
      </c>
      <c r="BE596" s="279">
        <v>31</v>
      </c>
      <c r="BF596" s="52">
        <v>10</v>
      </c>
      <c r="BG596" s="552">
        <v>31</v>
      </c>
      <c r="BH596" s="551">
        <v>10</v>
      </c>
      <c r="BI596" s="279">
        <v>42</v>
      </c>
      <c r="BJ596" s="52">
        <v>10</v>
      </c>
      <c r="BK596" s="552">
        <v>16</v>
      </c>
      <c r="BL596" s="551">
        <v>9</v>
      </c>
      <c r="BM596" s="279">
        <v>44</v>
      </c>
      <c r="BN596" s="52">
        <v>7</v>
      </c>
      <c r="BO596" s="552">
        <v>42</v>
      </c>
      <c r="BP596" s="551">
        <v>9</v>
      </c>
      <c r="BQ596" s="279">
        <v>43</v>
      </c>
      <c r="BR596" s="52">
        <v>6</v>
      </c>
      <c r="BS596" s="552">
        <v>54</v>
      </c>
      <c r="BT596" s="551">
        <v>7</v>
      </c>
      <c r="BU596" s="279">
        <v>26</v>
      </c>
      <c r="BV596" s="52">
        <v>2</v>
      </c>
      <c r="BW596" s="552">
        <v>44</v>
      </c>
      <c r="BX596" s="551">
        <v>6</v>
      </c>
      <c r="BY596" s="279">
        <v>54</v>
      </c>
      <c r="BZ596" s="52">
        <v>2</v>
      </c>
      <c r="CA596" s="552">
        <v>23</v>
      </c>
      <c r="CB596" s="551">
        <v>3</v>
      </c>
      <c r="CC596" s="279">
        <v>16</v>
      </c>
      <c r="CD596" s="52">
        <v>1</v>
      </c>
      <c r="CE596" s="552">
        <v>26</v>
      </c>
      <c r="CF596" s="551">
        <v>2</v>
      </c>
      <c r="CG596" s="279"/>
      <c r="CH596" s="52"/>
      <c r="CI596" s="552">
        <v>43</v>
      </c>
      <c r="CJ596" s="551">
        <v>2</v>
      </c>
      <c r="CK596" s="281"/>
      <c r="CL596" s="277"/>
      <c r="CM596" s="159"/>
      <c r="CN596" s="277">
        <v>2</v>
      </c>
      <c r="CO596" s="50">
        <f t="shared" si="246"/>
        <v>109</v>
      </c>
      <c r="CP596" s="103">
        <f t="shared" si="247"/>
        <v>9</v>
      </c>
      <c r="CQ596" s="280">
        <f t="shared" si="248"/>
        <v>160</v>
      </c>
      <c r="CR596" s="63">
        <f t="shared" si="249"/>
        <v>10</v>
      </c>
      <c r="CS596" s="279"/>
      <c r="CT596" s="52"/>
      <c r="CU596" s="105"/>
      <c r="CV596" s="98"/>
      <c r="CW596" s="279"/>
      <c r="CX596" s="52"/>
      <c r="CY596" s="105"/>
      <c r="CZ596" s="98"/>
      <c r="DA596" s="279"/>
      <c r="DB596" s="52"/>
      <c r="DC596" s="105"/>
      <c r="DD596" s="98"/>
      <c r="DE596" s="279"/>
      <c r="DF596" s="52"/>
      <c r="DG596" s="105"/>
      <c r="DH596" s="98"/>
      <c r="DI596" s="279"/>
      <c r="DJ596" s="52"/>
      <c r="DK596" s="105"/>
      <c r="DL596" s="98"/>
      <c r="DM596" s="279"/>
      <c r="DN596" s="52"/>
      <c r="DO596" s="105"/>
      <c r="DP596" s="98"/>
      <c r="DQ596" s="279"/>
      <c r="DR596" s="52"/>
      <c r="DS596" s="105"/>
      <c r="DT596" s="98"/>
      <c r="DU596" s="279"/>
      <c r="DV596" s="52"/>
      <c r="DW596" s="105"/>
      <c r="DX596" s="98"/>
      <c r="DY596" s="279"/>
      <c r="DZ596" s="52"/>
      <c r="EA596" s="105"/>
      <c r="EB596" s="98"/>
      <c r="EC596" s="279"/>
      <c r="ED596" s="52"/>
      <c r="EE596" s="105"/>
      <c r="EF596" s="98"/>
      <c r="EG596" s="159"/>
      <c r="EH596" s="277"/>
      <c r="EI596" s="50">
        <f t="shared" si="250"/>
        <v>0</v>
      </c>
      <c r="EJ596" s="103">
        <f t="shared" si="251"/>
        <v>0</v>
      </c>
      <c r="EK596" s="164">
        <f t="shared" si="252"/>
        <v>0</v>
      </c>
      <c r="EL596" s="280">
        <f t="shared" si="253"/>
        <v>0</v>
      </c>
      <c r="EM596" s="63">
        <f t="shared" si="254"/>
        <v>0</v>
      </c>
      <c r="EN596" s="359">
        <f t="shared" si="255"/>
        <v>0</v>
      </c>
      <c r="EO596" s="51">
        <f t="shared" si="256"/>
        <v>109</v>
      </c>
      <c r="EP596" s="361">
        <f t="shared" si="257"/>
        <v>160</v>
      </c>
      <c r="EQ596" s="281"/>
      <c r="ER596" s="277"/>
      <c r="ES596" s="281"/>
      <c r="ET596" s="277"/>
      <c r="EU596" s="281"/>
      <c r="EV596" s="277"/>
      <c r="EW596" s="281"/>
      <c r="EX596" s="277"/>
      <c r="EY596" s="281"/>
      <c r="EZ596" s="277"/>
      <c r="FA596" s="281"/>
      <c r="FB596" s="277"/>
      <c r="FC596" s="281"/>
      <c r="FD596" s="277"/>
      <c r="FE596" s="281"/>
      <c r="FF596" s="277"/>
      <c r="FG596" s="281"/>
      <c r="FH596" s="277"/>
      <c r="FI596" s="281"/>
      <c r="FJ596" s="277"/>
      <c r="FK596" s="50">
        <f t="shared" si="258"/>
        <v>0</v>
      </c>
      <c r="FL596" s="63">
        <f t="shared" si="259"/>
        <v>0</v>
      </c>
      <c r="FM596" s="50">
        <f t="shared" si="241"/>
        <v>627</v>
      </c>
      <c r="FN596" s="360">
        <f t="shared" si="242"/>
        <v>733</v>
      </c>
      <c r="FO596" s="43"/>
      <c r="FP596" s="279"/>
      <c r="FQ596" s="467"/>
      <c r="FR596" s="296"/>
      <c r="FS596" s="98"/>
      <c r="FT596" s="467"/>
      <c r="FU596" s="52"/>
      <c r="FV596" s="296"/>
      <c r="FW596" s="98"/>
      <c r="FX596" s="467"/>
      <c r="FY596" s="52"/>
      <c r="FZ596" s="296"/>
      <c r="GA596" s="98"/>
      <c r="GB596" s="467"/>
      <c r="GC596" s="52"/>
      <c r="GD596" s="296"/>
      <c r="GE596" s="98"/>
      <c r="GF596" s="467"/>
      <c r="GG596" s="52"/>
      <c r="GH596" s="296"/>
      <c r="GI596" s="98"/>
      <c r="GJ596" s="467"/>
      <c r="GK596" s="52"/>
      <c r="GL596" s="296"/>
      <c r="GM596" s="464"/>
      <c r="GN596" s="467"/>
      <c r="GO596" s="52"/>
      <c r="GP596" s="296"/>
      <c r="GQ596" s="464"/>
      <c r="GR596" s="467"/>
      <c r="GS596" s="52"/>
      <c r="GT596" s="296"/>
      <c r="GU596" s="464"/>
      <c r="GV596" s="467"/>
      <c r="GW596" s="52"/>
      <c r="GX596" s="296"/>
      <c r="GY596" s="464"/>
      <c r="GZ596" s="467"/>
      <c r="HA596" s="52"/>
      <c r="HB596" s="296"/>
      <c r="HC596" s="43"/>
    </row>
    <row r="597" spans="1:211" s="85" customFormat="1">
      <c r="A597" s="502" t="s">
        <v>951</v>
      </c>
      <c r="B597" s="315" t="s">
        <v>822</v>
      </c>
      <c r="C597" s="314" t="s">
        <v>823</v>
      </c>
      <c r="D597" s="343">
        <v>5</v>
      </c>
      <c r="E597" s="460"/>
      <c r="F597" s="277"/>
      <c r="G597" s="158"/>
      <c r="H597" s="277"/>
      <c r="I597" s="158"/>
      <c r="J597" s="338"/>
      <c r="K597" s="160">
        <f t="shared" si="243"/>
        <v>0</v>
      </c>
      <c r="L597" s="161">
        <f t="shared" si="236"/>
        <v>0</v>
      </c>
      <c r="M597" s="54">
        <v>141</v>
      </c>
      <c r="N597" s="55"/>
      <c r="O597" s="55"/>
      <c r="P597" s="55"/>
      <c r="Q597" s="162">
        <f t="shared" si="244"/>
        <v>0</v>
      </c>
      <c r="R597" s="277">
        <v>173</v>
      </c>
      <c r="S597" s="277"/>
      <c r="T597" s="277"/>
      <c r="U597" s="277"/>
      <c r="V597" s="97">
        <f t="shared" si="245"/>
        <v>0</v>
      </c>
      <c r="W597" s="279"/>
      <c r="X597" s="52"/>
      <c r="Y597" s="99"/>
      <c r="Z597" s="53"/>
      <c r="AA597" s="228"/>
      <c r="AB597" s="52"/>
      <c r="AC597" s="99"/>
      <c r="AD597" s="53"/>
      <c r="AE597" s="228"/>
      <c r="AF597" s="52"/>
      <c r="AG597" s="99"/>
      <c r="AH597" s="53"/>
      <c r="AI597" s="228"/>
      <c r="AJ597" s="52"/>
      <c r="AK597" s="99"/>
      <c r="AL597" s="53"/>
      <c r="AM597" s="228"/>
      <c r="AN597" s="52"/>
      <c r="AO597" s="99"/>
      <c r="AP597" s="53"/>
      <c r="AQ597" s="50">
        <f t="shared" si="237"/>
        <v>0</v>
      </c>
      <c r="AR597" s="163">
        <f t="shared" si="238"/>
        <v>0.73821989528795806</v>
      </c>
      <c r="AS597" s="97">
        <f t="shared" si="239"/>
        <v>0</v>
      </c>
      <c r="AT597" s="278">
        <f t="shared" si="240"/>
        <v>0.74568965517241381</v>
      </c>
      <c r="AU597" s="55"/>
      <c r="AV597" s="277"/>
      <c r="AW597" s="279">
        <v>13</v>
      </c>
      <c r="AX597" s="52">
        <v>46</v>
      </c>
      <c r="AY597" s="552">
        <v>13</v>
      </c>
      <c r="AZ597" s="551">
        <v>54</v>
      </c>
      <c r="BA597" s="279">
        <v>52</v>
      </c>
      <c r="BB597" s="52">
        <v>4</v>
      </c>
      <c r="BC597" s="552">
        <v>52</v>
      </c>
      <c r="BD597" s="551">
        <v>5</v>
      </c>
      <c r="BE597" s="279"/>
      <c r="BF597" s="52"/>
      <c r="BG597" s="105"/>
      <c r="BH597" s="98"/>
      <c r="BI597" s="279"/>
      <c r="BJ597" s="52"/>
      <c r="BK597" s="105"/>
      <c r="BL597" s="98"/>
      <c r="BM597" s="279"/>
      <c r="BN597" s="52"/>
      <c r="BO597" s="105"/>
      <c r="BP597" s="98"/>
      <c r="BQ597" s="279"/>
      <c r="BR597" s="52"/>
      <c r="BS597" s="105"/>
      <c r="BT597" s="98"/>
      <c r="BU597" s="279"/>
      <c r="BV597" s="52"/>
      <c r="BW597" s="105"/>
      <c r="BX597" s="98"/>
      <c r="BY597" s="279"/>
      <c r="BZ597" s="52"/>
      <c r="CA597" s="105"/>
      <c r="CB597" s="98"/>
      <c r="CC597" s="279"/>
      <c r="CD597" s="52"/>
      <c r="CE597" s="105"/>
      <c r="CF597" s="98"/>
      <c r="CG597" s="279"/>
      <c r="CH597" s="52"/>
      <c r="CI597" s="105"/>
      <c r="CJ597" s="98"/>
      <c r="CK597" s="281"/>
      <c r="CL597" s="277"/>
      <c r="CM597" s="159"/>
      <c r="CN597" s="277"/>
      <c r="CO597" s="50">
        <f t="shared" si="246"/>
        <v>50</v>
      </c>
      <c r="CP597" s="103">
        <f t="shared" si="247"/>
        <v>2</v>
      </c>
      <c r="CQ597" s="280">
        <f t="shared" si="248"/>
        <v>59</v>
      </c>
      <c r="CR597" s="63">
        <f t="shared" si="249"/>
        <v>2</v>
      </c>
      <c r="CS597" s="279"/>
      <c r="CT597" s="52"/>
      <c r="CU597" s="105"/>
      <c r="CV597" s="98"/>
      <c r="CW597" s="279"/>
      <c r="CX597" s="52"/>
      <c r="CY597" s="105"/>
      <c r="CZ597" s="98"/>
      <c r="DA597" s="279"/>
      <c r="DB597" s="52"/>
      <c r="DC597" s="105"/>
      <c r="DD597" s="98"/>
      <c r="DE597" s="279"/>
      <c r="DF597" s="52"/>
      <c r="DG597" s="105"/>
      <c r="DH597" s="98"/>
      <c r="DI597" s="279"/>
      <c r="DJ597" s="52"/>
      <c r="DK597" s="105"/>
      <c r="DL597" s="98"/>
      <c r="DM597" s="279"/>
      <c r="DN597" s="52"/>
      <c r="DO597" s="105"/>
      <c r="DP597" s="98"/>
      <c r="DQ597" s="279"/>
      <c r="DR597" s="52"/>
      <c r="DS597" s="105"/>
      <c r="DT597" s="98"/>
      <c r="DU597" s="279"/>
      <c r="DV597" s="52"/>
      <c r="DW597" s="105"/>
      <c r="DX597" s="98"/>
      <c r="DY597" s="279"/>
      <c r="DZ597" s="52"/>
      <c r="EA597" s="105"/>
      <c r="EB597" s="98"/>
      <c r="EC597" s="279"/>
      <c r="ED597" s="52"/>
      <c r="EE597" s="105"/>
      <c r="EF597" s="98"/>
      <c r="EG597" s="159"/>
      <c r="EH597" s="277"/>
      <c r="EI597" s="50">
        <f t="shared" si="250"/>
        <v>0</v>
      </c>
      <c r="EJ597" s="103">
        <f t="shared" si="251"/>
        <v>0</v>
      </c>
      <c r="EK597" s="164">
        <f t="shared" si="252"/>
        <v>0</v>
      </c>
      <c r="EL597" s="280">
        <f t="shared" si="253"/>
        <v>0</v>
      </c>
      <c r="EM597" s="63">
        <f t="shared" si="254"/>
        <v>0</v>
      </c>
      <c r="EN597" s="359">
        <f t="shared" si="255"/>
        <v>0</v>
      </c>
      <c r="EO597" s="51">
        <f t="shared" si="256"/>
        <v>50</v>
      </c>
      <c r="EP597" s="361">
        <f t="shared" si="257"/>
        <v>59</v>
      </c>
      <c r="EQ597" s="281"/>
      <c r="ER597" s="277"/>
      <c r="ES597" s="281"/>
      <c r="ET597" s="277"/>
      <c r="EU597" s="281"/>
      <c r="EV597" s="277"/>
      <c r="EW597" s="281"/>
      <c r="EX597" s="277"/>
      <c r="EY597" s="281"/>
      <c r="EZ597" s="277"/>
      <c r="FA597" s="281"/>
      <c r="FB597" s="277"/>
      <c r="FC597" s="281"/>
      <c r="FD597" s="277"/>
      <c r="FE597" s="281"/>
      <c r="FF597" s="277"/>
      <c r="FG597" s="281"/>
      <c r="FH597" s="277"/>
      <c r="FI597" s="281"/>
      <c r="FJ597" s="277"/>
      <c r="FK597" s="50">
        <f t="shared" si="258"/>
        <v>0</v>
      </c>
      <c r="FL597" s="63">
        <f t="shared" si="259"/>
        <v>0</v>
      </c>
      <c r="FM597" s="50">
        <f t="shared" si="241"/>
        <v>191</v>
      </c>
      <c r="FN597" s="360">
        <f t="shared" si="242"/>
        <v>232</v>
      </c>
      <c r="FO597" s="43"/>
      <c r="FP597" s="279"/>
      <c r="FQ597" s="467"/>
      <c r="FR597" s="296"/>
      <c r="FS597" s="98"/>
      <c r="FT597" s="467"/>
      <c r="FU597" s="52"/>
      <c r="FV597" s="296"/>
      <c r="FW597" s="98"/>
      <c r="FX597" s="467"/>
      <c r="FY597" s="52"/>
      <c r="FZ597" s="296"/>
      <c r="GA597" s="98"/>
      <c r="GB597" s="467"/>
      <c r="GC597" s="52"/>
      <c r="GD597" s="296"/>
      <c r="GE597" s="98"/>
      <c r="GF597" s="467"/>
      <c r="GG597" s="52"/>
      <c r="GH597" s="296"/>
      <c r="GI597" s="98"/>
      <c r="GJ597" s="467"/>
      <c r="GK597" s="52"/>
      <c r="GL597" s="296"/>
      <c r="GM597" s="464"/>
      <c r="GN597" s="467"/>
      <c r="GO597" s="52"/>
      <c r="GP597" s="296"/>
      <c r="GQ597" s="464"/>
      <c r="GR597" s="467"/>
      <c r="GS597" s="52"/>
      <c r="GT597" s="296"/>
      <c r="GU597" s="464"/>
      <c r="GV597" s="467"/>
      <c r="GW597" s="52"/>
      <c r="GX597" s="296"/>
      <c r="GY597" s="464"/>
      <c r="GZ597" s="467"/>
      <c r="HA597" s="52"/>
      <c r="HB597" s="296"/>
      <c r="HC597" s="43"/>
    </row>
    <row r="598" spans="1:211" s="85" customFormat="1">
      <c r="A598" s="502" t="s">
        <v>951</v>
      </c>
      <c r="B598" s="315" t="s">
        <v>824</v>
      </c>
      <c r="C598" s="314">
        <v>225432</v>
      </c>
      <c r="D598" s="343">
        <v>5</v>
      </c>
      <c r="E598" s="460"/>
      <c r="F598" s="277"/>
      <c r="G598" s="158"/>
      <c r="H598" s="277"/>
      <c r="I598" s="158"/>
      <c r="J598" s="338"/>
      <c r="K598" s="160">
        <f t="shared" si="243"/>
        <v>0</v>
      </c>
      <c r="L598" s="161">
        <f t="shared" si="236"/>
        <v>0</v>
      </c>
      <c r="M598" s="54">
        <v>2060</v>
      </c>
      <c r="N598" s="55"/>
      <c r="O598" s="55"/>
      <c r="P598" s="55"/>
      <c r="Q598" s="162">
        <f t="shared" si="244"/>
        <v>0</v>
      </c>
      <c r="R598" s="277">
        <v>2175</v>
      </c>
      <c r="S598" s="277"/>
      <c r="T598" s="277"/>
      <c r="U598" s="277"/>
      <c r="V598" s="97">
        <f t="shared" si="245"/>
        <v>0</v>
      </c>
      <c r="W598" s="279"/>
      <c r="X598" s="52"/>
      <c r="Y598" s="99"/>
      <c r="Z598" s="53"/>
      <c r="AA598" s="228"/>
      <c r="AB598" s="52"/>
      <c r="AC598" s="99"/>
      <c r="AD598" s="53"/>
      <c r="AE598" s="228"/>
      <c r="AF598" s="52"/>
      <c r="AG598" s="99"/>
      <c r="AH598" s="53"/>
      <c r="AI598" s="228"/>
      <c r="AJ598" s="52"/>
      <c r="AK598" s="99"/>
      <c r="AL598" s="53"/>
      <c r="AM598" s="228"/>
      <c r="AN598" s="52"/>
      <c r="AO598" s="99"/>
      <c r="AP598" s="53"/>
      <c r="AQ598" s="50">
        <f t="shared" si="237"/>
        <v>0</v>
      </c>
      <c r="AR598" s="163">
        <f t="shared" si="238"/>
        <v>0.98329355608591884</v>
      </c>
      <c r="AS598" s="97">
        <f t="shared" si="239"/>
        <v>0</v>
      </c>
      <c r="AT598" s="278">
        <f t="shared" si="240"/>
        <v>0.98550067965564114</v>
      </c>
      <c r="AU598" s="55"/>
      <c r="AV598" s="277"/>
      <c r="AW598" s="279">
        <v>13</v>
      </c>
      <c r="AX598" s="52">
        <v>17</v>
      </c>
      <c r="AY598" s="552">
        <v>43</v>
      </c>
      <c r="AZ598" s="551">
        <v>15</v>
      </c>
      <c r="BA598" s="279">
        <v>43</v>
      </c>
      <c r="BB598" s="52">
        <v>12</v>
      </c>
      <c r="BC598" s="552">
        <v>13</v>
      </c>
      <c r="BD598" s="551">
        <v>13</v>
      </c>
      <c r="BE598" s="279">
        <v>23</v>
      </c>
      <c r="BF598" s="52">
        <v>6</v>
      </c>
      <c r="BG598" s="552">
        <v>23</v>
      </c>
      <c r="BH598" s="551">
        <v>4</v>
      </c>
      <c r="BI598" s="279"/>
      <c r="BJ598" s="52"/>
      <c r="BK598" s="105"/>
      <c r="BL598" s="98"/>
      <c r="BM598" s="279"/>
      <c r="BN598" s="52"/>
      <c r="BO598" s="105"/>
      <c r="BP598" s="98"/>
      <c r="BQ598" s="279"/>
      <c r="BR598" s="52"/>
      <c r="BS598" s="105"/>
      <c r="BT598" s="98"/>
      <c r="BU598" s="279"/>
      <c r="BV598" s="52"/>
      <c r="BW598" s="105"/>
      <c r="BX598" s="98"/>
      <c r="BY598" s="279"/>
      <c r="BZ598" s="52"/>
      <c r="CA598" s="105"/>
      <c r="CB598" s="98"/>
      <c r="CC598" s="279"/>
      <c r="CD598" s="52"/>
      <c r="CE598" s="105"/>
      <c r="CF598" s="98"/>
      <c r="CG598" s="279"/>
      <c r="CH598" s="52"/>
      <c r="CI598" s="105"/>
      <c r="CJ598" s="98"/>
      <c r="CK598" s="281"/>
      <c r="CL598" s="277"/>
      <c r="CM598" s="159"/>
      <c r="CN598" s="277"/>
      <c r="CO598" s="50">
        <f t="shared" si="246"/>
        <v>35</v>
      </c>
      <c r="CP598" s="103">
        <f t="shared" si="247"/>
        <v>3</v>
      </c>
      <c r="CQ598" s="280">
        <f t="shared" si="248"/>
        <v>32</v>
      </c>
      <c r="CR598" s="63">
        <f t="shared" si="249"/>
        <v>3</v>
      </c>
      <c r="CS598" s="279"/>
      <c r="CT598" s="52"/>
      <c r="CU598" s="105"/>
      <c r="CV598" s="98"/>
      <c r="CW598" s="279"/>
      <c r="CX598" s="52"/>
      <c r="CY598" s="105"/>
      <c r="CZ598" s="98"/>
      <c r="DA598" s="279"/>
      <c r="DB598" s="52"/>
      <c r="DC598" s="105"/>
      <c r="DD598" s="98"/>
      <c r="DE598" s="279"/>
      <c r="DF598" s="52"/>
      <c r="DG598" s="105"/>
      <c r="DH598" s="98"/>
      <c r="DI598" s="279"/>
      <c r="DJ598" s="52"/>
      <c r="DK598" s="105"/>
      <c r="DL598" s="98"/>
      <c r="DM598" s="279"/>
      <c r="DN598" s="52"/>
      <c r="DO598" s="105"/>
      <c r="DP598" s="98"/>
      <c r="DQ598" s="279"/>
      <c r="DR598" s="52"/>
      <c r="DS598" s="105"/>
      <c r="DT598" s="98"/>
      <c r="DU598" s="279"/>
      <c r="DV598" s="52"/>
      <c r="DW598" s="105"/>
      <c r="DX598" s="98"/>
      <c r="DY598" s="279"/>
      <c r="DZ598" s="52"/>
      <c r="EA598" s="105"/>
      <c r="EB598" s="98"/>
      <c r="EC598" s="279"/>
      <c r="ED598" s="52"/>
      <c r="EE598" s="105"/>
      <c r="EF598" s="98"/>
      <c r="EG598" s="159"/>
      <c r="EH598" s="277"/>
      <c r="EI598" s="50">
        <f t="shared" si="250"/>
        <v>0</v>
      </c>
      <c r="EJ598" s="103">
        <f t="shared" si="251"/>
        <v>0</v>
      </c>
      <c r="EK598" s="164">
        <f t="shared" si="252"/>
        <v>0</v>
      </c>
      <c r="EL598" s="280">
        <f t="shared" si="253"/>
        <v>0</v>
      </c>
      <c r="EM598" s="63">
        <f t="shared" si="254"/>
        <v>0</v>
      </c>
      <c r="EN598" s="359">
        <f t="shared" si="255"/>
        <v>0</v>
      </c>
      <c r="EO598" s="51">
        <f t="shared" si="256"/>
        <v>35</v>
      </c>
      <c r="EP598" s="361">
        <f t="shared" si="257"/>
        <v>32</v>
      </c>
      <c r="EQ598" s="281"/>
      <c r="ER598" s="277"/>
      <c r="ES598" s="281"/>
      <c r="ET598" s="277"/>
      <c r="EU598" s="281"/>
      <c r="EV598" s="277"/>
      <c r="EW598" s="281"/>
      <c r="EX598" s="277"/>
      <c r="EY598" s="281"/>
      <c r="EZ598" s="277"/>
      <c r="FA598" s="281"/>
      <c r="FB598" s="277"/>
      <c r="FC598" s="281"/>
      <c r="FD598" s="277"/>
      <c r="FE598" s="281"/>
      <c r="FF598" s="277"/>
      <c r="FG598" s="281"/>
      <c r="FH598" s="277"/>
      <c r="FI598" s="281"/>
      <c r="FJ598" s="277"/>
      <c r="FK598" s="50">
        <f t="shared" si="258"/>
        <v>0</v>
      </c>
      <c r="FL598" s="63">
        <f t="shared" si="259"/>
        <v>0</v>
      </c>
      <c r="FM598" s="50">
        <f t="shared" si="241"/>
        <v>2095</v>
      </c>
      <c r="FN598" s="360">
        <f t="shared" si="242"/>
        <v>2207</v>
      </c>
      <c r="FO598" s="43"/>
      <c r="FP598" s="279"/>
      <c r="FQ598" s="467"/>
      <c r="FR598" s="296"/>
      <c r="FS598" s="98"/>
      <c r="FT598" s="467"/>
      <c r="FU598" s="52"/>
      <c r="FV598" s="296"/>
      <c r="FW598" s="98"/>
      <c r="FX598" s="467"/>
      <c r="FY598" s="52"/>
      <c r="FZ598" s="296"/>
      <c r="GA598" s="98"/>
      <c r="GB598" s="467"/>
      <c r="GC598" s="52"/>
      <c r="GD598" s="296"/>
      <c r="GE598" s="98"/>
      <c r="GF598" s="467"/>
      <c r="GG598" s="52"/>
      <c r="GH598" s="296"/>
      <c r="GI598" s="98"/>
      <c r="GJ598" s="467"/>
      <c r="GK598" s="52"/>
      <c r="GL598" s="296"/>
      <c r="GM598" s="464"/>
      <c r="GN598" s="467"/>
      <c r="GO598" s="52"/>
      <c r="GP598" s="296"/>
      <c r="GQ598" s="464"/>
      <c r="GR598" s="467"/>
      <c r="GS598" s="52"/>
      <c r="GT598" s="296"/>
      <c r="GU598" s="464"/>
      <c r="GV598" s="467"/>
      <c r="GW598" s="52"/>
      <c r="GX598" s="296"/>
      <c r="GY598" s="464"/>
      <c r="GZ598" s="467"/>
      <c r="HA598" s="52"/>
      <c r="HB598" s="296"/>
      <c r="HC598" s="43"/>
    </row>
    <row r="599" spans="1:211" s="85" customFormat="1">
      <c r="A599" s="502" t="s">
        <v>951</v>
      </c>
      <c r="B599" s="315" t="s">
        <v>826</v>
      </c>
      <c r="C599" s="314">
        <v>228714</v>
      </c>
      <c r="D599" s="343">
        <v>6</v>
      </c>
      <c r="E599" s="460"/>
      <c r="F599" s="277"/>
      <c r="G599" s="158"/>
      <c r="H599" s="277"/>
      <c r="I599" s="158"/>
      <c r="J599" s="338"/>
      <c r="K599" s="160">
        <f t="shared" si="243"/>
        <v>0</v>
      </c>
      <c r="L599" s="161">
        <f t="shared" si="236"/>
        <v>0</v>
      </c>
      <c r="M599" s="54">
        <v>258</v>
      </c>
      <c r="N599" s="55"/>
      <c r="O599" s="55"/>
      <c r="P599" s="55"/>
      <c r="Q599" s="162">
        <f t="shared" si="244"/>
        <v>0</v>
      </c>
      <c r="R599" s="277">
        <v>239</v>
      </c>
      <c r="S599" s="277"/>
      <c r="T599" s="277"/>
      <c r="U599" s="277"/>
      <c r="V599" s="97">
        <f t="shared" si="245"/>
        <v>0</v>
      </c>
      <c r="W599" s="279"/>
      <c r="X599" s="52"/>
      <c r="Y599" s="99"/>
      <c r="Z599" s="53"/>
      <c r="AA599" s="228"/>
      <c r="AB599" s="52"/>
      <c r="AC599" s="99"/>
      <c r="AD599" s="53"/>
      <c r="AE599" s="228"/>
      <c r="AF599" s="52"/>
      <c r="AG599" s="99"/>
      <c r="AH599" s="53"/>
      <c r="AI599" s="228"/>
      <c r="AJ599" s="52"/>
      <c r="AK599" s="99"/>
      <c r="AL599" s="53"/>
      <c r="AM599" s="228"/>
      <c r="AN599" s="52"/>
      <c r="AO599" s="99"/>
      <c r="AP599" s="53"/>
      <c r="AQ599" s="50">
        <f t="shared" si="237"/>
        <v>0</v>
      </c>
      <c r="AR599" s="163">
        <f t="shared" si="238"/>
        <v>0.98098859315589348</v>
      </c>
      <c r="AS599" s="97">
        <f t="shared" si="239"/>
        <v>0</v>
      </c>
      <c r="AT599" s="278">
        <f t="shared" si="240"/>
        <v>0.95599999999999996</v>
      </c>
      <c r="AU599" s="55"/>
      <c r="AV599" s="277"/>
      <c r="AW599" s="279">
        <v>3</v>
      </c>
      <c r="AX599" s="52">
        <v>5</v>
      </c>
      <c r="AY599" s="552">
        <v>3</v>
      </c>
      <c r="AZ599" s="551">
        <v>11</v>
      </c>
      <c r="BA599" s="279"/>
      <c r="BB599" s="52"/>
      <c r="BC599" s="105"/>
      <c r="BD599" s="98"/>
      <c r="BE599" s="279"/>
      <c r="BF599" s="52"/>
      <c r="BG599" s="105"/>
      <c r="BH599" s="98"/>
      <c r="BI599" s="279"/>
      <c r="BJ599" s="52"/>
      <c r="BK599" s="105"/>
      <c r="BL599" s="98"/>
      <c r="BM599" s="279"/>
      <c r="BN599" s="52"/>
      <c r="BO599" s="105"/>
      <c r="BP599" s="98"/>
      <c r="BQ599" s="279"/>
      <c r="BR599" s="52"/>
      <c r="BS599" s="105"/>
      <c r="BT599" s="98"/>
      <c r="BU599" s="279"/>
      <c r="BV599" s="52"/>
      <c r="BW599" s="105"/>
      <c r="BX599" s="98"/>
      <c r="BY599" s="279"/>
      <c r="BZ599" s="52"/>
      <c r="CA599" s="105"/>
      <c r="CB599" s="98"/>
      <c r="CC599" s="279"/>
      <c r="CD599" s="52"/>
      <c r="CE599" s="105"/>
      <c r="CF599" s="98"/>
      <c r="CG599" s="279"/>
      <c r="CH599" s="52"/>
      <c r="CI599" s="105"/>
      <c r="CJ599" s="98"/>
      <c r="CK599" s="281"/>
      <c r="CL599" s="277"/>
      <c r="CM599" s="159"/>
      <c r="CN599" s="277"/>
      <c r="CO599" s="50">
        <f t="shared" si="246"/>
        <v>5</v>
      </c>
      <c r="CP599" s="103">
        <f t="shared" si="247"/>
        <v>1</v>
      </c>
      <c r="CQ599" s="280">
        <f t="shared" si="248"/>
        <v>11</v>
      </c>
      <c r="CR599" s="63">
        <f t="shared" si="249"/>
        <v>1</v>
      </c>
      <c r="CS599" s="279"/>
      <c r="CT599" s="52"/>
      <c r="CU599" s="105"/>
      <c r="CV599" s="98"/>
      <c r="CW599" s="279"/>
      <c r="CX599" s="52"/>
      <c r="CY599" s="105"/>
      <c r="CZ599" s="98"/>
      <c r="DA599" s="279"/>
      <c r="DB599" s="52"/>
      <c r="DC599" s="105"/>
      <c r="DD599" s="98"/>
      <c r="DE599" s="279"/>
      <c r="DF599" s="52"/>
      <c r="DG599" s="105"/>
      <c r="DH599" s="98"/>
      <c r="DI599" s="279"/>
      <c r="DJ599" s="52"/>
      <c r="DK599" s="105"/>
      <c r="DL599" s="98"/>
      <c r="DM599" s="279"/>
      <c r="DN599" s="52"/>
      <c r="DO599" s="105"/>
      <c r="DP599" s="98"/>
      <c r="DQ599" s="279"/>
      <c r="DR599" s="52"/>
      <c r="DS599" s="105"/>
      <c r="DT599" s="98"/>
      <c r="DU599" s="279"/>
      <c r="DV599" s="52"/>
      <c r="DW599" s="105"/>
      <c r="DX599" s="98"/>
      <c r="DY599" s="279"/>
      <c r="DZ599" s="52"/>
      <c r="EA599" s="105"/>
      <c r="EB599" s="98"/>
      <c r="EC599" s="279"/>
      <c r="ED599" s="52"/>
      <c r="EE599" s="105"/>
      <c r="EF599" s="98"/>
      <c r="EG599" s="159"/>
      <c r="EH599" s="277"/>
      <c r="EI599" s="50">
        <f t="shared" si="250"/>
        <v>0</v>
      </c>
      <c r="EJ599" s="103">
        <f t="shared" si="251"/>
        <v>0</v>
      </c>
      <c r="EK599" s="164">
        <f t="shared" si="252"/>
        <v>0</v>
      </c>
      <c r="EL599" s="280">
        <f t="shared" si="253"/>
        <v>0</v>
      </c>
      <c r="EM599" s="63">
        <f t="shared" si="254"/>
        <v>0</v>
      </c>
      <c r="EN599" s="359">
        <f t="shared" si="255"/>
        <v>0</v>
      </c>
      <c r="EO599" s="51">
        <f t="shared" si="256"/>
        <v>5</v>
      </c>
      <c r="EP599" s="361">
        <f t="shared" si="257"/>
        <v>11</v>
      </c>
      <c r="EQ599" s="281"/>
      <c r="ER599" s="277"/>
      <c r="ES599" s="281"/>
      <c r="ET599" s="277"/>
      <c r="EU599" s="281"/>
      <c r="EV599" s="277"/>
      <c r="EW599" s="281"/>
      <c r="EX599" s="277"/>
      <c r="EY599" s="281"/>
      <c r="EZ599" s="277"/>
      <c r="FA599" s="281"/>
      <c r="FB599" s="277"/>
      <c r="FC599" s="281"/>
      <c r="FD599" s="277"/>
      <c r="FE599" s="281"/>
      <c r="FF599" s="277"/>
      <c r="FG599" s="281"/>
      <c r="FH599" s="277"/>
      <c r="FI599" s="281"/>
      <c r="FJ599" s="277"/>
      <c r="FK599" s="50">
        <f t="shared" si="258"/>
        <v>0</v>
      </c>
      <c r="FL599" s="63">
        <f t="shared" si="259"/>
        <v>0</v>
      </c>
      <c r="FM599" s="50">
        <f t="shared" si="241"/>
        <v>263</v>
      </c>
      <c r="FN599" s="360">
        <f t="shared" si="242"/>
        <v>250</v>
      </c>
      <c r="FO599" s="43"/>
      <c r="FP599" s="279"/>
      <c r="FQ599" s="467"/>
      <c r="FR599" s="296"/>
      <c r="FS599" s="98"/>
      <c r="FT599" s="467"/>
      <c r="FU599" s="52"/>
      <c r="FV599" s="296"/>
      <c r="FW599" s="98"/>
      <c r="FX599" s="467"/>
      <c r="FY599" s="52"/>
      <c r="FZ599" s="296"/>
      <c r="GA599" s="98"/>
      <c r="GB599" s="467"/>
      <c r="GC599" s="52"/>
      <c r="GD599" s="296"/>
      <c r="GE599" s="98"/>
      <c r="GF599" s="467"/>
      <c r="GG599" s="52"/>
      <c r="GH599" s="296"/>
      <c r="GI599" s="98"/>
      <c r="GJ599" s="467"/>
      <c r="GK599" s="52"/>
      <c r="GL599" s="296"/>
      <c r="GM599" s="464"/>
      <c r="GN599" s="467"/>
      <c r="GO599" s="52"/>
      <c r="GP599" s="296"/>
      <c r="GQ599" s="464"/>
      <c r="GR599" s="467"/>
      <c r="GS599" s="52"/>
      <c r="GT599" s="296"/>
      <c r="GU599" s="464"/>
      <c r="GV599" s="467"/>
      <c r="GW599" s="52"/>
      <c r="GX599" s="296"/>
      <c r="GY599" s="464"/>
      <c r="GZ599" s="467"/>
      <c r="HA599" s="52"/>
      <c r="HB599" s="296"/>
      <c r="HC599" s="43"/>
    </row>
    <row r="600" spans="1:211" s="85" customFormat="1">
      <c r="A600" s="502" t="s">
        <v>951</v>
      </c>
      <c r="B600" s="554" t="s">
        <v>854</v>
      </c>
      <c r="C600" s="516">
        <v>223506</v>
      </c>
      <c r="D600" s="480">
        <v>7</v>
      </c>
      <c r="E600" s="460">
        <v>194</v>
      </c>
      <c r="F600" s="552">
        <v>179</v>
      </c>
      <c r="G600" s="158"/>
      <c r="H600" s="277"/>
      <c r="I600" s="158">
        <v>218</v>
      </c>
      <c r="J600" s="551">
        <v>202</v>
      </c>
      <c r="K600" s="160">
        <f t="shared" si="243"/>
        <v>43.6</v>
      </c>
      <c r="L600" s="161">
        <f t="shared" si="236"/>
        <v>12.625</v>
      </c>
      <c r="M600" s="54">
        <v>5</v>
      </c>
      <c r="N600" s="55"/>
      <c r="O600" s="55"/>
      <c r="P600" s="55"/>
      <c r="Q600" s="162">
        <f t="shared" si="244"/>
        <v>0</v>
      </c>
      <c r="R600" s="277">
        <v>16</v>
      </c>
      <c r="S600" s="277"/>
      <c r="T600" s="277"/>
      <c r="U600" s="277"/>
      <c r="V600" s="97">
        <f t="shared" si="245"/>
        <v>0</v>
      </c>
      <c r="W600" s="279" t="s">
        <v>731</v>
      </c>
      <c r="X600" s="52">
        <v>5</v>
      </c>
      <c r="Y600" s="99" t="s">
        <v>731</v>
      </c>
      <c r="Z600" s="53">
        <v>16</v>
      </c>
      <c r="AA600" s="228"/>
      <c r="AB600" s="52"/>
      <c r="AC600" s="99"/>
      <c r="AD600" s="53"/>
      <c r="AE600" s="228"/>
      <c r="AF600" s="52"/>
      <c r="AG600" s="99"/>
      <c r="AH600" s="53"/>
      <c r="AI600" s="228"/>
      <c r="AJ600" s="52"/>
      <c r="AK600" s="99"/>
      <c r="AL600" s="53"/>
      <c r="AM600" s="228"/>
      <c r="AN600" s="52"/>
      <c r="AO600" s="99"/>
      <c r="AP600" s="53"/>
      <c r="AQ600" s="50">
        <f t="shared" si="237"/>
        <v>1</v>
      </c>
      <c r="AR600" s="163">
        <f t="shared" si="238"/>
        <v>1.1990407673860911E-2</v>
      </c>
      <c r="AS600" s="97">
        <f t="shared" si="239"/>
        <v>1</v>
      </c>
      <c r="AT600" s="278">
        <f t="shared" si="240"/>
        <v>4.0302267002518891E-2</v>
      </c>
      <c r="AU600" s="55"/>
      <c r="AV600" s="277"/>
      <c r="AW600" s="279"/>
      <c r="AX600" s="52"/>
      <c r="AY600" s="105"/>
      <c r="AZ600" s="98"/>
      <c r="BA600" s="279"/>
      <c r="BB600" s="52"/>
      <c r="BC600" s="105"/>
      <c r="BD600" s="98"/>
      <c r="BE600" s="279"/>
      <c r="BF600" s="52"/>
      <c r="BG600" s="105"/>
      <c r="BH600" s="98"/>
      <c r="BI600" s="279"/>
      <c r="BJ600" s="52"/>
      <c r="BK600" s="105"/>
      <c r="BL600" s="98"/>
      <c r="BM600" s="279"/>
      <c r="BN600" s="52"/>
      <c r="BO600" s="105"/>
      <c r="BP600" s="98"/>
      <c r="BQ600" s="279"/>
      <c r="BR600" s="52"/>
      <c r="BS600" s="105"/>
      <c r="BT600" s="98"/>
      <c r="BU600" s="279"/>
      <c r="BV600" s="52"/>
      <c r="BW600" s="105"/>
      <c r="BX600" s="98"/>
      <c r="BY600" s="279"/>
      <c r="BZ600" s="52"/>
      <c r="CA600" s="105"/>
      <c r="CB600" s="98"/>
      <c r="CC600" s="279"/>
      <c r="CD600" s="52"/>
      <c r="CE600" s="105"/>
      <c r="CF600" s="98"/>
      <c r="CG600" s="279"/>
      <c r="CH600" s="52"/>
      <c r="CI600" s="105"/>
      <c r="CJ600" s="98"/>
      <c r="CK600" s="281"/>
      <c r="CL600" s="277"/>
      <c r="CM600" s="159"/>
      <c r="CN600" s="277"/>
      <c r="CO600" s="50">
        <f t="shared" si="246"/>
        <v>0</v>
      </c>
      <c r="CP600" s="103">
        <f t="shared" si="247"/>
        <v>0</v>
      </c>
      <c r="CQ600" s="280">
        <f t="shared" si="248"/>
        <v>0</v>
      </c>
      <c r="CR600" s="63">
        <f t="shared" si="249"/>
        <v>0</v>
      </c>
      <c r="CS600" s="279"/>
      <c r="CT600" s="52"/>
      <c r="CU600" s="105"/>
      <c r="CV600" s="98"/>
      <c r="CW600" s="279"/>
      <c r="CX600" s="52"/>
      <c r="CY600" s="105"/>
      <c r="CZ600" s="98"/>
      <c r="DA600" s="279"/>
      <c r="DB600" s="52"/>
      <c r="DC600" s="105"/>
      <c r="DD600" s="98"/>
      <c r="DE600" s="279"/>
      <c r="DF600" s="52"/>
      <c r="DG600" s="105"/>
      <c r="DH600" s="98"/>
      <c r="DI600" s="279"/>
      <c r="DJ600" s="52"/>
      <c r="DK600" s="105"/>
      <c r="DL600" s="98"/>
      <c r="DM600" s="279"/>
      <c r="DN600" s="52"/>
      <c r="DO600" s="105"/>
      <c r="DP600" s="98"/>
      <c r="DQ600" s="279"/>
      <c r="DR600" s="52"/>
      <c r="DS600" s="105"/>
      <c r="DT600" s="98"/>
      <c r="DU600" s="279"/>
      <c r="DV600" s="52"/>
      <c r="DW600" s="105"/>
      <c r="DX600" s="98"/>
      <c r="DY600" s="279"/>
      <c r="DZ600" s="52"/>
      <c r="EA600" s="105"/>
      <c r="EB600" s="98"/>
      <c r="EC600" s="279"/>
      <c r="ED600" s="52"/>
      <c r="EE600" s="105"/>
      <c r="EF600" s="98"/>
      <c r="EG600" s="159"/>
      <c r="EH600" s="277"/>
      <c r="EI600" s="50">
        <f t="shared" si="250"/>
        <v>0</v>
      </c>
      <c r="EJ600" s="103">
        <f t="shared" si="251"/>
        <v>0</v>
      </c>
      <c r="EK600" s="164">
        <f t="shared" si="252"/>
        <v>0</v>
      </c>
      <c r="EL600" s="280">
        <f t="shared" si="253"/>
        <v>0</v>
      </c>
      <c r="EM600" s="63">
        <f t="shared" si="254"/>
        <v>0</v>
      </c>
      <c r="EN600" s="359">
        <f t="shared" si="255"/>
        <v>0</v>
      </c>
      <c r="EO600" s="51">
        <f t="shared" si="256"/>
        <v>0</v>
      </c>
      <c r="EP600" s="361">
        <f t="shared" si="257"/>
        <v>0</v>
      </c>
      <c r="EQ600" s="281"/>
      <c r="ER600" s="277"/>
      <c r="ES600" s="281"/>
      <c r="ET600" s="277"/>
      <c r="EU600" s="281"/>
      <c r="EV600" s="277"/>
      <c r="EW600" s="281"/>
      <c r="EX600" s="277"/>
      <c r="EY600" s="281"/>
      <c r="EZ600" s="277"/>
      <c r="FA600" s="281"/>
      <c r="FB600" s="277"/>
      <c r="FC600" s="281"/>
      <c r="FD600" s="277"/>
      <c r="FE600" s="281"/>
      <c r="FF600" s="277"/>
      <c r="FG600" s="281"/>
      <c r="FH600" s="277"/>
      <c r="FI600" s="281"/>
      <c r="FJ600" s="277"/>
      <c r="FK600" s="50">
        <f t="shared" si="258"/>
        <v>0</v>
      </c>
      <c r="FL600" s="63">
        <f t="shared" si="259"/>
        <v>0</v>
      </c>
      <c r="FM600" s="50">
        <f t="shared" si="241"/>
        <v>417</v>
      </c>
      <c r="FN600" s="360">
        <f t="shared" si="242"/>
        <v>397</v>
      </c>
      <c r="FO600" s="43"/>
      <c r="FP600" s="279"/>
      <c r="FQ600" s="467"/>
      <c r="FR600" s="296"/>
      <c r="FS600" s="98"/>
      <c r="FT600" s="467"/>
      <c r="FU600" s="52"/>
      <c r="FV600" s="296"/>
      <c r="FW600" s="98"/>
      <c r="FX600" s="467"/>
      <c r="FY600" s="52"/>
      <c r="FZ600" s="296"/>
      <c r="GA600" s="98"/>
      <c r="GB600" s="467"/>
      <c r="GC600" s="52"/>
      <c r="GD600" s="296"/>
      <c r="GE600" s="98"/>
      <c r="GF600" s="467"/>
      <c r="GG600" s="52"/>
      <c r="GH600" s="296"/>
      <c r="GI600" s="98"/>
      <c r="GJ600" s="467"/>
      <c r="GK600" s="52"/>
      <c r="GL600" s="296"/>
      <c r="GM600" s="464"/>
      <c r="GN600" s="467"/>
      <c r="GO600" s="52"/>
      <c r="GP600" s="296"/>
      <c r="GQ600" s="464"/>
      <c r="GR600" s="467"/>
      <c r="GS600" s="52"/>
      <c r="GT600" s="296"/>
      <c r="GU600" s="464"/>
      <c r="GV600" s="467"/>
      <c r="GW600" s="52"/>
      <c r="GX600" s="296"/>
      <c r="GY600" s="464"/>
      <c r="GZ600" s="467"/>
      <c r="HA600" s="52"/>
      <c r="HB600" s="296"/>
      <c r="HC600" s="43"/>
    </row>
    <row r="601" spans="1:211" s="85" customFormat="1">
      <c r="A601" s="502" t="s">
        <v>951</v>
      </c>
      <c r="B601" s="554" t="s">
        <v>865</v>
      </c>
      <c r="C601" s="516">
        <v>226806</v>
      </c>
      <c r="D601" s="480">
        <v>7</v>
      </c>
      <c r="E601" s="460">
        <v>150</v>
      </c>
      <c r="F601" s="552">
        <v>211</v>
      </c>
      <c r="G601" s="158"/>
      <c r="H601" s="277"/>
      <c r="I601" s="158">
        <v>414</v>
      </c>
      <c r="J601" s="551">
        <v>405</v>
      </c>
      <c r="K601" s="160">
        <f t="shared" si="243"/>
        <v>207</v>
      </c>
      <c r="L601" s="161">
        <f t="shared" si="236"/>
        <v>40.5</v>
      </c>
      <c r="M601" s="54">
        <v>2</v>
      </c>
      <c r="N601" s="55"/>
      <c r="O601" s="55"/>
      <c r="P601" s="55"/>
      <c r="Q601" s="162">
        <f t="shared" si="244"/>
        <v>0</v>
      </c>
      <c r="R601" s="277">
        <v>10</v>
      </c>
      <c r="S601" s="277"/>
      <c r="T601" s="277"/>
      <c r="U601" s="277"/>
      <c r="V601" s="97">
        <f t="shared" si="245"/>
        <v>0</v>
      </c>
      <c r="W601" s="279" t="s">
        <v>731</v>
      </c>
      <c r="X601" s="52">
        <v>2</v>
      </c>
      <c r="Y601" s="99" t="s">
        <v>731</v>
      </c>
      <c r="Z601" s="53">
        <v>10</v>
      </c>
      <c r="AA601" s="228"/>
      <c r="AB601" s="52"/>
      <c r="AC601" s="99"/>
      <c r="AD601" s="53"/>
      <c r="AE601" s="228"/>
      <c r="AF601" s="52"/>
      <c r="AG601" s="99"/>
      <c r="AH601" s="53"/>
      <c r="AI601" s="228"/>
      <c r="AJ601" s="52"/>
      <c r="AK601" s="99"/>
      <c r="AL601" s="53"/>
      <c r="AM601" s="228"/>
      <c r="AN601" s="52"/>
      <c r="AO601" s="99"/>
      <c r="AP601" s="53"/>
      <c r="AQ601" s="50">
        <f t="shared" si="237"/>
        <v>1</v>
      </c>
      <c r="AR601" s="163">
        <f t="shared" si="238"/>
        <v>3.5335689045936395E-3</v>
      </c>
      <c r="AS601" s="97">
        <f t="shared" si="239"/>
        <v>1</v>
      </c>
      <c r="AT601" s="278">
        <f t="shared" si="240"/>
        <v>1.5974440894568689E-2</v>
      </c>
      <c r="AU601" s="55"/>
      <c r="AV601" s="277"/>
      <c r="AW601" s="279"/>
      <c r="AX601" s="52"/>
      <c r="AY601" s="105"/>
      <c r="AZ601" s="98"/>
      <c r="BA601" s="279"/>
      <c r="BB601" s="52"/>
      <c r="BC601" s="105"/>
      <c r="BD601" s="98"/>
      <c r="BE601" s="279"/>
      <c r="BF601" s="52"/>
      <c r="BG601" s="105"/>
      <c r="BH601" s="98"/>
      <c r="BI601" s="279"/>
      <c r="BJ601" s="52"/>
      <c r="BK601" s="105"/>
      <c r="BL601" s="98"/>
      <c r="BM601" s="279"/>
      <c r="BN601" s="52"/>
      <c r="BO601" s="105"/>
      <c r="BP601" s="98"/>
      <c r="BQ601" s="279"/>
      <c r="BR601" s="52"/>
      <c r="BS601" s="105"/>
      <c r="BT601" s="98"/>
      <c r="BU601" s="279"/>
      <c r="BV601" s="52"/>
      <c r="BW601" s="105"/>
      <c r="BX601" s="98"/>
      <c r="BY601" s="279"/>
      <c r="BZ601" s="52"/>
      <c r="CA601" s="105"/>
      <c r="CB601" s="98"/>
      <c r="CC601" s="279"/>
      <c r="CD601" s="52"/>
      <c r="CE601" s="105"/>
      <c r="CF601" s="98"/>
      <c r="CG601" s="279"/>
      <c r="CH601" s="52"/>
      <c r="CI601" s="105"/>
      <c r="CJ601" s="98"/>
      <c r="CK601" s="281"/>
      <c r="CL601" s="277"/>
      <c r="CM601" s="159"/>
      <c r="CN601" s="277"/>
      <c r="CO601" s="50">
        <f t="shared" si="246"/>
        <v>0</v>
      </c>
      <c r="CP601" s="103">
        <f t="shared" si="247"/>
        <v>0</v>
      </c>
      <c r="CQ601" s="280">
        <f t="shared" si="248"/>
        <v>0</v>
      </c>
      <c r="CR601" s="63">
        <f t="shared" si="249"/>
        <v>0</v>
      </c>
      <c r="CS601" s="279"/>
      <c r="CT601" s="52"/>
      <c r="CU601" s="105"/>
      <c r="CV601" s="98"/>
      <c r="CW601" s="279"/>
      <c r="CX601" s="52"/>
      <c r="CY601" s="105"/>
      <c r="CZ601" s="98"/>
      <c r="DA601" s="279"/>
      <c r="DB601" s="52"/>
      <c r="DC601" s="105"/>
      <c r="DD601" s="98"/>
      <c r="DE601" s="279"/>
      <c r="DF601" s="52"/>
      <c r="DG601" s="105"/>
      <c r="DH601" s="98"/>
      <c r="DI601" s="279"/>
      <c r="DJ601" s="52"/>
      <c r="DK601" s="105"/>
      <c r="DL601" s="98"/>
      <c r="DM601" s="279"/>
      <c r="DN601" s="52"/>
      <c r="DO601" s="105"/>
      <c r="DP601" s="98"/>
      <c r="DQ601" s="279"/>
      <c r="DR601" s="52"/>
      <c r="DS601" s="105"/>
      <c r="DT601" s="98"/>
      <c r="DU601" s="279"/>
      <c r="DV601" s="52"/>
      <c r="DW601" s="105"/>
      <c r="DX601" s="98"/>
      <c r="DY601" s="279"/>
      <c r="DZ601" s="52"/>
      <c r="EA601" s="105"/>
      <c r="EB601" s="98"/>
      <c r="EC601" s="279"/>
      <c r="ED601" s="52"/>
      <c r="EE601" s="105"/>
      <c r="EF601" s="98"/>
      <c r="EG601" s="159"/>
      <c r="EH601" s="277"/>
      <c r="EI601" s="50">
        <f t="shared" si="250"/>
        <v>0</v>
      </c>
      <c r="EJ601" s="103">
        <f t="shared" si="251"/>
        <v>0</v>
      </c>
      <c r="EK601" s="164">
        <f t="shared" si="252"/>
        <v>0</v>
      </c>
      <c r="EL601" s="280">
        <f t="shared" si="253"/>
        <v>0</v>
      </c>
      <c r="EM601" s="63">
        <f t="shared" si="254"/>
        <v>0</v>
      </c>
      <c r="EN601" s="359">
        <f t="shared" si="255"/>
        <v>0</v>
      </c>
      <c r="EO601" s="51">
        <f t="shared" si="256"/>
        <v>0</v>
      </c>
      <c r="EP601" s="361">
        <f t="shared" si="257"/>
        <v>0</v>
      </c>
      <c r="EQ601" s="281"/>
      <c r="ER601" s="277"/>
      <c r="ES601" s="281"/>
      <c r="ET601" s="277"/>
      <c r="EU601" s="281"/>
      <c r="EV601" s="277"/>
      <c r="EW601" s="281"/>
      <c r="EX601" s="277"/>
      <c r="EY601" s="281"/>
      <c r="EZ601" s="277"/>
      <c r="FA601" s="281"/>
      <c r="FB601" s="277"/>
      <c r="FC601" s="281"/>
      <c r="FD601" s="277"/>
      <c r="FE601" s="281"/>
      <c r="FF601" s="277"/>
      <c r="FG601" s="281"/>
      <c r="FH601" s="277"/>
      <c r="FI601" s="281"/>
      <c r="FJ601" s="277"/>
      <c r="FK601" s="50">
        <f t="shared" si="258"/>
        <v>0</v>
      </c>
      <c r="FL601" s="63">
        <f t="shared" si="259"/>
        <v>0</v>
      </c>
      <c r="FM601" s="50">
        <f t="shared" si="241"/>
        <v>566</v>
      </c>
      <c r="FN601" s="360">
        <f t="shared" si="242"/>
        <v>626</v>
      </c>
      <c r="FO601" s="43"/>
      <c r="FP601" s="279"/>
      <c r="FQ601" s="467"/>
      <c r="FR601" s="296"/>
      <c r="FS601" s="98"/>
      <c r="FT601" s="467"/>
      <c r="FU601" s="52"/>
      <c r="FV601" s="296"/>
      <c r="FW601" s="98"/>
      <c r="FX601" s="467"/>
      <c r="FY601" s="52"/>
      <c r="FZ601" s="296"/>
      <c r="GA601" s="98"/>
      <c r="GB601" s="467"/>
      <c r="GC601" s="52"/>
      <c r="GD601" s="296"/>
      <c r="GE601" s="98"/>
      <c r="GF601" s="467"/>
      <c r="GG601" s="52"/>
      <c r="GH601" s="296"/>
      <c r="GI601" s="98"/>
      <c r="GJ601" s="467"/>
      <c r="GK601" s="52"/>
      <c r="GL601" s="296"/>
      <c r="GM601" s="464"/>
      <c r="GN601" s="467"/>
      <c r="GO601" s="52"/>
      <c r="GP601" s="296"/>
      <c r="GQ601" s="464"/>
      <c r="GR601" s="467"/>
      <c r="GS601" s="52"/>
      <c r="GT601" s="296"/>
      <c r="GU601" s="464"/>
      <c r="GV601" s="467"/>
      <c r="GW601" s="52"/>
      <c r="GX601" s="296"/>
      <c r="GY601" s="464"/>
      <c r="GZ601" s="467"/>
      <c r="HA601" s="52"/>
      <c r="HB601" s="296"/>
      <c r="HC601" s="43"/>
    </row>
    <row r="602" spans="1:211" s="85" customFormat="1">
      <c r="A602" s="555" t="s">
        <v>951</v>
      </c>
      <c r="B602" s="554" t="s">
        <v>847</v>
      </c>
      <c r="C602" s="556">
        <v>409315</v>
      </c>
      <c r="D602" s="557">
        <v>7</v>
      </c>
      <c r="E602" s="460">
        <v>518</v>
      </c>
      <c r="F602" s="552">
        <v>574</v>
      </c>
      <c r="G602" s="158"/>
      <c r="H602" s="277"/>
      <c r="I602" s="158">
        <v>1441</v>
      </c>
      <c r="J602" s="551">
        <v>1596</v>
      </c>
      <c r="K602" s="160">
        <f t="shared" si="243"/>
        <v>36.948717948717949</v>
      </c>
      <c r="L602" s="161">
        <f t="shared" si="236"/>
        <v>18.558139534883722</v>
      </c>
      <c r="M602" s="54">
        <v>39</v>
      </c>
      <c r="N602" s="55"/>
      <c r="O602" s="55"/>
      <c r="P602" s="55"/>
      <c r="Q602" s="162">
        <f t="shared" si="244"/>
        <v>0</v>
      </c>
      <c r="R602" s="277">
        <v>86</v>
      </c>
      <c r="S602" s="277"/>
      <c r="T602" s="277"/>
      <c r="U602" s="277"/>
      <c r="V602" s="97">
        <f t="shared" si="245"/>
        <v>0</v>
      </c>
      <c r="W602" s="279" t="s">
        <v>731</v>
      </c>
      <c r="X602" s="52">
        <v>39</v>
      </c>
      <c r="Y602" s="99" t="s">
        <v>731</v>
      </c>
      <c r="Z602" s="53">
        <v>63</v>
      </c>
      <c r="AA602" s="228"/>
      <c r="AB602" s="52"/>
      <c r="AC602" s="99" t="s">
        <v>747</v>
      </c>
      <c r="AD602" s="53">
        <v>23</v>
      </c>
      <c r="AE602" s="228"/>
      <c r="AF602" s="52"/>
      <c r="AG602" s="99"/>
      <c r="AH602" s="53"/>
      <c r="AI602" s="228"/>
      <c r="AJ602" s="52"/>
      <c r="AK602" s="99"/>
      <c r="AL602" s="53"/>
      <c r="AM602" s="228"/>
      <c r="AN602" s="52"/>
      <c r="AO602" s="99"/>
      <c r="AP602" s="53"/>
      <c r="AQ602" s="50">
        <f t="shared" si="237"/>
        <v>1</v>
      </c>
      <c r="AR602" s="163">
        <f t="shared" si="238"/>
        <v>1.951951951951952E-2</v>
      </c>
      <c r="AS602" s="97">
        <f t="shared" si="239"/>
        <v>2</v>
      </c>
      <c r="AT602" s="278">
        <f t="shared" si="240"/>
        <v>3.8120567375886524E-2</v>
      </c>
      <c r="AU602" s="55"/>
      <c r="AV602" s="277"/>
      <c r="AW602" s="279"/>
      <c r="AX602" s="52"/>
      <c r="AY602" s="105"/>
      <c r="AZ602" s="98"/>
      <c r="BA602" s="279"/>
      <c r="BB602" s="52"/>
      <c r="BC602" s="105"/>
      <c r="BD602" s="98"/>
      <c r="BE602" s="279"/>
      <c r="BF602" s="52"/>
      <c r="BG602" s="105"/>
      <c r="BH602" s="98"/>
      <c r="BI602" s="279"/>
      <c r="BJ602" s="52"/>
      <c r="BK602" s="105"/>
      <c r="BL602" s="98"/>
      <c r="BM602" s="279"/>
      <c r="BN602" s="52"/>
      <c r="BO602" s="105"/>
      <c r="BP602" s="98"/>
      <c r="BQ602" s="279"/>
      <c r="BR602" s="52"/>
      <c r="BS602" s="105"/>
      <c r="BT602" s="98"/>
      <c r="BU602" s="279"/>
      <c r="BV602" s="52"/>
      <c r="BW602" s="105"/>
      <c r="BX602" s="98"/>
      <c r="BY602" s="279"/>
      <c r="BZ602" s="52"/>
      <c r="CA602" s="105"/>
      <c r="CB602" s="98"/>
      <c r="CC602" s="279"/>
      <c r="CD602" s="52"/>
      <c r="CE602" s="105"/>
      <c r="CF602" s="98"/>
      <c r="CG602" s="279"/>
      <c r="CH602" s="52"/>
      <c r="CI602" s="105"/>
      <c r="CJ602" s="98"/>
      <c r="CK602" s="281"/>
      <c r="CL602" s="277"/>
      <c r="CM602" s="159"/>
      <c r="CN602" s="277"/>
      <c r="CO602" s="50">
        <f t="shared" si="246"/>
        <v>0</v>
      </c>
      <c r="CP602" s="103">
        <f t="shared" si="247"/>
        <v>0</v>
      </c>
      <c r="CQ602" s="280">
        <f t="shared" si="248"/>
        <v>0</v>
      </c>
      <c r="CR602" s="63">
        <f t="shared" si="249"/>
        <v>0</v>
      </c>
      <c r="CS602" s="279"/>
      <c r="CT602" s="52"/>
      <c r="CU602" s="105"/>
      <c r="CV602" s="98"/>
      <c r="CW602" s="279"/>
      <c r="CX602" s="52"/>
      <c r="CY602" s="105"/>
      <c r="CZ602" s="98"/>
      <c r="DA602" s="279"/>
      <c r="DB602" s="52"/>
      <c r="DC602" s="105"/>
      <c r="DD602" s="98"/>
      <c r="DE602" s="279"/>
      <c r="DF602" s="52"/>
      <c r="DG602" s="105"/>
      <c r="DH602" s="98"/>
      <c r="DI602" s="279"/>
      <c r="DJ602" s="52"/>
      <c r="DK602" s="105"/>
      <c r="DL602" s="98"/>
      <c r="DM602" s="279"/>
      <c r="DN602" s="52"/>
      <c r="DO602" s="105"/>
      <c r="DP602" s="98"/>
      <c r="DQ602" s="279"/>
      <c r="DR602" s="52"/>
      <c r="DS602" s="105"/>
      <c r="DT602" s="98"/>
      <c r="DU602" s="279"/>
      <c r="DV602" s="52"/>
      <c r="DW602" s="105"/>
      <c r="DX602" s="98"/>
      <c r="DY602" s="279"/>
      <c r="DZ602" s="52"/>
      <c r="EA602" s="105"/>
      <c r="EB602" s="98"/>
      <c r="EC602" s="279"/>
      <c r="ED602" s="52"/>
      <c r="EE602" s="105"/>
      <c r="EF602" s="98"/>
      <c r="EG602" s="159"/>
      <c r="EH602" s="277"/>
      <c r="EI602" s="50">
        <f t="shared" si="250"/>
        <v>0</v>
      </c>
      <c r="EJ602" s="103">
        <f t="shared" si="251"/>
        <v>0</v>
      </c>
      <c r="EK602" s="164">
        <f t="shared" si="252"/>
        <v>0</v>
      </c>
      <c r="EL602" s="280">
        <f t="shared" si="253"/>
        <v>0</v>
      </c>
      <c r="EM602" s="63">
        <f t="shared" si="254"/>
        <v>0</v>
      </c>
      <c r="EN602" s="359">
        <f t="shared" si="255"/>
        <v>0</v>
      </c>
      <c r="EO602" s="51">
        <f t="shared" si="256"/>
        <v>0</v>
      </c>
      <c r="EP602" s="361">
        <f t="shared" si="257"/>
        <v>0</v>
      </c>
      <c r="EQ602" s="281"/>
      <c r="ER602" s="277"/>
      <c r="ES602" s="281"/>
      <c r="ET602" s="277"/>
      <c r="EU602" s="281"/>
      <c r="EV602" s="277"/>
      <c r="EW602" s="281"/>
      <c r="EX602" s="277"/>
      <c r="EY602" s="281"/>
      <c r="EZ602" s="277"/>
      <c r="FA602" s="281"/>
      <c r="FB602" s="277"/>
      <c r="FC602" s="281"/>
      <c r="FD602" s="277"/>
      <c r="FE602" s="281"/>
      <c r="FF602" s="277"/>
      <c r="FG602" s="281"/>
      <c r="FH602" s="277"/>
      <c r="FI602" s="281"/>
      <c r="FJ602" s="277"/>
      <c r="FK602" s="50">
        <f t="shared" si="258"/>
        <v>0</v>
      </c>
      <c r="FL602" s="63">
        <f t="shared" si="259"/>
        <v>0</v>
      </c>
      <c r="FM602" s="50">
        <f t="shared" si="241"/>
        <v>1998</v>
      </c>
      <c r="FN602" s="360">
        <f t="shared" si="242"/>
        <v>2256</v>
      </c>
      <c r="FO602" s="43"/>
      <c r="FP602" s="279"/>
      <c r="FQ602" s="467"/>
      <c r="FR602" s="296"/>
      <c r="FS602" s="98"/>
      <c r="FT602" s="467"/>
      <c r="FU602" s="52"/>
      <c r="FV602" s="296"/>
      <c r="FW602" s="98"/>
      <c r="FX602" s="467"/>
      <c r="FY602" s="52"/>
      <c r="FZ602" s="296"/>
      <c r="GA602" s="98"/>
      <c r="GB602" s="467"/>
      <c r="GC602" s="52"/>
      <c r="GD602" s="296"/>
      <c r="GE602" s="98"/>
      <c r="GF602" s="467"/>
      <c r="GG602" s="52"/>
      <c r="GH602" s="296"/>
      <c r="GI602" s="98"/>
      <c r="GJ602" s="467"/>
      <c r="GK602" s="52"/>
      <c r="GL602" s="296"/>
      <c r="GM602" s="464"/>
      <c r="GN602" s="467"/>
      <c r="GO602" s="52"/>
      <c r="GP602" s="296"/>
      <c r="GQ602" s="464"/>
      <c r="GR602" s="467"/>
      <c r="GS602" s="52"/>
      <c r="GT602" s="296"/>
      <c r="GU602" s="464"/>
      <c r="GV602" s="467"/>
      <c r="GW602" s="52"/>
      <c r="GX602" s="296"/>
      <c r="GY602" s="464"/>
      <c r="GZ602" s="467"/>
      <c r="HA602" s="52"/>
      <c r="HB602" s="296"/>
      <c r="HC602" s="43"/>
    </row>
    <row r="603" spans="1:211" s="85" customFormat="1">
      <c r="A603" s="502" t="s">
        <v>951</v>
      </c>
      <c r="B603" s="315" t="s">
        <v>827</v>
      </c>
      <c r="C603" s="314">
        <v>222576</v>
      </c>
      <c r="D603" s="343">
        <v>8</v>
      </c>
      <c r="E603" s="460">
        <v>499</v>
      </c>
      <c r="F603" s="552">
        <v>348</v>
      </c>
      <c r="G603" s="158"/>
      <c r="H603" s="277"/>
      <c r="I603" s="158">
        <v>728</v>
      </c>
      <c r="J603" s="338">
        <v>729</v>
      </c>
      <c r="K603" s="160">
        <f t="shared" si="243"/>
        <v>0</v>
      </c>
      <c r="L603" s="161">
        <f t="shared" si="236"/>
        <v>0</v>
      </c>
      <c r="M603" s="54"/>
      <c r="N603" s="55"/>
      <c r="O603" s="55"/>
      <c r="P603" s="55"/>
      <c r="Q603" s="162">
        <f t="shared" si="244"/>
        <v>0</v>
      </c>
      <c r="R603" s="277"/>
      <c r="S603" s="277"/>
      <c r="T603" s="277"/>
      <c r="U603" s="277"/>
      <c r="V603" s="97">
        <f t="shared" si="245"/>
        <v>0</v>
      </c>
      <c r="W603" s="279"/>
      <c r="X603" s="52"/>
      <c r="Y603" s="99"/>
      <c r="Z603" s="53"/>
      <c r="AA603" s="228"/>
      <c r="AB603" s="52"/>
      <c r="AC603" s="99"/>
      <c r="AD603" s="53"/>
      <c r="AE603" s="228"/>
      <c r="AF603" s="52"/>
      <c r="AG603" s="99"/>
      <c r="AH603" s="53"/>
      <c r="AI603" s="228"/>
      <c r="AJ603" s="52"/>
      <c r="AK603" s="99"/>
      <c r="AL603" s="53"/>
      <c r="AM603" s="228"/>
      <c r="AN603" s="52"/>
      <c r="AO603" s="99"/>
      <c r="AP603" s="53"/>
      <c r="AQ603" s="50">
        <f t="shared" si="237"/>
        <v>0</v>
      </c>
      <c r="AR603" s="163">
        <f t="shared" si="238"/>
        <v>0</v>
      </c>
      <c r="AS603" s="97">
        <f t="shared" si="239"/>
        <v>0</v>
      </c>
      <c r="AT603" s="278">
        <f t="shared" si="240"/>
        <v>0</v>
      </c>
      <c r="AU603" s="55"/>
      <c r="AV603" s="277"/>
      <c r="AW603" s="279"/>
      <c r="AX603" s="52"/>
      <c r="AY603" s="105"/>
      <c r="AZ603" s="98"/>
      <c r="BA603" s="279"/>
      <c r="BB603" s="52"/>
      <c r="BC603" s="105"/>
      <c r="BD603" s="98"/>
      <c r="BE603" s="279"/>
      <c r="BF603" s="52"/>
      <c r="BG603" s="105"/>
      <c r="BH603" s="98"/>
      <c r="BI603" s="279"/>
      <c r="BJ603" s="52"/>
      <c r="BK603" s="105"/>
      <c r="BL603" s="98"/>
      <c r="BM603" s="279"/>
      <c r="BN603" s="52"/>
      <c r="BO603" s="105"/>
      <c r="BP603" s="98"/>
      <c r="BQ603" s="279"/>
      <c r="BR603" s="52"/>
      <c r="BS603" s="105"/>
      <c r="BT603" s="98"/>
      <c r="BU603" s="279"/>
      <c r="BV603" s="52"/>
      <c r="BW603" s="105"/>
      <c r="BX603" s="98"/>
      <c r="BY603" s="279"/>
      <c r="BZ603" s="52"/>
      <c r="CA603" s="105"/>
      <c r="CB603" s="98"/>
      <c r="CC603" s="279"/>
      <c r="CD603" s="52"/>
      <c r="CE603" s="105"/>
      <c r="CF603" s="98"/>
      <c r="CG603" s="279"/>
      <c r="CH603" s="52"/>
      <c r="CI603" s="105"/>
      <c r="CJ603" s="98"/>
      <c r="CK603" s="281"/>
      <c r="CL603" s="277"/>
      <c r="CM603" s="159"/>
      <c r="CN603" s="277"/>
      <c r="CO603" s="50">
        <f t="shared" si="246"/>
        <v>0</v>
      </c>
      <c r="CP603" s="103">
        <f t="shared" si="247"/>
        <v>0</v>
      </c>
      <c r="CQ603" s="280">
        <f t="shared" si="248"/>
        <v>0</v>
      </c>
      <c r="CR603" s="63">
        <f t="shared" si="249"/>
        <v>0</v>
      </c>
      <c r="CS603" s="279"/>
      <c r="CT603" s="52"/>
      <c r="CU603" s="105"/>
      <c r="CV603" s="98"/>
      <c r="CW603" s="279"/>
      <c r="CX603" s="52"/>
      <c r="CY603" s="105"/>
      <c r="CZ603" s="98"/>
      <c r="DA603" s="279"/>
      <c r="DB603" s="52"/>
      <c r="DC603" s="105"/>
      <c r="DD603" s="98"/>
      <c r="DE603" s="279"/>
      <c r="DF603" s="52"/>
      <c r="DG603" s="105"/>
      <c r="DH603" s="98"/>
      <c r="DI603" s="279"/>
      <c r="DJ603" s="52"/>
      <c r="DK603" s="105"/>
      <c r="DL603" s="98"/>
      <c r="DM603" s="279"/>
      <c r="DN603" s="52"/>
      <c r="DO603" s="105"/>
      <c r="DP603" s="98"/>
      <c r="DQ603" s="279"/>
      <c r="DR603" s="52"/>
      <c r="DS603" s="105"/>
      <c r="DT603" s="98"/>
      <c r="DU603" s="279"/>
      <c r="DV603" s="52"/>
      <c r="DW603" s="105"/>
      <c r="DX603" s="98"/>
      <c r="DY603" s="279"/>
      <c r="DZ603" s="52"/>
      <c r="EA603" s="105"/>
      <c r="EB603" s="98"/>
      <c r="EC603" s="279"/>
      <c r="ED603" s="52"/>
      <c r="EE603" s="105"/>
      <c r="EF603" s="98"/>
      <c r="EG603" s="159"/>
      <c r="EH603" s="277"/>
      <c r="EI603" s="50">
        <f t="shared" si="250"/>
        <v>0</v>
      </c>
      <c r="EJ603" s="103">
        <f t="shared" si="251"/>
        <v>0</v>
      </c>
      <c r="EK603" s="164">
        <f t="shared" si="252"/>
        <v>0</v>
      </c>
      <c r="EL603" s="280">
        <f t="shared" si="253"/>
        <v>0</v>
      </c>
      <c r="EM603" s="63">
        <f t="shared" si="254"/>
        <v>0</v>
      </c>
      <c r="EN603" s="359">
        <f t="shared" si="255"/>
        <v>0</v>
      </c>
      <c r="EO603" s="51">
        <f t="shared" si="256"/>
        <v>0</v>
      </c>
      <c r="EP603" s="361">
        <f t="shared" si="257"/>
        <v>0</v>
      </c>
      <c r="EQ603" s="281"/>
      <c r="ER603" s="277"/>
      <c r="ES603" s="281"/>
      <c r="ET603" s="277"/>
      <c r="EU603" s="281"/>
      <c r="EV603" s="277"/>
      <c r="EW603" s="281"/>
      <c r="EX603" s="277"/>
      <c r="EY603" s="281"/>
      <c r="EZ603" s="277"/>
      <c r="FA603" s="281"/>
      <c r="FB603" s="277"/>
      <c r="FC603" s="281"/>
      <c r="FD603" s="277"/>
      <c r="FE603" s="281"/>
      <c r="FF603" s="277"/>
      <c r="FG603" s="281"/>
      <c r="FH603" s="277"/>
      <c r="FI603" s="281"/>
      <c r="FJ603" s="277"/>
      <c r="FK603" s="50">
        <f t="shared" si="258"/>
        <v>0</v>
      </c>
      <c r="FL603" s="63">
        <f t="shared" si="259"/>
        <v>0</v>
      </c>
      <c r="FM603" s="50">
        <f t="shared" si="241"/>
        <v>1227</v>
      </c>
      <c r="FN603" s="360">
        <f t="shared" si="242"/>
        <v>1077</v>
      </c>
      <c r="FO603" s="43"/>
      <c r="FP603" s="279"/>
      <c r="FQ603" s="467"/>
      <c r="FR603" s="296"/>
      <c r="FS603" s="98"/>
      <c r="FT603" s="467"/>
      <c r="FU603" s="52"/>
      <c r="FV603" s="296"/>
      <c r="FW603" s="98"/>
      <c r="FX603" s="467"/>
      <c r="FY603" s="52"/>
      <c r="FZ603" s="296"/>
      <c r="GA603" s="98"/>
      <c r="GB603" s="467"/>
      <c r="GC603" s="52"/>
      <c r="GD603" s="296"/>
      <c r="GE603" s="98"/>
      <c r="GF603" s="467"/>
      <c r="GG603" s="52"/>
      <c r="GH603" s="296"/>
      <c r="GI603" s="98"/>
      <c r="GJ603" s="467"/>
      <c r="GK603" s="52"/>
      <c r="GL603" s="296"/>
      <c r="GM603" s="464"/>
      <c r="GN603" s="467"/>
      <c r="GO603" s="52"/>
      <c r="GP603" s="296"/>
      <c r="GQ603" s="464"/>
      <c r="GR603" s="467"/>
      <c r="GS603" s="52"/>
      <c r="GT603" s="296"/>
      <c r="GU603" s="464"/>
      <c r="GV603" s="467"/>
      <c r="GW603" s="52"/>
      <c r="GX603" s="296"/>
      <c r="GY603" s="464"/>
      <c r="GZ603" s="467"/>
      <c r="HA603" s="52"/>
      <c r="HB603" s="296"/>
      <c r="HC603" s="43"/>
    </row>
    <row r="604" spans="1:211" s="85" customFormat="1">
      <c r="A604" s="502" t="s">
        <v>951</v>
      </c>
      <c r="B604" s="315" t="s">
        <v>828</v>
      </c>
      <c r="C604" s="314">
        <v>222992</v>
      </c>
      <c r="D604" s="343">
        <v>8</v>
      </c>
      <c r="E604" s="460">
        <v>467</v>
      </c>
      <c r="F604" s="552">
        <v>526</v>
      </c>
      <c r="G604" s="158"/>
      <c r="H604" s="277"/>
      <c r="I604" s="158">
        <v>1107</v>
      </c>
      <c r="J604" s="338">
        <v>1259</v>
      </c>
      <c r="K604" s="160">
        <f t="shared" si="243"/>
        <v>0</v>
      </c>
      <c r="L604" s="161">
        <f t="shared" si="236"/>
        <v>0</v>
      </c>
      <c r="M604" s="54"/>
      <c r="N604" s="55"/>
      <c r="O604" s="55"/>
      <c r="P604" s="55"/>
      <c r="Q604" s="162">
        <f t="shared" si="244"/>
        <v>0</v>
      </c>
      <c r="R604" s="277"/>
      <c r="S604" s="277"/>
      <c r="T604" s="277"/>
      <c r="U604" s="277"/>
      <c r="V604" s="97">
        <f t="shared" si="245"/>
        <v>0</v>
      </c>
      <c r="W604" s="279"/>
      <c r="X604" s="52"/>
      <c r="Y604" s="99"/>
      <c r="Z604" s="53"/>
      <c r="AA604" s="228"/>
      <c r="AB604" s="52"/>
      <c r="AC604" s="99"/>
      <c r="AD604" s="53"/>
      <c r="AE604" s="228"/>
      <c r="AF604" s="52"/>
      <c r="AG604" s="99"/>
      <c r="AH604" s="53"/>
      <c r="AI604" s="228"/>
      <c r="AJ604" s="52"/>
      <c r="AK604" s="99"/>
      <c r="AL604" s="53"/>
      <c r="AM604" s="228"/>
      <c r="AN604" s="52"/>
      <c r="AO604" s="99"/>
      <c r="AP604" s="53"/>
      <c r="AQ604" s="50">
        <f t="shared" si="237"/>
        <v>0</v>
      </c>
      <c r="AR604" s="163">
        <f t="shared" si="238"/>
        <v>0</v>
      </c>
      <c r="AS604" s="97">
        <f t="shared" si="239"/>
        <v>0</v>
      </c>
      <c r="AT604" s="278">
        <f t="shared" si="240"/>
        <v>0</v>
      </c>
      <c r="AU604" s="55"/>
      <c r="AV604" s="277"/>
      <c r="AW604" s="279"/>
      <c r="AX604" s="52"/>
      <c r="AY604" s="105"/>
      <c r="AZ604" s="98"/>
      <c r="BA604" s="279"/>
      <c r="BB604" s="52"/>
      <c r="BC604" s="105"/>
      <c r="BD604" s="98"/>
      <c r="BE604" s="279"/>
      <c r="BF604" s="52"/>
      <c r="BG604" s="105"/>
      <c r="BH604" s="98"/>
      <c r="BI604" s="279"/>
      <c r="BJ604" s="52"/>
      <c r="BK604" s="105"/>
      <c r="BL604" s="98"/>
      <c r="BM604" s="279"/>
      <c r="BN604" s="52"/>
      <c r="BO604" s="105"/>
      <c r="BP604" s="98"/>
      <c r="BQ604" s="279"/>
      <c r="BR604" s="52"/>
      <c r="BS604" s="105"/>
      <c r="BT604" s="98"/>
      <c r="BU604" s="279"/>
      <c r="BV604" s="52"/>
      <c r="BW604" s="105"/>
      <c r="BX604" s="98"/>
      <c r="BY604" s="279"/>
      <c r="BZ604" s="52"/>
      <c r="CA604" s="105"/>
      <c r="CB604" s="98"/>
      <c r="CC604" s="279"/>
      <c r="CD604" s="52"/>
      <c r="CE604" s="105"/>
      <c r="CF604" s="98"/>
      <c r="CG604" s="279"/>
      <c r="CH604" s="52"/>
      <c r="CI604" s="105"/>
      <c r="CJ604" s="98"/>
      <c r="CK604" s="281"/>
      <c r="CL604" s="277"/>
      <c r="CM604" s="159"/>
      <c r="CN604" s="277"/>
      <c r="CO604" s="50">
        <f t="shared" si="246"/>
        <v>0</v>
      </c>
      <c r="CP604" s="103">
        <f t="shared" si="247"/>
        <v>0</v>
      </c>
      <c r="CQ604" s="280">
        <f t="shared" si="248"/>
        <v>0</v>
      </c>
      <c r="CR604" s="63">
        <f t="shared" si="249"/>
        <v>0</v>
      </c>
      <c r="CS604" s="279"/>
      <c r="CT604" s="52"/>
      <c r="CU604" s="105"/>
      <c r="CV604" s="98"/>
      <c r="CW604" s="279"/>
      <c r="CX604" s="52"/>
      <c r="CY604" s="105"/>
      <c r="CZ604" s="98"/>
      <c r="DA604" s="279"/>
      <c r="DB604" s="52"/>
      <c r="DC604" s="105"/>
      <c r="DD604" s="98"/>
      <c r="DE604" s="279"/>
      <c r="DF604" s="52"/>
      <c r="DG604" s="105"/>
      <c r="DH604" s="98"/>
      <c r="DI604" s="279"/>
      <c r="DJ604" s="52"/>
      <c r="DK604" s="105"/>
      <c r="DL604" s="98"/>
      <c r="DM604" s="279"/>
      <c r="DN604" s="52"/>
      <c r="DO604" s="105"/>
      <c r="DP604" s="98"/>
      <c r="DQ604" s="279"/>
      <c r="DR604" s="52"/>
      <c r="DS604" s="105"/>
      <c r="DT604" s="98"/>
      <c r="DU604" s="279"/>
      <c r="DV604" s="52"/>
      <c r="DW604" s="105"/>
      <c r="DX604" s="98"/>
      <c r="DY604" s="279"/>
      <c r="DZ604" s="52"/>
      <c r="EA604" s="105"/>
      <c r="EB604" s="98"/>
      <c r="EC604" s="279"/>
      <c r="ED604" s="52"/>
      <c r="EE604" s="105"/>
      <c r="EF604" s="98"/>
      <c r="EG604" s="159"/>
      <c r="EH604" s="277"/>
      <c r="EI604" s="50">
        <f t="shared" si="250"/>
        <v>0</v>
      </c>
      <c r="EJ604" s="103">
        <f t="shared" si="251"/>
        <v>0</v>
      </c>
      <c r="EK604" s="164">
        <f t="shared" si="252"/>
        <v>0</v>
      </c>
      <c r="EL604" s="280">
        <f t="shared" si="253"/>
        <v>0</v>
      </c>
      <c r="EM604" s="63">
        <f t="shared" si="254"/>
        <v>0</v>
      </c>
      <c r="EN604" s="359">
        <f t="shared" si="255"/>
        <v>0</v>
      </c>
      <c r="EO604" s="51">
        <f t="shared" si="256"/>
        <v>0</v>
      </c>
      <c r="EP604" s="361">
        <f t="shared" si="257"/>
        <v>0</v>
      </c>
      <c r="EQ604" s="281"/>
      <c r="ER604" s="277"/>
      <c r="ES604" s="281"/>
      <c r="ET604" s="277"/>
      <c r="EU604" s="281"/>
      <c r="EV604" s="277"/>
      <c r="EW604" s="281"/>
      <c r="EX604" s="277"/>
      <c r="EY604" s="281"/>
      <c r="EZ604" s="277"/>
      <c r="FA604" s="281"/>
      <c r="FB604" s="277"/>
      <c r="FC604" s="281"/>
      <c r="FD604" s="277"/>
      <c r="FE604" s="281"/>
      <c r="FF604" s="277"/>
      <c r="FG604" s="281"/>
      <c r="FH604" s="277"/>
      <c r="FI604" s="281"/>
      <c r="FJ604" s="277"/>
      <c r="FK604" s="50">
        <f t="shared" si="258"/>
        <v>0</v>
      </c>
      <c r="FL604" s="63">
        <f t="shared" si="259"/>
        <v>0</v>
      </c>
      <c r="FM604" s="50">
        <f t="shared" si="241"/>
        <v>1574</v>
      </c>
      <c r="FN604" s="360">
        <f t="shared" si="242"/>
        <v>1785</v>
      </c>
      <c r="FO604" s="43"/>
      <c r="FP604" s="279"/>
      <c r="FQ604" s="467"/>
      <c r="FR604" s="296"/>
      <c r="FS604" s="98"/>
      <c r="FT604" s="467"/>
      <c r="FU604" s="52"/>
      <c r="FV604" s="296"/>
      <c r="FW604" s="98"/>
      <c r="FX604" s="467"/>
      <c r="FY604" s="52"/>
      <c r="FZ604" s="296"/>
      <c r="GA604" s="98"/>
      <c r="GB604" s="467"/>
      <c r="GC604" s="52"/>
      <c r="GD604" s="296"/>
      <c r="GE604" s="98"/>
      <c r="GF604" s="467"/>
      <c r="GG604" s="52"/>
      <c r="GH604" s="296"/>
      <c r="GI604" s="98"/>
      <c r="GJ604" s="467"/>
      <c r="GK604" s="52"/>
      <c r="GL604" s="296"/>
      <c r="GM604" s="464"/>
      <c r="GN604" s="467"/>
      <c r="GO604" s="52"/>
      <c r="GP604" s="296"/>
      <c r="GQ604" s="464"/>
      <c r="GR604" s="467"/>
      <c r="GS604" s="52"/>
      <c r="GT604" s="296"/>
      <c r="GU604" s="464"/>
      <c r="GV604" s="467"/>
      <c r="GW604" s="52"/>
      <c r="GX604" s="296"/>
      <c r="GY604" s="464"/>
      <c r="GZ604" s="467"/>
      <c r="HA604" s="52"/>
      <c r="HB604" s="296"/>
      <c r="HC604" s="43"/>
    </row>
    <row r="605" spans="1:211" s="85" customFormat="1">
      <c r="A605" s="502" t="s">
        <v>951</v>
      </c>
      <c r="B605" s="315" t="s">
        <v>829</v>
      </c>
      <c r="C605" s="314">
        <v>223427</v>
      </c>
      <c r="D605" s="343">
        <v>8</v>
      </c>
      <c r="E605" s="460">
        <v>240</v>
      </c>
      <c r="F605" s="552">
        <v>390</v>
      </c>
      <c r="G605" s="158"/>
      <c r="H605" s="277"/>
      <c r="I605" s="158">
        <v>853</v>
      </c>
      <c r="J605" s="338">
        <v>864</v>
      </c>
      <c r="K605" s="160">
        <f t="shared" si="243"/>
        <v>0</v>
      </c>
      <c r="L605" s="161">
        <f t="shared" si="236"/>
        <v>0</v>
      </c>
      <c r="M605" s="54"/>
      <c r="N605" s="55"/>
      <c r="O605" s="55"/>
      <c r="P605" s="55"/>
      <c r="Q605" s="162">
        <f t="shared" si="244"/>
        <v>0</v>
      </c>
      <c r="R605" s="277"/>
      <c r="S605" s="277"/>
      <c r="T605" s="277"/>
      <c r="U605" s="277"/>
      <c r="V605" s="97">
        <f t="shared" si="245"/>
        <v>0</v>
      </c>
      <c r="W605" s="279"/>
      <c r="X605" s="52"/>
      <c r="Y605" s="99"/>
      <c r="Z605" s="53"/>
      <c r="AA605" s="228"/>
      <c r="AB605" s="52"/>
      <c r="AC605" s="99"/>
      <c r="AD605" s="53"/>
      <c r="AE605" s="228"/>
      <c r="AF605" s="52"/>
      <c r="AG605" s="99"/>
      <c r="AH605" s="53"/>
      <c r="AI605" s="228"/>
      <c r="AJ605" s="52"/>
      <c r="AK605" s="99"/>
      <c r="AL605" s="53"/>
      <c r="AM605" s="228"/>
      <c r="AN605" s="52"/>
      <c r="AO605" s="99"/>
      <c r="AP605" s="53"/>
      <c r="AQ605" s="50">
        <f t="shared" si="237"/>
        <v>0</v>
      </c>
      <c r="AR605" s="163">
        <f t="shared" si="238"/>
        <v>0</v>
      </c>
      <c r="AS605" s="97">
        <f t="shared" si="239"/>
        <v>0</v>
      </c>
      <c r="AT605" s="278">
        <f t="shared" si="240"/>
        <v>0</v>
      </c>
      <c r="AU605" s="55"/>
      <c r="AV605" s="277"/>
      <c r="AW605" s="279"/>
      <c r="AX605" s="52"/>
      <c r="AY605" s="105"/>
      <c r="AZ605" s="98"/>
      <c r="BA605" s="279"/>
      <c r="BB605" s="52"/>
      <c r="BC605" s="105"/>
      <c r="BD605" s="98"/>
      <c r="BE605" s="279"/>
      <c r="BF605" s="52"/>
      <c r="BG605" s="105"/>
      <c r="BH605" s="98"/>
      <c r="BI605" s="279"/>
      <c r="BJ605" s="52"/>
      <c r="BK605" s="105"/>
      <c r="BL605" s="98"/>
      <c r="BM605" s="279"/>
      <c r="BN605" s="52"/>
      <c r="BO605" s="105"/>
      <c r="BP605" s="98"/>
      <c r="BQ605" s="279"/>
      <c r="BR605" s="52"/>
      <c r="BS605" s="105"/>
      <c r="BT605" s="98"/>
      <c r="BU605" s="279"/>
      <c r="BV605" s="52"/>
      <c r="BW605" s="105"/>
      <c r="BX605" s="98"/>
      <c r="BY605" s="279"/>
      <c r="BZ605" s="52"/>
      <c r="CA605" s="105"/>
      <c r="CB605" s="98"/>
      <c r="CC605" s="279"/>
      <c r="CD605" s="52"/>
      <c r="CE605" s="105"/>
      <c r="CF605" s="98"/>
      <c r="CG605" s="279"/>
      <c r="CH605" s="52"/>
      <c r="CI605" s="105"/>
      <c r="CJ605" s="98"/>
      <c r="CK605" s="281"/>
      <c r="CL605" s="277"/>
      <c r="CM605" s="159"/>
      <c r="CN605" s="277"/>
      <c r="CO605" s="50">
        <f t="shared" si="246"/>
        <v>0</v>
      </c>
      <c r="CP605" s="103">
        <f t="shared" si="247"/>
        <v>0</v>
      </c>
      <c r="CQ605" s="280">
        <f t="shared" si="248"/>
        <v>0</v>
      </c>
      <c r="CR605" s="63">
        <f t="shared" si="249"/>
        <v>0</v>
      </c>
      <c r="CS605" s="279"/>
      <c r="CT605" s="52"/>
      <c r="CU605" s="105"/>
      <c r="CV605" s="98"/>
      <c r="CW605" s="279"/>
      <c r="CX605" s="52"/>
      <c r="CY605" s="105"/>
      <c r="CZ605" s="98"/>
      <c r="DA605" s="279"/>
      <c r="DB605" s="52"/>
      <c r="DC605" s="105"/>
      <c r="DD605" s="98"/>
      <c r="DE605" s="279"/>
      <c r="DF605" s="52"/>
      <c r="DG605" s="105"/>
      <c r="DH605" s="98"/>
      <c r="DI605" s="279"/>
      <c r="DJ605" s="52"/>
      <c r="DK605" s="105"/>
      <c r="DL605" s="98"/>
      <c r="DM605" s="279"/>
      <c r="DN605" s="52"/>
      <c r="DO605" s="105"/>
      <c r="DP605" s="98"/>
      <c r="DQ605" s="279"/>
      <c r="DR605" s="52"/>
      <c r="DS605" s="105"/>
      <c r="DT605" s="98"/>
      <c r="DU605" s="279"/>
      <c r="DV605" s="52"/>
      <c r="DW605" s="105"/>
      <c r="DX605" s="98"/>
      <c r="DY605" s="279"/>
      <c r="DZ605" s="52"/>
      <c r="EA605" s="105"/>
      <c r="EB605" s="98"/>
      <c r="EC605" s="279"/>
      <c r="ED605" s="52"/>
      <c r="EE605" s="105"/>
      <c r="EF605" s="98"/>
      <c r="EG605" s="159"/>
      <c r="EH605" s="277"/>
      <c r="EI605" s="50">
        <f t="shared" si="250"/>
        <v>0</v>
      </c>
      <c r="EJ605" s="103">
        <f t="shared" si="251"/>
        <v>0</v>
      </c>
      <c r="EK605" s="164">
        <f t="shared" si="252"/>
        <v>0</v>
      </c>
      <c r="EL605" s="280">
        <f t="shared" si="253"/>
        <v>0</v>
      </c>
      <c r="EM605" s="63">
        <f t="shared" si="254"/>
        <v>0</v>
      </c>
      <c r="EN605" s="359">
        <f t="shared" si="255"/>
        <v>0</v>
      </c>
      <c r="EO605" s="51">
        <f t="shared" si="256"/>
        <v>0</v>
      </c>
      <c r="EP605" s="361">
        <f t="shared" si="257"/>
        <v>0</v>
      </c>
      <c r="EQ605" s="281"/>
      <c r="ER605" s="277"/>
      <c r="ES605" s="281"/>
      <c r="ET605" s="277"/>
      <c r="EU605" s="281"/>
      <c r="EV605" s="277"/>
      <c r="EW605" s="281"/>
      <c r="EX605" s="277"/>
      <c r="EY605" s="281"/>
      <c r="EZ605" s="277"/>
      <c r="FA605" s="281"/>
      <c r="FB605" s="277"/>
      <c r="FC605" s="281"/>
      <c r="FD605" s="277"/>
      <c r="FE605" s="281"/>
      <c r="FF605" s="277"/>
      <c r="FG605" s="281"/>
      <c r="FH605" s="277"/>
      <c r="FI605" s="281"/>
      <c r="FJ605" s="277"/>
      <c r="FK605" s="50">
        <f t="shared" si="258"/>
        <v>0</v>
      </c>
      <c r="FL605" s="63">
        <f t="shared" si="259"/>
        <v>0</v>
      </c>
      <c r="FM605" s="50">
        <f t="shared" si="241"/>
        <v>1093</v>
      </c>
      <c r="FN605" s="360">
        <f t="shared" si="242"/>
        <v>1254</v>
      </c>
      <c r="FO605" s="43"/>
      <c r="FP605" s="279"/>
      <c r="FQ605" s="467"/>
      <c r="FR605" s="296"/>
      <c r="FS605" s="98"/>
      <c r="FT605" s="467"/>
      <c r="FU605" s="52"/>
      <c r="FV605" s="296"/>
      <c r="FW605" s="98"/>
      <c r="FX605" s="467"/>
      <c r="FY605" s="52"/>
      <c r="FZ605" s="296"/>
      <c r="GA605" s="98"/>
      <c r="GB605" s="467"/>
      <c r="GC605" s="52"/>
      <c r="GD605" s="296"/>
      <c r="GE605" s="98"/>
      <c r="GF605" s="467"/>
      <c r="GG605" s="52"/>
      <c r="GH605" s="296"/>
      <c r="GI605" s="98"/>
      <c r="GJ605" s="467"/>
      <c r="GK605" s="52"/>
      <c r="GL605" s="296"/>
      <c r="GM605" s="464"/>
      <c r="GN605" s="467"/>
      <c r="GO605" s="52"/>
      <c r="GP605" s="296"/>
      <c r="GQ605" s="464"/>
      <c r="GR605" s="467"/>
      <c r="GS605" s="52"/>
      <c r="GT605" s="296"/>
      <c r="GU605" s="464"/>
      <c r="GV605" s="467"/>
      <c r="GW605" s="52"/>
      <c r="GX605" s="296"/>
      <c r="GY605" s="464"/>
      <c r="GZ605" s="467"/>
      <c r="HA605" s="52"/>
      <c r="HB605" s="296"/>
      <c r="HC605" s="43"/>
    </row>
    <row r="606" spans="1:211" s="85" customFormat="1">
      <c r="A606" s="502" t="s">
        <v>951</v>
      </c>
      <c r="B606" s="315" t="s">
        <v>830</v>
      </c>
      <c r="C606" s="314">
        <v>223524</v>
      </c>
      <c r="D606" s="343">
        <v>8</v>
      </c>
      <c r="E606" s="460">
        <v>173</v>
      </c>
      <c r="F606" s="552">
        <v>150</v>
      </c>
      <c r="G606" s="158"/>
      <c r="H606" s="277"/>
      <c r="I606" s="158">
        <v>471</v>
      </c>
      <c r="J606" s="338">
        <v>521</v>
      </c>
      <c r="K606" s="160">
        <f t="shared" si="243"/>
        <v>0</v>
      </c>
      <c r="L606" s="161">
        <f t="shared" si="236"/>
        <v>0</v>
      </c>
      <c r="M606" s="54"/>
      <c r="N606" s="55"/>
      <c r="O606" s="55"/>
      <c r="P606" s="55"/>
      <c r="Q606" s="162">
        <f t="shared" si="244"/>
        <v>0</v>
      </c>
      <c r="R606" s="277"/>
      <c r="S606" s="277"/>
      <c r="T606" s="277"/>
      <c r="U606" s="277"/>
      <c r="V606" s="97">
        <f t="shared" si="245"/>
        <v>0</v>
      </c>
      <c r="W606" s="279"/>
      <c r="X606" s="52"/>
      <c r="Y606" s="99"/>
      <c r="Z606" s="53"/>
      <c r="AA606" s="228"/>
      <c r="AB606" s="52"/>
      <c r="AC606" s="99"/>
      <c r="AD606" s="53"/>
      <c r="AE606" s="228"/>
      <c r="AF606" s="52"/>
      <c r="AG606" s="99"/>
      <c r="AH606" s="53"/>
      <c r="AI606" s="228"/>
      <c r="AJ606" s="52"/>
      <c r="AK606" s="99"/>
      <c r="AL606" s="53"/>
      <c r="AM606" s="228"/>
      <c r="AN606" s="52"/>
      <c r="AO606" s="99"/>
      <c r="AP606" s="53"/>
      <c r="AQ606" s="50">
        <f t="shared" si="237"/>
        <v>0</v>
      </c>
      <c r="AR606" s="163">
        <f t="shared" si="238"/>
        <v>0</v>
      </c>
      <c r="AS606" s="97">
        <f t="shared" si="239"/>
        <v>0</v>
      </c>
      <c r="AT606" s="278">
        <f t="shared" si="240"/>
        <v>0</v>
      </c>
      <c r="AU606" s="55"/>
      <c r="AV606" s="277"/>
      <c r="AW606" s="279"/>
      <c r="AX606" s="52"/>
      <c r="AY606" s="105"/>
      <c r="AZ606" s="98"/>
      <c r="BA606" s="279"/>
      <c r="BB606" s="52"/>
      <c r="BC606" s="105"/>
      <c r="BD606" s="98"/>
      <c r="BE606" s="279"/>
      <c r="BF606" s="52"/>
      <c r="BG606" s="105"/>
      <c r="BH606" s="98"/>
      <c r="BI606" s="279"/>
      <c r="BJ606" s="52"/>
      <c r="BK606" s="105"/>
      <c r="BL606" s="98"/>
      <c r="BM606" s="279"/>
      <c r="BN606" s="52"/>
      <c r="BO606" s="105"/>
      <c r="BP606" s="98"/>
      <c r="BQ606" s="279"/>
      <c r="BR606" s="52"/>
      <c r="BS606" s="105"/>
      <c r="BT606" s="98"/>
      <c r="BU606" s="279"/>
      <c r="BV606" s="52"/>
      <c r="BW606" s="105"/>
      <c r="BX606" s="98"/>
      <c r="BY606" s="279"/>
      <c r="BZ606" s="52"/>
      <c r="CA606" s="105"/>
      <c r="CB606" s="98"/>
      <c r="CC606" s="279"/>
      <c r="CD606" s="52"/>
      <c r="CE606" s="105"/>
      <c r="CF606" s="98"/>
      <c r="CG606" s="279"/>
      <c r="CH606" s="52"/>
      <c r="CI606" s="105"/>
      <c r="CJ606" s="98"/>
      <c r="CK606" s="281"/>
      <c r="CL606" s="277"/>
      <c r="CM606" s="159"/>
      <c r="CN606" s="277"/>
      <c r="CO606" s="50">
        <f t="shared" si="246"/>
        <v>0</v>
      </c>
      <c r="CP606" s="103">
        <f t="shared" si="247"/>
        <v>0</v>
      </c>
      <c r="CQ606" s="280">
        <f t="shared" si="248"/>
        <v>0</v>
      </c>
      <c r="CR606" s="63">
        <f t="shared" si="249"/>
        <v>0</v>
      </c>
      <c r="CS606" s="279"/>
      <c r="CT606" s="52"/>
      <c r="CU606" s="105"/>
      <c r="CV606" s="98"/>
      <c r="CW606" s="279"/>
      <c r="CX606" s="52"/>
      <c r="CY606" s="105"/>
      <c r="CZ606" s="98"/>
      <c r="DA606" s="279"/>
      <c r="DB606" s="52"/>
      <c r="DC606" s="105"/>
      <c r="DD606" s="98"/>
      <c r="DE606" s="279"/>
      <c r="DF606" s="52"/>
      <c r="DG606" s="105"/>
      <c r="DH606" s="98"/>
      <c r="DI606" s="279"/>
      <c r="DJ606" s="52"/>
      <c r="DK606" s="105"/>
      <c r="DL606" s="98"/>
      <c r="DM606" s="279"/>
      <c r="DN606" s="52"/>
      <c r="DO606" s="105"/>
      <c r="DP606" s="98"/>
      <c r="DQ606" s="279"/>
      <c r="DR606" s="52"/>
      <c r="DS606" s="105"/>
      <c r="DT606" s="98"/>
      <c r="DU606" s="279"/>
      <c r="DV606" s="52"/>
      <c r="DW606" s="105"/>
      <c r="DX606" s="98"/>
      <c r="DY606" s="279"/>
      <c r="DZ606" s="52"/>
      <c r="EA606" s="105"/>
      <c r="EB606" s="98"/>
      <c r="EC606" s="279"/>
      <c r="ED606" s="52"/>
      <c r="EE606" s="105"/>
      <c r="EF606" s="98"/>
      <c r="EG606" s="159"/>
      <c r="EH606" s="277"/>
      <c r="EI606" s="50">
        <f t="shared" si="250"/>
        <v>0</v>
      </c>
      <c r="EJ606" s="103">
        <f t="shared" si="251"/>
        <v>0</v>
      </c>
      <c r="EK606" s="164">
        <f t="shared" si="252"/>
        <v>0</v>
      </c>
      <c r="EL606" s="280">
        <f t="shared" si="253"/>
        <v>0</v>
      </c>
      <c r="EM606" s="63">
        <f t="shared" si="254"/>
        <v>0</v>
      </c>
      <c r="EN606" s="359">
        <f t="shared" si="255"/>
        <v>0</v>
      </c>
      <c r="EO606" s="51">
        <f t="shared" si="256"/>
        <v>0</v>
      </c>
      <c r="EP606" s="361">
        <f t="shared" si="257"/>
        <v>0</v>
      </c>
      <c r="EQ606" s="281"/>
      <c r="ER606" s="277"/>
      <c r="ES606" s="281"/>
      <c r="ET606" s="277"/>
      <c r="EU606" s="281"/>
      <c r="EV606" s="277"/>
      <c r="EW606" s="281"/>
      <c r="EX606" s="277"/>
      <c r="EY606" s="281"/>
      <c r="EZ606" s="277"/>
      <c r="FA606" s="281"/>
      <c r="FB606" s="277"/>
      <c r="FC606" s="281"/>
      <c r="FD606" s="277"/>
      <c r="FE606" s="281"/>
      <c r="FF606" s="277"/>
      <c r="FG606" s="281"/>
      <c r="FH606" s="277"/>
      <c r="FI606" s="281"/>
      <c r="FJ606" s="277"/>
      <c r="FK606" s="50">
        <f t="shared" si="258"/>
        <v>0</v>
      </c>
      <c r="FL606" s="63">
        <f t="shared" si="259"/>
        <v>0</v>
      </c>
      <c r="FM606" s="50">
        <f t="shared" si="241"/>
        <v>644</v>
      </c>
      <c r="FN606" s="360">
        <f t="shared" si="242"/>
        <v>671</v>
      </c>
      <c r="FO606" s="43"/>
      <c r="FP606" s="279"/>
      <c r="FQ606" s="467"/>
      <c r="FR606" s="296"/>
      <c r="FS606" s="98"/>
      <c r="FT606" s="467"/>
      <c r="FU606" s="52"/>
      <c r="FV606" s="296"/>
      <c r="FW606" s="98"/>
      <c r="FX606" s="467"/>
      <c r="FY606" s="52"/>
      <c r="FZ606" s="296"/>
      <c r="GA606" s="98"/>
      <c r="GB606" s="467"/>
      <c r="GC606" s="52"/>
      <c r="GD606" s="296"/>
      <c r="GE606" s="98"/>
      <c r="GF606" s="467"/>
      <c r="GG606" s="52"/>
      <c r="GH606" s="296"/>
      <c r="GI606" s="98"/>
      <c r="GJ606" s="467"/>
      <c r="GK606" s="52"/>
      <c r="GL606" s="296"/>
      <c r="GM606" s="464"/>
      <c r="GN606" s="467"/>
      <c r="GO606" s="52"/>
      <c r="GP606" s="296"/>
      <c r="GQ606" s="464"/>
      <c r="GR606" s="467"/>
      <c r="GS606" s="52"/>
      <c r="GT606" s="296"/>
      <c r="GU606" s="464"/>
      <c r="GV606" s="467"/>
      <c r="GW606" s="52"/>
      <c r="GX606" s="296"/>
      <c r="GY606" s="464"/>
      <c r="GZ606" s="467"/>
      <c r="HA606" s="52"/>
      <c r="HB606" s="296"/>
      <c r="HC606" s="43"/>
    </row>
    <row r="607" spans="1:211" s="85" customFormat="1">
      <c r="A607" s="502" t="s">
        <v>951</v>
      </c>
      <c r="B607" s="315" t="s">
        <v>831</v>
      </c>
      <c r="C607" s="314">
        <v>223816</v>
      </c>
      <c r="D607" s="343">
        <v>8</v>
      </c>
      <c r="E607" s="460">
        <v>245</v>
      </c>
      <c r="F607" s="552">
        <v>504</v>
      </c>
      <c r="G607" s="158"/>
      <c r="H607" s="277"/>
      <c r="I607" s="158">
        <v>1145</v>
      </c>
      <c r="J607" s="338">
        <v>1098</v>
      </c>
      <c r="K607" s="160">
        <f t="shared" si="243"/>
        <v>0</v>
      </c>
      <c r="L607" s="161">
        <f t="shared" si="236"/>
        <v>0</v>
      </c>
      <c r="M607" s="54"/>
      <c r="N607" s="55"/>
      <c r="O607" s="55"/>
      <c r="P607" s="55"/>
      <c r="Q607" s="162">
        <f t="shared" si="244"/>
        <v>0</v>
      </c>
      <c r="R607" s="277"/>
      <c r="S607" s="277"/>
      <c r="T607" s="277"/>
      <c r="U607" s="277"/>
      <c r="V607" s="97">
        <f t="shared" si="245"/>
        <v>0</v>
      </c>
      <c r="W607" s="279"/>
      <c r="X607" s="52"/>
      <c r="Y607" s="99"/>
      <c r="Z607" s="53"/>
      <c r="AA607" s="228"/>
      <c r="AB607" s="52"/>
      <c r="AC607" s="99"/>
      <c r="AD607" s="53"/>
      <c r="AE607" s="228"/>
      <c r="AF607" s="52"/>
      <c r="AG607" s="99"/>
      <c r="AH607" s="53"/>
      <c r="AI607" s="228"/>
      <c r="AJ607" s="52"/>
      <c r="AK607" s="99"/>
      <c r="AL607" s="53"/>
      <c r="AM607" s="228"/>
      <c r="AN607" s="52"/>
      <c r="AO607" s="99"/>
      <c r="AP607" s="53"/>
      <c r="AQ607" s="50">
        <f t="shared" si="237"/>
        <v>0</v>
      </c>
      <c r="AR607" s="163">
        <f t="shared" si="238"/>
        <v>0</v>
      </c>
      <c r="AS607" s="97">
        <f t="shared" si="239"/>
        <v>0</v>
      </c>
      <c r="AT607" s="278">
        <f t="shared" si="240"/>
        <v>0</v>
      </c>
      <c r="AU607" s="55"/>
      <c r="AV607" s="277"/>
      <c r="AW607" s="279"/>
      <c r="AX607" s="52"/>
      <c r="AY607" s="105"/>
      <c r="AZ607" s="98"/>
      <c r="BA607" s="279"/>
      <c r="BB607" s="52"/>
      <c r="BC607" s="105"/>
      <c r="BD607" s="98"/>
      <c r="BE607" s="279"/>
      <c r="BF607" s="52"/>
      <c r="BG607" s="105"/>
      <c r="BH607" s="98"/>
      <c r="BI607" s="279"/>
      <c r="BJ607" s="52"/>
      <c r="BK607" s="105"/>
      <c r="BL607" s="98"/>
      <c r="BM607" s="279"/>
      <c r="BN607" s="52"/>
      <c r="BO607" s="105"/>
      <c r="BP607" s="98"/>
      <c r="BQ607" s="279"/>
      <c r="BR607" s="52"/>
      <c r="BS607" s="105"/>
      <c r="BT607" s="98"/>
      <c r="BU607" s="279"/>
      <c r="BV607" s="52"/>
      <c r="BW607" s="105"/>
      <c r="BX607" s="98"/>
      <c r="BY607" s="279"/>
      <c r="BZ607" s="52"/>
      <c r="CA607" s="105"/>
      <c r="CB607" s="98"/>
      <c r="CC607" s="279"/>
      <c r="CD607" s="52"/>
      <c r="CE607" s="105"/>
      <c r="CF607" s="98"/>
      <c r="CG607" s="279"/>
      <c r="CH607" s="52"/>
      <c r="CI607" s="105"/>
      <c r="CJ607" s="98"/>
      <c r="CK607" s="281"/>
      <c r="CL607" s="277"/>
      <c r="CM607" s="159"/>
      <c r="CN607" s="277"/>
      <c r="CO607" s="50">
        <f t="shared" si="246"/>
        <v>0</v>
      </c>
      <c r="CP607" s="103">
        <f t="shared" si="247"/>
        <v>0</v>
      </c>
      <c r="CQ607" s="280">
        <f t="shared" si="248"/>
        <v>0</v>
      </c>
      <c r="CR607" s="63">
        <f t="shared" si="249"/>
        <v>0</v>
      </c>
      <c r="CS607" s="279"/>
      <c r="CT607" s="52"/>
      <c r="CU607" s="105"/>
      <c r="CV607" s="98"/>
      <c r="CW607" s="279"/>
      <c r="CX607" s="52"/>
      <c r="CY607" s="105"/>
      <c r="CZ607" s="98"/>
      <c r="DA607" s="279"/>
      <c r="DB607" s="52"/>
      <c r="DC607" s="105"/>
      <c r="DD607" s="98"/>
      <c r="DE607" s="279"/>
      <c r="DF607" s="52"/>
      <c r="DG607" s="105"/>
      <c r="DH607" s="98"/>
      <c r="DI607" s="279"/>
      <c r="DJ607" s="52"/>
      <c r="DK607" s="105"/>
      <c r="DL607" s="98"/>
      <c r="DM607" s="279"/>
      <c r="DN607" s="52"/>
      <c r="DO607" s="105"/>
      <c r="DP607" s="98"/>
      <c r="DQ607" s="279"/>
      <c r="DR607" s="52"/>
      <c r="DS607" s="105"/>
      <c r="DT607" s="98"/>
      <c r="DU607" s="279"/>
      <c r="DV607" s="52"/>
      <c r="DW607" s="105"/>
      <c r="DX607" s="98"/>
      <c r="DY607" s="279"/>
      <c r="DZ607" s="52"/>
      <c r="EA607" s="105"/>
      <c r="EB607" s="98"/>
      <c r="EC607" s="279"/>
      <c r="ED607" s="52"/>
      <c r="EE607" s="105"/>
      <c r="EF607" s="98"/>
      <c r="EG607" s="159"/>
      <c r="EH607" s="277"/>
      <c r="EI607" s="50">
        <f t="shared" si="250"/>
        <v>0</v>
      </c>
      <c r="EJ607" s="103">
        <f t="shared" si="251"/>
        <v>0</v>
      </c>
      <c r="EK607" s="164">
        <f t="shared" si="252"/>
        <v>0</v>
      </c>
      <c r="EL607" s="280">
        <f t="shared" si="253"/>
        <v>0</v>
      </c>
      <c r="EM607" s="63">
        <f t="shared" si="254"/>
        <v>0</v>
      </c>
      <c r="EN607" s="359">
        <f t="shared" si="255"/>
        <v>0</v>
      </c>
      <c r="EO607" s="51">
        <f t="shared" si="256"/>
        <v>0</v>
      </c>
      <c r="EP607" s="361">
        <f t="shared" si="257"/>
        <v>0</v>
      </c>
      <c r="EQ607" s="281"/>
      <c r="ER607" s="277"/>
      <c r="ES607" s="281"/>
      <c r="ET607" s="277"/>
      <c r="EU607" s="281"/>
      <c r="EV607" s="277"/>
      <c r="EW607" s="281"/>
      <c r="EX607" s="277"/>
      <c r="EY607" s="281"/>
      <c r="EZ607" s="277"/>
      <c r="FA607" s="281"/>
      <c r="FB607" s="277"/>
      <c r="FC607" s="281"/>
      <c r="FD607" s="277"/>
      <c r="FE607" s="281"/>
      <c r="FF607" s="277"/>
      <c r="FG607" s="281"/>
      <c r="FH607" s="277"/>
      <c r="FI607" s="281"/>
      <c r="FJ607" s="277"/>
      <c r="FK607" s="50">
        <f t="shared" si="258"/>
        <v>0</v>
      </c>
      <c r="FL607" s="63">
        <f t="shared" si="259"/>
        <v>0</v>
      </c>
      <c r="FM607" s="50">
        <f t="shared" si="241"/>
        <v>1390</v>
      </c>
      <c r="FN607" s="360">
        <f t="shared" si="242"/>
        <v>1602</v>
      </c>
      <c r="FO607" s="43"/>
      <c r="FP607" s="279"/>
      <c r="FQ607" s="467"/>
      <c r="FR607" s="296"/>
      <c r="FS607" s="98"/>
      <c r="FT607" s="467"/>
      <c r="FU607" s="52"/>
      <c r="FV607" s="296"/>
      <c r="FW607" s="98"/>
      <c r="FX607" s="467"/>
      <c r="FY607" s="52"/>
      <c r="FZ607" s="296"/>
      <c r="GA607" s="98"/>
      <c r="GB607" s="467"/>
      <c r="GC607" s="52"/>
      <c r="GD607" s="296"/>
      <c r="GE607" s="98"/>
      <c r="GF607" s="467"/>
      <c r="GG607" s="52"/>
      <c r="GH607" s="296"/>
      <c r="GI607" s="98"/>
      <c r="GJ607" s="467"/>
      <c r="GK607" s="52"/>
      <c r="GL607" s="296"/>
      <c r="GM607" s="464"/>
      <c r="GN607" s="467"/>
      <c r="GO607" s="52"/>
      <c r="GP607" s="296"/>
      <c r="GQ607" s="464"/>
      <c r="GR607" s="467"/>
      <c r="GS607" s="52"/>
      <c r="GT607" s="296"/>
      <c r="GU607" s="464"/>
      <c r="GV607" s="467"/>
      <c r="GW607" s="52"/>
      <c r="GX607" s="296"/>
      <c r="GY607" s="464"/>
      <c r="GZ607" s="467"/>
      <c r="HA607" s="52"/>
      <c r="HB607" s="296"/>
      <c r="HC607" s="43"/>
    </row>
    <row r="608" spans="1:211" s="85" customFormat="1">
      <c r="A608" s="502" t="s">
        <v>951</v>
      </c>
      <c r="B608" s="315" t="s">
        <v>832</v>
      </c>
      <c r="C608" s="314">
        <v>247834</v>
      </c>
      <c r="D608" s="343">
        <v>8</v>
      </c>
      <c r="E608" s="460">
        <v>268</v>
      </c>
      <c r="F608" s="552">
        <v>250</v>
      </c>
      <c r="G608" s="158"/>
      <c r="H608" s="277"/>
      <c r="I608" s="158">
        <v>1180</v>
      </c>
      <c r="J608" s="338">
        <v>1224</v>
      </c>
      <c r="K608" s="160">
        <f t="shared" si="243"/>
        <v>0</v>
      </c>
      <c r="L608" s="161">
        <f t="shared" si="236"/>
        <v>0</v>
      </c>
      <c r="M608" s="54"/>
      <c r="N608" s="55"/>
      <c r="O608" s="55"/>
      <c r="P608" s="55"/>
      <c r="Q608" s="162">
        <f t="shared" si="244"/>
        <v>0</v>
      </c>
      <c r="R608" s="277"/>
      <c r="S608" s="277"/>
      <c r="T608" s="277"/>
      <c r="U608" s="277"/>
      <c r="V608" s="97">
        <f t="shared" si="245"/>
        <v>0</v>
      </c>
      <c r="W608" s="279"/>
      <c r="X608" s="52"/>
      <c r="Y608" s="99"/>
      <c r="Z608" s="53"/>
      <c r="AA608" s="228"/>
      <c r="AB608" s="52"/>
      <c r="AC608" s="99"/>
      <c r="AD608" s="53"/>
      <c r="AE608" s="228"/>
      <c r="AF608" s="52"/>
      <c r="AG608" s="99"/>
      <c r="AH608" s="53"/>
      <c r="AI608" s="228"/>
      <c r="AJ608" s="52"/>
      <c r="AK608" s="99"/>
      <c r="AL608" s="53"/>
      <c r="AM608" s="228"/>
      <c r="AN608" s="52"/>
      <c r="AO608" s="99"/>
      <c r="AP608" s="53"/>
      <c r="AQ608" s="50">
        <f t="shared" si="237"/>
        <v>0</v>
      </c>
      <c r="AR608" s="163">
        <f t="shared" si="238"/>
        <v>0</v>
      </c>
      <c r="AS608" s="97">
        <f t="shared" si="239"/>
        <v>0</v>
      </c>
      <c r="AT608" s="278">
        <f t="shared" si="240"/>
        <v>0</v>
      </c>
      <c r="AU608" s="55"/>
      <c r="AV608" s="277"/>
      <c r="AW608" s="279"/>
      <c r="AX608" s="52"/>
      <c r="AY608" s="105"/>
      <c r="AZ608" s="98"/>
      <c r="BA608" s="279"/>
      <c r="BB608" s="52"/>
      <c r="BC608" s="105"/>
      <c r="BD608" s="98"/>
      <c r="BE608" s="279"/>
      <c r="BF608" s="52"/>
      <c r="BG608" s="105"/>
      <c r="BH608" s="98"/>
      <c r="BI608" s="279"/>
      <c r="BJ608" s="52"/>
      <c r="BK608" s="105"/>
      <c r="BL608" s="98"/>
      <c r="BM608" s="279"/>
      <c r="BN608" s="52"/>
      <c r="BO608" s="105"/>
      <c r="BP608" s="98"/>
      <c r="BQ608" s="279"/>
      <c r="BR608" s="52"/>
      <c r="BS608" s="105"/>
      <c r="BT608" s="98"/>
      <c r="BU608" s="279"/>
      <c r="BV608" s="52"/>
      <c r="BW608" s="105"/>
      <c r="BX608" s="98"/>
      <c r="BY608" s="279"/>
      <c r="BZ608" s="52"/>
      <c r="CA608" s="105"/>
      <c r="CB608" s="98"/>
      <c r="CC608" s="279"/>
      <c r="CD608" s="52"/>
      <c r="CE608" s="105"/>
      <c r="CF608" s="98"/>
      <c r="CG608" s="279"/>
      <c r="CH608" s="52"/>
      <c r="CI608" s="105"/>
      <c r="CJ608" s="98"/>
      <c r="CK608" s="281"/>
      <c r="CL608" s="277"/>
      <c r="CM608" s="159"/>
      <c r="CN608" s="277"/>
      <c r="CO608" s="50">
        <f t="shared" si="246"/>
        <v>0</v>
      </c>
      <c r="CP608" s="103">
        <f t="shared" si="247"/>
        <v>0</v>
      </c>
      <c r="CQ608" s="280">
        <f t="shared" si="248"/>
        <v>0</v>
      </c>
      <c r="CR608" s="63">
        <f t="shared" si="249"/>
        <v>0</v>
      </c>
      <c r="CS608" s="279"/>
      <c r="CT608" s="52"/>
      <c r="CU608" s="105"/>
      <c r="CV608" s="98"/>
      <c r="CW608" s="279"/>
      <c r="CX608" s="52"/>
      <c r="CY608" s="105"/>
      <c r="CZ608" s="98"/>
      <c r="DA608" s="279"/>
      <c r="DB608" s="52"/>
      <c r="DC608" s="105"/>
      <c r="DD608" s="98"/>
      <c r="DE608" s="279"/>
      <c r="DF608" s="52"/>
      <c r="DG608" s="105"/>
      <c r="DH608" s="98"/>
      <c r="DI608" s="279"/>
      <c r="DJ608" s="52"/>
      <c r="DK608" s="105"/>
      <c r="DL608" s="98"/>
      <c r="DM608" s="279"/>
      <c r="DN608" s="52"/>
      <c r="DO608" s="105"/>
      <c r="DP608" s="98"/>
      <c r="DQ608" s="279"/>
      <c r="DR608" s="52"/>
      <c r="DS608" s="105"/>
      <c r="DT608" s="98"/>
      <c r="DU608" s="279"/>
      <c r="DV608" s="52"/>
      <c r="DW608" s="105"/>
      <c r="DX608" s="98"/>
      <c r="DY608" s="279"/>
      <c r="DZ608" s="52"/>
      <c r="EA608" s="105"/>
      <c r="EB608" s="98"/>
      <c r="EC608" s="279"/>
      <c r="ED608" s="52"/>
      <c r="EE608" s="105"/>
      <c r="EF608" s="98"/>
      <c r="EG608" s="159"/>
      <c r="EH608" s="277"/>
      <c r="EI608" s="50">
        <f t="shared" si="250"/>
        <v>0</v>
      </c>
      <c r="EJ608" s="103">
        <f t="shared" si="251"/>
        <v>0</v>
      </c>
      <c r="EK608" s="164">
        <f t="shared" si="252"/>
        <v>0</v>
      </c>
      <c r="EL608" s="280">
        <f t="shared" si="253"/>
        <v>0</v>
      </c>
      <c r="EM608" s="63">
        <f t="shared" si="254"/>
        <v>0</v>
      </c>
      <c r="EN608" s="359">
        <f t="shared" si="255"/>
        <v>0</v>
      </c>
      <c r="EO608" s="51">
        <f t="shared" si="256"/>
        <v>0</v>
      </c>
      <c r="EP608" s="361">
        <f t="shared" si="257"/>
        <v>0</v>
      </c>
      <c r="EQ608" s="281"/>
      <c r="ER608" s="277"/>
      <c r="ES608" s="281"/>
      <c r="ET608" s="277"/>
      <c r="EU608" s="281"/>
      <c r="EV608" s="277"/>
      <c r="EW608" s="281"/>
      <c r="EX608" s="277"/>
      <c r="EY608" s="281"/>
      <c r="EZ608" s="277"/>
      <c r="FA608" s="281"/>
      <c r="FB608" s="277"/>
      <c r="FC608" s="281"/>
      <c r="FD608" s="277"/>
      <c r="FE608" s="281"/>
      <c r="FF608" s="277"/>
      <c r="FG608" s="281"/>
      <c r="FH608" s="277"/>
      <c r="FI608" s="281"/>
      <c r="FJ608" s="277"/>
      <c r="FK608" s="50">
        <f t="shared" si="258"/>
        <v>0</v>
      </c>
      <c r="FL608" s="63">
        <f t="shared" si="259"/>
        <v>0</v>
      </c>
      <c r="FM608" s="50">
        <f t="shared" si="241"/>
        <v>1448</v>
      </c>
      <c r="FN608" s="360">
        <f t="shared" si="242"/>
        <v>1474</v>
      </c>
      <c r="FO608" s="43"/>
      <c r="FP608" s="279"/>
      <c r="FQ608" s="467"/>
      <c r="FR608" s="296"/>
      <c r="FS608" s="98"/>
      <c r="FT608" s="467"/>
      <c r="FU608" s="52"/>
      <c r="FV608" s="296"/>
      <c r="FW608" s="98"/>
      <c r="FX608" s="467"/>
      <c r="FY608" s="52"/>
      <c r="FZ608" s="296"/>
      <c r="GA608" s="98"/>
      <c r="GB608" s="467"/>
      <c r="GC608" s="52"/>
      <c r="GD608" s="296"/>
      <c r="GE608" s="98"/>
      <c r="GF608" s="467"/>
      <c r="GG608" s="52"/>
      <c r="GH608" s="296"/>
      <c r="GI608" s="98"/>
      <c r="GJ608" s="467"/>
      <c r="GK608" s="52"/>
      <c r="GL608" s="296"/>
      <c r="GM608" s="464"/>
      <c r="GN608" s="467"/>
      <c r="GO608" s="52"/>
      <c r="GP608" s="296"/>
      <c r="GQ608" s="464"/>
      <c r="GR608" s="467"/>
      <c r="GS608" s="52"/>
      <c r="GT608" s="296"/>
      <c r="GU608" s="464"/>
      <c r="GV608" s="467"/>
      <c r="GW608" s="52"/>
      <c r="GX608" s="296"/>
      <c r="GY608" s="464"/>
      <c r="GZ608" s="467"/>
      <c r="HA608" s="52"/>
      <c r="HB608" s="296"/>
      <c r="HC608" s="43"/>
    </row>
    <row r="609" spans="1:211" s="85" customFormat="1">
      <c r="A609" s="502" t="s">
        <v>951</v>
      </c>
      <c r="B609" s="315" t="s">
        <v>833</v>
      </c>
      <c r="C609" s="314">
        <v>224350</v>
      </c>
      <c r="D609" s="343">
        <v>8</v>
      </c>
      <c r="E609" s="460">
        <v>318</v>
      </c>
      <c r="F609" s="552">
        <v>423</v>
      </c>
      <c r="G609" s="158"/>
      <c r="H609" s="277"/>
      <c r="I609" s="158">
        <v>1012</v>
      </c>
      <c r="J609" s="338">
        <v>1109</v>
      </c>
      <c r="K609" s="160">
        <f t="shared" si="243"/>
        <v>0</v>
      </c>
      <c r="L609" s="161">
        <f t="shared" si="236"/>
        <v>0</v>
      </c>
      <c r="M609" s="54"/>
      <c r="N609" s="55"/>
      <c r="O609" s="55"/>
      <c r="P609" s="55"/>
      <c r="Q609" s="162">
        <f t="shared" si="244"/>
        <v>0</v>
      </c>
      <c r="R609" s="277"/>
      <c r="S609" s="277"/>
      <c r="T609" s="277"/>
      <c r="U609" s="277"/>
      <c r="V609" s="97">
        <f t="shared" si="245"/>
        <v>0</v>
      </c>
      <c r="W609" s="279"/>
      <c r="X609" s="52"/>
      <c r="Y609" s="99"/>
      <c r="Z609" s="53"/>
      <c r="AA609" s="228"/>
      <c r="AB609" s="52"/>
      <c r="AC609" s="99"/>
      <c r="AD609" s="53"/>
      <c r="AE609" s="228"/>
      <c r="AF609" s="52"/>
      <c r="AG609" s="99"/>
      <c r="AH609" s="53"/>
      <c r="AI609" s="228"/>
      <c r="AJ609" s="52"/>
      <c r="AK609" s="99"/>
      <c r="AL609" s="53"/>
      <c r="AM609" s="228"/>
      <c r="AN609" s="52"/>
      <c r="AO609" s="99"/>
      <c r="AP609" s="53"/>
      <c r="AQ609" s="50">
        <f t="shared" si="237"/>
        <v>0</v>
      </c>
      <c r="AR609" s="163">
        <f t="shared" si="238"/>
        <v>0</v>
      </c>
      <c r="AS609" s="97">
        <f t="shared" si="239"/>
        <v>0</v>
      </c>
      <c r="AT609" s="278">
        <f t="shared" si="240"/>
        <v>0</v>
      </c>
      <c r="AU609" s="55"/>
      <c r="AV609" s="277"/>
      <c r="AW609" s="279"/>
      <c r="AX609" s="52"/>
      <c r="AY609" s="105"/>
      <c r="AZ609" s="98"/>
      <c r="BA609" s="279"/>
      <c r="BB609" s="52"/>
      <c r="BC609" s="105"/>
      <c r="BD609" s="98"/>
      <c r="BE609" s="279"/>
      <c r="BF609" s="52"/>
      <c r="BG609" s="105"/>
      <c r="BH609" s="98"/>
      <c r="BI609" s="279"/>
      <c r="BJ609" s="52"/>
      <c r="BK609" s="105"/>
      <c r="BL609" s="98"/>
      <c r="BM609" s="279"/>
      <c r="BN609" s="52"/>
      <c r="BO609" s="105"/>
      <c r="BP609" s="98"/>
      <c r="BQ609" s="279"/>
      <c r="BR609" s="52"/>
      <c r="BS609" s="105"/>
      <c r="BT609" s="98"/>
      <c r="BU609" s="279"/>
      <c r="BV609" s="52"/>
      <c r="BW609" s="105"/>
      <c r="BX609" s="98"/>
      <c r="BY609" s="279"/>
      <c r="BZ609" s="52"/>
      <c r="CA609" s="105"/>
      <c r="CB609" s="98"/>
      <c r="CC609" s="279"/>
      <c r="CD609" s="52"/>
      <c r="CE609" s="105"/>
      <c r="CF609" s="98"/>
      <c r="CG609" s="279"/>
      <c r="CH609" s="52"/>
      <c r="CI609" s="105"/>
      <c r="CJ609" s="98"/>
      <c r="CK609" s="281"/>
      <c r="CL609" s="277"/>
      <c r="CM609" s="159"/>
      <c r="CN609" s="277"/>
      <c r="CO609" s="50">
        <f t="shared" si="246"/>
        <v>0</v>
      </c>
      <c r="CP609" s="103">
        <f t="shared" si="247"/>
        <v>0</v>
      </c>
      <c r="CQ609" s="280">
        <f t="shared" si="248"/>
        <v>0</v>
      </c>
      <c r="CR609" s="63">
        <f t="shared" si="249"/>
        <v>0</v>
      </c>
      <c r="CS609" s="279"/>
      <c r="CT609" s="52"/>
      <c r="CU609" s="105"/>
      <c r="CV609" s="98"/>
      <c r="CW609" s="279"/>
      <c r="CX609" s="52"/>
      <c r="CY609" s="105"/>
      <c r="CZ609" s="98"/>
      <c r="DA609" s="279"/>
      <c r="DB609" s="52"/>
      <c r="DC609" s="105"/>
      <c r="DD609" s="98"/>
      <c r="DE609" s="279"/>
      <c r="DF609" s="52"/>
      <c r="DG609" s="105"/>
      <c r="DH609" s="98"/>
      <c r="DI609" s="279"/>
      <c r="DJ609" s="52"/>
      <c r="DK609" s="105"/>
      <c r="DL609" s="98"/>
      <c r="DM609" s="279"/>
      <c r="DN609" s="52"/>
      <c r="DO609" s="105"/>
      <c r="DP609" s="98"/>
      <c r="DQ609" s="279"/>
      <c r="DR609" s="52"/>
      <c r="DS609" s="105"/>
      <c r="DT609" s="98"/>
      <c r="DU609" s="279"/>
      <c r="DV609" s="52"/>
      <c r="DW609" s="105"/>
      <c r="DX609" s="98"/>
      <c r="DY609" s="279"/>
      <c r="DZ609" s="52"/>
      <c r="EA609" s="105"/>
      <c r="EB609" s="98"/>
      <c r="EC609" s="279"/>
      <c r="ED609" s="52"/>
      <c r="EE609" s="105"/>
      <c r="EF609" s="98"/>
      <c r="EG609" s="159"/>
      <c r="EH609" s="277"/>
      <c r="EI609" s="50">
        <f t="shared" si="250"/>
        <v>0</v>
      </c>
      <c r="EJ609" s="103">
        <f t="shared" si="251"/>
        <v>0</v>
      </c>
      <c r="EK609" s="164">
        <f t="shared" si="252"/>
        <v>0</v>
      </c>
      <c r="EL609" s="280">
        <f t="shared" si="253"/>
        <v>0</v>
      </c>
      <c r="EM609" s="63">
        <f t="shared" si="254"/>
        <v>0</v>
      </c>
      <c r="EN609" s="359">
        <f t="shared" si="255"/>
        <v>0</v>
      </c>
      <c r="EO609" s="51">
        <f t="shared" si="256"/>
        <v>0</v>
      </c>
      <c r="EP609" s="361">
        <f t="shared" si="257"/>
        <v>0</v>
      </c>
      <c r="EQ609" s="281"/>
      <c r="ER609" s="277"/>
      <c r="ES609" s="281"/>
      <c r="ET609" s="277"/>
      <c r="EU609" s="281"/>
      <c r="EV609" s="277"/>
      <c r="EW609" s="281"/>
      <c r="EX609" s="277"/>
      <c r="EY609" s="281"/>
      <c r="EZ609" s="277"/>
      <c r="FA609" s="281"/>
      <c r="FB609" s="277"/>
      <c r="FC609" s="281"/>
      <c r="FD609" s="277"/>
      <c r="FE609" s="281"/>
      <c r="FF609" s="277"/>
      <c r="FG609" s="281"/>
      <c r="FH609" s="277"/>
      <c r="FI609" s="281"/>
      <c r="FJ609" s="277"/>
      <c r="FK609" s="50">
        <f t="shared" si="258"/>
        <v>0</v>
      </c>
      <c r="FL609" s="63">
        <f t="shared" si="259"/>
        <v>0</v>
      </c>
      <c r="FM609" s="50">
        <f t="shared" si="241"/>
        <v>1330</v>
      </c>
      <c r="FN609" s="360">
        <f t="shared" si="242"/>
        <v>1532</v>
      </c>
      <c r="FO609" s="43"/>
      <c r="FP609" s="279"/>
      <c r="FQ609" s="467"/>
      <c r="FR609" s="296"/>
      <c r="FS609" s="98"/>
      <c r="FT609" s="467"/>
      <c r="FU609" s="52"/>
      <c r="FV609" s="296"/>
      <c r="FW609" s="98"/>
      <c r="FX609" s="467"/>
      <c r="FY609" s="52"/>
      <c r="FZ609" s="296"/>
      <c r="GA609" s="98"/>
      <c r="GB609" s="467"/>
      <c r="GC609" s="52"/>
      <c r="GD609" s="296"/>
      <c r="GE609" s="98"/>
      <c r="GF609" s="467"/>
      <c r="GG609" s="52"/>
      <c r="GH609" s="296"/>
      <c r="GI609" s="98"/>
      <c r="GJ609" s="467"/>
      <c r="GK609" s="52"/>
      <c r="GL609" s="296"/>
      <c r="GM609" s="464"/>
      <c r="GN609" s="467"/>
      <c r="GO609" s="52"/>
      <c r="GP609" s="296"/>
      <c r="GQ609" s="464"/>
      <c r="GR609" s="467"/>
      <c r="GS609" s="52"/>
      <c r="GT609" s="296"/>
      <c r="GU609" s="464"/>
      <c r="GV609" s="467"/>
      <c r="GW609" s="52"/>
      <c r="GX609" s="296"/>
      <c r="GY609" s="464"/>
      <c r="GZ609" s="467"/>
      <c r="HA609" s="52"/>
      <c r="HB609" s="296"/>
      <c r="HC609" s="43"/>
    </row>
    <row r="610" spans="1:211" s="85" customFormat="1">
      <c r="A610" s="502" t="s">
        <v>951</v>
      </c>
      <c r="B610" s="315" t="s">
        <v>834</v>
      </c>
      <c r="C610" s="314">
        <v>224572</v>
      </c>
      <c r="D610" s="343">
        <v>8</v>
      </c>
      <c r="E610" s="460">
        <v>317</v>
      </c>
      <c r="F610" s="552">
        <v>235</v>
      </c>
      <c r="G610" s="158"/>
      <c r="H610" s="277"/>
      <c r="I610" s="158">
        <v>437</v>
      </c>
      <c r="J610" s="551">
        <v>399</v>
      </c>
      <c r="K610" s="160">
        <f t="shared" si="243"/>
        <v>0</v>
      </c>
      <c r="L610" s="161">
        <f t="shared" si="236"/>
        <v>0</v>
      </c>
      <c r="M610" s="54"/>
      <c r="N610" s="55"/>
      <c r="O610" s="55"/>
      <c r="P610" s="55"/>
      <c r="Q610" s="162">
        <f t="shared" si="244"/>
        <v>0</v>
      </c>
      <c r="R610" s="277"/>
      <c r="S610" s="277"/>
      <c r="T610" s="277"/>
      <c r="U610" s="277"/>
      <c r="V610" s="97">
        <f t="shared" si="245"/>
        <v>0</v>
      </c>
      <c r="W610" s="279"/>
      <c r="X610" s="52"/>
      <c r="Y610" s="99"/>
      <c r="Z610" s="53"/>
      <c r="AA610" s="228"/>
      <c r="AB610" s="52"/>
      <c r="AC610" s="99"/>
      <c r="AD610" s="53"/>
      <c r="AE610" s="228"/>
      <c r="AF610" s="52"/>
      <c r="AG610" s="99"/>
      <c r="AH610" s="53"/>
      <c r="AI610" s="228"/>
      <c r="AJ610" s="52"/>
      <c r="AK610" s="99"/>
      <c r="AL610" s="53"/>
      <c r="AM610" s="228"/>
      <c r="AN610" s="52"/>
      <c r="AO610" s="99"/>
      <c r="AP610" s="53"/>
      <c r="AQ610" s="50">
        <f t="shared" si="237"/>
        <v>0</v>
      </c>
      <c r="AR610" s="163">
        <f t="shared" si="238"/>
        <v>0</v>
      </c>
      <c r="AS610" s="97">
        <f t="shared" si="239"/>
        <v>0</v>
      </c>
      <c r="AT610" s="278">
        <f t="shared" si="240"/>
        <v>0</v>
      </c>
      <c r="AU610" s="55"/>
      <c r="AV610" s="277"/>
      <c r="AW610" s="279"/>
      <c r="AX610" s="52"/>
      <c r="AY610" s="105"/>
      <c r="AZ610" s="98"/>
      <c r="BA610" s="279"/>
      <c r="BB610" s="52"/>
      <c r="BC610" s="105"/>
      <c r="BD610" s="98"/>
      <c r="BE610" s="279"/>
      <c r="BF610" s="52"/>
      <c r="BG610" s="105"/>
      <c r="BH610" s="98"/>
      <c r="BI610" s="279"/>
      <c r="BJ610" s="52"/>
      <c r="BK610" s="105"/>
      <c r="BL610" s="98"/>
      <c r="BM610" s="279"/>
      <c r="BN610" s="52"/>
      <c r="BO610" s="105"/>
      <c r="BP610" s="98"/>
      <c r="BQ610" s="279"/>
      <c r="BR610" s="52"/>
      <c r="BS610" s="105"/>
      <c r="BT610" s="98"/>
      <c r="BU610" s="279"/>
      <c r="BV610" s="52"/>
      <c r="BW610" s="105"/>
      <c r="BX610" s="98"/>
      <c r="BY610" s="279"/>
      <c r="BZ610" s="52"/>
      <c r="CA610" s="105"/>
      <c r="CB610" s="98"/>
      <c r="CC610" s="279"/>
      <c r="CD610" s="52"/>
      <c r="CE610" s="105"/>
      <c r="CF610" s="98"/>
      <c r="CG610" s="279"/>
      <c r="CH610" s="52"/>
      <c r="CI610" s="105"/>
      <c r="CJ610" s="98"/>
      <c r="CK610" s="281"/>
      <c r="CL610" s="277"/>
      <c r="CM610" s="159"/>
      <c r="CN610" s="277"/>
      <c r="CO610" s="50">
        <f t="shared" si="246"/>
        <v>0</v>
      </c>
      <c r="CP610" s="103">
        <f t="shared" si="247"/>
        <v>0</v>
      </c>
      <c r="CQ610" s="280">
        <f t="shared" si="248"/>
        <v>0</v>
      </c>
      <c r="CR610" s="63">
        <f t="shared" si="249"/>
        <v>0</v>
      </c>
      <c r="CS610" s="279"/>
      <c r="CT610" s="52"/>
      <c r="CU610" s="105"/>
      <c r="CV610" s="98"/>
      <c r="CW610" s="279"/>
      <c r="CX610" s="52"/>
      <c r="CY610" s="105"/>
      <c r="CZ610" s="98"/>
      <c r="DA610" s="279"/>
      <c r="DB610" s="52"/>
      <c r="DC610" s="105"/>
      <c r="DD610" s="98"/>
      <c r="DE610" s="279"/>
      <c r="DF610" s="52"/>
      <c r="DG610" s="105"/>
      <c r="DH610" s="98"/>
      <c r="DI610" s="279"/>
      <c r="DJ610" s="52"/>
      <c r="DK610" s="105"/>
      <c r="DL610" s="98"/>
      <c r="DM610" s="279"/>
      <c r="DN610" s="52"/>
      <c r="DO610" s="105"/>
      <c r="DP610" s="98"/>
      <c r="DQ610" s="279"/>
      <c r="DR610" s="52"/>
      <c r="DS610" s="105"/>
      <c r="DT610" s="98"/>
      <c r="DU610" s="279"/>
      <c r="DV610" s="52"/>
      <c r="DW610" s="105"/>
      <c r="DX610" s="98"/>
      <c r="DY610" s="279"/>
      <c r="DZ610" s="52"/>
      <c r="EA610" s="105"/>
      <c r="EB610" s="98"/>
      <c r="EC610" s="279"/>
      <c r="ED610" s="52"/>
      <c r="EE610" s="105"/>
      <c r="EF610" s="98"/>
      <c r="EG610" s="159"/>
      <c r="EH610" s="277"/>
      <c r="EI610" s="50">
        <f t="shared" si="250"/>
        <v>0</v>
      </c>
      <c r="EJ610" s="103">
        <f t="shared" si="251"/>
        <v>0</v>
      </c>
      <c r="EK610" s="164">
        <f t="shared" si="252"/>
        <v>0</v>
      </c>
      <c r="EL610" s="280">
        <f t="shared" si="253"/>
        <v>0</v>
      </c>
      <c r="EM610" s="63">
        <f t="shared" si="254"/>
        <v>0</v>
      </c>
      <c r="EN610" s="359">
        <f t="shared" si="255"/>
        <v>0</v>
      </c>
      <c r="EO610" s="51">
        <f t="shared" si="256"/>
        <v>0</v>
      </c>
      <c r="EP610" s="361">
        <f t="shared" si="257"/>
        <v>0</v>
      </c>
      <c r="EQ610" s="281"/>
      <c r="ER610" s="277"/>
      <c r="ES610" s="281"/>
      <c r="ET610" s="277"/>
      <c r="EU610" s="281"/>
      <c r="EV610" s="277"/>
      <c r="EW610" s="281"/>
      <c r="EX610" s="277"/>
      <c r="EY610" s="281"/>
      <c r="EZ610" s="277"/>
      <c r="FA610" s="281"/>
      <c r="FB610" s="277"/>
      <c r="FC610" s="281"/>
      <c r="FD610" s="277"/>
      <c r="FE610" s="281"/>
      <c r="FF610" s="277"/>
      <c r="FG610" s="281"/>
      <c r="FH610" s="277"/>
      <c r="FI610" s="281"/>
      <c r="FJ610" s="277"/>
      <c r="FK610" s="50">
        <f t="shared" si="258"/>
        <v>0</v>
      </c>
      <c r="FL610" s="63">
        <f t="shared" si="259"/>
        <v>0</v>
      </c>
      <c r="FM610" s="50">
        <f t="shared" si="241"/>
        <v>754</v>
      </c>
      <c r="FN610" s="360">
        <f t="shared" si="242"/>
        <v>634</v>
      </c>
      <c r="FO610" s="43"/>
      <c r="FP610" s="279"/>
      <c r="FQ610" s="467"/>
      <c r="FR610" s="296"/>
      <c r="FS610" s="98"/>
      <c r="FT610" s="467"/>
      <c r="FU610" s="52"/>
      <c r="FV610" s="296"/>
      <c r="FW610" s="98"/>
      <c r="FX610" s="467"/>
      <c r="FY610" s="52"/>
      <c r="FZ610" s="296"/>
      <c r="GA610" s="98"/>
      <c r="GB610" s="467"/>
      <c r="GC610" s="52"/>
      <c r="GD610" s="296"/>
      <c r="GE610" s="98"/>
      <c r="GF610" s="467"/>
      <c r="GG610" s="52"/>
      <c r="GH610" s="296"/>
      <c r="GI610" s="98"/>
      <c r="GJ610" s="467"/>
      <c r="GK610" s="52"/>
      <c r="GL610" s="296"/>
      <c r="GM610" s="464"/>
      <c r="GN610" s="467"/>
      <c r="GO610" s="52"/>
      <c r="GP610" s="296"/>
      <c r="GQ610" s="464"/>
      <c r="GR610" s="467"/>
      <c r="GS610" s="52"/>
      <c r="GT610" s="296"/>
      <c r="GU610" s="464"/>
      <c r="GV610" s="467"/>
      <c r="GW610" s="52"/>
      <c r="GX610" s="296"/>
      <c r="GY610" s="464"/>
      <c r="GZ610" s="467"/>
      <c r="HA610" s="52"/>
      <c r="HB610" s="296"/>
      <c r="HC610" s="43"/>
    </row>
    <row r="611" spans="1:211" s="85" customFormat="1">
      <c r="A611" s="502" t="s">
        <v>951</v>
      </c>
      <c r="B611" s="315" t="s">
        <v>835</v>
      </c>
      <c r="C611" s="314">
        <v>224642</v>
      </c>
      <c r="D611" s="343">
        <v>8</v>
      </c>
      <c r="E611" s="460">
        <v>412</v>
      </c>
      <c r="F611" s="552">
        <v>436</v>
      </c>
      <c r="G611" s="158"/>
      <c r="H611" s="277"/>
      <c r="I611" s="158">
        <v>1762</v>
      </c>
      <c r="J611" s="551">
        <v>2089</v>
      </c>
      <c r="K611" s="160">
        <f t="shared" si="243"/>
        <v>0</v>
      </c>
      <c r="L611" s="161">
        <f t="shared" si="236"/>
        <v>0</v>
      </c>
      <c r="M611" s="54"/>
      <c r="N611" s="55"/>
      <c r="O611" s="55"/>
      <c r="P611" s="55"/>
      <c r="Q611" s="162">
        <f t="shared" si="244"/>
        <v>0</v>
      </c>
      <c r="R611" s="277"/>
      <c r="S611" s="277"/>
      <c r="T611" s="277"/>
      <c r="U611" s="277"/>
      <c r="V611" s="97">
        <f t="shared" si="245"/>
        <v>0</v>
      </c>
      <c r="W611" s="279"/>
      <c r="X611" s="52"/>
      <c r="Y611" s="99"/>
      <c r="Z611" s="53"/>
      <c r="AA611" s="228"/>
      <c r="AB611" s="52"/>
      <c r="AC611" s="99"/>
      <c r="AD611" s="53"/>
      <c r="AE611" s="228"/>
      <c r="AF611" s="52"/>
      <c r="AG611" s="99"/>
      <c r="AH611" s="53"/>
      <c r="AI611" s="228"/>
      <c r="AJ611" s="52"/>
      <c r="AK611" s="99"/>
      <c r="AL611" s="53"/>
      <c r="AM611" s="228"/>
      <c r="AN611" s="52"/>
      <c r="AO611" s="99"/>
      <c r="AP611" s="53"/>
      <c r="AQ611" s="50">
        <f t="shared" si="237"/>
        <v>0</v>
      </c>
      <c r="AR611" s="163">
        <f t="shared" si="238"/>
        <v>0</v>
      </c>
      <c r="AS611" s="97">
        <f t="shared" si="239"/>
        <v>0</v>
      </c>
      <c r="AT611" s="278">
        <f t="shared" si="240"/>
        <v>0</v>
      </c>
      <c r="AU611" s="55"/>
      <c r="AV611" s="277"/>
      <c r="AW611" s="279"/>
      <c r="AX611" s="52"/>
      <c r="AY611" s="105"/>
      <c r="AZ611" s="98"/>
      <c r="BA611" s="279"/>
      <c r="BB611" s="52"/>
      <c r="BC611" s="105"/>
      <c r="BD611" s="98"/>
      <c r="BE611" s="279"/>
      <c r="BF611" s="52"/>
      <c r="BG611" s="105"/>
      <c r="BH611" s="98"/>
      <c r="BI611" s="279"/>
      <c r="BJ611" s="52"/>
      <c r="BK611" s="105"/>
      <c r="BL611" s="98"/>
      <c r="BM611" s="279"/>
      <c r="BN611" s="52"/>
      <c r="BO611" s="105"/>
      <c r="BP611" s="98"/>
      <c r="BQ611" s="279"/>
      <c r="BR611" s="52"/>
      <c r="BS611" s="105"/>
      <c r="BT611" s="98"/>
      <c r="BU611" s="279"/>
      <c r="BV611" s="52"/>
      <c r="BW611" s="105"/>
      <c r="BX611" s="98"/>
      <c r="BY611" s="279"/>
      <c r="BZ611" s="52"/>
      <c r="CA611" s="105"/>
      <c r="CB611" s="98"/>
      <c r="CC611" s="279"/>
      <c r="CD611" s="52"/>
      <c r="CE611" s="105"/>
      <c r="CF611" s="98"/>
      <c r="CG611" s="279"/>
      <c r="CH611" s="52"/>
      <c r="CI611" s="105"/>
      <c r="CJ611" s="98"/>
      <c r="CK611" s="281"/>
      <c r="CL611" s="277"/>
      <c r="CM611" s="159"/>
      <c r="CN611" s="277"/>
      <c r="CO611" s="50">
        <f t="shared" si="246"/>
        <v>0</v>
      </c>
      <c r="CP611" s="103">
        <f t="shared" si="247"/>
        <v>0</v>
      </c>
      <c r="CQ611" s="280">
        <f t="shared" si="248"/>
        <v>0</v>
      </c>
      <c r="CR611" s="63">
        <f t="shared" si="249"/>
        <v>0</v>
      </c>
      <c r="CS611" s="279"/>
      <c r="CT611" s="52"/>
      <c r="CU611" s="105"/>
      <c r="CV611" s="98"/>
      <c r="CW611" s="279"/>
      <c r="CX611" s="52"/>
      <c r="CY611" s="105"/>
      <c r="CZ611" s="98"/>
      <c r="DA611" s="279"/>
      <c r="DB611" s="52"/>
      <c r="DC611" s="105"/>
      <c r="DD611" s="98"/>
      <c r="DE611" s="279"/>
      <c r="DF611" s="52"/>
      <c r="DG611" s="105"/>
      <c r="DH611" s="98"/>
      <c r="DI611" s="279"/>
      <c r="DJ611" s="52"/>
      <c r="DK611" s="105"/>
      <c r="DL611" s="98"/>
      <c r="DM611" s="279"/>
      <c r="DN611" s="52"/>
      <c r="DO611" s="105"/>
      <c r="DP611" s="98"/>
      <c r="DQ611" s="279"/>
      <c r="DR611" s="52"/>
      <c r="DS611" s="105"/>
      <c r="DT611" s="98"/>
      <c r="DU611" s="279"/>
      <c r="DV611" s="52"/>
      <c r="DW611" s="105"/>
      <c r="DX611" s="98"/>
      <c r="DY611" s="279"/>
      <c r="DZ611" s="52"/>
      <c r="EA611" s="105"/>
      <c r="EB611" s="98"/>
      <c r="EC611" s="279"/>
      <c r="ED611" s="52"/>
      <c r="EE611" s="105"/>
      <c r="EF611" s="98"/>
      <c r="EG611" s="159"/>
      <c r="EH611" s="277"/>
      <c r="EI611" s="50">
        <f t="shared" si="250"/>
        <v>0</v>
      </c>
      <c r="EJ611" s="103">
        <f t="shared" si="251"/>
        <v>0</v>
      </c>
      <c r="EK611" s="164">
        <f t="shared" si="252"/>
        <v>0</v>
      </c>
      <c r="EL611" s="280">
        <f t="shared" si="253"/>
        <v>0</v>
      </c>
      <c r="EM611" s="63">
        <f t="shared" si="254"/>
        <v>0</v>
      </c>
      <c r="EN611" s="359">
        <f t="shared" si="255"/>
        <v>0</v>
      </c>
      <c r="EO611" s="51">
        <f t="shared" si="256"/>
        <v>0</v>
      </c>
      <c r="EP611" s="361">
        <f t="shared" si="257"/>
        <v>0</v>
      </c>
      <c r="EQ611" s="281"/>
      <c r="ER611" s="277"/>
      <c r="ES611" s="281"/>
      <c r="ET611" s="277"/>
      <c r="EU611" s="281"/>
      <c r="EV611" s="277"/>
      <c r="EW611" s="281"/>
      <c r="EX611" s="277"/>
      <c r="EY611" s="281"/>
      <c r="EZ611" s="277"/>
      <c r="FA611" s="281"/>
      <c r="FB611" s="277"/>
      <c r="FC611" s="281"/>
      <c r="FD611" s="277"/>
      <c r="FE611" s="281"/>
      <c r="FF611" s="277"/>
      <c r="FG611" s="281"/>
      <c r="FH611" s="277"/>
      <c r="FI611" s="281"/>
      <c r="FJ611" s="277"/>
      <c r="FK611" s="50">
        <f t="shared" si="258"/>
        <v>0</v>
      </c>
      <c r="FL611" s="63">
        <f t="shared" si="259"/>
        <v>0</v>
      </c>
      <c r="FM611" s="50">
        <f t="shared" si="241"/>
        <v>2174</v>
      </c>
      <c r="FN611" s="360">
        <f t="shared" si="242"/>
        <v>2525</v>
      </c>
      <c r="FO611" s="43"/>
      <c r="FP611" s="279"/>
      <c r="FQ611" s="467"/>
      <c r="FR611" s="296"/>
      <c r="FS611" s="98"/>
      <c r="FT611" s="467"/>
      <c r="FU611" s="52"/>
      <c r="FV611" s="296"/>
      <c r="FW611" s="98"/>
      <c r="FX611" s="467"/>
      <c r="FY611" s="52"/>
      <c r="FZ611" s="296"/>
      <c r="GA611" s="98"/>
      <c r="GB611" s="467"/>
      <c r="GC611" s="52"/>
      <c r="GD611" s="296"/>
      <c r="GE611" s="98"/>
      <c r="GF611" s="467"/>
      <c r="GG611" s="52"/>
      <c r="GH611" s="296"/>
      <c r="GI611" s="98"/>
      <c r="GJ611" s="467"/>
      <c r="GK611" s="52"/>
      <c r="GL611" s="296"/>
      <c r="GM611" s="464"/>
      <c r="GN611" s="467"/>
      <c r="GO611" s="52"/>
      <c r="GP611" s="296"/>
      <c r="GQ611" s="464"/>
      <c r="GR611" s="467"/>
      <c r="GS611" s="52"/>
      <c r="GT611" s="296"/>
      <c r="GU611" s="464"/>
      <c r="GV611" s="467"/>
      <c r="GW611" s="52"/>
      <c r="GX611" s="296"/>
      <c r="GY611" s="464"/>
      <c r="GZ611" s="467"/>
      <c r="HA611" s="52"/>
      <c r="HB611" s="296"/>
      <c r="HC611" s="43"/>
    </row>
    <row r="612" spans="1:211" s="85" customFormat="1">
      <c r="A612" s="502" t="s">
        <v>951</v>
      </c>
      <c r="B612" s="315" t="s">
        <v>836</v>
      </c>
      <c r="C612" s="314">
        <v>225423</v>
      </c>
      <c r="D612" s="343">
        <v>8</v>
      </c>
      <c r="E612" s="460">
        <v>1151</v>
      </c>
      <c r="F612" s="552">
        <v>1204</v>
      </c>
      <c r="G612" s="158"/>
      <c r="H612" s="277"/>
      <c r="I612" s="158">
        <v>2360</v>
      </c>
      <c r="J612" s="551">
        <v>2722</v>
      </c>
      <c r="K612" s="160">
        <f t="shared" si="243"/>
        <v>0</v>
      </c>
      <c r="L612" s="161">
        <f t="shared" si="236"/>
        <v>0</v>
      </c>
      <c r="M612" s="54"/>
      <c r="N612" s="55"/>
      <c r="O612" s="55"/>
      <c r="P612" s="55"/>
      <c r="Q612" s="162">
        <f t="shared" si="244"/>
        <v>0</v>
      </c>
      <c r="R612" s="277"/>
      <c r="S612" s="277"/>
      <c r="T612" s="277"/>
      <c r="U612" s="277"/>
      <c r="V612" s="97">
        <f t="shared" si="245"/>
        <v>0</v>
      </c>
      <c r="W612" s="279"/>
      <c r="X612" s="52"/>
      <c r="Y612" s="99"/>
      <c r="Z612" s="53"/>
      <c r="AA612" s="228"/>
      <c r="AB612" s="52"/>
      <c r="AC612" s="99"/>
      <c r="AD612" s="53"/>
      <c r="AE612" s="228"/>
      <c r="AF612" s="52"/>
      <c r="AG612" s="99"/>
      <c r="AH612" s="53"/>
      <c r="AI612" s="228"/>
      <c r="AJ612" s="52"/>
      <c r="AK612" s="99"/>
      <c r="AL612" s="53"/>
      <c r="AM612" s="228"/>
      <c r="AN612" s="52"/>
      <c r="AO612" s="99"/>
      <c r="AP612" s="53"/>
      <c r="AQ612" s="50">
        <f t="shared" si="237"/>
        <v>0</v>
      </c>
      <c r="AR612" s="163">
        <f t="shared" si="238"/>
        <v>0</v>
      </c>
      <c r="AS612" s="97">
        <f t="shared" si="239"/>
        <v>0</v>
      </c>
      <c r="AT612" s="278">
        <f t="shared" si="240"/>
        <v>0</v>
      </c>
      <c r="AU612" s="55"/>
      <c r="AV612" s="277"/>
      <c r="AW612" s="279"/>
      <c r="AX612" s="52"/>
      <c r="AY612" s="105"/>
      <c r="AZ612" s="98"/>
      <c r="BA612" s="279"/>
      <c r="BB612" s="52"/>
      <c r="BC612" s="105"/>
      <c r="BD612" s="98"/>
      <c r="BE612" s="279"/>
      <c r="BF612" s="52"/>
      <c r="BG612" s="105"/>
      <c r="BH612" s="98"/>
      <c r="BI612" s="279"/>
      <c r="BJ612" s="52"/>
      <c r="BK612" s="105"/>
      <c r="BL612" s="98"/>
      <c r="BM612" s="279"/>
      <c r="BN612" s="52"/>
      <c r="BO612" s="105"/>
      <c r="BP612" s="98"/>
      <c r="BQ612" s="279"/>
      <c r="BR612" s="52"/>
      <c r="BS612" s="105"/>
      <c r="BT612" s="98"/>
      <c r="BU612" s="279"/>
      <c r="BV612" s="52"/>
      <c r="BW612" s="105"/>
      <c r="BX612" s="98"/>
      <c r="BY612" s="279"/>
      <c r="BZ612" s="52"/>
      <c r="CA612" s="105"/>
      <c r="CB612" s="98"/>
      <c r="CC612" s="279"/>
      <c r="CD612" s="52"/>
      <c r="CE612" s="105"/>
      <c r="CF612" s="98"/>
      <c r="CG612" s="279"/>
      <c r="CH612" s="52"/>
      <c r="CI612" s="105"/>
      <c r="CJ612" s="98"/>
      <c r="CK612" s="281"/>
      <c r="CL612" s="277"/>
      <c r="CM612" s="159"/>
      <c r="CN612" s="277"/>
      <c r="CO612" s="50">
        <f t="shared" si="246"/>
        <v>0</v>
      </c>
      <c r="CP612" s="103">
        <f t="shared" si="247"/>
        <v>0</v>
      </c>
      <c r="CQ612" s="280">
        <f t="shared" si="248"/>
        <v>0</v>
      </c>
      <c r="CR612" s="63">
        <f t="shared" si="249"/>
        <v>0</v>
      </c>
      <c r="CS612" s="279"/>
      <c r="CT612" s="52"/>
      <c r="CU612" s="105"/>
      <c r="CV612" s="98"/>
      <c r="CW612" s="279"/>
      <c r="CX612" s="52"/>
      <c r="CY612" s="105"/>
      <c r="CZ612" s="98"/>
      <c r="DA612" s="279"/>
      <c r="DB612" s="52"/>
      <c r="DC612" s="105"/>
      <c r="DD612" s="98"/>
      <c r="DE612" s="279"/>
      <c r="DF612" s="52"/>
      <c r="DG612" s="105"/>
      <c r="DH612" s="98"/>
      <c r="DI612" s="279"/>
      <c r="DJ612" s="52"/>
      <c r="DK612" s="105"/>
      <c r="DL612" s="98"/>
      <c r="DM612" s="279"/>
      <c r="DN612" s="52"/>
      <c r="DO612" s="105"/>
      <c r="DP612" s="98"/>
      <c r="DQ612" s="279"/>
      <c r="DR612" s="52"/>
      <c r="DS612" s="105"/>
      <c r="DT612" s="98"/>
      <c r="DU612" s="279"/>
      <c r="DV612" s="52"/>
      <c r="DW612" s="105"/>
      <c r="DX612" s="98"/>
      <c r="DY612" s="279"/>
      <c r="DZ612" s="52"/>
      <c r="EA612" s="105"/>
      <c r="EB612" s="98"/>
      <c r="EC612" s="279"/>
      <c r="ED612" s="52"/>
      <c r="EE612" s="105"/>
      <c r="EF612" s="98"/>
      <c r="EG612" s="159"/>
      <c r="EH612" s="277"/>
      <c r="EI612" s="50">
        <f t="shared" si="250"/>
        <v>0</v>
      </c>
      <c r="EJ612" s="103">
        <f t="shared" si="251"/>
        <v>0</v>
      </c>
      <c r="EK612" s="164">
        <f t="shared" si="252"/>
        <v>0</v>
      </c>
      <c r="EL612" s="280">
        <f t="shared" si="253"/>
        <v>0</v>
      </c>
      <c r="EM612" s="63">
        <f t="shared" si="254"/>
        <v>0</v>
      </c>
      <c r="EN612" s="359">
        <f t="shared" si="255"/>
        <v>0</v>
      </c>
      <c r="EO612" s="51">
        <f t="shared" si="256"/>
        <v>0</v>
      </c>
      <c r="EP612" s="361">
        <f t="shared" si="257"/>
        <v>0</v>
      </c>
      <c r="EQ612" s="281"/>
      <c r="ER612" s="277"/>
      <c r="ES612" s="281"/>
      <c r="ET612" s="277"/>
      <c r="EU612" s="281"/>
      <c r="EV612" s="277"/>
      <c r="EW612" s="281"/>
      <c r="EX612" s="277"/>
      <c r="EY612" s="281"/>
      <c r="EZ612" s="277"/>
      <c r="FA612" s="281"/>
      <c r="FB612" s="277"/>
      <c r="FC612" s="281"/>
      <c r="FD612" s="277"/>
      <c r="FE612" s="281"/>
      <c r="FF612" s="277"/>
      <c r="FG612" s="281"/>
      <c r="FH612" s="277"/>
      <c r="FI612" s="281"/>
      <c r="FJ612" s="277"/>
      <c r="FK612" s="50">
        <f t="shared" si="258"/>
        <v>0</v>
      </c>
      <c r="FL612" s="63">
        <f t="shared" si="259"/>
        <v>0</v>
      </c>
      <c r="FM612" s="50">
        <f t="shared" si="241"/>
        <v>3511</v>
      </c>
      <c r="FN612" s="360">
        <f t="shared" si="242"/>
        <v>3926</v>
      </c>
      <c r="FO612" s="43"/>
      <c r="FP612" s="279"/>
      <c r="FQ612" s="467"/>
      <c r="FR612" s="296"/>
      <c r="FS612" s="98"/>
      <c r="FT612" s="467"/>
      <c r="FU612" s="52"/>
      <c r="FV612" s="296"/>
      <c r="FW612" s="98"/>
      <c r="FX612" s="467"/>
      <c r="FY612" s="52"/>
      <c r="FZ612" s="296"/>
      <c r="GA612" s="98"/>
      <c r="GB612" s="467"/>
      <c r="GC612" s="52"/>
      <c r="GD612" s="296"/>
      <c r="GE612" s="98"/>
      <c r="GF612" s="467"/>
      <c r="GG612" s="52"/>
      <c r="GH612" s="296"/>
      <c r="GI612" s="98"/>
      <c r="GJ612" s="467"/>
      <c r="GK612" s="52"/>
      <c r="GL612" s="296"/>
      <c r="GM612" s="464"/>
      <c r="GN612" s="467"/>
      <c r="GO612" s="52"/>
      <c r="GP612" s="296"/>
      <c r="GQ612" s="464"/>
      <c r="GR612" s="467"/>
      <c r="GS612" s="52"/>
      <c r="GT612" s="296"/>
      <c r="GU612" s="464"/>
      <c r="GV612" s="467"/>
      <c r="GW612" s="52"/>
      <c r="GX612" s="296"/>
      <c r="GY612" s="464"/>
      <c r="GZ612" s="467"/>
      <c r="HA612" s="52"/>
      <c r="HB612" s="296"/>
      <c r="HC612" s="43"/>
    </row>
    <row r="613" spans="1:211" s="85" customFormat="1">
      <c r="A613" s="502" t="s">
        <v>951</v>
      </c>
      <c r="B613" s="315" t="s">
        <v>837</v>
      </c>
      <c r="C613" s="314">
        <v>226134</v>
      </c>
      <c r="D613" s="343">
        <v>8</v>
      </c>
      <c r="E613" s="460">
        <v>297</v>
      </c>
      <c r="F613" s="552">
        <v>306</v>
      </c>
      <c r="G613" s="158"/>
      <c r="H613" s="277"/>
      <c r="I613" s="158">
        <v>628</v>
      </c>
      <c r="J613" s="551">
        <v>624</v>
      </c>
      <c r="K613" s="160">
        <f t="shared" si="243"/>
        <v>0</v>
      </c>
      <c r="L613" s="161">
        <f t="shared" si="236"/>
        <v>0</v>
      </c>
      <c r="M613" s="54"/>
      <c r="N613" s="55"/>
      <c r="O613" s="55"/>
      <c r="P613" s="55"/>
      <c r="Q613" s="162">
        <f t="shared" si="244"/>
        <v>0</v>
      </c>
      <c r="R613" s="277"/>
      <c r="S613" s="277"/>
      <c r="T613" s="277"/>
      <c r="U613" s="277"/>
      <c r="V613" s="97">
        <f t="shared" si="245"/>
        <v>0</v>
      </c>
      <c r="W613" s="279"/>
      <c r="X613" s="52"/>
      <c r="Y613" s="99"/>
      <c r="Z613" s="53"/>
      <c r="AA613" s="228"/>
      <c r="AB613" s="52"/>
      <c r="AC613" s="99"/>
      <c r="AD613" s="53"/>
      <c r="AE613" s="228"/>
      <c r="AF613" s="52"/>
      <c r="AG613" s="99"/>
      <c r="AH613" s="53"/>
      <c r="AI613" s="228"/>
      <c r="AJ613" s="52"/>
      <c r="AK613" s="99"/>
      <c r="AL613" s="53"/>
      <c r="AM613" s="228"/>
      <c r="AN613" s="52"/>
      <c r="AO613" s="99"/>
      <c r="AP613" s="53"/>
      <c r="AQ613" s="50">
        <f t="shared" si="237"/>
        <v>0</v>
      </c>
      <c r="AR613" s="163">
        <f t="shared" si="238"/>
        <v>0</v>
      </c>
      <c r="AS613" s="97">
        <f t="shared" si="239"/>
        <v>0</v>
      </c>
      <c r="AT613" s="278">
        <f t="shared" si="240"/>
        <v>0</v>
      </c>
      <c r="AU613" s="55"/>
      <c r="AV613" s="277"/>
      <c r="AW613" s="279"/>
      <c r="AX613" s="52"/>
      <c r="AY613" s="105"/>
      <c r="AZ613" s="98"/>
      <c r="BA613" s="279"/>
      <c r="BB613" s="52"/>
      <c r="BC613" s="105"/>
      <c r="BD613" s="98"/>
      <c r="BE613" s="279"/>
      <c r="BF613" s="52"/>
      <c r="BG613" s="105"/>
      <c r="BH613" s="98"/>
      <c r="BI613" s="279"/>
      <c r="BJ613" s="52"/>
      <c r="BK613" s="105"/>
      <c r="BL613" s="98"/>
      <c r="BM613" s="279"/>
      <c r="BN613" s="52"/>
      <c r="BO613" s="105"/>
      <c r="BP613" s="98"/>
      <c r="BQ613" s="279"/>
      <c r="BR613" s="52"/>
      <c r="BS613" s="105"/>
      <c r="BT613" s="98"/>
      <c r="BU613" s="279"/>
      <c r="BV613" s="52"/>
      <c r="BW613" s="105"/>
      <c r="BX613" s="98"/>
      <c r="BY613" s="279"/>
      <c r="BZ613" s="52"/>
      <c r="CA613" s="105"/>
      <c r="CB613" s="98"/>
      <c r="CC613" s="279"/>
      <c r="CD613" s="52"/>
      <c r="CE613" s="105"/>
      <c r="CF613" s="98"/>
      <c r="CG613" s="279"/>
      <c r="CH613" s="52"/>
      <c r="CI613" s="105"/>
      <c r="CJ613" s="98"/>
      <c r="CK613" s="281"/>
      <c r="CL613" s="277"/>
      <c r="CM613" s="159"/>
      <c r="CN613" s="277"/>
      <c r="CO613" s="50">
        <f t="shared" si="246"/>
        <v>0</v>
      </c>
      <c r="CP613" s="103">
        <f t="shared" si="247"/>
        <v>0</v>
      </c>
      <c r="CQ613" s="280">
        <f t="shared" si="248"/>
        <v>0</v>
      </c>
      <c r="CR613" s="63">
        <f t="shared" si="249"/>
        <v>0</v>
      </c>
      <c r="CS613" s="279"/>
      <c r="CT613" s="52"/>
      <c r="CU613" s="105"/>
      <c r="CV613" s="98"/>
      <c r="CW613" s="279"/>
      <c r="CX613" s="52"/>
      <c r="CY613" s="105"/>
      <c r="CZ613" s="98"/>
      <c r="DA613" s="279"/>
      <c r="DB613" s="52"/>
      <c r="DC613" s="105"/>
      <c r="DD613" s="98"/>
      <c r="DE613" s="279"/>
      <c r="DF613" s="52"/>
      <c r="DG613" s="105"/>
      <c r="DH613" s="98"/>
      <c r="DI613" s="279"/>
      <c r="DJ613" s="52"/>
      <c r="DK613" s="105"/>
      <c r="DL613" s="98"/>
      <c r="DM613" s="279"/>
      <c r="DN613" s="52"/>
      <c r="DO613" s="105"/>
      <c r="DP613" s="98"/>
      <c r="DQ613" s="279"/>
      <c r="DR613" s="52"/>
      <c r="DS613" s="105"/>
      <c r="DT613" s="98"/>
      <c r="DU613" s="279"/>
      <c r="DV613" s="52"/>
      <c r="DW613" s="105"/>
      <c r="DX613" s="98"/>
      <c r="DY613" s="279"/>
      <c r="DZ613" s="52"/>
      <c r="EA613" s="105"/>
      <c r="EB613" s="98"/>
      <c r="EC613" s="279"/>
      <c r="ED613" s="52"/>
      <c r="EE613" s="105"/>
      <c r="EF613" s="98"/>
      <c r="EG613" s="159"/>
      <c r="EH613" s="277"/>
      <c r="EI613" s="50">
        <f t="shared" si="250"/>
        <v>0</v>
      </c>
      <c r="EJ613" s="103">
        <f t="shared" si="251"/>
        <v>0</v>
      </c>
      <c r="EK613" s="164">
        <f t="shared" si="252"/>
        <v>0</v>
      </c>
      <c r="EL613" s="280">
        <f t="shared" si="253"/>
        <v>0</v>
      </c>
      <c r="EM613" s="63">
        <f t="shared" si="254"/>
        <v>0</v>
      </c>
      <c r="EN613" s="359">
        <f t="shared" si="255"/>
        <v>0</v>
      </c>
      <c r="EO613" s="51">
        <f t="shared" si="256"/>
        <v>0</v>
      </c>
      <c r="EP613" s="361">
        <f t="shared" si="257"/>
        <v>0</v>
      </c>
      <c r="EQ613" s="281"/>
      <c r="ER613" s="277"/>
      <c r="ES613" s="281"/>
      <c r="ET613" s="277"/>
      <c r="EU613" s="281"/>
      <c r="EV613" s="277"/>
      <c r="EW613" s="281"/>
      <c r="EX613" s="277"/>
      <c r="EY613" s="281"/>
      <c r="EZ613" s="277"/>
      <c r="FA613" s="281"/>
      <c r="FB613" s="277"/>
      <c r="FC613" s="281"/>
      <c r="FD613" s="277"/>
      <c r="FE613" s="281"/>
      <c r="FF613" s="277"/>
      <c r="FG613" s="281"/>
      <c r="FH613" s="277"/>
      <c r="FI613" s="281"/>
      <c r="FJ613" s="277"/>
      <c r="FK613" s="50">
        <f t="shared" si="258"/>
        <v>0</v>
      </c>
      <c r="FL613" s="63">
        <f t="shared" si="259"/>
        <v>0</v>
      </c>
      <c r="FM613" s="50">
        <f t="shared" si="241"/>
        <v>925</v>
      </c>
      <c r="FN613" s="360">
        <f t="shared" si="242"/>
        <v>930</v>
      </c>
      <c r="FO613" s="43"/>
      <c r="FP613" s="279"/>
      <c r="FQ613" s="467"/>
      <c r="FR613" s="296"/>
      <c r="FS613" s="98"/>
      <c r="FT613" s="467"/>
      <c r="FU613" s="52"/>
      <c r="FV613" s="296"/>
      <c r="FW613" s="98"/>
      <c r="FX613" s="467"/>
      <c r="FY613" s="52"/>
      <c r="FZ613" s="296"/>
      <c r="GA613" s="98"/>
      <c r="GB613" s="467"/>
      <c r="GC613" s="52"/>
      <c r="GD613" s="296"/>
      <c r="GE613" s="98"/>
      <c r="GF613" s="467"/>
      <c r="GG613" s="52"/>
      <c r="GH613" s="296"/>
      <c r="GI613" s="98"/>
      <c r="GJ613" s="467"/>
      <c r="GK613" s="52"/>
      <c r="GL613" s="296"/>
      <c r="GM613" s="464"/>
      <c r="GN613" s="467"/>
      <c r="GO613" s="52"/>
      <c r="GP613" s="296"/>
      <c r="GQ613" s="464"/>
      <c r="GR613" s="467"/>
      <c r="GS613" s="52"/>
      <c r="GT613" s="296"/>
      <c r="GU613" s="464"/>
      <c r="GV613" s="467"/>
      <c r="GW613" s="52"/>
      <c r="GX613" s="296"/>
      <c r="GY613" s="464"/>
      <c r="GZ613" s="467"/>
      <c r="HA613" s="52"/>
      <c r="HB613" s="296"/>
      <c r="HC613" s="43"/>
    </row>
    <row r="614" spans="1:211" s="85" customFormat="1">
      <c r="A614" s="502" t="s">
        <v>951</v>
      </c>
      <c r="B614" s="315" t="s">
        <v>1229</v>
      </c>
      <c r="C614" s="314">
        <v>227182</v>
      </c>
      <c r="D614" s="343">
        <v>8</v>
      </c>
      <c r="E614" s="460">
        <v>855</v>
      </c>
      <c r="F614" s="552">
        <v>1133</v>
      </c>
      <c r="G614" s="158"/>
      <c r="H614" s="277"/>
      <c r="I614" s="158">
        <v>2259</v>
      </c>
      <c r="J614" s="551">
        <v>2438</v>
      </c>
      <c r="K614" s="160">
        <f t="shared" si="243"/>
        <v>0</v>
      </c>
      <c r="L614" s="161">
        <f t="shared" si="236"/>
        <v>0</v>
      </c>
      <c r="M614" s="54"/>
      <c r="N614" s="55"/>
      <c r="O614" s="55"/>
      <c r="P614" s="55"/>
      <c r="Q614" s="162">
        <f t="shared" si="244"/>
        <v>0</v>
      </c>
      <c r="R614" s="277"/>
      <c r="S614" s="277"/>
      <c r="T614" s="277"/>
      <c r="U614" s="277"/>
      <c r="V614" s="97">
        <f t="shared" si="245"/>
        <v>0</v>
      </c>
      <c r="W614" s="279"/>
      <c r="X614" s="52"/>
      <c r="Y614" s="99"/>
      <c r="Z614" s="53"/>
      <c r="AA614" s="228"/>
      <c r="AB614" s="52"/>
      <c r="AC614" s="99"/>
      <c r="AD614" s="53"/>
      <c r="AE614" s="228"/>
      <c r="AF614" s="52"/>
      <c r="AG614" s="99"/>
      <c r="AH614" s="53"/>
      <c r="AI614" s="228"/>
      <c r="AJ614" s="52"/>
      <c r="AK614" s="99"/>
      <c r="AL614" s="53"/>
      <c r="AM614" s="228"/>
      <c r="AN614" s="52"/>
      <c r="AO614" s="99"/>
      <c r="AP614" s="53"/>
      <c r="AQ614" s="50">
        <f t="shared" si="237"/>
        <v>0</v>
      </c>
      <c r="AR614" s="163">
        <f t="shared" si="238"/>
        <v>0</v>
      </c>
      <c r="AS614" s="97">
        <f t="shared" si="239"/>
        <v>0</v>
      </c>
      <c r="AT614" s="278">
        <f t="shared" si="240"/>
        <v>0</v>
      </c>
      <c r="AU614" s="55"/>
      <c r="AV614" s="277"/>
      <c r="AW614" s="279"/>
      <c r="AX614" s="52"/>
      <c r="AY614" s="105"/>
      <c r="AZ614" s="98"/>
      <c r="BA614" s="279"/>
      <c r="BB614" s="52"/>
      <c r="BC614" s="105"/>
      <c r="BD614" s="98"/>
      <c r="BE614" s="279"/>
      <c r="BF614" s="52"/>
      <c r="BG614" s="105"/>
      <c r="BH614" s="98"/>
      <c r="BI614" s="279"/>
      <c r="BJ614" s="52"/>
      <c r="BK614" s="105"/>
      <c r="BL614" s="98"/>
      <c r="BM614" s="279"/>
      <c r="BN614" s="52"/>
      <c r="BO614" s="105"/>
      <c r="BP614" s="98"/>
      <c r="BQ614" s="279"/>
      <c r="BR614" s="52"/>
      <c r="BS614" s="105"/>
      <c r="BT614" s="98"/>
      <c r="BU614" s="279"/>
      <c r="BV614" s="52"/>
      <c r="BW614" s="105"/>
      <c r="BX614" s="98"/>
      <c r="BY614" s="279"/>
      <c r="BZ614" s="52"/>
      <c r="CA614" s="105"/>
      <c r="CB614" s="98"/>
      <c r="CC614" s="279"/>
      <c r="CD614" s="52"/>
      <c r="CE614" s="105"/>
      <c r="CF614" s="98"/>
      <c r="CG614" s="279"/>
      <c r="CH614" s="52"/>
      <c r="CI614" s="105"/>
      <c r="CJ614" s="98"/>
      <c r="CK614" s="281"/>
      <c r="CL614" s="277"/>
      <c r="CM614" s="159"/>
      <c r="CN614" s="277"/>
      <c r="CO614" s="50">
        <f t="shared" si="246"/>
        <v>0</v>
      </c>
      <c r="CP614" s="103">
        <f t="shared" si="247"/>
        <v>0</v>
      </c>
      <c r="CQ614" s="280">
        <f t="shared" si="248"/>
        <v>0</v>
      </c>
      <c r="CR614" s="63">
        <f t="shared" si="249"/>
        <v>0</v>
      </c>
      <c r="CS614" s="279"/>
      <c r="CT614" s="52"/>
      <c r="CU614" s="105"/>
      <c r="CV614" s="98"/>
      <c r="CW614" s="279"/>
      <c r="CX614" s="52"/>
      <c r="CY614" s="105"/>
      <c r="CZ614" s="98"/>
      <c r="DA614" s="279"/>
      <c r="DB614" s="52"/>
      <c r="DC614" s="105"/>
      <c r="DD614" s="98"/>
      <c r="DE614" s="279"/>
      <c r="DF614" s="52"/>
      <c r="DG614" s="105"/>
      <c r="DH614" s="98"/>
      <c r="DI614" s="279"/>
      <c r="DJ614" s="52"/>
      <c r="DK614" s="105"/>
      <c r="DL614" s="98"/>
      <c r="DM614" s="279"/>
      <c r="DN614" s="52"/>
      <c r="DO614" s="105"/>
      <c r="DP614" s="98"/>
      <c r="DQ614" s="279"/>
      <c r="DR614" s="52"/>
      <c r="DS614" s="105"/>
      <c r="DT614" s="98"/>
      <c r="DU614" s="279"/>
      <c r="DV614" s="52"/>
      <c r="DW614" s="105"/>
      <c r="DX614" s="98"/>
      <c r="DY614" s="279"/>
      <c r="DZ614" s="52"/>
      <c r="EA614" s="105"/>
      <c r="EB614" s="98"/>
      <c r="EC614" s="279"/>
      <c r="ED614" s="52"/>
      <c r="EE614" s="105"/>
      <c r="EF614" s="98"/>
      <c r="EG614" s="159"/>
      <c r="EH614" s="277"/>
      <c r="EI614" s="50">
        <f t="shared" si="250"/>
        <v>0</v>
      </c>
      <c r="EJ614" s="103">
        <f t="shared" si="251"/>
        <v>0</v>
      </c>
      <c r="EK614" s="164">
        <f t="shared" si="252"/>
        <v>0</v>
      </c>
      <c r="EL614" s="280">
        <f t="shared" si="253"/>
        <v>0</v>
      </c>
      <c r="EM614" s="63">
        <f t="shared" si="254"/>
        <v>0</v>
      </c>
      <c r="EN614" s="359">
        <f t="shared" si="255"/>
        <v>0</v>
      </c>
      <c r="EO614" s="51">
        <f t="shared" si="256"/>
        <v>0</v>
      </c>
      <c r="EP614" s="361">
        <f t="shared" si="257"/>
        <v>0</v>
      </c>
      <c r="EQ614" s="281"/>
      <c r="ER614" s="277"/>
      <c r="ES614" s="281"/>
      <c r="ET614" s="277"/>
      <c r="EU614" s="281"/>
      <c r="EV614" s="277"/>
      <c r="EW614" s="281"/>
      <c r="EX614" s="277"/>
      <c r="EY614" s="281"/>
      <c r="EZ614" s="277"/>
      <c r="FA614" s="281"/>
      <c r="FB614" s="277"/>
      <c r="FC614" s="281"/>
      <c r="FD614" s="277"/>
      <c r="FE614" s="281"/>
      <c r="FF614" s="277"/>
      <c r="FG614" s="281"/>
      <c r="FH614" s="277"/>
      <c r="FI614" s="281"/>
      <c r="FJ614" s="277"/>
      <c r="FK614" s="50">
        <f t="shared" si="258"/>
        <v>0</v>
      </c>
      <c r="FL614" s="63">
        <f t="shared" si="259"/>
        <v>0</v>
      </c>
      <c r="FM614" s="50">
        <f t="shared" si="241"/>
        <v>3114</v>
      </c>
      <c r="FN614" s="360">
        <f t="shared" si="242"/>
        <v>3571</v>
      </c>
      <c r="FO614" s="43"/>
      <c r="FP614" s="279"/>
      <c r="FQ614" s="467"/>
      <c r="FR614" s="296"/>
      <c r="FS614" s="98"/>
      <c r="FT614" s="467"/>
      <c r="FU614" s="52"/>
      <c r="FV614" s="296"/>
      <c r="FW614" s="98"/>
      <c r="FX614" s="467"/>
      <c r="FY614" s="52"/>
      <c r="FZ614" s="296"/>
      <c r="GA614" s="98"/>
      <c r="GB614" s="467"/>
      <c r="GC614" s="52"/>
      <c r="GD614" s="296"/>
      <c r="GE614" s="98"/>
      <c r="GF614" s="467"/>
      <c r="GG614" s="52"/>
      <c r="GH614" s="296"/>
      <c r="GI614" s="98"/>
      <c r="GJ614" s="467"/>
      <c r="GK614" s="52"/>
      <c r="GL614" s="296"/>
      <c r="GM614" s="464"/>
      <c r="GN614" s="467"/>
      <c r="GO614" s="52"/>
      <c r="GP614" s="296"/>
      <c r="GQ614" s="464"/>
      <c r="GR614" s="467"/>
      <c r="GS614" s="52"/>
      <c r="GT614" s="296"/>
      <c r="GU614" s="464"/>
      <c r="GV614" s="467"/>
      <c r="GW614" s="52"/>
      <c r="GX614" s="296"/>
      <c r="GY614" s="464"/>
      <c r="GZ614" s="467"/>
      <c r="HA614" s="52"/>
      <c r="HB614" s="296"/>
      <c r="HC614" s="43"/>
    </row>
    <row r="615" spans="1:211" s="85" customFormat="1">
      <c r="A615" s="502" t="s">
        <v>951</v>
      </c>
      <c r="B615" s="315" t="s">
        <v>838</v>
      </c>
      <c r="C615" s="314">
        <v>226578</v>
      </c>
      <c r="D615" s="343">
        <v>8</v>
      </c>
      <c r="E615" s="460">
        <v>244</v>
      </c>
      <c r="F615" s="552">
        <v>275</v>
      </c>
      <c r="G615" s="158"/>
      <c r="H615" s="277"/>
      <c r="I615" s="158">
        <v>549</v>
      </c>
      <c r="J615" s="551">
        <v>575</v>
      </c>
      <c r="K615" s="160">
        <f t="shared" si="243"/>
        <v>0</v>
      </c>
      <c r="L615" s="161">
        <f t="shared" si="236"/>
        <v>0</v>
      </c>
      <c r="M615" s="54"/>
      <c r="N615" s="55"/>
      <c r="O615" s="55"/>
      <c r="P615" s="55"/>
      <c r="Q615" s="162">
        <f t="shared" si="244"/>
        <v>0</v>
      </c>
      <c r="R615" s="277"/>
      <c r="S615" s="277"/>
      <c r="T615" s="277"/>
      <c r="U615" s="277"/>
      <c r="V615" s="97">
        <f t="shared" si="245"/>
        <v>0</v>
      </c>
      <c r="W615" s="279"/>
      <c r="X615" s="52"/>
      <c r="Y615" s="99"/>
      <c r="Z615" s="53"/>
      <c r="AA615" s="228"/>
      <c r="AB615" s="52"/>
      <c r="AC615" s="99"/>
      <c r="AD615" s="53"/>
      <c r="AE615" s="228"/>
      <c r="AF615" s="52"/>
      <c r="AG615" s="99"/>
      <c r="AH615" s="53"/>
      <c r="AI615" s="228"/>
      <c r="AJ615" s="52"/>
      <c r="AK615" s="99"/>
      <c r="AL615" s="53"/>
      <c r="AM615" s="228"/>
      <c r="AN615" s="52"/>
      <c r="AO615" s="99"/>
      <c r="AP615" s="53"/>
      <c r="AQ615" s="50">
        <f t="shared" si="237"/>
        <v>0</v>
      </c>
      <c r="AR615" s="163">
        <f t="shared" si="238"/>
        <v>0</v>
      </c>
      <c r="AS615" s="97">
        <f t="shared" si="239"/>
        <v>0</v>
      </c>
      <c r="AT615" s="278">
        <f t="shared" si="240"/>
        <v>0</v>
      </c>
      <c r="AU615" s="55"/>
      <c r="AV615" s="277"/>
      <c r="AW615" s="279"/>
      <c r="AX615" s="52"/>
      <c r="AY615" s="105"/>
      <c r="AZ615" s="98"/>
      <c r="BA615" s="279"/>
      <c r="BB615" s="52"/>
      <c r="BC615" s="105"/>
      <c r="BD615" s="98"/>
      <c r="BE615" s="279"/>
      <c r="BF615" s="52"/>
      <c r="BG615" s="105"/>
      <c r="BH615" s="98"/>
      <c r="BI615" s="279"/>
      <c r="BJ615" s="52"/>
      <c r="BK615" s="105"/>
      <c r="BL615" s="98"/>
      <c r="BM615" s="279"/>
      <c r="BN615" s="52"/>
      <c r="BO615" s="105"/>
      <c r="BP615" s="98"/>
      <c r="BQ615" s="279"/>
      <c r="BR615" s="52"/>
      <c r="BS615" s="105"/>
      <c r="BT615" s="98"/>
      <c r="BU615" s="279"/>
      <c r="BV615" s="52"/>
      <c r="BW615" s="105"/>
      <c r="BX615" s="98"/>
      <c r="BY615" s="279"/>
      <c r="BZ615" s="52"/>
      <c r="CA615" s="105"/>
      <c r="CB615" s="98"/>
      <c r="CC615" s="279"/>
      <c r="CD615" s="52"/>
      <c r="CE615" s="105"/>
      <c r="CF615" s="98"/>
      <c r="CG615" s="279"/>
      <c r="CH615" s="52"/>
      <c r="CI615" s="105"/>
      <c r="CJ615" s="98"/>
      <c r="CK615" s="281"/>
      <c r="CL615" s="277"/>
      <c r="CM615" s="159"/>
      <c r="CN615" s="277"/>
      <c r="CO615" s="50">
        <f t="shared" si="246"/>
        <v>0</v>
      </c>
      <c r="CP615" s="103">
        <f t="shared" si="247"/>
        <v>0</v>
      </c>
      <c r="CQ615" s="280">
        <f t="shared" si="248"/>
        <v>0</v>
      </c>
      <c r="CR615" s="63">
        <f t="shared" si="249"/>
        <v>0</v>
      </c>
      <c r="CS615" s="279"/>
      <c r="CT615" s="52"/>
      <c r="CU615" s="105"/>
      <c r="CV615" s="98"/>
      <c r="CW615" s="279"/>
      <c r="CX615" s="52"/>
      <c r="CY615" s="105"/>
      <c r="CZ615" s="98"/>
      <c r="DA615" s="279"/>
      <c r="DB615" s="52"/>
      <c r="DC615" s="105"/>
      <c r="DD615" s="98"/>
      <c r="DE615" s="279"/>
      <c r="DF615" s="52"/>
      <c r="DG615" s="105"/>
      <c r="DH615" s="98"/>
      <c r="DI615" s="279"/>
      <c r="DJ615" s="52"/>
      <c r="DK615" s="105"/>
      <c r="DL615" s="98"/>
      <c r="DM615" s="279"/>
      <c r="DN615" s="52"/>
      <c r="DO615" s="105"/>
      <c r="DP615" s="98"/>
      <c r="DQ615" s="279"/>
      <c r="DR615" s="52"/>
      <c r="DS615" s="105"/>
      <c r="DT615" s="98"/>
      <c r="DU615" s="279"/>
      <c r="DV615" s="52"/>
      <c r="DW615" s="105"/>
      <c r="DX615" s="98"/>
      <c r="DY615" s="279"/>
      <c r="DZ615" s="52"/>
      <c r="EA615" s="105"/>
      <c r="EB615" s="98"/>
      <c r="EC615" s="279"/>
      <c r="ED615" s="52"/>
      <c r="EE615" s="105"/>
      <c r="EF615" s="98"/>
      <c r="EG615" s="159"/>
      <c r="EH615" s="277"/>
      <c r="EI615" s="50">
        <f t="shared" si="250"/>
        <v>0</v>
      </c>
      <c r="EJ615" s="103">
        <f t="shared" si="251"/>
        <v>0</v>
      </c>
      <c r="EK615" s="164">
        <f t="shared" si="252"/>
        <v>0</v>
      </c>
      <c r="EL615" s="280">
        <f t="shared" si="253"/>
        <v>0</v>
      </c>
      <c r="EM615" s="63">
        <f t="shared" si="254"/>
        <v>0</v>
      </c>
      <c r="EN615" s="359">
        <f t="shared" si="255"/>
        <v>0</v>
      </c>
      <c r="EO615" s="51">
        <f t="shared" si="256"/>
        <v>0</v>
      </c>
      <c r="EP615" s="361">
        <f t="shared" si="257"/>
        <v>0</v>
      </c>
      <c r="EQ615" s="281"/>
      <c r="ER615" s="277"/>
      <c r="ES615" s="281"/>
      <c r="ET615" s="277"/>
      <c r="EU615" s="281"/>
      <c r="EV615" s="277"/>
      <c r="EW615" s="281"/>
      <c r="EX615" s="277"/>
      <c r="EY615" s="281"/>
      <c r="EZ615" s="277"/>
      <c r="FA615" s="281"/>
      <c r="FB615" s="277"/>
      <c r="FC615" s="281"/>
      <c r="FD615" s="277"/>
      <c r="FE615" s="281"/>
      <c r="FF615" s="277"/>
      <c r="FG615" s="281"/>
      <c r="FH615" s="277"/>
      <c r="FI615" s="281"/>
      <c r="FJ615" s="277"/>
      <c r="FK615" s="50">
        <f t="shared" si="258"/>
        <v>0</v>
      </c>
      <c r="FL615" s="63">
        <f t="shared" si="259"/>
        <v>0</v>
      </c>
      <c r="FM615" s="50">
        <f t="shared" si="241"/>
        <v>793</v>
      </c>
      <c r="FN615" s="360">
        <f t="shared" si="242"/>
        <v>850</v>
      </c>
      <c r="FO615" s="43"/>
      <c r="FP615" s="279"/>
      <c r="FQ615" s="467"/>
      <c r="FR615" s="296"/>
      <c r="FS615" s="98"/>
      <c r="FT615" s="467"/>
      <c r="FU615" s="52"/>
      <c r="FV615" s="296"/>
      <c r="FW615" s="98"/>
      <c r="FX615" s="467"/>
      <c r="FY615" s="52"/>
      <c r="FZ615" s="296"/>
      <c r="GA615" s="98"/>
      <c r="GB615" s="467"/>
      <c r="GC615" s="52"/>
      <c r="GD615" s="296"/>
      <c r="GE615" s="98"/>
      <c r="GF615" s="467"/>
      <c r="GG615" s="52"/>
      <c r="GH615" s="296"/>
      <c r="GI615" s="98"/>
      <c r="GJ615" s="467"/>
      <c r="GK615" s="52"/>
      <c r="GL615" s="296"/>
      <c r="GM615" s="464"/>
      <c r="GN615" s="467"/>
      <c r="GO615" s="52"/>
      <c r="GP615" s="296"/>
      <c r="GQ615" s="464"/>
      <c r="GR615" s="467"/>
      <c r="GS615" s="52"/>
      <c r="GT615" s="296"/>
      <c r="GU615" s="464"/>
      <c r="GV615" s="467"/>
      <c r="GW615" s="52"/>
      <c r="GX615" s="296"/>
      <c r="GY615" s="464"/>
      <c r="GZ615" s="467"/>
      <c r="HA615" s="52"/>
      <c r="HB615" s="296"/>
      <c r="HC615" s="43"/>
    </row>
    <row r="616" spans="1:211" s="85" customFormat="1">
      <c r="A616" s="555" t="s">
        <v>951</v>
      </c>
      <c r="B616" s="339" t="s">
        <v>839</v>
      </c>
      <c r="C616" s="355">
        <v>227146</v>
      </c>
      <c r="D616" s="373">
        <v>8</v>
      </c>
      <c r="E616" s="460">
        <v>294</v>
      </c>
      <c r="F616" s="552">
        <v>425</v>
      </c>
      <c r="G616" s="158"/>
      <c r="H616" s="277"/>
      <c r="I616" s="158">
        <v>514</v>
      </c>
      <c r="J616" s="551">
        <v>553</v>
      </c>
      <c r="K616" s="160">
        <f t="shared" si="243"/>
        <v>0</v>
      </c>
      <c r="L616" s="161">
        <f t="shared" si="236"/>
        <v>0</v>
      </c>
      <c r="M616" s="54"/>
      <c r="N616" s="55"/>
      <c r="O616" s="55"/>
      <c r="P616" s="55"/>
      <c r="Q616" s="162">
        <f t="shared" si="244"/>
        <v>0</v>
      </c>
      <c r="R616" s="277"/>
      <c r="S616" s="277"/>
      <c r="T616" s="277"/>
      <c r="U616" s="277"/>
      <c r="V616" s="97">
        <f t="shared" si="245"/>
        <v>0</v>
      </c>
      <c r="W616" s="279"/>
      <c r="X616" s="52"/>
      <c r="Y616" s="99"/>
      <c r="Z616" s="53"/>
      <c r="AA616" s="228"/>
      <c r="AB616" s="52"/>
      <c r="AC616" s="99"/>
      <c r="AD616" s="53"/>
      <c r="AE616" s="228"/>
      <c r="AF616" s="52"/>
      <c r="AG616" s="99"/>
      <c r="AH616" s="53"/>
      <c r="AI616" s="228"/>
      <c r="AJ616" s="52"/>
      <c r="AK616" s="99"/>
      <c r="AL616" s="53"/>
      <c r="AM616" s="228"/>
      <c r="AN616" s="52"/>
      <c r="AO616" s="99"/>
      <c r="AP616" s="53"/>
      <c r="AQ616" s="50">
        <f t="shared" si="237"/>
        <v>0</v>
      </c>
      <c r="AR616" s="163">
        <f t="shared" si="238"/>
        <v>0</v>
      </c>
      <c r="AS616" s="97">
        <f t="shared" si="239"/>
        <v>0</v>
      </c>
      <c r="AT616" s="278">
        <f t="shared" si="240"/>
        <v>0</v>
      </c>
      <c r="AU616" s="55"/>
      <c r="AV616" s="277"/>
      <c r="AW616" s="279"/>
      <c r="AX616" s="52"/>
      <c r="AY616" s="105"/>
      <c r="AZ616" s="98"/>
      <c r="BA616" s="279"/>
      <c r="BB616" s="52"/>
      <c r="BC616" s="105"/>
      <c r="BD616" s="98"/>
      <c r="BE616" s="279"/>
      <c r="BF616" s="52"/>
      <c r="BG616" s="105"/>
      <c r="BH616" s="98"/>
      <c r="BI616" s="279"/>
      <c r="BJ616" s="52"/>
      <c r="BK616" s="105"/>
      <c r="BL616" s="98"/>
      <c r="BM616" s="279"/>
      <c r="BN616" s="52"/>
      <c r="BO616" s="105"/>
      <c r="BP616" s="98"/>
      <c r="BQ616" s="279"/>
      <c r="BR616" s="52"/>
      <c r="BS616" s="105"/>
      <c r="BT616" s="98"/>
      <c r="BU616" s="279"/>
      <c r="BV616" s="52"/>
      <c r="BW616" s="105"/>
      <c r="BX616" s="98"/>
      <c r="BY616" s="279"/>
      <c r="BZ616" s="52"/>
      <c r="CA616" s="105"/>
      <c r="CB616" s="98"/>
      <c r="CC616" s="279"/>
      <c r="CD616" s="52"/>
      <c r="CE616" s="105"/>
      <c r="CF616" s="98"/>
      <c r="CG616" s="279"/>
      <c r="CH616" s="52"/>
      <c r="CI616" s="105"/>
      <c r="CJ616" s="98"/>
      <c r="CK616" s="281"/>
      <c r="CL616" s="277"/>
      <c r="CM616" s="159"/>
      <c r="CN616" s="277"/>
      <c r="CO616" s="50">
        <f t="shared" si="246"/>
        <v>0</v>
      </c>
      <c r="CP616" s="103">
        <f t="shared" si="247"/>
        <v>0</v>
      </c>
      <c r="CQ616" s="280">
        <f t="shared" si="248"/>
        <v>0</v>
      </c>
      <c r="CR616" s="63">
        <f t="shared" si="249"/>
        <v>0</v>
      </c>
      <c r="CS616" s="279"/>
      <c r="CT616" s="52"/>
      <c r="CU616" s="105"/>
      <c r="CV616" s="98"/>
      <c r="CW616" s="279"/>
      <c r="CX616" s="52"/>
      <c r="CY616" s="105"/>
      <c r="CZ616" s="98"/>
      <c r="DA616" s="279"/>
      <c r="DB616" s="52"/>
      <c r="DC616" s="105"/>
      <c r="DD616" s="98"/>
      <c r="DE616" s="279"/>
      <c r="DF616" s="52"/>
      <c r="DG616" s="105"/>
      <c r="DH616" s="98"/>
      <c r="DI616" s="279"/>
      <c r="DJ616" s="52"/>
      <c r="DK616" s="105"/>
      <c r="DL616" s="98"/>
      <c r="DM616" s="279"/>
      <c r="DN616" s="52"/>
      <c r="DO616" s="105"/>
      <c r="DP616" s="98"/>
      <c r="DQ616" s="279"/>
      <c r="DR616" s="52"/>
      <c r="DS616" s="105"/>
      <c r="DT616" s="98"/>
      <c r="DU616" s="279"/>
      <c r="DV616" s="52"/>
      <c r="DW616" s="105"/>
      <c r="DX616" s="98"/>
      <c r="DY616" s="279"/>
      <c r="DZ616" s="52"/>
      <c r="EA616" s="105"/>
      <c r="EB616" s="98"/>
      <c r="EC616" s="279"/>
      <c r="ED616" s="52"/>
      <c r="EE616" s="105"/>
      <c r="EF616" s="98"/>
      <c r="EG616" s="159"/>
      <c r="EH616" s="277"/>
      <c r="EI616" s="50">
        <f t="shared" si="250"/>
        <v>0</v>
      </c>
      <c r="EJ616" s="103">
        <f t="shared" si="251"/>
        <v>0</v>
      </c>
      <c r="EK616" s="164">
        <f t="shared" si="252"/>
        <v>0</v>
      </c>
      <c r="EL616" s="280">
        <f t="shared" si="253"/>
        <v>0</v>
      </c>
      <c r="EM616" s="63">
        <f t="shared" si="254"/>
        <v>0</v>
      </c>
      <c r="EN616" s="359">
        <f t="shared" si="255"/>
        <v>0</v>
      </c>
      <c r="EO616" s="51">
        <f t="shared" si="256"/>
        <v>0</v>
      </c>
      <c r="EP616" s="361">
        <f t="shared" si="257"/>
        <v>0</v>
      </c>
      <c r="EQ616" s="281"/>
      <c r="ER616" s="277"/>
      <c r="ES616" s="281"/>
      <c r="ET616" s="277"/>
      <c r="EU616" s="281"/>
      <c r="EV616" s="277"/>
      <c r="EW616" s="281"/>
      <c r="EX616" s="277"/>
      <c r="EY616" s="281"/>
      <c r="EZ616" s="277"/>
      <c r="FA616" s="281"/>
      <c r="FB616" s="277"/>
      <c r="FC616" s="281"/>
      <c r="FD616" s="277"/>
      <c r="FE616" s="281"/>
      <c r="FF616" s="277"/>
      <c r="FG616" s="281"/>
      <c r="FH616" s="277"/>
      <c r="FI616" s="281"/>
      <c r="FJ616" s="277"/>
      <c r="FK616" s="50">
        <f t="shared" si="258"/>
        <v>0</v>
      </c>
      <c r="FL616" s="63">
        <f t="shared" si="259"/>
        <v>0</v>
      </c>
      <c r="FM616" s="50">
        <f t="shared" si="241"/>
        <v>808</v>
      </c>
      <c r="FN616" s="360">
        <f t="shared" si="242"/>
        <v>978</v>
      </c>
      <c r="FO616" s="43"/>
      <c r="FP616" s="279"/>
      <c r="FQ616" s="467"/>
      <c r="FR616" s="296"/>
      <c r="FS616" s="98"/>
      <c r="FT616" s="467"/>
      <c r="FU616" s="52"/>
      <c r="FV616" s="296"/>
      <c r="FW616" s="98"/>
      <c r="FX616" s="467"/>
      <c r="FY616" s="52"/>
      <c r="FZ616" s="296"/>
      <c r="GA616" s="98"/>
      <c r="GB616" s="467"/>
      <c r="GC616" s="52"/>
      <c r="GD616" s="296"/>
      <c r="GE616" s="98"/>
      <c r="GF616" s="467"/>
      <c r="GG616" s="52"/>
      <c r="GH616" s="296"/>
      <c r="GI616" s="98"/>
      <c r="GJ616" s="467"/>
      <c r="GK616" s="52"/>
      <c r="GL616" s="296"/>
      <c r="GM616" s="464"/>
      <c r="GN616" s="467"/>
      <c r="GO616" s="52"/>
      <c r="GP616" s="296"/>
      <c r="GQ616" s="464"/>
      <c r="GR616" s="467"/>
      <c r="GS616" s="52"/>
      <c r="GT616" s="296"/>
      <c r="GU616" s="464"/>
      <c r="GV616" s="467"/>
      <c r="GW616" s="52"/>
      <c r="GX616" s="296"/>
      <c r="GY616" s="464"/>
      <c r="GZ616" s="467"/>
      <c r="HA616" s="52"/>
      <c r="HB616" s="296"/>
      <c r="HC616" s="43"/>
    </row>
    <row r="617" spans="1:211" s="85" customFormat="1">
      <c r="A617" s="502" t="s">
        <v>951</v>
      </c>
      <c r="B617" s="315" t="s">
        <v>840</v>
      </c>
      <c r="C617" s="314">
        <v>227191</v>
      </c>
      <c r="D617" s="343">
        <v>8</v>
      </c>
      <c r="E617" s="460">
        <v>114</v>
      </c>
      <c r="F617" s="552">
        <v>196</v>
      </c>
      <c r="G617" s="158"/>
      <c r="H617" s="277"/>
      <c r="I617" s="158">
        <v>424</v>
      </c>
      <c r="J617" s="551">
        <v>529</v>
      </c>
      <c r="K617" s="160">
        <f t="shared" si="243"/>
        <v>0</v>
      </c>
      <c r="L617" s="161">
        <f t="shared" si="236"/>
        <v>0</v>
      </c>
      <c r="M617" s="54"/>
      <c r="N617" s="55"/>
      <c r="O617" s="55"/>
      <c r="P617" s="55"/>
      <c r="Q617" s="162">
        <f t="shared" si="244"/>
        <v>0</v>
      </c>
      <c r="R617" s="277"/>
      <c r="S617" s="277"/>
      <c r="T617" s="277"/>
      <c r="U617" s="277"/>
      <c r="V617" s="97">
        <f t="shared" si="245"/>
        <v>0</v>
      </c>
      <c r="W617" s="279"/>
      <c r="X617" s="52"/>
      <c r="Y617" s="99"/>
      <c r="Z617" s="53"/>
      <c r="AA617" s="228"/>
      <c r="AB617" s="52"/>
      <c r="AC617" s="99"/>
      <c r="AD617" s="53"/>
      <c r="AE617" s="228"/>
      <c r="AF617" s="52"/>
      <c r="AG617" s="99"/>
      <c r="AH617" s="53"/>
      <c r="AI617" s="228"/>
      <c r="AJ617" s="52"/>
      <c r="AK617" s="99"/>
      <c r="AL617" s="53"/>
      <c r="AM617" s="228"/>
      <c r="AN617" s="52"/>
      <c r="AO617" s="99"/>
      <c r="AP617" s="53"/>
      <c r="AQ617" s="50">
        <f t="shared" si="237"/>
        <v>0</v>
      </c>
      <c r="AR617" s="163">
        <f t="shared" si="238"/>
        <v>0</v>
      </c>
      <c r="AS617" s="97">
        <f t="shared" si="239"/>
        <v>0</v>
      </c>
      <c r="AT617" s="278">
        <f t="shared" si="240"/>
        <v>0</v>
      </c>
      <c r="AU617" s="55"/>
      <c r="AV617" s="277"/>
      <c r="AW617" s="279"/>
      <c r="AX617" s="52"/>
      <c r="AY617" s="105"/>
      <c r="AZ617" s="98"/>
      <c r="BA617" s="279"/>
      <c r="BB617" s="52"/>
      <c r="BC617" s="105"/>
      <c r="BD617" s="98"/>
      <c r="BE617" s="279"/>
      <c r="BF617" s="52"/>
      <c r="BG617" s="105"/>
      <c r="BH617" s="98"/>
      <c r="BI617" s="279"/>
      <c r="BJ617" s="52"/>
      <c r="BK617" s="105"/>
      <c r="BL617" s="98"/>
      <c r="BM617" s="279"/>
      <c r="BN617" s="52"/>
      <c r="BO617" s="105"/>
      <c r="BP617" s="98"/>
      <c r="BQ617" s="279"/>
      <c r="BR617" s="52"/>
      <c r="BS617" s="105"/>
      <c r="BT617" s="98"/>
      <c r="BU617" s="279"/>
      <c r="BV617" s="52"/>
      <c r="BW617" s="105"/>
      <c r="BX617" s="98"/>
      <c r="BY617" s="279"/>
      <c r="BZ617" s="52"/>
      <c r="CA617" s="105"/>
      <c r="CB617" s="98"/>
      <c r="CC617" s="279"/>
      <c r="CD617" s="52"/>
      <c r="CE617" s="105"/>
      <c r="CF617" s="98"/>
      <c r="CG617" s="279"/>
      <c r="CH617" s="52"/>
      <c r="CI617" s="105"/>
      <c r="CJ617" s="98"/>
      <c r="CK617" s="281"/>
      <c r="CL617" s="277"/>
      <c r="CM617" s="159"/>
      <c r="CN617" s="277"/>
      <c r="CO617" s="50">
        <f t="shared" si="246"/>
        <v>0</v>
      </c>
      <c r="CP617" s="103">
        <f t="shared" si="247"/>
        <v>0</v>
      </c>
      <c r="CQ617" s="280">
        <f t="shared" si="248"/>
        <v>0</v>
      </c>
      <c r="CR617" s="63">
        <f t="shared" si="249"/>
        <v>0</v>
      </c>
      <c r="CS617" s="279"/>
      <c r="CT617" s="52"/>
      <c r="CU617" s="105"/>
      <c r="CV617" s="98"/>
      <c r="CW617" s="279"/>
      <c r="CX617" s="52"/>
      <c r="CY617" s="105"/>
      <c r="CZ617" s="98"/>
      <c r="DA617" s="279"/>
      <c r="DB617" s="52"/>
      <c r="DC617" s="105"/>
      <c r="DD617" s="98"/>
      <c r="DE617" s="279"/>
      <c r="DF617" s="52"/>
      <c r="DG617" s="105"/>
      <c r="DH617" s="98"/>
      <c r="DI617" s="279"/>
      <c r="DJ617" s="52"/>
      <c r="DK617" s="105"/>
      <c r="DL617" s="98"/>
      <c r="DM617" s="279"/>
      <c r="DN617" s="52"/>
      <c r="DO617" s="105"/>
      <c r="DP617" s="98"/>
      <c r="DQ617" s="279"/>
      <c r="DR617" s="52"/>
      <c r="DS617" s="105"/>
      <c r="DT617" s="98"/>
      <c r="DU617" s="279"/>
      <c r="DV617" s="52"/>
      <c r="DW617" s="105"/>
      <c r="DX617" s="98"/>
      <c r="DY617" s="279"/>
      <c r="DZ617" s="52"/>
      <c r="EA617" s="105"/>
      <c r="EB617" s="98"/>
      <c r="EC617" s="279"/>
      <c r="ED617" s="52"/>
      <c r="EE617" s="105"/>
      <c r="EF617" s="98"/>
      <c r="EG617" s="159"/>
      <c r="EH617" s="277"/>
      <c r="EI617" s="50">
        <f t="shared" si="250"/>
        <v>0</v>
      </c>
      <c r="EJ617" s="103">
        <f t="shared" si="251"/>
        <v>0</v>
      </c>
      <c r="EK617" s="164">
        <f t="shared" si="252"/>
        <v>0</v>
      </c>
      <c r="EL617" s="280">
        <f t="shared" si="253"/>
        <v>0</v>
      </c>
      <c r="EM617" s="63">
        <f t="shared" si="254"/>
        <v>0</v>
      </c>
      <c r="EN617" s="359">
        <f t="shared" si="255"/>
        <v>0</v>
      </c>
      <c r="EO617" s="51">
        <f t="shared" si="256"/>
        <v>0</v>
      </c>
      <c r="EP617" s="361">
        <f t="shared" si="257"/>
        <v>0</v>
      </c>
      <c r="EQ617" s="281"/>
      <c r="ER617" s="277"/>
      <c r="ES617" s="281"/>
      <c r="ET617" s="277"/>
      <c r="EU617" s="281"/>
      <c r="EV617" s="277"/>
      <c r="EW617" s="281"/>
      <c r="EX617" s="277"/>
      <c r="EY617" s="281"/>
      <c r="EZ617" s="277"/>
      <c r="FA617" s="281"/>
      <c r="FB617" s="277"/>
      <c r="FC617" s="281"/>
      <c r="FD617" s="277"/>
      <c r="FE617" s="281"/>
      <c r="FF617" s="277"/>
      <c r="FG617" s="281"/>
      <c r="FH617" s="277"/>
      <c r="FI617" s="281"/>
      <c r="FJ617" s="277"/>
      <c r="FK617" s="50">
        <f t="shared" si="258"/>
        <v>0</v>
      </c>
      <c r="FL617" s="63">
        <f t="shared" si="259"/>
        <v>0</v>
      </c>
      <c r="FM617" s="50">
        <f t="shared" si="241"/>
        <v>538</v>
      </c>
      <c r="FN617" s="360">
        <f t="shared" si="242"/>
        <v>725</v>
      </c>
      <c r="FO617" s="43"/>
      <c r="FP617" s="279"/>
      <c r="FQ617" s="467"/>
      <c r="FR617" s="296"/>
      <c r="FS617" s="98"/>
      <c r="FT617" s="467"/>
      <c r="FU617" s="52"/>
      <c r="FV617" s="296"/>
      <c r="FW617" s="98"/>
      <c r="FX617" s="467"/>
      <c r="FY617" s="52"/>
      <c r="FZ617" s="296"/>
      <c r="GA617" s="98"/>
      <c r="GB617" s="467"/>
      <c r="GC617" s="52"/>
      <c r="GD617" s="296"/>
      <c r="GE617" s="98"/>
      <c r="GF617" s="467"/>
      <c r="GG617" s="52"/>
      <c r="GH617" s="296"/>
      <c r="GI617" s="98"/>
      <c r="GJ617" s="467"/>
      <c r="GK617" s="52"/>
      <c r="GL617" s="296"/>
      <c r="GM617" s="464"/>
      <c r="GN617" s="467"/>
      <c r="GO617" s="52"/>
      <c r="GP617" s="296"/>
      <c r="GQ617" s="464"/>
      <c r="GR617" s="467"/>
      <c r="GS617" s="52"/>
      <c r="GT617" s="296"/>
      <c r="GU617" s="464"/>
      <c r="GV617" s="467"/>
      <c r="GW617" s="52"/>
      <c r="GX617" s="296"/>
      <c r="GY617" s="464"/>
      <c r="GZ617" s="467"/>
      <c r="HA617" s="52"/>
      <c r="HB617" s="296"/>
      <c r="HC617" s="43"/>
    </row>
    <row r="618" spans="1:211" s="85" customFormat="1">
      <c r="A618" s="502" t="s">
        <v>951</v>
      </c>
      <c r="B618" s="315" t="s">
        <v>841</v>
      </c>
      <c r="C618" s="314">
        <v>420398</v>
      </c>
      <c r="D618" s="343">
        <v>8</v>
      </c>
      <c r="E618" s="460">
        <v>63</v>
      </c>
      <c r="F618" s="552">
        <v>126</v>
      </c>
      <c r="G618" s="158"/>
      <c r="H618" s="277"/>
      <c r="I618" s="158">
        <v>552</v>
      </c>
      <c r="J618" s="551">
        <v>701</v>
      </c>
      <c r="K618" s="160">
        <f t="shared" si="243"/>
        <v>0</v>
      </c>
      <c r="L618" s="161">
        <f t="shared" si="236"/>
        <v>0</v>
      </c>
      <c r="M618" s="54"/>
      <c r="N618" s="55"/>
      <c r="O618" s="55"/>
      <c r="P618" s="55"/>
      <c r="Q618" s="162">
        <f t="shared" si="244"/>
        <v>0</v>
      </c>
      <c r="R618" s="277"/>
      <c r="S618" s="277"/>
      <c r="T618" s="277"/>
      <c r="U618" s="277"/>
      <c r="V618" s="97">
        <f t="shared" si="245"/>
        <v>0</v>
      </c>
      <c r="W618" s="279"/>
      <c r="X618" s="52"/>
      <c r="Y618" s="99"/>
      <c r="Z618" s="53"/>
      <c r="AA618" s="228"/>
      <c r="AB618" s="52"/>
      <c r="AC618" s="99"/>
      <c r="AD618" s="53"/>
      <c r="AE618" s="228"/>
      <c r="AF618" s="52"/>
      <c r="AG618" s="99"/>
      <c r="AH618" s="53"/>
      <c r="AI618" s="228"/>
      <c r="AJ618" s="52"/>
      <c r="AK618" s="99"/>
      <c r="AL618" s="53"/>
      <c r="AM618" s="228"/>
      <c r="AN618" s="52"/>
      <c r="AO618" s="99"/>
      <c r="AP618" s="53"/>
      <c r="AQ618" s="50">
        <f t="shared" si="237"/>
        <v>0</v>
      </c>
      <c r="AR618" s="163">
        <f t="shared" si="238"/>
        <v>0</v>
      </c>
      <c r="AS618" s="97">
        <f t="shared" si="239"/>
        <v>0</v>
      </c>
      <c r="AT618" s="278">
        <f t="shared" si="240"/>
        <v>0</v>
      </c>
      <c r="AU618" s="55"/>
      <c r="AV618" s="277"/>
      <c r="AW618" s="279"/>
      <c r="AX618" s="52"/>
      <c r="AY618" s="105"/>
      <c r="AZ618" s="98"/>
      <c r="BA618" s="279"/>
      <c r="BB618" s="52"/>
      <c r="BC618" s="105"/>
      <c r="BD618" s="98"/>
      <c r="BE618" s="279"/>
      <c r="BF618" s="52"/>
      <c r="BG618" s="105"/>
      <c r="BH618" s="98"/>
      <c r="BI618" s="279"/>
      <c r="BJ618" s="52"/>
      <c r="BK618" s="105"/>
      <c r="BL618" s="98"/>
      <c r="BM618" s="279"/>
      <c r="BN618" s="52"/>
      <c r="BO618" s="105"/>
      <c r="BP618" s="98"/>
      <c r="BQ618" s="279"/>
      <c r="BR618" s="52"/>
      <c r="BS618" s="105"/>
      <c r="BT618" s="98"/>
      <c r="BU618" s="279"/>
      <c r="BV618" s="52"/>
      <c r="BW618" s="105"/>
      <c r="BX618" s="98"/>
      <c r="BY618" s="279"/>
      <c r="BZ618" s="52"/>
      <c r="CA618" s="105"/>
      <c r="CB618" s="98"/>
      <c r="CC618" s="279"/>
      <c r="CD618" s="52"/>
      <c r="CE618" s="105"/>
      <c r="CF618" s="98"/>
      <c r="CG618" s="279"/>
      <c r="CH618" s="52"/>
      <c r="CI618" s="105"/>
      <c r="CJ618" s="98"/>
      <c r="CK618" s="281"/>
      <c r="CL618" s="277"/>
      <c r="CM618" s="159"/>
      <c r="CN618" s="277"/>
      <c r="CO618" s="50">
        <f t="shared" si="246"/>
        <v>0</v>
      </c>
      <c r="CP618" s="103">
        <f t="shared" si="247"/>
        <v>0</v>
      </c>
      <c r="CQ618" s="280">
        <f t="shared" si="248"/>
        <v>0</v>
      </c>
      <c r="CR618" s="63">
        <f t="shared" si="249"/>
        <v>0</v>
      </c>
      <c r="CS618" s="279"/>
      <c r="CT618" s="52"/>
      <c r="CU618" s="105"/>
      <c r="CV618" s="98"/>
      <c r="CW618" s="279"/>
      <c r="CX618" s="52"/>
      <c r="CY618" s="105"/>
      <c r="CZ618" s="98"/>
      <c r="DA618" s="279"/>
      <c r="DB618" s="52"/>
      <c r="DC618" s="105"/>
      <c r="DD618" s="98"/>
      <c r="DE618" s="279"/>
      <c r="DF618" s="52"/>
      <c r="DG618" s="105"/>
      <c r="DH618" s="98"/>
      <c r="DI618" s="279"/>
      <c r="DJ618" s="52"/>
      <c r="DK618" s="105"/>
      <c r="DL618" s="98"/>
      <c r="DM618" s="279"/>
      <c r="DN618" s="52"/>
      <c r="DO618" s="105"/>
      <c r="DP618" s="98"/>
      <c r="DQ618" s="279"/>
      <c r="DR618" s="52"/>
      <c r="DS618" s="105"/>
      <c r="DT618" s="98"/>
      <c r="DU618" s="279"/>
      <c r="DV618" s="52"/>
      <c r="DW618" s="105"/>
      <c r="DX618" s="98"/>
      <c r="DY618" s="279"/>
      <c r="DZ618" s="52"/>
      <c r="EA618" s="105"/>
      <c r="EB618" s="98"/>
      <c r="EC618" s="279"/>
      <c r="ED618" s="52"/>
      <c r="EE618" s="105"/>
      <c r="EF618" s="98"/>
      <c r="EG618" s="159"/>
      <c r="EH618" s="277"/>
      <c r="EI618" s="50">
        <f t="shared" si="250"/>
        <v>0</v>
      </c>
      <c r="EJ618" s="103">
        <f t="shared" si="251"/>
        <v>0</v>
      </c>
      <c r="EK618" s="164">
        <f t="shared" si="252"/>
        <v>0</v>
      </c>
      <c r="EL618" s="280">
        <f t="shared" si="253"/>
        <v>0</v>
      </c>
      <c r="EM618" s="63">
        <f t="shared" si="254"/>
        <v>0</v>
      </c>
      <c r="EN618" s="359">
        <f t="shared" si="255"/>
        <v>0</v>
      </c>
      <c r="EO618" s="51">
        <f t="shared" si="256"/>
        <v>0</v>
      </c>
      <c r="EP618" s="361">
        <f t="shared" si="257"/>
        <v>0</v>
      </c>
      <c r="EQ618" s="281"/>
      <c r="ER618" s="277"/>
      <c r="ES618" s="281"/>
      <c r="ET618" s="277"/>
      <c r="EU618" s="281"/>
      <c r="EV618" s="277"/>
      <c r="EW618" s="281"/>
      <c r="EX618" s="277"/>
      <c r="EY618" s="281"/>
      <c r="EZ618" s="277"/>
      <c r="FA618" s="281"/>
      <c r="FB618" s="277"/>
      <c r="FC618" s="281"/>
      <c r="FD618" s="277"/>
      <c r="FE618" s="281"/>
      <c r="FF618" s="277"/>
      <c r="FG618" s="281"/>
      <c r="FH618" s="277"/>
      <c r="FI618" s="281"/>
      <c r="FJ618" s="277"/>
      <c r="FK618" s="50">
        <f t="shared" si="258"/>
        <v>0</v>
      </c>
      <c r="FL618" s="63">
        <f t="shared" si="259"/>
        <v>0</v>
      </c>
      <c r="FM618" s="50">
        <f t="shared" si="241"/>
        <v>615</v>
      </c>
      <c r="FN618" s="360">
        <f t="shared" si="242"/>
        <v>827</v>
      </c>
      <c r="FO618" s="43"/>
      <c r="FP618" s="279"/>
      <c r="FQ618" s="467"/>
      <c r="FR618" s="296"/>
      <c r="FS618" s="98"/>
      <c r="FT618" s="467"/>
      <c r="FU618" s="52"/>
      <c r="FV618" s="296"/>
      <c r="FW618" s="98"/>
      <c r="FX618" s="467"/>
      <c r="FY618" s="52"/>
      <c r="FZ618" s="296"/>
      <c r="GA618" s="98"/>
      <c r="GB618" s="467"/>
      <c r="GC618" s="52"/>
      <c r="GD618" s="296"/>
      <c r="GE618" s="98"/>
      <c r="GF618" s="467"/>
      <c r="GG618" s="52"/>
      <c r="GH618" s="296"/>
      <c r="GI618" s="98"/>
      <c r="GJ618" s="467"/>
      <c r="GK618" s="52"/>
      <c r="GL618" s="296"/>
      <c r="GM618" s="464"/>
      <c r="GN618" s="467"/>
      <c r="GO618" s="52"/>
      <c r="GP618" s="296"/>
      <c r="GQ618" s="464"/>
      <c r="GR618" s="467"/>
      <c r="GS618" s="52"/>
      <c r="GT618" s="296"/>
      <c r="GU618" s="464"/>
      <c r="GV618" s="467"/>
      <c r="GW618" s="52"/>
      <c r="GX618" s="296"/>
      <c r="GY618" s="464"/>
      <c r="GZ618" s="467"/>
      <c r="HA618" s="52"/>
      <c r="HB618" s="296"/>
      <c r="HC618" s="43"/>
    </row>
    <row r="619" spans="1:211" s="85" customFormat="1">
      <c r="A619" s="502" t="s">
        <v>951</v>
      </c>
      <c r="B619" s="315" t="s">
        <v>842</v>
      </c>
      <c r="C619" s="314">
        <v>246354</v>
      </c>
      <c r="D619" s="343">
        <v>8</v>
      </c>
      <c r="E619" s="460">
        <v>120</v>
      </c>
      <c r="F619" s="552">
        <v>94</v>
      </c>
      <c r="G619" s="158"/>
      <c r="H619" s="277"/>
      <c r="I619" s="158">
        <v>610</v>
      </c>
      <c r="J619" s="551">
        <v>618</v>
      </c>
      <c r="K619" s="160">
        <f t="shared" si="243"/>
        <v>0</v>
      </c>
      <c r="L619" s="161">
        <f t="shared" si="236"/>
        <v>0</v>
      </c>
      <c r="M619" s="54"/>
      <c r="N619" s="55"/>
      <c r="O619" s="55"/>
      <c r="P619" s="55"/>
      <c r="Q619" s="162">
        <f t="shared" si="244"/>
        <v>0</v>
      </c>
      <c r="R619" s="277"/>
      <c r="S619" s="277"/>
      <c r="T619" s="277"/>
      <c r="U619" s="277"/>
      <c r="V619" s="97">
        <f t="shared" si="245"/>
        <v>0</v>
      </c>
      <c r="W619" s="279"/>
      <c r="X619" s="52"/>
      <c r="Y619" s="99"/>
      <c r="Z619" s="53"/>
      <c r="AA619" s="228"/>
      <c r="AB619" s="52"/>
      <c r="AC619" s="99"/>
      <c r="AD619" s="53"/>
      <c r="AE619" s="228"/>
      <c r="AF619" s="52"/>
      <c r="AG619" s="99"/>
      <c r="AH619" s="53"/>
      <c r="AI619" s="228"/>
      <c r="AJ619" s="52"/>
      <c r="AK619" s="99"/>
      <c r="AL619" s="53"/>
      <c r="AM619" s="228"/>
      <c r="AN619" s="52"/>
      <c r="AO619" s="99"/>
      <c r="AP619" s="53"/>
      <c r="AQ619" s="50">
        <f t="shared" si="237"/>
        <v>0</v>
      </c>
      <c r="AR619" s="163">
        <f t="shared" si="238"/>
        <v>0</v>
      </c>
      <c r="AS619" s="97">
        <f t="shared" si="239"/>
        <v>0</v>
      </c>
      <c r="AT619" s="278">
        <f t="shared" si="240"/>
        <v>0</v>
      </c>
      <c r="AU619" s="55"/>
      <c r="AV619" s="277"/>
      <c r="AW619" s="279"/>
      <c r="AX619" s="52"/>
      <c r="AY619" s="105"/>
      <c r="AZ619" s="98"/>
      <c r="BA619" s="279"/>
      <c r="BB619" s="52"/>
      <c r="BC619" s="105"/>
      <c r="BD619" s="98"/>
      <c r="BE619" s="279"/>
      <c r="BF619" s="52"/>
      <c r="BG619" s="105"/>
      <c r="BH619" s="98"/>
      <c r="BI619" s="279"/>
      <c r="BJ619" s="52"/>
      <c r="BK619" s="105"/>
      <c r="BL619" s="98"/>
      <c r="BM619" s="279"/>
      <c r="BN619" s="52"/>
      <c r="BO619" s="105"/>
      <c r="BP619" s="98"/>
      <c r="BQ619" s="279"/>
      <c r="BR619" s="52"/>
      <c r="BS619" s="105"/>
      <c r="BT619" s="98"/>
      <c r="BU619" s="279"/>
      <c r="BV619" s="52"/>
      <c r="BW619" s="105"/>
      <c r="BX619" s="98"/>
      <c r="BY619" s="279"/>
      <c r="BZ619" s="52"/>
      <c r="CA619" s="105"/>
      <c r="CB619" s="98"/>
      <c r="CC619" s="279"/>
      <c r="CD619" s="52"/>
      <c r="CE619" s="105"/>
      <c r="CF619" s="98"/>
      <c r="CG619" s="279"/>
      <c r="CH619" s="52"/>
      <c r="CI619" s="105"/>
      <c r="CJ619" s="98"/>
      <c r="CK619" s="281"/>
      <c r="CL619" s="277"/>
      <c r="CM619" s="159"/>
      <c r="CN619" s="277"/>
      <c r="CO619" s="50">
        <f t="shared" si="246"/>
        <v>0</v>
      </c>
      <c r="CP619" s="103">
        <f t="shared" si="247"/>
        <v>0</v>
      </c>
      <c r="CQ619" s="280">
        <f t="shared" si="248"/>
        <v>0</v>
      </c>
      <c r="CR619" s="63">
        <f t="shared" si="249"/>
        <v>0</v>
      </c>
      <c r="CS619" s="279"/>
      <c r="CT619" s="52"/>
      <c r="CU619" s="105"/>
      <c r="CV619" s="98"/>
      <c r="CW619" s="279"/>
      <c r="CX619" s="52"/>
      <c r="CY619" s="105"/>
      <c r="CZ619" s="98"/>
      <c r="DA619" s="279"/>
      <c r="DB619" s="52"/>
      <c r="DC619" s="105"/>
      <c r="DD619" s="98"/>
      <c r="DE619" s="279"/>
      <c r="DF619" s="52"/>
      <c r="DG619" s="105"/>
      <c r="DH619" s="98"/>
      <c r="DI619" s="279"/>
      <c r="DJ619" s="52"/>
      <c r="DK619" s="105"/>
      <c r="DL619" s="98"/>
      <c r="DM619" s="279"/>
      <c r="DN619" s="52"/>
      <c r="DO619" s="105"/>
      <c r="DP619" s="98"/>
      <c r="DQ619" s="279"/>
      <c r="DR619" s="52"/>
      <c r="DS619" s="105"/>
      <c r="DT619" s="98"/>
      <c r="DU619" s="279"/>
      <c r="DV619" s="52"/>
      <c r="DW619" s="105"/>
      <c r="DX619" s="98"/>
      <c r="DY619" s="279"/>
      <c r="DZ619" s="52"/>
      <c r="EA619" s="105"/>
      <c r="EB619" s="98"/>
      <c r="EC619" s="279"/>
      <c r="ED619" s="52"/>
      <c r="EE619" s="105"/>
      <c r="EF619" s="98"/>
      <c r="EG619" s="159"/>
      <c r="EH619" s="277"/>
      <c r="EI619" s="50">
        <f t="shared" si="250"/>
        <v>0</v>
      </c>
      <c r="EJ619" s="103">
        <f t="shared" si="251"/>
        <v>0</v>
      </c>
      <c r="EK619" s="164">
        <f t="shared" si="252"/>
        <v>0</v>
      </c>
      <c r="EL619" s="280">
        <f t="shared" si="253"/>
        <v>0</v>
      </c>
      <c r="EM619" s="63">
        <f t="shared" si="254"/>
        <v>0</v>
      </c>
      <c r="EN619" s="359">
        <f t="shared" si="255"/>
        <v>0</v>
      </c>
      <c r="EO619" s="51">
        <f t="shared" si="256"/>
        <v>0</v>
      </c>
      <c r="EP619" s="361">
        <f t="shared" si="257"/>
        <v>0</v>
      </c>
      <c r="EQ619" s="281"/>
      <c r="ER619" s="277"/>
      <c r="ES619" s="281"/>
      <c r="ET619" s="277"/>
      <c r="EU619" s="281"/>
      <c r="EV619" s="277"/>
      <c r="EW619" s="281"/>
      <c r="EX619" s="277"/>
      <c r="EY619" s="281"/>
      <c r="EZ619" s="277"/>
      <c r="FA619" s="281"/>
      <c r="FB619" s="277"/>
      <c r="FC619" s="281"/>
      <c r="FD619" s="277"/>
      <c r="FE619" s="281"/>
      <c r="FF619" s="277"/>
      <c r="FG619" s="281"/>
      <c r="FH619" s="277"/>
      <c r="FI619" s="281"/>
      <c r="FJ619" s="277"/>
      <c r="FK619" s="50">
        <f t="shared" si="258"/>
        <v>0</v>
      </c>
      <c r="FL619" s="63">
        <f t="shared" si="259"/>
        <v>0</v>
      </c>
      <c r="FM619" s="50">
        <f t="shared" si="241"/>
        <v>730</v>
      </c>
      <c r="FN619" s="360">
        <f t="shared" si="242"/>
        <v>712</v>
      </c>
      <c r="FO619" s="43"/>
      <c r="FP619" s="279"/>
      <c r="FQ619" s="467"/>
      <c r="FR619" s="296"/>
      <c r="FS619" s="98"/>
      <c r="FT619" s="467"/>
      <c r="FU619" s="52"/>
      <c r="FV619" s="296"/>
      <c r="FW619" s="98"/>
      <c r="FX619" s="467"/>
      <c r="FY619" s="52"/>
      <c r="FZ619" s="296"/>
      <c r="GA619" s="98"/>
      <c r="GB619" s="467"/>
      <c r="GC619" s="52"/>
      <c r="GD619" s="296"/>
      <c r="GE619" s="98"/>
      <c r="GF619" s="467"/>
      <c r="GG619" s="52"/>
      <c r="GH619" s="296"/>
      <c r="GI619" s="98"/>
      <c r="GJ619" s="467"/>
      <c r="GK619" s="52"/>
      <c r="GL619" s="296"/>
      <c r="GM619" s="464"/>
      <c r="GN619" s="467"/>
      <c r="GO619" s="52"/>
      <c r="GP619" s="296"/>
      <c r="GQ619" s="464"/>
      <c r="GR619" s="467"/>
      <c r="GS619" s="52"/>
      <c r="GT619" s="296"/>
      <c r="GU619" s="464"/>
      <c r="GV619" s="467"/>
      <c r="GW619" s="52"/>
      <c r="GX619" s="296"/>
      <c r="GY619" s="464"/>
      <c r="GZ619" s="467"/>
      <c r="HA619" s="52"/>
      <c r="HB619" s="296"/>
      <c r="HC619" s="43"/>
    </row>
    <row r="620" spans="1:211" s="85" customFormat="1">
      <c r="A620" s="502" t="s">
        <v>951</v>
      </c>
      <c r="B620" s="315" t="s">
        <v>843</v>
      </c>
      <c r="C620" s="314">
        <v>227766</v>
      </c>
      <c r="D620" s="343">
        <v>8</v>
      </c>
      <c r="E620" s="460">
        <v>200</v>
      </c>
      <c r="F620" s="552">
        <v>235</v>
      </c>
      <c r="G620" s="158"/>
      <c r="H620" s="277"/>
      <c r="I620" s="158">
        <v>857</v>
      </c>
      <c r="J620" s="551">
        <v>918</v>
      </c>
      <c r="K620" s="160">
        <f t="shared" si="243"/>
        <v>0</v>
      </c>
      <c r="L620" s="161">
        <f t="shared" si="236"/>
        <v>0</v>
      </c>
      <c r="M620" s="54"/>
      <c r="N620" s="55"/>
      <c r="O620" s="55"/>
      <c r="P620" s="55"/>
      <c r="Q620" s="162">
        <f t="shared" si="244"/>
        <v>0</v>
      </c>
      <c r="R620" s="277"/>
      <c r="S620" s="277"/>
      <c r="T620" s="277"/>
      <c r="U620" s="277"/>
      <c r="V620" s="97">
        <f t="shared" si="245"/>
        <v>0</v>
      </c>
      <c r="W620" s="279"/>
      <c r="X620" s="52"/>
      <c r="Y620" s="99"/>
      <c r="Z620" s="53"/>
      <c r="AA620" s="228"/>
      <c r="AB620" s="52"/>
      <c r="AC620" s="99"/>
      <c r="AD620" s="53"/>
      <c r="AE620" s="228"/>
      <c r="AF620" s="52"/>
      <c r="AG620" s="99"/>
      <c r="AH620" s="53"/>
      <c r="AI620" s="228"/>
      <c r="AJ620" s="52"/>
      <c r="AK620" s="99"/>
      <c r="AL620" s="53"/>
      <c r="AM620" s="228"/>
      <c r="AN620" s="52"/>
      <c r="AO620" s="99"/>
      <c r="AP620" s="53"/>
      <c r="AQ620" s="50">
        <f t="shared" si="237"/>
        <v>0</v>
      </c>
      <c r="AR620" s="163">
        <f t="shared" si="238"/>
        <v>0</v>
      </c>
      <c r="AS620" s="97">
        <f t="shared" si="239"/>
        <v>0</v>
      </c>
      <c r="AT620" s="278">
        <f t="shared" si="240"/>
        <v>0</v>
      </c>
      <c r="AU620" s="55"/>
      <c r="AV620" s="277"/>
      <c r="AW620" s="279"/>
      <c r="AX620" s="52"/>
      <c r="AY620" s="105"/>
      <c r="AZ620" s="98"/>
      <c r="BA620" s="279"/>
      <c r="BB620" s="52"/>
      <c r="BC620" s="105"/>
      <c r="BD620" s="98"/>
      <c r="BE620" s="279"/>
      <c r="BF620" s="52"/>
      <c r="BG620" s="105"/>
      <c r="BH620" s="98"/>
      <c r="BI620" s="279"/>
      <c r="BJ620" s="52"/>
      <c r="BK620" s="105"/>
      <c r="BL620" s="98"/>
      <c r="BM620" s="279"/>
      <c r="BN620" s="52"/>
      <c r="BO620" s="105"/>
      <c r="BP620" s="98"/>
      <c r="BQ620" s="279"/>
      <c r="BR620" s="52"/>
      <c r="BS620" s="105"/>
      <c r="BT620" s="98"/>
      <c r="BU620" s="279"/>
      <c r="BV620" s="52"/>
      <c r="BW620" s="105"/>
      <c r="BX620" s="98"/>
      <c r="BY620" s="279"/>
      <c r="BZ620" s="52"/>
      <c r="CA620" s="105"/>
      <c r="CB620" s="98"/>
      <c r="CC620" s="279"/>
      <c r="CD620" s="52"/>
      <c r="CE620" s="105"/>
      <c r="CF620" s="98"/>
      <c r="CG620" s="279"/>
      <c r="CH620" s="52"/>
      <c r="CI620" s="105"/>
      <c r="CJ620" s="98"/>
      <c r="CK620" s="281"/>
      <c r="CL620" s="277"/>
      <c r="CM620" s="159"/>
      <c r="CN620" s="277"/>
      <c r="CO620" s="50">
        <f t="shared" si="246"/>
        <v>0</v>
      </c>
      <c r="CP620" s="103">
        <f t="shared" si="247"/>
        <v>0</v>
      </c>
      <c r="CQ620" s="280">
        <f t="shared" si="248"/>
        <v>0</v>
      </c>
      <c r="CR620" s="63">
        <f t="shared" si="249"/>
        <v>0</v>
      </c>
      <c r="CS620" s="279"/>
      <c r="CT620" s="52"/>
      <c r="CU620" s="105"/>
      <c r="CV620" s="98"/>
      <c r="CW620" s="279"/>
      <c r="CX620" s="52"/>
      <c r="CY620" s="105"/>
      <c r="CZ620" s="98"/>
      <c r="DA620" s="279"/>
      <c r="DB620" s="52"/>
      <c r="DC620" s="105"/>
      <c r="DD620" s="98"/>
      <c r="DE620" s="279"/>
      <c r="DF620" s="52"/>
      <c r="DG620" s="105"/>
      <c r="DH620" s="98"/>
      <c r="DI620" s="279"/>
      <c r="DJ620" s="52"/>
      <c r="DK620" s="105"/>
      <c r="DL620" s="98"/>
      <c r="DM620" s="279"/>
      <c r="DN620" s="52"/>
      <c r="DO620" s="105"/>
      <c r="DP620" s="98"/>
      <c r="DQ620" s="279"/>
      <c r="DR620" s="52"/>
      <c r="DS620" s="105"/>
      <c r="DT620" s="98"/>
      <c r="DU620" s="279"/>
      <c r="DV620" s="52"/>
      <c r="DW620" s="105"/>
      <c r="DX620" s="98"/>
      <c r="DY620" s="279"/>
      <c r="DZ620" s="52"/>
      <c r="EA620" s="105"/>
      <c r="EB620" s="98"/>
      <c r="EC620" s="279"/>
      <c r="ED620" s="52"/>
      <c r="EE620" s="105"/>
      <c r="EF620" s="98"/>
      <c r="EG620" s="159"/>
      <c r="EH620" s="277"/>
      <c r="EI620" s="50">
        <f t="shared" si="250"/>
        <v>0</v>
      </c>
      <c r="EJ620" s="103">
        <f t="shared" si="251"/>
        <v>0</v>
      </c>
      <c r="EK620" s="164">
        <f t="shared" si="252"/>
        <v>0</v>
      </c>
      <c r="EL620" s="280">
        <f t="shared" si="253"/>
        <v>0</v>
      </c>
      <c r="EM620" s="63">
        <f t="shared" si="254"/>
        <v>0</v>
      </c>
      <c r="EN620" s="359">
        <f t="shared" si="255"/>
        <v>0</v>
      </c>
      <c r="EO620" s="51">
        <f t="shared" si="256"/>
        <v>0</v>
      </c>
      <c r="EP620" s="361">
        <f t="shared" si="257"/>
        <v>0</v>
      </c>
      <c r="EQ620" s="281"/>
      <c r="ER620" s="277"/>
      <c r="ES620" s="281"/>
      <c r="ET620" s="277"/>
      <c r="EU620" s="281"/>
      <c r="EV620" s="277"/>
      <c r="EW620" s="281"/>
      <c r="EX620" s="277"/>
      <c r="EY620" s="281"/>
      <c r="EZ620" s="277"/>
      <c r="FA620" s="281"/>
      <c r="FB620" s="277"/>
      <c r="FC620" s="281"/>
      <c r="FD620" s="277"/>
      <c r="FE620" s="281"/>
      <c r="FF620" s="277"/>
      <c r="FG620" s="281"/>
      <c r="FH620" s="277"/>
      <c r="FI620" s="281"/>
      <c r="FJ620" s="277"/>
      <c r="FK620" s="50">
        <f t="shared" si="258"/>
        <v>0</v>
      </c>
      <c r="FL620" s="63">
        <f t="shared" si="259"/>
        <v>0</v>
      </c>
      <c r="FM620" s="50">
        <f t="shared" si="241"/>
        <v>1057</v>
      </c>
      <c r="FN620" s="360">
        <f t="shared" si="242"/>
        <v>1153</v>
      </c>
      <c r="FO620" s="43"/>
      <c r="FP620" s="279"/>
      <c r="FQ620" s="467"/>
      <c r="FR620" s="296"/>
      <c r="FS620" s="98"/>
      <c r="FT620" s="467"/>
      <c r="FU620" s="52"/>
      <c r="FV620" s="296"/>
      <c r="FW620" s="98"/>
      <c r="FX620" s="467"/>
      <c r="FY620" s="52"/>
      <c r="FZ620" s="296"/>
      <c r="GA620" s="98"/>
      <c r="GB620" s="467"/>
      <c r="GC620" s="52"/>
      <c r="GD620" s="296"/>
      <c r="GE620" s="98"/>
      <c r="GF620" s="467"/>
      <c r="GG620" s="52"/>
      <c r="GH620" s="296"/>
      <c r="GI620" s="98"/>
      <c r="GJ620" s="467"/>
      <c r="GK620" s="52"/>
      <c r="GL620" s="296"/>
      <c r="GM620" s="464"/>
      <c r="GN620" s="467"/>
      <c r="GO620" s="52"/>
      <c r="GP620" s="296"/>
      <c r="GQ620" s="464"/>
      <c r="GR620" s="467"/>
      <c r="GS620" s="52"/>
      <c r="GT620" s="296"/>
      <c r="GU620" s="464"/>
      <c r="GV620" s="467"/>
      <c r="GW620" s="52"/>
      <c r="GX620" s="296"/>
      <c r="GY620" s="464"/>
      <c r="GZ620" s="467"/>
      <c r="HA620" s="52"/>
      <c r="HB620" s="296"/>
      <c r="HC620" s="43"/>
    </row>
    <row r="621" spans="1:211" s="85" customFormat="1">
      <c r="A621" s="502" t="s">
        <v>951</v>
      </c>
      <c r="B621" s="315" t="s">
        <v>844</v>
      </c>
      <c r="C621" s="314">
        <v>227924</v>
      </c>
      <c r="D621" s="343">
        <v>8</v>
      </c>
      <c r="E621" s="460">
        <v>540</v>
      </c>
      <c r="F621" s="552">
        <v>652</v>
      </c>
      <c r="G621" s="158"/>
      <c r="H621" s="277"/>
      <c r="I621" s="158">
        <v>1062</v>
      </c>
      <c r="J621" s="551">
        <v>1186</v>
      </c>
      <c r="K621" s="160">
        <f t="shared" si="243"/>
        <v>0</v>
      </c>
      <c r="L621" s="161">
        <f t="shared" si="236"/>
        <v>0</v>
      </c>
      <c r="M621" s="54"/>
      <c r="N621" s="55"/>
      <c r="O621" s="55"/>
      <c r="P621" s="55"/>
      <c r="Q621" s="162">
        <f t="shared" si="244"/>
        <v>0</v>
      </c>
      <c r="R621" s="277"/>
      <c r="S621" s="277"/>
      <c r="T621" s="277"/>
      <c r="U621" s="277"/>
      <c r="V621" s="97">
        <f t="shared" si="245"/>
        <v>0</v>
      </c>
      <c r="W621" s="279"/>
      <c r="X621" s="52"/>
      <c r="Y621" s="99"/>
      <c r="Z621" s="53"/>
      <c r="AA621" s="228"/>
      <c r="AB621" s="52"/>
      <c r="AC621" s="99"/>
      <c r="AD621" s="53"/>
      <c r="AE621" s="228"/>
      <c r="AF621" s="52"/>
      <c r="AG621" s="99"/>
      <c r="AH621" s="53"/>
      <c r="AI621" s="228"/>
      <c r="AJ621" s="52"/>
      <c r="AK621" s="99"/>
      <c r="AL621" s="53"/>
      <c r="AM621" s="228"/>
      <c r="AN621" s="52"/>
      <c r="AO621" s="99"/>
      <c r="AP621" s="53"/>
      <c r="AQ621" s="50">
        <f t="shared" si="237"/>
        <v>0</v>
      </c>
      <c r="AR621" s="163">
        <f t="shared" si="238"/>
        <v>0</v>
      </c>
      <c r="AS621" s="97">
        <f t="shared" si="239"/>
        <v>0</v>
      </c>
      <c r="AT621" s="278">
        <f t="shared" si="240"/>
        <v>0</v>
      </c>
      <c r="AU621" s="55"/>
      <c r="AV621" s="277"/>
      <c r="AW621" s="279"/>
      <c r="AX621" s="52"/>
      <c r="AY621" s="105"/>
      <c r="AZ621" s="98"/>
      <c r="BA621" s="279"/>
      <c r="BB621" s="52"/>
      <c r="BC621" s="105"/>
      <c r="BD621" s="98"/>
      <c r="BE621" s="279"/>
      <c r="BF621" s="52"/>
      <c r="BG621" s="105"/>
      <c r="BH621" s="98"/>
      <c r="BI621" s="279"/>
      <c r="BJ621" s="52"/>
      <c r="BK621" s="105"/>
      <c r="BL621" s="98"/>
      <c r="BM621" s="279"/>
      <c r="BN621" s="52"/>
      <c r="BO621" s="105"/>
      <c r="BP621" s="98"/>
      <c r="BQ621" s="279"/>
      <c r="BR621" s="52"/>
      <c r="BS621" s="105"/>
      <c r="BT621" s="98"/>
      <c r="BU621" s="279"/>
      <c r="BV621" s="52"/>
      <c r="BW621" s="105"/>
      <c r="BX621" s="98"/>
      <c r="BY621" s="279"/>
      <c r="BZ621" s="52"/>
      <c r="CA621" s="105"/>
      <c r="CB621" s="98"/>
      <c r="CC621" s="279"/>
      <c r="CD621" s="52"/>
      <c r="CE621" s="105"/>
      <c r="CF621" s="98"/>
      <c r="CG621" s="279"/>
      <c r="CH621" s="52"/>
      <c r="CI621" s="105"/>
      <c r="CJ621" s="98"/>
      <c r="CK621" s="281"/>
      <c r="CL621" s="277"/>
      <c r="CM621" s="159"/>
      <c r="CN621" s="277"/>
      <c r="CO621" s="50">
        <f t="shared" si="246"/>
        <v>0</v>
      </c>
      <c r="CP621" s="103">
        <f t="shared" si="247"/>
        <v>0</v>
      </c>
      <c r="CQ621" s="280">
        <f t="shared" si="248"/>
        <v>0</v>
      </c>
      <c r="CR621" s="63">
        <f t="shared" si="249"/>
        <v>0</v>
      </c>
      <c r="CS621" s="279"/>
      <c r="CT621" s="52"/>
      <c r="CU621" s="105"/>
      <c r="CV621" s="98"/>
      <c r="CW621" s="279"/>
      <c r="CX621" s="52"/>
      <c r="CY621" s="105"/>
      <c r="CZ621" s="98"/>
      <c r="DA621" s="279"/>
      <c r="DB621" s="52"/>
      <c r="DC621" s="105"/>
      <c r="DD621" s="98"/>
      <c r="DE621" s="279"/>
      <c r="DF621" s="52"/>
      <c r="DG621" s="105"/>
      <c r="DH621" s="98"/>
      <c r="DI621" s="279"/>
      <c r="DJ621" s="52"/>
      <c r="DK621" s="105"/>
      <c r="DL621" s="98"/>
      <c r="DM621" s="279"/>
      <c r="DN621" s="52"/>
      <c r="DO621" s="105"/>
      <c r="DP621" s="98"/>
      <c r="DQ621" s="279"/>
      <c r="DR621" s="52"/>
      <c r="DS621" s="105"/>
      <c r="DT621" s="98"/>
      <c r="DU621" s="279"/>
      <c r="DV621" s="52"/>
      <c r="DW621" s="105"/>
      <c r="DX621" s="98"/>
      <c r="DY621" s="279"/>
      <c r="DZ621" s="52"/>
      <c r="EA621" s="105"/>
      <c r="EB621" s="98"/>
      <c r="EC621" s="279"/>
      <c r="ED621" s="52"/>
      <c r="EE621" s="105"/>
      <c r="EF621" s="98"/>
      <c r="EG621" s="159"/>
      <c r="EH621" s="277"/>
      <c r="EI621" s="50">
        <f t="shared" si="250"/>
        <v>0</v>
      </c>
      <c r="EJ621" s="103">
        <f t="shared" si="251"/>
        <v>0</v>
      </c>
      <c r="EK621" s="164">
        <f t="shared" si="252"/>
        <v>0</v>
      </c>
      <c r="EL621" s="280">
        <f t="shared" si="253"/>
        <v>0</v>
      </c>
      <c r="EM621" s="63">
        <f t="shared" si="254"/>
        <v>0</v>
      </c>
      <c r="EN621" s="359">
        <f t="shared" si="255"/>
        <v>0</v>
      </c>
      <c r="EO621" s="51">
        <f t="shared" si="256"/>
        <v>0</v>
      </c>
      <c r="EP621" s="361">
        <f t="shared" si="257"/>
        <v>0</v>
      </c>
      <c r="EQ621" s="281"/>
      <c r="ER621" s="277"/>
      <c r="ES621" s="281"/>
      <c r="ET621" s="277"/>
      <c r="EU621" s="281"/>
      <c r="EV621" s="277"/>
      <c r="EW621" s="281"/>
      <c r="EX621" s="277"/>
      <c r="EY621" s="281"/>
      <c r="EZ621" s="277"/>
      <c r="FA621" s="281"/>
      <c r="FB621" s="277"/>
      <c r="FC621" s="281"/>
      <c r="FD621" s="277"/>
      <c r="FE621" s="281"/>
      <c r="FF621" s="277"/>
      <c r="FG621" s="281"/>
      <c r="FH621" s="277"/>
      <c r="FI621" s="281"/>
      <c r="FJ621" s="277"/>
      <c r="FK621" s="50">
        <f t="shared" si="258"/>
        <v>0</v>
      </c>
      <c r="FL621" s="63">
        <f t="shared" si="259"/>
        <v>0</v>
      </c>
      <c r="FM621" s="50">
        <f t="shared" si="241"/>
        <v>1602</v>
      </c>
      <c r="FN621" s="360">
        <f t="shared" si="242"/>
        <v>1838</v>
      </c>
      <c r="FO621" s="43"/>
      <c r="FP621" s="279"/>
      <c r="FQ621" s="467"/>
      <c r="FR621" s="296"/>
      <c r="FS621" s="98"/>
      <c r="FT621" s="467"/>
      <c r="FU621" s="52"/>
      <c r="FV621" s="296"/>
      <c r="FW621" s="98"/>
      <c r="FX621" s="467"/>
      <c r="FY621" s="52"/>
      <c r="FZ621" s="296"/>
      <c r="GA621" s="98"/>
      <c r="GB621" s="467"/>
      <c r="GC621" s="52"/>
      <c r="GD621" s="296"/>
      <c r="GE621" s="98"/>
      <c r="GF621" s="467"/>
      <c r="GG621" s="52"/>
      <c r="GH621" s="296"/>
      <c r="GI621" s="98"/>
      <c r="GJ621" s="467"/>
      <c r="GK621" s="52"/>
      <c r="GL621" s="296"/>
      <c r="GM621" s="464"/>
      <c r="GN621" s="467"/>
      <c r="GO621" s="52"/>
      <c r="GP621" s="296"/>
      <c r="GQ621" s="464"/>
      <c r="GR621" s="467"/>
      <c r="GS621" s="52"/>
      <c r="GT621" s="296"/>
      <c r="GU621" s="464"/>
      <c r="GV621" s="467"/>
      <c r="GW621" s="52"/>
      <c r="GX621" s="296"/>
      <c r="GY621" s="464"/>
      <c r="GZ621" s="467"/>
      <c r="HA621" s="52"/>
      <c r="HB621" s="296"/>
      <c r="HC621" s="43"/>
    </row>
    <row r="622" spans="1:211" s="85" customFormat="1">
      <c r="A622" s="502" t="s">
        <v>951</v>
      </c>
      <c r="B622" s="315" t="s">
        <v>845</v>
      </c>
      <c r="C622" s="314">
        <v>227979</v>
      </c>
      <c r="D622" s="343">
        <v>8</v>
      </c>
      <c r="E622" s="460">
        <v>969</v>
      </c>
      <c r="F622" s="552">
        <v>997</v>
      </c>
      <c r="G622" s="158"/>
      <c r="H622" s="277"/>
      <c r="I622" s="158">
        <v>1836</v>
      </c>
      <c r="J622" s="551">
        <v>1852</v>
      </c>
      <c r="K622" s="160">
        <f t="shared" si="243"/>
        <v>0</v>
      </c>
      <c r="L622" s="161">
        <f t="shared" si="236"/>
        <v>0</v>
      </c>
      <c r="M622" s="54"/>
      <c r="N622" s="55"/>
      <c r="O622" s="55"/>
      <c r="P622" s="55"/>
      <c r="Q622" s="162">
        <f t="shared" si="244"/>
        <v>0</v>
      </c>
      <c r="R622" s="277"/>
      <c r="S622" s="277"/>
      <c r="T622" s="277"/>
      <c r="U622" s="277"/>
      <c r="V622" s="97">
        <f t="shared" si="245"/>
        <v>0</v>
      </c>
      <c r="W622" s="279"/>
      <c r="X622" s="52"/>
      <c r="Y622" s="99"/>
      <c r="Z622" s="53"/>
      <c r="AA622" s="228"/>
      <c r="AB622" s="52"/>
      <c r="AC622" s="99"/>
      <c r="AD622" s="53"/>
      <c r="AE622" s="228"/>
      <c r="AF622" s="52"/>
      <c r="AG622" s="99"/>
      <c r="AH622" s="53"/>
      <c r="AI622" s="228"/>
      <c r="AJ622" s="52"/>
      <c r="AK622" s="99"/>
      <c r="AL622" s="53"/>
      <c r="AM622" s="228"/>
      <c r="AN622" s="52"/>
      <c r="AO622" s="99"/>
      <c r="AP622" s="53"/>
      <c r="AQ622" s="50">
        <f t="shared" si="237"/>
        <v>0</v>
      </c>
      <c r="AR622" s="163">
        <f t="shared" si="238"/>
        <v>0</v>
      </c>
      <c r="AS622" s="97">
        <f t="shared" si="239"/>
        <v>0</v>
      </c>
      <c r="AT622" s="278">
        <f t="shared" si="240"/>
        <v>0</v>
      </c>
      <c r="AU622" s="55"/>
      <c r="AV622" s="277"/>
      <c r="AW622" s="279"/>
      <c r="AX622" s="52"/>
      <c r="AY622" s="105"/>
      <c r="AZ622" s="98"/>
      <c r="BA622" s="279"/>
      <c r="BB622" s="52"/>
      <c r="BC622" s="105"/>
      <c r="BD622" s="98"/>
      <c r="BE622" s="279"/>
      <c r="BF622" s="52"/>
      <c r="BG622" s="105"/>
      <c r="BH622" s="98"/>
      <c r="BI622" s="279"/>
      <c r="BJ622" s="52"/>
      <c r="BK622" s="105"/>
      <c r="BL622" s="98"/>
      <c r="BM622" s="279"/>
      <c r="BN622" s="52"/>
      <c r="BO622" s="105"/>
      <c r="BP622" s="98"/>
      <c r="BQ622" s="279"/>
      <c r="BR622" s="52"/>
      <c r="BS622" s="105"/>
      <c r="BT622" s="98"/>
      <c r="BU622" s="279"/>
      <c r="BV622" s="52"/>
      <c r="BW622" s="105"/>
      <c r="BX622" s="98"/>
      <c r="BY622" s="279"/>
      <c r="BZ622" s="52"/>
      <c r="CA622" s="105"/>
      <c r="CB622" s="98"/>
      <c r="CC622" s="279"/>
      <c r="CD622" s="52"/>
      <c r="CE622" s="105"/>
      <c r="CF622" s="98"/>
      <c r="CG622" s="279"/>
      <c r="CH622" s="52"/>
      <c r="CI622" s="105"/>
      <c r="CJ622" s="98"/>
      <c r="CK622" s="281"/>
      <c r="CL622" s="277"/>
      <c r="CM622" s="159"/>
      <c r="CN622" s="277"/>
      <c r="CO622" s="50">
        <f t="shared" si="246"/>
        <v>0</v>
      </c>
      <c r="CP622" s="103">
        <f t="shared" si="247"/>
        <v>0</v>
      </c>
      <c r="CQ622" s="280">
        <f t="shared" si="248"/>
        <v>0</v>
      </c>
      <c r="CR622" s="63">
        <f t="shared" si="249"/>
        <v>0</v>
      </c>
      <c r="CS622" s="279"/>
      <c r="CT622" s="52"/>
      <c r="CU622" s="105"/>
      <c r="CV622" s="98"/>
      <c r="CW622" s="279"/>
      <c r="CX622" s="52"/>
      <c r="CY622" s="105"/>
      <c r="CZ622" s="98"/>
      <c r="DA622" s="279"/>
      <c r="DB622" s="52"/>
      <c r="DC622" s="105"/>
      <c r="DD622" s="98"/>
      <c r="DE622" s="279"/>
      <c r="DF622" s="52"/>
      <c r="DG622" s="105"/>
      <c r="DH622" s="98"/>
      <c r="DI622" s="279"/>
      <c r="DJ622" s="52"/>
      <c r="DK622" s="105"/>
      <c r="DL622" s="98"/>
      <c r="DM622" s="279"/>
      <c r="DN622" s="52"/>
      <c r="DO622" s="105"/>
      <c r="DP622" s="98"/>
      <c r="DQ622" s="279"/>
      <c r="DR622" s="52"/>
      <c r="DS622" s="105"/>
      <c r="DT622" s="98"/>
      <c r="DU622" s="279"/>
      <c r="DV622" s="52"/>
      <c r="DW622" s="105"/>
      <c r="DX622" s="98"/>
      <c r="DY622" s="279"/>
      <c r="DZ622" s="52"/>
      <c r="EA622" s="105"/>
      <c r="EB622" s="98"/>
      <c r="EC622" s="279"/>
      <c r="ED622" s="52"/>
      <c r="EE622" s="105"/>
      <c r="EF622" s="98"/>
      <c r="EG622" s="159"/>
      <c r="EH622" s="277"/>
      <c r="EI622" s="50">
        <f t="shared" si="250"/>
        <v>0</v>
      </c>
      <c r="EJ622" s="103">
        <f t="shared" si="251"/>
        <v>0</v>
      </c>
      <c r="EK622" s="164">
        <f t="shared" si="252"/>
        <v>0</v>
      </c>
      <c r="EL622" s="280">
        <f t="shared" si="253"/>
        <v>0</v>
      </c>
      <c r="EM622" s="63">
        <f t="shared" si="254"/>
        <v>0</v>
      </c>
      <c r="EN622" s="359">
        <f t="shared" si="255"/>
        <v>0</v>
      </c>
      <c r="EO622" s="51">
        <f t="shared" si="256"/>
        <v>0</v>
      </c>
      <c r="EP622" s="361">
        <f t="shared" si="257"/>
        <v>0</v>
      </c>
      <c r="EQ622" s="281"/>
      <c r="ER622" s="277"/>
      <c r="ES622" s="281"/>
      <c r="ET622" s="277"/>
      <c r="EU622" s="281"/>
      <c r="EV622" s="277"/>
      <c r="EW622" s="281"/>
      <c r="EX622" s="277"/>
      <c r="EY622" s="281"/>
      <c r="EZ622" s="277"/>
      <c r="FA622" s="281"/>
      <c r="FB622" s="277"/>
      <c r="FC622" s="281"/>
      <c r="FD622" s="277"/>
      <c r="FE622" s="281"/>
      <c r="FF622" s="277"/>
      <c r="FG622" s="281"/>
      <c r="FH622" s="277"/>
      <c r="FI622" s="281"/>
      <c r="FJ622" s="277"/>
      <c r="FK622" s="50">
        <f t="shared" si="258"/>
        <v>0</v>
      </c>
      <c r="FL622" s="63">
        <f t="shared" si="259"/>
        <v>0</v>
      </c>
      <c r="FM622" s="50">
        <f t="shared" si="241"/>
        <v>2805</v>
      </c>
      <c r="FN622" s="360">
        <f t="shared" si="242"/>
        <v>2849</v>
      </c>
      <c r="FO622" s="43"/>
      <c r="FP622" s="279"/>
      <c r="FQ622" s="467"/>
      <c r="FR622" s="296"/>
      <c r="FS622" s="98"/>
      <c r="FT622" s="467"/>
      <c r="FU622" s="52"/>
      <c r="FV622" s="296"/>
      <c r="FW622" s="98"/>
      <c r="FX622" s="467"/>
      <c r="FY622" s="52"/>
      <c r="FZ622" s="296"/>
      <c r="GA622" s="98"/>
      <c r="GB622" s="467"/>
      <c r="GC622" s="52"/>
      <c r="GD622" s="296"/>
      <c r="GE622" s="98"/>
      <c r="GF622" s="467"/>
      <c r="GG622" s="52"/>
      <c r="GH622" s="296"/>
      <c r="GI622" s="98"/>
      <c r="GJ622" s="467"/>
      <c r="GK622" s="52"/>
      <c r="GL622" s="296"/>
      <c r="GM622" s="464"/>
      <c r="GN622" s="467"/>
      <c r="GO622" s="52"/>
      <c r="GP622" s="296"/>
      <c r="GQ622" s="464"/>
      <c r="GR622" s="467"/>
      <c r="GS622" s="52"/>
      <c r="GT622" s="296"/>
      <c r="GU622" s="464"/>
      <c r="GV622" s="467"/>
      <c r="GW622" s="52"/>
      <c r="GX622" s="296"/>
      <c r="GY622" s="464"/>
      <c r="GZ622" s="467"/>
      <c r="HA622" s="52"/>
      <c r="HB622" s="296"/>
      <c r="HC622" s="43"/>
    </row>
    <row r="623" spans="1:211" s="85" customFormat="1">
      <c r="A623" s="502" t="s">
        <v>951</v>
      </c>
      <c r="B623" s="315" t="s">
        <v>846</v>
      </c>
      <c r="C623" s="314">
        <v>228158</v>
      </c>
      <c r="D623" s="343">
        <v>8</v>
      </c>
      <c r="E623" s="460">
        <v>265</v>
      </c>
      <c r="F623" s="552">
        <v>466</v>
      </c>
      <c r="G623" s="158"/>
      <c r="H623" s="277"/>
      <c r="I623" s="158">
        <v>473</v>
      </c>
      <c r="J623" s="551">
        <v>544</v>
      </c>
      <c r="K623" s="160">
        <f t="shared" si="243"/>
        <v>0</v>
      </c>
      <c r="L623" s="161">
        <f t="shared" si="236"/>
        <v>0</v>
      </c>
      <c r="M623" s="54"/>
      <c r="N623" s="55"/>
      <c r="O623" s="55"/>
      <c r="P623" s="55"/>
      <c r="Q623" s="162">
        <f t="shared" si="244"/>
        <v>0</v>
      </c>
      <c r="R623" s="277"/>
      <c r="S623" s="277"/>
      <c r="T623" s="277"/>
      <c r="U623" s="277"/>
      <c r="V623" s="97">
        <f t="shared" si="245"/>
        <v>0</v>
      </c>
      <c r="W623" s="279"/>
      <c r="X623" s="52"/>
      <c r="Y623" s="99"/>
      <c r="Z623" s="53"/>
      <c r="AA623" s="228"/>
      <c r="AB623" s="52"/>
      <c r="AC623" s="99"/>
      <c r="AD623" s="53"/>
      <c r="AE623" s="228"/>
      <c r="AF623" s="52"/>
      <c r="AG623" s="99"/>
      <c r="AH623" s="53"/>
      <c r="AI623" s="228"/>
      <c r="AJ623" s="52"/>
      <c r="AK623" s="99"/>
      <c r="AL623" s="53"/>
      <c r="AM623" s="228"/>
      <c r="AN623" s="52"/>
      <c r="AO623" s="99"/>
      <c r="AP623" s="53"/>
      <c r="AQ623" s="50">
        <f t="shared" si="237"/>
        <v>0</v>
      </c>
      <c r="AR623" s="163">
        <f t="shared" si="238"/>
        <v>0</v>
      </c>
      <c r="AS623" s="97">
        <f t="shared" si="239"/>
        <v>0</v>
      </c>
      <c r="AT623" s="278">
        <f t="shared" si="240"/>
        <v>0</v>
      </c>
      <c r="AU623" s="55"/>
      <c r="AV623" s="277"/>
      <c r="AW623" s="279"/>
      <c r="AX623" s="52"/>
      <c r="AY623" s="105"/>
      <c r="AZ623" s="98"/>
      <c r="BA623" s="279"/>
      <c r="BB623" s="52"/>
      <c r="BC623" s="105"/>
      <c r="BD623" s="98"/>
      <c r="BE623" s="279"/>
      <c r="BF623" s="52"/>
      <c r="BG623" s="105"/>
      <c r="BH623" s="98"/>
      <c r="BI623" s="279"/>
      <c r="BJ623" s="52"/>
      <c r="BK623" s="105"/>
      <c r="BL623" s="98"/>
      <c r="BM623" s="279"/>
      <c r="BN623" s="52"/>
      <c r="BO623" s="105"/>
      <c r="BP623" s="98"/>
      <c r="BQ623" s="279"/>
      <c r="BR623" s="52"/>
      <c r="BS623" s="105"/>
      <c r="BT623" s="98"/>
      <c r="BU623" s="279"/>
      <c r="BV623" s="52"/>
      <c r="BW623" s="105"/>
      <c r="BX623" s="98"/>
      <c r="BY623" s="279"/>
      <c r="BZ623" s="52"/>
      <c r="CA623" s="105"/>
      <c r="CB623" s="98"/>
      <c r="CC623" s="279"/>
      <c r="CD623" s="52"/>
      <c r="CE623" s="105"/>
      <c r="CF623" s="98"/>
      <c r="CG623" s="279"/>
      <c r="CH623" s="52"/>
      <c r="CI623" s="105"/>
      <c r="CJ623" s="98"/>
      <c r="CK623" s="281"/>
      <c r="CL623" s="277"/>
      <c r="CM623" s="159"/>
      <c r="CN623" s="277"/>
      <c r="CO623" s="50">
        <f t="shared" si="246"/>
        <v>0</v>
      </c>
      <c r="CP623" s="103">
        <f t="shared" si="247"/>
        <v>0</v>
      </c>
      <c r="CQ623" s="280">
        <f t="shared" si="248"/>
        <v>0</v>
      </c>
      <c r="CR623" s="63">
        <f t="shared" si="249"/>
        <v>0</v>
      </c>
      <c r="CS623" s="279"/>
      <c r="CT623" s="52"/>
      <c r="CU623" s="105"/>
      <c r="CV623" s="98"/>
      <c r="CW623" s="279"/>
      <c r="CX623" s="52"/>
      <c r="CY623" s="105"/>
      <c r="CZ623" s="98"/>
      <c r="DA623" s="279"/>
      <c r="DB623" s="52"/>
      <c r="DC623" s="105"/>
      <c r="DD623" s="98"/>
      <c r="DE623" s="279"/>
      <c r="DF623" s="52"/>
      <c r="DG623" s="105"/>
      <c r="DH623" s="98"/>
      <c r="DI623" s="279"/>
      <c r="DJ623" s="52"/>
      <c r="DK623" s="105"/>
      <c r="DL623" s="98"/>
      <c r="DM623" s="279"/>
      <c r="DN623" s="52"/>
      <c r="DO623" s="105"/>
      <c r="DP623" s="98"/>
      <c r="DQ623" s="279"/>
      <c r="DR623" s="52"/>
      <c r="DS623" s="105"/>
      <c r="DT623" s="98"/>
      <c r="DU623" s="279"/>
      <c r="DV623" s="52"/>
      <c r="DW623" s="105"/>
      <c r="DX623" s="98"/>
      <c r="DY623" s="279"/>
      <c r="DZ623" s="52"/>
      <c r="EA623" s="105"/>
      <c r="EB623" s="98"/>
      <c r="EC623" s="279"/>
      <c r="ED623" s="52"/>
      <c r="EE623" s="105"/>
      <c r="EF623" s="98"/>
      <c r="EG623" s="159"/>
      <c r="EH623" s="277"/>
      <c r="EI623" s="50">
        <f t="shared" si="250"/>
        <v>0</v>
      </c>
      <c r="EJ623" s="103">
        <f t="shared" si="251"/>
        <v>0</v>
      </c>
      <c r="EK623" s="164">
        <f t="shared" si="252"/>
        <v>0</v>
      </c>
      <c r="EL623" s="280">
        <f t="shared" si="253"/>
        <v>0</v>
      </c>
      <c r="EM623" s="63">
        <f t="shared" si="254"/>
        <v>0</v>
      </c>
      <c r="EN623" s="359">
        <f t="shared" si="255"/>
        <v>0</v>
      </c>
      <c r="EO623" s="51">
        <f t="shared" si="256"/>
        <v>0</v>
      </c>
      <c r="EP623" s="361">
        <f t="shared" si="257"/>
        <v>0</v>
      </c>
      <c r="EQ623" s="281"/>
      <c r="ER623" s="277"/>
      <c r="ES623" s="281"/>
      <c r="ET623" s="277"/>
      <c r="EU623" s="281"/>
      <c r="EV623" s="277"/>
      <c r="EW623" s="281"/>
      <c r="EX623" s="277"/>
      <c r="EY623" s="281"/>
      <c r="EZ623" s="277"/>
      <c r="FA623" s="281"/>
      <c r="FB623" s="277"/>
      <c r="FC623" s="281"/>
      <c r="FD623" s="277"/>
      <c r="FE623" s="281"/>
      <c r="FF623" s="277"/>
      <c r="FG623" s="281"/>
      <c r="FH623" s="277"/>
      <c r="FI623" s="281"/>
      <c r="FJ623" s="277"/>
      <c r="FK623" s="50">
        <f t="shared" si="258"/>
        <v>0</v>
      </c>
      <c r="FL623" s="63">
        <f t="shared" si="259"/>
        <v>0</v>
      </c>
      <c r="FM623" s="50">
        <f t="shared" si="241"/>
        <v>738</v>
      </c>
      <c r="FN623" s="360">
        <f t="shared" si="242"/>
        <v>1010</v>
      </c>
      <c r="FO623" s="43"/>
      <c r="FP623" s="279"/>
      <c r="FQ623" s="467"/>
      <c r="FR623" s="296"/>
      <c r="FS623" s="98"/>
      <c r="FT623" s="467"/>
      <c r="FU623" s="52"/>
      <c r="FV623" s="296"/>
      <c r="FW623" s="98"/>
      <c r="FX623" s="467"/>
      <c r="FY623" s="52"/>
      <c r="FZ623" s="296"/>
      <c r="GA623" s="98"/>
      <c r="GB623" s="467"/>
      <c r="GC623" s="52"/>
      <c r="GD623" s="296"/>
      <c r="GE623" s="98"/>
      <c r="GF623" s="467"/>
      <c r="GG623" s="52"/>
      <c r="GH623" s="296"/>
      <c r="GI623" s="98"/>
      <c r="GJ623" s="467"/>
      <c r="GK623" s="52"/>
      <c r="GL623" s="296"/>
      <c r="GM623" s="464"/>
      <c r="GN623" s="467"/>
      <c r="GO623" s="52"/>
      <c r="GP623" s="296"/>
      <c r="GQ623" s="464"/>
      <c r="GR623" s="467"/>
      <c r="GS623" s="52"/>
      <c r="GT623" s="296"/>
      <c r="GU623" s="464"/>
      <c r="GV623" s="467"/>
      <c r="GW623" s="52"/>
      <c r="GX623" s="296"/>
      <c r="GY623" s="464"/>
      <c r="GZ623" s="467"/>
      <c r="HA623" s="52"/>
      <c r="HB623" s="296"/>
      <c r="HC623" s="43"/>
    </row>
    <row r="624" spans="1:211" s="85" customFormat="1">
      <c r="A624" s="502" t="s">
        <v>951</v>
      </c>
      <c r="B624" s="315" t="s">
        <v>848</v>
      </c>
      <c r="C624" s="314">
        <v>227854</v>
      </c>
      <c r="D624" s="343">
        <v>8</v>
      </c>
      <c r="E624" s="460">
        <v>832</v>
      </c>
      <c r="F624" s="552">
        <v>740</v>
      </c>
      <c r="G624" s="158"/>
      <c r="H624" s="277"/>
      <c r="I624" s="158">
        <v>708</v>
      </c>
      <c r="J624" s="551">
        <v>584</v>
      </c>
      <c r="K624" s="160">
        <f t="shared" si="243"/>
        <v>0</v>
      </c>
      <c r="L624" s="161">
        <f t="shared" si="236"/>
        <v>0</v>
      </c>
      <c r="M624" s="54"/>
      <c r="N624" s="55"/>
      <c r="O624" s="55"/>
      <c r="P624" s="55"/>
      <c r="Q624" s="162">
        <f t="shared" si="244"/>
        <v>0</v>
      </c>
      <c r="R624" s="277"/>
      <c r="S624" s="277"/>
      <c r="T624" s="277"/>
      <c r="U624" s="277"/>
      <c r="V624" s="97">
        <f t="shared" si="245"/>
        <v>0</v>
      </c>
      <c r="W624" s="279"/>
      <c r="X624" s="52"/>
      <c r="Y624" s="99"/>
      <c r="Z624" s="53"/>
      <c r="AA624" s="228"/>
      <c r="AB624" s="52"/>
      <c r="AC624" s="99"/>
      <c r="AD624" s="53"/>
      <c r="AE624" s="228"/>
      <c r="AF624" s="52"/>
      <c r="AG624" s="99"/>
      <c r="AH624" s="53"/>
      <c r="AI624" s="228"/>
      <c r="AJ624" s="52"/>
      <c r="AK624" s="99"/>
      <c r="AL624" s="53"/>
      <c r="AM624" s="228"/>
      <c r="AN624" s="52"/>
      <c r="AO624" s="99"/>
      <c r="AP624" s="53"/>
      <c r="AQ624" s="50">
        <f t="shared" si="237"/>
        <v>0</v>
      </c>
      <c r="AR624" s="163">
        <f t="shared" si="238"/>
        <v>0</v>
      </c>
      <c r="AS624" s="97">
        <f t="shared" si="239"/>
        <v>0</v>
      </c>
      <c r="AT624" s="278">
        <f t="shared" si="240"/>
        <v>0</v>
      </c>
      <c r="AU624" s="55"/>
      <c r="AV624" s="277"/>
      <c r="AW624" s="279"/>
      <c r="AX624" s="52"/>
      <c r="AY624" s="105"/>
      <c r="AZ624" s="98"/>
      <c r="BA624" s="279"/>
      <c r="BB624" s="52"/>
      <c r="BC624" s="105"/>
      <c r="BD624" s="98"/>
      <c r="BE624" s="279"/>
      <c r="BF624" s="52"/>
      <c r="BG624" s="105"/>
      <c r="BH624" s="98"/>
      <c r="BI624" s="279"/>
      <c r="BJ624" s="52"/>
      <c r="BK624" s="105"/>
      <c r="BL624" s="98"/>
      <c r="BM624" s="279"/>
      <c r="BN624" s="52"/>
      <c r="BO624" s="105"/>
      <c r="BP624" s="98"/>
      <c r="BQ624" s="279"/>
      <c r="BR624" s="52"/>
      <c r="BS624" s="105"/>
      <c r="BT624" s="98"/>
      <c r="BU624" s="279"/>
      <c r="BV624" s="52"/>
      <c r="BW624" s="105"/>
      <c r="BX624" s="98"/>
      <c r="BY624" s="279"/>
      <c r="BZ624" s="52"/>
      <c r="CA624" s="105"/>
      <c r="CB624" s="98"/>
      <c r="CC624" s="279"/>
      <c r="CD624" s="52"/>
      <c r="CE624" s="105"/>
      <c r="CF624" s="98"/>
      <c r="CG624" s="279"/>
      <c r="CH624" s="52"/>
      <c r="CI624" s="105"/>
      <c r="CJ624" s="98"/>
      <c r="CK624" s="281"/>
      <c r="CL624" s="277"/>
      <c r="CM624" s="159"/>
      <c r="CN624" s="277"/>
      <c r="CO624" s="50">
        <f t="shared" si="246"/>
        <v>0</v>
      </c>
      <c r="CP624" s="103">
        <f t="shared" si="247"/>
        <v>0</v>
      </c>
      <c r="CQ624" s="280">
        <f t="shared" si="248"/>
        <v>0</v>
      </c>
      <c r="CR624" s="63">
        <f t="shared" si="249"/>
        <v>0</v>
      </c>
      <c r="CS624" s="279"/>
      <c r="CT624" s="52"/>
      <c r="CU624" s="105"/>
      <c r="CV624" s="98"/>
      <c r="CW624" s="279"/>
      <c r="CX624" s="52"/>
      <c r="CY624" s="105"/>
      <c r="CZ624" s="98"/>
      <c r="DA624" s="279"/>
      <c r="DB624" s="52"/>
      <c r="DC624" s="105"/>
      <c r="DD624" s="98"/>
      <c r="DE624" s="279"/>
      <c r="DF624" s="52"/>
      <c r="DG624" s="105"/>
      <c r="DH624" s="98"/>
      <c r="DI624" s="279"/>
      <c r="DJ624" s="52"/>
      <c r="DK624" s="105"/>
      <c r="DL624" s="98"/>
      <c r="DM624" s="279"/>
      <c r="DN624" s="52"/>
      <c r="DO624" s="105"/>
      <c r="DP624" s="98"/>
      <c r="DQ624" s="279"/>
      <c r="DR624" s="52"/>
      <c r="DS624" s="105"/>
      <c r="DT624" s="98"/>
      <c r="DU624" s="279"/>
      <c r="DV624" s="52"/>
      <c r="DW624" s="105"/>
      <c r="DX624" s="98"/>
      <c r="DY624" s="279"/>
      <c r="DZ624" s="52"/>
      <c r="EA624" s="105"/>
      <c r="EB624" s="98"/>
      <c r="EC624" s="279"/>
      <c r="ED624" s="52"/>
      <c r="EE624" s="105"/>
      <c r="EF624" s="98"/>
      <c r="EG624" s="159"/>
      <c r="EH624" s="277"/>
      <c r="EI624" s="50">
        <f t="shared" si="250"/>
        <v>0</v>
      </c>
      <c r="EJ624" s="103">
        <f t="shared" si="251"/>
        <v>0</v>
      </c>
      <c r="EK624" s="164">
        <f t="shared" si="252"/>
        <v>0</v>
      </c>
      <c r="EL624" s="280">
        <f t="shared" si="253"/>
        <v>0</v>
      </c>
      <c r="EM624" s="63">
        <f t="shared" si="254"/>
        <v>0</v>
      </c>
      <c r="EN624" s="359">
        <f t="shared" si="255"/>
        <v>0</v>
      </c>
      <c r="EO624" s="51">
        <f t="shared" si="256"/>
        <v>0</v>
      </c>
      <c r="EP624" s="361">
        <f t="shared" si="257"/>
        <v>0</v>
      </c>
      <c r="EQ624" s="281"/>
      <c r="ER624" s="277"/>
      <c r="ES624" s="281"/>
      <c r="ET624" s="277"/>
      <c r="EU624" s="281"/>
      <c r="EV624" s="277"/>
      <c r="EW624" s="281"/>
      <c r="EX624" s="277"/>
      <c r="EY624" s="281"/>
      <c r="EZ624" s="277"/>
      <c r="FA624" s="281"/>
      <c r="FB624" s="277"/>
      <c r="FC624" s="281"/>
      <c r="FD624" s="277"/>
      <c r="FE624" s="281"/>
      <c r="FF624" s="277"/>
      <c r="FG624" s="281"/>
      <c r="FH624" s="277"/>
      <c r="FI624" s="281"/>
      <c r="FJ624" s="277"/>
      <c r="FK624" s="50">
        <f t="shared" si="258"/>
        <v>0</v>
      </c>
      <c r="FL624" s="63">
        <f t="shared" si="259"/>
        <v>0</v>
      </c>
      <c r="FM624" s="50">
        <f t="shared" si="241"/>
        <v>1540</v>
      </c>
      <c r="FN624" s="360">
        <f t="shared" si="242"/>
        <v>1324</v>
      </c>
      <c r="FO624" s="43"/>
      <c r="FP624" s="279"/>
      <c r="FQ624" s="467"/>
      <c r="FR624" s="296"/>
      <c r="FS624" s="98"/>
      <c r="FT624" s="467"/>
      <c r="FU624" s="52"/>
      <c r="FV624" s="296"/>
      <c r="FW624" s="98"/>
      <c r="FX624" s="467"/>
      <c r="FY624" s="52"/>
      <c r="FZ624" s="296"/>
      <c r="GA624" s="98"/>
      <c r="GB624" s="467"/>
      <c r="GC624" s="52"/>
      <c r="GD624" s="296"/>
      <c r="GE624" s="98"/>
      <c r="GF624" s="467"/>
      <c r="GG624" s="52"/>
      <c r="GH624" s="296"/>
      <c r="GI624" s="98"/>
      <c r="GJ624" s="467"/>
      <c r="GK624" s="52"/>
      <c r="GL624" s="296"/>
      <c r="GM624" s="464"/>
      <c r="GN624" s="467"/>
      <c r="GO624" s="52"/>
      <c r="GP624" s="296"/>
      <c r="GQ624" s="464"/>
      <c r="GR624" s="467"/>
      <c r="GS624" s="52"/>
      <c r="GT624" s="296"/>
      <c r="GU624" s="464"/>
      <c r="GV624" s="467"/>
      <c r="GW624" s="52"/>
      <c r="GX624" s="296"/>
      <c r="GY624" s="464"/>
      <c r="GZ624" s="467"/>
      <c r="HA624" s="52"/>
      <c r="HB624" s="296"/>
      <c r="HC624" s="43"/>
    </row>
    <row r="625" spans="1:211" s="85" customFormat="1">
      <c r="A625" s="502" t="s">
        <v>951</v>
      </c>
      <c r="B625" s="315" t="s">
        <v>849</v>
      </c>
      <c r="C625" s="314">
        <v>228547</v>
      </c>
      <c r="D625" s="343">
        <v>8</v>
      </c>
      <c r="E625" s="460">
        <v>800</v>
      </c>
      <c r="F625" s="552">
        <v>815</v>
      </c>
      <c r="G625" s="158"/>
      <c r="H625" s="277"/>
      <c r="I625" s="158">
        <v>2154</v>
      </c>
      <c r="J625" s="551">
        <v>2631</v>
      </c>
      <c r="K625" s="160">
        <f t="shared" si="243"/>
        <v>0</v>
      </c>
      <c r="L625" s="161">
        <f t="shared" si="236"/>
        <v>0</v>
      </c>
      <c r="M625" s="54"/>
      <c r="N625" s="55"/>
      <c r="O625" s="55"/>
      <c r="P625" s="55"/>
      <c r="Q625" s="162">
        <f t="shared" si="244"/>
        <v>0</v>
      </c>
      <c r="R625" s="277"/>
      <c r="S625" s="277"/>
      <c r="T625" s="277"/>
      <c r="U625" s="277"/>
      <c r="V625" s="97">
        <f t="shared" si="245"/>
        <v>0</v>
      </c>
      <c r="W625" s="279"/>
      <c r="X625" s="52"/>
      <c r="Y625" s="99"/>
      <c r="Z625" s="53"/>
      <c r="AA625" s="228"/>
      <c r="AB625" s="52"/>
      <c r="AC625" s="99"/>
      <c r="AD625" s="53"/>
      <c r="AE625" s="228"/>
      <c r="AF625" s="52"/>
      <c r="AG625" s="99"/>
      <c r="AH625" s="53"/>
      <c r="AI625" s="228"/>
      <c r="AJ625" s="52"/>
      <c r="AK625" s="99"/>
      <c r="AL625" s="53"/>
      <c r="AM625" s="228"/>
      <c r="AN625" s="52"/>
      <c r="AO625" s="99"/>
      <c r="AP625" s="53"/>
      <c r="AQ625" s="50">
        <f t="shared" si="237"/>
        <v>0</v>
      </c>
      <c r="AR625" s="163">
        <f t="shared" si="238"/>
        <v>0</v>
      </c>
      <c r="AS625" s="97">
        <f t="shared" si="239"/>
        <v>0</v>
      </c>
      <c r="AT625" s="278">
        <f t="shared" si="240"/>
        <v>0</v>
      </c>
      <c r="AU625" s="55"/>
      <c r="AV625" s="277"/>
      <c r="AW625" s="279"/>
      <c r="AX625" s="52"/>
      <c r="AY625" s="105"/>
      <c r="AZ625" s="98"/>
      <c r="BA625" s="279"/>
      <c r="BB625" s="52"/>
      <c r="BC625" s="105"/>
      <c r="BD625" s="98"/>
      <c r="BE625" s="279"/>
      <c r="BF625" s="52"/>
      <c r="BG625" s="105"/>
      <c r="BH625" s="98"/>
      <c r="BI625" s="279"/>
      <c r="BJ625" s="52"/>
      <c r="BK625" s="105"/>
      <c r="BL625" s="98"/>
      <c r="BM625" s="279"/>
      <c r="BN625" s="52"/>
      <c r="BO625" s="105"/>
      <c r="BP625" s="98"/>
      <c r="BQ625" s="279"/>
      <c r="BR625" s="52"/>
      <c r="BS625" s="105"/>
      <c r="BT625" s="98"/>
      <c r="BU625" s="279"/>
      <c r="BV625" s="52"/>
      <c r="BW625" s="105"/>
      <c r="BX625" s="98"/>
      <c r="BY625" s="279"/>
      <c r="BZ625" s="52"/>
      <c r="CA625" s="105"/>
      <c r="CB625" s="98"/>
      <c r="CC625" s="279"/>
      <c r="CD625" s="52"/>
      <c r="CE625" s="105"/>
      <c r="CF625" s="98"/>
      <c r="CG625" s="279"/>
      <c r="CH625" s="52"/>
      <c r="CI625" s="105"/>
      <c r="CJ625" s="98"/>
      <c r="CK625" s="281"/>
      <c r="CL625" s="277"/>
      <c r="CM625" s="159"/>
      <c r="CN625" s="277"/>
      <c r="CO625" s="50">
        <f t="shared" si="246"/>
        <v>0</v>
      </c>
      <c r="CP625" s="103">
        <f t="shared" si="247"/>
        <v>0</v>
      </c>
      <c r="CQ625" s="280">
        <f t="shared" si="248"/>
        <v>0</v>
      </c>
      <c r="CR625" s="63">
        <f t="shared" si="249"/>
        <v>0</v>
      </c>
      <c r="CS625" s="279"/>
      <c r="CT625" s="52"/>
      <c r="CU625" s="105"/>
      <c r="CV625" s="98"/>
      <c r="CW625" s="279"/>
      <c r="CX625" s="52"/>
      <c r="CY625" s="105"/>
      <c r="CZ625" s="98"/>
      <c r="DA625" s="279"/>
      <c r="DB625" s="52"/>
      <c r="DC625" s="105"/>
      <c r="DD625" s="98"/>
      <c r="DE625" s="279"/>
      <c r="DF625" s="52"/>
      <c r="DG625" s="105"/>
      <c r="DH625" s="98"/>
      <c r="DI625" s="279"/>
      <c r="DJ625" s="52"/>
      <c r="DK625" s="105"/>
      <c r="DL625" s="98"/>
      <c r="DM625" s="279"/>
      <c r="DN625" s="52"/>
      <c r="DO625" s="105"/>
      <c r="DP625" s="98"/>
      <c r="DQ625" s="279"/>
      <c r="DR625" s="52"/>
      <c r="DS625" s="105"/>
      <c r="DT625" s="98"/>
      <c r="DU625" s="279"/>
      <c r="DV625" s="52"/>
      <c r="DW625" s="105"/>
      <c r="DX625" s="98"/>
      <c r="DY625" s="279"/>
      <c r="DZ625" s="52"/>
      <c r="EA625" s="105"/>
      <c r="EB625" s="98"/>
      <c r="EC625" s="279"/>
      <c r="ED625" s="52"/>
      <c r="EE625" s="105"/>
      <c r="EF625" s="98"/>
      <c r="EG625" s="159"/>
      <c r="EH625" s="277"/>
      <c r="EI625" s="50">
        <f t="shared" si="250"/>
        <v>0</v>
      </c>
      <c r="EJ625" s="103">
        <f t="shared" si="251"/>
        <v>0</v>
      </c>
      <c r="EK625" s="164">
        <f t="shared" si="252"/>
        <v>0</v>
      </c>
      <c r="EL625" s="280">
        <f t="shared" si="253"/>
        <v>0</v>
      </c>
      <c r="EM625" s="63">
        <f t="shared" si="254"/>
        <v>0</v>
      </c>
      <c r="EN625" s="359">
        <f t="shared" si="255"/>
        <v>0</v>
      </c>
      <c r="EO625" s="51">
        <f t="shared" si="256"/>
        <v>0</v>
      </c>
      <c r="EP625" s="361">
        <f t="shared" si="257"/>
        <v>0</v>
      </c>
      <c r="EQ625" s="281"/>
      <c r="ER625" s="277"/>
      <c r="ES625" s="281"/>
      <c r="ET625" s="277"/>
      <c r="EU625" s="281"/>
      <c r="EV625" s="277"/>
      <c r="EW625" s="281"/>
      <c r="EX625" s="277"/>
      <c r="EY625" s="281"/>
      <c r="EZ625" s="277"/>
      <c r="FA625" s="281"/>
      <c r="FB625" s="277"/>
      <c r="FC625" s="281"/>
      <c r="FD625" s="277"/>
      <c r="FE625" s="281"/>
      <c r="FF625" s="277"/>
      <c r="FG625" s="281"/>
      <c r="FH625" s="277"/>
      <c r="FI625" s="281"/>
      <c r="FJ625" s="277"/>
      <c r="FK625" s="50">
        <f t="shared" si="258"/>
        <v>0</v>
      </c>
      <c r="FL625" s="63">
        <f t="shared" si="259"/>
        <v>0</v>
      </c>
      <c r="FM625" s="50">
        <f t="shared" si="241"/>
        <v>2954</v>
      </c>
      <c r="FN625" s="360">
        <f t="shared" si="242"/>
        <v>3446</v>
      </c>
      <c r="FO625" s="43"/>
      <c r="FP625" s="279"/>
      <c r="FQ625" s="467"/>
      <c r="FR625" s="296"/>
      <c r="FS625" s="98"/>
      <c r="FT625" s="467"/>
      <c r="FU625" s="52"/>
      <c r="FV625" s="296"/>
      <c r="FW625" s="98"/>
      <c r="FX625" s="467"/>
      <c r="FY625" s="52"/>
      <c r="FZ625" s="296"/>
      <c r="GA625" s="98"/>
      <c r="GB625" s="467"/>
      <c r="GC625" s="52"/>
      <c r="GD625" s="296"/>
      <c r="GE625" s="98"/>
      <c r="GF625" s="467"/>
      <c r="GG625" s="52"/>
      <c r="GH625" s="296"/>
      <c r="GI625" s="98"/>
      <c r="GJ625" s="467"/>
      <c r="GK625" s="52"/>
      <c r="GL625" s="296"/>
      <c r="GM625" s="464"/>
      <c r="GN625" s="467"/>
      <c r="GO625" s="52"/>
      <c r="GP625" s="296"/>
      <c r="GQ625" s="464"/>
      <c r="GR625" s="467"/>
      <c r="GS625" s="52"/>
      <c r="GT625" s="296"/>
      <c r="GU625" s="464"/>
      <c r="GV625" s="467"/>
      <c r="GW625" s="52"/>
      <c r="GX625" s="296"/>
      <c r="GY625" s="464"/>
      <c r="GZ625" s="467"/>
      <c r="HA625" s="52"/>
      <c r="HB625" s="296"/>
      <c r="HC625" s="43"/>
    </row>
    <row r="626" spans="1:211" s="85" customFormat="1">
      <c r="A626" s="502" t="s">
        <v>951</v>
      </c>
      <c r="B626" s="315" t="s">
        <v>850</v>
      </c>
      <c r="C626" s="314">
        <v>229072</v>
      </c>
      <c r="D626" s="343">
        <v>8</v>
      </c>
      <c r="E626" s="460">
        <v>263</v>
      </c>
      <c r="F626" s="552">
        <v>214</v>
      </c>
      <c r="G626" s="158"/>
      <c r="H626" s="277"/>
      <c r="I626" s="158">
        <v>850</v>
      </c>
      <c r="J626" s="551">
        <v>921</v>
      </c>
      <c r="K626" s="160">
        <f t="shared" si="243"/>
        <v>0</v>
      </c>
      <c r="L626" s="161">
        <f t="shared" si="236"/>
        <v>0</v>
      </c>
      <c r="M626" s="54"/>
      <c r="N626" s="55"/>
      <c r="O626" s="55"/>
      <c r="P626" s="55"/>
      <c r="Q626" s="162">
        <f t="shared" si="244"/>
        <v>0</v>
      </c>
      <c r="R626" s="277"/>
      <c r="S626" s="277"/>
      <c r="T626" s="277"/>
      <c r="U626" s="277"/>
      <c r="V626" s="97">
        <f t="shared" si="245"/>
        <v>0</v>
      </c>
      <c r="W626" s="279"/>
      <c r="X626" s="52"/>
      <c r="Y626" s="99"/>
      <c r="Z626" s="53"/>
      <c r="AA626" s="228"/>
      <c r="AB626" s="52"/>
      <c r="AC626" s="99"/>
      <c r="AD626" s="53"/>
      <c r="AE626" s="228"/>
      <c r="AF626" s="52"/>
      <c r="AG626" s="99"/>
      <c r="AH626" s="53"/>
      <c r="AI626" s="228"/>
      <c r="AJ626" s="52"/>
      <c r="AK626" s="99"/>
      <c r="AL626" s="53"/>
      <c r="AM626" s="228"/>
      <c r="AN626" s="52"/>
      <c r="AO626" s="99"/>
      <c r="AP626" s="53"/>
      <c r="AQ626" s="50">
        <f t="shared" si="237"/>
        <v>0</v>
      </c>
      <c r="AR626" s="163">
        <f t="shared" si="238"/>
        <v>0</v>
      </c>
      <c r="AS626" s="97">
        <f t="shared" si="239"/>
        <v>0</v>
      </c>
      <c r="AT626" s="278">
        <f t="shared" si="240"/>
        <v>0</v>
      </c>
      <c r="AU626" s="55"/>
      <c r="AV626" s="277"/>
      <c r="AW626" s="279"/>
      <c r="AX626" s="52"/>
      <c r="AY626" s="105"/>
      <c r="AZ626" s="98"/>
      <c r="BA626" s="279"/>
      <c r="BB626" s="52"/>
      <c r="BC626" s="105"/>
      <c r="BD626" s="98"/>
      <c r="BE626" s="279"/>
      <c r="BF626" s="52"/>
      <c r="BG626" s="105"/>
      <c r="BH626" s="98"/>
      <c r="BI626" s="279"/>
      <c r="BJ626" s="52"/>
      <c r="BK626" s="105"/>
      <c r="BL626" s="98"/>
      <c r="BM626" s="279"/>
      <c r="BN626" s="52"/>
      <c r="BO626" s="105"/>
      <c r="BP626" s="98"/>
      <c r="BQ626" s="279"/>
      <c r="BR626" s="52"/>
      <c r="BS626" s="105"/>
      <c r="BT626" s="98"/>
      <c r="BU626" s="279"/>
      <c r="BV626" s="52"/>
      <c r="BW626" s="105"/>
      <c r="BX626" s="98"/>
      <c r="BY626" s="279"/>
      <c r="BZ626" s="52"/>
      <c r="CA626" s="105"/>
      <c r="CB626" s="98"/>
      <c r="CC626" s="279"/>
      <c r="CD626" s="52"/>
      <c r="CE626" s="105"/>
      <c r="CF626" s="98"/>
      <c r="CG626" s="279"/>
      <c r="CH626" s="52"/>
      <c r="CI626" s="105"/>
      <c r="CJ626" s="98"/>
      <c r="CK626" s="281"/>
      <c r="CL626" s="277"/>
      <c r="CM626" s="159"/>
      <c r="CN626" s="277"/>
      <c r="CO626" s="50">
        <f t="shared" si="246"/>
        <v>0</v>
      </c>
      <c r="CP626" s="103">
        <f t="shared" si="247"/>
        <v>0</v>
      </c>
      <c r="CQ626" s="280">
        <f t="shared" si="248"/>
        <v>0</v>
      </c>
      <c r="CR626" s="63">
        <f t="shared" si="249"/>
        <v>0</v>
      </c>
      <c r="CS626" s="279"/>
      <c r="CT626" s="52"/>
      <c r="CU626" s="105"/>
      <c r="CV626" s="98"/>
      <c r="CW626" s="279"/>
      <c r="CX626" s="52"/>
      <c r="CY626" s="105"/>
      <c r="CZ626" s="98"/>
      <c r="DA626" s="279"/>
      <c r="DB626" s="52"/>
      <c r="DC626" s="105"/>
      <c r="DD626" s="98"/>
      <c r="DE626" s="279"/>
      <c r="DF626" s="52"/>
      <c r="DG626" s="105"/>
      <c r="DH626" s="98"/>
      <c r="DI626" s="279"/>
      <c r="DJ626" s="52"/>
      <c r="DK626" s="105"/>
      <c r="DL626" s="98"/>
      <c r="DM626" s="279"/>
      <c r="DN626" s="52"/>
      <c r="DO626" s="105"/>
      <c r="DP626" s="98"/>
      <c r="DQ626" s="279"/>
      <c r="DR626" s="52"/>
      <c r="DS626" s="105"/>
      <c r="DT626" s="98"/>
      <c r="DU626" s="279"/>
      <c r="DV626" s="52"/>
      <c r="DW626" s="105"/>
      <c r="DX626" s="98"/>
      <c r="DY626" s="279"/>
      <c r="DZ626" s="52"/>
      <c r="EA626" s="105"/>
      <c r="EB626" s="98"/>
      <c r="EC626" s="279"/>
      <c r="ED626" s="52"/>
      <c r="EE626" s="105"/>
      <c r="EF626" s="98"/>
      <c r="EG626" s="159"/>
      <c r="EH626" s="277"/>
      <c r="EI626" s="50">
        <f t="shared" si="250"/>
        <v>0</v>
      </c>
      <c r="EJ626" s="103">
        <f t="shared" si="251"/>
        <v>0</v>
      </c>
      <c r="EK626" s="164">
        <f t="shared" si="252"/>
        <v>0</v>
      </c>
      <c r="EL626" s="280">
        <f t="shared" si="253"/>
        <v>0</v>
      </c>
      <c r="EM626" s="63">
        <f t="shared" si="254"/>
        <v>0</v>
      </c>
      <c r="EN626" s="359">
        <f t="shared" si="255"/>
        <v>0</v>
      </c>
      <c r="EO626" s="51">
        <f t="shared" si="256"/>
        <v>0</v>
      </c>
      <c r="EP626" s="361">
        <f t="shared" si="257"/>
        <v>0</v>
      </c>
      <c r="EQ626" s="281"/>
      <c r="ER626" s="277"/>
      <c r="ES626" s="281"/>
      <c r="ET626" s="277"/>
      <c r="EU626" s="281"/>
      <c r="EV626" s="277"/>
      <c r="EW626" s="281"/>
      <c r="EX626" s="277"/>
      <c r="EY626" s="281"/>
      <c r="EZ626" s="277"/>
      <c r="FA626" s="281"/>
      <c r="FB626" s="277"/>
      <c r="FC626" s="281"/>
      <c r="FD626" s="277"/>
      <c r="FE626" s="281"/>
      <c r="FF626" s="277"/>
      <c r="FG626" s="281"/>
      <c r="FH626" s="277"/>
      <c r="FI626" s="281"/>
      <c r="FJ626" s="277"/>
      <c r="FK626" s="50">
        <f t="shared" si="258"/>
        <v>0</v>
      </c>
      <c r="FL626" s="63">
        <f t="shared" si="259"/>
        <v>0</v>
      </c>
      <c r="FM626" s="50">
        <f t="shared" si="241"/>
        <v>1113</v>
      </c>
      <c r="FN626" s="360">
        <f t="shared" si="242"/>
        <v>1135</v>
      </c>
      <c r="FO626" s="43"/>
      <c r="FP626" s="279"/>
      <c r="FQ626" s="467"/>
      <c r="FR626" s="296"/>
      <c r="FS626" s="98"/>
      <c r="FT626" s="467"/>
      <c r="FU626" s="52"/>
      <c r="FV626" s="296"/>
      <c r="FW626" s="98"/>
      <c r="FX626" s="467"/>
      <c r="FY626" s="52"/>
      <c r="FZ626" s="296"/>
      <c r="GA626" s="98"/>
      <c r="GB626" s="467"/>
      <c r="GC626" s="52"/>
      <c r="GD626" s="296"/>
      <c r="GE626" s="98"/>
      <c r="GF626" s="467"/>
      <c r="GG626" s="52"/>
      <c r="GH626" s="296"/>
      <c r="GI626" s="98"/>
      <c r="GJ626" s="467"/>
      <c r="GK626" s="52"/>
      <c r="GL626" s="296"/>
      <c r="GM626" s="464"/>
      <c r="GN626" s="467"/>
      <c r="GO626" s="52"/>
      <c r="GP626" s="296"/>
      <c r="GQ626" s="464"/>
      <c r="GR626" s="467"/>
      <c r="GS626" s="52"/>
      <c r="GT626" s="296"/>
      <c r="GU626" s="464"/>
      <c r="GV626" s="467"/>
      <c r="GW626" s="52"/>
      <c r="GX626" s="296"/>
      <c r="GY626" s="464"/>
      <c r="GZ626" s="467"/>
      <c r="HA626" s="52"/>
      <c r="HB626" s="296"/>
      <c r="HC626" s="43"/>
    </row>
    <row r="627" spans="1:211" s="85" customFormat="1">
      <c r="A627" s="502" t="s">
        <v>951</v>
      </c>
      <c r="B627" s="315" t="s">
        <v>851</v>
      </c>
      <c r="C627" s="314">
        <v>229355</v>
      </c>
      <c r="D627" s="343">
        <v>8</v>
      </c>
      <c r="E627" s="460">
        <v>398</v>
      </c>
      <c r="F627" s="552">
        <v>537</v>
      </c>
      <c r="G627" s="158"/>
      <c r="H627" s="277"/>
      <c r="I627" s="158">
        <v>800</v>
      </c>
      <c r="J627" s="551">
        <v>813</v>
      </c>
      <c r="K627" s="160">
        <f t="shared" si="243"/>
        <v>0</v>
      </c>
      <c r="L627" s="161">
        <f t="shared" si="236"/>
        <v>0</v>
      </c>
      <c r="M627" s="54"/>
      <c r="N627" s="55"/>
      <c r="O627" s="55"/>
      <c r="P627" s="55"/>
      <c r="Q627" s="162">
        <f t="shared" si="244"/>
        <v>0</v>
      </c>
      <c r="R627" s="277"/>
      <c r="S627" s="277"/>
      <c r="T627" s="277"/>
      <c r="U627" s="277"/>
      <c r="V627" s="97">
        <f t="shared" si="245"/>
        <v>0</v>
      </c>
      <c r="W627" s="279"/>
      <c r="X627" s="52"/>
      <c r="Y627" s="99"/>
      <c r="Z627" s="53"/>
      <c r="AA627" s="228"/>
      <c r="AB627" s="52"/>
      <c r="AC627" s="99"/>
      <c r="AD627" s="53"/>
      <c r="AE627" s="228"/>
      <c r="AF627" s="52"/>
      <c r="AG627" s="99"/>
      <c r="AH627" s="53"/>
      <c r="AI627" s="228"/>
      <c r="AJ627" s="52"/>
      <c r="AK627" s="99"/>
      <c r="AL627" s="53"/>
      <c r="AM627" s="228"/>
      <c r="AN627" s="52"/>
      <c r="AO627" s="99"/>
      <c r="AP627" s="53"/>
      <c r="AQ627" s="50">
        <f t="shared" si="237"/>
        <v>0</v>
      </c>
      <c r="AR627" s="163">
        <f t="shared" si="238"/>
        <v>0</v>
      </c>
      <c r="AS627" s="97">
        <f t="shared" si="239"/>
        <v>0</v>
      </c>
      <c r="AT627" s="278">
        <f t="shared" si="240"/>
        <v>0</v>
      </c>
      <c r="AU627" s="55"/>
      <c r="AV627" s="277"/>
      <c r="AW627" s="279"/>
      <c r="AX627" s="52"/>
      <c r="AY627" s="105"/>
      <c r="AZ627" s="98"/>
      <c r="BA627" s="279"/>
      <c r="BB627" s="52"/>
      <c r="BC627" s="105"/>
      <c r="BD627" s="98"/>
      <c r="BE627" s="279"/>
      <c r="BF627" s="52"/>
      <c r="BG627" s="105"/>
      <c r="BH627" s="98"/>
      <c r="BI627" s="279"/>
      <c r="BJ627" s="52"/>
      <c r="BK627" s="105"/>
      <c r="BL627" s="98"/>
      <c r="BM627" s="279"/>
      <c r="BN627" s="52"/>
      <c r="BO627" s="105"/>
      <c r="BP627" s="98"/>
      <c r="BQ627" s="279"/>
      <c r="BR627" s="52"/>
      <c r="BS627" s="105"/>
      <c r="BT627" s="98"/>
      <c r="BU627" s="279"/>
      <c r="BV627" s="52"/>
      <c r="BW627" s="105"/>
      <c r="BX627" s="98"/>
      <c r="BY627" s="279"/>
      <c r="BZ627" s="52"/>
      <c r="CA627" s="105"/>
      <c r="CB627" s="98"/>
      <c r="CC627" s="279"/>
      <c r="CD627" s="52"/>
      <c r="CE627" s="105"/>
      <c r="CF627" s="98"/>
      <c r="CG627" s="279"/>
      <c r="CH627" s="52"/>
      <c r="CI627" s="105"/>
      <c r="CJ627" s="98"/>
      <c r="CK627" s="281"/>
      <c r="CL627" s="277"/>
      <c r="CM627" s="159"/>
      <c r="CN627" s="277"/>
      <c r="CO627" s="50">
        <f t="shared" si="246"/>
        <v>0</v>
      </c>
      <c r="CP627" s="103">
        <f t="shared" si="247"/>
        <v>0</v>
      </c>
      <c r="CQ627" s="280">
        <f t="shared" si="248"/>
        <v>0</v>
      </c>
      <c r="CR627" s="63">
        <f t="shared" si="249"/>
        <v>0</v>
      </c>
      <c r="CS627" s="279"/>
      <c r="CT627" s="52"/>
      <c r="CU627" s="105"/>
      <c r="CV627" s="98"/>
      <c r="CW627" s="279"/>
      <c r="CX627" s="52"/>
      <c r="CY627" s="105"/>
      <c r="CZ627" s="98"/>
      <c r="DA627" s="279"/>
      <c r="DB627" s="52"/>
      <c r="DC627" s="105"/>
      <c r="DD627" s="98"/>
      <c r="DE627" s="279"/>
      <c r="DF627" s="52"/>
      <c r="DG627" s="105"/>
      <c r="DH627" s="98"/>
      <c r="DI627" s="279"/>
      <c r="DJ627" s="52"/>
      <c r="DK627" s="105"/>
      <c r="DL627" s="98"/>
      <c r="DM627" s="279"/>
      <c r="DN627" s="52"/>
      <c r="DO627" s="105"/>
      <c r="DP627" s="98"/>
      <c r="DQ627" s="279"/>
      <c r="DR627" s="52"/>
      <c r="DS627" s="105"/>
      <c r="DT627" s="98"/>
      <c r="DU627" s="279"/>
      <c r="DV627" s="52"/>
      <c r="DW627" s="105"/>
      <c r="DX627" s="98"/>
      <c r="DY627" s="279"/>
      <c r="DZ627" s="52"/>
      <c r="EA627" s="105"/>
      <c r="EB627" s="98"/>
      <c r="EC627" s="279"/>
      <c r="ED627" s="52"/>
      <c r="EE627" s="105"/>
      <c r="EF627" s="98"/>
      <c r="EG627" s="159"/>
      <c r="EH627" s="277"/>
      <c r="EI627" s="50">
        <f t="shared" si="250"/>
        <v>0</v>
      </c>
      <c r="EJ627" s="103">
        <f t="shared" si="251"/>
        <v>0</v>
      </c>
      <c r="EK627" s="164">
        <f t="shared" si="252"/>
        <v>0</v>
      </c>
      <c r="EL627" s="280">
        <f t="shared" si="253"/>
        <v>0</v>
      </c>
      <c r="EM627" s="63">
        <f t="shared" si="254"/>
        <v>0</v>
      </c>
      <c r="EN627" s="359">
        <f t="shared" si="255"/>
        <v>0</v>
      </c>
      <c r="EO627" s="51">
        <f t="shared" si="256"/>
        <v>0</v>
      </c>
      <c r="EP627" s="361">
        <f t="shared" si="257"/>
        <v>0</v>
      </c>
      <c r="EQ627" s="281"/>
      <c r="ER627" s="277"/>
      <c r="ES627" s="281"/>
      <c r="ET627" s="277"/>
      <c r="EU627" s="281"/>
      <c r="EV627" s="277"/>
      <c r="EW627" s="281"/>
      <c r="EX627" s="277"/>
      <c r="EY627" s="281"/>
      <c r="EZ627" s="277"/>
      <c r="FA627" s="281"/>
      <c r="FB627" s="277"/>
      <c r="FC627" s="281"/>
      <c r="FD627" s="277"/>
      <c r="FE627" s="281"/>
      <c r="FF627" s="277"/>
      <c r="FG627" s="281"/>
      <c r="FH627" s="277"/>
      <c r="FI627" s="281"/>
      <c r="FJ627" s="277"/>
      <c r="FK627" s="50">
        <f t="shared" si="258"/>
        <v>0</v>
      </c>
      <c r="FL627" s="63">
        <f t="shared" si="259"/>
        <v>0</v>
      </c>
      <c r="FM627" s="50">
        <f t="shared" si="241"/>
        <v>1198</v>
      </c>
      <c r="FN627" s="360">
        <f t="shared" si="242"/>
        <v>1350</v>
      </c>
      <c r="FO627" s="43"/>
      <c r="FP627" s="279"/>
      <c r="FQ627" s="467"/>
      <c r="FR627" s="296"/>
      <c r="FS627" s="98"/>
      <c r="FT627" s="467"/>
      <c r="FU627" s="52"/>
      <c r="FV627" s="296"/>
      <c r="FW627" s="98"/>
      <c r="FX627" s="467"/>
      <c r="FY627" s="52"/>
      <c r="FZ627" s="296"/>
      <c r="GA627" s="98"/>
      <c r="GB627" s="467"/>
      <c r="GC627" s="52"/>
      <c r="GD627" s="296"/>
      <c r="GE627" s="98"/>
      <c r="GF627" s="467"/>
      <c r="GG627" s="52"/>
      <c r="GH627" s="296"/>
      <c r="GI627" s="98"/>
      <c r="GJ627" s="467"/>
      <c r="GK627" s="52"/>
      <c r="GL627" s="296"/>
      <c r="GM627" s="464"/>
      <c r="GN627" s="467"/>
      <c r="GO627" s="52"/>
      <c r="GP627" s="296"/>
      <c r="GQ627" s="464"/>
      <c r="GR627" s="467"/>
      <c r="GS627" s="52"/>
      <c r="GT627" s="296"/>
      <c r="GU627" s="464"/>
      <c r="GV627" s="467"/>
      <c r="GW627" s="52"/>
      <c r="GX627" s="296"/>
      <c r="GY627" s="464"/>
      <c r="GZ627" s="467"/>
      <c r="HA627" s="52"/>
      <c r="HB627" s="296"/>
      <c r="HC627" s="43"/>
    </row>
    <row r="628" spans="1:211" s="85" customFormat="1">
      <c r="A628" s="502" t="s">
        <v>951</v>
      </c>
      <c r="B628" s="315" t="s">
        <v>852</v>
      </c>
      <c r="C628" s="314">
        <v>222567</v>
      </c>
      <c r="D628" s="343">
        <v>9</v>
      </c>
      <c r="E628" s="460">
        <v>356</v>
      </c>
      <c r="F628" s="552">
        <v>408</v>
      </c>
      <c r="G628" s="158"/>
      <c r="H628" s="277"/>
      <c r="I628" s="158">
        <v>410</v>
      </c>
      <c r="J628" s="551">
        <v>405</v>
      </c>
      <c r="K628" s="160">
        <f t="shared" si="243"/>
        <v>0</v>
      </c>
      <c r="L628" s="161">
        <f t="shared" si="236"/>
        <v>0</v>
      </c>
      <c r="M628" s="54"/>
      <c r="N628" s="55"/>
      <c r="O628" s="55"/>
      <c r="P628" s="55"/>
      <c r="Q628" s="162">
        <f t="shared" si="244"/>
        <v>0</v>
      </c>
      <c r="R628" s="277"/>
      <c r="S628" s="277"/>
      <c r="T628" s="277"/>
      <c r="U628" s="277"/>
      <c r="V628" s="97">
        <f t="shared" si="245"/>
        <v>0</v>
      </c>
      <c r="W628" s="279"/>
      <c r="X628" s="52"/>
      <c r="Y628" s="99"/>
      <c r="Z628" s="53"/>
      <c r="AA628" s="228"/>
      <c r="AB628" s="52"/>
      <c r="AC628" s="99"/>
      <c r="AD628" s="53"/>
      <c r="AE628" s="228"/>
      <c r="AF628" s="52"/>
      <c r="AG628" s="99"/>
      <c r="AH628" s="53"/>
      <c r="AI628" s="228"/>
      <c r="AJ628" s="52"/>
      <c r="AK628" s="99"/>
      <c r="AL628" s="53"/>
      <c r="AM628" s="228"/>
      <c r="AN628" s="52"/>
      <c r="AO628" s="99"/>
      <c r="AP628" s="53"/>
      <c r="AQ628" s="50">
        <f t="shared" si="237"/>
        <v>0</v>
      </c>
      <c r="AR628" s="163">
        <f t="shared" si="238"/>
        <v>0</v>
      </c>
      <c r="AS628" s="97">
        <f t="shared" si="239"/>
        <v>0</v>
      </c>
      <c r="AT628" s="278">
        <f t="shared" si="240"/>
        <v>0</v>
      </c>
      <c r="AU628" s="55"/>
      <c r="AV628" s="277"/>
      <c r="AW628" s="279"/>
      <c r="AX628" s="52"/>
      <c r="AY628" s="105"/>
      <c r="AZ628" s="98"/>
      <c r="BA628" s="279"/>
      <c r="BB628" s="52"/>
      <c r="BC628" s="105"/>
      <c r="BD628" s="98"/>
      <c r="BE628" s="279"/>
      <c r="BF628" s="52"/>
      <c r="BG628" s="105"/>
      <c r="BH628" s="98"/>
      <c r="BI628" s="279"/>
      <c r="BJ628" s="52"/>
      <c r="BK628" s="105"/>
      <c r="BL628" s="98"/>
      <c r="BM628" s="279"/>
      <c r="BN628" s="52"/>
      <c r="BO628" s="105"/>
      <c r="BP628" s="98"/>
      <c r="BQ628" s="279"/>
      <c r="BR628" s="52"/>
      <c r="BS628" s="105"/>
      <c r="BT628" s="98"/>
      <c r="BU628" s="279"/>
      <c r="BV628" s="52"/>
      <c r="BW628" s="105"/>
      <c r="BX628" s="98"/>
      <c r="BY628" s="279"/>
      <c r="BZ628" s="52"/>
      <c r="CA628" s="105"/>
      <c r="CB628" s="98"/>
      <c r="CC628" s="279"/>
      <c r="CD628" s="52"/>
      <c r="CE628" s="105"/>
      <c r="CF628" s="98"/>
      <c r="CG628" s="279"/>
      <c r="CH628" s="52"/>
      <c r="CI628" s="105"/>
      <c r="CJ628" s="98"/>
      <c r="CK628" s="281"/>
      <c r="CL628" s="277"/>
      <c r="CM628" s="159"/>
      <c r="CN628" s="277"/>
      <c r="CO628" s="50">
        <f t="shared" si="246"/>
        <v>0</v>
      </c>
      <c r="CP628" s="103">
        <f t="shared" si="247"/>
        <v>0</v>
      </c>
      <c r="CQ628" s="280">
        <f t="shared" si="248"/>
        <v>0</v>
      </c>
      <c r="CR628" s="63">
        <f t="shared" si="249"/>
        <v>0</v>
      </c>
      <c r="CS628" s="279"/>
      <c r="CT628" s="52"/>
      <c r="CU628" s="105"/>
      <c r="CV628" s="98"/>
      <c r="CW628" s="279"/>
      <c r="CX628" s="52"/>
      <c r="CY628" s="105"/>
      <c r="CZ628" s="98"/>
      <c r="DA628" s="279"/>
      <c r="DB628" s="52"/>
      <c r="DC628" s="105"/>
      <c r="DD628" s="98"/>
      <c r="DE628" s="279"/>
      <c r="DF628" s="52"/>
      <c r="DG628" s="105"/>
      <c r="DH628" s="98"/>
      <c r="DI628" s="279"/>
      <c r="DJ628" s="52"/>
      <c r="DK628" s="105"/>
      <c r="DL628" s="98"/>
      <c r="DM628" s="279"/>
      <c r="DN628" s="52"/>
      <c r="DO628" s="105"/>
      <c r="DP628" s="98"/>
      <c r="DQ628" s="279"/>
      <c r="DR628" s="52"/>
      <c r="DS628" s="105"/>
      <c r="DT628" s="98"/>
      <c r="DU628" s="279"/>
      <c r="DV628" s="52"/>
      <c r="DW628" s="105"/>
      <c r="DX628" s="98"/>
      <c r="DY628" s="279"/>
      <c r="DZ628" s="52"/>
      <c r="EA628" s="105"/>
      <c r="EB628" s="98"/>
      <c r="EC628" s="279"/>
      <c r="ED628" s="52"/>
      <c r="EE628" s="105"/>
      <c r="EF628" s="98"/>
      <c r="EG628" s="159"/>
      <c r="EH628" s="277"/>
      <c r="EI628" s="50">
        <f t="shared" si="250"/>
        <v>0</v>
      </c>
      <c r="EJ628" s="103">
        <f t="shared" si="251"/>
        <v>0</v>
      </c>
      <c r="EK628" s="164">
        <f t="shared" si="252"/>
        <v>0</v>
      </c>
      <c r="EL628" s="280">
        <f t="shared" si="253"/>
        <v>0</v>
      </c>
      <c r="EM628" s="63">
        <f t="shared" si="254"/>
        <v>0</v>
      </c>
      <c r="EN628" s="359">
        <f t="shared" si="255"/>
        <v>0</v>
      </c>
      <c r="EO628" s="51">
        <f t="shared" si="256"/>
        <v>0</v>
      </c>
      <c r="EP628" s="361">
        <f t="shared" si="257"/>
        <v>0</v>
      </c>
      <c r="EQ628" s="281"/>
      <c r="ER628" s="277"/>
      <c r="ES628" s="281"/>
      <c r="ET628" s="277"/>
      <c r="EU628" s="281"/>
      <c r="EV628" s="277"/>
      <c r="EW628" s="281"/>
      <c r="EX628" s="277"/>
      <c r="EY628" s="281"/>
      <c r="EZ628" s="277"/>
      <c r="FA628" s="281"/>
      <c r="FB628" s="277"/>
      <c r="FC628" s="281"/>
      <c r="FD628" s="277"/>
      <c r="FE628" s="281"/>
      <c r="FF628" s="277"/>
      <c r="FG628" s="281"/>
      <c r="FH628" s="277"/>
      <c r="FI628" s="281"/>
      <c r="FJ628" s="277"/>
      <c r="FK628" s="50">
        <f t="shared" si="258"/>
        <v>0</v>
      </c>
      <c r="FL628" s="63">
        <f t="shared" si="259"/>
        <v>0</v>
      </c>
      <c r="FM628" s="50">
        <f t="shared" si="241"/>
        <v>766</v>
      </c>
      <c r="FN628" s="360">
        <f t="shared" si="242"/>
        <v>813</v>
      </c>
      <c r="FO628" s="43"/>
      <c r="FP628" s="279"/>
      <c r="FQ628" s="467"/>
      <c r="FR628" s="296"/>
      <c r="FS628" s="98"/>
      <c r="FT628" s="467"/>
      <c r="FU628" s="52"/>
      <c r="FV628" s="296"/>
      <c r="FW628" s="98"/>
      <c r="FX628" s="467"/>
      <c r="FY628" s="52"/>
      <c r="FZ628" s="296"/>
      <c r="GA628" s="98"/>
      <c r="GB628" s="467"/>
      <c r="GC628" s="52"/>
      <c r="GD628" s="296"/>
      <c r="GE628" s="98"/>
      <c r="GF628" s="467"/>
      <c r="GG628" s="52"/>
      <c r="GH628" s="296"/>
      <c r="GI628" s="98"/>
      <c r="GJ628" s="467"/>
      <c r="GK628" s="52"/>
      <c r="GL628" s="296"/>
      <c r="GM628" s="464"/>
      <c r="GN628" s="467"/>
      <c r="GO628" s="52"/>
      <c r="GP628" s="296"/>
      <c r="GQ628" s="464"/>
      <c r="GR628" s="467"/>
      <c r="GS628" s="52"/>
      <c r="GT628" s="296"/>
      <c r="GU628" s="464"/>
      <c r="GV628" s="467"/>
      <c r="GW628" s="52"/>
      <c r="GX628" s="296"/>
      <c r="GY628" s="464"/>
      <c r="GZ628" s="467"/>
      <c r="HA628" s="52"/>
      <c r="HB628" s="296"/>
      <c r="HC628" s="43"/>
    </row>
    <row r="629" spans="1:211" s="85" customFormat="1">
      <c r="A629" s="502" t="s">
        <v>951</v>
      </c>
      <c r="B629" s="315" t="s">
        <v>853</v>
      </c>
      <c r="C629" s="314">
        <v>222822</v>
      </c>
      <c r="D629" s="343">
        <v>9</v>
      </c>
      <c r="E629" s="460">
        <v>305</v>
      </c>
      <c r="F629" s="552">
        <v>315</v>
      </c>
      <c r="G629" s="158"/>
      <c r="H629" s="277"/>
      <c r="I629" s="158">
        <v>307</v>
      </c>
      <c r="J629" s="551">
        <v>278</v>
      </c>
      <c r="K629" s="160">
        <f t="shared" si="243"/>
        <v>0</v>
      </c>
      <c r="L629" s="161">
        <f t="shared" si="236"/>
        <v>0</v>
      </c>
      <c r="M629" s="54"/>
      <c r="N629" s="55"/>
      <c r="O629" s="55"/>
      <c r="P629" s="55"/>
      <c r="Q629" s="162">
        <f t="shared" si="244"/>
        <v>0</v>
      </c>
      <c r="R629" s="277"/>
      <c r="S629" s="277"/>
      <c r="T629" s="277"/>
      <c r="U629" s="277"/>
      <c r="V629" s="97">
        <f t="shared" si="245"/>
        <v>0</v>
      </c>
      <c r="W629" s="279"/>
      <c r="X629" s="52"/>
      <c r="Y629" s="99"/>
      <c r="Z629" s="53"/>
      <c r="AA629" s="228"/>
      <c r="AB629" s="52"/>
      <c r="AC629" s="99"/>
      <c r="AD629" s="53"/>
      <c r="AE629" s="228"/>
      <c r="AF629" s="52"/>
      <c r="AG629" s="99"/>
      <c r="AH629" s="53"/>
      <c r="AI629" s="228"/>
      <c r="AJ629" s="52"/>
      <c r="AK629" s="99"/>
      <c r="AL629" s="53"/>
      <c r="AM629" s="228"/>
      <c r="AN629" s="52"/>
      <c r="AO629" s="99"/>
      <c r="AP629" s="53"/>
      <c r="AQ629" s="50">
        <f t="shared" si="237"/>
        <v>0</v>
      </c>
      <c r="AR629" s="163">
        <f t="shared" si="238"/>
        <v>0</v>
      </c>
      <c r="AS629" s="97">
        <f t="shared" si="239"/>
        <v>0</v>
      </c>
      <c r="AT629" s="278">
        <f t="shared" si="240"/>
        <v>0</v>
      </c>
      <c r="AU629" s="55"/>
      <c r="AV629" s="277"/>
      <c r="AW629" s="279"/>
      <c r="AX629" s="52"/>
      <c r="AY629" s="105"/>
      <c r="AZ629" s="98"/>
      <c r="BA629" s="279"/>
      <c r="BB629" s="52"/>
      <c r="BC629" s="105"/>
      <c r="BD629" s="98"/>
      <c r="BE629" s="279"/>
      <c r="BF629" s="52"/>
      <c r="BG629" s="105"/>
      <c r="BH629" s="98"/>
      <c r="BI629" s="279"/>
      <c r="BJ629" s="52"/>
      <c r="BK629" s="105"/>
      <c r="BL629" s="98"/>
      <c r="BM629" s="279"/>
      <c r="BN629" s="52"/>
      <c r="BO629" s="105"/>
      <c r="BP629" s="98"/>
      <c r="BQ629" s="279"/>
      <c r="BR629" s="52"/>
      <c r="BS629" s="105"/>
      <c r="BT629" s="98"/>
      <c r="BU629" s="279"/>
      <c r="BV629" s="52"/>
      <c r="BW629" s="105"/>
      <c r="BX629" s="98"/>
      <c r="BY629" s="279"/>
      <c r="BZ629" s="52"/>
      <c r="CA629" s="105"/>
      <c r="CB629" s="98"/>
      <c r="CC629" s="279"/>
      <c r="CD629" s="52"/>
      <c r="CE629" s="105"/>
      <c r="CF629" s="98"/>
      <c r="CG629" s="279"/>
      <c r="CH629" s="52"/>
      <c r="CI629" s="105"/>
      <c r="CJ629" s="98"/>
      <c r="CK629" s="281"/>
      <c r="CL629" s="277"/>
      <c r="CM629" s="159"/>
      <c r="CN629" s="277"/>
      <c r="CO629" s="50">
        <f t="shared" si="246"/>
        <v>0</v>
      </c>
      <c r="CP629" s="103">
        <f t="shared" si="247"/>
        <v>0</v>
      </c>
      <c r="CQ629" s="280">
        <f t="shared" si="248"/>
        <v>0</v>
      </c>
      <c r="CR629" s="63">
        <f t="shared" si="249"/>
        <v>0</v>
      </c>
      <c r="CS629" s="279"/>
      <c r="CT629" s="52"/>
      <c r="CU629" s="105"/>
      <c r="CV629" s="98"/>
      <c r="CW629" s="279"/>
      <c r="CX629" s="52"/>
      <c r="CY629" s="105"/>
      <c r="CZ629" s="98"/>
      <c r="DA629" s="279"/>
      <c r="DB629" s="52"/>
      <c r="DC629" s="105"/>
      <c r="DD629" s="98"/>
      <c r="DE629" s="279"/>
      <c r="DF629" s="52"/>
      <c r="DG629" s="105"/>
      <c r="DH629" s="98"/>
      <c r="DI629" s="279"/>
      <c r="DJ629" s="52"/>
      <c r="DK629" s="105"/>
      <c r="DL629" s="98"/>
      <c r="DM629" s="279"/>
      <c r="DN629" s="52"/>
      <c r="DO629" s="105"/>
      <c r="DP629" s="98"/>
      <c r="DQ629" s="279"/>
      <c r="DR629" s="52"/>
      <c r="DS629" s="105"/>
      <c r="DT629" s="98"/>
      <c r="DU629" s="279"/>
      <c r="DV629" s="52"/>
      <c r="DW629" s="105"/>
      <c r="DX629" s="98"/>
      <c r="DY629" s="279"/>
      <c r="DZ629" s="52"/>
      <c r="EA629" s="105"/>
      <c r="EB629" s="98"/>
      <c r="EC629" s="279"/>
      <c r="ED629" s="52"/>
      <c r="EE629" s="105"/>
      <c r="EF629" s="98"/>
      <c r="EG629" s="159"/>
      <c r="EH629" s="277"/>
      <c r="EI629" s="50">
        <f t="shared" si="250"/>
        <v>0</v>
      </c>
      <c r="EJ629" s="103">
        <f t="shared" si="251"/>
        <v>0</v>
      </c>
      <c r="EK629" s="164">
        <f t="shared" si="252"/>
        <v>0</v>
      </c>
      <c r="EL629" s="280">
        <f t="shared" si="253"/>
        <v>0</v>
      </c>
      <c r="EM629" s="63">
        <f t="shared" si="254"/>
        <v>0</v>
      </c>
      <c r="EN629" s="359">
        <f t="shared" si="255"/>
        <v>0</v>
      </c>
      <c r="EO629" s="51">
        <f t="shared" si="256"/>
        <v>0</v>
      </c>
      <c r="EP629" s="361">
        <f t="shared" si="257"/>
        <v>0</v>
      </c>
      <c r="EQ629" s="281"/>
      <c r="ER629" s="277"/>
      <c r="ES629" s="281"/>
      <c r="ET629" s="277"/>
      <c r="EU629" s="281"/>
      <c r="EV629" s="277"/>
      <c r="EW629" s="281"/>
      <c r="EX629" s="277"/>
      <c r="EY629" s="281"/>
      <c r="EZ629" s="277"/>
      <c r="FA629" s="281"/>
      <c r="FB629" s="277"/>
      <c r="FC629" s="281"/>
      <c r="FD629" s="277"/>
      <c r="FE629" s="281"/>
      <c r="FF629" s="277"/>
      <c r="FG629" s="281"/>
      <c r="FH629" s="277"/>
      <c r="FI629" s="281"/>
      <c r="FJ629" s="277"/>
      <c r="FK629" s="50">
        <f t="shared" si="258"/>
        <v>0</v>
      </c>
      <c r="FL629" s="63">
        <f t="shared" si="259"/>
        <v>0</v>
      </c>
      <c r="FM629" s="50">
        <f t="shared" si="241"/>
        <v>612</v>
      </c>
      <c r="FN629" s="360">
        <f t="shared" si="242"/>
        <v>593</v>
      </c>
      <c r="FO629" s="43"/>
      <c r="FP629" s="279"/>
      <c r="FQ629" s="467"/>
      <c r="FR629" s="296"/>
      <c r="FS629" s="98"/>
      <c r="FT629" s="467"/>
      <c r="FU629" s="52"/>
      <c r="FV629" s="296"/>
      <c r="FW629" s="98"/>
      <c r="FX629" s="467"/>
      <c r="FY629" s="52"/>
      <c r="FZ629" s="296"/>
      <c r="GA629" s="98"/>
      <c r="GB629" s="467"/>
      <c r="GC629" s="52"/>
      <c r="GD629" s="296"/>
      <c r="GE629" s="98"/>
      <c r="GF629" s="467"/>
      <c r="GG629" s="52"/>
      <c r="GH629" s="296"/>
      <c r="GI629" s="98"/>
      <c r="GJ629" s="467"/>
      <c r="GK629" s="52"/>
      <c r="GL629" s="296"/>
      <c r="GM629" s="464"/>
      <c r="GN629" s="467"/>
      <c r="GO629" s="52"/>
      <c r="GP629" s="296"/>
      <c r="GQ629" s="464"/>
      <c r="GR629" s="467"/>
      <c r="GS629" s="52"/>
      <c r="GT629" s="296"/>
      <c r="GU629" s="464"/>
      <c r="GV629" s="467"/>
      <c r="GW629" s="52"/>
      <c r="GX629" s="296"/>
      <c r="GY629" s="464"/>
      <c r="GZ629" s="467"/>
      <c r="HA629" s="52"/>
      <c r="HB629" s="296"/>
      <c r="HC629" s="43"/>
    </row>
    <row r="630" spans="1:211" s="85" customFormat="1">
      <c r="A630" s="502" t="s">
        <v>951</v>
      </c>
      <c r="B630" s="315" t="s">
        <v>855</v>
      </c>
      <c r="C630" s="314">
        <v>223773</v>
      </c>
      <c r="D630" s="343">
        <v>9</v>
      </c>
      <c r="E630" s="460">
        <v>470</v>
      </c>
      <c r="F630" s="552">
        <v>441</v>
      </c>
      <c r="G630" s="158"/>
      <c r="H630" s="277"/>
      <c r="I630" s="158">
        <v>245</v>
      </c>
      <c r="J630" s="551">
        <v>257</v>
      </c>
      <c r="K630" s="160">
        <f t="shared" si="243"/>
        <v>0</v>
      </c>
      <c r="L630" s="161">
        <f t="shared" si="236"/>
        <v>0</v>
      </c>
      <c r="M630" s="54"/>
      <c r="N630" s="55"/>
      <c r="O630" s="55"/>
      <c r="P630" s="55"/>
      <c r="Q630" s="162">
        <f t="shared" si="244"/>
        <v>0</v>
      </c>
      <c r="R630" s="277"/>
      <c r="S630" s="277"/>
      <c r="T630" s="277"/>
      <c r="U630" s="277"/>
      <c r="V630" s="97">
        <f t="shared" si="245"/>
        <v>0</v>
      </c>
      <c r="W630" s="279"/>
      <c r="X630" s="52"/>
      <c r="Y630" s="99"/>
      <c r="Z630" s="53"/>
      <c r="AA630" s="228"/>
      <c r="AB630" s="52"/>
      <c r="AC630" s="99"/>
      <c r="AD630" s="53"/>
      <c r="AE630" s="228"/>
      <c r="AF630" s="52"/>
      <c r="AG630" s="99"/>
      <c r="AH630" s="53"/>
      <c r="AI630" s="228"/>
      <c r="AJ630" s="52"/>
      <c r="AK630" s="99"/>
      <c r="AL630" s="53"/>
      <c r="AM630" s="228"/>
      <c r="AN630" s="52"/>
      <c r="AO630" s="99"/>
      <c r="AP630" s="53"/>
      <c r="AQ630" s="50">
        <f t="shared" si="237"/>
        <v>0</v>
      </c>
      <c r="AR630" s="163">
        <f t="shared" si="238"/>
        <v>0</v>
      </c>
      <c r="AS630" s="97">
        <f t="shared" si="239"/>
        <v>0</v>
      </c>
      <c r="AT630" s="278">
        <f t="shared" si="240"/>
        <v>0</v>
      </c>
      <c r="AU630" s="55"/>
      <c r="AV630" s="277"/>
      <c r="AW630" s="279"/>
      <c r="AX630" s="52"/>
      <c r="AY630" s="105"/>
      <c r="AZ630" s="98"/>
      <c r="BA630" s="279"/>
      <c r="BB630" s="52"/>
      <c r="BC630" s="105"/>
      <c r="BD630" s="98"/>
      <c r="BE630" s="279"/>
      <c r="BF630" s="52"/>
      <c r="BG630" s="105"/>
      <c r="BH630" s="98"/>
      <c r="BI630" s="279"/>
      <c r="BJ630" s="52"/>
      <c r="BK630" s="105"/>
      <c r="BL630" s="98"/>
      <c r="BM630" s="279"/>
      <c r="BN630" s="52"/>
      <c r="BO630" s="105"/>
      <c r="BP630" s="98"/>
      <c r="BQ630" s="279"/>
      <c r="BR630" s="52"/>
      <c r="BS630" s="105"/>
      <c r="BT630" s="98"/>
      <c r="BU630" s="279"/>
      <c r="BV630" s="52"/>
      <c r="BW630" s="105"/>
      <c r="BX630" s="98"/>
      <c r="BY630" s="279"/>
      <c r="BZ630" s="52"/>
      <c r="CA630" s="105"/>
      <c r="CB630" s="98"/>
      <c r="CC630" s="279"/>
      <c r="CD630" s="52"/>
      <c r="CE630" s="105"/>
      <c r="CF630" s="98"/>
      <c r="CG630" s="279"/>
      <c r="CH630" s="52"/>
      <c r="CI630" s="105"/>
      <c r="CJ630" s="98"/>
      <c r="CK630" s="281"/>
      <c r="CL630" s="277"/>
      <c r="CM630" s="159"/>
      <c r="CN630" s="277"/>
      <c r="CO630" s="50">
        <f t="shared" si="246"/>
        <v>0</v>
      </c>
      <c r="CP630" s="103">
        <f t="shared" si="247"/>
        <v>0</v>
      </c>
      <c r="CQ630" s="280">
        <f t="shared" si="248"/>
        <v>0</v>
      </c>
      <c r="CR630" s="63">
        <f t="shared" si="249"/>
        <v>0</v>
      </c>
      <c r="CS630" s="279"/>
      <c r="CT630" s="52"/>
      <c r="CU630" s="105"/>
      <c r="CV630" s="98"/>
      <c r="CW630" s="279"/>
      <c r="CX630" s="52"/>
      <c r="CY630" s="105"/>
      <c r="CZ630" s="98"/>
      <c r="DA630" s="279"/>
      <c r="DB630" s="52"/>
      <c r="DC630" s="105"/>
      <c r="DD630" s="98"/>
      <c r="DE630" s="279"/>
      <c r="DF630" s="52"/>
      <c r="DG630" s="105"/>
      <c r="DH630" s="98"/>
      <c r="DI630" s="279"/>
      <c r="DJ630" s="52"/>
      <c r="DK630" s="105"/>
      <c r="DL630" s="98"/>
      <c r="DM630" s="279"/>
      <c r="DN630" s="52"/>
      <c r="DO630" s="105"/>
      <c r="DP630" s="98"/>
      <c r="DQ630" s="279"/>
      <c r="DR630" s="52"/>
      <c r="DS630" s="105"/>
      <c r="DT630" s="98"/>
      <c r="DU630" s="279"/>
      <c r="DV630" s="52"/>
      <c r="DW630" s="105"/>
      <c r="DX630" s="98"/>
      <c r="DY630" s="279"/>
      <c r="DZ630" s="52"/>
      <c r="EA630" s="105"/>
      <c r="EB630" s="98"/>
      <c r="EC630" s="279"/>
      <c r="ED630" s="52"/>
      <c r="EE630" s="105"/>
      <c r="EF630" s="98"/>
      <c r="EG630" s="159"/>
      <c r="EH630" s="277"/>
      <c r="EI630" s="50">
        <f t="shared" si="250"/>
        <v>0</v>
      </c>
      <c r="EJ630" s="103">
        <f t="shared" si="251"/>
        <v>0</v>
      </c>
      <c r="EK630" s="164">
        <f t="shared" si="252"/>
        <v>0</v>
      </c>
      <c r="EL630" s="280">
        <f t="shared" si="253"/>
        <v>0</v>
      </c>
      <c r="EM630" s="63">
        <f t="shared" si="254"/>
        <v>0</v>
      </c>
      <c r="EN630" s="359">
        <f t="shared" si="255"/>
        <v>0</v>
      </c>
      <c r="EO630" s="51">
        <f t="shared" si="256"/>
        <v>0</v>
      </c>
      <c r="EP630" s="361">
        <f t="shared" si="257"/>
        <v>0</v>
      </c>
      <c r="EQ630" s="281"/>
      <c r="ER630" s="277"/>
      <c r="ES630" s="281"/>
      <c r="ET630" s="277"/>
      <c r="EU630" s="281"/>
      <c r="EV630" s="277"/>
      <c r="EW630" s="281"/>
      <c r="EX630" s="277"/>
      <c r="EY630" s="281"/>
      <c r="EZ630" s="277"/>
      <c r="FA630" s="281"/>
      <c r="FB630" s="277"/>
      <c r="FC630" s="281"/>
      <c r="FD630" s="277"/>
      <c r="FE630" s="281"/>
      <c r="FF630" s="277"/>
      <c r="FG630" s="281"/>
      <c r="FH630" s="277"/>
      <c r="FI630" s="281"/>
      <c r="FJ630" s="277"/>
      <c r="FK630" s="50">
        <f t="shared" si="258"/>
        <v>0</v>
      </c>
      <c r="FL630" s="63">
        <f t="shared" si="259"/>
        <v>0</v>
      </c>
      <c r="FM630" s="50">
        <f t="shared" si="241"/>
        <v>715</v>
      </c>
      <c r="FN630" s="360">
        <f t="shared" si="242"/>
        <v>698</v>
      </c>
      <c r="FO630" s="43"/>
      <c r="FP630" s="279"/>
      <c r="FQ630" s="467"/>
      <c r="FR630" s="296"/>
      <c r="FS630" s="98"/>
      <c r="FT630" s="467"/>
      <c r="FU630" s="52"/>
      <c r="FV630" s="296"/>
      <c r="FW630" s="98"/>
      <c r="FX630" s="467"/>
      <c r="FY630" s="52"/>
      <c r="FZ630" s="296"/>
      <c r="GA630" s="98"/>
      <c r="GB630" s="467"/>
      <c r="GC630" s="52"/>
      <c r="GD630" s="296"/>
      <c r="GE630" s="98"/>
      <c r="GF630" s="467"/>
      <c r="GG630" s="52"/>
      <c r="GH630" s="296"/>
      <c r="GI630" s="98"/>
      <c r="GJ630" s="467"/>
      <c r="GK630" s="52"/>
      <c r="GL630" s="296"/>
      <c r="GM630" s="464"/>
      <c r="GN630" s="467"/>
      <c r="GO630" s="52"/>
      <c r="GP630" s="296"/>
      <c r="GQ630" s="464"/>
      <c r="GR630" s="467"/>
      <c r="GS630" s="52"/>
      <c r="GT630" s="296"/>
      <c r="GU630" s="464"/>
      <c r="GV630" s="467"/>
      <c r="GW630" s="52"/>
      <c r="GX630" s="296"/>
      <c r="GY630" s="464"/>
      <c r="GZ630" s="467"/>
      <c r="HA630" s="52"/>
      <c r="HB630" s="296"/>
      <c r="HC630" s="43"/>
    </row>
    <row r="631" spans="1:211" s="85" customFormat="1">
      <c r="A631" s="502" t="s">
        <v>951</v>
      </c>
      <c r="B631" s="315" t="s">
        <v>856</v>
      </c>
      <c r="C631" s="314">
        <v>223898</v>
      </c>
      <c r="D631" s="343">
        <v>9</v>
      </c>
      <c r="E631" s="460">
        <v>197</v>
      </c>
      <c r="F631" s="552">
        <v>222</v>
      </c>
      <c r="G631" s="158"/>
      <c r="H631" s="277"/>
      <c r="I631" s="158">
        <v>221</v>
      </c>
      <c r="J631" s="551">
        <v>220</v>
      </c>
      <c r="K631" s="160">
        <f t="shared" si="243"/>
        <v>0</v>
      </c>
      <c r="L631" s="161">
        <f t="shared" si="236"/>
        <v>0</v>
      </c>
      <c r="M631" s="54"/>
      <c r="N631" s="55"/>
      <c r="O631" s="55"/>
      <c r="P631" s="55"/>
      <c r="Q631" s="162">
        <f t="shared" si="244"/>
        <v>0</v>
      </c>
      <c r="R631" s="277"/>
      <c r="S631" s="277"/>
      <c r="T631" s="277"/>
      <c r="U631" s="277"/>
      <c r="V631" s="97">
        <f t="shared" si="245"/>
        <v>0</v>
      </c>
      <c r="W631" s="279"/>
      <c r="X631" s="52"/>
      <c r="Y631" s="99"/>
      <c r="Z631" s="53"/>
      <c r="AA631" s="228"/>
      <c r="AB631" s="52"/>
      <c r="AC631" s="99"/>
      <c r="AD631" s="53"/>
      <c r="AE631" s="228"/>
      <c r="AF631" s="52"/>
      <c r="AG631" s="99"/>
      <c r="AH631" s="53"/>
      <c r="AI631" s="228"/>
      <c r="AJ631" s="52"/>
      <c r="AK631" s="99"/>
      <c r="AL631" s="53"/>
      <c r="AM631" s="228"/>
      <c r="AN631" s="52"/>
      <c r="AO631" s="99"/>
      <c r="AP631" s="53"/>
      <c r="AQ631" s="50">
        <f t="shared" si="237"/>
        <v>0</v>
      </c>
      <c r="AR631" s="163">
        <f t="shared" si="238"/>
        <v>0</v>
      </c>
      <c r="AS631" s="97">
        <f t="shared" si="239"/>
        <v>0</v>
      </c>
      <c r="AT631" s="278">
        <f t="shared" si="240"/>
        <v>0</v>
      </c>
      <c r="AU631" s="55"/>
      <c r="AV631" s="277"/>
      <c r="AW631" s="279"/>
      <c r="AX631" s="52"/>
      <c r="AY631" s="105"/>
      <c r="AZ631" s="98"/>
      <c r="BA631" s="279"/>
      <c r="BB631" s="52"/>
      <c r="BC631" s="105"/>
      <c r="BD631" s="98"/>
      <c r="BE631" s="279"/>
      <c r="BF631" s="52"/>
      <c r="BG631" s="105"/>
      <c r="BH631" s="98"/>
      <c r="BI631" s="279"/>
      <c r="BJ631" s="52"/>
      <c r="BK631" s="105"/>
      <c r="BL631" s="98"/>
      <c r="BM631" s="279"/>
      <c r="BN631" s="52"/>
      <c r="BO631" s="105"/>
      <c r="BP631" s="98"/>
      <c r="BQ631" s="279"/>
      <c r="BR631" s="52"/>
      <c r="BS631" s="105"/>
      <c r="BT631" s="98"/>
      <c r="BU631" s="279"/>
      <c r="BV631" s="52"/>
      <c r="BW631" s="105"/>
      <c r="BX631" s="98"/>
      <c r="BY631" s="279"/>
      <c r="BZ631" s="52"/>
      <c r="CA631" s="105"/>
      <c r="CB631" s="98"/>
      <c r="CC631" s="279"/>
      <c r="CD631" s="52"/>
      <c r="CE631" s="105"/>
      <c r="CF631" s="98"/>
      <c r="CG631" s="279"/>
      <c r="CH631" s="52"/>
      <c r="CI631" s="105"/>
      <c r="CJ631" s="98"/>
      <c r="CK631" s="281"/>
      <c r="CL631" s="277"/>
      <c r="CM631" s="159"/>
      <c r="CN631" s="277"/>
      <c r="CO631" s="50">
        <f t="shared" si="246"/>
        <v>0</v>
      </c>
      <c r="CP631" s="103">
        <f t="shared" si="247"/>
        <v>0</v>
      </c>
      <c r="CQ631" s="280">
        <f t="shared" si="248"/>
        <v>0</v>
      </c>
      <c r="CR631" s="63">
        <f t="shared" si="249"/>
        <v>0</v>
      </c>
      <c r="CS631" s="279"/>
      <c r="CT631" s="52"/>
      <c r="CU631" s="105"/>
      <c r="CV631" s="98"/>
      <c r="CW631" s="279"/>
      <c r="CX631" s="52"/>
      <c r="CY631" s="105"/>
      <c r="CZ631" s="98"/>
      <c r="DA631" s="279"/>
      <c r="DB631" s="52"/>
      <c r="DC631" s="105"/>
      <c r="DD631" s="98"/>
      <c r="DE631" s="279"/>
      <c r="DF631" s="52"/>
      <c r="DG631" s="105"/>
      <c r="DH631" s="98"/>
      <c r="DI631" s="279"/>
      <c r="DJ631" s="52"/>
      <c r="DK631" s="105"/>
      <c r="DL631" s="98"/>
      <c r="DM631" s="279"/>
      <c r="DN631" s="52"/>
      <c r="DO631" s="105"/>
      <c r="DP631" s="98"/>
      <c r="DQ631" s="279"/>
      <c r="DR631" s="52"/>
      <c r="DS631" s="105"/>
      <c r="DT631" s="98"/>
      <c r="DU631" s="279"/>
      <c r="DV631" s="52"/>
      <c r="DW631" s="105"/>
      <c r="DX631" s="98"/>
      <c r="DY631" s="279"/>
      <c r="DZ631" s="52"/>
      <c r="EA631" s="105"/>
      <c r="EB631" s="98"/>
      <c r="EC631" s="279"/>
      <c r="ED631" s="52"/>
      <c r="EE631" s="105"/>
      <c r="EF631" s="98"/>
      <c r="EG631" s="159"/>
      <c r="EH631" s="277"/>
      <c r="EI631" s="50">
        <f t="shared" si="250"/>
        <v>0</v>
      </c>
      <c r="EJ631" s="103">
        <f t="shared" si="251"/>
        <v>0</v>
      </c>
      <c r="EK631" s="164">
        <f t="shared" si="252"/>
        <v>0</v>
      </c>
      <c r="EL631" s="280">
        <f t="shared" si="253"/>
        <v>0</v>
      </c>
      <c r="EM631" s="63">
        <f t="shared" si="254"/>
        <v>0</v>
      </c>
      <c r="EN631" s="359">
        <f t="shared" si="255"/>
        <v>0</v>
      </c>
      <c r="EO631" s="51">
        <f t="shared" si="256"/>
        <v>0</v>
      </c>
      <c r="EP631" s="361">
        <f t="shared" si="257"/>
        <v>0</v>
      </c>
      <c r="EQ631" s="281"/>
      <c r="ER631" s="277"/>
      <c r="ES631" s="281"/>
      <c r="ET631" s="277"/>
      <c r="EU631" s="281"/>
      <c r="EV631" s="277"/>
      <c r="EW631" s="281"/>
      <c r="EX631" s="277"/>
      <c r="EY631" s="281"/>
      <c r="EZ631" s="277"/>
      <c r="FA631" s="281"/>
      <c r="FB631" s="277"/>
      <c r="FC631" s="281"/>
      <c r="FD631" s="277"/>
      <c r="FE631" s="281"/>
      <c r="FF631" s="277"/>
      <c r="FG631" s="281"/>
      <c r="FH631" s="277"/>
      <c r="FI631" s="281"/>
      <c r="FJ631" s="277"/>
      <c r="FK631" s="50">
        <f t="shared" si="258"/>
        <v>0</v>
      </c>
      <c r="FL631" s="63">
        <f t="shared" si="259"/>
        <v>0</v>
      </c>
      <c r="FM631" s="50">
        <f t="shared" si="241"/>
        <v>418</v>
      </c>
      <c r="FN631" s="360">
        <f t="shared" si="242"/>
        <v>442</v>
      </c>
      <c r="FO631" s="43"/>
      <c r="FP631" s="279"/>
      <c r="FQ631" s="467"/>
      <c r="FR631" s="296"/>
      <c r="FS631" s="98"/>
      <c r="FT631" s="467"/>
      <c r="FU631" s="52"/>
      <c r="FV631" s="296"/>
      <c r="FW631" s="98"/>
      <c r="FX631" s="467"/>
      <c r="FY631" s="52"/>
      <c r="FZ631" s="296"/>
      <c r="GA631" s="98"/>
      <c r="GB631" s="467"/>
      <c r="GC631" s="52"/>
      <c r="GD631" s="296"/>
      <c r="GE631" s="98"/>
      <c r="GF631" s="467"/>
      <c r="GG631" s="52"/>
      <c r="GH631" s="296"/>
      <c r="GI631" s="98"/>
      <c r="GJ631" s="467"/>
      <c r="GK631" s="52"/>
      <c r="GL631" s="296"/>
      <c r="GM631" s="464"/>
      <c r="GN631" s="467"/>
      <c r="GO631" s="52"/>
      <c r="GP631" s="296"/>
      <c r="GQ631" s="464"/>
      <c r="GR631" s="467"/>
      <c r="GS631" s="52"/>
      <c r="GT631" s="296"/>
      <c r="GU631" s="464"/>
      <c r="GV631" s="467"/>
      <c r="GW631" s="52"/>
      <c r="GX631" s="296"/>
      <c r="GY631" s="464"/>
      <c r="GZ631" s="467"/>
      <c r="HA631" s="52"/>
      <c r="HB631" s="296"/>
      <c r="HC631" s="43"/>
    </row>
    <row r="632" spans="1:211" s="85" customFormat="1">
      <c r="A632" s="502" t="s">
        <v>951</v>
      </c>
      <c r="B632" s="315" t="s">
        <v>857</v>
      </c>
      <c r="C632" s="314">
        <v>223320</v>
      </c>
      <c r="D632" s="343">
        <v>9</v>
      </c>
      <c r="E632" s="460">
        <v>281</v>
      </c>
      <c r="F632" s="552">
        <v>426</v>
      </c>
      <c r="G632" s="158"/>
      <c r="H632" s="277"/>
      <c r="I632" s="158">
        <v>228</v>
      </c>
      <c r="J632" s="551">
        <v>217</v>
      </c>
      <c r="K632" s="160">
        <f t="shared" si="243"/>
        <v>0</v>
      </c>
      <c r="L632" s="161">
        <f t="shared" si="236"/>
        <v>0</v>
      </c>
      <c r="M632" s="54"/>
      <c r="N632" s="55"/>
      <c r="O632" s="55"/>
      <c r="P632" s="55"/>
      <c r="Q632" s="162">
        <f t="shared" si="244"/>
        <v>0</v>
      </c>
      <c r="R632" s="277"/>
      <c r="S632" s="277"/>
      <c r="T632" s="277"/>
      <c r="U632" s="277"/>
      <c r="V632" s="97">
        <f t="shared" si="245"/>
        <v>0</v>
      </c>
      <c r="W632" s="279"/>
      <c r="X632" s="52"/>
      <c r="Y632" s="99"/>
      <c r="Z632" s="53"/>
      <c r="AA632" s="228"/>
      <c r="AB632" s="52"/>
      <c r="AC632" s="99"/>
      <c r="AD632" s="53"/>
      <c r="AE632" s="228"/>
      <c r="AF632" s="52"/>
      <c r="AG632" s="99"/>
      <c r="AH632" s="53"/>
      <c r="AI632" s="228"/>
      <c r="AJ632" s="52"/>
      <c r="AK632" s="99"/>
      <c r="AL632" s="53"/>
      <c r="AM632" s="228"/>
      <c r="AN632" s="52"/>
      <c r="AO632" s="99"/>
      <c r="AP632" s="53"/>
      <c r="AQ632" s="50">
        <f t="shared" si="237"/>
        <v>0</v>
      </c>
      <c r="AR632" s="163">
        <f t="shared" si="238"/>
        <v>0</v>
      </c>
      <c r="AS632" s="97">
        <f t="shared" si="239"/>
        <v>0</v>
      </c>
      <c r="AT632" s="278">
        <f t="shared" si="240"/>
        <v>0</v>
      </c>
      <c r="AU632" s="55"/>
      <c r="AV632" s="277"/>
      <c r="AW632" s="279"/>
      <c r="AX632" s="52"/>
      <c r="AY632" s="105"/>
      <c r="AZ632" s="98"/>
      <c r="BA632" s="279"/>
      <c r="BB632" s="52"/>
      <c r="BC632" s="105"/>
      <c r="BD632" s="98"/>
      <c r="BE632" s="279"/>
      <c r="BF632" s="52"/>
      <c r="BG632" s="105"/>
      <c r="BH632" s="98"/>
      <c r="BI632" s="279"/>
      <c r="BJ632" s="52"/>
      <c r="BK632" s="105"/>
      <c r="BL632" s="98"/>
      <c r="BM632" s="279"/>
      <c r="BN632" s="52"/>
      <c r="BO632" s="105"/>
      <c r="BP632" s="98"/>
      <c r="BQ632" s="279"/>
      <c r="BR632" s="52"/>
      <c r="BS632" s="105"/>
      <c r="BT632" s="98"/>
      <c r="BU632" s="279"/>
      <c r="BV632" s="52"/>
      <c r="BW632" s="105"/>
      <c r="BX632" s="98"/>
      <c r="BY632" s="279"/>
      <c r="BZ632" s="52"/>
      <c r="CA632" s="105"/>
      <c r="CB632" s="98"/>
      <c r="CC632" s="279"/>
      <c r="CD632" s="52"/>
      <c r="CE632" s="105"/>
      <c r="CF632" s="98"/>
      <c r="CG632" s="279"/>
      <c r="CH632" s="52"/>
      <c r="CI632" s="105"/>
      <c r="CJ632" s="98"/>
      <c r="CK632" s="281"/>
      <c r="CL632" s="277"/>
      <c r="CM632" s="159"/>
      <c r="CN632" s="277"/>
      <c r="CO632" s="50">
        <f t="shared" si="246"/>
        <v>0</v>
      </c>
      <c r="CP632" s="103">
        <f t="shared" si="247"/>
        <v>0</v>
      </c>
      <c r="CQ632" s="280">
        <f t="shared" si="248"/>
        <v>0</v>
      </c>
      <c r="CR632" s="63">
        <f t="shared" si="249"/>
        <v>0</v>
      </c>
      <c r="CS632" s="279"/>
      <c r="CT632" s="52"/>
      <c r="CU632" s="105"/>
      <c r="CV632" s="98"/>
      <c r="CW632" s="279"/>
      <c r="CX632" s="52"/>
      <c r="CY632" s="105"/>
      <c r="CZ632" s="98"/>
      <c r="DA632" s="279"/>
      <c r="DB632" s="52"/>
      <c r="DC632" s="105"/>
      <c r="DD632" s="98"/>
      <c r="DE632" s="279"/>
      <c r="DF632" s="52"/>
      <c r="DG632" s="105"/>
      <c r="DH632" s="98"/>
      <c r="DI632" s="279"/>
      <c r="DJ632" s="52"/>
      <c r="DK632" s="105"/>
      <c r="DL632" s="98"/>
      <c r="DM632" s="279"/>
      <c r="DN632" s="52"/>
      <c r="DO632" s="105"/>
      <c r="DP632" s="98"/>
      <c r="DQ632" s="279"/>
      <c r="DR632" s="52"/>
      <c r="DS632" s="105"/>
      <c r="DT632" s="98"/>
      <c r="DU632" s="279"/>
      <c r="DV632" s="52"/>
      <c r="DW632" s="105"/>
      <c r="DX632" s="98"/>
      <c r="DY632" s="279"/>
      <c r="DZ632" s="52"/>
      <c r="EA632" s="105"/>
      <c r="EB632" s="98"/>
      <c r="EC632" s="279"/>
      <c r="ED632" s="52"/>
      <c r="EE632" s="105"/>
      <c r="EF632" s="98"/>
      <c r="EG632" s="159"/>
      <c r="EH632" s="277"/>
      <c r="EI632" s="50">
        <f t="shared" si="250"/>
        <v>0</v>
      </c>
      <c r="EJ632" s="103">
        <f t="shared" si="251"/>
        <v>0</v>
      </c>
      <c r="EK632" s="164">
        <f t="shared" si="252"/>
        <v>0</v>
      </c>
      <c r="EL632" s="280">
        <f t="shared" si="253"/>
        <v>0</v>
      </c>
      <c r="EM632" s="63">
        <f t="shared" si="254"/>
        <v>0</v>
      </c>
      <c r="EN632" s="359">
        <f t="shared" si="255"/>
        <v>0</v>
      </c>
      <c r="EO632" s="51">
        <f t="shared" si="256"/>
        <v>0</v>
      </c>
      <c r="EP632" s="361">
        <f t="shared" si="257"/>
        <v>0</v>
      </c>
      <c r="EQ632" s="281"/>
      <c r="ER632" s="277"/>
      <c r="ES632" s="281"/>
      <c r="ET632" s="277"/>
      <c r="EU632" s="281"/>
      <c r="EV632" s="277"/>
      <c r="EW632" s="281"/>
      <c r="EX632" s="277"/>
      <c r="EY632" s="281"/>
      <c r="EZ632" s="277"/>
      <c r="FA632" s="281"/>
      <c r="FB632" s="277"/>
      <c r="FC632" s="281"/>
      <c r="FD632" s="277"/>
      <c r="FE632" s="281"/>
      <c r="FF632" s="277"/>
      <c r="FG632" s="281"/>
      <c r="FH632" s="277"/>
      <c r="FI632" s="281"/>
      <c r="FJ632" s="277"/>
      <c r="FK632" s="50">
        <f t="shared" si="258"/>
        <v>0</v>
      </c>
      <c r="FL632" s="63">
        <f t="shared" si="259"/>
        <v>0</v>
      </c>
      <c r="FM632" s="50">
        <f t="shared" si="241"/>
        <v>509</v>
      </c>
      <c r="FN632" s="360">
        <f t="shared" si="242"/>
        <v>643</v>
      </c>
      <c r="FO632" s="43"/>
      <c r="FP632" s="279"/>
      <c r="FQ632" s="467"/>
      <c r="FR632" s="296"/>
      <c r="FS632" s="98"/>
      <c r="FT632" s="467"/>
      <c r="FU632" s="52"/>
      <c r="FV632" s="296"/>
      <c r="FW632" s="98"/>
      <c r="FX632" s="467"/>
      <c r="FY632" s="52"/>
      <c r="FZ632" s="296"/>
      <c r="GA632" s="98"/>
      <c r="GB632" s="467"/>
      <c r="GC632" s="52"/>
      <c r="GD632" s="296"/>
      <c r="GE632" s="98"/>
      <c r="GF632" s="467"/>
      <c r="GG632" s="52"/>
      <c r="GH632" s="296"/>
      <c r="GI632" s="98"/>
      <c r="GJ632" s="467"/>
      <c r="GK632" s="52"/>
      <c r="GL632" s="296"/>
      <c r="GM632" s="464"/>
      <c r="GN632" s="467"/>
      <c r="GO632" s="52"/>
      <c r="GP632" s="296"/>
      <c r="GQ632" s="464"/>
      <c r="GR632" s="467"/>
      <c r="GS632" s="52"/>
      <c r="GT632" s="296"/>
      <c r="GU632" s="464"/>
      <c r="GV632" s="467"/>
      <c r="GW632" s="52"/>
      <c r="GX632" s="296"/>
      <c r="GY632" s="464"/>
      <c r="GZ632" s="467"/>
      <c r="HA632" s="52"/>
      <c r="HB632" s="296"/>
      <c r="HC632" s="43"/>
    </row>
    <row r="633" spans="1:211" s="85" customFormat="1">
      <c r="A633" s="502" t="s">
        <v>951</v>
      </c>
      <c r="B633" s="315" t="s">
        <v>858</v>
      </c>
      <c r="C633" s="314">
        <v>226408</v>
      </c>
      <c r="D633" s="343">
        <v>9</v>
      </c>
      <c r="E633" s="460">
        <v>128</v>
      </c>
      <c r="F633" s="552">
        <v>141</v>
      </c>
      <c r="G633" s="158"/>
      <c r="H633" s="277"/>
      <c r="I633" s="158">
        <v>274</v>
      </c>
      <c r="J633" s="551">
        <v>271</v>
      </c>
      <c r="K633" s="160">
        <f t="shared" si="243"/>
        <v>0</v>
      </c>
      <c r="L633" s="161">
        <f t="shared" si="236"/>
        <v>0</v>
      </c>
      <c r="M633" s="54"/>
      <c r="N633" s="55"/>
      <c r="O633" s="55"/>
      <c r="P633" s="55"/>
      <c r="Q633" s="162">
        <f t="shared" si="244"/>
        <v>0</v>
      </c>
      <c r="R633" s="277"/>
      <c r="S633" s="277"/>
      <c r="T633" s="277"/>
      <c r="U633" s="277"/>
      <c r="V633" s="97">
        <f t="shared" si="245"/>
        <v>0</v>
      </c>
      <c r="W633" s="279"/>
      <c r="X633" s="52"/>
      <c r="Y633" s="99"/>
      <c r="Z633" s="53"/>
      <c r="AA633" s="228"/>
      <c r="AB633" s="52"/>
      <c r="AC633" s="99"/>
      <c r="AD633" s="53"/>
      <c r="AE633" s="228"/>
      <c r="AF633" s="52"/>
      <c r="AG633" s="99"/>
      <c r="AH633" s="53"/>
      <c r="AI633" s="228"/>
      <c r="AJ633" s="52"/>
      <c r="AK633" s="99"/>
      <c r="AL633" s="53"/>
      <c r="AM633" s="228"/>
      <c r="AN633" s="52"/>
      <c r="AO633" s="99"/>
      <c r="AP633" s="53"/>
      <c r="AQ633" s="50">
        <f t="shared" si="237"/>
        <v>0</v>
      </c>
      <c r="AR633" s="163">
        <f t="shared" si="238"/>
        <v>0</v>
      </c>
      <c r="AS633" s="97">
        <f t="shared" si="239"/>
        <v>0</v>
      </c>
      <c r="AT633" s="278">
        <f t="shared" si="240"/>
        <v>0</v>
      </c>
      <c r="AU633" s="55"/>
      <c r="AV633" s="277"/>
      <c r="AW633" s="279"/>
      <c r="AX633" s="52"/>
      <c r="AY633" s="105"/>
      <c r="AZ633" s="98"/>
      <c r="BA633" s="279"/>
      <c r="BB633" s="52"/>
      <c r="BC633" s="105"/>
      <c r="BD633" s="98"/>
      <c r="BE633" s="279"/>
      <c r="BF633" s="52"/>
      <c r="BG633" s="105"/>
      <c r="BH633" s="98"/>
      <c r="BI633" s="279"/>
      <c r="BJ633" s="52"/>
      <c r="BK633" s="105"/>
      <c r="BL633" s="98"/>
      <c r="BM633" s="279"/>
      <c r="BN633" s="52"/>
      <c r="BO633" s="105"/>
      <c r="BP633" s="98"/>
      <c r="BQ633" s="279"/>
      <c r="BR633" s="52"/>
      <c r="BS633" s="105"/>
      <c r="BT633" s="98"/>
      <c r="BU633" s="279"/>
      <c r="BV633" s="52"/>
      <c r="BW633" s="105"/>
      <c r="BX633" s="98"/>
      <c r="BY633" s="279"/>
      <c r="BZ633" s="52"/>
      <c r="CA633" s="105"/>
      <c r="CB633" s="98"/>
      <c r="CC633" s="279"/>
      <c r="CD633" s="52"/>
      <c r="CE633" s="105"/>
      <c r="CF633" s="98"/>
      <c r="CG633" s="279"/>
      <c r="CH633" s="52"/>
      <c r="CI633" s="105"/>
      <c r="CJ633" s="98"/>
      <c r="CK633" s="281"/>
      <c r="CL633" s="277"/>
      <c r="CM633" s="159"/>
      <c r="CN633" s="277"/>
      <c r="CO633" s="50">
        <f t="shared" si="246"/>
        <v>0</v>
      </c>
      <c r="CP633" s="103">
        <f t="shared" si="247"/>
        <v>0</v>
      </c>
      <c r="CQ633" s="280">
        <f t="shared" si="248"/>
        <v>0</v>
      </c>
      <c r="CR633" s="63">
        <f t="shared" si="249"/>
        <v>0</v>
      </c>
      <c r="CS633" s="279"/>
      <c r="CT633" s="52"/>
      <c r="CU633" s="105"/>
      <c r="CV633" s="98"/>
      <c r="CW633" s="279"/>
      <c r="CX633" s="52"/>
      <c r="CY633" s="105"/>
      <c r="CZ633" s="98"/>
      <c r="DA633" s="279"/>
      <c r="DB633" s="52"/>
      <c r="DC633" s="105"/>
      <c r="DD633" s="98"/>
      <c r="DE633" s="279"/>
      <c r="DF633" s="52"/>
      <c r="DG633" s="105"/>
      <c r="DH633" s="98"/>
      <c r="DI633" s="279"/>
      <c r="DJ633" s="52"/>
      <c r="DK633" s="105"/>
      <c r="DL633" s="98"/>
      <c r="DM633" s="279"/>
      <c r="DN633" s="52"/>
      <c r="DO633" s="105"/>
      <c r="DP633" s="98"/>
      <c r="DQ633" s="279"/>
      <c r="DR633" s="52"/>
      <c r="DS633" s="105"/>
      <c r="DT633" s="98"/>
      <c r="DU633" s="279"/>
      <c r="DV633" s="52"/>
      <c r="DW633" s="105"/>
      <c r="DX633" s="98"/>
      <c r="DY633" s="279"/>
      <c r="DZ633" s="52"/>
      <c r="EA633" s="105"/>
      <c r="EB633" s="98"/>
      <c r="EC633" s="279"/>
      <c r="ED633" s="52"/>
      <c r="EE633" s="105"/>
      <c r="EF633" s="98"/>
      <c r="EG633" s="159"/>
      <c r="EH633" s="277"/>
      <c r="EI633" s="50">
        <f t="shared" si="250"/>
        <v>0</v>
      </c>
      <c r="EJ633" s="103">
        <f t="shared" si="251"/>
        <v>0</v>
      </c>
      <c r="EK633" s="164">
        <f t="shared" si="252"/>
        <v>0</v>
      </c>
      <c r="EL633" s="280">
        <f t="shared" si="253"/>
        <v>0</v>
      </c>
      <c r="EM633" s="63">
        <f t="shared" si="254"/>
        <v>0</v>
      </c>
      <c r="EN633" s="359">
        <f t="shared" si="255"/>
        <v>0</v>
      </c>
      <c r="EO633" s="51">
        <f t="shared" si="256"/>
        <v>0</v>
      </c>
      <c r="EP633" s="361">
        <f t="shared" si="257"/>
        <v>0</v>
      </c>
      <c r="EQ633" s="281"/>
      <c r="ER633" s="277"/>
      <c r="ES633" s="281"/>
      <c r="ET633" s="277"/>
      <c r="EU633" s="281"/>
      <c r="EV633" s="277"/>
      <c r="EW633" s="281"/>
      <c r="EX633" s="277"/>
      <c r="EY633" s="281"/>
      <c r="EZ633" s="277"/>
      <c r="FA633" s="281"/>
      <c r="FB633" s="277"/>
      <c r="FC633" s="281"/>
      <c r="FD633" s="277"/>
      <c r="FE633" s="281"/>
      <c r="FF633" s="277"/>
      <c r="FG633" s="281"/>
      <c r="FH633" s="277"/>
      <c r="FI633" s="281"/>
      <c r="FJ633" s="277"/>
      <c r="FK633" s="50">
        <f t="shared" si="258"/>
        <v>0</v>
      </c>
      <c r="FL633" s="63">
        <f t="shared" si="259"/>
        <v>0</v>
      </c>
      <c r="FM633" s="50">
        <f t="shared" si="241"/>
        <v>402</v>
      </c>
      <c r="FN633" s="360">
        <f t="shared" si="242"/>
        <v>412</v>
      </c>
      <c r="FO633" s="43"/>
      <c r="FP633" s="279"/>
      <c r="FQ633" s="467"/>
      <c r="FR633" s="296"/>
      <c r="FS633" s="98"/>
      <c r="FT633" s="467"/>
      <c r="FU633" s="52"/>
      <c r="FV633" s="296"/>
      <c r="FW633" s="98"/>
      <c r="FX633" s="467"/>
      <c r="FY633" s="52"/>
      <c r="FZ633" s="296"/>
      <c r="GA633" s="98"/>
      <c r="GB633" s="467"/>
      <c r="GC633" s="52"/>
      <c r="GD633" s="296"/>
      <c r="GE633" s="98"/>
      <c r="GF633" s="467"/>
      <c r="GG633" s="52"/>
      <c r="GH633" s="296"/>
      <c r="GI633" s="98"/>
      <c r="GJ633" s="467"/>
      <c r="GK633" s="52"/>
      <c r="GL633" s="296"/>
      <c r="GM633" s="464"/>
      <c r="GN633" s="467"/>
      <c r="GO633" s="52"/>
      <c r="GP633" s="296"/>
      <c r="GQ633" s="464"/>
      <c r="GR633" s="467"/>
      <c r="GS633" s="52"/>
      <c r="GT633" s="296"/>
      <c r="GU633" s="464"/>
      <c r="GV633" s="467"/>
      <c r="GW633" s="52"/>
      <c r="GX633" s="296"/>
      <c r="GY633" s="464"/>
      <c r="GZ633" s="467"/>
      <c r="HA633" s="52"/>
      <c r="HB633" s="296"/>
      <c r="HC633" s="43"/>
    </row>
    <row r="634" spans="1:211" s="85" customFormat="1">
      <c r="A634" s="502" t="s">
        <v>951</v>
      </c>
      <c r="B634" s="372" t="s">
        <v>719</v>
      </c>
      <c r="C634" s="314">
        <v>224615</v>
      </c>
      <c r="D634" s="343">
        <v>9</v>
      </c>
      <c r="E634" s="460">
        <v>206</v>
      </c>
      <c r="F634" s="552">
        <v>571</v>
      </c>
      <c r="G634" s="158"/>
      <c r="H634" s="277"/>
      <c r="I634" s="158">
        <v>492</v>
      </c>
      <c r="J634" s="551">
        <v>485</v>
      </c>
      <c r="K634" s="160">
        <f t="shared" si="243"/>
        <v>0</v>
      </c>
      <c r="L634" s="161">
        <f t="shared" si="236"/>
        <v>0</v>
      </c>
      <c r="M634" s="54"/>
      <c r="N634" s="55"/>
      <c r="O634" s="55"/>
      <c r="P634" s="55"/>
      <c r="Q634" s="162">
        <f t="shared" si="244"/>
        <v>0</v>
      </c>
      <c r="R634" s="277"/>
      <c r="S634" s="277"/>
      <c r="T634" s="277"/>
      <c r="U634" s="277"/>
      <c r="V634" s="97">
        <f t="shared" si="245"/>
        <v>0</v>
      </c>
      <c r="W634" s="279"/>
      <c r="X634" s="52"/>
      <c r="Y634" s="99"/>
      <c r="Z634" s="53"/>
      <c r="AA634" s="228"/>
      <c r="AB634" s="52"/>
      <c r="AC634" s="99"/>
      <c r="AD634" s="53"/>
      <c r="AE634" s="228"/>
      <c r="AF634" s="52"/>
      <c r="AG634" s="99"/>
      <c r="AH634" s="53"/>
      <c r="AI634" s="228"/>
      <c r="AJ634" s="52"/>
      <c r="AK634" s="99"/>
      <c r="AL634" s="53"/>
      <c r="AM634" s="228"/>
      <c r="AN634" s="52"/>
      <c r="AO634" s="99"/>
      <c r="AP634" s="53"/>
      <c r="AQ634" s="50">
        <f t="shared" si="237"/>
        <v>0</v>
      </c>
      <c r="AR634" s="163">
        <f t="shared" si="238"/>
        <v>0</v>
      </c>
      <c r="AS634" s="97">
        <f t="shared" si="239"/>
        <v>0</v>
      </c>
      <c r="AT634" s="278">
        <f t="shared" si="240"/>
        <v>0</v>
      </c>
      <c r="AU634" s="55"/>
      <c r="AV634" s="277"/>
      <c r="AW634" s="279"/>
      <c r="AX634" s="52"/>
      <c r="AY634" s="105"/>
      <c r="AZ634" s="98"/>
      <c r="BA634" s="279"/>
      <c r="BB634" s="52"/>
      <c r="BC634" s="105"/>
      <c r="BD634" s="98"/>
      <c r="BE634" s="279"/>
      <c r="BF634" s="52"/>
      <c r="BG634" s="105"/>
      <c r="BH634" s="98"/>
      <c r="BI634" s="279"/>
      <c r="BJ634" s="52"/>
      <c r="BK634" s="105"/>
      <c r="BL634" s="98"/>
      <c r="BM634" s="279"/>
      <c r="BN634" s="52"/>
      <c r="BO634" s="105"/>
      <c r="BP634" s="98"/>
      <c r="BQ634" s="279"/>
      <c r="BR634" s="52"/>
      <c r="BS634" s="105"/>
      <c r="BT634" s="98"/>
      <c r="BU634" s="279"/>
      <c r="BV634" s="52"/>
      <c r="BW634" s="105"/>
      <c r="BX634" s="98"/>
      <c r="BY634" s="279"/>
      <c r="BZ634" s="52"/>
      <c r="CA634" s="105"/>
      <c r="CB634" s="98"/>
      <c r="CC634" s="279"/>
      <c r="CD634" s="52"/>
      <c r="CE634" s="105"/>
      <c r="CF634" s="98"/>
      <c r="CG634" s="279"/>
      <c r="CH634" s="52"/>
      <c r="CI634" s="105"/>
      <c r="CJ634" s="98"/>
      <c r="CK634" s="281"/>
      <c r="CL634" s="277"/>
      <c r="CM634" s="159"/>
      <c r="CN634" s="277"/>
      <c r="CO634" s="50">
        <f t="shared" si="246"/>
        <v>0</v>
      </c>
      <c r="CP634" s="103">
        <f t="shared" si="247"/>
        <v>0</v>
      </c>
      <c r="CQ634" s="280">
        <f t="shared" si="248"/>
        <v>0</v>
      </c>
      <c r="CR634" s="63">
        <f t="shared" si="249"/>
        <v>0</v>
      </c>
      <c r="CS634" s="279"/>
      <c r="CT634" s="52"/>
      <c r="CU634" s="105"/>
      <c r="CV634" s="98"/>
      <c r="CW634" s="279"/>
      <c r="CX634" s="52"/>
      <c r="CY634" s="105"/>
      <c r="CZ634" s="98"/>
      <c r="DA634" s="279"/>
      <c r="DB634" s="52"/>
      <c r="DC634" s="105"/>
      <c r="DD634" s="98"/>
      <c r="DE634" s="279"/>
      <c r="DF634" s="52"/>
      <c r="DG634" s="105"/>
      <c r="DH634" s="98"/>
      <c r="DI634" s="279"/>
      <c r="DJ634" s="52"/>
      <c r="DK634" s="105"/>
      <c r="DL634" s="98"/>
      <c r="DM634" s="279"/>
      <c r="DN634" s="52"/>
      <c r="DO634" s="105"/>
      <c r="DP634" s="98"/>
      <c r="DQ634" s="279"/>
      <c r="DR634" s="52"/>
      <c r="DS634" s="105"/>
      <c r="DT634" s="98"/>
      <c r="DU634" s="279"/>
      <c r="DV634" s="52"/>
      <c r="DW634" s="105"/>
      <c r="DX634" s="98"/>
      <c r="DY634" s="279"/>
      <c r="DZ634" s="52"/>
      <c r="EA634" s="105"/>
      <c r="EB634" s="98"/>
      <c r="EC634" s="279"/>
      <c r="ED634" s="52"/>
      <c r="EE634" s="105"/>
      <c r="EF634" s="98"/>
      <c r="EG634" s="159"/>
      <c r="EH634" s="277"/>
      <c r="EI634" s="50">
        <f t="shared" si="250"/>
        <v>0</v>
      </c>
      <c r="EJ634" s="103">
        <f t="shared" si="251"/>
        <v>0</v>
      </c>
      <c r="EK634" s="164">
        <f t="shared" si="252"/>
        <v>0</v>
      </c>
      <c r="EL634" s="280">
        <f t="shared" si="253"/>
        <v>0</v>
      </c>
      <c r="EM634" s="63">
        <f t="shared" si="254"/>
        <v>0</v>
      </c>
      <c r="EN634" s="359">
        <f t="shared" si="255"/>
        <v>0</v>
      </c>
      <c r="EO634" s="51">
        <f t="shared" si="256"/>
        <v>0</v>
      </c>
      <c r="EP634" s="361">
        <f t="shared" si="257"/>
        <v>0</v>
      </c>
      <c r="EQ634" s="281"/>
      <c r="ER634" s="277"/>
      <c r="ES634" s="281"/>
      <c r="ET634" s="277"/>
      <c r="EU634" s="281"/>
      <c r="EV634" s="277"/>
      <c r="EW634" s="281"/>
      <c r="EX634" s="277"/>
      <c r="EY634" s="281"/>
      <c r="EZ634" s="277"/>
      <c r="FA634" s="281"/>
      <c r="FB634" s="277"/>
      <c r="FC634" s="281"/>
      <c r="FD634" s="277"/>
      <c r="FE634" s="281"/>
      <c r="FF634" s="277"/>
      <c r="FG634" s="281"/>
      <c r="FH634" s="277"/>
      <c r="FI634" s="281"/>
      <c r="FJ634" s="277"/>
      <c r="FK634" s="50">
        <f t="shared" si="258"/>
        <v>0</v>
      </c>
      <c r="FL634" s="63">
        <f t="shared" si="259"/>
        <v>0</v>
      </c>
      <c r="FM634" s="50">
        <f t="shared" si="241"/>
        <v>698</v>
      </c>
      <c r="FN634" s="360">
        <f t="shared" si="242"/>
        <v>1056</v>
      </c>
      <c r="FO634" s="43"/>
      <c r="FP634" s="279"/>
      <c r="FQ634" s="467"/>
      <c r="FR634" s="296"/>
      <c r="FS634" s="98"/>
      <c r="FT634" s="467"/>
      <c r="FU634" s="52"/>
      <c r="FV634" s="296"/>
      <c r="FW634" s="98"/>
      <c r="FX634" s="467"/>
      <c r="FY634" s="52"/>
      <c r="FZ634" s="296"/>
      <c r="GA634" s="98"/>
      <c r="GB634" s="467"/>
      <c r="GC634" s="52"/>
      <c r="GD634" s="296"/>
      <c r="GE634" s="98"/>
      <c r="GF634" s="467"/>
      <c r="GG634" s="52"/>
      <c r="GH634" s="296"/>
      <c r="GI634" s="98"/>
      <c r="GJ634" s="467"/>
      <c r="GK634" s="52"/>
      <c r="GL634" s="296"/>
      <c r="GM634" s="464"/>
      <c r="GN634" s="467"/>
      <c r="GO634" s="52"/>
      <c r="GP634" s="296"/>
      <c r="GQ634" s="464"/>
      <c r="GR634" s="467"/>
      <c r="GS634" s="52"/>
      <c r="GT634" s="296"/>
      <c r="GU634" s="464"/>
      <c r="GV634" s="467"/>
      <c r="GW634" s="52"/>
      <c r="GX634" s="296"/>
      <c r="GY634" s="464"/>
      <c r="GZ634" s="467"/>
      <c r="HA634" s="52"/>
      <c r="HB634" s="296"/>
      <c r="HC634" s="43"/>
    </row>
    <row r="635" spans="1:211" s="85" customFormat="1">
      <c r="A635" s="502" t="s">
        <v>951</v>
      </c>
      <c r="B635" s="315" t="s">
        <v>859</v>
      </c>
      <c r="C635" s="314">
        <v>225070</v>
      </c>
      <c r="D635" s="343">
        <v>9</v>
      </c>
      <c r="E635" s="460">
        <v>286</v>
      </c>
      <c r="F635" s="552">
        <v>310</v>
      </c>
      <c r="G635" s="158"/>
      <c r="H635" s="277"/>
      <c r="I635" s="158">
        <v>428</v>
      </c>
      <c r="J635" s="551">
        <v>429</v>
      </c>
      <c r="K635" s="160">
        <f t="shared" si="243"/>
        <v>0</v>
      </c>
      <c r="L635" s="161">
        <f t="shared" si="236"/>
        <v>0</v>
      </c>
      <c r="M635" s="54"/>
      <c r="N635" s="55"/>
      <c r="O635" s="55"/>
      <c r="P635" s="55"/>
      <c r="Q635" s="162">
        <f t="shared" si="244"/>
        <v>0</v>
      </c>
      <c r="R635" s="277"/>
      <c r="S635" s="277"/>
      <c r="T635" s="277"/>
      <c r="U635" s="277"/>
      <c r="V635" s="97">
        <f t="shared" si="245"/>
        <v>0</v>
      </c>
      <c r="W635" s="279"/>
      <c r="X635" s="52"/>
      <c r="Y635" s="99"/>
      <c r="Z635" s="53"/>
      <c r="AA635" s="228"/>
      <c r="AB635" s="52"/>
      <c r="AC635" s="99"/>
      <c r="AD635" s="53"/>
      <c r="AE635" s="228"/>
      <c r="AF635" s="52"/>
      <c r="AG635" s="99"/>
      <c r="AH635" s="53"/>
      <c r="AI635" s="228"/>
      <c r="AJ635" s="52"/>
      <c r="AK635" s="99"/>
      <c r="AL635" s="53"/>
      <c r="AM635" s="228"/>
      <c r="AN635" s="52"/>
      <c r="AO635" s="99"/>
      <c r="AP635" s="53"/>
      <c r="AQ635" s="50">
        <f t="shared" si="237"/>
        <v>0</v>
      </c>
      <c r="AR635" s="163">
        <f t="shared" si="238"/>
        <v>0</v>
      </c>
      <c r="AS635" s="97">
        <f t="shared" si="239"/>
        <v>0</v>
      </c>
      <c r="AT635" s="278">
        <f t="shared" si="240"/>
        <v>0</v>
      </c>
      <c r="AU635" s="55"/>
      <c r="AV635" s="277"/>
      <c r="AW635" s="279"/>
      <c r="AX635" s="52"/>
      <c r="AY635" s="105"/>
      <c r="AZ635" s="98"/>
      <c r="BA635" s="279"/>
      <c r="BB635" s="52"/>
      <c r="BC635" s="105"/>
      <c r="BD635" s="98"/>
      <c r="BE635" s="279"/>
      <c r="BF635" s="52"/>
      <c r="BG635" s="105"/>
      <c r="BH635" s="98"/>
      <c r="BI635" s="279"/>
      <c r="BJ635" s="52"/>
      <c r="BK635" s="105"/>
      <c r="BL635" s="98"/>
      <c r="BM635" s="279"/>
      <c r="BN635" s="52"/>
      <c r="BO635" s="105"/>
      <c r="BP635" s="98"/>
      <c r="BQ635" s="279"/>
      <c r="BR635" s="52"/>
      <c r="BS635" s="105"/>
      <c r="BT635" s="98"/>
      <c r="BU635" s="279"/>
      <c r="BV635" s="52"/>
      <c r="BW635" s="105"/>
      <c r="BX635" s="98"/>
      <c r="BY635" s="279"/>
      <c r="BZ635" s="52"/>
      <c r="CA635" s="105"/>
      <c r="CB635" s="98"/>
      <c r="CC635" s="279"/>
      <c r="CD635" s="52"/>
      <c r="CE635" s="105"/>
      <c r="CF635" s="98"/>
      <c r="CG635" s="279"/>
      <c r="CH635" s="52"/>
      <c r="CI635" s="105"/>
      <c r="CJ635" s="98"/>
      <c r="CK635" s="281"/>
      <c r="CL635" s="277"/>
      <c r="CM635" s="159"/>
      <c r="CN635" s="277"/>
      <c r="CO635" s="50">
        <f t="shared" si="246"/>
        <v>0</v>
      </c>
      <c r="CP635" s="103">
        <f t="shared" si="247"/>
        <v>0</v>
      </c>
      <c r="CQ635" s="280">
        <f t="shared" si="248"/>
        <v>0</v>
      </c>
      <c r="CR635" s="63">
        <f t="shared" si="249"/>
        <v>0</v>
      </c>
      <c r="CS635" s="279"/>
      <c r="CT635" s="52"/>
      <c r="CU635" s="105"/>
      <c r="CV635" s="98"/>
      <c r="CW635" s="279"/>
      <c r="CX635" s="52"/>
      <c r="CY635" s="105"/>
      <c r="CZ635" s="98"/>
      <c r="DA635" s="279"/>
      <c r="DB635" s="52"/>
      <c r="DC635" s="105"/>
      <c r="DD635" s="98"/>
      <c r="DE635" s="279"/>
      <c r="DF635" s="52"/>
      <c r="DG635" s="105"/>
      <c r="DH635" s="98"/>
      <c r="DI635" s="279"/>
      <c r="DJ635" s="52"/>
      <c r="DK635" s="105"/>
      <c r="DL635" s="98"/>
      <c r="DM635" s="279"/>
      <c r="DN635" s="52"/>
      <c r="DO635" s="105"/>
      <c r="DP635" s="98"/>
      <c r="DQ635" s="279"/>
      <c r="DR635" s="52"/>
      <c r="DS635" s="105"/>
      <c r="DT635" s="98"/>
      <c r="DU635" s="279"/>
      <c r="DV635" s="52"/>
      <c r="DW635" s="105"/>
      <c r="DX635" s="98"/>
      <c r="DY635" s="279"/>
      <c r="DZ635" s="52"/>
      <c r="EA635" s="105"/>
      <c r="EB635" s="98"/>
      <c r="EC635" s="279"/>
      <c r="ED635" s="52"/>
      <c r="EE635" s="105"/>
      <c r="EF635" s="98"/>
      <c r="EG635" s="159"/>
      <c r="EH635" s="277"/>
      <c r="EI635" s="50">
        <f t="shared" si="250"/>
        <v>0</v>
      </c>
      <c r="EJ635" s="103">
        <f t="shared" si="251"/>
        <v>0</v>
      </c>
      <c r="EK635" s="164">
        <f t="shared" si="252"/>
        <v>0</v>
      </c>
      <c r="EL635" s="280">
        <f t="shared" si="253"/>
        <v>0</v>
      </c>
      <c r="EM635" s="63">
        <f t="shared" si="254"/>
        <v>0</v>
      </c>
      <c r="EN635" s="359">
        <f t="shared" si="255"/>
        <v>0</v>
      </c>
      <c r="EO635" s="51">
        <f t="shared" si="256"/>
        <v>0</v>
      </c>
      <c r="EP635" s="361">
        <f t="shared" si="257"/>
        <v>0</v>
      </c>
      <c r="EQ635" s="281"/>
      <c r="ER635" s="277"/>
      <c r="ES635" s="281"/>
      <c r="ET635" s="277"/>
      <c r="EU635" s="281"/>
      <c r="EV635" s="277"/>
      <c r="EW635" s="281"/>
      <c r="EX635" s="277"/>
      <c r="EY635" s="281"/>
      <c r="EZ635" s="277"/>
      <c r="FA635" s="281"/>
      <c r="FB635" s="277"/>
      <c r="FC635" s="281"/>
      <c r="FD635" s="277"/>
      <c r="FE635" s="281"/>
      <c r="FF635" s="277"/>
      <c r="FG635" s="281"/>
      <c r="FH635" s="277"/>
      <c r="FI635" s="281"/>
      <c r="FJ635" s="277"/>
      <c r="FK635" s="50">
        <f t="shared" si="258"/>
        <v>0</v>
      </c>
      <c r="FL635" s="63">
        <f t="shared" si="259"/>
        <v>0</v>
      </c>
      <c r="FM635" s="50">
        <f t="shared" si="241"/>
        <v>714</v>
      </c>
      <c r="FN635" s="360">
        <f t="shared" si="242"/>
        <v>739</v>
      </c>
      <c r="FO635" s="43"/>
      <c r="FP635" s="279"/>
      <c r="FQ635" s="467"/>
      <c r="FR635" s="296"/>
      <c r="FS635" s="98"/>
      <c r="FT635" s="467"/>
      <c r="FU635" s="52"/>
      <c r="FV635" s="296"/>
      <c r="FW635" s="98"/>
      <c r="FX635" s="467"/>
      <c r="FY635" s="52"/>
      <c r="FZ635" s="296"/>
      <c r="GA635" s="98"/>
      <c r="GB635" s="467"/>
      <c r="GC635" s="52"/>
      <c r="GD635" s="296"/>
      <c r="GE635" s="98"/>
      <c r="GF635" s="467"/>
      <c r="GG635" s="52"/>
      <c r="GH635" s="296"/>
      <c r="GI635" s="98"/>
      <c r="GJ635" s="467"/>
      <c r="GK635" s="52"/>
      <c r="GL635" s="296"/>
      <c r="GM635" s="464"/>
      <c r="GN635" s="467"/>
      <c r="GO635" s="52"/>
      <c r="GP635" s="296"/>
      <c r="GQ635" s="464"/>
      <c r="GR635" s="467"/>
      <c r="GS635" s="52"/>
      <c r="GT635" s="296"/>
      <c r="GU635" s="464"/>
      <c r="GV635" s="467"/>
      <c r="GW635" s="52"/>
      <c r="GX635" s="296"/>
      <c r="GY635" s="464"/>
      <c r="GZ635" s="467"/>
      <c r="HA635" s="52"/>
      <c r="HB635" s="296"/>
      <c r="HC635" s="43"/>
    </row>
    <row r="636" spans="1:211" s="85" customFormat="1">
      <c r="A636" s="502" t="s">
        <v>951</v>
      </c>
      <c r="B636" s="315" t="s">
        <v>860</v>
      </c>
      <c r="C636" s="314">
        <v>225371</v>
      </c>
      <c r="D636" s="343">
        <v>9</v>
      </c>
      <c r="E636" s="460">
        <v>238</v>
      </c>
      <c r="F636" s="552">
        <v>287</v>
      </c>
      <c r="G636" s="158"/>
      <c r="H636" s="277"/>
      <c r="I636" s="158">
        <v>211</v>
      </c>
      <c r="J636" s="551">
        <v>217</v>
      </c>
      <c r="K636" s="160">
        <f t="shared" si="243"/>
        <v>0</v>
      </c>
      <c r="L636" s="161">
        <f t="shared" si="236"/>
        <v>0</v>
      </c>
      <c r="M636" s="54"/>
      <c r="N636" s="55"/>
      <c r="O636" s="55"/>
      <c r="P636" s="55"/>
      <c r="Q636" s="162">
        <f t="shared" si="244"/>
        <v>0</v>
      </c>
      <c r="R636" s="277"/>
      <c r="S636" s="277"/>
      <c r="T636" s="277"/>
      <c r="U636" s="277"/>
      <c r="V636" s="97">
        <f t="shared" si="245"/>
        <v>0</v>
      </c>
      <c r="W636" s="279"/>
      <c r="X636" s="52"/>
      <c r="Y636" s="99"/>
      <c r="Z636" s="53"/>
      <c r="AA636" s="228"/>
      <c r="AB636" s="52"/>
      <c r="AC636" s="99"/>
      <c r="AD636" s="53"/>
      <c r="AE636" s="228"/>
      <c r="AF636" s="52"/>
      <c r="AG636" s="99"/>
      <c r="AH636" s="53"/>
      <c r="AI636" s="228"/>
      <c r="AJ636" s="52"/>
      <c r="AK636" s="99"/>
      <c r="AL636" s="53"/>
      <c r="AM636" s="228"/>
      <c r="AN636" s="52"/>
      <c r="AO636" s="99"/>
      <c r="AP636" s="53"/>
      <c r="AQ636" s="50">
        <f t="shared" si="237"/>
        <v>0</v>
      </c>
      <c r="AR636" s="163">
        <f t="shared" si="238"/>
        <v>0</v>
      </c>
      <c r="AS636" s="97">
        <f t="shared" si="239"/>
        <v>0</v>
      </c>
      <c r="AT636" s="278">
        <f t="shared" si="240"/>
        <v>0</v>
      </c>
      <c r="AU636" s="55"/>
      <c r="AV636" s="277"/>
      <c r="AW636" s="279"/>
      <c r="AX636" s="52"/>
      <c r="AY636" s="105"/>
      <c r="AZ636" s="98"/>
      <c r="BA636" s="279"/>
      <c r="BB636" s="52"/>
      <c r="BC636" s="105"/>
      <c r="BD636" s="98"/>
      <c r="BE636" s="279"/>
      <c r="BF636" s="52"/>
      <c r="BG636" s="105"/>
      <c r="BH636" s="98"/>
      <c r="BI636" s="279"/>
      <c r="BJ636" s="52"/>
      <c r="BK636" s="105"/>
      <c r="BL636" s="98"/>
      <c r="BM636" s="279"/>
      <c r="BN636" s="52"/>
      <c r="BO636" s="105"/>
      <c r="BP636" s="98"/>
      <c r="BQ636" s="279"/>
      <c r="BR636" s="52"/>
      <c r="BS636" s="105"/>
      <c r="BT636" s="98"/>
      <c r="BU636" s="279"/>
      <c r="BV636" s="52"/>
      <c r="BW636" s="105"/>
      <c r="BX636" s="98"/>
      <c r="BY636" s="279"/>
      <c r="BZ636" s="52"/>
      <c r="CA636" s="105"/>
      <c r="CB636" s="98"/>
      <c r="CC636" s="279"/>
      <c r="CD636" s="52"/>
      <c r="CE636" s="105"/>
      <c r="CF636" s="98"/>
      <c r="CG636" s="279"/>
      <c r="CH636" s="52"/>
      <c r="CI636" s="105"/>
      <c r="CJ636" s="98"/>
      <c r="CK636" s="281"/>
      <c r="CL636" s="277"/>
      <c r="CM636" s="159"/>
      <c r="CN636" s="277"/>
      <c r="CO636" s="50">
        <f t="shared" si="246"/>
        <v>0</v>
      </c>
      <c r="CP636" s="103">
        <f t="shared" si="247"/>
        <v>0</v>
      </c>
      <c r="CQ636" s="280">
        <f t="shared" si="248"/>
        <v>0</v>
      </c>
      <c r="CR636" s="63">
        <f t="shared" si="249"/>
        <v>0</v>
      </c>
      <c r="CS636" s="279"/>
      <c r="CT636" s="52"/>
      <c r="CU636" s="105"/>
      <c r="CV636" s="98"/>
      <c r="CW636" s="279"/>
      <c r="CX636" s="52"/>
      <c r="CY636" s="105"/>
      <c r="CZ636" s="98"/>
      <c r="DA636" s="279"/>
      <c r="DB636" s="52"/>
      <c r="DC636" s="105"/>
      <c r="DD636" s="98"/>
      <c r="DE636" s="279"/>
      <c r="DF636" s="52"/>
      <c r="DG636" s="105"/>
      <c r="DH636" s="98"/>
      <c r="DI636" s="279"/>
      <c r="DJ636" s="52"/>
      <c r="DK636" s="105"/>
      <c r="DL636" s="98"/>
      <c r="DM636" s="279"/>
      <c r="DN636" s="52"/>
      <c r="DO636" s="105"/>
      <c r="DP636" s="98"/>
      <c r="DQ636" s="279"/>
      <c r="DR636" s="52"/>
      <c r="DS636" s="105"/>
      <c r="DT636" s="98"/>
      <c r="DU636" s="279"/>
      <c r="DV636" s="52"/>
      <c r="DW636" s="105"/>
      <c r="DX636" s="98"/>
      <c r="DY636" s="279"/>
      <c r="DZ636" s="52"/>
      <c r="EA636" s="105"/>
      <c r="EB636" s="98"/>
      <c r="EC636" s="279"/>
      <c r="ED636" s="52"/>
      <c r="EE636" s="105"/>
      <c r="EF636" s="98"/>
      <c r="EG636" s="159"/>
      <c r="EH636" s="277"/>
      <c r="EI636" s="50">
        <f t="shared" si="250"/>
        <v>0</v>
      </c>
      <c r="EJ636" s="103">
        <f t="shared" si="251"/>
        <v>0</v>
      </c>
      <c r="EK636" s="164">
        <f t="shared" si="252"/>
        <v>0</v>
      </c>
      <c r="EL636" s="280">
        <f t="shared" si="253"/>
        <v>0</v>
      </c>
      <c r="EM636" s="63">
        <f t="shared" si="254"/>
        <v>0</v>
      </c>
      <c r="EN636" s="359">
        <f t="shared" si="255"/>
        <v>0</v>
      </c>
      <c r="EO636" s="51">
        <f t="shared" si="256"/>
        <v>0</v>
      </c>
      <c r="EP636" s="361">
        <f t="shared" si="257"/>
        <v>0</v>
      </c>
      <c r="EQ636" s="281"/>
      <c r="ER636" s="277"/>
      <c r="ES636" s="281"/>
      <c r="ET636" s="277"/>
      <c r="EU636" s="281"/>
      <c r="EV636" s="277"/>
      <c r="EW636" s="281"/>
      <c r="EX636" s="277"/>
      <c r="EY636" s="281"/>
      <c r="EZ636" s="277"/>
      <c r="FA636" s="281"/>
      <c r="FB636" s="277"/>
      <c r="FC636" s="281"/>
      <c r="FD636" s="277"/>
      <c r="FE636" s="281"/>
      <c r="FF636" s="277"/>
      <c r="FG636" s="281"/>
      <c r="FH636" s="277"/>
      <c r="FI636" s="281"/>
      <c r="FJ636" s="277"/>
      <c r="FK636" s="50">
        <f t="shared" si="258"/>
        <v>0</v>
      </c>
      <c r="FL636" s="63">
        <f t="shared" si="259"/>
        <v>0</v>
      </c>
      <c r="FM636" s="50">
        <f t="shared" si="241"/>
        <v>449</v>
      </c>
      <c r="FN636" s="360">
        <f t="shared" si="242"/>
        <v>504</v>
      </c>
      <c r="FO636" s="43"/>
      <c r="FP636" s="279"/>
      <c r="FQ636" s="467"/>
      <c r="FR636" s="296"/>
      <c r="FS636" s="98"/>
      <c r="FT636" s="467"/>
      <c r="FU636" s="52"/>
      <c r="FV636" s="296"/>
      <c r="FW636" s="98"/>
      <c r="FX636" s="467"/>
      <c r="FY636" s="52"/>
      <c r="FZ636" s="296"/>
      <c r="GA636" s="98"/>
      <c r="GB636" s="467"/>
      <c r="GC636" s="52"/>
      <c r="GD636" s="296"/>
      <c r="GE636" s="98"/>
      <c r="GF636" s="467"/>
      <c r="GG636" s="52"/>
      <c r="GH636" s="296"/>
      <c r="GI636" s="98"/>
      <c r="GJ636" s="467"/>
      <c r="GK636" s="52"/>
      <c r="GL636" s="296"/>
      <c r="GM636" s="464"/>
      <c r="GN636" s="467"/>
      <c r="GO636" s="52"/>
      <c r="GP636" s="296"/>
      <c r="GQ636" s="464"/>
      <c r="GR636" s="467"/>
      <c r="GS636" s="52"/>
      <c r="GT636" s="296"/>
      <c r="GU636" s="464"/>
      <c r="GV636" s="467"/>
      <c r="GW636" s="52"/>
      <c r="GX636" s="296"/>
      <c r="GY636" s="464"/>
      <c r="GZ636" s="467"/>
      <c r="HA636" s="52"/>
      <c r="HB636" s="296"/>
      <c r="HC636" s="43"/>
    </row>
    <row r="637" spans="1:211" s="85" customFormat="1">
      <c r="A637" s="502" t="s">
        <v>951</v>
      </c>
      <c r="B637" s="315" t="s">
        <v>861</v>
      </c>
      <c r="C637" s="314">
        <v>225520</v>
      </c>
      <c r="D637" s="343">
        <v>9</v>
      </c>
      <c r="E637" s="460">
        <v>188</v>
      </c>
      <c r="F637" s="552">
        <v>190</v>
      </c>
      <c r="G637" s="158"/>
      <c r="H637" s="277"/>
      <c r="I637" s="158">
        <v>210</v>
      </c>
      <c r="J637" s="551">
        <v>240</v>
      </c>
      <c r="K637" s="160">
        <f t="shared" si="243"/>
        <v>0</v>
      </c>
      <c r="L637" s="161">
        <f t="shared" si="236"/>
        <v>0</v>
      </c>
      <c r="M637" s="54"/>
      <c r="N637" s="55"/>
      <c r="O637" s="55"/>
      <c r="P637" s="55"/>
      <c r="Q637" s="162">
        <f t="shared" si="244"/>
        <v>0</v>
      </c>
      <c r="R637" s="277"/>
      <c r="S637" s="277"/>
      <c r="T637" s="277"/>
      <c r="U637" s="277"/>
      <c r="V637" s="97">
        <f t="shared" si="245"/>
        <v>0</v>
      </c>
      <c r="W637" s="279"/>
      <c r="X637" s="52"/>
      <c r="Y637" s="99"/>
      <c r="Z637" s="53"/>
      <c r="AA637" s="228"/>
      <c r="AB637" s="52"/>
      <c r="AC637" s="99"/>
      <c r="AD637" s="53"/>
      <c r="AE637" s="228"/>
      <c r="AF637" s="52"/>
      <c r="AG637" s="99"/>
      <c r="AH637" s="53"/>
      <c r="AI637" s="228"/>
      <c r="AJ637" s="52"/>
      <c r="AK637" s="99"/>
      <c r="AL637" s="53"/>
      <c r="AM637" s="228"/>
      <c r="AN637" s="52"/>
      <c r="AO637" s="99"/>
      <c r="AP637" s="53"/>
      <c r="AQ637" s="50">
        <f t="shared" si="237"/>
        <v>0</v>
      </c>
      <c r="AR637" s="163">
        <f t="shared" si="238"/>
        <v>0</v>
      </c>
      <c r="AS637" s="97">
        <f t="shared" si="239"/>
        <v>0</v>
      </c>
      <c r="AT637" s="278">
        <f t="shared" si="240"/>
        <v>0</v>
      </c>
      <c r="AU637" s="55"/>
      <c r="AV637" s="277"/>
      <c r="AW637" s="279"/>
      <c r="AX637" s="52"/>
      <c r="AY637" s="105"/>
      <c r="AZ637" s="98"/>
      <c r="BA637" s="279"/>
      <c r="BB637" s="52"/>
      <c r="BC637" s="105"/>
      <c r="BD637" s="98"/>
      <c r="BE637" s="279"/>
      <c r="BF637" s="52"/>
      <c r="BG637" s="105"/>
      <c r="BH637" s="98"/>
      <c r="BI637" s="279"/>
      <c r="BJ637" s="52"/>
      <c r="BK637" s="105"/>
      <c r="BL637" s="98"/>
      <c r="BM637" s="279"/>
      <c r="BN637" s="52"/>
      <c r="BO637" s="105"/>
      <c r="BP637" s="98"/>
      <c r="BQ637" s="279"/>
      <c r="BR637" s="52"/>
      <c r="BS637" s="105"/>
      <c r="BT637" s="98"/>
      <c r="BU637" s="279"/>
      <c r="BV637" s="52"/>
      <c r="BW637" s="105"/>
      <c r="BX637" s="98"/>
      <c r="BY637" s="279"/>
      <c r="BZ637" s="52"/>
      <c r="CA637" s="105"/>
      <c r="CB637" s="98"/>
      <c r="CC637" s="279"/>
      <c r="CD637" s="52"/>
      <c r="CE637" s="105"/>
      <c r="CF637" s="98"/>
      <c r="CG637" s="279"/>
      <c r="CH637" s="52"/>
      <c r="CI637" s="105"/>
      <c r="CJ637" s="98"/>
      <c r="CK637" s="281"/>
      <c r="CL637" s="277"/>
      <c r="CM637" s="159"/>
      <c r="CN637" s="277"/>
      <c r="CO637" s="50">
        <f t="shared" si="246"/>
        <v>0</v>
      </c>
      <c r="CP637" s="103">
        <f t="shared" si="247"/>
        <v>0</v>
      </c>
      <c r="CQ637" s="280">
        <f t="shared" si="248"/>
        <v>0</v>
      </c>
      <c r="CR637" s="63">
        <f t="shared" si="249"/>
        <v>0</v>
      </c>
      <c r="CS637" s="279"/>
      <c r="CT637" s="52"/>
      <c r="CU637" s="105"/>
      <c r="CV637" s="98"/>
      <c r="CW637" s="279"/>
      <c r="CX637" s="52"/>
      <c r="CY637" s="105"/>
      <c r="CZ637" s="98"/>
      <c r="DA637" s="279"/>
      <c r="DB637" s="52"/>
      <c r="DC637" s="105"/>
      <c r="DD637" s="98"/>
      <c r="DE637" s="279"/>
      <c r="DF637" s="52"/>
      <c r="DG637" s="105"/>
      <c r="DH637" s="98"/>
      <c r="DI637" s="279"/>
      <c r="DJ637" s="52"/>
      <c r="DK637" s="105"/>
      <c r="DL637" s="98"/>
      <c r="DM637" s="279"/>
      <c r="DN637" s="52"/>
      <c r="DO637" s="105"/>
      <c r="DP637" s="98"/>
      <c r="DQ637" s="279"/>
      <c r="DR637" s="52"/>
      <c r="DS637" s="105"/>
      <c r="DT637" s="98"/>
      <c r="DU637" s="279"/>
      <c r="DV637" s="52"/>
      <c r="DW637" s="105"/>
      <c r="DX637" s="98"/>
      <c r="DY637" s="279"/>
      <c r="DZ637" s="52"/>
      <c r="EA637" s="105"/>
      <c r="EB637" s="98"/>
      <c r="EC637" s="279"/>
      <c r="ED637" s="52"/>
      <c r="EE637" s="105"/>
      <c r="EF637" s="98"/>
      <c r="EG637" s="159"/>
      <c r="EH637" s="277"/>
      <c r="EI637" s="50">
        <f t="shared" si="250"/>
        <v>0</v>
      </c>
      <c r="EJ637" s="103">
        <f t="shared" si="251"/>
        <v>0</v>
      </c>
      <c r="EK637" s="164">
        <f t="shared" si="252"/>
        <v>0</v>
      </c>
      <c r="EL637" s="280">
        <f t="shared" si="253"/>
        <v>0</v>
      </c>
      <c r="EM637" s="63">
        <f t="shared" si="254"/>
        <v>0</v>
      </c>
      <c r="EN637" s="359">
        <f t="shared" si="255"/>
        <v>0</v>
      </c>
      <c r="EO637" s="51">
        <f t="shared" si="256"/>
        <v>0</v>
      </c>
      <c r="EP637" s="361">
        <f t="shared" si="257"/>
        <v>0</v>
      </c>
      <c r="EQ637" s="281"/>
      <c r="ER637" s="277"/>
      <c r="ES637" s="281"/>
      <c r="ET637" s="277"/>
      <c r="EU637" s="281"/>
      <c r="EV637" s="277"/>
      <c r="EW637" s="281"/>
      <c r="EX637" s="277"/>
      <c r="EY637" s="281"/>
      <c r="EZ637" s="277"/>
      <c r="FA637" s="281"/>
      <c r="FB637" s="277"/>
      <c r="FC637" s="281"/>
      <c r="FD637" s="277"/>
      <c r="FE637" s="281"/>
      <c r="FF637" s="277"/>
      <c r="FG637" s="281"/>
      <c r="FH637" s="277"/>
      <c r="FI637" s="281"/>
      <c r="FJ637" s="277"/>
      <c r="FK637" s="50">
        <f t="shared" si="258"/>
        <v>0</v>
      </c>
      <c r="FL637" s="63">
        <f t="shared" si="259"/>
        <v>0</v>
      </c>
      <c r="FM637" s="50">
        <f t="shared" si="241"/>
        <v>398</v>
      </c>
      <c r="FN637" s="360">
        <f t="shared" si="242"/>
        <v>430</v>
      </c>
      <c r="FO637" s="43"/>
      <c r="FP637" s="279"/>
      <c r="FQ637" s="467"/>
      <c r="FR637" s="296"/>
      <c r="FS637" s="98"/>
      <c r="FT637" s="467"/>
      <c r="FU637" s="52"/>
      <c r="FV637" s="296"/>
      <c r="FW637" s="98"/>
      <c r="FX637" s="467"/>
      <c r="FY637" s="52"/>
      <c r="FZ637" s="296"/>
      <c r="GA637" s="98"/>
      <c r="GB637" s="467"/>
      <c r="GC637" s="52"/>
      <c r="GD637" s="296"/>
      <c r="GE637" s="98"/>
      <c r="GF637" s="467"/>
      <c r="GG637" s="52"/>
      <c r="GH637" s="296"/>
      <c r="GI637" s="98"/>
      <c r="GJ637" s="467"/>
      <c r="GK637" s="52"/>
      <c r="GL637" s="296"/>
      <c r="GM637" s="464"/>
      <c r="GN637" s="467"/>
      <c r="GO637" s="52"/>
      <c r="GP637" s="296"/>
      <c r="GQ637" s="464"/>
      <c r="GR637" s="467"/>
      <c r="GS637" s="52"/>
      <c r="GT637" s="296"/>
      <c r="GU637" s="464"/>
      <c r="GV637" s="467"/>
      <c r="GW637" s="52"/>
      <c r="GX637" s="296"/>
      <c r="GY637" s="464"/>
      <c r="GZ637" s="467"/>
      <c r="HA637" s="52"/>
      <c r="HB637" s="296"/>
      <c r="HC637" s="43"/>
    </row>
    <row r="638" spans="1:211" s="85" customFormat="1">
      <c r="A638" s="502" t="s">
        <v>951</v>
      </c>
      <c r="B638" s="315" t="s">
        <v>862</v>
      </c>
      <c r="C638" s="314">
        <v>226019</v>
      </c>
      <c r="D638" s="343">
        <v>9</v>
      </c>
      <c r="E638" s="460">
        <v>597</v>
      </c>
      <c r="F638" s="552">
        <v>623</v>
      </c>
      <c r="G638" s="158"/>
      <c r="H638" s="277"/>
      <c r="I638" s="158">
        <v>516</v>
      </c>
      <c r="J638" s="551">
        <v>554</v>
      </c>
      <c r="K638" s="160">
        <f t="shared" si="243"/>
        <v>0</v>
      </c>
      <c r="L638" s="161">
        <f t="shared" si="236"/>
        <v>0</v>
      </c>
      <c r="M638" s="54"/>
      <c r="N638" s="55"/>
      <c r="O638" s="55"/>
      <c r="P638" s="55"/>
      <c r="Q638" s="162">
        <f t="shared" si="244"/>
        <v>0</v>
      </c>
      <c r="R638" s="277"/>
      <c r="S638" s="277"/>
      <c r="T638" s="277"/>
      <c r="U638" s="277"/>
      <c r="V638" s="97">
        <f t="shared" si="245"/>
        <v>0</v>
      </c>
      <c r="W638" s="279"/>
      <c r="X638" s="52"/>
      <c r="Y638" s="99"/>
      <c r="Z638" s="53"/>
      <c r="AA638" s="228"/>
      <c r="AB638" s="52"/>
      <c r="AC638" s="99"/>
      <c r="AD638" s="53"/>
      <c r="AE638" s="228"/>
      <c r="AF638" s="52"/>
      <c r="AG638" s="99"/>
      <c r="AH638" s="53"/>
      <c r="AI638" s="228"/>
      <c r="AJ638" s="52"/>
      <c r="AK638" s="99"/>
      <c r="AL638" s="53"/>
      <c r="AM638" s="228"/>
      <c r="AN638" s="52"/>
      <c r="AO638" s="99"/>
      <c r="AP638" s="53"/>
      <c r="AQ638" s="50">
        <f t="shared" si="237"/>
        <v>0</v>
      </c>
      <c r="AR638" s="163">
        <f t="shared" si="238"/>
        <v>0</v>
      </c>
      <c r="AS638" s="97">
        <f t="shared" si="239"/>
        <v>0</v>
      </c>
      <c r="AT638" s="278">
        <f t="shared" si="240"/>
        <v>0</v>
      </c>
      <c r="AU638" s="55"/>
      <c r="AV638" s="277"/>
      <c r="AW638" s="279"/>
      <c r="AX638" s="52"/>
      <c r="AY638" s="105"/>
      <c r="AZ638" s="98"/>
      <c r="BA638" s="279"/>
      <c r="BB638" s="52"/>
      <c r="BC638" s="105"/>
      <c r="BD638" s="98"/>
      <c r="BE638" s="279"/>
      <c r="BF638" s="52"/>
      <c r="BG638" s="105"/>
      <c r="BH638" s="98"/>
      <c r="BI638" s="279"/>
      <c r="BJ638" s="52"/>
      <c r="BK638" s="105"/>
      <c r="BL638" s="98"/>
      <c r="BM638" s="279"/>
      <c r="BN638" s="52"/>
      <c r="BO638" s="105"/>
      <c r="BP638" s="98"/>
      <c r="BQ638" s="279"/>
      <c r="BR638" s="52"/>
      <c r="BS638" s="105"/>
      <c r="BT638" s="98"/>
      <c r="BU638" s="279"/>
      <c r="BV638" s="52"/>
      <c r="BW638" s="105"/>
      <c r="BX638" s="98"/>
      <c r="BY638" s="279"/>
      <c r="BZ638" s="52"/>
      <c r="CA638" s="105"/>
      <c r="CB638" s="98"/>
      <c r="CC638" s="279"/>
      <c r="CD638" s="52"/>
      <c r="CE638" s="105"/>
      <c r="CF638" s="98"/>
      <c r="CG638" s="279"/>
      <c r="CH638" s="52"/>
      <c r="CI638" s="105"/>
      <c r="CJ638" s="98"/>
      <c r="CK638" s="281"/>
      <c r="CL638" s="277"/>
      <c r="CM638" s="159"/>
      <c r="CN638" s="277"/>
      <c r="CO638" s="50">
        <f t="shared" si="246"/>
        <v>0</v>
      </c>
      <c r="CP638" s="103">
        <f t="shared" si="247"/>
        <v>0</v>
      </c>
      <c r="CQ638" s="280">
        <f t="shared" si="248"/>
        <v>0</v>
      </c>
      <c r="CR638" s="63">
        <f t="shared" si="249"/>
        <v>0</v>
      </c>
      <c r="CS638" s="279"/>
      <c r="CT638" s="52"/>
      <c r="CU638" s="105"/>
      <c r="CV638" s="98"/>
      <c r="CW638" s="279"/>
      <c r="CX638" s="52"/>
      <c r="CY638" s="105"/>
      <c r="CZ638" s="98"/>
      <c r="DA638" s="279"/>
      <c r="DB638" s="52"/>
      <c r="DC638" s="105"/>
      <c r="DD638" s="98"/>
      <c r="DE638" s="279"/>
      <c r="DF638" s="52"/>
      <c r="DG638" s="105"/>
      <c r="DH638" s="98"/>
      <c r="DI638" s="279"/>
      <c r="DJ638" s="52"/>
      <c r="DK638" s="105"/>
      <c r="DL638" s="98"/>
      <c r="DM638" s="279"/>
      <c r="DN638" s="52"/>
      <c r="DO638" s="105"/>
      <c r="DP638" s="98"/>
      <c r="DQ638" s="279"/>
      <c r="DR638" s="52"/>
      <c r="DS638" s="105"/>
      <c r="DT638" s="98"/>
      <c r="DU638" s="279"/>
      <c r="DV638" s="52"/>
      <c r="DW638" s="105"/>
      <c r="DX638" s="98"/>
      <c r="DY638" s="279"/>
      <c r="DZ638" s="52"/>
      <c r="EA638" s="105"/>
      <c r="EB638" s="98"/>
      <c r="EC638" s="279"/>
      <c r="ED638" s="52"/>
      <c r="EE638" s="105"/>
      <c r="EF638" s="98"/>
      <c r="EG638" s="159"/>
      <c r="EH638" s="277"/>
      <c r="EI638" s="50">
        <f t="shared" si="250"/>
        <v>0</v>
      </c>
      <c r="EJ638" s="103">
        <f t="shared" si="251"/>
        <v>0</v>
      </c>
      <c r="EK638" s="164">
        <f t="shared" si="252"/>
        <v>0</v>
      </c>
      <c r="EL638" s="280">
        <f t="shared" si="253"/>
        <v>0</v>
      </c>
      <c r="EM638" s="63">
        <f t="shared" si="254"/>
        <v>0</v>
      </c>
      <c r="EN638" s="359">
        <f t="shared" si="255"/>
        <v>0</v>
      </c>
      <c r="EO638" s="51">
        <f t="shared" si="256"/>
        <v>0</v>
      </c>
      <c r="EP638" s="361">
        <f t="shared" si="257"/>
        <v>0</v>
      </c>
      <c r="EQ638" s="281"/>
      <c r="ER638" s="277"/>
      <c r="ES638" s="281"/>
      <c r="ET638" s="277"/>
      <c r="EU638" s="281"/>
      <c r="EV638" s="277"/>
      <c r="EW638" s="281"/>
      <c r="EX638" s="277"/>
      <c r="EY638" s="281"/>
      <c r="EZ638" s="277"/>
      <c r="FA638" s="281"/>
      <c r="FB638" s="277"/>
      <c r="FC638" s="281"/>
      <c r="FD638" s="277"/>
      <c r="FE638" s="281"/>
      <c r="FF638" s="277"/>
      <c r="FG638" s="281"/>
      <c r="FH638" s="277"/>
      <c r="FI638" s="281"/>
      <c r="FJ638" s="277"/>
      <c r="FK638" s="50">
        <f t="shared" si="258"/>
        <v>0</v>
      </c>
      <c r="FL638" s="63">
        <f t="shared" si="259"/>
        <v>0</v>
      </c>
      <c r="FM638" s="50">
        <f t="shared" si="241"/>
        <v>1113</v>
      </c>
      <c r="FN638" s="360">
        <f t="shared" si="242"/>
        <v>1177</v>
      </c>
      <c r="FO638" s="43"/>
      <c r="FP638" s="279"/>
      <c r="FQ638" s="467"/>
      <c r="FR638" s="296"/>
      <c r="FS638" s="98"/>
      <c r="FT638" s="467"/>
      <c r="FU638" s="52"/>
      <c r="FV638" s="296"/>
      <c r="FW638" s="98"/>
      <c r="FX638" s="467"/>
      <c r="FY638" s="52"/>
      <c r="FZ638" s="296"/>
      <c r="GA638" s="98"/>
      <c r="GB638" s="467"/>
      <c r="GC638" s="52"/>
      <c r="GD638" s="296"/>
      <c r="GE638" s="98"/>
      <c r="GF638" s="467"/>
      <c r="GG638" s="52"/>
      <c r="GH638" s="296"/>
      <c r="GI638" s="98"/>
      <c r="GJ638" s="467"/>
      <c r="GK638" s="52"/>
      <c r="GL638" s="296"/>
      <c r="GM638" s="464"/>
      <c r="GN638" s="467"/>
      <c r="GO638" s="52"/>
      <c r="GP638" s="296"/>
      <c r="GQ638" s="464"/>
      <c r="GR638" s="467"/>
      <c r="GS638" s="52"/>
      <c r="GT638" s="296"/>
      <c r="GU638" s="464"/>
      <c r="GV638" s="467"/>
      <c r="GW638" s="52"/>
      <c r="GX638" s="296"/>
      <c r="GY638" s="464"/>
      <c r="GZ638" s="467"/>
      <c r="HA638" s="52"/>
      <c r="HB638" s="296"/>
      <c r="HC638" s="43"/>
    </row>
    <row r="639" spans="1:211" s="85" customFormat="1">
      <c r="A639" s="555" t="s">
        <v>951</v>
      </c>
      <c r="B639" s="339" t="s">
        <v>863</v>
      </c>
      <c r="C639" s="355">
        <v>441760</v>
      </c>
      <c r="D639" s="373">
        <v>9</v>
      </c>
      <c r="E639" s="460">
        <v>117</v>
      </c>
      <c r="F639" s="552">
        <v>107</v>
      </c>
      <c r="G639" s="158"/>
      <c r="H639" s="277"/>
      <c r="I639" s="158">
        <v>370</v>
      </c>
      <c r="J639" s="551">
        <v>397</v>
      </c>
      <c r="K639" s="160">
        <f t="shared" si="243"/>
        <v>0</v>
      </c>
      <c r="L639" s="161">
        <f t="shared" si="236"/>
        <v>0</v>
      </c>
      <c r="M639" s="54"/>
      <c r="N639" s="55"/>
      <c r="O639" s="55"/>
      <c r="P639" s="55"/>
      <c r="Q639" s="162">
        <f t="shared" si="244"/>
        <v>0</v>
      </c>
      <c r="R639" s="277"/>
      <c r="S639" s="277"/>
      <c r="T639" s="277"/>
      <c r="U639" s="277"/>
      <c r="V639" s="97">
        <f t="shared" si="245"/>
        <v>0</v>
      </c>
      <c r="W639" s="279"/>
      <c r="X639" s="52"/>
      <c r="Y639" s="99"/>
      <c r="Z639" s="53"/>
      <c r="AA639" s="228"/>
      <c r="AB639" s="52"/>
      <c r="AC639" s="99"/>
      <c r="AD639" s="53"/>
      <c r="AE639" s="228"/>
      <c r="AF639" s="52"/>
      <c r="AG639" s="99"/>
      <c r="AH639" s="53"/>
      <c r="AI639" s="228"/>
      <c r="AJ639" s="52"/>
      <c r="AK639" s="99"/>
      <c r="AL639" s="53"/>
      <c r="AM639" s="228"/>
      <c r="AN639" s="52"/>
      <c r="AO639" s="99"/>
      <c r="AP639" s="53"/>
      <c r="AQ639" s="50">
        <f t="shared" si="237"/>
        <v>0</v>
      </c>
      <c r="AR639" s="163">
        <f t="shared" si="238"/>
        <v>0</v>
      </c>
      <c r="AS639" s="97">
        <f t="shared" si="239"/>
        <v>0</v>
      </c>
      <c r="AT639" s="278">
        <f t="shared" si="240"/>
        <v>0</v>
      </c>
      <c r="AU639" s="55"/>
      <c r="AV639" s="277"/>
      <c r="AW639" s="279"/>
      <c r="AX639" s="52"/>
      <c r="AY639" s="105"/>
      <c r="AZ639" s="98"/>
      <c r="BA639" s="279"/>
      <c r="BB639" s="52"/>
      <c r="BC639" s="105"/>
      <c r="BD639" s="98"/>
      <c r="BE639" s="279"/>
      <c r="BF639" s="52"/>
      <c r="BG639" s="105"/>
      <c r="BH639" s="98"/>
      <c r="BI639" s="279"/>
      <c r="BJ639" s="52"/>
      <c r="BK639" s="105"/>
      <c r="BL639" s="98"/>
      <c r="BM639" s="279"/>
      <c r="BN639" s="52"/>
      <c r="BO639" s="105"/>
      <c r="BP639" s="98"/>
      <c r="BQ639" s="279"/>
      <c r="BR639" s="52"/>
      <c r="BS639" s="105"/>
      <c r="BT639" s="98"/>
      <c r="BU639" s="279"/>
      <c r="BV639" s="52"/>
      <c r="BW639" s="105"/>
      <c r="BX639" s="98"/>
      <c r="BY639" s="279"/>
      <c r="BZ639" s="52"/>
      <c r="CA639" s="105"/>
      <c r="CB639" s="98"/>
      <c r="CC639" s="279"/>
      <c r="CD639" s="52"/>
      <c r="CE639" s="105"/>
      <c r="CF639" s="98"/>
      <c r="CG639" s="279"/>
      <c r="CH639" s="52"/>
      <c r="CI639" s="105"/>
      <c r="CJ639" s="98"/>
      <c r="CK639" s="281"/>
      <c r="CL639" s="277"/>
      <c r="CM639" s="159"/>
      <c r="CN639" s="277"/>
      <c r="CO639" s="50">
        <f t="shared" si="246"/>
        <v>0</v>
      </c>
      <c r="CP639" s="103">
        <f t="shared" si="247"/>
        <v>0</v>
      </c>
      <c r="CQ639" s="280">
        <f t="shared" si="248"/>
        <v>0</v>
      </c>
      <c r="CR639" s="63">
        <f t="shared" si="249"/>
        <v>0</v>
      </c>
      <c r="CS639" s="279"/>
      <c r="CT639" s="52"/>
      <c r="CU639" s="105"/>
      <c r="CV639" s="98"/>
      <c r="CW639" s="279"/>
      <c r="CX639" s="52"/>
      <c r="CY639" s="105"/>
      <c r="CZ639" s="98"/>
      <c r="DA639" s="279"/>
      <c r="DB639" s="52"/>
      <c r="DC639" s="105"/>
      <c r="DD639" s="98"/>
      <c r="DE639" s="279"/>
      <c r="DF639" s="52"/>
      <c r="DG639" s="105"/>
      <c r="DH639" s="98"/>
      <c r="DI639" s="279"/>
      <c r="DJ639" s="52"/>
      <c r="DK639" s="105"/>
      <c r="DL639" s="98"/>
      <c r="DM639" s="279"/>
      <c r="DN639" s="52"/>
      <c r="DO639" s="105"/>
      <c r="DP639" s="98"/>
      <c r="DQ639" s="279"/>
      <c r="DR639" s="52"/>
      <c r="DS639" s="105"/>
      <c r="DT639" s="98"/>
      <c r="DU639" s="279"/>
      <c r="DV639" s="52"/>
      <c r="DW639" s="105"/>
      <c r="DX639" s="98"/>
      <c r="DY639" s="279"/>
      <c r="DZ639" s="52"/>
      <c r="EA639" s="105"/>
      <c r="EB639" s="98"/>
      <c r="EC639" s="279"/>
      <c r="ED639" s="52"/>
      <c r="EE639" s="105"/>
      <c r="EF639" s="98"/>
      <c r="EG639" s="159"/>
      <c r="EH639" s="277"/>
      <c r="EI639" s="50">
        <f t="shared" si="250"/>
        <v>0</v>
      </c>
      <c r="EJ639" s="103">
        <f t="shared" si="251"/>
        <v>0</v>
      </c>
      <c r="EK639" s="164">
        <f t="shared" si="252"/>
        <v>0</v>
      </c>
      <c r="EL639" s="280">
        <f t="shared" si="253"/>
        <v>0</v>
      </c>
      <c r="EM639" s="63">
        <f t="shared" si="254"/>
        <v>0</v>
      </c>
      <c r="EN639" s="359">
        <f t="shared" si="255"/>
        <v>0</v>
      </c>
      <c r="EO639" s="51">
        <f t="shared" si="256"/>
        <v>0</v>
      </c>
      <c r="EP639" s="361">
        <f t="shared" si="257"/>
        <v>0</v>
      </c>
      <c r="EQ639" s="281"/>
      <c r="ER639" s="277"/>
      <c r="ES639" s="281"/>
      <c r="ET639" s="277"/>
      <c r="EU639" s="281"/>
      <c r="EV639" s="277"/>
      <c r="EW639" s="281"/>
      <c r="EX639" s="277"/>
      <c r="EY639" s="281"/>
      <c r="EZ639" s="277"/>
      <c r="FA639" s="281"/>
      <c r="FB639" s="277"/>
      <c r="FC639" s="281"/>
      <c r="FD639" s="277"/>
      <c r="FE639" s="281"/>
      <c r="FF639" s="277"/>
      <c r="FG639" s="281"/>
      <c r="FH639" s="277"/>
      <c r="FI639" s="281"/>
      <c r="FJ639" s="277"/>
      <c r="FK639" s="50">
        <f t="shared" si="258"/>
        <v>0</v>
      </c>
      <c r="FL639" s="63">
        <f t="shared" si="259"/>
        <v>0</v>
      </c>
      <c r="FM639" s="50">
        <f t="shared" si="241"/>
        <v>487</v>
      </c>
      <c r="FN639" s="360">
        <f t="shared" si="242"/>
        <v>504</v>
      </c>
      <c r="FO639" s="43"/>
      <c r="FP639" s="279"/>
      <c r="FQ639" s="467"/>
      <c r="FR639" s="296"/>
      <c r="FS639" s="98"/>
      <c r="FT639" s="467"/>
      <c r="FU639" s="52"/>
      <c r="FV639" s="296"/>
      <c r="FW639" s="98"/>
      <c r="FX639" s="467"/>
      <c r="FY639" s="52"/>
      <c r="FZ639" s="296"/>
      <c r="GA639" s="98"/>
      <c r="GB639" s="467"/>
      <c r="GC639" s="52"/>
      <c r="GD639" s="296"/>
      <c r="GE639" s="98"/>
      <c r="GF639" s="467"/>
      <c r="GG639" s="52"/>
      <c r="GH639" s="296"/>
      <c r="GI639" s="98"/>
      <c r="GJ639" s="467"/>
      <c r="GK639" s="52"/>
      <c r="GL639" s="296"/>
      <c r="GM639" s="464"/>
      <c r="GN639" s="467"/>
      <c r="GO639" s="52"/>
      <c r="GP639" s="296"/>
      <c r="GQ639" s="464"/>
      <c r="GR639" s="467"/>
      <c r="GS639" s="52"/>
      <c r="GT639" s="296"/>
      <c r="GU639" s="464"/>
      <c r="GV639" s="467"/>
      <c r="GW639" s="52"/>
      <c r="GX639" s="296"/>
      <c r="GY639" s="464"/>
      <c r="GZ639" s="467"/>
      <c r="HA639" s="52"/>
      <c r="HB639" s="296"/>
      <c r="HC639" s="43"/>
    </row>
    <row r="640" spans="1:211" s="85" customFormat="1">
      <c r="A640" s="502" t="s">
        <v>951</v>
      </c>
      <c r="B640" s="315" t="s">
        <v>864</v>
      </c>
      <c r="C640" s="314">
        <v>226204</v>
      </c>
      <c r="D640" s="343">
        <v>9</v>
      </c>
      <c r="E640" s="460">
        <v>768</v>
      </c>
      <c r="F640" s="552">
        <v>780</v>
      </c>
      <c r="G640" s="158"/>
      <c r="H640" s="277"/>
      <c r="I640" s="158">
        <v>593</v>
      </c>
      <c r="J640" s="552">
        <v>636</v>
      </c>
      <c r="K640" s="160">
        <f t="shared" si="243"/>
        <v>0</v>
      </c>
      <c r="L640" s="161">
        <f t="shared" si="236"/>
        <v>0</v>
      </c>
      <c r="M640" s="54"/>
      <c r="N640" s="55"/>
      <c r="O640" s="55"/>
      <c r="P640" s="55"/>
      <c r="Q640" s="162">
        <f t="shared" si="244"/>
        <v>0</v>
      </c>
      <c r="R640" s="277"/>
      <c r="S640" s="277"/>
      <c r="T640" s="277"/>
      <c r="U640" s="277"/>
      <c r="V640" s="97">
        <f t="shared" si="245"/>
        <v>0</v>
      </c>
      <c r="W640" s="279"/>
      <c r="X640" s="52"/>
      <c r="Y640" s="99"/>
      <c r="Z640" s="53"/>
      <c r="AA640" s="228"/>
      <c r="AB640" s="52"/>
      <c r="AC640" s="99"/>
      <c r="AD640" s="53"/>
      <c r="AE640" s="228"/>
      <c r="AF640" s="52"/>
      <c r="AG640" s="99"/>
      <c r="AH640" s="53"/>
      <c r="AI640" s="228"/>
      <c r="AJ640" s="52"/>
      <c r="AK640" s="99"/>
      <c r="AL640" s="53"/>
      <c r="AM640" s="228"/>
      <c r="AN640" s="52"/>
      <c r="AO640" s="99"/>
      <c r="AP640" s="53"/>
      <c r="AQ640" s="50">
        <f t="shared" si="237"/>
        <v>0</v>
      </c>
      <c r="AR640" s="163">
        <f t="shared" si="238"/>
        <v>0</v>
      </c>
      <c r="AS640" s="97">
        <f t="shared" si="239"/>
        <v>0</v>
      </c>
      <c r="AT640" s="278">
        <f t="shared" si="240"/>
        <v>0</v>
      </c>
      <c r="AU640" s="55"/>
      <c r="AV640" s="277"/>
      <c r="AW640" s="279"/>
      <c r="AX640" s="52"/>
      <c r="AY640" s="98"/>
      <c r="AZ640" s="98"/>
      <c r="BA640" s="279"/>
      <c r="BB640" s="52"/>
      <c r="BC640" s="98"/>
      <c r="BD640" s="98"/>
      <c r="BE640" s="279"/>
      <c r="BF640" s="52"/>
      <c r="BG640" s="105"/>
      <c r="BH640" s="98"/>
      <c r="BI640" s="279"/>
      <c r="BJ640" s="52"/>
      <c r="BK640" s="105"/>
      <c r="BL640" s="98"/>
      <c r="BM640" s="279"/>
      <c r="BN640" s="52"/>
      <c r="BO640" s="105"/>
      <c r="BP640" s="98"/>
      <c r="BQ640" s="279"/>
      <c r="BR640" s="52"/>
      <c r="BS640" s="105"/>
      <c r="BT640" s="98"/>
      <c r="BU640" s="279"/>
      <c r="BV640" s="52"/>
      <c r="BW640" s="105"/>
      <c r="BX640" s="98"/>
      <c r="BY640" s="279"/>
      <c r="BZ640" s="52"/>
      <c r="CA640" s="105"/>
      <c r="CB640" s="98"/>
      <c r="CC640" s="279"/>
      <c r="CD640" s="52"/>
      <c r="CE640" s="105"/>
      <c r="CF640" s="98"/>
      <c r="CG640" s="279"/>
      <c r="CH640" s="52"/>
      <c r="CI640" s="105"/>
      <c r="CJ640" s="98"/>
      <c r="CK640" s="281"/>
      <c r="CL640" s="277"/>
      <c r="CM640" s="159"/>
      <c r="CN640" s="277"/>
      <c r="CO640" s="50">
        <f t="shared" si="246"/>
        <v>0</v>
      </c>
      <c r="CP640" s="103">
        <f t="shared" si="247"/>
        <v>0</v>
      </c>
      <c r="CQ640" s="280">
        <f t="shared" si="248"/>
        <v>0</v>
      </c>
      <c r="CR640" s="63">
        <f t="shared" si="249"/>
        <v>0</v>
      </c>
      <c r="CS640" s="279"/>
      <c r="CT640" s="52"/>
      <c r="CU640" s="98"/>
      <c r="CV640" s="98"/>
      <c r="CW640" s="279"/>
      <c r="CX640" s="52"/>
      <c r="CY640" s="98"/>
      <c r="CZ640" s="98"/>
      <c r="DA640" s="279"/>
      <c r="DB640" s="52"/>
      <c r="DC640" s="105"/>
      <c r="DD640" s="98"/>
      <c r="DE640" s="279"/>
      <c r="DF640" s="52"/>
      <c r="DG640" s="105"/>
      <c r="DH640" s="98"/>
      <c r="DI640" s="279"/>
      <c r="DJ640" s="52"/>
      <c r="DK640" s="105"/>
      <c r="DL640" s="98"/>
      <c r="DM640" s="279"/>
      <c r="DN640" s="52"/>
      <c r="DO640" s="105"/>
      <c r="DP640" s="98"/>
      <c r="DQ640" s="279"/>
      <c r="DR640" s="52"/>
      <c r="DS640" s="105"/>
      <c r="DT640" s="98"/>
      <c r="DU640" s="279"/>
      <c r="DV640" s="52"/>
      <c r="DW640" s="105"/>
      <c r="DX640" s="98"/>
      <c r="DY640" s="279"/>
      <c r="DZ640" s="52"/>
      <c r="EA640" s="105"/>
      <c r="EB640" s="98"/>
      <c r="EC640" s="279"/>
      <c r="ED640" s="52"/>
      <c r="EE640" s="105"/>
      <c r="EF640" s="98"/>
      <c r="EG640" s="159"/>
      <c r="EH640" s="277"/>
      <c r="EI640" s="50">
        <f t="shared" si="250"/>
        <v>0</v>
      </c>
      <c r="EJ640" s="103">
        <f t="shared" si="251"/>
        <v>0</v>
      </c>
      <c r="EK640" s="164">
        <f t="shared" si="252"/>
        <v>0</v>
      </c>
      <c r="EL640" s="280">
        <f t="shared" si="253"/>
        <v>0</v>
      </c>
      <c r="EM640" s="63">
        <f t="shared" si="254"/>
        <v>0</v>
      </c>
      <c r="EN640" s="359">
        <f t="shared" si="255"/>
        <v>0</v>
      </c>
      <c r="EO640" s="51">
        <f t="shared" si="256"/>
        <v>0</v>
      </c>
      <c r="EP640" s="361">
        <f t="shared" si="257"/>
        <v>0</v>
      </c>
      <c r="EQ640" s="281"/>
      <c r="ER640" s="277"/>
      <c r="ES640" s="281"/>
      <c r="ET640" s="277"/>
      <c r="EU640" s="281"/>
      <c r="EV640" s="277"/>
      <c r="EW640" s="281"/>
      <c r="EX640" s="277"/>
      <c r="EY640" s="281"/>
      <c r="EZ640" s="277"/>
      <c r="FA640" s="281"/>
      <c r="FB640" s="277"/>
      <c r="FC640" s="281"/>
      <c r="FD640" s="277"/>
      <c r="FE640" s="281"/>
      <c r="FF640" s="277"/>
      <c r="FG640" s="281"/>
      <c r="FH640" s="277"/>
      <c r="FI640" s="281"/>
      <c r="FJ640" s="277"/>
      <c r="FK640" s="50">
        <f t="shared" si="258"/>
        <v>0</v>
      </c>
      <c r="FL640" s="63">
        <f t="shared" si="259"/>
        <v>0</v>
      </c>
      <c r="FM640" s="50">
        <f t="shared" si="241"/>
        <v>1361</v>
      </c>
      <c r="FN640" s="360">
        <f t="shared" si="242"/>
        <v>1416</v>
      </c>
      <c r="FO640" s="43"/>
      <c r="FP640" s="279"/>
      <c r="FQ640" s="467"/>
      <c r="FR640" s="296"/>
      <c r="FS640" s="98"/>
      <c r="FT640" s="467"/>
      <c r="FU640" s="52"/>
      <c r="FV640" s="296"/>
      <c r="FW640" s="98"/>
      <c r="FX640" s="467"/>
      <c r="FY640" s="52"/>
      <c r="FZ640" s="296"/>
      <c r="GA640" s="98"/>
      <c r="GB640" s="467"/>
      <c r="GC640" s="52"/>
      <c r="GD640" s="296"/>
      <c r="GE640" s="98"/>
      <c r="GF640" s="467"/>
      <c r="GG640" s="52"/>
      <c r="GH640" s="296"/>
      <c r="GI640" s="98"/>
      <c r="GJ640" s="467"/>
      <c r="GK640" s="52"/>
      <c r="GL640" s="296"/>
      <c r="GM640" s="464"/>
      <c r="GN640" s="467"/>
      <c r="GO640" s="52"/>
      <c r="GP640" s="296"/>
      <c r="GQ640" s="464"/>
      <c r="GR640" s="467"/>
      <c r="GS640" s="52"/>
      <c r="GT640" s="296"/>
      <c r="GU640" s="464"/>
      <c r="GV640" s="467"/>
      <c r="GW640" s="52"/>
      <c r="GX640" s="296"/>
      <c r="GY640" s="464"/>
      <c r="GZ640" s="467"/>
      <c r="HA640" s="52"/>
      <c r="HB640" s="296"/>
      <c r="HC640" s="43"/>
    </row>
    <row r="641" spans="1:211" s="85" customFormat="1">
      <c r="A641" s="502" t="s">
        <v>951</v>
      </c>
      <c r="B641" s="372" t="s">
        <v>720</v>
      </c>
      <c r="C641" s="314">
        <v>226930</v>
      </c>
      <c r="D641" s="343">
        <v>9</v>
      </c>
      <c r="E641" s="460">
        <v>113</v>
      </c>
      <c r="F641" s="552">
        <v>218</v>
      </c>
      <c r="G641" s="158"/>
      <c r="H641" s="277"/>
      <c r="I641" s="158">
        <v>339</v>
      </c>
      <c r="J641" s="552">
        <v>342</v>
      </c>
      <c r="K641" s="160">
        <f t="shared" si="243"/>
        <v>0</v>
      </c>
      <c r="L641" s="161">
        <f t="shared" si="236"/>
        <v>0</v>
      </c>
      <c r="M641" s="54"/>
      <c r="N641" s="55"/>
      <c r="O641" s="55"/>
      <c r="P641" s="55"/>
      <c r="Q641" s="162">
        <f t="shared" si="244"/>
        <v>0</v>
      </c>
      <c r="R641" s="277"/>
      <c r="S641" s="277"/>
      <c r="T641" s="277"/>
      <c r="U641" s="277"/>
      <c r="V641" s="97">
        <f t="shared" si="245"/>
        <v>0</v>
      </c>
      <c r="W641" s="279"/>
      <c r="X641" s="52"/>
      <c r="Y641" s="99"/>
      <c r="Z641" s="53"/>
      <c r="AA641" s="228"/>
      <c r="AB641" s="52"/>
      <c r="AC641" s="99"/>
      <c r="AD641" s="53"/>
      <c r="AE641" s="228"/>
      <c r="AF641" s="52"/>
      <c r="AG641" s="99"/>
      <c r="AH641" s="53"/>
      <c r="AI641" s="228"/>
      <c r="AJ641" s="52"/>
      <c r="AK641" s="99"/>
      <c r="AL641" s="53"/>
      <c r="AM641" s="228"/>
      <c r="AN641" s="52"/>
      <c r="AO641" s="99"/>
      <c r="AP641" s="53"/>
      <c r="AQ641" s="50">
        <f t="shared" si="237"/>
        <v>0</v>
      </c>
      <c r="AR641" s="163">
        <f t="shared" si="238"/>
        <v>0</v>
      </c>
      <c r="AS641" s="97">
        <f t="shared" si="239"/>
        <v>0</v>
      </c>
      <c r="AT641" s="278">
        <f t="shared" si="240"/>
        <v>0</v>
      </c>
      <c r="AU641" s="55"/>
      <c r="AV641" s="277"/>
      <c r="AW641" s="279"/>
      <c r="AX641" s="52"/>
      <c r="AY641" s="98"/>
      <c r="AZ641" s="98"/>
      <c r="BA641" s="279"/>
      <c r="BB641" s="52"/>
      <c r="BC641" s="98"/>
      <c r="BD641" s="98"/>
      <c r="BE641" s="279"/>
      <c r="BF641" s="52"/>
      <c r="BG641" s="105"/>
      <c r="BH641" s="98"/>
      <c r="BI641" s="279"/>
      <c r="BJ641" s="52"/>
      <c r="BK641" s="105"/>
      <c r="BL641" s="98"/>
      <c r="BM641" s="279"/>
      <c r="BN641" s="52"/>
      <c r="BO641" s="105"/>
      <c r="BP641" s="98"/>
      <c r="BQ641" s="279"/>
      <c r="BR641" s="52"/>
      <c r="BS641" s="105"/>
      <c r="BT641" s="98"/>
      <c r="BU641" s="279"/>
      <c r="BV641" s="52"/>
      <c r="BW641" s="105"/>
      <c r="BX641" s="98"/>
      <c r="BY641" s="279"/>
      <c r="BZ641" s="52"/>
      <c r="CA641" s="105"/>
      <c r="CB641" s="98"/>
      <c r="CC641" s="279"/>
      <c r="CD641" s="52"/>
      <c r="CE641" s="105"/>
      <c r="CF641" s="98"/>
      <c r="CG641" s="279"/>
      <c r="CH641" s="52"/>
      <c r="CI641" s="105"/>
      <c r="CJ641" s="98"/>
      <c r="CK641" s="281"/>
      <c r="CL641" s="277"/>
      <c r="CM641" s="159"/>
      <c r="CN641" s="277"/>
      <c r="CO641" s="50">
        <f t="shared" si="246"/>
        <v>0</v>
      </c>
      <c r="CP641" s="103">
        <f t="shared" si="247"/>
        <v>0</v>
      </c>
      <c r="CQ641" s="280">
        <f t="shared" si="248"/>
        <v>0</v>
      </c>
      <c r="CR641" s="63">
        <f t="shared" si="249"/>
        <v>0</v>
      </c>
      <c r="CS641" s="279"/>
      <c r="CT641" s="52"/>
      <c r="CU641" s="98"/>
      <c r="CV641" s="98"/>
      <c r="CW641" s="279"/>
      <c r="CX641" s="52"/>
      <c r="CY641" s="98"/>
      <c r="CZ641" s="98"/>
      <c r="DA641" s="279"/>
      <c r="DB641" s="52"/>
      <c r="DC641" s="105"/>
      <c r="DD641" s="98"/>
      <c r="DE641" s="279"/>
      <c r="DF641" s="52"/>
      <c r="DG641" s="105"/>
      <c r="DH641" s="98"/>
      <c r="DI641" s="279"/>
      <c r="DJ641" s="52"/>
      <c r="DK641" s="105"/>
      <c r="DL641" s="98"/>
      <c r="DM641" s="279"/>
      <c r="DN641" s="52"/>
      <c r="DO641" s="105"/>
      <c r="DP641" s="98"/>
      <c r="DQ641" s="279"/>
      <c r="DR641" s="52"/>
      <c r="DS641" s="105"/>
      <c r="DT641" s="98"/>
      <c r="DU641" s="279"/>
      <c r="DV641" s="52"/>
      <c r="DW641" s="105"/>
      <c r="DX641" s="98"/>
      <c r="DY641" s="279"/>
      <c r="DZ641" s="52"/>
      <c r="EA641" s="105"/>
      <c r="EB641" s="98"/>
      <c r="EC641" s="279"/>
      <c r="ED641" s="52"/>
      <c r="EE641" s="105"/>
      <c r="EF641" s="98"/>
      <c r="EG641" s="159"/>
      <c r="EH641" s="277"/>
      <c r="EI641" s="50">
        <f t="shared" si="250"/>
        <v>0</v>
      </c>
      <c r="EJ641" s="103">
        <f t="shared" si="251"/>
        <v>0</v>
      </c>
      <c r="EK641" s="164">
        <f t="shared" si="252"/>
        <v>0</v>
      </c>
      <c r="EL641" s="280">
        <f t="shared" si="253"/>
        <v>0</v>
      </c>
      <c r="EM641" s="63">
        <f t="shared" si="254"/>
        <v>0</v>
      </c>
      <c r="EN641" s="359">
        <f t="shared" si="255"/>
        <v>0</v>
      </c>
      <c r="EO641" s="51">
        <f t="shared" si="256"/>
        <v>0</v>
      </c>
      <c r="EP641" s="361">
        <f t="shared" si="257"/>
        <v>0</v>
      </c>
      <c r="EQ641" s="281"/>
      <c r="ER641" s="277"/>
      <c r="ES641" s="281"/>
      <c r="ET641" s="277"/>
      <c r="EU641" s="281"/>
      <c r="EV641" s="277"/>
      <c r="EW641" s="281"/>
      <c r="EX641" s="277"/>
      <c r="EY641" s="281"/>
      <c r="EZ641" s="277"/>
      <c r="FA641" s="281"/>
      <c r="FB641" s="277"/>
      <c r="FC641" s="281"/>
      <c r="FD641" s="277"/>
      <c r="FE641" s="281"/>
      <c r="FF641" s="277"/>
      <c r="FG641" s="281"/>
      <c r="FH641" s="277"/>
      <c r="FI641" s="281"/>
      <c r="FJ641" s="277"/>
      <c r="FK641" s="50">
        <f t="shared" si="258"/>
        <v>0</v>
      </c>
      <c r="FL641" s="63">
        <f t="shared" si="259"/>
        <v>0</v>
      </c>
      <c r="FM641" s="50">
        <f t="shared" si="241"/>
        <v>452</v>
      </c>
      <c r="FN641" s="360">
        <f t="shared" si="242"/>
        <v>560</v>
      </c>
      <c r="FO641" s="43"/>
      <c r="FP641" s="279"/>
      <c r="FQ641" s="467"/>
      <c r="FR641" s="296"/>
      <c r="FS641" s="98"/>
      <c r="FT641" s="467"/>
      <c r="FU641" s="52"/>
      <c r="FV641" s="296"/>
      <c r="FW641" s="98"/>
      <c r="FX641" s="467"/>
      <c r="FY641" s="52"/>
      <c r="FZ641" s="296"/>
      <c r="GA641" s="98"/>
      <c r="GB641" s="467"/>
      <c r="GC641" s="52"/>
      <c r="GD641" s="296"/>
      <c r="GE641" s="98"/>
      <c r="GF641" s="467"/>
      <c r="GG641" s="52"/>
      <c r="GH641" s="296"/>
      <c r="GI641" s="98"/>
      <c r="GJ641" s="467"/>
      <c r="GK641" s="52"/>
      <c r="GL641" s="296"/>
      <c r="GM641" s="464"/>
      <c r="GN641" s="467"/>
      <c r="GO641" s="52"/>
      <c r="GP641" s="296"/>
      <c r="GQ641" s="464"/>
      <c r="GR641" s="467"/>
      <c r="GS641" s="52"/>
      <c r="GT641" s="296"/>
      <c r="GU641" s="464"/>
      <c r="GV641" s="467"/>
      <c r="GW641" s="52"/>
      <c r="GX641" s="296"/>
      <c r="GY641" s="464"/>
      <c r="GZ641" s="467"/>
      <c r="HA641" s="52"/>
      <c r="HB641" s="296"/>
      <c r="HC641" s="43"/>
    </row>
    <row r="642" spans="1:211" s="85" customFormat="1">
      <c r="A642" s="502" t="s">
        <v>951</v>
      </c>
      <c r="B642" s="372" t="s">
        <v>866</v>
      </c>
      <c r="C642" s="314">
        <v>224110</v>
      </c>
      <c r="D642" s="343">
        <v>9</v>
      </c>
      <c r="E642" s="460">
        <v>152</v>
      </c>
      <c r="F642" s="552">
        <v>143</v>
      </c>
      <c r="G642" s="158"/>
      <c r="H642" s="277"/>
      <c r="I642" s="158">
        <v>406</v>
      </c>
      <c r="J642" s="552">
        <v>456</v>
      </c>
      <c r="K642" s="160">
        <f t="shared" si="243"/>
        <v>0</v>
      </c>
      <c r="L642" s="161">
        <f t="shared" si="236"/>
        <v>0</v>
      </c>
      <c r="M642" s="54"/>
      <c r="N642" s="55"/>
      <c r="O642" s="55"/>
      <c r="P642" s="55"/>
      <c r="Q642" s="162">
        <f t="shared" si="244"/>
        <v>0</v>
      </c>
      <c r="R642" s="277"/>
      <c r="S642" s="277"/>
      <c r="T642" s="277"/>
      <c r="U642" s="277"/>
      <c r="V642" s="97">
        <f t="shared" si="245"/>
        <v>0</v>
      </c>
      <c r="W642" s="279"/>
      <c r="X642" s="52"/>
      <c r="Y642" s="99"/>
      <c r="Z642" s="53"/>
      <c r="AA642" s="228"/>
      <c r="AB642" s="52"/>
      <c r="AC642" s="99"/>
      <c r="AD642" s="53"/>
      <c r="AE642" s="228"/>
      <c r="AF642" s="52"/>
      <c r="AG642" s="99"/>
      <c r="AH642" s="53"/>
      <c r="AI642" s="228"/>
      <c r="AJ642" s="52"/>
      <c r="AK642" s="99"/>
      <c r="AL642" s="53"/>
      <c r="AM642" s="228"/>
      <c r="AN642" s="52"/>
      <c r="AO642" s="99"/>
      <c r="AP642" s="53"/>
      <c r="AQ642" s="50">
        <f t="shared" si="237"/>
        <v>0</v>
      </c>
      <c r="AR642" s="163">
        <f t="shared" si="238"/>
        <v>0</v>
      </c>
      <c r="AS642" s="97">
        <f t="shared" si="239"/>
        <v>0</v>
      </c>
      <c r="AT642" s="278">
        <f t="shared" si="240"/>
        <v>0</v>
      </c>
      <c r="AU642" s="55"/>
      <c r="AV642" s="277"/>
      <c r="AW642" s="279"/>
      <c r="AX642" s="52"/>
      <c r="AY642" s="98"/>
      <c r="AZ642" s="98"/>
      <c r="BA642" s="279"/>
      <c r="BB642" s="52"/>
      <c r="BC642" s="98"/>
      <c r="BD642" s="98"/>
      <c r="BE642" s="279"/>
      <c r="BF642" s="52"/>
      <c r="BG642" s="105"/>
      <c r="BH642" s="98"/>
      <c r="BI642" s="279"/>
      <c r="BJ642" s="52"/>
      <c r="BK642" s="105"/>
      <c r="BL642" s="98"/>
      <c r="BM642" s="279"/>
      <c r="BN642" s="52"/>
      <c r="BO642" s="105"/>
      <c r="BP642" s="98"/>
      <c r="BQ642" s="279"/>
      <c r="BR642" s="52"/>
      <c r="BS642" s="105"/>
      <c r="BT642" s="98"/>
      <c r="BU642" s="279"/>
      <c r="BV642" s="52"/>
      <c r="BW642" s="105"/>
      <c r="BX642" s="98"/>
      <c r="BY642" s="279"/>
      <c r="BZ642" s="52"/>
      <c r="CA642" s="105"/>
      <c r="CB642" s="98"/>
      <c r="CC642" s="279"/>
      <c r="CD642" s="52"/>
      <c r="CE642" s="105"/>
      <c r="CF642" s="98"/>
      <c r="CG642" s="279"/>
      <c r="CH642" s="52"/>
      <c r="CI642" s="105"/>
      <c r="CJ642" s="98"/>
      <c r="CK642" s="281"/>
      <c r="CL642" s="277"/>
      <c r="CM642" s="159"/>
      <c r="CN642" s="277"/>
      <c r="CO642" s="50">
        <f t="shared" si="246"/>
        <v>0</v>
      </c>
      <c r="CP642" s="103">
        <f t="shared" si="247"/>
        <v>0</v>
      </c>
      <c r="CQ642" s="280">
        <f t="shared" si="248"/>
        <v>0</v>
      </c>
      <c r="CR642" s="63">
        <f t="shared" si="249"/>
        <v>0</v>
      </c>
      <c r="CS642" s="279"/>
      <c r="CT642" s="52"/>
      <c r="CU642" s="98"/>
      <c r="CV642" s="98"/>
      <c r="CW642" s="279"/>
      <c r="CX642" s="52"/>
      <c r="CY642" s="98"/>
      <c r="CZ642" s="98"/>
      <c r="DA642" s="279"/>
      <c r="DB642" s="52"/>
      <c r="DC642" s="105"/>
      <c r="DD642" s="98"/>
      <c r="DE642" s="279"/>
      <c r="DF642" s="52"/>
      <c r="DG642" s="105"/>
      <c r="DH642" s="98"/>
      <c r="DI642" s="279"/>
      <c r="DJ642" s="52"/>
      <c r="DK642" s="105"/>
      <c r="DL642" s="98"/>
      <c r="DM642" s="279"/>
      <c r="DN642" s="52"/>
      <c r="DO642" s="105"/>
      <c r="DP642" s="98"/>
      <c r="DQ642" s="279"/>
      <c r="DR642" s="52"/>
      <c r="DS642" s="105"/>
      <c r="DT642" s="98"/>
      <c r="DU642" s="279"/>
      <c r="DV642" s="52"/>
      <c r="DW642" s="105"/>
      <c r="DX642" s="98"/>
      <c r="DY642" s="279"/>
      <c r="DZ642" s="52"/>
      <c r="EA642" s="105"/>
      <c r="EB642" s="98"/>
      <c r="EC642" s="279"/>
      <c r="ED642" s="52"/>
      <c r="EE642" s="105"/>
      <c r="EF642" s="98"/>
      <c r="EG642" s="159"/>
      <c r="EH642" s="277"/>
      <c r="EI642" s="50">
        <f t="shared" si="250"/>
        <v>0</v>
      </c>
      <c r="EJ642" s="103">
        <f t="shared" si="251"/>
        <v>0</v>
      </c>
      <c r="EK642" s="164">
        <f t="shared" si="252"/>
        <v>0</v>
      </c>
      <c r="EL642" s="280">
        <f t="shared" si="253"/>
        <v>0</v>
      </c>
      <c r="EM642" s="63">
        <f t="shared" si="254"/>
        <v>0</v>
      </c>
      <c r="EN642" s="359">
        <f t="shared" si="255"/>
        <v>0</v>
      </c>
      <c r="EO642" s="51">
        <f t="shared" si="256"/>
        <v>0</v>
      </c>
      <c r="EP642" s="361">
        <f t="shared" si="257"/>
        <v>0</v>
      </c>
      <c r="EQ642" s="281"/>
      <c r="ER642" s="277"/>
      <c r="ES642" s="281"/>
      <c r="ET642" s="277"/>
      <c r="EU642" s="281"/>
      <c r="EV642" s="277"/>
      <c r="EW642" s="281"/>
      <c r="EX642" s="277"/>
      <c r="EY642" s="281"/>
      <c r="EZ642" s="277"/>
      <c r="FA642" s="281"/>
      <c r="FB642" s="277"/>
      <c r="FC642" s="281"/>
      <c r="FD642" s="277"/>
      <c r="FE642" s="281"/>
      <c r="FF642" s="277"/>
      <c r="FG642" s="281"/>
      <c r="FH642" s="277"/>
      <c r="FI642" s="281"/>
      <c r="FJ642" s="277"/>
      <c r="FK642" s="50">
        <f t="shared" si="258"/>
        <v>0</v>
      </c>
      <c r="FL642" s="63">
        <f t="shared" si="259"/>
        <v>0</v>
      </c>
      <c r="FM642" s="50">
        <f t="shared" si="241"/>
        <v>558</v>
      </c>
      <c r="FN642" s="360">
        <f t="shared" si="242"/>
        <v>599</v>
      </c>
      <c r="FO642" s="43"/>
      <c r="FP642" s="279"/>
      <c r="FQ642" s="467"/>
      <c r="FR642" s="296"/>
      <c r="FS642" s="98"/>
      <c r="FT642" s="467"/>
      <c r="FU642" s="52"/>
      <c r="FV642" s="296"/>
      <c r="FW642" s="98"/>
      <c r="FX642" s="467"/>
      <c r="FY642" s="52"/>
      <c r="FZ642" s="296"/>
      <c r="GA642" s="98"/>
      <c r="GB642" s="467"/>
      <c r="GC642" s="52"/>
      <c r="GD642" s="296"/>
      <c r="GE642" s="98"/>
      <c r="GF642" s="467"/>
      <c r="GG642" s="52"/>
      <c r="GH642" s="296"/>
      <c r="GI642" s="98"/>
      <c r="GJ642" s="467"/>
      <c r="GK642" s="52"/>
      <c r="GL642" s="296"/>
      <c r="GM642" s="464"/>
      <c r="GN642" s="467"/>
      <c r="GO642" s="52"/>
      <c r="GP642" s="296"/>
      <c r="GQ642" s="464"/>
      <c r="GR642" s="467"/>
      <c r="GS642" s="52"/>
      <c r="GT642" s="296"/>
      <c r="GU642" s="464"/>
      <c r="GV642" s="467"/>
      <c r="GW642" s="52"/>
      <c r="GX642" s="296"/>
      <c r="GY642" s="464"/>
      <c r="GZ642" s="467"/>
      <c r="HA642" s="52"/>
      <c r="HB642" s="296"/>
      <c r="HC642" s="43"/>
    </row>
    <row r="643" spans="1:211" s="85" customFormat="1">
      <c r="A643" s="502" t="s">
        <v>951</v>
      </c>
      <c r="B643" s="315" t="s">
        <v>867</v>
      </c>
      <c r="C643" s="314">
        <v>227304</v>
      </c>
      <c r="D643" s="343">
        <v>9</v>
      </c>
      <c r="E643" s="460">
        <v>225</v>
      </c>
      <c r="F643" s="552">
        <v>240</v>
      </c>
      <c r="G643" s="158"/>
      <c r="H643" s="277"/>
      <c r="I643" s="158">
        <v>298</v>
      </c>
      <c r="J643" s="552">
        <v>282</v>
      </c>
      <c r="K643" s="160">
        <f t="shared" si="243"/>
        <v>0</v>
      </c>
      <c r="L643" s="161">
        <f t="shared" si="236"/>
        <v>0</v>
      </c>
      <c r="M643" s="54"/>
      <c r="N643" s="55"/>
      <c r="O643" s="55"/>
      <c r="P643" s="55"/>
      <c r="Q643" s="162">
        <f t="shared" si="244"/>
        <v>0</v>
      </c>
      <c r="R643" s="277"/>
      <c r="S643" s="277"/>
      <c r="T643" s="277"/>
      <c r="U643" s="277"/>
      <c r="V643" s="97">
        <f t="shared" si="245"/>
        <v>0</v>
      </c>
      <c r="W643" s="279"/>
      <c r="X643" s="52"/>
      <c r="Y643" s="99"/>
      <c r="Z643" s="53"/>
      <c r="AA643" s="228"/>
      <c r="AB643" s="52"/>
      <c r="AC643" s="99"/>
      <c r="AD643" s="53"/>
      <c r="AE643" s="228"/>
      <c r="AF643" s="52"/>
      <c r="AG643" s="99"/>
      <c r="AH643" s="53"/>
      <c r="AI643" s="228"/>
      <c r="AJ643" s="52"/>
      <c r="AK643" s="99"/>
      <c r="AL643" s="53"/>
      <c r="AM643" s="228"/>
      <c r="AN643" s="52"/>
      <c r="AO643" s="99"/>
      <c r="AP643" s="53"/>
      <c r="AQ643" s="50">
        <f t="shared" si="237"/>
        <v>0</v>
      </c>
      <c r="AR643" s="163">
        <f t="shared" si="238"/>
        <v>0</v>
      </c>
      <c r="AS643" s="97">
        <f t="shared" si="239"/>
        <v>0</v>
      </c>
      <c r="AT643" s="278">
        <f t="shared" si="240"/>
        <v>0</v>
      </c>
      <c r="AU643" s="55"/>
      <c r="AV643" s="277"/>
      <c r="AW643" s="279"/>
      <c r="AX643" s="52"/>
      <c r="AY643" s="98"/>
      <c r="AZ643" s="98"/>
      <c r="BA643" s="279"/>
      <c r="BB643" s="52"/>
      <c r="BC643" s="98"/>
      <c r="BD643" s="98"/>
      <c r="BE643" s="279"/>
      <c r="BF643" s="52"/>
      <c r="BG643" s="98"/>
      <c r="BH643" s="98"/>
      <c r="BI643" s="279"/>
      <c r="BJ643" s="52"/>
      <c r="BK643" s="98"/>
      <c r="BL643" s="98"/>
      <c r="BM643" s="279"/>
      <c r="BN643" s="52"/>
      <c r="BO643" s="105"/>
      <c r="BP643" s="98"/>
      <c r="BQ643" s="279"/>
      <c r="BR643" s="52"/>
      <c r="BS643" s="105"/>
      <c r="BT643" s="98"/>
      <c r="BU643" s="279"/>
      <c r="BV643" s="52"/>
      <c r="BW643" s="105"/>
      <c r="BX643" s="98"/>
      <c r="BY643" s="279"/>
      <c r="BZ643" s="52"/>
      <c r="CA643" s="105"/>
      <c r="CB643" s="98"/>
      <c r="CC643" s="279"/>
      <c r="CD643" s="52"/>
      <c r="CE643" s="105"/>
      <c r="CF643" s="98"/>
      <c r="CG643" s="279"/>
      <c r="CH643" s="52"/>
      <c r="CI643" s="105"/>
      <c r="CJ643" s="98"/>
      <c r="CK643" s="281"/>
      <c r="CL643" s="277"/>
      <c r="CM643" s="159"/>
      <c r="CN643" s="277"/>
      <c r="CO643" s="50">
        <f t="shared" si="246"/>
        <v>0</v>
      </c>
      <c r="CP643" s="103">
        <f t="shared" si="247"/>
        <v>0</v>
      </c>
      <c r="CQ643" s="280">
        <f t="shared" si="248"/>
        <v>0</v>
      </c>
      <c r="CR643" s="63">
        <f t="shared" si="249"/>
        <v>0</v>
      </c>
      <c r="CS643" s="279"/>
      <c r="CT643" s="52"/>
      <c r="CU643" s="98"/>
      <c r="CV643" s="98"/>
      <c r="CW643" s="279"/>
      <c r="CX643" s="52"/>
      <c r="CY643" s="98"/>
      <c r="CZ643" s="98"/>
      <c r="DA643" s="279"/>
      <c r="DB643" s="52"/>
      <c r="DC643" s="98"/>
      <c r="DD643" s="98"/>
      <c r="DE643" s="279"/>
      <c r="DF643" s="52"/>
      <c r="DG643" s="98"/>
      <c r="DH643" s="98"/>
      <c r="DI643" s="279"/>
      <c r="DJ643" s="52"/>
      <c r="DK643" s="98"/>
      <c r="DL643" s="98"/>
      <c r="DM643" s="279"/>
      <c r="DN643" s="52"/>
      <c r="DO643" s="105"/>
      <c r="DP643" s="98"/>
      <c r="DQ643" s="279"/>
      <c r="DR643" s="52"/>
      <c r="DS643" s="105"/>
      <c r="DT643" s="98"/>
      <c r="DU643" s="279"/>
      <c r="DV643" s="52"/>
      <c r="DW643" s="105"/>
      <c r="DX643" s="98"/>
      <c r="DY643" s="279"/>
      <c r="DZ643" s="52"/>
      <c r="EA643" s="105"/>
      <c r="EB643" s="98"/>
      <c r="EC643" s="279"/>
      <c r="ED643" s="52"/>
      <c r="EE643" s="105"/>
      <c r="EF643" s="98"/>
      <c r="EG643" s="159"/>
      <c r="EH643" s="277"/>
      <c r="EI643" s="50">
        <f t="shared" si="250"/>
        <v>0</v>
      </c>
      <c r="EJ643" s="103">
        <f t="shared" si="251"/>
        <v>0</v>
      </c>
      <c r="EK643" s="164">
        <f t="shared" si="252"/>
        <v>0</v>
      </c>
      <c r="EL643" s="280">
        <f t="shared" si="253"/>
        <v>0</v>
      </c>
      <c r="EM643" s="63">
        <f t="shared" si="254"/>
        <v>0</v>
      </c>
      <c r="EN643" s="359">
        <f t="shared" si="255"/>
        <v>0</v>
      </c>
      <c r="EO643" s="51">
        <f t="shared" si="256"/>
        <v>0</v>
      </c>
      <c r="EP643" s="361">
        <f t="shared" si="257"/>
        <v>0</v>
      </c>
      <c r="EQ643" s="281"/>
      <c r="ER643" s="277"/>
      <c r="ES643" s="281"/>
      <c r="ET643" s="277"/>
      <c r="EU643" s="281"/>
      <c r="EV643" s="277"/>
      <c r="EW643" s="281"/>
      <c r="EX643" s="277"/>
      <c r="EY643" s="281"/>
      <c r="EZ643" s="277"/>
      <c r="FA643" s="281"/>
      <c r="FB643" s="277"/>
      <c r="FC643" s="281"/>
      <c r="FD643" s="277"/>
      <c r="FE643" s="281"/>
      <c r="FF643" s="277"/>
      <c r="FG643" s="281"/>
      <c r="FH643" s="277"/>
      <c r="FI643" s="281"/>
      <c r="FJ643" s="277"/>
      <c r="FK643" s="50">
        <f t="shared" si="258"/>
        <v>0</v>
      </c>
      <c r="FL643" s="63">
        <f t="shared" si="259"/>
        <v>0</v>
      </c>
      <c r="FM643" s="50">
        <f t="shared" si="241"/>
        <v>523</v>
      </c>
      <c r="FN643" s="360">
        <f t="shared" si="242"/>
        <v>522</v>
      </c>
      <c r="FO643" s="43"/>
      <c r="FP643" s="279"/>
      <c r="FQ643" s="467"/>
      <c r="FR643" s="296"/>
      <c r="FS643" s="98"/>
      <c r="FT643" s="467"/>
      <c r="FU643" s="52"/>
      <c r="FV643" s="296"/>
      <c r="FW643" s="98"/>
      <c r="FX643" s="467"/>
      <c r="FY643" s="52"/>
      <c r="FZ643" s="296"/>
      <c r="GA643" s="98"/>
      <c r="GB643" s="467"/>
      <c r="GC643" s="52"/>
      <c r="GD643" s="296"/>
      <c r="GE643" s="98"/>
      <c r="GF643" s="467"/>
      <c r="GG643" s="52"/>
      <c r="GH643" s="296"/>
      <c r="GI643" s="98"/>
      <c r="GJ643" s="467"/>
      <c r="GK643" s="52"/>
      <c r="GL643" s="296"/>
      <c r="GM643" s="464"/>
      <c r="GN643" s="467"/>
      <c r="GO643" s="52"/>
      <c r="GP643" s="296"/>
      <c r="GQ643" s="464"/>
      <c r="GR643" s="467"/>
      <c r="GS643" s="52"/>
      <c r="GT643" s="296"/>
      <c r="GU643" s="464"/>
      <c r="GV643" s="467"/>
      <c r="GW643" s="52"/>
      <c r="GX643" s="296"/>
      <c r="GY643" s="464"/>
      <c r="GZ643" s="467"/>
      <c r="HA643" s="52"/>
      <c r="HB643" s="296"/>
      <c r="HC643" s="43"/>
    </row>
    <row r="644" spans="1:211" s="85" customFormat="1">
      <c r="A644" s="502" t="s">
        <v>951</v>
      </c>
      <c r="B644" s="315" t="s">
        <v>868</v>
      </c>
      <c r="C644" s="314">
        <v>227401</v>
      </c>
      <c r="D644" s="343">
        <v>9</v>
      </c>
      <c r="E644" s="460">
        <v>242</v>
      </c>
      <c r="F644" s="552">
        <v>310</v>
      </c>
      <c r="G644" s="158"/>
      <c r="H644" s="277"/>
      <c r="I644" s="158">
        <v>322</v>
      </c>
      <c r="J644" s="552">
        <v>381</v>
      </c>
      <c r="K644" s="160">
        <f t="shared" si="243"/>
        <v>0</v>
      </c>
      <c r="L644" s="161">
        <f t="shared" si="236"/>
        <v>0</v>
      </c>
      <c r="M644" s="54"/>
      <c r="N644" s="55"/>
      <c r="O644" s="55"/>
      <c r="P644" s="55"/>
      <c r="Q644" s="162">
        <f t="shared" si="244"/>
        <v>0</v>
      </c>
      <c r="R644" s="277"/>
      <c r="S644" s="277"/>
      <c r="T644" s="277"/>
      <c r="U644" s="277"/>
      <c r="V644" s="97">
        <f t="shared" si="245"/>
        <v>0</v>
      </c>
      <c r="W644" s="279"/>
      <c r="X644" s="52"/>
      <c r="Y644" s="99"/>
      <c r="Z644" s="53"/>
      <c r="AA644" s="228"/>
      <c r="AB644" s="52"/>
      <c r="AC644" s="99"/>
      <c r="AD644" s="53"/>
      <c r="AE644" s="228"/>
      <c r="AF644" s="52"/>
      <c r="AG644" s="99"/>
      <c r="AH644" s="53"/>
      <c r="AI644" s="228"/>
      <c r="AJ644" s="52"/>
      <c r="AK644" s="99"/>
      <c r="AL644" s="53"/>
      <c r="AM644" s="228"/>
      <c r="AN644" s="52"/>
      <c r="AO644" s="99"/>
      <c r="AP644" s="53"/>
      <c r="AQ644" s="50">
        <f t="shared" si="237"/>
        <v>0</v>
      </c>
      <c r="AR644" s="163">
        <f t="shared" si="238"/>
        <v>0</v>
      </c>
      <c r="AS644" s="97">
        <f t="shared" si="239"/>
        <v>0</v>
      </c>
      <c r="AT644" s="278">
        <f t="shared" si="240"/>
        <v>0</v>
      </c>
      <c r="AU644" s="55"/>
      <c r="AV644" s="277"/>
      <c r="AW644" s="279"/>
      <c r="AX644" s="52"/>
      <c r="AY644" s="98"/>
      <c r="AZ644" s="98"/>
      <c r="BA644" s="279"/>
      <c r="BB644" s="52"/>
      <c r="BC644" s="98"/>
      <c r="BD644" s="98"/>
      <c r="BE644" s="279"/>
      <c r="BF644" s="52"/>
      <c r="BG644" s="98"/>
      <c r="BH644" s="98"/>
      <c r="BI644" s="279"/>
      <c r="BJ644" s="52"/>
      <c r="BK644" s="98"/>
      <c r="BL644" s="98"/>
      <c r="BM644" s="279"/>
      <c r="BN644" s="52"/>
      <c r="BO644" s="105"/>
      <c r="BP644" s="98"/>
      <c r="BQ644" s="279"/>
      <c r="BR644" s="52"/>
      <c r="BS644" s="105"/>
      <c r="BT644" s="98"/>
      <c r="BU644" s="279"/>
      <c r="BV644" s="52"/>
      <c r="BW644" s="105"/>
      <c r="BX644" s="98"/>
      <c r="BY644" s="279"/>
      <c r="BZ644" s="52"/>
      <c r="CA644" s="105"/>
      <c r="CB644" s="98"/>
      <c r="CC644" s="279"/>
      <c r="CD644" s="52"/>
      <c r="CE644" s="105"/>
      <c r="CF644" s="98"/>
      <c r="CG644" s="279"/>
      <c r="CH644" s="52"/>
      <c r="CI644" s="105"/>
      <c r="CJ644" s="98"/>
      <c r="CK644" s="281"/>
      <c r="CL644" s="277"/>
      <c r="CM644" s="159"/>
      <c r="CN644" s="277"/>
      <c r="CO644" s="50">
        <f t="shared" si="246"/>
        <v>0</v>
      </c>
      <c r="CP644" s="103">
        <f t="shared" si="247"/>
        <v>0</v>
      </c>
      <c r="CQ644" s="280">
        <f t="shared" si="248"/>
        <v>0</v>
      </c>
      <c r="CR644" s="63">
        <f t="shared" si="249"/>
        <v>0</v>
      </c>
      <c r="CS644" s="279"/>
      <c r="CT644" s="52"/>
      <c r="CU644" s="98"/>
      <c r="CV644" s="98"/>
      <c r="CW644" s="279"/>
      <c r="CX644" s="52"/>
      <c r="CY644" s="98"/>
      <c r="CZ644" s="98"/>
      <c r="DA644" s="279"/>
      <c r="DB644" s="52"/>
      <c r="DC644" s="98"/>
      <c r="DD644" s="98"/>
      <c r="DE644" s="279"/>
      <c r="DF644" s="52"/>
      <c r="DG644" s="98"/>
      <c r="DH644" s="98"/>
      <c r="DI644" s="279"/>
      <c r="DJ644" s="52"/>
      <c r="DK644" s="105"/>
      <c r="DL644" s="98"/>
      <c r="DM644" s="279"/>
      <c r="DN644" s="52"/>
      <c r="DO644" s="105"/>
      <c r="DP644" s="98"/>
      <c r="DQ644" s="279"/>
      <c r="DR644" s="52"/>
      <c r="DS644" s="105"/>
      <c r="DT644" s="98"/>
      <c r="DU644" s="279"/>
      <c r="DV644" s="52"/>
      <c r="DW644" s="105"/>
      <c r="DX644" s="98"/>
      <c r="DY644" s="279"/>
      <c r="DZ644" s="52"/>
      <c r="EA644" s="105"/>
      <c r="EB644" s="98"/>
      <c r="EC644" s="279"/>
      <c r="ED644" s="52"/>
      <c r="EE644" s="105"/>
      <c r="EF644" s="98"/>
      <c r="EG644" s="159"/>
      <c r="EH644" s="277"/>
      <c r="EI644" s="50">
        <f t="shared" si="250"/>
        <v>0</v>
      </c>
      <c r="EJ644" s="103">
        <f t="shared" si="251"/>
        <v>0</v>
      </c>
      <c r="EK644" s="164">
        <f t="shared" si="252"/>
        <v>0</v>
      </c>
      <c r="EL644" s="280">
        <f t="shared" si="253"/>
        <v>0</v>
      </c>
      <c r="EM644" s="63">
        <f t="shared" si="254"/>
        <v>0</v>
      </c>
      <c r="EN644" s="359">
        <f t="shared" si="255"/>
        <v>0</v>
      </c>
      <c r="EO644" s="51">
        <f t="shared" si="256"/>
        <v>0</v>
      </c>
      <c r="EP644" s="361">
        <f t="shared" si="257"/>
        <v>0</v>
      </c>
      <c r="EQ644" s="281"/>
      <c r="ER644" s="277"/>
      <c r="ES644" s="281"/>
      <c r="ET644" s="277"/>
      <c r="EU644" s="281"/>
      <c r="EV644" s="277"/>
      <c r="EW644" s="281"/>
      <c r="EX644" s="277"/>
      <c r="EY644" s="281"/>
      <c r="EZ644" s="277"/>
      <c r="FA644" s="281"/>
      <c r="FB644" s="277"/>
      <c r="FC644" s="281"/>
      <c r="FD644" s="277"/>
      <c r="FE644" s="281"/>
      <c r="FF644" s="277"/>
      <c r="FG644" s="281"/>
      <c r="FH644" s="277"/>
      <c r="FI644" s="281"/>
      <c r="FJ644" s="277"/>
      <c r="FK644" s="50">
        <f t="shared" si="258"/>
        <v>0</v>
      </c>
      <c r="FL644" s="63">
        <f t="shared" si="259"/>
        <v>0</v>
      </c>
      <c r="FM644" s="50">
        <f t="shared" si="241"/>
        <v>564</v>
      </c>
      <c r="FN644" s="360">
        <f t="shared" si="242"/>
        <v>691</v>
      </c>
      <c r="FO644" s="43"/>
      <c r="FP644" s="279"/>
      <c r="FQ644" s="467"/>
      <c r="FR644" s="296"/>
      <c r="FS644" s="98"/>
      <c r="FT644" s="467"/>
      <c r="FU644" s="52"/>
      <c r="FV644" s="296"/>
      <c r="FW644" s="98"/>
      <c r="FX644" s="467"/>
      <c r="FY644" s="52"/>
      <c r="FZ644" s="296"/>
      <c r="GA644" s="98"/>
      <c r="GB644" s="467"/>
      <c r="GC644" s="52"/>
      <c r="GD644" s="296"/>
      <c r="GE644" s="98"/>
      <c r="GF644" s="467"/>
      <c r="GG644" s="52"/>
      <c r="GH644" s="296"/>
      <c r="GI644" s="98"/>
      <c r="GJ644" s="467"/>
      <c r="GK644" s="52"/>
      <c r="GL644" s="296"/>
      <c r="GM644" s="464"/>
      <c r="GN644" s="467"/>
      <c r="GO644" s="52"/>
      <c r="GP644" s="296"/>
      <c r="GQ644" s="464"/>
      <c r="GR644" s="467"/>
      <c r="GS644" s="52"/>
      <c r="GT644" s="296"/>
      <c r="GU644" s="464"/>
      <c r="GV644" s="467"/>
      <c r="GW644" s="52"/>
      <c r="GX644" s="296"/>
      <c r="GY644" s="464"/>
      <c r="GZ644" s="467"/>
      <c r="HA644" s="52"/>
      <c r="HB644" s="296"/>
      <c r="HC644" s="43"/>
    </row>
    <row r="645" spans="1:211" s="85" customFormat="1">
      <c r="A645" s="502" t="s">
        <v>951</v>
      </c>
      <c r="B645" s="315" t="s">
        <v>869</v>
      </c>
      <c r="C645" s="314">
        <v>228316</v>
      </c>
      <c r="D645" s="343">
        <v>9</v>
      </c>
      <c r="E645" s="460">
        <v>184</v>
      </c>
      <c r="F645" s="552">
        <v>200</v>
      </c>
      <c r="G645" s="158"/>
      <c r="H645" s="277"/>
      <c r="I645" s="158">
        <v>428</v>
      </c>
      <c r="J645" s="552">
        <v>448</v>
      </c>
      <c r="K645" s="160">
        <f t="shared" si="243"/>
        <v>0</v>
      </c>
      <c r="L645" s="161">
        <f t="shared" si="236"/>
        <v>0</v>
      </c>
      <c r="M645" s="54"/>
      <c r="N645" s="55"/>
      <c r="O645" s="55"/>
      <c r="P645" s="55"/>
      <c r="Q645" s="162">
        <f t="shared" si="244"/>
        <v>0</v>
      </c>
      <c r="R645" s="277"/>
      <c r="S645" s="277"/>
      <c r="T645" s="277"/>
      <c r="U645" s="277"/>
      <c r="V645" s="97">
        <f t="shared" si="245"/>
        <v>0</v>
      </c>
      <c r="W645" s="279"/>
      <c r="X645" s="52"/>
      <c r="Y645" s="99"/>
      <c r="Z645" s="53"/>
      <c r="AA645" s="228"/>
      <c r="AB645" s="52"/>
      <c r="AC645" s="99"/>
      <c r="AD645" s="53"/>
      <c r="AE645" s="228"/>
      <c r="AF645" s="52"/>
      <c r="AG645" s="99"/>
      <c r="AH645" s="53"/>
      <c r="AI645" s="228"/>
      <c r="AJ645" s="52"/>
      <c r="AK645" s="99"/>
      <c r="AL645" s="53"/>
      <c r="AM645" s="228"/>
      <c r="AN645" s="52"/>
      <c r="AO645" s="99"/>
      <c r="AP645" s="53"/>
      <c r="AQ645" s="50">
        <f t="shared" si="237"/>
        <v>0</v>
      </c>
      <c r="AR645" s="163">
        <f t="shared" si="238"/>
        <v>0</v>
      </c>
      <c r="AS645" s="97">
        <f t="shared" si="239"/>
        <v>0</v>
      </c>
      <c r="AT645" s="278">
        <f t="shared" si="240"/>
        <v>0</v>
      </c>
      <c r="AU645" s="55"/>
      <c r="AV645" s="277"/>
      <c r="AW645" s="279"/>
      <c r="AX645" s="52"/>
      <c r="AY645" s="105"/>
      <c r="AZ645" s="98"/>
      <c r="BA645" s="279"/>
      <c r="BB645" s="52"/>
      <c r="BC645" s="105"/>
      <c r="BD645" s="98"/>
      <c r="BE645" s="279"/>
      <c r="BF645" s="52"/>
      <c r="BG645" s="105"/>
      <c r="BH645" s="98"/>
      <c r="BI645" s="279"/>
      <c r="BJ645" s="52"/>
      <c r="BK645" s="105"/>
      <c r="BL645" s="98"/>
      <c r="BM645" s="279"/>
      <c r="BN645" s="52"/>
      <c r="BO645" s="105"/>
      <c r="BP645" s="98"/>
      <c r="BQ645" s="279"/>
      <c r="BR645" s="52"/>
      <c r="BS645" s="105"/>
      <c r="BT645" s="98"/>
      <c r="BU645" s="279"/>
      <c r="BV645" s="52"/>
      <c r="BW645" s="105"/>
      <c r="BX645" s="98"/>
      <c r="BY645" s="279"/>
      <c r="BZ645" s="52"/>
      <c r="CA645" s="105"/>
      <c r="CB645" s="98"/>
      <c r="CC645" s="279"/>
      <c r="CD645" s="52"/>
      <c r="CE645" s="105"/>
      <c r="CF645" s="98"/>
      <c r="CG645" s="279"/>
      <c r="CH645" s="52"/>
      <c r="CI645" s="105"/>
      <c r="CJ645" s="98"/>
      <c r="CK645" s="281"/>
      <c r="CL645" s="277"/>
      <c r="CM645" s="159"/>
      <c r="CN645" s="277"/>
      <c r="CO645" s="50">
        <f t="shared" si="246"/>
        <v>0</v>
      </c>
      <c r="CP645" s="103">
        <f t="shared" si="247"/>
        <v>0</v>
      </c>
      <c r="CQ645" s="280">
        <f t="shared" si="248"/>
        <v>0</v>
      </c>
      <c r="CR645" s="63">
        <f t="shared" si="249"/>
        <v>0</v>
      </c>
      <c r="CS645" s="279"/>
      <c r="CT645" s="52"/>
      <c r="CU645" s="98"/>
      <c r="CV645" s="98"/>
      <c r="CW645" s="279"/>
      <c r="CX645" s="52"/>
      <c r="CY645" s="105"/>
      <c r="CZ645" s="98"/>
      <c r="DA645" s="279"/>
      <c r="DB645" s="52"/>
      <c r="DC645" s="105"/>
      <c r="DD645" s="98"/>
      <c r="DE645" s="279"/>
      <c r="DF645" s="52"/>
      <c r="DG645" s="105"/>
      <c r="DH645" s="98"/>
      <c r="DI645" s="279"/>
      <c r="DJ645" s="52"/>
      <c r="DK645" s="105"/>
      <c r="DL645" s="98"/>
      <c r="DM645" s="279"/>
      <c r="DN645" s="52"/>
      <c r="DO645" s="105"/>
      <c r="DP645" s="98"/>
      <c r="DQ645" s="279"/>
      <c r="DR645" s="52"/>
      <c r="DS645" s="105"/>
      <c r="DT645" s="98"/>
      <c r="DU645" s="279"/>
      <c r="DV645" s="52"/>
      <c r="DW645" s="105"/>
      <c r="DX645" s="98"/>
      <c r="DY645" s="279"/>
      <c r="DZ645" s="52"/>
      <c r="EA645" s="105"/>
      <c r="EB645" s="98"/>
      <c r="EC645" s="279"/>
      <c r="ED645" s="52"/>
      <c r="EE645" s="105"/>
      <c r="EF645" s="98"/>
      <c r="EG645" s="159"/>
      <c r="EH645" s="277"/>
      <c r="EI645" s="50">
        <f t="shared" si="250"/>
        <v>0</v>
      </c>
      <c r="EJ645" s="103">
        <f t="shared" si="251"/>
        <v>0</v>
      </c>
      <c r="EK645" s="164">
        <f t="shared" si="252"/>
        <v>0</v>
      </c>
      <c r="EL645" s="280">
        <f t="shared" si="253"/>
        <v>0</v>
      </c>
      <c r="EM645" s="63">
        <f t="shared" si="254"/>
        <v>0</v>
      </c>
      <c r="EN645" s="359">
        <f t="shared" si="255"/>
        <v>0</v>
      </c>
      <c r="EO645" s="51">
        <f t="shared" si="256"/>
        <v>0</v>
      </c>
      <c r="EP645" s="361">
        <f t="shared" si="257"/>
        <v>0</v>
      </c>
      <c r="EQ645" s="281"/>
      <c r="ER645" s="277"/>
      <c r="ES645" s="281"/>
      <c r="ET645" s="277"/>
      <c r="EU645" s="281"/>
      <c r="EV645" s="277"/>
      <c r="EW645" s="281"/>
      <c r="EX645" s="277"/>
      <c r="EY645" s="281"/>
      <c r="EZ645" s="277"/>
      <c r="FA645" s="281"/>
      <c r="FB645" s="277"/>
      <c r="FC645" s="281"/>
      <c r="FD645" s="277"/>
      <c r="FE645" s="281"/>
      <c r="FF645" s="277"/>
      <c r="FG645" s="281"/>
      <c r="FH645" s="277"/>
      <c r="FI645" s="281"/>
      <c r="FJ645" s="277"/>
      <c r="FK645" s="50">
        <f t="shared" si="258"/>
        <v>0</v>
      </c>
      <c r="FL645" s="63">
        <f t="shared" si="259"/>
        <v>0</v>
      </c>
      <c r="FM645" s="50">
        <f t="shared" si="241"/>
        <v>612</v>
      </c>
      <c r="FN645" s="360">
        <f t="shared" si="242"/>
        <v>648</v>
      </c>
      <c r="FO645" s="43"/>
      <c r="FP645" s="279"/>
      <c r="FQ645" s="467"/>
      <c r="FR645" s="296"/>
      <c r="FS645" s="98"/>
      <c r="FT645" s="467"/>
      <c r="FU645" s="52"/>
      <c r="FV645" s="296"/>
      <c r="FW645" s="98"/>
      <c r="FX645" s="467"/>
      <c r="FY645" s="52"/>
      <c r="FZ645" s="296"/>
      <c r="GA645" s="98"/>
      <c r="GB645" s="467"/>
      <c r="GC645" s="52"/>
      <c r="GD645" s="296"/>
      <c r="GE645" s="98"/>
      <c r="GF645" s="467"/>
      <c r="GG645" s="52"/>
      <c r="GH645" s="296"/>
      <c r="GI645" s="98"/>
      <c r="GJ645" s="467"/>
      <c r="GK645" s="52"/>
      <c r="GL645" s="296"/>
      <c r="GM645" s="464"/>
      <c r="GN645" s="467"/>
      <c r="GO645" s="52"/>
      <c r="GP645" s="296"/>
      <c r="GQ645" s="464"/>
      <c r="GR645" s="467"/>
      <c r="GS645" s="52"/>
      <c r="GT645" s="296"/>
      <c r="GU645" s="464"/>
      <c r="GV645" s="467"/>
      <c r="GW645" s="52"/>
      <c r="GX645" s="296"/>
      <c r="GY645" s="464"/>
      <c r="GZ645" s="467"/>
      <c r="HA645" s="52"/>
      <c r="HB645" s="296"/>
      <c r="HC645" s="43"/>
    </row>
    <row r="646" spans="1:211" s="85" customFormat="1">
      <c r="A646" s="502" t="s">
        <v>951</v>
      </c>
      <c r="B646" s="315" t="s">
        <v>870</v>
      </c>
      <c r="C646" s="314">
        <v>228608</v>
      </c>
      <c r="D646" s="343">
        <v>9</v>
      </c>
      <c r="E646" s="460">
        <v>146</v>
      </c>
      <c r="F646" s="552">
        <v>203</v>
      </c>
      <c r="G646" s="158"/>
      <c r="H646" s="277"/>
      <c r="I646" s="158">
        <v>320</v>
      </c>
      <c r="J646" s="552">
        <v>318</v>
      </c>
      <c r="K646" s="160">
        <f t="shared" si="243"/>
        <v>0</v>
      </c>
      <c r="L646" s="161">
        <f t="shared" si="236"/>
        <v>0</v>
      </c>
      <c r="M646" s="54"/>
      <c r="N646" s="55"/>
      <c r="O646" s="55"/>
      <c r="P646" s="55"/>
      <c r="Q646" s="162">
        <f t="shared" si="244"/>
        <v>0</v>
      </c>
      <c r="R646" s="277"/>
      <c r="S646" s="277"/>
      <c r="T646" s="277"/>
      <c r="U646" s="277"/>
      <c r="V646" s="97">
        <f t="shared" si="245"/>
        <v>0</v>
      </c>
      <c r="W646" s="279"/>
      <c r="X646" s="52"/>
      <c r="Y646" s="99"/>
      <c r="Z646" s="53"/>
      <c r="AA646" s="228"/>
      <c r="AB646" s="52"/>
      <c r="AC646" s="99"/>
      <c r="AD646" s="53"/>
      <c r="AE646" s="228"/>
      <c r="AF646" s="52"/>
      <c r="AG646" s="99"/>
      <c r="AH646" s="53"/>
      <c r="AI646" s="228"/>
      <c r="AJ646" s="52"/>
      <c r="AK646" s="99"/>
      <c r="AL646" s="53"/>
      <c r="AM646" s="228"/>
      <c r="AN646" s="52"/>
      <c r="AO646" s="99"/>
      <c r="AP646" s="53"/>
      <c r="AQ646" s="50">
        <f t="shared" si="237"/>
        <v>0</v>
      </c>
      <c r="AR646" s="163">
        <f t="shared" si="238"/>
        <v>0</v>
      </c>
      <c r="AS646" s="97">
        <f t="shared" si="239"/>
        <v>0</v>
      </c>
      <c r="AT646" s="278">
        <f t="shared" si="240"/>
        <v>0</v>
      </c>
      <c r="AU646" s="55"/>
      <c r="AV646" s="277"/>
      <c r="AW646" s="279"/>
      <c r="AX646" s="52"/>
      <c r="AY646" s="98"/>
      <c r="AZ646" s="98"/>
      <c r="BA646" s="279"/>
      <c r="BB646" s="52"/>
      <c r="BC646" s="98"/>
      <c r="BD646" s="98"/>
      <c r="BE646" s="279"/>
      <c r="BF646" s="52"/>
      <c r="BG646" s="98"/>
      <c r="BH646" s="98"/>
      <c r="BI646" s="279"/>
      <c r="BJ646" s="52"/>
      <c r="BK646" s="105"/>
      <c r="BL646" s="98"/>
      <c r="BM646" s="279"/>
      <c r="BN646" s="52"/>
      <c r="BO646" s="105"/>
      <c r="BP646" s="98"/>
      <c r="BQ646" s="279"/>
      <c r="BR646" s="52"/>
      <c r="BS646" s="105"/>
      <c r="BT646" s="98"/>
      <c r="BU646" s="279"/>
      <c r="BV646" s="52"/>
      <c r="BW646" s="105"/>
      <c r="BX646" s="98"/>
      <c r="BY646" s="279"/>
      <c r="BZ646" s="52"/>
      <c r="CA646" s="105"/>
      <c r="CB646" s="98"/>
      <c r="CC646" s="279"/>
      <c r="CD646" s="52"/>
      <c r="CE646" s="105"/>
      <c r="CF646" s="98"/>
      <c r="CG646" s="279"/>
      <c r="CH646" s="52"/>
      <c r="CI646" s="105"/>
      <c r="CJ646" s="98"/>
      <c r="CK646" s="281"/>
      <c r="CL646" s="277"/>
      <c r="CM646" s="159"/>
      <c r="CN646" s="277"/>
      <c r="CO646" s="50">
        <f t="shared" si="246"/>
        <v>0</v>
      </c>
      <c r="CP646" s="103">
        <f t="shared" si="247"/>
        <v>0</v>
      </c>
      <c r="CQ646" s="280">
        <f t="shared" si="248"/>
        <v>0</v>
      </c>
      <c r="CR646" s="63">
        <f t="shared" si="249"/>
        <v>0</v>
      </c>
      <c r="CS646" s="279"/>
      <c r="CT646" s="52"/>
      <c r="CU646" s="98"/>
      <c r="CV646" s="98"/>
      <c r="CW646" s="279"/>
      <c r="CX646" s="52"/>
      <c r="CY646" s="98"/>
      <c r="CZ646" s="98"/>
      <c r="DA646" s="279"/>
      <c r="DB646" s="52"/>
      <c r="DC646" s="98"/>
      <c r="DD646" s="98"/>
      <c r="DE646" s="279"/>
      <c r="DF646" s="52"/>
      <c r="DG646" s="105"/>
      <c r="DH646" s="98"/>
      <c r="DI646" s="279"/>
      <c r="DJ646" s="52"/>
      <c r="DK646" s="105"/>
      <c r="DL646" s="98"/>
      <c r="DM646" s="279"/>
      <c r="DN646" s="52"/>
      <c r="DO646" s="105"/>
      <c r="DP646" s="98"/>
      <c r="DQ646" s="279"/>
      <c r="DR646" s="52"/>
      <c r="DS646" s="105"/>
      <c r="DT646" s="98"/>
      <c r="DU646" s="279"/>
      <c r="DV646" s="52"/>
      <c r="DW646" s="105"/>
      <c r="DX646" s="98"/>
      <c r="DY646" s="279"/>
      <c r="DZ646" s="52"/>
      <c r="EA646" s="105"/>
      <c r="EB646" s="98"/>
      <c r="EC646" s="279"/>
      <c r="ED646" s="52"/>
      <c r="EE646" s="105"/>
      <c r="EF646" s="98"/>
      <c r="EG646" s="159"/>
      <c r="EH646" s="277"/>
      <c r="EI646" s="50">
        <f t="shared" si="250"/>
        <v>0</v>
      </c>
      <c r="EJ646" s="103">
        <f t="shared" si="251"/>
        <v>0</v>
      </c>
      <c r="EK646" s="164">
        <f t="shared" si="252"/>
        <v>0</v>
      </c>
      <c r="EL646" s="280">
        <f t="shared" si="253"/>
        <v>0</v>
      </c>
      <c r="EM646" s="63">
        <f t="shared" si="254"/>
        <v>0</v>
      </c>
      <c r="EN646" s="359">
        <f t="shared" si="255"/>
        <v>0</v>
      </c>
      <c r="EO646" s="51">
        <f t="shared" si="256"/>
        <v>0</v>
      </c>
      <c r="EP646" s="361">
        <f t="shared" si="257"/>
        <v>0</v>
      </c>
      <c r="EQ646" s="281"/>
      <c r="ER646" s="277"/>
      <c r="ES646" s="281"/>
      <c r="ET646" s="277"/>
      <c r="EU646" s="281"/>
      <c r="EV646" s="277"/>
      <c r="EW646" s="281"/>
      <c r="EX646" s="277"/>
      <c r="EY646" s="281"/>
      <c r="EZ646" s="277"/>
      <c r="FA646" s="281"/>
      <c r="FB646" s="277"/>
      <c r="FC646" s="281"/>
      <c r="FD646" s="277"/>
      <c r="FE646" s="281"/>
      <c r="FF646" s="277"/>
      <c r="FG646" s="281"/>
      <c r="FH646" s="277"/>
      <c r="FI646" s="281"/>
      <c r="FJ646" s="277"/>
      <c r="FK646" s="50">
        <f t="shared" si="258"/>
        <v>0</v>
      </c>
      <c r="FL646" s="63">
        <f t="shared" si="259"/>
        <v>0</v>
      </c>
      <c r="FM646" s="50">
        <f t="shared" si="241"/>
        <v>466</v>
      </c>
      <c r="FN646" s="360">
        <f t="shared" si="242"/>
        <v>521</v>
      </c>
      <c r="FO646" s="43"/>
      <c r="FP646" s="279"/>
      <c r="FQ646" s="467"/>
      <c r="FR646" s="296"/>
      <c r="FS646" s="98"/>
      <c r="FT646" s="467"/>
      <c r="FU646" s="52"/>
      <c r="FV646" s="296"/>
      <c r="FW646" s="98"/>
      <c r="FX646" s="467"/>
      <c r="FY646" s="52"/>
      <c r="FZ646" s="296"/>
      <c r="GA646" s="98"/>
      <c r="GB646" s="467"/>
      <c r="GC646" s="52"/>
      <c r="GD646" s="296"/>
      <c r="GE646" s="98"/>
      <c r="GF646" s="467"/>
      <c r="GG646" s="52"/>
      <c r="GH646" s="296"/>
      <c r="GI646" s="98"/>
      <c r="GJ646" s="467"/>
      <c r="GK646" s="52"/>
      <c r="GL646" s="296"/>
      <c r="GM646" s="464"/>
      <c r="GN646" s="467"/>
      <c r="GO646" s="52"/>
      <c r="GP646" s="296"/>
      <c r="GQ646" s="464"/>
      <c r="GR646" s="467"/>
      <c r="GS646" s="52"/>
      <c r="GT646" s="296"/>
      <c r="GU646" s="464"/>
      <c r="GV646" s="467"/>
      <c r="GW646" s="52"/>
      <c r="GX646" s="296"/>
      <c r="GY646" s="464"/>
      <c r="GZ646" s="467"/>
      <c r="HA646" s="52"/>
      <c r="HB646" s="296"/>
      <c r="HC646" s="43"/>
    </row>
    <row r="647" spans="1:211" s="85" customFormat="1">
      <c r="A647" s="502" t="s">
        <v>951</v>
      </c>
      <c r="B647" s="315" t="s">
        <v>871</v>
      </c>
      <c r="C647" s="314">
        <v>228699</v>
      </c>
      <c r="D647" s="343">
        <v>9</v>
      </c>
      <c r="E647" s="460">
        <v>375</v>
      </c>
      <c r="F647" s="552">
        <v>524</v>
      </c>
      <c r="G647" s="158"/>
      <c r="H647" s="277"/>
      <c r="I647" s="158">
        <v>456</v>
      </c>
      <c r="J647" s="552">
        <v>430</v>
      </c>
      <c r="K647" s="160">
        <f t="shared" si="243"/>
        <v>0</v>
      </c>
      <c r="L647" s="161">
        <f t="shared" si="236"/>
        <v>0</v>
      </c>
      <c r="M647" s="54"/>
      <c r="N647" s="55"/>
      <c r="O647" s="55"/>
      <c r="P647" s="55"/>
      <c r="Q647" s="162">
        <f t="shared" si="244"/>
        <v>0</v>
      </c>
      <c r="R647" s="277"/>
      <c r="S647" s="277"/>
      <c r="T647" s="277"/>
      <c r="U647" s="277"/>
      <c r="V647" s="97">
        <f t="shared" si="245"/>
        <v>0</v>
      </c>
      <c r="W647" s="279"/>
      <c r="X647" s="52"/>
      <c r="Y647" s="99"/>
      <c r="Z647" s="53"/>
      <c r="AA647" s="228"/>
      <c r="AB647" s="52"/>
      <c r="AC647" s="99"/>
      <c r="AD647" s="53"/>
      <c r="AE647" s="228"/>
      <c r="AF647" s="52"/>
      <c r="AG647" s="99"/>
      <c r="AH647" s="53"/>
      <c r="AI647" s="228"/>
      <c r="AJ647" s="52"/>
      <c r="AK647" s="99"/>
      <c r="AL647" s="53"/>
      <c r="AM647" s="228"/>
      <c r="AN647" s="52"/>
      <c r="AO647" s="99"/>
      <c r="AP647" s="53"/>
      <c r="AQ647" s="50">
        <f t="shared" si="237"/>
        <v>0</v>
      </c>
      <c r="AR647" s="163">
        <f t="shared" si="238"/>
        <v>0</v>
      </c>
      <c r="AS647" s="97">
        <f t="shared" si="239"/>
        <v>0</v>
      </c>
      <c r="AT647" s="278">
        <f t="shared" si="240"/>
        <v>0</v>
      </c>
      <c r="AU647" s="55"/>
      <c r="AV647" s="277"/>
      <c r="AW647" s="279"/>
      <c r="AX647" s="52"/>
      <c r="AY647" s="98"/>
      <c r="AZ647" s="98"/>
      <c r="BA647" s="279"/>
      <c r="BB647" s="52"/>
      <c r="BC647" s="98"/>
      <c r="BD647" s="98"/>
      <c r="BE647" s="279"/>
      <c r="BF647" s="52"/>
      <c r="BG647" s="105"/>
      <c r="BH647" s="98"/>
      <c r="BI647" s="279"/>
      <c r="BJ647" s="52"/>
      <c r="BK647" s="105"/>
      <c r="BL647" s="98"/>
      <c r="BM647" s="279"/>
      <c r="BN647" s="52"/>
      <c r="BO647" s="105"/>
      <c r="BP647" s="98"/>
      <c r="BQ647" s="279"/>
      <c r="BR647" s="52"/>
      <c r="BS647" s="105"/>
      <c r="BT647" s="98"/>
      <c r="BU647" s="279"/>
      <c r="BV647" s="52"/>
      <c r="BW647" s="105"/>
      <c r="BX647" s="98"/>
      <c r="BY647" s="279"/>
      <c r="BZ647" s="52"/>
      <c r="CA647" s="105"/>
      <c r="CB647" s="98"/>
      <c r="CC647" s="279"/>
      <c r="CD647" s="52"/>
      <c r="CE647" s="105"/>
      <c r="CF647" s="98"/>
      <c r="CG647" s="279"/>
      <c r="CH647" s="52"/>
      <c r="CI647" s="105"/>
      <c r="CJ647" s="98"/>
      <c r="CK647" s="281"/>
      <c r="CL647" s="277"/>
      <c r="CM647" s="159"/>
      <c r="CN647" s="277"/>
      <c r="CO647" s="50">
        <f t="shared" si="246"/>
        <v>0</v>
      </c>
      <c r="CP647" s="103">
        <f t="shared" si="247"/>
        <v>0</v>
      </c>
      <c r="CQ647" s="280">
        <f t="shared" si="248"/>
        <v>0</v>
      </c>
      <c r="CR647" s="63">
        <f t="shared" si="249"/>
        <v>0</v>
      </c>
      <c r="CS647" s="279"/>
      <c r="CT647" s="52"/>
      <c r="CU647" s="98"/>
      <c r="CV647" s="98"/>
      <c r="CW647" s="279"/>
      <c r="CX647" s="52"/>
      <c r="CY647" s="98"/>
      <c r="CZ647" s="98"/>
      <c r="DA647" s="279"/>
      <c r="DB647" s="52"/>
      <c r="DC647" s="98"/>
      <c r="DD647" s="98"/>
      <c r="DE647" s="279"/>
      <c r="DF647" s="52"/>
      <c r="DG647" s="98"/>
      <c r="DH647" s="98"/>
      <c r="DI647" s="279"/>
      <c r="DJ647" s="52"/>
      <c r="DK647" s="105"/>
      <c r="DL647" s="98"/>
      <c r="DM647" s="279"/>
      <c r="DN647" s="52"/>
      <c r="DO647" s="105"/>
      <c r="DP647" s="98"/>
      <c r="DQ647" s="279"/>
      <c r="DR647" s="52"/>
      <c r="DS647" s="105"/>
      <c r="DT647" s="98"/>
      <c r="DU647" s="279"/>
      <c r="DV647" s="52"/>
      <c r="DW647" s="105"/>
      <c r="DX647" s="98"/>
      <c r="DY647" s="279"/>
      <c r="DZ647" s="52"/>
      <c r="EA647" s="105"/>
      <c r="EB647" s="98"/>
      <c r="EC647" s="279"/>
      <c r="ED647" s="52"/>
      <c r="EE647" s="105"/>
      <c r="EF647" s="98"/>
      <c r="EG647" s="159"/>
      <c r="EH647" s="277"/>
      <c r="EI647" s="50">
        <f t="shared" si="250"/>
        <v>0</v>
      </c>
      <c r="EJ647" s="103">
        <f t="shared" si="251"/>
        <v>0</v>
      </c>
      <c r="EK647" s="164">
        <f t="shared" si="252"/>
        <v>0</v>
      </c>
      <c r="EL647" s="280">
        <f t="shared" si="253"/>
        <v>0</v>
      </c>
      <c r="EM647" s="63">
        <f t="shared" si="254"/>
        <v>0</v>
      </c>
      <c r="EN647" s="359">
        <f t="shared" si="255"/>
        <v>0</v>
      </c>
      <c r="EO647" s="51">
        <f t="shared" si="256"/>
        <v>0</v>
      </c>
      <c r="EP647" s="361">
        <f t="shared" si="257"/>
        <v>0</v>
      </c>
      <c r="EQ647" s="281"/>
      <c r="ER647" s="277"/>
      <c r="ES647" s="281"/>
      <c r="ET647" s="277"/>
      <c r="EU647" s="281"/>
      <c r="EV647" s="277"/>
      <c r="EW647" s="281"/>
      <c r="EX647" s="277"/>
      <c r="EY647" s="281"/>
      <c r="EZ647" s="277"/>
      <c r="FA647" s="281"/>
      <c r="FB647" s="277"/>
      <c r="FC647" s="281"/>
      <c r="FD647" s="277"/>
      <c r="FE647" s="281"/>
      <c r="FF647" s="277"/>
      <c r="FG647" s="281"/>
      <c r="FH647" s="277"/>
      <c r="FI647" s="281"/>
      <c r="FJ647" s="277"/>
      <c r="FK647" s="50">
        <f t="shared" si="258"/>
        <v>0</v>
      </c>
      <c r="FL647" s="63">
        <f t="shared" si="259"/>
        <v>0</v>
      </c>
      <c r="FM647" s="50">
        <f t="shared" si="241"/>
        <v>831</v>
      </c>
      <c r="FN647" s="360">
        <f t="shared" si="242"/>
        <v>954</v>
      </c>
      <c r="FO647" s="43"/>
      <c r="FP647" s="279"/>
      <c r="FQ647" s="467"/>
      <c r="FR647" s="296"/>
      <c r="FS647" s="98"/>
      <c r="FT647" s="467"/>
      <c r="FU647" s="52"/>
      <c r="FV647" s="296"/>
      <c r="FW647" s="98"/>
      <c r="FX647" s="467"/>
      <c r="FY647" s="52"/>
      <c r="FZ647" s="296"/>
      <c r="GA647" s="98"/>
      <c r="GB647" s="467"/>
      <c r="GC647" s="52"/>
      <c r="GD647" s="296"/>
      <c r="GE647" s="98"/>
      <c r="GF647" s="467"/>
      <c r="GG647" s="52"/>
      <c r="GH647" s="296"/>
      <c r="GI647" s="98"/>
      <c r="GJ647" s="467"/>
      <c r="GK647" s="52"/>
      <c r="GL647" s="296"/>
      <c r="GM647" s="464"/>
      <c r="GN647" s="467"/>
      <c r="GO647" s="52"/>
      <c r="GP647" s="296"/>
      <c r="GQ647" s="464"/>
      <c r="GR647" s="467"/>
      <c r="GS647" s="52"/>
      <c r="GT647" s="296"/>
      <c r="GU647" s="464"/>
      <c r="GV647" s="467"/>
      <c r="GW647" s="52"/>
      <c r="GX647" s="296"/>
      <c r="GY647" s="464"/>
      <c r="GZ647" s="467"/>
      <c r="HA647" s="52"/>
      <c r="HB647" s="296"/>
      <c r="HC647" s="43"/>
    </row>
    <row r="648" spans="1:211" s="85" customFormat="1">
      <c r="A648" s="502" t="s">
        <v>951</v>
      </c>
      <c r="B648" s="315" t="s">
        <v>872</v>
      </c>
      <c r="C648" s="314">
        <v>229319</v>
      </c>
      <c r="D648" s="343">
        <v>9</v>
      </c>
      <c r="E648" s="460">
        <v>153</v>
      </c>
      <c r="F648" s="552">
        <v>131</v>
      </c>
      <c r="G648" s="158"/>
      <c r="H648" s="277"/>
      <c r="I648" s="158">
        <v>316</v>
      </c>
      <c r="J648" s="552">
        <v>342</v>
      </c>
      <c r="K648" s="160">
        <f t="shared" si="243"/>
        <v>0</v>
      </c>
      <c r="L648" s="161">
        <f t="shared" si="236"/>
        <v>0</v>
      </c>
      <c r="M648" s="54"/>
      <c r="N648" s="55"/>
      <c r="O648" s="55"/>
      <c r="P648" s="55"/>
      <c r="Q648" s="162">
        <f t="shared" si="244"/>
        <v>0</v>
      </c>
      <c r="R648" s="277"/>
      <c r="S648" s="277"/>
      <c r="T648" s="277"/>
      <c r="U648" s="277"/>
      <c r="V648" s="97">
        <f t="shared" si="245"/>
        <v>0</v>
      </c>
      <c r="W648" s="279"/>
      <c r="X648" s="52"/>
      <c r="Y648" s="99"/>
      <c r="Z648" s="53"/>
      <c r="AA648" s="228"/>
      <c r="AB648" s="52"/>
      <c r="AC648" s="99"/>
      <c r="AD648" s="53"/>
      <c r="AE648" s="228"/>
      <c r="AF648" s="52"/>
      <c r="AG648" s="99"/>
      <c r="AH648" s="53"/>
      <c r="AI648" s="228"/>
      <c r="AJ648" s="52"/>
      <c r="AK648" s="99"/>
      <c r="AL648" s="53"/>
      <c r="AM648" s="228"/>
      <c r="AN648" s="52"/>
      <c r="AO648" s="99"/>
      <c r="AP648" s="53"/>
      <c r="AQ648" s="50">
        <f t="shared" si="237"/>
        <v>0</v>
      </c>
      <c r="AR648" s="163">
        <f t="shared" si="238"/>
        <v>0</v>
      </c>
      <c r="AS648" s="97">
        <f t="shared" si="239"/>
        <v>0</v>
      </c>
      <c r="AT648" s="278">
        <f t="shared" si="240"/>
        <v>0</v>
      </c>
      <c r="AU648" s="55"/>
      <c r="AV648" s="277"/>
      <c r="AW648" s="279"/>
      <c r="AX648" s="52"/>
      <c r="AY648" s="105"/>
      <c r="AZ648" s="98"/>
      <c r="BA648" s="279"/>
      <c r="BB648" s="52"/>
      <c r="BC648" s="105"/>
      <c r="BD648" s="98"/>
      <c r="BE648" s="279"/>
      <c r="BF648" s="52"/>
      <c r="BG648" s="105"/>
      <c r="BH648" s="98"/>
      <c r="BI648" s="279"/>
      <c r="BJ648" s="52"/>
      <c r="BK648" s="105"/>
      <c r="BL648" s="98"/>
      <c r="BM648" s="279"/>
      <c r="BN648" s="52"/>
      <c r="BO648" s="105"/>
      <c r="BP648" s="98"/>
      <c r="BQ648" s="279"/>
      <c r="BR648" s="52"/>
      <c r="BS648" s="105"/>
      <c r="BT648" s="98"/>
      <c r="BU648" s="279"/>
      <c r="BV648" s="52"/>
      <c r="BW648" s="105"/>
      <c r="BX648" s="98"/>
      <c r="BY648" s="279"/>
      <c r="BZ648" s="52"/>
      <c r="CA648" s="105"/>
      <c r="CB648" s="98"/>
      <c r="CC648" s="279"/>
      <c r="CD648" s="52"/>
      <c r="CE648" s="105"/>
      <c r="CF648" s="98"/>
      <c r="CG648" s="279"/>
      <c r="CH648" s="52"/>
      <c r="CI648" s="105"/>
      <c r="CJ648" s="98"/>
      <c r="CK648" s="281"/>
      <c r="CL648" s="277"/>
      <c r="CM648" s="159"/>
      <c r="CN648" s="277"/>
      <c r="CO648" s="50">
        <f t="shared" si="246"/>
        <v>0</v>
      </c>
      <c r="CP648" s="103">
        <f t="shared" si="247"/>
        <v>0</v>
      </c>
      <c r="CQ648" s="280">
        <f t="shared" si="248"/>
        <v>0</v>
      </c>
      <c r="CR648" s="63">
        <f t="shared" si="249"/>
        <v>0</v>
      </c>
      <c r="CS648" s="279"/>
      <c r="CT648" s="52"/>
      <c r="CU648" s="105"/>
      <c r="CV648" s="98"/>
      <c r="CW648" s="279"/>
      <c r="CX648" s="52"/>
      <c r="CY648" s="105"/>
      <c r="CZ648" s="98"/>
      <c r="DA648" s="279"/>
      <c r="DB648" s="52"/>
      <c r="DC648" s="105"/>
      <c r="DD648" s="98"/>
      <c r="DE648" s="279"/>
      <c r="DF648" s="52"/>
      <c r="DG648" s="105"/>
      <c r="DH648" s="98"/>
      <c r="DI648" s="279"/>
      <c r="DJ648" s="52"/>
      <c r="DK648" s="105"/>
      <c r="DL648" s="98"/>
      <c r="DM648" s="279"/>
      <c r="DN648" s="52"/>
      <c r="DO648" s="105"/>
      <c r="DP648" s="98"/>
      <c r="DQ648" s="279"/>
      <c r="DR648" s="52"/>
      <c r="DS648" s="105"/>
      <c r="DT648" s="98"/>
      <c r="DU648" s="279"/>
      <c r="DV648" s="52"/>
      <c r="DW648" s="105"/>
      <c r="DX648" s="98"/>
      <c r="DY648" s="279"/>
      <c r="DZ648" s="52"/>
      <c r="EA648" s="105"/>
      <c r="EB648" s="98"/>
      <c r="EC648" s="279"/>
      <c r="ED648" s="52"/>
      <c r="EE648" s="105"/>
      <c r="EF648" s="98"/>
      <c r="EG648" s="159"/>
      <c r="EH648" s="277"/>
      <c r="EI648" s="50">
        <f t="shared" si="250"/>
        <v>0</v>
      </c>
      <c r="EJ648" s="103">
        <f t="shared" si="251"/>
        <v>0</v>
      </c>
      <c r="EK648" s="164">
        <f t="shared" si="252"/>
        <v>0</v>
      </c>
      <c r="EL648" s="280">
        <f t="shared" si="253"/>
        <v>0</v>
      </c>
      <c r="EM648" s="63">
        <f t="shared" si="254"/>
        <v>0</v>
      </c>
      <c r="EN648" s="359">
        <f t="shared" si="255"/>
        <v>0</v>
      </c>
      <c r="EO648" s="51">
        <f t="shared" si="256"/>
        <v>0</v>
      </c>
      <c r="EP648" s="361">
        <f t="shared" si="257"/>
        <v>0</v>
      </c>
      <c r="EQ648" s="281"/>
      <c r="ER648" s="277"/>
      <c r="ES648" s="281"/>
      <c r="ET648" s="277"/>
      <c r="EU648" s="281"/>
      <c r="EV648" s="277"/>
      <c r="EW648" s="281"/>
      <c r="EX648" s="277"/>
      <c r="EY648" s="281"/>
      <c r="EZ648" s="277"/>
      <c r="FA648" s="281"/>
      <c r="FB648" s="277"/>
      <c r="FC648" s="281"/>
      <c r="FD648" s="277"/>
      <c r="FE648" s="281"/>
      <c r="FF648" s="277"/>
      <c r="FG648" s="281"/>
      <c r="FH648" s="277"/>
      <c r="FI648" s="281"/>
      <c r="FJ648" s="277"/>
      <c r="FK648" s="50">
        <f t="shared" si="258"/>
        <v>0</v>
      </c>
      <c r="FL648" s="63">
        <f t="shared" si="259"/>
        <v>0</v>
      </c>
      <c r="FM648" s="50">
        <f t="shared" si="241"/>
        <v>469</v>
      </c>
      <c r="FN648" s="360">
        <f t="shared" si="242"/>
        <v>473</v>
      </c>
      <c r="FO648" s="43"/>
      <c r="FP648" s="279"/>
      <c r="FQ648" s="467"/>
      <c r="FR648" s="296"/>
      <c r="FS648" s="98"/>
      <c r="FT648" s="467"/>
      <c r="FU648" s="52"/>
      <c r="FV648" s="296"/>
      <c r="FW648" s="98"/>
      <c r="FX648" s="467"/>
      <c r="FY648" s="52"/>
      <c r="FZ648" s="296"/>
      <c r="GA648" s="98"/>
      <c r="GB648" s="467"/>
      <c r="GC648" s="52"/>
      <c r="GD648" s="296"/>
      <c r="GE648" s="98"/>
      <c r="GF648" s="467"/>
      <c r="GG648" s="52"/>
      <c r="GH648" s="296"/>
      <c r="GI648" s="98"/>
      <c r="GJ648" s="467"/>
      <c r="GK648" s="52"/>
      <c r="GL648" s="296"/>
      <c r="GM648" s="464"/>
      <c r="GN648" s="467"/>
      <c r="GO648" s="52"/>
      <c r="GP648" s="296"/>
      <c r="GQ648" s="464"/>
      <c r="GR648" s="467"/>
      <c r="GS648" s="52"/>
      <c r="GT648" s="296"/>
      <c r="GU648" s="464"/>
      <c r="GV648" s="467"/>
      <c r="GW648" s="52"/>
      <c r="GX648" s="296"/>
      <c r="GY648" s="464"/>
      <c r="GZ648" s="467"/>
      <c r="HA648" s="52"/>
      <c r="HB648" s="296"/>
      <c r="HC648" s="43"/>
    </row>
    <row r="649" spans="1:211" s="85" customFormat="1">
      <c r="A649" s="502" t="s">
        <v>951</v>
      </c>
      <c r="B649" s="315" t="s">
        <v>873</v>
      </c>
      <c r="C649" s="314">
        <v>228680</v>
      </c>
      <c r="D649" s="343">
        <v>9</v>
      </c>
      <c r="E649" s="460">
        <v>310</v>
      </c>
      <c r="F649" s="552">
        <v>320</v>
      </c>
      <c r="G649" s="158"/>
      <c r="H649" s="277"/>
      <c r="I649" s="158">
        <v>600</v>
      </c>
      <c r="J649" s="552">
        <v>690</v>
      </c>
      <c r="K649" s="160">
        <f t="shared" si="243"/>
        <v>0</v>
      </c>
      <c r="L649" s="161">
        <f t="shared" si="236"/>
        <v>0</v>
      </c>
      <c r="M649" s="54"/>
      <c r="N649" s="55"/>
      <c r="O649" s="55"/>
      <c r="P649" s="55"/>
      <c r="Q649" s="162">
        <f t="shared" si="244"/>
        <v>0</v>
      </c>
      <c r="R649" s="277"/>
      <c r="S649" s="277"/>
      <c r="T649" s="277"/>
      <c r="U649" s="277"/>
      <c r="V649" s="97">
        <f t="shared" si="245"/>
        <v>0</v>
      </c>
      <c r="W649" s="279"/>
      <c r="X649" s="52"/>
      <c r="Y649" s="99"/>
      <c r="Z649" s="53"/>
      <c r="AA649" s="228"/>
      <c r="AB649" s="52"/>
      <c r="AC649" s="99"/>
      <c r="AD649" s="53"/>
      <c r="AE649" s="228"/>
      <c r="AF649" s="52"/>
      <c r="AG649" s="99"/>
      <c r="AH649" s="53"/>
      <c r="AI649" s="228"/>
      <c r="AJ649" s="52"/>
      <c r="AK649" s="99"/>
      <c r="AL649" s="53"/>
      <c r="AM649" s="228"/>
      <c r="AN649" s="52"/>
      <c r="AO649" s="99"/>
      <c r="AP649" s="53"/>
      <c r="AQ649" s="50">
        <f t="shared" si="237"/>
        <v>0</v>
      </c>
      <c r="AR649" s="163">
        <f t="shared" si="238"/>
        <v>0</v>
      </c>
      <c r="AS649" s="97">
        <f t="shared" si="239"/>
        <v>0</v>
      </c>
      <c r="AT649" s="278">
        <f t="shared" si="240"/>
        <v>0</v>
      </c>
      <c r="AU649" s="55"/>
      <c r="AV649" s="277"/>
      <c r="AW649" s="279"/>
      <c r="AX649" s="52"/>
      <c r="AY649" s="105"/>
      <c r="AZ649" s="98"/>
      <c r="BA649" s="279"/>
      <c r="BB649" s="52"/>
      <c r="BC649" s="105"/>
      <c r="BD649" s="98"/>
      <c r="BE649" s="279"/>
      <c r="BF649" s="52"/>
      <c r="BG649" s="105"/>
      <c r="BH649" s="98"/>
      <c r="BI649" s="279"/>
      <c r="BJ649" s="52"/>
      <c r="BK649" s="105"/>
      <c r="BL649" s="98"/>
      <c r="BM649" s="279"/>
      <c r="BN649" s="52"/>
      <c r="BO649" s="105"/>
      <c r="BP649" s="98"/>
      <c r="BQ649" s="279"/>
      <c r="BR649" s="52"/>
      <c r="BS649" s="105"/>
      <c r="BT649" s="98"/>
      <c r="BU649" s="279"/>
      <c r="BV649" s="52"/>
      <c r="BW649" s="105"/>
      <c r="BX649" s="98"/>
      <c r="BY649" s="279"/>
      <c r="BZ649" s="52"/>
      <c r="CA649" s="105"/>
      <c r="CB649" s="98"/>
      <c r="CC649" s="279"/>
      <c r="CD649" s="52"/>
      <c r="CE649" s="105"/>
      <c r="CF649" s="98"/>
      <c r="CG649" s="279"/>
      <c r="CH649" s="52"/>
      <c r="CI649" s="105"/>
      <c r="CJ649" s="98"/>
      <c r="CK649" s="281"/>
      <c r="CL649" s="277"/>
      <c r="CM649" s="159"/>
      <c r="CN649" s="277"/>
      <c r="CO649" s="50">
        <f t="shared" si="246"/>
        <v>0</v>
      </c>
      <c r="CP649" s="103">
        <f t="shared" si="247"/>
        <v>0</v>
      </c>
      <c r="CQ649" s="280">
        <f t="shared" si="248"/>
        <v>0</v>
      </c>
      <c r="CR649" s="63">
        <f t="shared" si="249"/>
        <v>0</v>
      </c>
      <c r="CS649" s="279"/>
      <c r="CT649" s="52"/>
      <c r="CU649" s="105"/>
      <c r="CV649" s="98"/>
      <c r="CW649" s="279"/>
      <c r="CX649" s="52"/>
      <c r="CY649" s="105"/>
      <c r="CZ649" s="98"/>
      <c r="DA649" s="279"/>
      <c r="DB649" s="52"/>
      <c r="DC649" s="105"/>
      <c r="DD649" s="98"/>
      <c r="DE649" s="279"/>
      <c r="DF649" s="52"/>
      <c r="DG649" s="105"/>
      <c r="DH649" s="98"/>
      <c r="DI649" s="279"/>
      <c r="DJ649" s="52"/>
      <c r="DK649" s="105"/>
      <c r="DL649" s="98"/>
      <c r="DM649" s="279"/>
      <c r="DN649" s="52"/>
      <c r="DO649" s="105"/>
      <c r="DP649" s="98"/>
      <c r="DQ649" s="279"/>
      <c r="DR649" s="52"/>
      <c r="DS649" s="105"/>
      <c r="DT649" s="98"/>
      <c r="DU649" s="279"/>
      <c r="DV649" s="52"/>
      <c r="DW649" s="105"/>
      <c r="DX649" s="98"/>
      <c r="DY649" s="279"/>
      <c r="DZ649" s="52"/>
      <c r="EA649" s="105"/>
      <c r="EB649" s="98"/>
      <c r="EC649" s="279"/>
      <c r="ED649" s="52"/>
      <c r="EE649" s="105"/>
      <c r="EF649" s="98"/>
      <c r="EG649" s="159"/>
      <c r="EH649" s="277"/>
      <c r="EI649" s="50">
        <f t="shared" si="250"/>
        <v>0</v>
      </c>
      <c r="EJ649" s="103">
        <f t="shared" si="251"/>
        <v>0</v>
      </c>
      <c r="EK649" s="164">
        <f t="shared" si="252"/>
        <v>0</v>
      </c>
      <c r="EL649" s="280">
        <f t="shared" si="253"/>
        <v>0</v>
      </c>
      <c r="EM649" s="63">
        <f t="shared" si="254"/>
        <v>0</v>
      </c>
      <c r="EN649" s="359">
        <f t="shared" si="255"/>
        <v>0</v>
      </c>
      <c r="EO649" s="51">
        <f t="shared" si="256"/>
        <v>0</v>
      </c>
      <c r="EP649" s="361">
        <f t="shared" si="257"/>
        <v>0</v>
      </c>
      <c r="EQ649" s="281"/>
      <c r="ER649" s="277"/>
      <c r="ES649" s="281"/>
      <c r="ET649" s="277"/>
      <c r="EU649" s="281"/>
      <c r="EV649" s="277"/>
      <c r="EW649" s="281"/>
      <c r="EX649" s="277"/>
      <c r="EY649" s="281"/>
      <c r="EZ649" s="277"/>
      <c r="FA649" s="281"/>
      <c r="FB649" s="277"/>
      <c r="FC649" s="281"/>
      <c r="FD649" s="277"/>
      <c r="FE649" s="281"/>
      <c r="FF649" s="277"/>
      <c r="FG649" s="281"/>
      <c r="FH649" s="277"/>
      <c r="FI649" s="281"/>
      <c r="FJ649" s="277"/>
      <c r="FK649" s="50">
        <f t="shared" si="258"/>
        <v>0</v>
      </c>
      <c r="FL649" s="63">
        <f t="shared" si="259"/>
        <v>0</v>
      </c>
      <c r="FM649" s="50">
        <f t="shared" si="241"/>
        <v>910</v>
      </c>
      <c r="FN649" s="360">
        <f t="shared" si="242"/>
        <v>1010</v>
      </c>
      <c r="FO649" s="43"/>
      <c r="FP649" s="279"/>
      <c r="FQ649" s="467"/>
      <c r="FR649" s="296"/>
      <c r="FS649" s="98"/>
      <c r="FT649" s="467"/>
      <c r="FU649" s="52"/>
      <c r="FV649" s="296"/>
      <c r="FW649" s="98"/>
      <c r="FX649" s="467"/>
      <c r="FY649" s="52"/>
      <c r="FZ649" s="296"/>
      <c r="GA649" s="98"/>
      <c r="GB649" s="467"/>
      <c r="GC649" s="52"/>
      <c r="GD649" s="296"/>
      <c r="GE649" s="98"/>
      <c r="GF649" s="467"/>
      <c r="GG649" s="52"/>
      <c r="GH649" s="296"/>
      <c r="GI649" s="98"/>
      <c r="GJ649" s="467"/>
      <c r="GK649" s="52"/>
      <c r="GL649" s="296"/>
      <c r="GM649" s="464"/>
      <c r="GN649" s="467"/>
      <c r="GO649" s="52"/>
      <c r="GP649" s="296"/>
      <c r="GQ649" s="464"/>
      <c r="GR649" s="467"/>
      <c r="GS649" s="52"/>
      <c r="GT649" s="296"/>
      <c r="GU649" s="464"/>
      <c r="GV649" s="467"/>
      <c r="GW649" s="52"/>
      <c r="GX649" s="296"/>
      <c r="GY649" s="464"/>
      <c r="GZ649" s="467"/>
      <c r="HA649" s="52"/>
      <c r="HB649" s="296"/>
      <c r="HC649" s="43"/>
    </row>
    <row r="650" spans="1:211" s="85" customFormat="1">
      <c r="A650" s="502" t="s">
        <v>951</v>
      </c>
      <c r="B650" s="315" t="s">
        <v>874</v>
      </c>
      <c r="C650" s="314">
        <v>225308</v>
      </c>
      <c r="D650" s="343">
        <v>9</v>
      </c>
      <c r="E650" s="460">
        <v>635</v>
      </c>
      <c r="F650" s="552">
        <v>716</v>
      </c>
      <c r="G650" s="158"/>
      <c r="H650" s="277"/>
      <c r="I650" s="158">
        <v>673</v>
      </c>
      <c r="J650" s="552">
        <v>660</v>
      </c>
      <c r="K650" s="160">
        <f t="shared" si="243"/>
        <v>0</v>
      </c>
      <c r="L650" s="161">
        <f t="shared" ref="L650:L713" si="260">IF(R650&gt;0,J650/R650, )</f>
        <v>0</v>
      </c>
      <c r="M650" s="54"/>
      <c r="N650" s="55"/>
      <c r="O650" s="55"/>
      <c r="P650" s="55"/>
      <c r="Q650" s="162">
        <f t="shared" si="244"/>
        <v>0</v>
      </c>
      <c r="R650" s="277"/>
      <c r="S650" s="277"/>
      <c r="T650" s="277"/>
      <c r="U650" s="277"/>
      <c r="V650" s="97">
        <f t="shared" si="245"/>
        <v>0</v>
      </c>
      <c r="W650" s="279"/>
      <c r="X650" s="52"/>
      <c r="Y650" s="99"/>
      <c r="Z650" s="53"/>
      <c r="AA650" s="228"/>
      <c r="AB650" s="52"/>
      <c r="AC650" s="99"/>
      <c r="AD650" s="53"/>
      <c r="AE650" s="228"/>
      <c r="AF650" s="52"/>
      <c r="AG650" s="99"/>
      <c r="AH650" s="53"/>
      <c r="AI650" s="228"/>
      <c r="AJ650" s="52"/>
      <c r="AK650" s="99"/>
      <c r="AL650" s="53"/>
      <c r="AM650" s="228"/>
      <c r="AN650" s="52"/>
      <c r="AO650" s="99"/>
      <c r="AP650" s="53"/>
      <c r="AQ650" s="50">
        <f t="shared" ref="AQ650:AQ713" si="261">COUNTA(W650,AA650,AE650,AI650,AM650)</f>
        <v>0</v>
      </c>
      <c r="AR650" s="163">
        <f t="shared" ref="AR650:AR713" si="262">IF(FM650&gt;0,M650/FM650,)</f>
        <v>0</v>
      </c>
      <c r="AS650" s="97">
        <f t="shared" ref="AS650:AS713" si="263">COUNTA(Y650,AC650,AG650,AK650,AO650)</f>
        <v>0</v>
      </c>
      <c r="AT650" s="278">
        <f t="shared" ref="AT650:AT713" si="264">IF(FN650&gt;0,R650/FN650,)</f>
        <v>0</v>
      </c>
      <c r="AU650" s="55"/>
      <c r="AV650" s="277"/>
      <c r="AW650" s="279"/>
      <c r="AX650" s="52"/>
      <c r="AY650" s="105"/>
      <c r="AZ650" s="98"/>
      <c r="BA650" s="279"/>
      <c r="BB650" s="52"/>
      <c r="BC650" s="105"/>
      <c r="BD650" s="98"/>
      <c r="BE650" s="279"/>
      <c r="BF650" s="52"/>
      <c r="BG650" s="105"/>
      <c r="BH650" s="98"/>
      <c r="BI650" s="279"/>
      <c r="BJ650" s="52"/>
      <c r="BK650" s="105"/>
      <c r="BL650" s="98"/>
      <c r="BM650" s="279"/>
      <c r="BN650" s="52"/>
      <c r="BO650" s="105"/>
      <c r="BP650" s="98"/>
      <c r="BQ650" s="279"/>
      <c r="BR650" s="52"/>
      <c r="BS650" s="105"/>
      <c r="BT650" s="98"/>
      <c r="BU650" s="279"/>
      <c r="BV650" s="52"/>
      <c r="BW650" s="105"/>
      <c r="BX650" s="98"/>
      <c r="BY650" s="279"/>
      <c r="BZ650" s="52"/>
      <c r="CA650" s="105"/>
      <c r="CB650" s="98"/>
      <c r="CC650" s="279"/>
      <c r="CD650" s="52"/>
      <c r="CE650" s="105"/>
      <c r="CF650" s="98"/>
      <c r="CG650" s="279"/>
      <c r="CH650" s="52"/>
      <c r="CI650" s="105"/>
      <c r="CJ650" s="98"/>
      <c r="CK650" s="281"/>
      <c r="CL650" s="277"/>
      <c r="CM650" s="159"/>
      <c r="CN650" s="277"/>
      <c r="CO650" s="50">
        <f t="shared" si="246"/>
        <v>0</v>
      </c>
      <c r="CP650" s="103">
        <f t="shared" si="247"/>
        <v>0</v>
      </c>
      <c r="CQ650" s="280">
        <f t="shared" si="248"/>
        <v>0</v>
      </c>
      <c r="CR650" s="63">
        <f t="shared" si="249"/>
        <v>0</v>
      </c>
      <c r="CS650" s="279"/>
      <c r="CT650" s="52"/>
      <c r="CU650" s="105"/>
      <c r="CV650" s="98"/>
      <c r="CW650" s="279"/>
      <c r="CX650" s="52"/>
      <c r="CY650" s="105"/>
      <c r="CZ650" s="98"/>
      <c r="DA650" s="279"/>
      <c r="DB650" s="52"/>
      <c r="DC650" s="105"/>
      <c r="DD650" s="98"/>
      <c r="DE650" s="279"/>
      <c r="DF650" s="52"/>
      <c r="DG650" s="105"/>
      <c r="DH650" s="98"/>
      <c r="DI650" s="279"/>
      <c r="DJ650" s="52"/>
      <c r="DK650" s="105"/>
      <c r="DL650" s="98"/>
      <c r="DM650" s="279"/>
      <c r="DN650" s="52"/>
      <c r="DO650" s="105"/>
      <c r="DP650" s="98"/>
      <c r="DQ650" s="279"/>
      <c r="DR650" s="52"/>
      <c r="DS650" s="105"/>
      <c r="DT650" s="98"/>
      <c r="DU650" s="279"/>
      <c r="DV650" s="52"/>
      <c r="DW650" s="105"/>
      <c r="DX650" s="98"/>
      <c r="DY650" s="279"/>
      <c r="DZ650" s="52"/>
      <c r="EA650" s="105"/>
      <c r="EB650" s="98"/>
      <c r="EC650" s="279"/>
      <c r="ED650" s="52"/>
      <c r="EE650" s="105"/>
      <c r="EF650" s="98"/>
      <c r="EG650" s="159"/>
      <c r="EH650" s="277"/>
      <c r="EI650" s="50">
        <f t="shared" si="250"/>
        <v>0</v>
      </c>
      <c r="EJ650" s="103">
        <f t="shared" si="251"/>
        <v>0</v>
      </c>
      <c r="EK650" s="164">
        <f t="shared" si="252"/>
        <v>0</v>
      </c>
      <c r="EL650" s="280">
        <f t="shared" si="253"/>
        <v>0</v>
      </c>
      <c r="EM650" s="63">
        <f t="shared" si="254"/>
        <v>0</v>
      </c>
      <c r="EN650" s="359">
        <f t="shared" si="255"/>
        <v>0</v>
      </c>
      <c r="EO650" s="51">
        <f t="shared" si="256"/>
        <v>0</v>
      </c>
      <c r="EP650" s="361">
        <f t="shared" si="257"/>
        <v>0</v>
      </c>
      <c r="EQ650" s="281"/>
      <c r="ER650" s="277"/>
      <c r="ES650" s="281"/>
      <c r="ET650" s="277"/>
      <c r="EU650" s="281"/>
      <c r="EV650" s="277"/>
      <c r="EW650" s="281"/>
      <c r="EX650" s="277"/>
      <c r="EY650" s="281"/>
      <c r="EZ650" s="277"/>
      <c r="FA650" s="281"/>
      <c r="FB650" s="277"/>
      <c r="FC650" s="281"/>
      <c r="FD650" s="277"/>
      <c r="FE650" s="281"/>
      <c r="FF650" s="277"/>
      <c r="FG650" s="281"/>
      <c r="FH650" s="277"/>
      <c r="FI650" s="281"/>
      <c r="FJ650" s="277"/>
      <c r="FK650" s="50">
        <f t="shared" si="258"/>
        <v>0</v>
      </c>
      <c r="FL650" s="63">
        <f t="shared" si="259"/>
        <v>0</v>
      </c>
      <c r="FM650" s="50">
        <f t="shared" ref="FM650:FM713" si="265">E650+G650+I650+M650+AU650+EO650+FK650</f>
        <v>1308</v>
      </c>
      <c r="FN650" s="360">
        <f t="shared" ref="FN650:FN713" si="266">F650+H650+J650+R650+AV650+EP650+FL650</f>
        <v>1376</v>
      </c>
      <c r="FO650" s="43"/>
      <c r="FP650" s="279"/>
      <c r="FQ650" s="467"/>
      <c r="FR650" s="296"/>
      <c r="FS650" s="98"/>
      <c r="FT650" s="467"/>
      <c r="FU650" s="52"/>
      <c r="FV650" s="296"/>
      <c r="FW650" s="98"/>
      <c r="FX650" s="467"/>
      <c r="FY650" s="52"/>
      <c r="FZ650" s="296"/>
      <c r="GA650" s="98"/>
      <c r="GB650" s="467"/>
      <c r="GC650" s="52"/>
      <c r="GD650" s="296"/>
      <c r="GE650" s="98"/>
      <c r="GF650" s="467"/>
      <c r="GG650" s="52"/>
      <c r="GH650" s="296"/>
      <c r="GI650" s="98"/>
      <c r="GJ650" s="467"/>
      <c r="GK650" s="52"/>
      <c r="GL650" s="296"/>
      <c r="GM650" s="464"/>
      <c r="GN650" s="467"/>
      <c r="GO650" s="52"/>
      <c r="GP650" s="296"/>
      <c r="GQ650" s="464"/>
      <c r="GR650" s="467"/>
      <c r="GS650" s="52"/>
      <c r="GT650" s="296"/>
      <c r="GU650" s="464"/>
      <c r="GV650" s="467"/>
      <c r="GW650" s="52"/>
      <c r="GX650" s="296"/>
      <c r="GY650" s="464"/>
      <c r="GZ650" s="467"/>
      <c r="HA650" s="52"/>
      <c r="HB650" s="296"/>
      <c r="HC650" s="43"/>
    </row>
    <row r="651" spans="1:211" s="85" customFormat="1">
      <c r="A651" s="555" t="s">
        <v>951</v>
      </c>
      <c r="B651" s="339" t="s">
        <v>875</v>
      </c>
      <c r="C651" s="355">
        <v>229504</v>
      </c>
      <c r="D651" s="373">
        <v>9</v>
      </c>
      <c r="E651" s="460">
        <v>214</v>
      </c>
      <c r="F651" s="552">
        <v>250</v>
      </c>
      <c r="G651" s="158"/>
      <c r="H651" s="277"/>
      <c r="I651" s="158">
        <v>178</v>
      </c>
      <c r="J651" s="552">
        <v>194</v>
      </c>
      <c r="K651" s="160">
        <f t="shared" ref="K651:K678" si="267">IF(M651&gt;0,I651/M651, )</f>
        <v>0</v>
      </c>
      <c r="L651" s="161">
        <f t="shared" si="260"/>
        <v>0</v>
      </c>
      <c r="M651" s="54"/>
      <c r="N651" s="55"/>
      <c r="O651" s="55"/>
      <c r="P651" s="55"/>
      <c r="Q651" s="162">
        <f t="shared" ref="Q651:Q678" si="268">SUM(N651:P651)</f>
        <v>0</v>
      </c>
      <c r="R651" s="277"/>
      <c r="S651" s="277"/>
      <c r="T651" s="277"/>
      <c r="U651" s="277"/>
      <c r="V651" s="97">
        <f t="shared" ref="V651:V678" si="269">SUM(S651:U651)</f>
        <v>0</v>
      </c>
      <c r="W651" s="279"/>
      <c r="X651" s="52"/>
      <c r="Y651" s="99"/>
      <c r="Z651" s="53"/>
      <c r="AA651" s="228"/>
      <c r="AB651" s="52"/>
      <c r="AC651" s="99"/>
      <c r="AD651" s="53"/>
      <c r="AE651" s="228"/>
      <c r="AF651" s="52"/>
      <c r="AG651" s="99"/>
      <c r="AH651" s="53"/>
      <c r="AI651" s="228"/>
      <c r="AJ651" s="52"/>
      <c r="AK651" s="99"/>
      <c r="AL651" s="53"/>
      <c r="AM651" s="228"/>
      <c r="AN651" s="52"/>
      <c r="AO651" s="99"/>
      <c r="AP651" s="53"/>
      <c r="AQ651" s="50">
        <f t="shared" si="261"/>
        <v>0</v>
      </c>
      <c r="AR651" s="163">
        <f t="shared" si="262"/>
        <v>0</v>
      </c>
      <c r="AS651" s="97">
        <f t="shared" si="263"/>
        <v>0</v>
      </c>
      <c r="AT651" s="278">
        <f t="shared" si="264"/>
        <v>0</v>
      </c>
      <c r="AU651" s="55"/>
      <c r="AV651" s="277"/>
      <c r="AW651" s="279"/>
      <c r="AX651" s="52"/>
      <c r="AY651" s="105"/>
      <c r="AZ651" s="98"/>
      <c r="BA651" s="279"/>
      <c r="BB651" s="52"/>
      <c r="BC651" s="105"/>
      <c r="BD651" s="98"/>
      <c r="BE651" s="279"/>
      <c r="BF651" s="52"/>
      <c r="BG651" s="105"/>
      <c r="BH651" s="98"/>
      <c r="BI651" s="279"/>
      <c r="BJ651" s="52"/>
      <c r="BK651" s="105"/>
      <c r="BL651" s="98"/>
      <c r="BM651" s="279"/>
      <c r="BN651" s="52"/>
      <c r="BO651" s="105"/>
      <c r="BP651" s="98"/>
      <c r="BQ651" s="279"/>
      <c r="BR651" s="52"/>
      <c r="BS651" s="105"/>
      <c r="BT651" s="98"/>
      <c r="BU651" s="279"/>
      <c r="BV651" s="52"/>
      <c r="BW651" s="105"/>
      <c r="BX651" s="98"/>
      <c r="BY651" s="279"/>
      <c r="BZ651" s="52"/>
      <c r="CA651" s="105"/>
      <c r="CB651" s="98"/>
      <c r="CC651" s="279"/>
      <c r="CD651" s="52"/>
      <c r="CE651" s="105"/>
      <c r="CF651" s="98"/>
      <c r="CG651" s="279"/>
      <c r="CH651" s="52"/>
      <c r="CI651" s="105"/>
      <c r="CJ651" s="98"/>
      <c r="CK651" s="281"/>
      <c r="CL651" s="277"/>
      <c r="CM651" s="159"/>
      <c r="CN651" s="277"/>
      <c r="CO651" s="50">
        <f t="shared" ref="CO651:CO678" si="270">AX651+BB651+BF651+BJ651+BN651+BR651+BV651+BZ651+CD651+CH651+CK651+CM651</f>
        <v>0</v>
      </c>
      <c r="CP651" s="103">
        <f t="shared" ref="CP651:CP678" si="271">COUNTA(AW651,BA651,BE651,BI651,BM651,BQ651,BU651,BY651,CC651,CG651)</f>
        <v>0</v>
      </c>
      <c r="CQ651" s="280">
        <f t="shared" ref="CQ651:CQ678" si="272">AZ651+BD651+BH651+BL651+BP651+BT651+BX651+CF651+CB651+CJ651+CL651+CN651</f>
        <v>0</v>
      </c>
      <c r="CR651" s="63">
        <f t="shared" ref="CR651:CR678" si="273">COUNTA(AY651,BC651,BG651,BK651,BO651,BS651,BW651,CE651,CA651,CI651)</f>
        <v>0</v>
      </c>
      <c r="CS651" s="279"/>
      <c r="CT651" s="52"/>
      <c r="CU651" s="105"/>
      <c r="CV651" s="98"/>
      <c r="CW651" s="279"/>
      <c r="CX651" s="52"/>
      <c r="CY651" s="105"/>
      <c r="CZ651" s="98"/>
      <c r="DA651" s="279"/>
      <c r="DB651" s="52"/>
      <c r="DC651" s="105"/>
      <c r="DD651" s="98"/>
      <c r="DE651" s="279"/>
      <c r="DF651" s="52"/>
      <c r="DG651" s="105"/>
      <c r="DH651" s="98"/>
      <c r="DI651" s="279"/>
      <c r="DJ651" s="52"/>
      <c r="DK651" s="105"/>
      <c r="DL651" s="98"/>
      <c r="DM651" s="279"/>
      <c r="DN651" s="52"/>
      <c r="DO651" s="105"/>
      <c r="DP651" s="98"/>
      <c r="DQ651" s="279"/>
      <c r="DR651" s="52"/>
      <c r="DS651" s="105"/>
      <c r="DT651" s="98"/>
      <c r="DU651" s="279"/>
      <c r="DV651" s="52"/>
      <c r="DW651" s="105"/>
      <c r="DX651" s="98"/>
      <c r="DY651" s="279"/>
      <c r="DZ651" s="52"/>
      <c r="EA651" s="105"/>
      <c r="EB651" s="98"/>
      <c r="EC651" s="279"/>
      <c r="ED651" s="52"/>
      <c r="EE651" s="105"/>
      <c r="EF651" s="98"/>
      <c r="EG651" s="159"/>
      <c r="EH651" s="277"/>
      <c r="EI651" s="50">
        <f t="shared" ref="EI651:EI678" si="274">CT651+CX651+DB651+DF651+DJ651+DN651+DR651+DV651+DZ651+ED651+EG651</f>
        <v>0</v>
      </c>
      <c r="EJ651" s="103">
        <f t="shared" ref="EJ651:EJ678" si="275">COUNTA(CS651,CW651,DA651,DE651,DI651,DM651,DQ651,DU651,DY651,EC651)</f>
        <v>0</v>
      </c>
      <c r="EK651" s="164">
        <f t="shared" ref="EK651:EK678" si="276">IF(EI651&gt;0,CT651/EI651,)</f>
        <v>0</v>
      </c>
      <c r="EL651" s="280">
        <f t="shared" ref="EL651:EL678" si="277">CV651+CZ651+DD651+DH651+DL651+DP651+DT651+DX651+EB651+EF651+EH651</f>
        <v>0</v>
      </c>
      <c r="EM651" s="63">
        <f t="shared" ref="EM651:EM678" si="278">COUNTA(CU651,CY651,DC651,DG651,DK651,DO651,DS651,DW651,EA651,EE651)</f>
        <v>0</v>
      </c>
      <c r="EN651" s="359">
        <f t="shared" ref="EN651:EN678" si="279">IF(EL651&gt;0,CV651/EL651,)</f>
        <v>0</v>
      </c>
      <c r="EO651" s="51">
        <f t="shared" ref="EO651:EO678" si="280">CO651+EI651</f>
        <v>0</v>
      </c>
      <c r="EP651" s="361">
        <f t="shared" ref="EP651:EP678" si="281">CQ651+EL651</f>
        <v>0</v>
      </c>
      <c r="EQ651" s="281"/>
      <c r="ER651" s="277"/>
      <c r="ES651" s="281"/>
      <c r="ET651" s="277"/>
      <c r="EU651" s="281"/>
      <c r="EV651" s="277"/>
      <c r="EW651" s="281"/>
      <c r="EX651" s="277"/>
      <c r="EY651" s="281"/>
      <c r="EZ651" s="277"/>
      <c r="FA651" s="281"/>
      <c r="FB651" s="277"/>
      <c r="FC651" s="281"/>
      <c r="FD651" s="277"/>
      <c r="FE651" s="281"/>
      <c r="FF651" s="277"/>
      <c r="FG651" s="281"/>
      <c r="FH651" s="277"/>
      <c r="FI651" s="281"/>
      <c r="FJ651" s="277"/>
      <c r="FK651" s="50">
        <f t="shared" ref="FK651:FK678" si="282">EQ651+ES651+EU651+EW651+EY651+FA651+FC651+FE651+FG651+FI651</f>
        <v>0</v>
      </c>
      <c r="FL651" s="63">
        <f t="shared" ref="FL651:FL739" si="283">ER651+ET651+EV651+EX651+EZ651+FB651+FD651+FF651+FH651+FJ651</f>
        <v>0</v>
      </c>
      <c r="FM651" s="50">
        <f t="shared" si="265"/>
        <v>392</v>
      </c>
      <c r="FN651" s="360">
        <f t="shared" si="266"/>
        <v>444</v>
      </c>
      <c r="FO651" s="43"/>
      <c r="FP651" s="279"/>
      <c r="FQ651" s="467"/>
      <c r="FR651" s="296"/>
      <c r="FS651" s="98"/>
      <c r="FT651" s="467"/>
      <c r="FU651" s="52"/>
      <c r="FV651" s="296"/>
      <c r="FW651" s="98"/>
      <c r="FX651" s="467"/>
      <c r="FY651" s="52"/>
      <c r="FZ651" s="296"/>
      <c r="GA651" s="98"/>
      <c r="GB651" s="467"/>
      <c r="GC651" s="52"/>
      <c r="GD651" s="296"/>
      <c r="GE651" s="98"/>
      <c r="GF651" s="467"/>
      <c r="GG651" s="52"/>
      <c r="GH651" s="296"/>
      <c r="GI651" s="98"/>
      <c r="GJ651" s="467"/>
      <c r="GK651" s="52"/>
      <c r="GL651" s="296"/>
      <c r="GM651" s="464"/>
      <c r="GN651" s="467"/>
      <c r="GO651" s="52"/>
      <c r="GP651" s="296"/>
      <c r="GQ651" s="464"/>
      <c r="GR651" s="467"/>
      <c r="GS651" s="52"/>
      <c r="GT651" s="296"/>
      <c r="GU651" s="464"/>
      <c r="GV651" s="467"/>
      <c r="GW651" s="52"/>
      <c r="GX651" s="296"/>
      <c r="GY651" s="464"/>
      <c r="GZ651" s="467"/>
      <c r="HA651" s="52"/>
      <c r="HB651" s="296"/>
      <c r="HC651" s="43"/>
    </row>
    <row r="652" spans="1:211" s="85" customFormat="1">
      <c r="A652" s="502" t="s">
        <v>951</v>
      </c>
      <c r="B652" s="315" t="s">
        <v>876</v>
      </c>
      <c r="C652" s="314">
        <v>229540</v>
      </c>
      <c r="D652" s="343">
        <v>9</v>
      </c>
      <c r="E652" s="460">
        <v>198</v>
      </c>
      <c r="F652" s="552">
        <v>246</v>
      </c>
      <c r="G652" s="158"/>
      <c r="H652" s="277"/>
      <c r="I652" s="158">
        <v>280</v>
      </c>
      <c r="J652" s="552">
        <v>297</v>
      </c>
      <c r="K652" s="160">
        <f t="shared" si="267"/>
        <v>0</v>
      </c>
      <c r="L652" s="161">
        <f t="shared" si="260"/>
        <v>0</v>
      </c>
      <c r="M652" s="54"/>
      <c r="N652" s="55"/>
      <c r="O652" s="55"/>
      <c r="P652" s="55"/>
      <c r="Q652" s="162">
        <f t="shared" si="268"/>
        <v>0</v>
      </c>
      <c r="R652" s="277"/>
      <c r="S652" s="277"/>
      <c r="T652" s="277"/>
      <c r="U652" s="277"/>
      <c r="V652" s="97">
        <f t="shared" si="269"/>
        <v>0</v>
      </c>
      <c r="W652" s="279"/>
      <c r="X652" s="52"/>
      <c r="Y652" s="99"/>
      <c r="Z652" s="53"/>
      <c r="AA652" s="228"/>
      <c r="AB652" s="52"/>
      <c r="AC652" s="99"/>
      <c r="AD652" s="53"/>
      <c r="AE652" s="228"/>
      <c r="AF652" s="52"/>
      <c r="AG652" s="99"/>
      <c r="AH652" s="53"/>
      <c r="AI652" s="228"/>
      <c r="AJ652" s="52"/>
      <c r="AK652" s="99"/>
      <c r="AL652" s="53"/>
      <c r="AM652" s="228"/>
      <c r="AN652" s="52"/>
      <c r="AO652" s="99"/>
      <c r="AP652" s="53"/>
      <c r="AQ652" s="50">
        <f t="shared" si="261"/>
        <v>0</v>
      </c>
      <c r="AR652" s="163">
        <f t="shared" si="262"/>
        <v>0</v>
      </c>
      <c r="AS652" s="97">
        <f t="shared" si="263"/>
        <v>0</v>
      </c>
      <c r="AT652" s="278">
        <f t="shared" si="264"/>
        <v>0</v>
      </c>
      <c r="AU652" s="55"/>
      <c r="AV652" s="277"/>
      <c r="AW652" s="279"/>
      <c r="AX652" s="52"/>
      <c r="AY652" s="105"/>
      <c r="AZ652" s="98"/>
      <c r="BA652" s="279"/>
      <c r="BB652" s="52"/>
      <c r="BC652" s="105"/>
      <c r="BD652" s="98"/>
      <c r="BE652" s="279"/>
      <c r="BF652" s="52"/>
      <c r="BG652" s="105"/>
      <c r="BH652" s="98"/>
      <c r="BI652" s="279"/>
      <c r="BJ652" s="52"/>
      <c r="BK652" s="105"/>
      <c r="BL652" s="98"/>
      <c r="BM652" s="279"/>
      <c r="BN652" s="52"/>
      <c r="BO652" s="105"/>
      <c r="BP652" s="98"/>
      <c r="BQ652" s="279"/>
      <c r="BR652" s="52"/>
      <c r="BS652" s="105"/>
      <c r="BT652" s="98"/>
      <c r="BU652" s="279"/>
      <c r="BV652" s="52"/>
      <c r="BW652" s="105"/>
      <c r="BX652" s="98"/>
      <c r="BY652" s="279"/>
      <c r="BZ652" s="52"/>
      <c r="CA652" s="105"/>
      <c r="CB652" s="98"/>
      <c r="CC652" s="279"/>
      <c r="CD652" s="52"/>
      <c r="CE652" s="105"/>
      <c r="CF652" s="98"/>
      <c r="CG652" s="279"/>
      <c r="CH652" s="52"/>
      <c r="CI652" s="105"/>
      <c r="CJ652" s="98"/>
      <c r="CK652" s="281"/>
      <c r="CL652" s="277"/>
      <c r="CM652" s="159"/>
      <c r="CN652" s="277"/>
      <c r="CO652" s="50">
        <f t="shared" si="270"/>
        <v>0</v>
      </c>
      <c r="CP652" s="103">
        <f t="shared" si="271"/>
        <v>0</v>
      </c>
      <c r="CQ652" s="280">
        <f t="shared" si="272"/>
        <v>0</v>
      </c>
      <c r="CR652" s="63">
        <f t="shared" si="273"/>
        <v>0</v>
      </c>
      <c r="CS652" s="279"/>
      <c r="CT652" s="52"/>
      <c r="CU652" s="105"/>
      <c r="CV652" s="98"/>
      <c r="CW652" s="279"/>
      <c r="CX652" s="52"/>
      <c r="CY652" s="105"/>
      <c r="CZ652" s="98"/>
      <c r="DA652" s="279"/>
      <c r="DB652" s="52"/>
      <c r="DC652" s="105"/>
      <c r="DD652" s="98"/>
      <c r="DE652" s="279"/>
      <c r="DF652" s="52"/>
      <c r="DG652" s="105"/>
      <c r="DH652" s="98"/>
      <c r="DI652" s="279"/>
      <c r="DJ652" s="52"/>
      <c r="DK652" s="105"/>
      <c r="DL652" s="98"/>
      <c r="DM652" s="279"/>
      <c r="DN652" s="52"/>
      <c r="DO652" s="105"/>
      <c r="DP652" s="98"/>
      <c r="DQ652" s="279"/>
      <c r="DR652" s="52"/>
      <c r="DS652" s="105"/>
      <c r="DT652" s="98"/>
      <c r="DU652" s="279"/>
      <c r="DV652" s="52"/>
      <c r="DW652" s="105"/>
      <c r="DX652" s="98"/>
      <c r="DY652" s="279"/>
      <c r="DZ652" s="52"/>
      <c r="EA652" s="105"/>
      <c r="EB652" s="98"/>
      <c r="EC652" s="279"/>
      <c r="ED652" s="52"/>
      <c r="EE652" s="105"/>
      <c r="EF652" s="98"/>
      <c r="EG652" s="159"/>
      <c r="EH652" s="277"/>
      <c r="EI652" s="50">
        <f t="shared" si="274"/>
        <v>0</v>
      </c>
      <c r="EJ652" s="103">
        <f t="shared" si="275"/>
        <v>0</v>
      </c>
      <c r="EK652" s="164">
        <f t="shared" si="276"/>
        <v>0</v>
      </c>
      <c r="EL652" s="280">
        <f t="shared" si="277"/>
        <v>0</v>
      </c>
      <c r="EM652" s="63">
        <f t="shared" si="278"/>
        <v>0</v>
      </c>
      <c r="EN652" s="359">
        <f t="shared" si="279"/>
        <v>0</v>
      </c>
      <c r="EO652" s="51">
        <f t="shared" si="280"/>
        <v>0</v>
      </c>
      <c r="EP652" s="361">
        <f t="shared" si="281"/>
        <v>0</v>
      </c>
      <c r="EQ652" s="281"/>
      <c r="ER652" s="277"/>
      <c r="ES652" s="281"/>
      <c r="ET652" s="277"/>
      <c r="EU652" s="281"/>
      <c r="EV652" s="277"/>
      <c r="EW652" s="281"/>
      <c r="EX652" s="277"/>
      <c r="EY652" s="281"/>
      <c r="EZ652" s="277"/>
      <c r="FA652" s="281"/>
      <c r="FB652" s="277"/>
      <c r="FC652" s="281"/>
      <c r="FD652" s="277"/>
      <c r="FE652" s="281"/>
      <c r="FF652" s="277"/>
      <c r="FG652" s="281"/>
      <c r="FH652" s="277"/>
      <c r="FI652" s="281"/>
      <c r="FJ652" s="277"/>
      <c r="FK652" s="50">
        <f t="shared" si="282"/>
        <v>0</v>
      </c>
      <c r="FL652" s="63">
        <f t="shared" si="283"/>
        <v>0</v>
      </c>
      <c r="FM652" s="50">
        <f t="shared" si="265"/>
        <v>478</v>
      </c>
      <c r="FN652" s="360">
        <f t="shared" si="266"/>
        <v>543</v>
      </c>
      <c r="FO652" s="43"/>
      <c r="FP652" s="279"/>
      <c r="FQ652" s="467"/>
      <c r="FR652" s="296"/>
      <c r="FS652" s="98"/>
      <c r="FT652" s="467"/>
      <c r="FU652" s="52"/>
      <c r="FV652" s="296"/>
      <c r="FW652" s="98"/>
      <c r="FX652" s="467"/>
      <c r="FY652" s="52"/>
      <c r="FZ652" s="296"/>
      <c r="GA652" s="98"/>
      <c r="GB652" s="467"/>
      <c r="GC652" s="52"/>
      <c r="GD652" s="296"/>
      <c r="GE652" s="98"/>
      <c r="GF652" s="467"/>
      <c r="GG652" s="52"/>
      <c r="GH652" s="296"/>
      <c r="GI652" s="98"/>
      <c r="GJ652" s="467"/>
      <c r="GK652" s="52"/>
      <c r="GL652" s="296"/>
      <c r="GM652" s="464"/>
      <c r="GN652" s="467"/>
      <c r="GO652" s="52"/>
      <c r="GP652" s="296"/>
      <c r="GQ652" s="464"/>
      <c r="GR652" s="467"/>
      <c r="GS652" s="52"/>
      <c r="GT652" s="296"/>
      <c r="GU652" s="464"/>
      <c r="GV652" s="467"/>
      <c r="GW652" s="52"/>
      <c r="GX652" s="296"/>
      <c r="GY652" s="464"/>
      <c r="GZ652" s="467"/>
      <c r="HA652" s="52"/>
      <c r="HB652" s="296"/>
      <c r="HC652" s="43"/>
    </row>
    <row r="653" spans="1:211" s="85" customFormat="1">
      <c r="A653" s="502" t="s">
        <v>951</v>
      </c>
      <c r="B653" s="315" t="s">
        <v>877</v>
      </c>
      <c r="C653" s="314">
        <v>229799</v>
      </c>
      <c r="D653" s="343">
        <v>9</v>
      </c>
      <c r="E653" s="460">
        <v>107</v>
      </c>
      <c r="F653" s="552">
        <v>225</v>
      </c>
      <c r="G653" s="158"/>
      <c r="H653" s="277"/>
      <c r="I653" s="158">
        <v>386</v>
      </c>
      <c r="J653" s="552">
        <v>479</v>
      </c>
      <c r="K653" s="160">
        <f t="shared" si="267"/>
        <v>0</v>
      </c>
      <c r="L653" s="161">
        <f t="shared" si="260"/>
        <v>0</v>
      </c>
      <c r="M653" s="54"/>
      <c r="N653" s="55"/>
      <c r="O653" s="55"/>
      <c r="P653" s="55"/>
      <c r="Q653" s="162">
        <f t="shared" si="268"/>
        <v>0</v>
      </c>
      <c r="R653" s="277"/>
      <c r="S653" s="277"/>
      <c r="T653" s="277"/>
      <c r="U653" s="277"/>
      <c r="V653" s="97">
        <f t="shared" si="269"/>
        <v>0</v>
      </c>
      <c r="W653" s="279"/>
      <c r="X653" s="52"/>
      <c r="Y653" s="99"/>
      <c r="Z653" s="53"/>
      <c r="AA653" s="228"/>
      <c r="AB653" s="52"/>
      <c r="AC653" s="99"/>
      <c r="AD653" s="53"/>
      <c r="AE653" s="228"/>
      <c r="AF653" s="52"/>
      <c r="AG653" s="99"/>
      <c r="AH653" s="53"/>
      <c r="AI653" s="228"/>
      <c r="AJ653" s="52"/>
      <c r="AK653" s="99"/>
      <c r="AL653" s="53"/>
      <c r="AM653" s="228"/>
      <c r="AN653" s="52"/>
      <c r="AO653" s="99"/>
      <c r="AP653" s="53"/>
      <c r="AQ653" s="50">
        <f t="shared" si="261"/>
        <v>0</v>
      </c>
      <c r="AR653" s="163">
        <f t="shared" si="262"/>
        <v>0</v>
      </c>
      <c r="AS653" s="97">
        <f t="shared" si="263"/>
        <v>0</v>
      </c>
      <c r="AT653" s="278">
        <f t="shared" si="264"/>
        <v>0</v>
      </c>
      <c r="AU653" s="55"/>
      <c r="AV653" s="277"/>
      <c r="AW653" s="279"/>
      <c r="AX653" s="52"/>
      <c r="AY653" s="105"/>
      <c r="AZ653" s="98"/>
      <c r="BA653" s="279"/>
      <c r="BB653" s="52"/>
      <c r="BC653" s="105"/>
      <c r="BD653" s="98"/>
      <c r="BE653" s="279"/>
      <c r="BF653" s="52"/>
      <c r="BG653" s="105"/>
      <c r="BH653" s="98"/>
      <c r="BI653" s="279"/>
      <c r="BJ653" s="52"/>
      <c r="BK653" s="105"/>
      <c r="BL653" s="98"/>
      <c r="BM653" s="279"/>
      <c r="BN653" s="52"/>
      <c r="BO653" s="105"/>
      <c r="BP653" s="98"/>
      <c r="BQ653" s="279"/>
      <c r="BR653" s="52"/>
      <c r="BS653" s="105"/>
      <c r="BT653" s="98"/>
      <c r="BU653" s="279"/>
      <c r="BV653" s="52"/>
      <c r="BW653" s="105"/>
      <c r="BX653" s="98"/>
      <c r="BY653" s="279"/>
      <c r="BZ653" s="52"/>
      <c r="CA653" s="105"/>
      <c r="CB653" s="98"/>
      <c r="CC653" s="279"/>
      <c r="CD653" s="52"/>
      <c r="CE653" s="105"/>
      <c r="CF653" s="98"/>
      <c r="CG653" s="279"/>
      <c r="CH653" s="52"/>
      <c r="CI653" s="105"/>
      <c r="CJ653" s="98"/>
      <c r="CK653" s="281"/>
      <c r="CL653" s="277"/>
      <c r="CM653" s="159"/>
      <c r="CN653" s="277"/>
      <c r="CO653" s="50">
        <f t="shared" si="270"/>
        <v>0</v>
      </c>
      <c r="CP653" s="103">
        <f t="shared" si="271"/>
        <v>0</v>
      </c>
      <c r="CQ653" s="280">
        <f t="shared" si="272"/>
        <v>0</v>
      </c>
      <c r="CR653" s="63">
        <f t="shared" si="273"/>
        <v>0</v>
      </c>
      <c r="CS653" s="279"/>
      <c r="CT653" s="52"/>
      <c r="CU653" s="105"/>
      <c r="CV653" s="98"/>
      <c r="CW653" s="279"/>
      <c r="CX653" s="52"/>
      <c r="CY653" s="105"/>
      <c r="CZ653" s="98"/>
      <c r="DA653" s="279"/>
      <c r="DB653" s="52"/>
      <c r="DC653" s="105"/>
      <c r="DD653" s="98"/>
      <c r="DE653" s="279"/>
      <c r="DF653" s="52"/>
      <c r="DG653" s="105"/>
      <c r="DH653" s="98"/>
      <c r="DI653" s="279"/>
      <c r="DJ653" s="52"/>
      <c r="DK653" s="105"/>
      <c r="DL653" s="98"/>
      <c r="DM653" s="279"/>
      <c r="DN653" s="52"/>
      <c r="DO653" s="105"/>
      <c r="DP653" s="98"/>
      <c r="DQ653" s="279"/>
      <c r="DR653" s="52"/>
      <c r="DS653" s="105"/>
      <c r="DT653" s="98"/>
      <c r="DU653" s="279"/>
      <c r="DV653" s="52"/>
      <c r="DW653" s="105"/>
      <c r="DX653" s="98"/>
      <c r="DY653" s="279"/>
      <c r="DZ653" s="52"/>
      <c r="EA653" s="105"/>
      <c r="EB653" s="98"/>
      <c r="EC653" s="279"/>
      <c r="ED653" s="52"/>
      <c r="EE653" s="105"/>
      <c r="EF653" s="98"/>
      <c r="EG653" s="159"/>
      <c r="EH653" s="277"/>
      <c r="EI653" s="50">
        <f t="shared" si="274"/>
        <v>0</v>
      </c>
      <c r="EJ653" s="103">
        <f t="shared" si="275"/>
        <v>0</v>
      </c>
      <c r="EK653" s="164">
        <f t="shared" si="276"/>
        <v>0</v>
      </c>
      <c r="EL653" s="280">
        <f t="shared" si="277"/>
        <v>0</v>
      </c>
      <c r="EM653" s="63">
        <f t="shared" si="278"/>
        <v>0</v>
      </c>
      <c r="EN653" s="359">
        <f t="shared" si="279"/>
        <v>0</v>
      </c>
      <c r="EO653" s="51">
        <f t="shared" si="280"/>
        <v>0</v>
      </c>
      <c r="EP653" s="361">
        <f t="shared" si="281"/>
        <v>0</v>
      </c>
      <c r="EQ653" s="281"/>
      <c r="ER653" s="277"/>
      <c r="ES653" s="281"/>
      <c r="ET653" s="277"/>
      <c r="EU653" s="281"/>
      <c r="EV653" s="277"/>
      <c r="EW653" s="281"/>
      <c r="EX653" s="277"/>
      <c r="EY653" s="281"/>
      <c r="EZ653" s="277"/>
      <c r="FA653" s="281"/>
      <c r="FB653" s="277"/>
      <c r="FC653" s="281"/>
      <c r="FD653" s="277"/>
      <c r="FE653" s="281"/>
      <c r="FF653" s="277"/>
      <c r="FG653" s="281"/>
      <c r="FH653" s="277"/>
      <c r="FI653" s="281"/>
      <c r="FJ653" s="277"/>
      <c r="FK653" s="50">
        <f t="shared" si="282"/>
        <v>0</v>
      </c>
      <c r="FL653" s="63">
        <f t="shared" si="283"/>
        <v>0</v>
      </c>
      <c r="FM653" s="50">
        <f t="shared" si="265"/>
        <v>493</v>
      </c>
      <c r="FN653" s="360">
        <f t="shared" si="266"/>
        <v>704</v>
      </c>
      <c r="FO653" s="43"/>
      <c r="FP653" s="279"/>
      <c r="FQ653" s="467"/>
      <c r="FR653" s="296"/>
      <c r="FS653" s="98"/>
      <c r="FT653" s="467"/>
      <c r="FU653" s="52"/>
      <c r="FV653" s="296"/>
      <c r="FW653" s="98"/>
      <c r="FX653" s="467"/>
      <c r="FY653" s="52"/>
      <c r="FZ653" s="296"/>
      <c r="GA653" s="98"/>
      <c r="GB653" s="467"/>
      <c r="GC653" s="52"/>
      <c r="GD653" s="296"/>
      <c r="GE653" s="98"/>
      <c r="GF653" s="467"/>
      <c r="GG653" s="52"/>
      <c r="GH653" s="296"/>
      <c r="GI653" s="98"/>
      <c r="GJ653" s="467"/>
      <c r="GK653" s="52"/>
      <c r="GL653" s="296"/>
      <c r="GM653" s="464"/>
      <c r="GN653" s="467"/>
      <c r="GO653" s="52"/>
      <c r="GP653" s="296"/>
      <c r="GQ653" s="464"/>
      <c r="GR653" s="467"/>
      <c r="GS653" s="52"/>
      <c r="GT653" s="296"/>
      <c r="GU653" s="464"/>
      <c r="GV653" s="467"/>
      <c r="GW653" s="52"/>
      <c r="GX653" s="296"/>
      <c r="GY653" s="464"/>
      <c r="GZ653" s="467"/>
      <c r="HA653" s="52"/>
      <c r="HB653" s="296"/>
      <c r="HC653" s="43"/>
    </row>
    <row r="654" spans="1:211" s="85" customFormat="1">
      <c r="A654" s="502" t="s">
        <v>951</v>
      </c>
      <c r="B654" s="315" t="s">
        <v>878</v>
      </c>
      <c r="C654" s="314">
        <v>229841</v>
      </c>
      <c r="D654" s="343">
        <v>9</v>
      </c>
      <c r="E654" s="460">
        <v>200</v>
      </c>
      <c r="F654" s="552">
        <v>241</v>
      </c>
      <c r="G654" s="158"/>
      <c r="H654" s="277"/>
      <c r="I654" s="158">
        <v>382</v>
      </c>
      <c r="J654" s="552">
        <v>467</v>
      </c>
      <c r="K654" s="160">
        <f t="shared" si="267"/>
        <v>0</v>
      </c>
      <c r="L654" s="161">
        <f t="shared" si="260"/>
        <v>0</v>
      </c>
      <c r="M654" s="54"/>
      <c r="N654" s="55"/>
      <c r="O654" s="55"/>
      <c r="P654" s="55"/>
      <c r="Q654" s="162">
        <f t="shared" si="268"/>
        <v>0</v>
      </c>
      <c r="R654" s="277"/>
      <c r="S654" s="277"/>
      <c r="T654" s="277"/>
      <c r="U654" s="277"/>
      <c r="V654" s="97">
        <f t="shared" si="269"/>
        <v>0</v>
      </c>
      <c r="W654" s="279"/>
      <c r="X654" s="52"/>
      <c r="Y654" s="99"/>
      <c r="Z654" s="53"/>
      <c r="AA654" s="228"/>
      <c r="AB654" s="52"/>
      <c r="AC654" s="99"/>
      <c r="AD654" s="53"/>
      <c r="AE654" s="228"/>
      <c r="AF654" s="52"/>
      <c r="AG654" s="99"/>
      <c r="AH654" s="53"/>
      <c r="AI654" s="228"/>
      <c r="AJ654" s="52"/>
      <c r="AK654" s="99"/>
      <c r="AL654" s="53"/>
      <c r="AM654" s="228"/>
      <c r="AN654" s="52"/>
      <c r="AO654" s="99"/>
      <c r="AP654" s="53"/>
      <c r="AQ654" s="50">
        <f t="shared" si="261"/>
        <v>0</v>
      </c>
      <c r="AR654" s="163">
        <f t="shared" si="262"/>
        <v>0</v>
      </c>
      <c r="AS654" s="97">
        <f t="shared" si="263"/>
        <v>0</v>
      </c>
      <c r="AT654" s="278">
        <f t="shared" si="264"/>
        <v>0</v>
      </c>
      <c r="AU654" s="55"/>
      <c r="AV654" s="277"/>
      <c r="AW654" s="279"/>
      <c r="AX654" s="52"/>
      <c r="AY654" s="105"/>
      <c r="AZ654" s="98"/>
      <c r="BA654" s="279"/>
      <c r="BB654" s="52"/>
      <c r="BC654" s="105"/>
      <c r="BD654" s="98"/>
      <c r="BE654" s="279"/>
      <c r="BF654" s="52"/>
      <c r="BG654" s="105"/>
      <c r="BH654" s="98"/>
      <c r="BI654" s="279"/>
      <c r="BJ654" s="52"/>
      <c r="BK654" s="105"/>
      <c r="BL654" s="98"/>
      <c r="BM654" s="279"/>
      <c r="BN654" s="52"/>
      <c r="BO654" s="105"/>
      <c r="BP654" s="98"/>
      <c r="BQ654" s="279"/>
      <c r="BR654" s="52"/>
      <c r="BS654" s="105"/>
      <c r="BT654" s="98"/>
      <c r="BU654" s="279"/>
      <c r="BV654" s="52"/>
      <c r="BW654" s="105"/>
      <c r="BX654" s="98"/>
      <c r="BY654" s="279"/>
      <c r="BZ654" s="52"/>
      <c r="CA654" s="105"/>
      <c r="CB654" s="98"/>
      <c r="CC654" s="279"/>
      <c r="CD654" s="52"/>
      <c r="CE654" s="105"/>
      <c r="CF654" s="98"/>
      <c r="CG654" s="279"/>
      <c r="CH654" s="52"/>
      <c r="CI654" s="105"/>
      <c r="CJ654" s="98"/>
      <c r="CK654" s="281"/>
      <c r="CL654" s="277"/>
      <c r="CM654" s="159"/>
      <c r="CN654" s="277"/>
      <c r="CO654" s="50">
        <f t="shared" si="270"/>
        <v>0</v>
      </c>
      <c r="CP654" s="103">
        <f t="shared" si="271"/>
        <v>0</v>
      </c>
      <c r="CQ654" s="280">
        <f t="shared" si="272"/>
        <v>0</v>
      </c>
      <c r="CR654" s="63">
        <f t="shared" si="273"/>
        <v>0</v>
      </c>
      <c r="CS654" s="279"/>
      <c r="CT654" s="52"/>
      <c r="CU654" s="105"/>
      <c r="CV654" s="98"/>
      <c r="CW654" s="279"/>
      <c r="CX654" s="52"/>
      <c r="CY654" s="105"/>
      <c r="CZ654" s="98"/>
      <c r="DA654" s="279"/>
      <c r="DB654" s="52"/>
      <c r="DC654" s="105"/>
      <c r="DD654" s="98"/>
      <c r="DE654" s="279"/>
      <c r="DF654" s="52"/>
      <c r="DG654" s="105"/>
      <c r="DH654" s="98"/>
      <c r="DI654" s="279"/>
      <c r="DJ654" s="52"/>
      <c r="DK654" s="105"/>
      <c r="DL654" s="98"/>
      <c r="DM654" s="279"/>
      <c r="DN654" s="52"/>
      <c r="DO654" s="105"/>
      <c r="DP654" s="98"/>
      <c r="DQ654" s="279"/>
      <c r="DR654" s="52"/>
      <c r="DS654" s="105"/>
      <c r="DT654" s="98"/>
      <c r="DU654" s="279"/>
      <c r="DV654" s="52"/>
      <c r="DW654" s="105"/>
      <c r="DX654" s="98"/>
      <c r="DY654" s="279"/>
      <c r="DZ654" s="52"/>
      <c r="EA654" s="105"/>
      <c r="EB654" s="98"/>
      <c r="EC654" s="279"/>
      <c r="ED654" s="52"/>
      <c r="EE654" s="105"/>
      <c r="EF654" s="98"/>
      <c r="EG654" s="159"/>
      <c r="EH654" s="277"/>
      <c r="EI654" s="50">
        <f t="shared" si="274"/>
        <v>0</v>
      </c>
      <c r="EJ654" s="103">
        <f t="shared" si="275"/>
        <v>0</v>
      </c>
      <c r="EK654" s="164">
        <f t="shared" si="276"/>
        <v>0</v>
      </c>
      <c r="EL654" s="280">
        <f t="shared" si="277"/>
        <v>0</v>
      </c>
      <c r="EM654" s="63">
        <f t="shared" si="278"/>
        <v>0</v>
      </c>
      <c r="EN654" s="359">
        <f t="shared" si="279"/>
        <v>0</v>
      </c>
      <c r="EO654" s="51">
        <f t="shared" si="280"/>
        <v>0</v>
      </c>
      <c r="EP654" s="361">
        <f t="shared" si="281"/>
        <v>0</v>
      </c>
      <c r="EQ654" s="281"/>
      <c r="ER654" s="277"/>
      <c r="ES654" s="281"/>
      <c r="ET654" s="277"/>
      <c r="EU654" s="281"/>
      <c r="EV654" s="277"/>
      <c r="EW654" s="281"/>
      <c r="EX654" s="277"/>
      <c r="EY654" s="281"/>
      <c r="EZ654" s="277"/>
      <c r="FA654" s="281"/>
      <c r="FB654" s="277"/>
      <c r="FC654" s="281"/>
      <c r="FD654" s="277"/>
      <c r="FE654" s="281"/>
      <c r="FF654" s="277"/>
      <c r="FG654" s="281"/>
      <c r="FH654" s="277"/>
      <c r="FI654" s="281"/>
      <c r="FJ654" s="277"/>
      <c r="FK654" s="50">
        <f t="shared" si="282"/>
        <v>0</v>
      </c>
      <c r="FL654" s="63">
        <f t="shared" si="283"/>
        <v>0</v>
      </c>
      <c r="FM654" s="50">
        <f t="shared" si="265"/>
        <v>582</v>
      </c>
      <c r="FN654" s="360">
        <f t="shared" si="266"/>
        <v>708</v>
      </c>
      <c r="FO654" s="43"/>
      <c r="FP654" s="279"/>
      <c r="FQ654" s="467"/>
      <c r="FR654" s="296"/>
      <c r="FS654" s="98"/>
      <c r="FT654" s="467"/>
      <c r="FU654" s="52"/>
      <c r="FV654" s="296"/>
      <c r="FW654" s="98"/>
      <c r="FX654" s="467"/>
      <c r="FY654" s="52"/>
      <c r="FZ654" s="296"/>
      <c r="GA654" s="98"/>
      <c r="GB654" s="467"/>
      <c r="GC654" s="52"/>
      <c r="GD654" s="296"/>
      <c r="GE654" s="98"/>
      <c r="GF654" s="467"/>
      <c r="GG654" s="52"/>
      <c r="GH654" s="296"/>
      <c r="GI654" s="98"/>
      <c r="GJ654" s="467"/>
      <c r="GK654" s="52"/>
      <c r="GL654" s="296"/>
      <c r="GM654" s="464"/>
      <c r="GN654" s="467"/>
      <c r="GO654" s="52"/>
      <c r="GP654" s="296"/>
      <c r="GQ654" s="464"/>
      <c r="GR654" s="467"/>
      <c r="GS654" s="52"/>
      <c r="GT654" s="296"/>
      <c r="GU654" s="464"/>
      <c r="GV654" s="467"/>
      <c r="GW654" s="52"/>
      <c r="GX654" s="296"/>
      <c r="GY654" s="464"/>
      <c r="GZ654" s="467"/>
      <c r="HA654" s="52"/>
      <c r="HB654" s="296"/>
      <c r="HC654" s="43"/>
    </row>
    <row r="655" spans="1:211" s="85" customFormat="1">
      <c r="A655" s="502" t="s">
        <v>951</v>
      </c>
      <c r="B655" s="315" t="s">
        <v>879</v>
      </c>
      <c r="C655" s="314">
        <v>223922</v>
      </c>
      <c r="D655" s="343">
        <v>10</v>
      </c>
      <c r="E655" s="460">
        <v>128</v>
      </c>
      <c r="F655" s="552">
        <v>83</v>
      </c>
      <c r="G655" s="158"/>
      <c r="H655" s="277"/>
      <c r="I655" s="158">
        <v>97</v>
      </c>
      <c r="J655" s="552">
        <v>93</v>
      </c>
      <c r="K655" s="160">
        <f t="shared" si="267"/>
        <v>0</v>
      </c>
      <c r="L655" s="161">
        <f t="shared" si="260"/>
        <v>0</v>
      </c>
      <c r="M655" s="54"/>
      <c r="N655" s="55"/>
      <c r="O655" s="55"/>
      <c r="P655" s="55"/>
      <c r="Q655" s="162">
        <f t="shared" si="268"/>
        <v>0</v>
      </c>
      <c r="R655" s="277"/>
      <c r="S655" s="277"/>
      <c r="T655" s="277"/>
      <c r="U655" s="277"/>
      <c r="V655" s="97">
        <f t="shared" si="269"/>
        <v>0</v>
      </c>
      <c r="W655" s="279"/>
      <c r="X655" s="52"/>
      <c r="Y655" s="99"/>
      <c r="Z655" s="53"/>
      <c r="AA655" s="228"/>
      <c r="AB655" s="52"/>
      <c r="AC655" s="99"/>
      <c r="AD655" s="53"/>
      <c r="AE655" s="228"/>
      <c r="AF655" s="52"/>
      <c r="AG655" s="99"/>
      <c r="AH655" s="53"/>
      <c r="AI655" s="228"/>
      <c r="AJ655" s="52"/>
      <c r="AK655" s="99"/>
      <c r="AL655" s="53"/>
      <c r="AM655" s="228"/>
      <c r="AN655" s="52"/>
      <c r="AO655" s="99"/>
      <c r="AP655" s="53"/>
      <c r="AQ655" s="50">
        <f t="shared" si="261"/>
        <v>0</v>
      </c>
      <c r="AR655" s="163">
        <f t="shared" si="262"/>
        <v>0</v>
      </c>
      <c r="AS655" s="97">
        <f t="shared" si="263"/>
        <v>0</v>
      </c>
      <c r="AT655" s="278">
        <f t="shared" si="264"/>
        <v>0</v>
      </c>
      <c r="AU655" s="55"/>
      <c r="AV655" s="277"/>
      <c r="AW655" s="279"/>
      <c r="AX655" s="52"/>
      <c r="AY655" s="105"/>
      <c r="AZ655" s="98"/>
      <c r="BA655" s="279"/>
      <c r="BB655" s="52"/>
      <c r="BC655" s="105"/>
      <c r="BD655" s="98"/>
      <c r="BE655" s="279"/>
      <c r="BF655" s="52"/>
      <c r="BG655" s="105"/>
      <c r="BH655" s="98"/>
      <c r="BI655" s="279"/>
      <c r="BJ655" s="52"/>
      <c r="BK655" s="105"/>
      <c r="BL655" s="98"/>
      <c r="BM655" s="279"/>
      <c r="BN655" s="52"/>
      <c r="BO655" s="105"/>
      <c r="BP655" s="98"/>
      <c r="BQ655" s="279"/>
      <c r="BR655" s="52"/>
      <c r="BS655" s="105"/>
      <c r="BT655" s="98"/>
      <c r="BU655" s="279"/>
      <c r="BV655" s="52"/>
      <c r="BW655" s="105"/>
      <c r="BX655" s="98"/>
      <c r="BY655" s="279"/>
      <c r="BZ655" s="52"/>
      <c r="CA655" s="105"/>
      <c r="CB655" s="98"/>
      <c r="CC655" s="279"/>
      <c r="CD655" s="52"/>
      <c r="CE655" s="105"/>
      <c r="CF655" s="98"/>
      <c r="CG655" s="279"/>
      <c r="CH655" s="52"/>
      <c r="CI655" s="105"/>
      <c r="CJ655" s="98"/>
      <c r="CK655" s="281"/>
      <c r="CL655" s="277"/>
      <c r="CM655" s="159"/>
      <c r="CN655" s="277"/>
      <c r="CO655" s="50">
        <f t="shared" si="270"/>
        <v>0</v>
      </c>
      <c r="CP655" s="103">
        <f t="shared" si="271"/>
        <v>0</v>
      </c>
      <c r="CQ655" s="280">
        <f t="shared" si="272"/>
        <v>0</v>
      </c>
      <c r="CR655" s="63">
        <f t="shared" si="273"/>
        <v>0</v>
      </c>
      <c r="CS655" s="279"/>
      <c r="CT655" s="52"/>
      <c r="CU655" s="105"/>
      <c r="CV655" s="98"/>
      <c r="CW655" s="279"/>
      <c r="CX655" s="52"/>
      <c r="CY655" s="105"/>
      <c r="CZ655" s="98"/>
      <c r="DA655" s="279"/>
      <c r="DB655" s="52"/>
      <c r="DC655" s="105"/>
      <c r="DD655" s="98"/>
      <c r="DE655" s="279"/>
      <c r="DF655" s="52"/>
      <c r="DG655" s="105"/>
      <c r="DH655" s="98"/>
      <c r="DI655" s="279"/>
      <c r="DJ655" s="52"/>
      <c r="DK655" s="105"/>
      <c r="DL655" s="98"/>
      <c r="DM655" s="279"/>
      <c r="DN655" s="52"/>
      <c r="DO655" s="105"/>
      <c r="DP655" s="98"/>
      <c r="DQ655" s="279"/>
      <c r="DR655" s="52"/>
      <c r="DS655" s="105"/>
      <c r="DT655" s="98"/>
      <c r="DU655" s="279"/>
      <c r="DV655" s="52"/>
      <c r="DW655" s="105"/>
      <c r="DX655" s="98"/>
      <c r="DY655" s="279"/>
      <c r="DZ655" s="52"/>
      <c r="EA655" s="105"/>
      <c r="EB655" s="98"/>
      <c r="EC655" s="279"/>
      <c r="ED655" s="52"/>
      <c r="EE655" s="105"/>
      <c r="EF655" s="98"/>
      <c r="EG655" s="159"/>
      <c r="EH655" s="277"/>
      <c r="EI655" s="50">
        <f t="shared" si="274"/>
        <v>0</v>
      </c>
      <c r="EJ655" s="103">
        <f t="shared" si="275"/>
        <v>0</v>
      </c>
      <c r="EK655" s="164">
        <f t="shared" si="276"/>
        <v>0</v>
      </c>
      <c r="EL655" s="280">
        <f t="shared" si="277"/>
        <v>0</v>
      </c>
      <c r="EM655" s="63">
        <f t="shared" si="278"/>
        <v>0</v>
      </c>
      <c r="EN655" s="359">
        <f t="shared" si="279"/>
        <v>0</v>
      </c>
      <c r="EO655" s="51">
        <f t="shared" si="280"/>
        <v>0</v>
      </c>
      <c r="EP655" s="361">
        <f t="shared" si="281"/>
        <v>0</v>
      </c>
      <c r="EQ655" s="281"/>
      <c r="ER655" s="277"/>
      <c r="ES655" s="281"/>
      <c r="ET655" s="277"/>
      <c r="EU655" s="281"/>
      <c r="EV655" s="277"/>
      <c r="EW655" s="281"/>
      <c r="EX655" s="277"/>
      <c r="EY655" s="281"/>
      <c r="EZ655" s="277"/>
      <c r="FA655" s="281"/>
      <c r="FB655" s="277"/>
      <c r="FC655" s="281"/>
      <c r="FD655" s="277"/>
      <c r="FE655" s="281"/>
      <c r="FF655" s="277"/>
      <c r="FG655" s="281"/>
      <c r="FH655" s="277"/>
      <c r="FI655" s="281"/>
      <c r="FJ655" s="277"/>
      <c r="FK655" s="50">
        <f t="shared" si="282"/>
        <v>0</v>
      </c>
      <c r="FL655" s="63">
        <f t="shared" si="283"/>
        <v>0</v>
      </c>
      <c r="FM655" s="50">
        <f t="shared" si="265"/>
        <v>225</v>
      </c>
      <c r="FN655" s="360">
        <f t="shared" si="266"/>
        <v>176</v>
      </c>
      <c r="FO655" s="43"/>
      <c r="FP655" s="279"/>
      <c r="FQ655" s="467"/>
      <c r="FR655" s="296"/>
      <c r="FS655" s="98"/>
      <c r="FT655" s="467"/>
      <c r="FU655" s="52"/>
      <c r="FV655" s="296"/>
      <c r="FW655" s="98"/>
      <c r="FX655" s="467"/>
      <c r="FY655" s="52"/>
      <c r="FZ655" s="296"/>
      <c r="GA655" s="98"/>
      <c r="GB655" s="467"/>
      <c r="GC655" s="52"/>
      <c r="GD655" s="296"/>
      <c r="GE655" s="98"/>
      <c r="GF655" s="467"/>
      <c r="GG655" s="52"/>
      <c r="GH655" s="296"/>
      <c r="GI655" s="98"/>
      <c r="GJ655" s="467"/>
      <c r="GK655" s="52"/>
      <c r="GL655" s="296"/>
      <c r="GM655" s="464"/>
      <c r="GN655" s="467"/>
      <c r="GO655" s="52"/>
      <c r="GP655" s="296"/>
      <c r="GQ655" s="464"/>
      <c r="GR655" s="467"/>
      <c r="GS655" s="52"/>
      <c r="GT655" s="296"/>
      <c r="GU655" s="464"/>
      <c r="GV655" s="467"/>
      <c r="GW655" s="52"/>
      <c r="GX655" s="296"/>
      <c r="GY655" s="464"/>
      <c r="GZ655" s="467"/>
      <c r="HA655" s="52"/>
      <c r="HB655" s="296"/>
      <c r="HC655" s="43"/>
    </row>
    <row r="656" spans="1:211" s="85" customFormat="1">
      <c r="A656" s="502" t="s">
        <v>951</v>
      </c>
      <c r="B656" s="315" t="s">
        <v>880</v>
      </c>
      <c r="C656" s="314">
        <v>224891</v>
      </c>
      <c r="D656" s="343">
        <v>10</v>
      </c>
      <c r="E656" s="460">
        <v>63</v>
      </c>
      <c r="F656" s="552">
        <v>78</v>
      </c>
      <c r="G656" s="158"/>
      <c r="H656" s="277"/>
      <c r="I656" s="158">
        <v>88</v>
      </c>
      <c r="J656" s="552">
        <v>74</v>
      </c>
      <c r="K656" s="160">
        <f t="shared" si="267"/>
        <v>0</v>
      </c>
      <c r="L656" s="161">
        <f t="shared" si="260"/>
        <v>0</v>
      </c>
      <c r="M656" s="54"/>
      <c r="N656" s="55"/>
      <c r="O656" s="55"/>
      <c r="P656" s="55"/>
      <c r="Q656" s="162">
        <f t="shared" si="268"/>
        <v>0</v>
      </c>
      <c r="R656" s="277"/>
      <c r="S656" s="277"/>
      <c r="T656" s="277"/>
      <c r="U656" s="277"/>
      <c r="V656" s="97">
        <f t="shared" si="269"/>
        <v>0</v>
      </c>
      <c r="W656" s="279"/>
      <c r="X656" s="52"/>
      <c r="Y656" s="99"/>
      <c r="Z656" s="53"/>
      <c r="AA656" s="228"/>
      <c r="AB656" s="52"/>
      <c r="AC656" s="99"/>
      <c r="AD656" s="53"/>
      <c r="AE656" s="228"/>
      <c r="AF656" s="52"/>
      <c r="AG656" s="99"/>
      <c r="AH656" s="53"/>
      <c r="AI656" s="228"/>
      <c r="AJ656" s="52"/>
      <c r="AK656" s="99"/>
      <c r="AL656" s="53"/>
      <c r="AM656" s="228"/>
      <c r="AN656" s="52"/>
      <c r="AO656" s="99"/>
      <c r="AP656" s="53"/>
      <c r="AQ656" s="50">
        <f t="shared" si="261"/>
        <v>0</v>
      </c>
      <c r="AR656" s="163">
        <f t="shared" si="262"/>
        <v>0</v>
      </c>
      <c r="AS656" s="97">
        <f t="shared" si="263"/>
        <v>0</v>
      </c>
      <c r="AT656" s="278">
        <f t="shared" si="264"/>
        <v>0</v>
      </c>
      <c r="AU656" s="55"/>
      <c r="AV656" s="277"/>
      <c r="AW656" s="279"/>
      <c r="AX656" s="52"/>
      <c r="AY656" s="105"/>
      <c r="AZ656" s="98"/>
      <c r="BA656" s="279"/>
      <c r="BB656" s="52"/>
      <c r="BC656" s="105"/>
      <c r="BD656" s="98"/>
      <c r="BE656" s="279"/>
      <c r="BF656" s="52"/>
      <c r="BG656" s="105"/>
      <c r="BH656" s="98"/>
      <c r="BI656" s="279"/>
      <c r="BJ656" s="52"/>
      <c r="BK656" s="105"/>
      <c r="BL656" s="98"/>
      <c r="BM656" s="279"/>
      <c r="BN656" s="52"/>
      <c r="BO656" s="105"/>
      <c r="BP656" s="98"/>
      <c r="BQ656" s="279"/>
      <c r="BR656" s="52"/>
      <c r="BS656" s="105"/>
      <c r="BT656" s="98"/>
      <c r="BU656" s="279"/>
      <c r="BV656" s="52"/>
      <c r="BW656" s="105"/>
      <c r="BX656" s="98"/>
      <c r="BY656" s="279"/>
      <c r="BZ656" s="52"/>
      <c r="CA656" s="105"/>
      <c r="CB656" s="98"/>
      <c r="CC656" s="279"/>
      <c r="CD656" s="52"/>
      <c r="CE656" s="105"/>
      <c r="CF656" s="98"/>
      <c r="CG656" s="279"/>
      <c r="CH656" s="52"/>
      <c r="CI656" s="105"/>
      <c r="CJ656" s="98"/>
      <c r="CK656" s="281"/>
      <c r="CL656" s="277"/>
      <c r="CM656" s="159"/>
      <c r="CN656" s="277"/>
      <c r="CO656" s="50">
        <f t="shared" si="270"/>
        <v>0</v>
      </c>
      <c r="CP656" s="103">
        <f t="shared" si="271"/>
        <v>0</v>
      </c>
      <c r="CQ656" s="280">
        <f t="shared" si="272"/>
        <v>0</v>
      </c>
      <c r="CR656" s="63">
        <f t="shared" si="273"/>
        <v>0</v>
      </c>
      <c r="CS656" s="279"/>
      <c r="CT656" s="52"/>
      <c r="CU656" s="105"/>
      <c r="CV656" s="98"/>
      <c r="CW656" s="279"/>
      <c r="CX656" s="52"/>
      <c r="CY656" s="105"/>
      <c r="CZ656" s="98"/>
      <c r="DA656" s="279"/>
      <c r="DB656" s="52"/>
      <c r="DC656" s="105"/>
      <c r="DD656" s="98"/>
      <c r="DE656" s="279"/>
      <c r="DF656" s="52"/>
      <c r="DG656" s="105"/>
      <c r="DH656" s="98"/>
      <c r="DI656" s="279"/>
      <c r="DJ656" s="52"/>
      <c r="DK656" s="105"/>
      <c r="DL656" s="98"/>
      <c r="DM656" s="279"/>
      <c r="DN656" s="52"/>
      <c r="DO656" s="105"/>
      <c r="DP656" s="98"/>
      <c r="DQ656" s="279"/>
      <c r="DR656" s="52"/>
      <c r="DS656" s="105"/>
      <c r="DT656" s="98"/>
      <c r="DU656" s="279"/>
      <c r="DV656" s="52"/>
      <c r="DW656" s="105"/>
      <c r="DX656" s="98"/>
      <c r="DY656" s="279"/>
      <c r="DZ656" s="52"/>
      <c r="EA656" s="105"/>
      <c r="EB656" s="98"/>
      <c r="EC656" s="279"/>
      <c r="ED656" s="52"/>
      <c r="EE656" s="105"/>
      <c r="EF656" s="98"/>
      <c r="EG656" s="159"/>
      <c r="EH656" s="277"/>
      <c r="EI656" s="50">
        <f t="shared" si="274"/>
        <v>0</v>
      </c>
      <c r="EJ656" s="103">
        <f t="shared" si="275"/>
        <v>0</v>
      </c>
      <c r="EK656" s="164">
        <f t="shared" si="276"/>
        <v>0</v>
      </c>
      <c r="EL656" s="280">
        <f t="shared" si="277"/>
        <v>0</v>
      </c>
      <c r="EM656" s="63">
        <f t="shared" si="278"/>
        <v>0</v>
      </c>
      <c r="EN656" s="359">
        <f t="shared" si="279"/>
        <v>0</v>
      </c>
      <c r="EO656" s="51">
        <f t="shared" si="280"/>
        <v>0</v>
      </c>
      <c r="EP656" s="361">
        <f t="shared" si="281"/>
        <v>0</v>
      </c>
      <c r="EQ656" s="281"/>
      <c r="ER656" s="277"/>
      <c r="ES656" s="281"/>
      <c r="ET656" s="277"/>
      <c r="EU656" s="281"/>
      <c r="EV656" s="277"/>
      <c r="EW656" s="281"/>
      <c r="EX656" s="277"/>
      <c r="EY656" s="281"/>
      <c r="EZ656" s="277"/>
      <c r="FA656" s="281"/>
      <c r="FB656" s="277"/>
      <c r="FC656" s="281"/>
      <c r="FD656" s="277"/>
      <c r="FE656" s="281"/>
      <c r="FF656" s="277"/>
      <c r="FG656" s="281"/>
      <c r="FH656" s="277"/>
      <c r="FI656" s="281"/>
      <c r="FJ656" s="277"/>
      <c r="FK656" s="50">
        <f t="shared" si="282"/>
        <v>0</v>
      </c>
      <c r="FL656" s="63">
        <f t="shared" si="283"/>
        <v>0</v>
      </c>
      <c r="FM656" s="50">
        <f t="shared" si="265"/>
        <v>151</v>
      </c>
      <c r="FN656" s="360">
        <f t="shared" si="266"/>
        <v>152</v>
      </c>
      <c r="FO656" s="43"/>
      <c r="FP656" s="279"/>
      <c r="FQ656" s="467"/>
      <c r="FR656" s="296"/>
      <c r="FS656" s="98"/>
      <c r="FT656" s="467"/>
      <c r="FU656" s="52"/>
      <c r="FV656" s="296"/>
      <c r="FW656" s="98"/>
      <c r="FX656" s="467"/>
      <c r="FY656" s="52"/>
      <c r="FZ656" s="296"/>
      <c r="GA656" s="98"/>
      <c r="GB656" s="467"/>
      <c r="GC656" s="52"/>
      <c r="GD656" s="296"/>
      <c r="GE656" s="98"/>
      <c r="GF656" s="467"/>
      <c r="GG656" s="52"/>
      <c r="GH656" s="296"/>
      <c r="GI656" s="98"/>
      <c r="GJ656" s="467"/>
      <c r="GK656" s="52"/>
      <c r="GL656" s="296"/>
      <c r="GM656" s="464"/>
      <c r="GN656" s="467"/>
      <c r="GO656" s="52"/>
      <c r="GP656" s="296"/>
      <c r="GQ656" s="464"/>
      <c r="GR656" s="467"/>
      <c r="GS656" s="52"/>
      <c r="GT656" s="296"/>
      <c r="GU656" s="464"/>
      <c r="GV656" s="467"/>
      <c r="GW656" s="52"/>
      <c r="GX656" s="296"/>
      <c r="GY656" s="464"/>
      <c r="GZ656" s="467"/>
      <c r="HA656" s="52"/>
      <c r="HB656" s="296"/>
      <c r="HC656" s="43"/>
    </row>
    <row r="657" spans="1:211" s="85" customFormat="1">
      <c r="A657" s="502" t="s">
        <v>951</v>
      </c>
      <c r="B657" s="315" t="s">
        <v>881</v>
      </c>
      <c r="C657" s="314">
        <v>224961</v>
      </c>
      <c r="D657" s="343">
        <v>10</v>
      </c>
      <c r="E657" s="460">
        <v>145</v>
      </c>
      <c r="F657" s="552">
        <v>133</v>
      </c>
      <c r="G657" s="158"/>
      <c r="H657" s="277"/>
      <c r="I657" s="158">
        <v>159</v>
      </c>
      <c r="J657" s="552">
        <v>169</v>
      </c>
      <c r="K657" s="160">
        <f t="shared" si="267"/>
        <v>0</v>
      </c>
      <c r="L657" s="161">
        <f t="shared" si="260"/>
        <v>0</v>
      </c>
      <c r="M657" s="54"/>
      <c r="N657" s="55"/>
      <c r="O657" s="55"/>
      <c r="P657" s="55"/>
      <c r="Q657" s="162">
        <f t="shared" si="268"/>
        <v>0</v>
      </c>
      <c r="R657" s="277"/>
      <c r="S657" s="277"/>
      <c r="T657" s="277"/>
      <c r="U657" s="277"/>
      <c r="V657" s="97">
        <f t="shared" si="269"/>
        <v>0</v>
      </c>
      <c r="W657" s="279"/>
      <c r="X657" s="52"/>
      <c r="Y657" s="99"/>
      <c r="Z657" s="53"/>
      <c r="AA657" s="228"/>
      <c r="AB657" s="52"/>
      <c r="AC657" s="99"/>
      <c r="AD657" s="53"/>
      <c r="AE657" s="228"/>
      <c r="AF657" s="52"/>
      <c r="AG657" s="99"/>
      <c r="AH657" s="53"/>
      <c r="AI657" s="228"/>
      <c r="AJ657" s="52"/>
      <c r="AK657" s="99"/>
      <c r="AL657" s="53"/>
      <c r="AM657" s="228"/>
      <c r="AN657" s="52"/>
      <c r="AO657" s="99"/>
      <c r="AP657" s="53"/>
      <c r="AQ657" s="50">
        <f t="shared" si="261"/>
        <v>0</v>
      </c>
      <c r="AR657" s="163">
        <f t="shared" si="262"/>
        <v>0</v>
      </c>
      <c r="AS657" s="97">
        <f t="shared" si="263"/>
        <v>0</v>
      </c>
      <c r="AT657" s="278">
        <f t="shared" si="264"/>
        <v>0</v>
      </c>
      <c r="AU657" s="55"/>
      <c r="AV657" s="277"/>
      <c r="AW657" s="279"/>
      <c r="AX657" s="52"/>
      <c r="AY657" s="105"/>
      <c r="AZ657" s="98"/>
      <c r="BA657" s="279"/>
      <c r="BB657" s="52"/>
      <c r="BC657" s="105"/>
      <c r="BD657" s="98"/>
      <c r="BE657" s="279"/>
      <c r="BF657" s="52"/>
      <c r="BG657" s="105"/>
      <c r="BH657" s="98"/>
      <c r="BI657" s="279"/>
      <c r="BJ657" s="52"/>
      <c r="BK657" s="105"/>
      <c r="BL657" s="98"/>
      <c r="BM657" s="279"/>
      <c r="BN657" s="52"/>
      <c r="BO657" s="105"/>
      <c r="BP657" s="98"/>
      <c r="BQ657" s="279"/>
      <c r="BR657" s="52"/>
      <c r="BS657" s="105"/>
      <c r="BT657" s="98"/>
      <c r="BU657" s="279"/>
      <c r="BV657" s="52"/>
      <c r="BW657" s="105"/>
      <c r="BX657" s="98"/>
      <c r="BY657" s="279"/>
      <c r="BZ657" s="52"/>
      <c r="CA657" s="105"/>
      <c r="CB657" s="98"/>
      <c r="CC657" s="279"/>
      <c r="CD657" s="52"/>
      <c r="CE657" s="105"/>
      <c r="CF657" s="98"/>
      <c r="CG657" s="279"/>
      <c r="CH657" s="52"/>
      <c r="CI657" s="105"/>
      <c r="CJ657" s="98"/>
      <c r="CK657" s="281"/>
      <c r="CL657" s="277"/>
      <c r="CM657" s="159"/>
      <c r="CN657" s="277"/>
      <c r="CO657" s="50">
        <f t="shared" si="270"/>
        <v>0</v>
      </c>
      <c r="CP657" s="103">
        <f t="shared" si="271"/>
        <v>0</v>
      </c>
      <c r="CQ657" s="280">
        <f t="shared" si="272"/>
        <v>0</v>
      </c>
      <c r="CR657" s="63">
        <f t="shared" si="273"/>
        <v>0</v>
      </c>
      <c r="CS657" s="279"/>
      <c r="CT657" s="52"/>
      <c r="CU657" s="105"/>
      <c r="CV657" s="98"/>
      <c r="CW657" s="279"/>
      <c r="CX657" s="52"/>
      <c r="CY657" s="105"/>
      <c r="CZ657" s="98"/>
      <c r="DA657" s="279"/>
      <c r="DB657" s="52"/>
      <c r="DC657" s="105"/>
      <c r="DD657" s="98"/>
      <c r="DE657" s="279"/>
      <c r="DF657" s="52"/>
      <c r="DG657" s="105"/>
      <c r="DH657" s="98"/>
      <c r="DI657" s="279"/>
      <c r="DJ657" s="52"/>
      <c r="DK657" s="105"/>
      <c r="DL657" s="98"/>
      <c r="DM657" s="279"/>
      <c r="DN657" s="52"/>
      <c r="DO657" s="105"/>
      <c r="DP657" s="98"/>
      <c r="DQ657" s="279"/>
      <c r="DR657" s="52"/>
      <c r="DS657" s="105"/>
      <c r="DT657" s="98"/>
      <c r="DU657" s="279"/>
      <c r="DV657" s="52"/>
      <c r="DW657" s="105"/>
      <c r="DX657" s="98"/>
      <c r="DY657" s="279"/>
      <c r="DZ657" s="52"/>
      <c r="EA657" s="105"/>
      <c r="EB657" s="98"/>
      <c r="EC657" s="279"/>
      <c r="ED657" s="52"/>
      <c r="EE657" s="105"/>
      <c r="EF657" s="98"/>
      <c r="EG657" s="159"/>
      <c r="EH657" s="277"/>
      <c r="EI657" s="50">
        <f t="shared" si="274"/>
        <v>0</v>
      </c>
      <c r="EJ657" s="103">
        <f t="shared" si="275"/>
        <v>0</v>
      </c>
      <c r="EK657" s="164">
        <f t="shared" si="276"/>
        <v>0</v>
      </c>
      <c r="EL657" s="280">
        <f t="shared" si="277"/>
        <v>0</v>
      </c>
      <c r="EM657" s="63">
        <f t="shared" si="278"/>
        <v>0</v>
      </c>
      <c r="EN657" s="359">
        <f t="shared" si="279"/>
        <v>0</v>
      </c>
      <c r="EO657" s="51">
        <f t="shared" si="280"/>
        <v>0</v>
      </c>
      <c r="EP657" s="361">
        <f t="shared" si="281"/>
        <v>0</v>
      </c>
      <c r="EQ657" s="281"/>
      <c r="ER657" s="277"/>
      <c r="ES657" s="281"/>
      <c r="ET657" s="277"/>
      <c r="EU657" s="281"/>
      <c r="EV657" s="277"/>
      <c r="EW657" s="281"/>
      <c r="EX657" s="277"/>
      <c r="EY657" s="281"/>
      <c r="EZ657" s="277"/>
      <c r="FA657" s="281"/>
      <c r="FB657" s="277"/>
      <c r="FC657" s="281"/>
      <c r="FD657" s="277"/>
      <c r="FE657" s="281"/>
      <c r="FF657" s="277"/>
      <c r="FG657" s="281"/>
      <c r="FH657" s="277"/>
      <c r="FI657" s="281"/>
      <c r="FJ657" s="277"/>
      <c r="FK657" s="50">
        <f t="shared" si="282"/>
        <v>0</v>
      </c>
      <c r="FL657" s="63">
        <f t="shared" si="283"/>
        <v>0</v>
      </c>
      <c r="FM657" s="50">
        <f t="shared" si="265"/>
        <v>304</v>
      </c>
      <c r="FN657" s="360">
        <f t="shared" si="266"/>
        <v>302</v>
      </c>
      <c r="FO657" s="43"/>
      <c r="FP657" s="279"/>
      <c r="FQ657" s="467"/>
      <c r="FR657" s="296"/>
      <c r="FS657" s="98"/>
      <c r="FT657" s="467"/>
      <c r="FU657" s="52"/>
      <c r="FV657" s="296"/>
      <c r="FW657" s="98"/>
      <c r="FX657" s="467"/>
      <c r="FY657" s="52"/>
      <c r="FZ657" s="296"/>
      <c r="GA657" s="98"/>
      <c r="GB657" s="467"/>
      <c r="GC657" s="52"/>
      <c r="GD657" s="296"/>
      <c r="GE657" s="98"/>
      <c r="GF657" s="467"/>
      <c r="GG657" s="52"/>
      <c r="GH657" s="296"/>
      <c r="GI657" s="98"/>
      <c r="GJ657" s="467"/>
      <c r="GK657" s="52"/>
      <c r="GL657" s="296"/>
      <c r="GM657" s="464"/>
      <c r="GN657" s="467"/>
      <c r="GO657" s="52"/>
      <c r="GP657" s="296"/>
      <c r="GQ657" s="464"/>
      <c r="GR657" s="467"/>
      <c r="GS657" s="52"/>
      <c r="GT657" s="296"/>
      <c r="GU657" s="464"/>
      <c r="GV657" s="467"/>
      <c r="GW657" s="52"/>
      <c r="GX657" s="296"/>
      <c r="GY657" s="464"/>
      <c r="GZ657" s="467"/>
      <c r="HA657" s="52"/>
      <c r="HB657" s="296"/>
      <c r="HC657" s="43"/>
    </row>
    <row r="658" spans="1:211" s="85" customFormat="1">
      <c r="A658" s="555" t="s">
        <v>951</v>
      </c>
      <c r="B658" s="339" t="s">
        <v>882</v>
      </c>
      <c r="C658" s="355">
        <v>226107</v>
      </c>
      <c r="D658" s="373">
        <v>10</v>
      </c>
      <c r="E658" s="460">
        <v>222</v>
      </c>
      <c r="F658" s="552">
        <v>250</v>
      </c>
      <c r="G658" s="158"/>
      <c r="H658" s="277"/>
      <c r="I658" s="158">
        <v>146</v>
      </c>
      <c r="J658" s="552">
        <v>157</v>
      </c>
      <c r="K658" s="160">
        <f t="shared" si="267"/>
        <v>0</v>
      </c>
      <c r="L658" s="161">
        <f t="shared" si="260"/>
        <v>0</v>
      </c>
      <c r="M658" s="54"/>
      <c r="N658" s="55"/>
      <c r="O658" s="55"/>
      <c r="P658" s="55"/>
      <c r="Q658" s="162">
        <f t="shared" si="268"/>
        <v>0</v>
      </c>
      <c r="R658" s="277"/>
      <c r="S658" s="277"/>
      <c r="T658" s="277"/>
      <c r="U658" s="277"/>
      <c r="V658" s="97">
        <f t="shared" si="269"/>
        <v>0</v>
      </c>
      <c r="W658" s="279"/>
      <c r="X658" s="52"/>
      <c r="Y658" s="99"/>
      <c r="Z658" s="53"/>
      <c r="AA658" s="228"/>
      <c r="AB658" s="52"/>
      <c r="AC658" s="99"/>
      <c r="AD658" s="53"/>
      <c r="AE658" s="228"/>
      <c r="AF658" s="52"/>
      <c r="AG658" s="99"/>
      <c r="AH658" s="53"/>
      <c r="AI658" s="228"/>
      <c r="AJ658" s="52"/>
      <c r="AK658" s="99"/>
      <c r="AL658" s="53"/>
      <c r="AM658" s="228"/>
      <c r="AN658" s="52"/>
      <c r="AO658" s="99"/>
      <c r="AP658" s="53"/>
      <c r="AQ658" s="50">
        <f t="shared" si="261"/>
        <v>0</v>
      </c>
      <c r="AR658" s="163">
        <f t="shared" si="262"/>
        <v>0</v>
      </c>
      <c r="AS658" s="97">
        <f t="shared" si="263"/>
        <v>0</v>
      </c>
      <c r="AT658" s="278">
        <f t="shared" si="264"/>
        <v>0</v>
      </c>
      <c r="AU658" s="55"/>
      <c r="AV658" s="277"/>
      <c r="AW658" s="279"/>
      <c r="AX658" s="52"/>
      <c r="AY658" s="105"/>
      <c r="AZ658" s="98"/>
      <c r="BA658" s="279"/>
      <c r="BB658" s="52"/>
      <c r="BC658" s="105"/>
      <c r="BD658" s="98"/>
      <c r="BE658" s="279"/>
      <c r="BF658" s="52"/>
      <c r="BG658" s="105"/>
      <c r="BH658" s="98"/>
      <c r="BI658" s="279"/>
      <c r="BJ658" s="52"/>
      <c r="BK658" s="105"/>
      <c r="BL658" s="98"/>
      <c r="BM658" s="279"/>
      <c r="BN658" s="52"/>
      <c r="BO658" s="105"/>
      <c r="BP658" s="98"/>
      <c r="BQ658" s="279"/>
      <c r="BR658" s="52"/>
      <c r="BS658" s="105"/>
      <c r="BT658" s="98"/>
      <c r="BU658" s="279"/>
      <c r="BV658" s="52"/>
      <c r="BW658" s="105"/>
      <c r="BX658" s="98"/>
      <c r="BY658" s="279"/>
      <c r="BZ658" s="52"/>
      <c r="CA658" s="105"/>
      <c r="CB658" s="98"/>
      <c r="CC658" s="279"/>
      <c r="CD658" s="52"/>
      <c r="CE658" s="105"/>
      <c r="CF658" s="98"/>
      <c r="CG658" s="279"/>
      <c r="CH658" s="52"/>
      <c r="CI658" s="105"/>
      <c r="CJ658" s="98"/>
      <c r="CK658" s="281"/>
      <c r="CL658" s="277"/>
      <c r="CM658" s="159"/>
      <c r="CN658" s="277"/>
      <c r="CO658" s="50">
        <f t="shared" si="270"/>
        <v>0</v>
      </c>
      <c r="CP658" s="103">
        <f t="shared" si="271"/>
        <v>0</v>
      </c>
      <c r="CQ658" s="280">
        <f t="shared" si="272"/>
        <v>0</v>
      </c>
      <c r="CR658" s="63">
        <f t="shared" si="273"/>
        <v>0</v>
      </c>
      <c r="CS658" s="279"/>
      <c r="CT658" s="52"/>
      <c r="CU658" s="105"/>
      <c r="CV658" s="98"/>
      <c r="CW658" s="279"/>
      <c r="CX658" s="52"/>
      <c r="CY658" s="105"/>
      <c r="CZ658" s="98"/>
      <c r="DA658" s="279"/>
      <c r="DB658" s="52"/>
      <c r="DC658" s="105"/>
      <c r="DD658" s="98"/>
      <c r="DE658" s="279"/>
      <c r="DF658" s="52"/>
      <c r="DG658" s="105"/>
      <c r="DH658" s="98"/>
      <c r="DI658" s="279"/>
      <c r="DJ658" s="52"/>
      <c r="DK658" s="105"/>
      <c r="DL658" s="98"/>
      <c r="DM658" s="279"/>
      <c r="DN658" s="52"/>
      <c r="DO658" s="105"/>
      <c r="DP658" s="98"/>
      <c r="DQ658" s="279"/>
      <c r="DR658" s="52"/>
      <c r="DS658" s="105"/>
      <c r="DT658" s="98"/>
      <c r="DU658" s="279"/>
      <c r="DV658" s="52"/>
      <c r="DW658" s="105"/>
      <c r="DX658" s="98"/>
      <c r="DY658" s="279"/>
      <c r="DZ658" s="52"/>
      <c r="EA658" s="105"/>
      <c r="EB658" s="98"/>
      <c r="EC658" s="279"/>
      <c r="ED658" s="52"/>
      <c r="EE658" s="105"/>
      <c r="EF658" s="98"/>
      <c r="EG658" s="159"/>
      <c r="EH658" s="277"/>
      <c r="EI658" s="50">
        <f t="shared" si="274"/>
        <v>0</v>
      </c>
      <c r="EJ658" s="103">
        <f t="shared" si="275"/>
        <v>0</v>
      </c>
      <c r="EK658" s="164">
        <f t="shared" si="276"/>
        <v>0</v>
      </c>
      <c r="EL658" s="280">
        <f t="shared" si="277"/>
        <v>0</v>
      </c>
      <c r="EM658" s="63">
        <f t="shared" si="278"/>
        <v>0</v>
      </c>
      <c r="EN658" s="359">
        <f t="shared" si="279"/>
        <v>0</v>
      </c>
      <c r="EO658" s="51">
        <f t="shared" si="280"/>
        <v>0</v>
      </c>
      <c r="EP658" s="361">
        <f t="shared" si="281"/>
        <v>0</v>
      </c>
      <c r="EQ658" s="281"/>
      <c r="ER658" s="277"/>
      <c r="ES658" s="281"/>
      <c r="ET658" s="277"/>
      <c r="EU658" s="281"/>
      <c r="EV658" s="277"/>
      <c r="EW658" s="281"/>
      <c r="EX658" s="277"/>
      <c r="EY658" s="281"/>
      <c r="EZ658" s="277"/>
      <c r="FA658" s="281"/>
      <c r="FB658" s="277"/>
      <c r="FC658" s="281"/>
      <c r="FD658" s="277"/>
      <c r="FE658" s="281"/>
      <c r="FF658" s="277"/>
      <c r="FG658" s="281"/>
      <c r="FH658" s="277"/>
      <c r="FI658" s="281"/>
      <c r="FJ658" s="277"/>
      <c r="FK658" s="50">
        <f t="shared" si="282"/>
        <v>0</v>
      </c>
      <c r="FL658" s="63">
        <f t="shared" si="283"/>
        <v>0</v>
      </c>
      <c r="FM658" s="50">
        <f t="shared" si="265"/>
        <v>368</v>
      </c>
      <c r="FN658" s="360">
        <f t="shared" si="266"/>
        <v>407</v>
      </c>
      <c r="FO658" s="43"/>
      <c r="FP658" s="279"/>
      <c r="FQ658" s="467"/>
      <c r="FR658" s="296"/>
      <c r="FS658" s="98"/>
      <c r="FT658" s="467"/>
      <c r="FU658" s="52"/>
      <c r="FV658" s="296"/>
      <c r="FW658" s="98"/>
      <c r="FX658" s="467"/>
      <c r="FY658" s="52"/>
      <c r="FZ658" s="296"/>
      <c r="GA658" s="98"/>
      <c r="GB658" s="467"/>
      <c r="GC658" s="52"/>
      <c r="GD658" s="296"/>
      <c r="GE658" s="98"/>
      <c r="GF658" s="467"/>
      <c r="GG658" s="52"/>
      <c r="GH658" s="296"/>
      <c r="GI658" s="98"/>
      <c r="GJ658" s="467"/>
      <c r="GK658" s="52"/>
      <c r="GL658" s="296"/>
      <c r="GM658" s="464"/>
      <c r="GN658" s="467"/>
      <c r="GO658" s="52"/>
      <c r="GP658" s="296"/>
      <c r="GQ658" s="464"/>
      <c r="GR658" s="467"/>
      <c r="GS658" s="52"/>
      <c r="GT658" s="296"/>
      <c r="GU658" s="464"/>
      <c r="GV658" s="467"/>
      <c r="GW658" s="52"/>
      <c r="GX658" s="296"/>
      <c r="GY658" s="464"/>
      <c r="GZ658" s="467"/>
      <c r="HA658" s="52"/>
      <c r="HB658" s="296"/>
      <c r="HC658" s="43"/>
    </row>
    <row r="659" spans="1:211" s="85" customFormat="1">
      <c r="A659" s="555" t="s">
        <v>951</v>
      </c>
      <c r="B659" s="339" t="s">
        <v>883</v>
      </c>
      <c r="C659" s="355">
        <v>226116</v>
      </c>
      <c r="D659" s="373">
        <v>10</v>
      </c>
      <c r="E659" s="460">
        <v>187</v>
      </c>
      <c r="F659" s="552">
        <v>133</v>
      </c>
      <c r="G659" s="158"/>
      <c r="H659" s="277"/>
      <c r="I659" s="158">
        <v>186</v>
      </c>
      <c r="J659" s="552">
        <v>163</v>
      </c>
      <c r="K659" s="160">
        <f t="shared" si="267"/>
        <v>0</v>
      </c>
      <c r="L659" s="161">
        <f t="shared" si="260"/>
        <v>0</v>
      </c>
      <c r="M659" s="54"/>
      <c r="N659" s="55"/>
      <c r="O659" s="55"/>
      <c r="P659" s="55"/>
      <c r="Q659" s="162">
        <f t="shared" si="268"/>
        <v>0</v>
      </c>
      <c r="R659" s="277"/>
      <c r="S659" s="277"/>
      <c r="T659" s="277"/>
      <c r="U659" s="277"/>
      <c r="V659" s="97">
        <f t="shared" si="269"/>
        <v>0</v>
      </c>
      <c r="W659" s="279"/>
      <c r="X659" s="52"/>
      <c r="Y659" s="99"/>
      <c r="Z659" s="53"/>
      <c r="AA659" s="228"/>
      <c r="AB659" s="52"/>
      <c r="AC659" s="99"/>
      <c r="AD659" s="53"/>
      <c r="AE659" s="228"/>
      <c r="AF659" s="52"/>
      <c r="AG659" s="99"/>
      <c r="AH659" s="53"/>
      <c r="AI659" s="228"/>
      <c r="AJ659" s="52"/>
      <c r="AK659" s="99"/>
      <c r="AL659" s="53"/>
      <c r="AM659" s="228"/>
      <c r="AN659" s="52"/>
      <c r="AO659" s="99"/>
      <c r="AP659" s="53"/>
      <c r="AQ659" s="50">
        <f t="shared" si="261"/>
        <v>0</v>
      </c>
      <c r="AR659" s="163">
        <f t="shared" si="262"/>
        <v>0</v>
      </c>
      <c r="AS659" s="97">
        <f t="shared" si="263"/>
        <v>0</v>
      </c>
      <c r="AT659" s="278">
        <f t="shared" si="264"/>
        <v>0</v>
      </c>
      <c r="AU659" s="55"/>
      <c r="AV659" s="277"/>
      <c r="AW659" s="279"/>
      <c r="AX659" s="52"/>
      <c r="AY659" s="105"/>
      <c r="AZ659" s="98"/>
      <c r="BA659" s="279"/>
      <c r="BB659" s="52"/>
      <c r="BC659" s="105"/>
      <c r="BD659" s="98"/>
      <c r="BE659" s="279"/>
      <c r="BF659" s="52"/>
      <c r="BG659" s="105"/>
      <c r="BH659" s="98"/>
      <c r="BI659" s="279"/>
      <c r="BJ659" s="52"/>
      <c r="BK659" s="105"/>
      <c r="BL659" s="98"/>
      <c r="BM659" s="279"/>
      <c r="BN659" s="52"/>
      <c r="BO659" s="105"/>
      <c r="BP659" s="98"/>
      <c r="BQ659" s="279"/>
      <c r="BR659" s="52"/>
      <c r="BS659" s="105"/>
      <c r="BT659" s="98"/>
      <c r="BU659" s="279"/>
      <c r="BV659" s="52"/>
      <c r="BW659" s="105"/>
      <c r="BX659" s="98"/>
      <c r="BY659" s="279"/>
      <c r="BZ659" s="52"/>
      <c r="CA659" s="105"/>
      <c r="CB659" s="98"/>
      <c r="CC659" s="279"/>
      <c r="CD659" s="52"/>
      <c r="CE659" s="105"/>
      <c r="CF659" s="98"/>
      <c r="CG659" s="279"/>
      <c r="CH659" s="52"/>
      <c r="CI659" s="105"/>
      <c r="CJ659" s="98"/>
      <c r="CK659" s="281"/>
      <c r="CL659" s="277"/>
      <c r="CM659" s="159"/>
      <c r="CN659" s="277"/>
      <c r="CO659" s="50">
        <f t="shared" si="270"/>
        <v>0</v>
      </c>
      <c r="CP659" s="103">
        <f t="shared" si="271"/>
        <v>0</v>
      </c>
      <c r="CQ659" s="280">
        <f t="shared" si="272"/>
        <v>0</v>
      </c>
      <c r="CR659" s="63">
        <f t="shared" si="273"/>
        <v>0</v>
      </c>
      <c r="CS659" s="279"/>
      <c r="CT659" s="52"/>
      <c r="CU659" s="105"/>
      <c r="CV659" s="98"/>
      <c r="CW659" s="279"/>
      <c r="CX659" s="52"/>
      <c r="CY659" s="105"/>
      <c r="CZ659" s="98"/>
      <c r="DA659" s="279"/>
      <c r="DB659" s="52"/>
      <c r="DC659" s="105"/>
      <c r="DD659" s="98"/>
      <c r="DE659" s="279"/>
      <c r="DF659" s="52"/>
      <c r="DG659" s="105"/>
      <c r="DH659" s="98"/>
      <c r="DI659" s="279"/>
      <c r="DJ659" s="52"/>
      <c r="DK659" s="105"/>
      <c r="DL659" s="98"/>
      <c r="DM659" s="279"/>
      <c r="DN659" s="52"/>
      <c r="DO659" s="105"/>
      <c r="DP659" s="98"/>
      <c r="DQ659" s="279"/>
      <c r="DR659" s="52"/>
      <c r="DS659" s="105"/>
      <c r="DT659" s="98"/>
      <c r="DU659" s="279"/>
      <c r="DV659" s="52"/>
      <c r="DW659" s="105"/>
      <c r="DX659" s="98"/>
      <c r="DY659" s="279"/>
      <c r="DZ659" s="52"/>
      <c r="EA659" s="105"/>
      <c r="EB659" s="98"/>
      <c r="EC659" s="279"/>
      <c r="ED659" s="52"/>
      <c r="EE659" s="105"/>
      <c r="EF659" s="98"/>
      <c r="EG659" s="159"/>
      <c r="EH659" s="277"/>
      <c r="EI659" s="50">
        <f t="shared" si="274"/>
        <v>0</v>
      </c>
      <c r="EJ659" s="103">
        <f t="shared" si="275"/>
        <v>0</v>
      </c>
      <c r="EK659" s="164">
        <f t="shared" si="276"/>
        <v>0</v>
      </c>
      <c r="EL659" s="280">
        <f t="shared" si="277"/>
        <v>0</v>
      </c>
      <c r="EM659" s="63">
        <f t="shared" si="278"/>
        <v>0</v>
      </c>
      <c r="EN659" s="359">
        <f t="shared" si="279"/>
        <v>0</v>
      </c>
      <c r="EO659" s="51">
        <f t="shared" si="280"/>
        <v>0</v>
      </c>
      <c r="EP659" s="361">
        <f t="shared" si="281"/>
        <v>0</v>
      </c>
      <c r="EQ659" s="281"/>
      <c r="ER659" s="277"/>
      <c r="ES659" s="281"/>
      <c r="ET659" s="277"/>
      <c r="EU659" s="281"/>
      <c r="EV659" s="277"/>
      <c r="EW659" s="281"/>
      <c r="EX659" s="277"/>
      <c r="EY659" s="281"/>
      <c r="EZ659" s="277"/>
      <c r="FA659" s="281"/>
      <c r="FB659" s="277"/>
      <c r="FC659" s="281"/>
      <c r="FD659" s="277"/>
      <c r="FE659" s="281"/>
      <c r="FF659" s="277"/>
      <c r="FG659" s="281"/>
      <c r="FH659" s="277"/>
      <c r="FI659" s="281"/>
      <c r="FJ659" s="277"/>
      <c r="FK659" s="50">
        <f t="shared" si="282"/>
        <v>0</v>
      </c>
      <c r="FL659" s="63">
        <f t="shared" si="283"/>
        <v>0</v>
      </c>
      <c r="FM659" s="50">
        <f t="shared" si="265"/>
        <v>373</v>
      </c>
      <c r="FN659" s="360">
        <f t="shared" si="266"/>
        <v>296</v>
      </c>
      <c r="FO659" s="43"/>
      <c r="FP659" s="279"/>
      <c r="FQ659" s="467"/>
      <c r="FR659" s="296"/>
      <c r="FS659" s="98"/>
      <c r="FT659" s="467"/>
      <c r="FU659" s="52"/>
      <c r="FV659" s="296"/>
      <c r="FW659" s="98"/>
      <c r="FX659" s="467"/>
      <c r="FY659" s="52"/>
      <c r="FZ659" s="296"/>
      <c r="GA659" s="98"/>
      <c r="GB659" s="467"/>
      <c r="GC659" s="52"/>
      <c r="GD659" s="296"/>
      <c r="GE659" s="98"/>
      <c r="GF659" s="467"/>
      <c r="GG659" s="52"/>
      <c r="GH659" s="296"/>
      <c r="GI659" s="98"/>
      <c r="GJ659" s="467"/>
      <c r="GK659" s="52"/>
      <c r="GL659" s="296"/>
      <c r="GM659" s="464"/>
      <c r="GN659" s="467"/>
      <c r="GO659" s="52"/>
      <c r="GP659" s="296"/>
      <c r="GQ659" s="464"/>
      <c r="GR659" s="467"/>
      <c r="GS659" s="52"/>
      <c r="GT659" s="296"/>
      <c r="GU659" s="464"/>
      <c r="GV659" s="467"/>
      <c r="GW659" s="52"/>
      <c r="GX659" s="296"/>
      <c r="GY659" s="464"/>
      <c r="GZ659" s="467"/>
      <c r="HA659" s="52"/>
      <c r="HB659" s="296"/>
      <c r="HC659" s="43"/>
    </row>
    <row r="660" spans="1:211" s="85" customFormat="1">
      <c r="A660" s="555" t="s">
        <v>951</v>
      </c>
      <c r="B660" s="339" t="s">
        <v>884</v>
      </c>
      <c r="C660" s="356"/>
      <c r="D660" s="373">
        <v>10</v>
      </c>
      <c r="E660" s="460"/>
      <c r="F660" s="552"/>
      <c r="G660" s="158"/>
      <c r="H660" s="277"/>
      <c r="I660" s="158"/>
      <c r="J660" s="552">
        <v>1</v>
      </c>
      <c r="K660" s="160">
        <f t="shared" si="267"/>
        <v>0</v>
      </c>
      <c r="L660" s="161">
        <f t="shared" si="260"/>
        <v>0</v>
      </c>
      <c r="M660" s="54"/>
      <c r="N660" s="55"/>
      <c r="O660" s="55"/>
      <c r="P660" s="55"/>
      <c r="Q660" s="162">
        <f t="shared" si="268"/>
        <v>0</v>
      </c>
      <c r="R660" s="277"/>
      <c r="S660" s="277"/>
      <c r="T660" s="277"/>
      <c r="U660" s="277"/>
      <c r="V660" s="97">
        <f t="shared" si="269"/>
        <v>0</v>
      </c>
      <c r="W660" s="279"/>
      <c r="X660" s="52"/>
      <c r="Y660" s="99"/>
      <c r="Z660" s="53"/>
      <c r="AA660" s="228"/>
      <c r="AB660" s="52"/>
      <c r="AC660" s="99"/>
      <c r="AD660" s="53"/>
      <c r="AE660" s="228"/>
      <c r="AF660" s="52"/>
      <c r="AG660" s="99"/>
      <c r="AH660" s="53"/>
      <c r="AI660" s="228"/>
      <c r="AJ660" s="52"/>
      <c r="AK660" s="99"/>
      <c r="AL660" s="53"/>
      <c r="AM660" s="228"/>
      <c r="AN660" s="52"/>
      <c r="AO660" s="99"/>
      <c r="AP660" s="53"/>
      <c r="AQ660" s="50">
        <f t="shared" si="261"/>
        <v>0</v>
      </c>
      <c r="AR660" s="163">
        <f t="shared" si="262"/>
        <v>0</v>
      </c>
      <c r="AS660" s="97">
        <f t="shared" si="263"/>
        <v>0</v>
      </c>
      <c r="AT660" s="278">
        <f t="shared" si="264"/>
        <v>0</v>
      </c>
      <c r="AU660" s="55"/>
      <c r="AV660" s="277"/>
      <c r="AW660" s="279"/>
      <c r="AX660" s="52"/>
      <c r="AY660" s="105"/>
      <c r="AZ660" s="98"/>
      <c r="BA660" s="279"/>
      <c r="BB660" s="52"/>
      <c r="BC660" s="105"/>
      <c r="BD660" s="98"/>
      <c r="BE660" s="279"/>
      <c r="BF660" s="52"/>
      <c r="BG660" s="105"/>
      <c r="BH660" s="98"/>
      <c r="BI660" s="279"/>
      <c r="BJ660" s="52"/>
      <c r="BK660" s="105"/>
      <c r="BL660" s="98"/>
      <c r="BM660" s="279"/>
      <c r="BN660" s="52"/>
      <c r="BO660" s="105"/>
      <c r="BP660" s="98"/>
      <c r="BQ660" s="279"/>
      <c r="BR660" s="52"/>
      <c r="BS660" s="105"/>
      <c r="BT660" s="98"/>
      <c r="BU660" s="279"/>
      <c r="BV660" s="52"/>
      <c r="BW660" s="105"/>
      <c r="BX660" s="98"/>
      <c r="BY660" s="279"/>
      <c r="BZ660" s="52"/>
      <c r="CA660" s="105"/>
      <c r="CB660" s="98"/>
      <c r="CC660" s="279"/>
      <c r="CD660" s="52"/>
      <c r="CE660" s="105"/>
      <c r="CF660" s="98"/>
      <c r="CG660" s="279"/>
      <c r="CH660" s="52"/>
      <c r="CI660" s="105"/>
      <c r="CJ660" s="98"/>
      <c r="CK660" s="281"/>
      <c r="CL660" s="277"/>
      <c r="CM660" s="159"/>
      <c r="CN660" s="277"/>
      <c r="CO660" s="50">
        <f t="shared" si="270"/>
        <v>0</v>
      </c>
      <c r="CP660" s="103">
        <f t="shared" si="271"/>
        <v>0</v>
      </c>
      <c r="CQ660" s="280">
        <f t="shared" si="272"/>
        <v>0</v>
      </c>
      <c r="CR660" s="63">
        <f t="shared" si="273"/>
        <v>0</v>
      </c>
      <c r="CS660" s="279"/>
      <c r="CT660" s="52"/>
      <c r="CU660" s="105"/>
      <c r="CV660" s="98"/>
      <c r="CW660" s="279"/>
      <c r="CX660" s="52"/>
      <c r="CY660" s="105"/>
      <c r="CZ660" s="98"/>
      <c r="DA660" s="279"/>
      <c r="DB660" s="52"/>
      <c r="DC660" s="105"/>
      <c r="DD660" s="98"/>
      <c r="DE660" s="279"/>
      <c r="DF660" s="52"/>
      <c r="DG660" s="105"/>
      <c r="DH660" s="98"/>
      <c r="DI660" s="279"/>
      <c r="DJ660" s="52"/>
      <c r="DK660" s="105"/>
      <c r="DL660" s="98"/>
      <c r="DM660" s="279"/>
      <c r="DN660" s="52"/>
      <c r="DO660" s="105"/>
      <c r="DP660" s="98"/>
      <c r="DQ660" s="279"/>
      <c r="DR660" s="52"/>
      <c r="DS660" s="105"/>
      <c r="DT660" s="98"/>
      <c r="DU660" s="279"/>
      <c r="DV660" s="52"/>
      <c r="DW660" s="105"/>
      <c r="DX660" s="98"/>
      <c r="DY660" s="279"/>
      <c r="DZ660" s="52"/>
      <c r="EA660" s="105"/>
      <c r="EB660" s="98"/>
      <c r="EC660" s="279"/>
      <c r="ED660" s="52"/>
      <c r="EE660" s="105"/>
      <c r="EF660" s="98"/>
      <c r="EG660" s="159"/>
      <c r="EH660" s="277"/>
      <c r="EI660" s="50">
        <f t="shared" si="274"/>
        <v>0</v>
      </c>
      <c r="EJ660" s="103">
        <f t="shared" si="275"/>
        <v>0</v>
      </c>
      <c r="EK660" s="164">
        <f t="shared" si="276"/>
        <v>0</v>
      </c>
      <c r="EL660" s="280">
        <f t="shared" si="277"/>
        <v>0</v>
      </c>
      <c r="EM660" s="63">
        <f t="shared" si="278"/>
        <v>0</v>
      </c>
      <c r="EN660" s="359">
        <f t="shared" si="279"/>
        <v>0</v>
      </c>
      <c r="EO660" s="51">
        <f t="shared" si="280"/>
        <v>0</v>
      </c>
      <c r="EP660" s="361">
        <f t="shared" si="281"/>
        <v>0</v>
      </c>
      <c r="EQ660" s="281"/>
      <c r="ER660" s="277"/>
      <c r="ES660" s="281"/>
      <c r="ET660" s="277"/>
      <c r="EU660" s="281"/>
      <c r="EV660" s="277"/>
      <c r="EW660" s="281"/>
      <c r="EX660" s="277"/>
      <c r="EY660" s="281"/>
      <c r="EZ660" s="277"/>
      <c r="FA660" s="281"/>
      <c r="FB660" s="277"/>
      <c r="FC660" s="281"/>
      <c r="FD660" s="277"/>
      <c r="FE660" s="281"/>
      <c r="FF660" s="277"/>
      <c r="FG660" s="281"/>
      <c r="FH660" s="277"/>
      <c r="FI660" s="281"/>
      <c r="FJ660" s="277"/>
      <c r="FK660" s="50">
        <f t="shared" si="282"/>
        <v>0</v>
      </c>
      <c r="FL660" s="63">
        <f t="shared" si="283"/>
        <v>0</v>
      </c>
      <c r="FM660" s="50">
        <f t="shared" si="265"/>
        <v>0</v>
      </c>
      <c r="FN660" s="360">
        <f t="shared" si="266"/>
        <v>1</v>
      </c>
      <c r="FO660" s="43"/>
      <c r="FP660" s="279"/>
      <c r="FQ660" s="467"/>
      <c r="FR660" s="296"/>
      <c r="FS660" s="98"/>
      <c r="FT660" s="467"/>
      <c r="FU660" s="52"/>
      <c r="FV660" s="296"/>
      <c r="FW660" s="98"/>
      <c r="FX660" s="467"/>
      <c r="FY660" s="52"/>
      <c r="FZ660" s="296"/>
      <c r="GA660" s="98"/>
      <c r="GB660" s="467"/>
      <c r="GC660" s="52"/>
      <c r="GD660" s="296"/>
      <c r="GE660" s="98"/>
      <c r="GF660" s="467"/>
      <c r="GG660" s="52"/>
      <c r="GH660" s="296"/>
      <c r="GI660" s="98"/>
      <c r="GJ660" s="467"/>
      <c r="GK660" s="52"/>
      <c r="GL660" s="296"/>
      <c r="GM660" s="464"/>
      <c r="GN660" s="467"/>
      <c r="GO660" s="52"/>
      <c r="GP660" s="296"/>
      <c r="GQ660" s="464"/>
      <c r="GR660" s="467"/>
      <c r="GS660" s="52"/>
      <c r="GT660" s="296"/>
      <c r="GU660" s="464"/>
      <c r="GV660" s="467"/>
      <c r="GW660" s="52"/>
      <c r="GX660" s="296"/>
      <c r="GY660" s="464"/>
      <c r="GZ660" s="467"/>
      <c r="HA660" s="52"/>
      <c r="HB660" s="296"/>
      <c r="HC660" s="43"/>
    </row>
    <row r="661" spans="1:211" s="85" customFormat="1">
      <c r="A661" s="502" t="s">
        <v>951</v>
      </c>
      <c r="B661" s="315" t="s">
        <v>885</v>
      </c>
      <c r="C661" s="314">
        <v>227225</v>
      </c>
      <c r="D661" s="343">
        <v>10</v>
      </c>
      <c r="E661" s="460">
        <v>105</v>
      </c>
      <c r="F661" s="552">
        <v>101</v>
      </c>
      <c r="G661" s="158"/>
      <c r="H661" s="277"/>
      <c r="I661" s="158">
        <v>281</v>
      </c>
      <c r="J661" s="552">
        <v>281</v>
      </c>
      <c r="K661" s="160">
        <f t="shared" si="267"/>
        <v>0</v>
      </c>
      <c r="L661" s="161">
        <f t="shared" si="260"/>
        <v>0</v>
      </c>
      <c r="M661" s="54"/>
      <c r="N661" s="55"/>
      <c r="O661" s="55"/>
      <c r="P661" s="55"/>
      <c r="Q661" s="162">
        <f t="shared" si="268"/>
        <v>0</v>
      </c>
      <c r="R661" s="277"/>
      <c r="S661" s="277"/>
      <c r="T661" s="277"/>
      <c r="U661" s="277"/>
      <c r="V661" s="97">
        <f t="shared" si="269"/>
        <v>0</v>
      </c>
      <c r="W661" s="279"/>
      <c r="X661" s="52"/>
      <c r="Y661" s="99"/>
      <c r="Z661" s="53"/>
      <c r="AA661" s="228"/>
      <c r="AB661" s="52"/>
      <c r="AC661" s="99"/>
      <c r="AD661" s="53"/>
      <c r="AE661" s="228"/>
      <c r="AF661" s="52"/>
      <c r="AG661" s="99"/>
      <c r="AH661" s="53"/>
      <c r="AI661" s="228"/>
      <c r="AJ661" s="52"/>
      <c r="AK661" s="99"/>
      <c r="AL661" s="53"/>
      <c r="AM661" s="228"/>
      <c r="AN661" s="52"/>
      <c r="AO661" s="99"/>
      <c r="AP661" s="53"/>
      <c r="AQ661" s="50">
        <f t="shared" si="261"/>
        <v>0</v>
      </c>
      <c r="AR661" s="163">
        <f t="shared" si="262"/>
        <v>0</v>
      </c>
      <c r="AS661" s="97">
        <f t="shared" si="263"/>
        <v>0</v>
      </c>
      <c r="AT661" s="278">
        <f t="shared" si="264"/>
        <v>0</v>
      </c>
      <c r="AU661" s="55"/>
      <c r="AV661" s="277"/>
      <c r="AW661" s="279"/>
      <c r="AX661" s="52"/>
      <c r="AY661" s="105"/>
      <c r="AZ661" s="98"/>
      <c r="BA661" s="279"/>
      <c r="BB661" s="52"/>
      <c r="BC661" s="105"/>
      <c r="BD661" s="98"/>
      <c r="BE661" s="279"/>
      <c r="BF661" s="52"/>
      <c r="BG661" s="105"/>
      <c r="BH661" s="98"/>
      <c r="BI661" s="279"/>
      <c r="BJ661" s="52"/>
      <c r="BK661" s="105"/>
      <c r="BL661" s="98"/>
      <c r="BM661" s="279"/>
      <c r="BN661" s="52"/>
      <c r="BO661" s="105"/>
      <c r="BP661" s="98"/>
      <c r="BQ661" s="279"/>
      <c r="BR661" s="52"/>
      <c r="BS661" s="105"/>
      <c r="BT661" s="98"/>
      <c r="BU661" s="279"/>
      <c r="BV661" s="52"/>
      <c r="BW661" s="105"/>
      <c r="BX661" s="98"/>
      <c r="BY661" s="279"/>
      <c r="BZ661" s="52"/>
      <c r="CA661" s="105"/>
      <c r="CB661" s="98"/>
      <c r="CC661" s="279"/>
      <c r="CD661" s="52"/>
      <c r="CE661" s="105"/>
      <c r="CF661" s="98"/>
      <c r="CG661" s="279"/>
      <c r="CH661" s="52"/>
      <c r="CI661" s="105"/>
      <c r="CJ661" s="98"/>
      <c r="CK661" s="281"/>
      <c r="CL661" s="277"/>
      <c r="CM661" s="159"/>
      <c r="CN661" s="277"/>
      <c r="CO661" s="50">
        <f t="shared" si="270"/>
        <v>0</v>
      </c>
      <c r="CP661" s="103">
        <f t="shared" si="271"/>
        <v>0</v>
      </c>
      <c r="CQ661" s="280">
        <f t="shared" si="272"/>
        <v>0</v>
      </c>
      <c r="CR661" s="63">
        <f t="shared" si="273"/>
        <v>0</v>
      </c>
      <c r="CS661" s="279"/>
      <c r="CT661" s="52"/>
      <c r="CU661" s="105"/>
      <c r="CV661" s="98"/>
      <c r="CW661" s="279"/>
      <c r="CX661" s="52"/>
      <c r="CY661" s="105"/>
      <c r="CZ661" s="98"/>
      <c r="DA661" s="279"/>
      <c r="DB661" s="52"/>
      <c r="DC661" s="105"/>
      <c r="DD661" s="98"/>
      <c r="DE661" s="279"/>
      <c r="DF661" s="52"/>
      <c r="DG661" s="105"/>
      <c r="DH661" s="98"/>
      <c r="DI661" s="279"/>
      <c r="DJ661" s="52"/>
      <c r="DK661" s="105"/>
      <c r="DL661" s="98"/>
      <c r="DM661" s="279"/>
      <c r="DN661" s="52"/>
      <c r="DO661" s="105"/>
      <c r="DP661" s="98"/>
      <c r="DQ661" s="279"/>
      <c r="DR661" s="52"/>
      <c r="DS661" s="105"/>
      <c r="DT661" s="98"/>
      <c r="DU661" s="279"/>
      <c r="DV661" s="52"/>
      <c r="DW661" s="105"/>
      <c r="DX661" s="98"/>
      <c r="DY661" s="279"/>
      <c r="DZ661" s="52"/>
      <c r="EA661" s="105"/>
      <c r="EB661" s="98"/>
      <c r="EC661" s="279"/>
      <c r="ED661" s="52"/>
      <c r="EE661" s="105"/>
      <c r="EF661" s="98"/>
      <c r="EG661" s="159"/>
      <c r="EH661" s="277"/>
      <c r="EI661" s="50">
        <f t="shared" si="274"/>
        <v>0</v>
      </c>
      <c r="EJ661" s="103">
        <f t="shared" si="275"/>
        <v>0</v>
      </c>
      <c r="EK661" s="164">
        <f t="shared" si="276"/>
        <v>0</v>
      </c>
      <c r="EL661" s="280">
        <f t="shared" si="277"/>
        <v>0</v>
      </c>
      <c r="EM661" s="63">
        <f t="shared" si="278"/>
        <v>0</v>
      </c>
      <c r="EN661" s="359">
        <f t="shared" si="279"/>
        <v>0</v>
      </c>
      <c r="EO661" s="51">
        <f t="shared" si="280"/>
        <v>0</v>
      </c>
      <c r="EP661" s="361">
        <f t="shared" si="281"/>
        <v>0</v>
      </c>
      <c r="EQ661" s="281"/>
      <c r="ER661" s="277"/>
      <c r="ES661" s="281"/>
      <c r="ET661" s="277"/>
      <c r="EU661" s="281"/>
      <c r="EV661" s="277"/>
      <c r="EW661" s="281"/>
      <c r="EX661" s="277"/>
      <c r="EY661" s="281"/>
      <c r="EZ661" s="277"/>
      <c r="FA661" s="281"/>
      <c r="FB661" s="277"/>
      <c r="FC661" s="281"/>
      <c r="FD661" s="277"/>
      <c r="FE661" s="281"/>
      <c r="FF661" s="277"/>
      <c r="FG661" s="281"/>
      <c r="FH661" s="277"/>
      <c r="FI661" s="281"/>
      <c r="FJ661" s="277"/>
      <c r="FK661" s="50">
        <f t="shared" si="282"/>
        <v>0</v>
      </c>
      <c r="FL661" s="63">
        <f t="shared" si="283"/>
        <v>0</v>
      </c>
      <c r="FM661" s="50">
        <f t="shared" si="265"/>
        <v>386</v>
      </c>
      <c r="FN661" s="360">
        <f t="shared" si="266"/>
        <v>382</v>
      </c>
      <c r="FO661" s="43"/>
      <c r="FP661" s="279"/>
      <c r="FQ661" s="467"/>
      <c r="FR661" s="296"/>
      <c r="FS661" s="98"/>
      <c r="FT661" s="467"/>
      <c r="FU661" s="52"/>
      <c r="FV661" s="296"/>
      <c r="FW661" s="98"/>
      <c r="FX661" s="467"/>
      <c r="FY661" s="52"/>
      <c r="FZ661" s="296"/>
      <c r="GA661" s="98"/>
      <c r="GB661" s="467"/>
      <c r="GC661" s="52"/>
      <c r="GD661" s="296"/>
      <c r="GE661" s="98"/>
      <c r="GF661" s="467"/>
      <c r="GG661" s="52"/>
      <c r="GH661" s="296"/>
      <c r="GI661" s="98"/>
      <c r="GJ661" s="467"/>
      <c r="GK661" s="52"/>
      <c r="GL661" s="296"/>
      <c r="GM661" s="464"/>
      <c r="GN661" s="467"/>
      <c r="GO661" s="52"/>
      <c r="GP661" s="296"/>
      <c r="GQ661" s="464"/>
      <c r="GR661" s="467"/>
      <c r="GS661" s="52"/>
      <c r="GT661" s="296"/>
      <c r="GU661" s="464"/>
      <c r="GV661" s="467"/>
      <c r="GW661" s="52"/>
      <c r="GX661" s="296"/>
      <c r="GY661" s="464"/>
      <c r="GZ661" s="467"/>
      <c r="HA661" s="52"/>
      <c r="HB661" s="296"/>
      <c r="HC661" s="43"/>
    </row>
    <row r="662" spans="1:211" s="85" customFormat="1">
      <c r="A662" s="502" t="s">
        <v>951</v>
      </c>
      <c r="B662" s="315" t="s">
        <v>886</v>
      </c>
      <c r="C662" s="314">
        <v>227386</v>
      </c>
      <c r="D662" s="343">
        <v>10</v>
      </c>
      <c r="E662" s="460">
        <v>182</v>
      </c>
      <c r="F662" s="552">
        <v>158</v>
      </c>
      <c r="G662" s="158"/>
      <c r="H662" s="277"/>
      <c r="I662" s="158">
        <v>188</v>
      </c>
      <c r="J662" s="552">
        <v>220</v>
      </c>
      <c r="K662" s="160">
        <f t="shared" si="267"/>
        <v>0</v>
      </c>
      <c r="L662" s="161">
        <f t="shared" si="260"/>
        <v>0</v>
      </c>
      <c r="M662" s="54"/>
      <c r="N662" s="55"/>
      <c r="O662" s="55"/>
      <c r="P662" s="55"/>
      <c r="Q662" s="162">
        <f t="shared" si="268"/>
        <v>0</v>
      </c>
      <c r="R662" s="277"/>
      <c r="S662" s="277"/>
      <c r="T662" s="277"/>
      <c r="U662" s="277"/>
      <c r="V662" s="97">
        <f t="shared" si="269"/>
        <v>0</v>
      </c>
      <c r="W662" s="279"/>
      <c r="X662" s="52"/>
      <c r="Y662" s="99"/>
      <c r="Z662" s="53"/>
      <c r="AA662" s="228"/>
      <c r="AB662" s="52"/>
      <c r="AC662" s="99"/>
      <c r="AD662" s="53"/>
      <c r="AE662" s="228"/>
      <c r="AF662" s="52"/>
      <c r="AG662" s="99"/>
      <c r="AH662" s="53"/>
      <c r="AI662" s="228"/>
      <c r="AJ662" s="52"/>
      <c r="AK662" s="99"/>
      <c r="AL662" s="53"/>
      <c r="AM662" s="228"/>
      <c r="AN662" s="52"/>
      <c r="AO662" s="99"/>
      <c r="AP662" s="53"/>
      <c r="AQ662" s="50">
        <f t="shared" si="261"/>
        <v>0</v>
      </c>
      <c r="AR662" s="163">
        <f t="shared" si="262"/>
        <v>0</v>
      </c>
      <c r="AS662" s="97">
        <f t="shared" si="263"/>
        <v>0</v>
      </c>
      <c r="AT662" s="278">
        <f t="shared" si="264"/>
        <v>0</v>
      </c>
      <c r="AU662" s="55"/>
      <c r="AV662" s="277"/>
      <c r="AW662" s="279"/>
      <c r="AX662" s="52"/>
      <c r="AY662" s="105"/>
      <c r="AZ662" s="98"/>
      <c r="BA662" s="279"/>
      <c r="BB662" s="52"/>
      <c r="BC662" s="105"/>
      <c r="BD662" s="98"/>
      <c r="BE662" s="279"/>
      <c r="BF662" s="52"/>
      <c r="BG662" s="105"/>
      <c r="BH662" s="98"/>
      <c r="BI662" s="279"/>
      <c r="BJ662" s="52"/>
      <c r="BK662" s="105"/>
      <c r="BL662" s="98"/>
      <c r="BM662" s="279"/>
      <c r="BN662" s="52"/>
      <c r="BO662" s="105"/>
      <c r="BP662" s="98"/>
      <c r="BQ662" s="279"/>
      <c r="BR662" s="52"/>
      <c r="BS662" s="105"/>
      <c r="BT662" s="98"/>
      <c r="BU662" s="279"/>
      <c r="BV662" s="52"/>
      <c r="BW662" s="105"/>
      <c r="BX662" s="98"/>
      <c r="BY662" s="279"/>
      <c r="BZ662" s="52"/>
      <c r="CA662" s="105"/>
      <c r="CB662" s="98"/>
      <c r="CC662" s="279"/>
      <c r="CD662" s="52"/>
      <c r="CE662" s="105"/>
      <c r="CF662" s="98"/>
      <c r="CG662" s="279"/>
      <c r="CH662" s="52"/>
      <c r="CI662" s="105"/>
      <c r="CJ662" s="98"/>
      <c r="CK662" s="281"/>
      <c r="CL662" s="277"/>
      <c r="CM662" s="159"/>
      <c r="CN662" s="277"/>
      <c r="CO662" s="50">
        <f t="shared" si="270"/>
        <v>0</v>
      </c>
      <c r="CP662" s="103">
        <f t="shared" si="271"/>
        <v>0</v>
      </c>
      <c r="CQ662" s="280">
        <f t="shared" si="272"/>
        <v>0</v>
      </c>
      <c r="CR662" s="63">
        <f t="shared" si="273"/>
        <v>0</v>
      </c>
      <c r="CS662" s="279"/>
      <c r="CT662" s="52"/>
      <c r="CU662" s="105"/>
      <c r="CV662" s="98"/>
      <c r="CW662" s="279"/>
      <c r="CX662" s="52"/>
      <c r="CY662" s="105"/>
      <c r="CZ662" s="98"/>
      <c r="DA662" s="279"/>
      <c r="DB662" s="52"/>
      <c r="DC662" s="105"/>
      <c r="DD662" s="98"/>
      <c r="DE662" s="279"/>
      <c r="DF662" s="52"/>
      <c r="DG662" s="105"/>
      <c r="DH662" s="98"/>
      <c r="DI662" s="279"/>
      <c r="DJ662" s="52"/>
      <c r="DK662" s="105"/>
      <c r="DL662" s="98"/>
      <c r="DM662" s="279"/>
      <c r="DN662" s="52"/>
      <c r="DO662" s="105"/>
      <c r="DP662" s="98"/>
      <c r="DQ662" s="279"/>
      <c r="DR662" s="52"/>
      <c r="DS662" s="105"/>
      <c r="DT662" s="98"/>
      <c r="DU662" s="279"/>
      <c r="DV662" s="52"/>
      <c r="DW662" s="105"/>
      <c r="DX662" s="98"/>
      <c r="DY662" s="279"/>
      <c r="DZ662" s="52"/>
      <c r="EA662" s="105"/>
      <c r="EB662" s="98"/>
      <c r="EC662" s="279"/>
      <c r="ED662" s="52"/>
      <c r="EE662" s="105"/>
      <c r="EF662" s="98"/>
      <c r="EG662" s="159"/>
      <c r="EH662" s="277"/>
      <c r="EI662" s="50">
        <f t="shared" si="274"/>
        <v>0</v>
      </c>
      <c r="EJ662" s="103">
        <f t="shared" si="275"/>
        <v>0</v>
      </c>
      <c r="EK662" s="164">
        <f t="shared" si="276"/>
        <v>0</v>
      </c>
      <c r="EL662" s="280">
        <f t="shared" si="277"/>
        <v>0</v>
      </c>
      <c r="EM662" s="63">
        <f t="shared" si="278"/>
        <v>0</v>
      </c>
      <c r="EN662" s="359">
        <f t="shared" si="279"/>
        <v>0</v>
      </c>
      <c r="EO662" s="51">
        <f t="shared" si="280"/>
        <v>0</v>
      </c>
      <c r="EP662" s="361">
        <f t="shared" si="281"/>
        <v>0</v>
      </c>
      <c r="EQ662" s="281"/>
      <c r="ER662" s="277"/>
      <c r="ES662" s="281"/>
      <c r="ET662" s="277"/>
      <c r="EU662" s="281"/>
      <c r="EV662" s="277"/>
      <c r="EW662" s="281"/>
      <c r="EX662" s="277"/>
      <c r="EY662" s="281"/>
      <c r="EZ662" s="277"/>
      <c r="FA662" s="281"/>
      <c r="FB662" s="277"/>
      <c r="FC662" s="281"/>
      <c r="FD662" s="277"/>
      <c r="FE662" s="281"/>
      <c r="FF662" s="277"/>
      <c r="FG662" s="281"/>
      <c r="FH662" s="277"/>
      <c r="FI662" s="281"/>
      <c r="FJ662" s="277"/>
      <c r="FK662" s="50">
        <f t="shared" si="282"/>
        <v>0</v>
      </c>
      <c r="FL662" s="63">
        <f t="shared" si="283"/>
        <v>0</v>
      </c>
      <c r="FM662" s="50">
        <f t="shared" si="265"/>
        <v>370</v>
      </c>
      <c r="FN662" s="360">
        <f t="shared" si="266"/>
        <v>378</v>
      </c>
      <c r="FO662" s="43"/>
      <c r="FP662" s="279"/>
      <c r="FQ662" s="467"/>
      <c r="FR662" s="296"/>
      <c r="FS662" s="98"/>
      <c r="FT662" s="467"/>
      <c r="FU662" s="52"/>
      <c r="FV662" s="296"/>
      <c r="FW662" s="98"/>
      <c r="FX662" s="467"/>
      <c r="FY662" s="52"/>
      <c r="FZ662" s="296"/>
      <c r="GA662" s="98"/>
      <c r="GB662" s="467"/>
      <c r="GC662" s="52"/>
      <c r="GD662" s="296"/>
      <c r="GE662" s="98"/>
      <c r="GF662" s="467"/>
      <c r="GG662" s="52"/>
      <c r="GH662" s="296"/>
      <c r="GI662" s="98"/>
      <c r="GJ662" s="467"/>
      <c r="GK662" s="52"/>
      <c r="GL662" s="296"/>
      <c r="GM662" s="464"/>
      <c r="GN662" s="467"/>
      <c r="GO662" s="52"/>
      <c r="GP662" s="296"/>
      <c r="GQ662" s="464"/>
      <c r="GR662" s="467"/>
      <c r="GS662" s="52"/>
      <c r="GT662" s="296"/>
      <c r="GU662" s="464"/>
      <c r="GV662" s="467"/>
      <c r="GW662" s="52"/>
      <c r="GX662" s="296"/>
      <c r="GY662" s="464"/>
      <c r="GZ662" s="467"/>
      <c r="HA662" s="52"/>
      <c r="HB662" s="296"/>
      <c r="HC662" s="43"/>
    </row>
    <row r="663" spans="1:211" s="85" customFormat="1">
      <c r="A663" s="502" t="s">
        <v>951</v>
      </c>
      <c r="B663" s="315" t="s">
        <v>887</v>
      </c>
      <c r="C663" s="314">
        <v>227687</v>
      </c>
      <c r="D663" s="343">
        <v>10</v>
      </c>
      <c r="E663" s="460">
        <v>97</v>
      </c>
      <c r="F663" s="552">
        <v>81</v>
      </c>
      <c r="G663" s="158"/>
      <c r="H663" s="277"/>
      <c r="I663" s="158">
        <v>30</v>
      </c>
      <c r="J663" s="552">
        <v>35</v>
      </c>
      <c r="K663" s="160">
        <f t="shared" si="267"/>
        <v>0</v>
      </c>
      <c r="L663" s="161">
        <f t="shared" si="260"/>
        <v>0</v>
      </c>
      <c r="M663" s="54"/>
      <c r="N663" s="55"/>
      <c r="O663" s="55"/>
      <c r="P663" s="55"/>
      <c r="Q663" s="162">
        <f t="shared" si="268"/>
        <v>0</v>
      </c>
      <c r="R663" s="277"/>
      <c r="S663" s="277"/>
      <c r="T663" s="277"/>
      <c r="U663" s="277"/>
      <c r="V663" s="97">
        <f t="shared" si="269"/>
        <v>0</v>
      </c>
      <c r="W663" s="279"/>
      <c r="X663" s="52"/>
      <c r="Y663" s="99"/>
      <c r="Z663" s="53"/>
      <c r="AA663" s="228"/>
      <c r="AB663" s="52"/>
      <c r="AC663" s="99"/>
      <c r="AD663" s="53"/>
      <c r="AE663" s="228"/>
      <c r="AF663" s="52"/>
      <c r="AG663" s="99"/>
      <c r="AH663" s="53"/>
      <c r="AI663" s="228"/>
      <c r="AJ663" s="52"/>
      <c r="AK663" s="99"/>
      <c r="AL663" s="53"/>
      <c r="AM663" s="228"/>
      <c r="AN663" s="52"/>
      <c r="AO663" s="99"/>
      <c r="AP663" s="53"/>
      <c r="AQ663" s="50">
        <f t="shared" si="261"/>
        <v>0</v>
      </c>
      <c r="AR663" s="163">
        <f t="shared" si="262"/>
        <v>0</v>
      </c>
      <c r="AS663" s="97">
        <f t="shared" si="263"/>
        <v>0</v>
      </c>
      <c r="AT663" s="278">
        <f t="shared" si="264"/>
        <v>0</v>
      </c>
      <c r="AU663" s="55"/>
      <c r="AV663" s="277"/>
      <c r="AW663" s="279"/>
      <c r="AX663" s="52"/>
      <c r="AY663" s="105"/>
      <c r="AZ663" s="98"/>
      <c r="BA663" s="279"/>
      <c r="BB663" s="52"/>
      <c r="BC663" s="105"/>
      <c r="BD663" s="98"/>
      <c r="BE663" s="279"/>
      <c r="BF663" s="52"/>
      <c r="BG663" s="105"/>
      <c r="BH663" s="98"/>
      <c r="BI663" s="279"/>
      <c r="BJ663" s="52"/>
      <c r="BK663" s="105"/>
      <c r="BL663" s="98"/>
      <c r="BM663" s="279"/>
      <c r="BN663" s="52"/>
      <c r="BO663" s="105"/>
      <c r="BP663" s="98"/>
      <c r="BQ663" s="279"/>
      <c r="BR663" s="52"/>
      <c r="BS663" s="105"/>
      <c r="BT663" s="98"/>
      <c r="BU663" s="279"/>
      <c r="BV663" s="52"/>
      <c r="BW663" s="105"/>
      <c r="BX663" s="98"/>
      <c r="BY663" s="279"/>
      <c r="BZ663" s="52"/>
      <c r="CA663" s="105"/>
      <c r="CB663" s="98"/>
      <c r="CC663" s="279"/>
      <c r="CD663" s="52"/>
      <c r="CE663" s="105"/>
      <c r="CF663" s="98"/>
      <c r="CG663" s="279"/>
      <c r="CH663" s="52"/>
      <c r="CI663" s="105"/>
      <c r="CJ663" s="98"/>
      <c r="CK663" s="281"/>
      <c r="CL663" s="277"/>
      <c r="CM663" s="159"/>
      <c r="CN663" s="277"/>
      <c r="CO663" s="50">
        <f t="shared" si="270"/>
        <v>0</v>
      </c>
      <c r="CP663" s="103">
        <f t="shared" si="271"/>
        <v>0</v>
      </c>
      <c r="CQ663" s="280">
        <f t="shared" si="272"/>
        <v>0</v>
      </c>
      <c r="CR663" s="63">
        <f t="shared" si="273"/>
        <v>0</v>
      </c>
      <c r="CS663" s="279"/>
      <c r="CT663" s="52"/>
      <c r="CU663" s="105"/>
      <c r="CV663" s="98"/>
      <c r="CW663" s="279"/>
      <c r="CX663" s="52"/>
      <c r="CY663" s="105"/>
      <c r="CZ663" s="98"/>
      <c r="DA663" s="279"/>
      <c r="DB663" s="52"/>
      <c r="DC663" s="105"/>
      <c r="DD663" s="98"/>
      <c r="DE663" s="279"/>
      <c r="DF663" s="52"/>
      <c r="DG663" s="105"/>
      <c r="DH663" s="98"/>
      <c r="DI663" s="279"/>
      <c r="DJ663" s="52"/>
      <c r="DK663" s="105"/>
      <c r="DL663" s="98"/>
      <c r="DM663" s="279"/>
      <c r="DN663" s="52"/>
      <c r="DO663" s="105"/>
      <c r="DP663" s="98"/>
      <c r="DQ663" s="279"/>
      <c r="DR663" s="52"/>
      <c r="DS663" s="105"/>
      <c r="DT663" s="98"/>
      <c r="DU663" s="279"/>
      <c r="DV663" s="52"/>
      <c r="DW663" s="105"/>
      <c r="DX663" s="98"/>
      <c r="DY663" s="279"/>
      <c r="DZ663" s="52"/>
      <c r="EA663" s="105"/>
      <c r="EB663" s="98"/>
      <c r="EC663" s="279"/>
      <c r="ED663" s="52"/>
      <c r="EE663" s="105"/>
      <c r="EF663" s="98"/>
      <c r="EG663" s="159"/>
      <c r="EH663" s="277"/>
      <c r="EI663" s="50">
        <f t="shared" si="274"/>
        <v>0</v>
      </c>
      <c r="EJ663" s="103">
        <f t="shared" si="275"/>
        <v>0</v>
      </c>
      <c r="EK663" s="164">
        <f t="shared" si="276"/>
        <v>0</v>
      </c>
      <c r="EL663" s="280">
        <f t="shared" si="277"/>
        <v>0</v>
      </c>
      <c r="EM663" s="63">
        <f t="shared" si="278"/>
        <v>0</v>
      </c>
      <c r="EN663" s="359">
        <f t="shared" si="279"/>
        <v>0</v>
      </c>
      <c r="EO663" s="51">
        <f t="shared" si="280"/>
        <v>0</v>
      </c>
      <c r="EP663" s="361">
        <f t="shared" si="281"/>
        <v>0</v>
      </c>
      <c r="EQ663" s="281"/>
      <c r="ER663" s="277"/>
      <c r="ES663" s="281"/>
      <c r="ET663" s="277"/>
      <c r="EU663" s="281"/>
      <c r="EV663" s="277"/>
      <c r="EW663" s="281"/>
      <c r="EX663" s="277"/>
      <c r="EY663" s="281"/>
      <c r="EZ663" s="277"/>
      <c r="FA663" s="281"/>
      <c r="FB663" s="277"/>
      <c r="FC663" s="281"/>
      <c r="FD663" s="277"/>
      <c r="FE663" s="281"/>
      <c r="FF663" s="277"/>
      <c r="FG663" s="281"/>
      <c r="FH663" s="277"/>
      <c r="FI663" s="281"/>
      <c r="FJ663" s="277"/>
      <c r="FK663" s="50">
        <f t="shared" si="282"/>
        <v>0</v>
      </c>
      <c r="FL663" s="63">
        <f t="shared" si="283"/>
        <v>0</v>
      </c>
      <c r="FM663" s="50">
        <f t="shared" si="265"/>
        <v>127</v>
      </c>
      <c r="FN663" s="360">
        <f t="shared" si="266"/>
        <v>116</v>
      </c>
      <c r="FO663" s="43"/>
      <c r="FP663" s="279"/>
      <c r="FQ663" s="467"/>
      <c r="FR663" s="296"/>
      <c r="FS663" s="98"/>
      <c r="FT663" s="467"/>
      <c r="FU663" s="52"/>
      <c r="FV663" s="296"/>
      <c r="FW663" s="98"/>
      <c r="FX663" s="467"/>
      <c r="FY663" s="52"/>
      <c r="FZ663" s="296"/>
      <c r="GA663" s="98"/>
      <c r="GB663" s="467"/>
      <c r="GC663" s="52"/>
      <c r="GD663" s="296"/>
      <c r="GE663" s="98"/>
      <c r="GF663" s="467"/>
      <c r="GG663" s="52"/>
      <c r="GH663" s="296"/>
      <c r="GI663" s="98"/>
      <c r="GJ663" s="467"/>
      <c r="GK663" s="52"/>
      <c r="GL663" s="296"/>
      <c r="GM663" s="464"/>
      <c r="GN663" s="467"/>
      <c r="GO663" s="52"/>
      <c r="GP663" s="296"/>
      <c r="GQ663" s="464"/>
      <c r="GR663" s="467"/>
      <c r="GS663" s="52"/>
      <c r="GT663" s="296"/>
      <c r="GU663" s="464"/>
      <c r="GV663" s="467"/>
      <c r="GW663" s="52"/>
      <c r="GX663" s="296"/>
      <c r="GY663" s="464"/>
      <c r="GZ663" s="467"/>
      <c r="HA663" s="52"/>
      <c r="HB663" s="296"/>
      <c r="HC663" s="43"/>
    </row>
    <row r="664" spans="1:211" s="85" customFormat="1">
      <c r="A664" s="502" t="s">
        <v>951</v>
      </c>
      <c r="B664" s="315" t="s">
        <v>888</v>
      </c>
      <c r="C664" s="314">
        <v>382911</v>
      </c>
      <c r="D664" s="343">
        <v>10</v>
      </c>
      <c r="E664" s="460">
        <v>13</v>
      </c>
      <c r="F664" s="552">
        <v>9</v>
      </c>
      <c r="G664" s="158"/>
      <c r="H664" s="277"/>
      <c r="I664" s="158">
        <v>11</v>
      </c>
      <c r="J664" s="552">
        <v>4</v>
      </c>
      <c r="K664" s="160">
        <f t="shared" si="267"/>
        <v>0</v>
      </c>
      <c r="L664" s="161">
        <f t="shared" si="260"/>
        <v>0</v>
      </c>
      <c r="M664" s="54"/>
      <c r="N664" s="55"/>
      <c r="O664" s="55"/>
      <c r="P664" s="55"/>
      <c r="Q664" s="162">
        <f t="shared" si="268"/>
        <v>0</v>
      </c>
      <c r="R664" s="277"/>
      <c r="S664" s="277"/>
      <c r="T664" s="277"/>
      <c r="U664" s="277"/>
      <c r="V664" s="97">
        <f t="shared" si="269"/>
        <v>0</v>
      </c>
      <c r="W664" s="279"/>
      <c r="X664" s="52"/>
      <c r="Y664" s="99"/>
      <c r="Z664" s="53"/>
      <c r="AA664" s="228"/>
      <c r="AB664" s="52"/>
      <c r="AC664" s="99"/>
      <c r="AD664" s="53"/>
      <c r="AE664" s="228"/>
      <c r="AF664" s="52"/>
      <c r="AG664" s="99"/>
      <c r="AH664" s="53"/>
      <c r="AI664" s="228"/>
      <c r="AJ664" s="52"/>
      <c r="AK664" s="99"/>
      <c r="AL664" s="53"/>
      <c r="AM664" s="228"/>
      <c r="AN664" s="52"/>
      <c r="AO664" s="99"/>
      <c r="AP664" s="53"/>
      <c r="AQ664" s="50">
        <f t="shared" si="261"/>
        <v>0</v>
      </c>
      <c r="AR664" s="163">
        <f t="shared" si="262"/>
        <v>0</v>
      </c>
      <c r="AS664" s="97">
        <f t="shared" si="263"/>
        <v>0</v>
      </c>
      <c r="AT664" s="278">
        <f t="shared" si="264"/>
        <v>0</v>
      </c>
      <c r="AU664" s="55"/>
      <c r="AV664" s="277"/>
      <c r="AW664" s="279"/>
      <c r="AX664" s="52"/>
      <c r="AY664" s="105"/>
      <c r="AZ664" s="98"/>
      <c r="BA664" s="279"/>
      <c r="BB664" s="52"/>
      <c r="BC664" s="105"/>
      <c r="BD664" s="98"/>
      <c r="BE664" s="279"/>
      <c r="BF664" s="52"/>
      <c r="BG664" s="105"/>
      <c r="BH664" s="98"/>
      <c r="BI664" s="279"/>
      <c r="BJ664" s="52"/>
      <c r="BK664" s="105"/>
      <c r="BL664" s="98"/>
      <c r="BM664" s="279"/>
      <c r="BN664" s="52"/>
      <c r="BO664" s="105"/>
      <c r="BP664" s="98"/>
      <c r="BQ664" s="279"/>
      <c r="BR664" s="52"/>
      <c r="BS664" s="105"/>
      <c r="BT664" s="98"/>
      <c r="BU664" s="279"/>
      <c r="BV664" s="52"/>
      <c r="BW664" s="105"/>
      <c r="BX664" s="98"/>
      <c r="BY664" s="279"/>
      <c r="BZ664" s="52"/>
      <c r="CA664" s="105"/>
      <c r="CB664" s="98"/>
      <c r="CC664" s="279"/>
      <c r="CD664" s="52"/>
      <c r="CE664" s="105"/>
      <c r="CF664" s="98"/>
      <c r="CG664" s="279"/>
      <c r="CH664" s="52"/>
      <c r="CI664" s="105"/>
      <c r="CJ664" s="98"/>
      <c r="CK664" s="281"/>
      <c r="CL664" s="277"/>
      <c r="CM664" s="159"/>
      <c r="CN664" s="277"/>
      <c r="CO664" s="50">
        <f t="shared" si="270"/>
        <v>0</v>
      </c>
      <c r="CP664" s="103">
        <f t="shared" si="271"/>
        <v>0</v>
      </c>
      <c r="CQ664" s="280">
        <f t="shared" si="272"/>
        <v>0</v>
      </c>
      <c r="CR664" s="63">
        <f t="shared" si="273"/>
        <v>0</v>
      </c>
      <c r="CS664" s="279"/>
      <c r="CT664" s="52"/>
      <c r="CU664" s="105"/>
      <c r="CV664" s="98"/>
      <c r="CW664" s="279"/>
      <c r="CX664" s="52"/>
      <c r="CY664" s="105"/>
      <c r="CZ664" s="98"/>
      <c r="DA664" s="279"/>
      <c r="DB664" s="52"/>
      <c r="DC664" s="105"/>
      <c r="DD664" s="98"/>
      <c r="DE664" s="279"/>
      <c r="DF664" s="52"/>
      <c r="DG664" s="105"/>
      <c r="DH664" s="98"/>
      <c r="DI664" s="279"/>
      <c r="DJ664" s="52"/>
      <c r="DK664" s="105"/>
      <c r="DL664" s="98"/>
      <c r="DM664" s="279"/>
      <c r="DN664" s="52"/>
      <c r="DO664" s="105"/>
      <c r="DP664" s="98"/>
      <c r="DQ664" s="279"/>
      <c r="DR664" s="52"/>
      <c r="DS664" s="105"/>
      <c r="DT664" s="98"/>
      <c r="DU664" s="279"/>
      <c r="DV664" s="52"/>
      <c r="DW664" s="105"/>
      <c r="DX664" s="98"/>
      <c r="DY664" s="279"/>
      <c r="DZ664" s="52"/>
      <c r="EA664" s="105"/>
      <c r="EB664" s="98"/>
      <c r="EC664" s="279"/>
      <c r="ED664" s="52"/>
      <c r="EE664" s="105"/>
      <c r="EF664" s="98"/>
      <c r="EG664" s="159"/>
      <c r="EH664" s="277"/>
      <c r="EI664" s="50">
        <f t="shared" si="274"/>
        <v>0</v>
      </c>
      <c r="EJ664" s="103">
        <f t="shared" si="275"/>
        <v>0</v>
      </c>
      <c r="EK664" s="164">
        <f t="shared" si="276"/>
        <v>0</v>
      </c>
      <c r="EL664" s="280">
        <f t="shared" si="277"/>
        <v>0</v>
      </c>
      <c r="EM664" s="63">
        <f t="shared" si="278"/>
        <v>0</v>
      </c>
      <c r="EN664" s="359">
        <f t="shared" si="279"/>
        <v>0</v>
      </c>
      <c r="EO664" s="51">
        <f t="shared" si="280"/>
        <v>0</v>
      </c>
      <c r="EP664" s="361">
        <f t="shared" si="281"/>
        <v>0</v>
      </c>
      <c r="EQ664" s="281"/>
      <c r="ER664" s="277"/>
      <c r="ES664" s="281"/>
      <c r="ET664" s="277"/>
      <c r="EU664" s="281"/>
      <c r="EV664" s="277"/>
      <c r="EW664" s="281"/>
      <c r="EX664" s="277"/>
      <c r="EY664" s="281"/>
      <c r="EZ664" s="277"/>
      <c r="FA664" s="281"/>
      <c r="FB664" s="277"/>
      <c r="FC664" s="281"/>
      <c r="FD664" s="277"/>
      <c r="FE664" s="281"/>
      <c r="FF664" s="277"/>
      <c r="FG664" s="281"/>
      <c r="FH664" s="277"/>
      <c r="FI664" s="281"/>
      <c r="FJ664" s="277"/>
      <c r="FK664" s="50">
        <f t="shared" si="282"/>
        <v>0</v>
      </c>
      <c r="FL664" s="63">
        <f t="shared" si="283"/>
        <v>0</v>
      </c>
      <c r="FM664" s="50">
        <f t="shared" si="265"/>
        <v>24</v>
      </c>
      <c r="FN664" s="360">
        <f t="shared" si="266"/>
        <v>13</v>
      </c>
      <c r="FO664" s="43"/>
      <c r="FP664" s="279"/>
      <c r="FQ664" s="467"/>
      <c r="FR664" s="296"/>
      <c r="FS664" s="98"/>
      <c r="FT664" s="467"/>
      <c r="FU664" s="52"/>
      <c r="FV664" s="296"/>
      <c r="FW664" s="98"/>
      <c r="FX664" s="467"/>
      <c r="FY664" s="52"/>
      <c r="FZ664" s="296"/>
      <c r="GA664" s="98"/>
      <c r="GB664" s="467"/>
      <c r="GC664" s="52"/>
      <c r="GD664" s="296"/>
      <c r="GE664" s="98"/>
      <c r="GF664" s="467"/>
      <c r="GG664" s="52"/>
      <c r="GH664" s="296"/>
      <c r="GI664" s="98"/>
      <c r="GJ664" s="467"/>
      <c r="GK664" s="52"/>
      <c r="GL664" s="296"/>
      <c r="GM664" s="464"/>
      <c r="GN664" s="467"/>
      <c r="GO664" s="52"/>
      <c r="GP664" s="296"/>
      <c r="GQ664" s="464"/>
      <c r="GR664" s="467"/>
      <c r="GS664" s="52"/>
      <c r="GT664" s="296"/>
      <c r="GU664" s="464"/>
      <c r="GV664" s="467"/>
      <c r="GW664" s="52"/>
      <c r="GX664" s="296"/>
      <c r="GY664" s="464"/>
      <c r="GZ664" s="467"/>
      <c r="HA664" s="52"/>
      <c r="HB664" s="296"/>
      <c r="HC664" s="43"/>
    </row>
    <row r="665" spans="1:211" s="85" customFormat="1">
      <c r="A665" s="502" t="s">
        <v>951</v>
      </c>
      <c r="B665" s="315" t="s">
        <v>889</v>
      </c>
      <c r="C665" s="314">
        <v>408394</v>
      </c>
      <c r="D665" s="343">
        <v>10</v>
      </c>
      <c r="E665" s="460">
        <v>34</v>
      </c>
      <c r="F665" s="552">
        <v>25</v>
      </c>
      <c r="G665" s="158"/>
      <c r="H665" s="277"/>
      <c r="I665" s="158">
        <v>92</v>
      </c>
      <c r="J665" s="552">
        <v>121</v>
      </c>
      <c r="K665" s="160">
        <f t="shared" si="267"/>
        <v>0</v>
      </c>
      <c r="L665" s="161">
        <f t="shared" si="260"/>
        <v>0</v>
      </c>
      <c r="M665" s="54"/>
      <c r="N665" s="55"/>
      <c r="O665" s="55"/>
      <c r="P665" s="55"/>
      <c r="Q665" s="162">
        <f t="shared" si="268"/>
        <v>0</v>
      </c>
      <c r="R665" s="277"/>
      <c r="S665" s="277"/>
      <c r="T665" s="277"/>
      <c r="U665" s="277"/>
      <c r="V665" s="97">
        <f t="shared" si="269"/>
        <v>0</v>
      </c>
      <c r="W665" s="279"/>
      <c r="X665" s="52"/>
      <c r="Y665" s="99"/>
      <c r="Z665" s="53"/>
      <c r="AA665" s="228"/>
      <c r="AB665" s="52"/>
      <c r="AC665" s="99"/>
      <c r="AD665" s="53"/>
      <c r="AE665" s="228"/>
      <c r="AF665" s="52"/>
      <c r="AG665" s="99"/>
      <c r="AH665" s="53"/>
      <c r="AI665" s="228"/>
      <c r="AJ665" s="52"/>
      <c r="AK665" s="99"/>
      <c r="AL665" s="53"/>
      <c r="AM665" s="228"/>
      <c r="AN665" s="52"/>
      <c r="AO665" s="99"/>
      <c r="AP665" s="53"/>
      <c r="AQ665" s="50">
        <f t="shared" si="261"/>
        <v>0</v>
      </c>
      <c r="AR665" s="163">
        <f t="shared" si="262"/>
        <v>0</v>
      </c>
      <c r="AS665" s="97">
        <f t="shared" si="263"/>
        <v>0</v>
      </c>
      <c r="AT665" s="278">
        <f t="shared" si="264"/>
        <v>0</v>
      </c>
      <c r="AU665" s="55"/>
      <c r="AV665" s="277"/>
      <c r="AW665" s="279"/>
      <c r="AX665" s="52"/>
      <c r="AY665" s="105"/>
      <c r="AZ665" s="98"/>
      <c r="BA665" s="279"/>
      <c r="BB665" s="52"/>
      <c r="BC665" s="105"/>
      <c r="BD665" s="98"/>
      <c r="BE665" s="279"/>
      <c r="BF665" s="52"/>
      <c r="BG665" s="105"/>
      <c r="BH665" s="98"/>
      <c r="BI665" s="279"/>
      <c r="BJ665" s="52"/>
      <c r="BK665" s="105"/>
      <c r="BL665" s="98"/>
      <c r="BM665" s="279"/>
      <c r="BN665" s="52"/>
      <c r="BO665" s="105"/>
      <c r="BP665" s="98"/>
      <c r="BQ665" s="279"/>
      <c r="BR665" s="52"/>
      <c r="BS665" s="105"/>
      <c r="BT665" s="98"/>
      <c r="BU665" s="279"/>
      <c r="BV665" s="52"/>
      <c r="BW665" s="105"/>
      <c r="BX665" s="98"/>
      <c r="BY665" s="279"/>
      <c r="BZ665" s="52"/>
      <c r="CA665" s="105"/>
      <c r="CB665" s="98"/>
      <c r="CC665" s="279"/>
      <c r="CD665" s="52"/>
      <c r="CE665" s="105"/>
      <c r="CF665" s="98"/>
      <c r="CG665" s="279"/>
      <c r="CH665" s="52"/>
      <c r="CI665" s="105"/>
      <c r="CJ665" s="98"/>
      <c r="CK665" s="281"/>
      <c r="CL665" s="277"/>
      <c r="CM665" s="159"/>
      <c r="CN665" s="277"/>
      <c r="CO665" s="50">
        <f t="shared" si="270"/>
        <v>0</v>
      </c>
      <c r="CP665" s="103">
        <f t="shared" si="271"/>
        <v>0</v>
      </c>
      <c r="CQ665" s="280">
        <f t="shared" si="272"/>
        <v>0</v>
      </c>
      <c r="CR665" s="63">
        <f t="shared" si="273"/>
        <v>0</v>
      </c>
      <c r="CS665" s="279"/>
      <c r="CT665" s="52"/>
      <c r="CU665" s="105"/>
      <c r="CV665" s="98"/>
      <c r="CW665" s="279"/>
      <c r="CX665" s="52"/>
      <c r="CY665" s="105"/>
      <c r="CZ665" s="98"/>
      <c r="DA665" s="279"/>
      <c r="DB665" s="52"/>
      <c r="DC665" s="105"/>
      <c r="DD665" s="98"/>
      <c r="DE665" s="279"/>
      <c r="DF665" s="52"/>
      <c r="DG665" s="105"/>
      <c r="DH665" s="98"/>
      <c r="DI665" s="279"/>
      <c r="DJ665" s="52"/>
      <c r="DK665" s="105"/>
      <c r="DL665" s="98"/>
      <c r="DM665" s="279"/>
      <c r="DN665" s="52"/>
      <c r="DO665" s="105"/>
      <c r="DP665" s="98"/>
      <c r="DQ665" s="279"/>
      <c r="DR665" s="52"/>
      <c r="DS665" s="105"/>
      <c r="DT665" s="98"/>
      <c r="DU665" s="279"/>
      <c r="DV665" s="52"/>
      <c r="DW665" s="105"/>
      <c r="DX665" s="98"/>
      <c r="DY665" s="279"/>
      <c r="DZ665" s="52"/>
      <c r="EA665" s="105"/>
      <c r="EB665" s="98"/>
      <c r="EC665" s="279"/>
      <c r="ED665" s="52"/>
      <c r="EE665" s="105"/>
      <c r="EF665" s="98"/>
      <c r="EG665" s="159"/>
      <c r="EH665" s="277"/>
      <c r="EI665" s="50">
        <f t="shared" si="274"/>
        <v>0</v>
      </c>
      <c r="EJ665" s="103">
        <f t="shared" si="275"/>
        <v>0</v>
      </c>
      <c r="EK665" s="164">
        <f t="shared" si="276"/>
        <v>0</v>
      </c>
      <c r="EL665" s="280">
        <f t="shared" si="277"/>
        <v>0</v>
      </c>
      <c r="EM665" s="63">
        <f t="shared" si="278"/>
        <v>0</v>
      </c>
      <c r="EN665" s="359">
        <f t="shared" si="279"/>
        <v>0</v>
      </c>
      <c r="EO665" s="51">
        <f t="shared" si="280"/>
        <v>0</v>
      </c>
      <c r="EP665" s="361">
        <f t="shared" si="281"/>
        <v>0</v>
      </c>
      <c r="EQ665" s="281"/>
      <c r="ER665" s="277"/>
      <c r="ES665" s="281"/>
      <c r="ET665" s="277"/>
      <c r="EU665" s="281"/>
      <c r="EV665" s="277"/>
      <c r="EW665" s="281"/>
      <c r="EX665" s="277"/>
      <c r="EY665" s="281"/>
      <c r="EZ665" s="277"/>
      <c r="FA665" s="281"/>
      <c r="FB665" s="277"/>
      <c r="FC665" s="281"/>
      <c r="FD665" s="277"/>
      <c r="FE665" s="281"/>
      <c r="FF665" s="277"/>
      <c r="FG665" s="281"/>
      <c r="FH665" s="277"/>
      <c r="FI665" s="281"/>
      <c r="FJ665" s="277"/>
      <c r="FK665" s="50">
        <f t="shared" si="282"/>
        <v>0</v>
      </c>
      <c r="FL665" s="63">
        <f t="shared" si="283"/>
        <v>0</v>
      </c>
      <c r="FM665" s="50">
        <f t="shared" si="265"/>
        <v>126</v>
      </c>
      <c r="FN665" s="360">
        <f t="shared" si="266"/>
        <v>146</v>
      </c>
      <c r="FO665" s="43"/>
      <c r="FP665" s="279"/>
      <c r="FQ665" s="467"/>
      <c r="FR665" s="296"/>
      <c r="FS665" s="98"/>
      <c r="FT665" s="467"/>
      <c r="FU665" s="52"/>
      <c r="FV665" s="296"/>
      <c r="FW665" s="98"/>
      <c r="FX665" s="467"/>
      <c r="FY665" s="52"/>
      <c r="FZ665" s="296"/>
      <c r="GA665" s="98"/>
      <c r="GB665" s="467"/>
      <c r="GC665" s="52"/>
      <c r="GD665" s="296"/>
      <c r="GE665" s="98"/>
      <c r="GF665" s="467"/>
      <c r="GG665" s="52"/>
      <c r="GH665" s="296"/>
      <c r="GI665" s="98"/>
      <c r="GJ665" s="467"/>
      <c r="GK665" s="52"/>
      <c r="GL665" s="296"/>
      <c r="GM665" s="464"/>
      <c r="GN665" s="467"/>
      <c r="GO665" s="52"/>
      <c r="GP665" s="296"/>
      <c r="GQ665" s="464"/>
      <c r="GR665" s="467"/>
      <c r="GS665" s="52"/>
      <c r="GT665" s="296"/>
      <c r="GU665" s="464"/>
      <c r="GV665" s="467"/>
      <c r="GW665" s="52"/>
      <c r="GX665" s="296"/>
      <c r="GY665" s="464"/>
      <c r="GZ665" s="467"/>
      <c r="HA665" s="52"/>
      <c r="HB665" s="296"/>
      <c r="HC665" s="43"/>
    </row>
    <row r="666" spans="1:211" s="85" customFormat="1">
      <c r="A666" s="555" t="s">
        <v>951</v>
      </c>
      <c r="B666" s="339" t="s">
        <v>890</v>
      </c>
      <c r="C666" s="355">
        <v>229328</v>
      </c>
      <c r="D666" s="373">
        <v>10</v>
      </c>
      <c r="E666" s="460">
        <v>225</v>
      </c>
      <c r="F666" s="552">
        <v>178</v>
      </c>
      <c r="G666" s="158"/>
      <c r="H666" s="277"/>
      <c r="I666" s="158">
        <v>184</v>
      </c>
      <c r="J666" s="552">
        <v>193</v>
      </c>
      <c r="K666" s="160">
        <f t="shared" si="267"/>
        <v>0</v>
      </c>
      <c r="L666" s="161">
        <f t="shared" si="260"/>
        <v>0</v>
      </c>
      <c r="M666" s="54"/>
      <c r="N666" s="55"/>
      <c r="O666" s="55"/>
      <c r="P666" s="55"/>
      <c r="Q666" s="162">
        <f t="shared" si="268"/>
        <v>0</v>
      </c>
      <c r="R666" s="277"/>
      <c r="S666" s="277"/>
      <c r="T666" s="277"/>
      <c r="U666" s="277"/>
      <c r="V666" s="97">
        <f t="shared" si="269"/>
        <v>0</v>
      </c>
      <c r="W666" s="279"/>
      <c r="X666" s="52"/>
      <c r="Y666" s="99"/>
      <c r="Z666" s="53"/>
      <c r="AA666" s="228"/>
      <c r="AB666" s="52"/>
      <c r="AC666" s="99"/>
      <c r="AD666" s="53"/>
      <c r="AE666" s="228"/>
      <c r="AF666" s="52"/>
      <c r="AG666" s="99"/>
      <c r="AH666" s="53"/>
      <c r="AI666" s="228"/>
      <c r="AJ666" s="52"/>
      <c r="AK666" s="99"/>
      <c r="AL666" s="53"/>
      <c r="AM666" s="228"/>
      <c r="AN666" s="52"/>
      <c r="AO666" s="99"/>
      <c r="AP666" s="53"/>
      <c r="AQ666" s="50">
        <f t="shared" si="261"/>
        <v>0</v>
      </c>
      <c r="AR666" s="163">
        <f t="shared" si="262"/>
        <v>0</v>
      </c>
      <c r="AS666" s="97">
        <f t="shared" si="263"/>
        <v>0</v>
      </c>
      <c r="AT666" s="278">
        <f t="shared" si="264"/>
        <v>0</v>
      </c>
      <c r="AU666" s="55"/>
      <c r="AV666" s="277"/>
      <c r="AW666" s="279"/>
      <c r="AX666" s="52"/>
      <c r="AY666" s="105"/>
      <c r="AZ666" s="98"/>
      <c r="BA666" s="279"/>
      <c r="BB666" s="52"/>
      <c r="BC666" s="105"/>
      <c r="BD666" s="98"/>
      <c r="BE666" s="279"/>
      <c r="BF666" s="52"/>
      <c r="BG666" s="105"/>
      <c r="BH666" s="98"/>
      <c r="BI666" s="279"/>
      <c r="BJ666" s="52"/>
      <c r="BK666" s="105"/>
      <c r="BL666" s="98"/>
      <c r="BM666" s="279"/>
      <c r="BN666" s="52"/>
      <c r="BO666" s="105"/>
      <c r="BP666" s="98"/>
      <c r="BQ666" s="279"/>
      <c r="BR666" s="52"/>
      <c r="BS666" s="105"/>
      <c r="BT666" s="98"/>
      <c r="BU666" s="279"/>
      <c r="BV666" s="52"/>
      <c r="BW666" s="105"/>
      <c r="BX666" s="98"/>
      <c r="BY666" s="279"/>
      <c r="BZ666" s="52"/>
      <c r="CA666" s="105"/>
      <c r="CB666" s="98"/>
      <c r="CC666" s="279"/>
      <c r="CD666" s="52"/>
      <c r="CE666" s="105"/>
      <c r="CF666" s="98"/>
      <c r="CG666" s="279"/>
      <c r="CH666" s="52"/>
      <c r="CI666" s="105"/>
      <c r="CJ666" s="98"/>
      <c r="CK666" s="281"/>
      <c r="CL666" s="277"/>
      <c r="CM666" s="159"/>
      <c r="CN666" s="277"/>
      <c r="CO666" s="50">
        <f t="shared" si="270"/>
        <v>0</v>
      </c>
      <c r="CP666" s="103">
        <f t="shared" si="271"/>
        <v>0</v>
      </c>
      <c r="CQ666" s="280">
        <f t="shared" si="272"/>
        <v>0</v>
      </c>
      <c r="CR666" s="63">
        <f t="shared" si="273"/>
        <v>0</v>
      </c>
      <c r="CS666" s="279"/>
      <c r="CT666" s="52"/>
      <c r="CU666" s="105"/>
      <c r="CV666" s="98"/>
      <c r="CW666" s="279"/>
      <c r="CX666" s="52"/>
      <c r="CY666" s="105"/>
      <c r="CZ666" s="98"/>
      <c r="DA666" s="279"/>
      <c r="DB666" s="52"/>
      <c r="DC666" s="105"/>
      <c r="DD666" s="98"/>
      <c r="DE666" s="279"/>
      <c r="DF666" s="52"/>
      <c r="DG666" s="105"/>
      <c r="DH666" s="98"/>
      <c r="DI666" s="279"/>
      <c r="DJ666" s="52"/>
      <c r="DK666" s="105"/>
      <c r="DL666" s="98"/>
      <c r="DM666" s="279"/>
      <c r="DN666" s="52"/>
      <c r="DO666" s="105"/>
      <c r="DP666" s="98"/>
      <c r="DQ666" s="279"/>
      <c r="DR666" s="52"/>
      <c r="DS666" s="105"/>
      <c r="DT666" s="98"/>
      <c r="DU666" s="279"/>
      <c r="DV666" s="52"/>
      <c r="DW666" s="105"/>
      <c r="DX666" s="98"/>
      <c r="DY666" s="279"/>
      <c r="DZ666" s="52"/>
      <c r="EA666" s="105"/>
      <c r="EB666" s="98"/>
      <c r="EC666" s="279"/>
      <c r="ED666" s="52"/>
      <c r="EE666" s="105"/>
      <c r="EF666" s="98"/>
      <c r="EG666" s="159"/>
      <c r="EH666" s="277"/>
      <c r="EI666" s="50">
        <f t="shared" si="274"/>
        <v>0</v>
      </c>
      <c r="EJ666" s="103">
        <f t="shared" si="275"/>
        <v>0</v>
      </c>
      <c r="EK666" s="164">
        <f t="shared" si="276"/>
        <v>0</v>
      </c>
      <c r="EL666" s="280">
        <f t="shared" si="277"/>
        <v>0</v>
      </c>
      <c r="EM666" s="63">
        <f t="shared" si="278"/>
        <v>0</v>
      </c>
      <c r="EN666" s="359">
        <f t="shared" si="279"/>
        <v>0</v>
      </c>
      <c r="EO666" s="51">
        <f t="shared" si="280"/>
        <v>0</v>
      </c>
      <c r="EP666" s="361">
        <f t="shared" si="281"/>
        <v>0</v>
      </c>
      <c r="EQ666" s="281"/>
      <c r="ER666" s="277"/>
      <c r="ES666" s="281"/>
      <c r="ET666" s="277"/>
      <c r="EU666" s="281"/>
      <c r="EV666" s="277"/>
      <c r="EW666" s="281"/>
      <c r="EX666" s="277"/>
      <c r="EY666" s="281"/>
      <c r="EZ666" s="277"/>
      <c r="FA666" s="281"/>
      <c r="FB666" s="277"/>
      <c r="FC666" s="281"/>
      <c r="FD666" s="277"/>
      <c r="FE666" s="281"/>
      <c r="FF666" s="277"/>
      <c r="FG666" s="281"/>
      <c r="FH666" s="277"/>
      <c r="FI666" s="281"/>
      <c r="FJ666" s="277"/>
      <c r="FK666" s="50">
        <f t="shared" si="282"/>
        <v>0</v>
      </c>
      <c r="FL666" s="63">
        <f t="shared" si="283"/>
        <v>0</v>
      </c>
      <c r="FM666" s="50">
        <f t="shared" si="265"/>
        <v>409</v>
      </c>
      <c r="FN666" s="360">
        <f t="shared" si="266"/>
        <v>371</v>
      </c>
      <c r="FO666" s="43"/>
      <c r="FP666" s="279"/>
      <c r="FQ666" s="467"/>
      <c r="FR666" s="296"/>
      <c r="FS666" s="98"/>
      <c r="FT666" s="467"/>
      <c r="FU666" s="52"/>
      <c r="FV666" s="296"/>
      <c r="FW666" s="98"/>
      <c r="FX666" s="467"/>
      <c r="FY666" s="52"/>
      <c r="FZ666" s="296"/>
      <c r="GA666" s="98"/>
      <c r="GB666" s="467"/>
      <c r="GC666" s="52"/>
      <c r="GD666" s="296"/>
      <c r="GE666" s="98"/>
      <c r="GF666" s="467"/>
      <c r="GG666" s="52"/>
      <c r="GH666" s="296"/>
      <c r="GI666" s="98"/>
      <c r="GJ666" s="467"/>
      <c r="GK666" s="52"/>
      <c r="GL666" s="296"/>
      <c r="GM666" s="464"/>
      <c r="GN666" s="467"/>
      <c r="GO666" s="52"/>
      <c r="GP666" s="296"/>
      <c r="GQ666" s="464"/>
      <c r="GR666" s="467"/>
      <c r="GS666" s="52"/>
      <c r="GT666" s="296"/>
      <c r="GU666" s="464"/>
      <c r="GV666" s="467"/>
      <c r="GW666" s="52"/>
      <c r="GX666" s="296"/>
      <c r="GY666" s="464"/>
      <c r="GZ666" s="467"/>
      <c r="HA666" s="52"/>
      <c r="HB666" s="296"/>
      <c r="HC666" s="43"/>
    </row>
    <row r="667" spans="1:211" s="85" customFormat="1">
      <c r="A667" s="502" t="s">
        <v>951</v>
      </c>
      <c r="B667" s="315" t="s">
        <v>891</v>
      </c>
      <c r="C667" s="314">
        <v>229832</v>
      </c>
      <c r="D667" s="343">
        <v>10</v>
      </c>
      <c r="E667" s="460">
        <v>102</v>
      </c>
      <c r="F667" s="552">
        <v>147</v>
      </c>
      <c r="G667" s="158"/>
      <c r="H667" s="277"/>
      <c r="I667" s="158">
        <v>148</v>
      </c>
      <c r="J667" s="552">
        <v>125</v>
      </c>
      <c r="K667" s="160">
        <f t="shared" si="267"/>
        <v>0</v>
      </c>
      <c r="L667" s="161">
        <f t="shared" si="260"/>
        <v>0</v>
      </c>
      <c r="M667" s="54"/>
      <c r="N667" s="55"/>
      <c r="O667" s="55"/>
      <c r="P667" s="55"/>
      <c r="Q667" s="162">
        <f t="shared" si="268"/>
        <v>0</v>
      </c>
      <c r="R667" s="277"/>
      <c r="S667" s="277"/>
      <c r="T667" s="277"/>
      <c r="U667" s="277"/>
      <c r="V667" s="97">
        <f t="shared" si="269"/>
        <v>0</v>
      </c>
      <c r="W667" s="279"/>
      <c r="X667" s="52"/>
      <c r="Y667" s="99"/>
      <c r="Z667" s="53"/>
      <c r="AA667" s="228"/>
      <c r="AB667" s="52"/>
      <c r="AC667" s="99"/>
      <c r="AD667" s="53"/>
      <c r="AE667" s="228"/>
      <c r="AF667" s="52"/>
      <c r="AG667" s="99"/>
      <c r="AH667" s="53"/>
      <c r="AI667" s="228"/>
      <c r="AJ667" s="52"/>
      <c r="AK667" s="99"/>
      <c r="AL667" s="53"/>
      <c r="AM667" s="228"/>
      <c r="AN667" s="52"/>
      <c r="AO667" s="99"/>
      <c r="AP667" s="53"/>
      <c r="AQ667" s="50">
        <f t="shared" si="261"/>
        <v>0</v>
      </c>
      <c r="AR667" s="163">
        <f t="shared" si="262"/>
        <v>0</v>
      </c>
      <c r="AS667" s="97">
        <f t="shared" si="263"/>
        <v>0</v>
      </c>
      <c r="AT667" s="278">
        <f t="shared" si="264"/>
        <v>0</v>
      </c>
      <c r="AU667" s="55"/>
      <c r="AV667" s="277"/>
      <c r="AW667" s="279"/>
      <c r="AX667" s="52"/>
      <c r="AY667" s="105"/>
      <c r="AZ667" s="98"/>
      <c r="BA667" s="279"/>
      <c r="BB667" s="52"/>
      <c r="BC667" s="105"/>
      <c r="BD667" s="98"/>
      <c r="BE667" s="279"/>
      <c r="BF667" s="52"/>
      <c r="BG667" s="105"/>
      <c r="BH667" s="98"/>
      <c r="BI667" s="279"/>
      <c r="BJ667" s="52"/>
      <c r="BK667" s="105"/>
      <c r="BL667" s="98"/>
      <c r="BM667" s="279"/>
      <c r="BN667" s="52"/>
      <c r="BO667" s="105"/>
      <c r="BP667" s="98"/>
      <c r="BQ667" s="279"/>
      <c r="BR667" s="52"/>
      <c r="BS667" s="105"/>
      <c r="BT667" s="98"/>
      <c r="BU667" s="279"/>
      <c r="BV667" s="52"/>
      <c r="BW667" s="105"/>
      <c r="BX667" s="98"/>
      <c r="BY667" s="279"/>
      <c r="BZ667" s="52"/>
      <c r="CA667" s="105"/>
      <c r="CB667" s="98"/>
      <c r="CC667" s="279"/>
      <c r="CD667" s="52"/>
      <c r="CE667" s="105"/>
      <c r="CF667" s="98"/>
      <c r="CG667" s="279"/>
      <c r="CH667" s="52"/>
      <c r="CI667" s="105"/>
      <c r="CJ667" s="98"/>
      <c r="CK667" s="281"/>
      <c r="CL667" s="277"/>
      <c r="CM667" s="159"/>
      <c r="CN667" s="277"/>
      <c r="CO667" s="50">
        <f t="shared" si="270"/>
        <v>0</v>
      </c>
      <c r="CP667" s="103">
        <f t="shared" si="271"/>
        <v>0</v>
      </c>
      <c r="CQ667" s="280">
        <f t="shared" si="272"/>
        <v>0</v>
      </c>
      <c r="CR667" s="63">
        <f t="shared" si="273"/>
        <v>0</v>
      </c>
      <c r="CS667" s="279"/>
      <c r="CT667" s="52"/>
      <c r="CU667" s="105"/>
      <c r="CV667" s="98"/>
      <c r="CW667" s="279"/>
      <c r="CX667" s="52"/>
      <c r="CY667" s="105"/>
      <c r="CZ667" s="98"/>
      <c r="DA667" s="279"/>
      <c r="DB667" s="52"/>
      <c r="DC667" s="105"/>
      <c r="DD667" s="98"/>
      <c r="DE667" s="279"/>
      <c r="DF667" s="52"/>
      <c r="DG667" s="105"/>
      <c r="DH667" s="98"/>
      <c r="DI667" s="279"/>
      <c r="DJ667" s="52"/>
      <c r="DK667" s="105"/>
      <c r="DL667" s="98"/>
      <c r="DM667" s="279"/>
      <c r="DN667" s="52"/>
      <c r="DO667" s="105"/>
      <c r="DP667" s="98"/>
      <c r="DQ667" s="279"/>
      <c r="DR667" s="52"/>
      <c r="DS667" s="105"/>
      <c r="DT667" s="98"/>
      <c r="DU667" s="279"/>
      <c r="DV667" s="52"/>
      <c r="DW667" s="105"/>
      <c r="DX667" s="98"/>
      <c r="DY667" s="279"/>
      <c r="DZ667" s="52"/>
      <c r="EA667" s="105"/>
      <c r="EB667" s="98"/>
      <c r="EC667" s="279"/>
      <c r="ED667" s="52"/>
      <c r="EE667" s="105"/>
      <c r="EF667" s="98"/>
      <c r="EG667" s="159"/>
      <c r="EH667" s="277"/>
      <c r="EI667" s="50">
        <f t="shared" si="274"/>
        <v>0</v>
      </c>
      <c r="EJ667" s="103">
        <f t="shared" si="275"/>
        <v>0</v>
      </c>
      <c r="EK667" s="164">
        <f t="shared" si="276"/>
        <v>0</v>
      </c>
      <c r="EL667" s="280">
        <f t="shared" si="277"/>
        <v>0</v>
      </c>
      <c r="EM667" s="63">
        <f t="shared" si="278"/>
        <v>0</v>
      </c>
      <c r="EN667" s="359">
        <f t="shared" si="279"/>
        <v>0</v>
      </c>
      <c r="EO667" s="51">
        <f t="shared" si="280"/>
        <v>0</v>
      </c>
      <c r="EP667" s="361">
        <f t="shared" si="281"/>
        <v>0</v>
      </c>
      <c r="EQ667" s="281"/>
      <c r="ER667" s="277"/>
      <c r="ES667" s="281"/>
      <c r="ET667" s="277"/>
      <c r="EU667" s="281"/>
      <c r="EV667" s="277"/>
      <c r="EW667" s="281"/>
      <c r="EX667" s="277"/>
      <c r="EY667" s="281"/>
      <c r="EZ667" s="277"/>
      <c r="FA667" s="281"/>
      <c r="FB667" s="277"/>
      <c r="FC667" s="281"/>
      <c r="FD667" s="277"/>
      <c r="FE667" s="281"/>
      <c r="FF667" s="277"/>
      <c r="FG667" s="281"/>
      <c r="FH667" s="277"/>
      <c r="FI667" s="281"/>
      <c r="FJ667" s="277"/>
      <c r="FK667" s="50">
        <f t="shared" si="282"/>
        <v>0</v>
      </c>
      <c r="FL667" s="63">
        <f t="shared" si="283"/>
        <v>0</v>
      </c>
      <c r="FM667" s="50">
        <f t="shared" si="265"/>
        <v>250</v>
      </c>
      <c r="FN667" s="360">
        <f t="shared" si="266"/>
        <v>272</v>
      </c>
      <c r="FO667" s="43"/>
      <c r="FP667" s="279"/>
      <c r="FQ667" s="467"/>
      <c r="FR667" s="296"/>
      <c r="FS667" s="98"/>
      <c r="FT667" s="467"/>
      <c r="FU667" s="52"/>
      <c r="FV667" s="296"/>
      <c r="FW667" s="98"/>
      <c r="FX667" s="467"/>
      <c r="FY667" s="52"/>
      <c r="FZ667" s="296"/>
      <c r="GA667" s="98"/>
      <c r="GB667" s="467"/>
      <c r="GC667" s="52"/>
      <c r="GD667" s="296"/>
      <c r="GE667" s="98"/>
      <c r="GF667" s="467"/>
      <c r="GG667" s="52"/>
      <c r="GH667" s="296"/>
      <c r="GI667" s="98"/>
      <c r="GJ667" s="467"/>
      <c r="GK667" s="52"/>
      <c r="GL667" s="296"/>
      <c r="GM667" s="464"/>
      <c r="GN667" s="467"/>
      <c r="GO667" s="52"/>
      <c r="GP667" s="296"/>
      <c r="GQ667" s="464"/>
      <c r="GR667" s="467"/>
      <c r="GS667" s="52"/>
      <c r="GT667" s="296"/>
      <c r="GU667" s="464"/>
      <c r="GV667" s="467"/>
      <c r="GW667" s="52"/>
      <c r="GX667" s="296"/>
      <c r="GY667" s="464"/>
      <c r="GZ667" s="467"/>
      <c r="HA667" s="52"/>
      <c r="HB667" s="296"/>
      <c r="HC667" s="43"/>
    </row>
    <row r="668" spans="1:211" s="85" customFormat="1">
      <c r="A668" s="502" t="s">
        <v>951</v>
      </c>
      <c r="B668" s="315" t="s">
        <v>1230</v>
      </c>
      <c r="C668" s="314" t="s">
        <v>1231</v>
      </c>
      <c r="D668" s="343">
        <v>15</v>
      </c>
      <c r="E668" s="460"/>
      <c r="F668" s="277"/>
      <c r="G668" s="158"/>
      <c r="H668" s="277"/>
      <c r="I668" s="158"/>
      <c r="J668" s="277"/>
      <c r="K668" s="160">
        <f t="shared" si="267"/>
        <v>0</v>
      </c>
      <c r="L668" s="161">
        <f t="shared" si="260"/>
        <v>0</v>
      </c>
      <c r="M668" s="54"/>
      <c r="N668" s="55"/>
      <c r="O668" s="55"/>
      <c r="P668" s="55"/>
      <c r="Q668" s="162">
        <f t="shared" si="268"/>
        <v>0</v>
      </c>
      <c r="R668" s="558"/>
      <c r="S668" s="277"/>
      <c r="T668" s="277"/>
      <c r="U668" s="277"/>
      <c r="V668" s="97">
        <f t="shared" si="269"/>
        <v>0</v>
      </c>
      <c r="W668" s="279"/>
      <c r="X668" s="52"/>
      <c r="Y668" s="99"/>
      <c r="Z668" s="53"/>
      <c r="AA668" s="228"/>
      <c r="AB668" s="52"/>
      <c r="AC668" s="99"/>
      <c r="AD668" s="53"/>
      <c r="AE668" s="228"/>
      <c r="AF668" s="52"/>
      <c r="AG668" s="99"/>
      <c r="AH668" s="53"/>
      <c r="AI668" s="228"/>
      <c r="AJ668" s="52"/>
      <c r="AK668" s="99"/>
      <c r="AL668" s="53"/>
      <c r="AM668" s="228"/>
      <c r="AN668" s="52"/>
      <c r="AO668" s="99"/>
      <c r="AP668" s="53"/>
      <c r="AQ668" s="50">
        <f t="shared" si="261"/>
        <v>0</v>
      </c>
      <c r="AR668" s="163">
        <f t="shared" si="262"/>
        <v>0</v>
      </c>
      <c r="AS668" s="97">
        <f t="shared" si="263"/>
        <v>0</v>
      </c>
      <c r="AT668" s="278">
        <f t="shared" si="264"/>
        <v>0</v>
      </c>
      <c r="AU668" s="55"/>
      <c r="AV668" s="277"/>
      <c r="AW668" s="279"/>
      <c r="AX668" s="52"/>
      <c r="AY668" s="105"/>
      <c r="AZ668" s="53"/>
      <c r="BA668" s="279"/>
      <c r="BB668" s="52"/>
      <c r="BC668" s="105"/>
      <c r="BD668" s="98"/>
      <c r="BE668" s="279"/>
      <c r="BF668" s="52"/>
      <c r="BG668" s="105"/>
      <c r="BH668" s="98"/>
      <c r="BI668" s="279"/>
      <c r="BJ668" s="52"/>
      <c r="BK668" s="105"/>
      <c r="BL668" s="98"/>
      <c r="BM668" s="279"/>
      <c r="BN668" s="52"/>
      <c r="BO668" s="105"/>
      <c r="BP668" s="53"/>
      <c r="BQ668" s="279"/>
      <c r="BR668" s="52"/>
      <c r="BS668" s="559"/>
      <c r="BT668" s="53"/>
      <c r="BU668" s="279"/>
      <c r="BV668" s="52"/>
      <c r="BW668" s="559"/>
      <c r="BX668" s="53"/>
      <c r="BY668" s="279"/>
      <c r="BZ668" s="52"/>
      <c r="CA668" s="105"/>
      <c r="CB668" s="53"/>
      <c r="CC668" s="279"/>
      <c r="CD668" s="52"/>
      <c r="CE668" s="105"/>
      <c r="CF668" s="98"/>
      <c r="CG668" s="279"/>
      <c r="CH668" s="52"/>
      <c r="CI668" s="105"/>
      <c r="CJ668" s="98"/>
      <c r="CK668" s="281"/>
      <c r="CL668" s="277"/>
      <c r="CM668" s="159"/>
      <c r="CN668" s="277"/>
      <c r="CO668" s="50">
        <f t="shared" si="270"/>
        <v>0</v>
      </c>
      <c r="CP668" s="103">
        <f t="shared" si="271"/>
        <v>0</v>
      </c>
      <c r="CQ668" s="280">
        <f t="shared" si="272"/>
        <v>0</v>
      </c>
      <c r="CR668" s="63">
        <f t="shared" si="273"/>
        <v>0</v>
      </c>
      <c r="CS668" s="279"/>
      <c r="CT668" s="52"/>
      <c r="CU668" s="105"/>
      <c r="CV668" s="98"/>
      <c r="CW668" s="279"/>
      <c r="CX668" s="52"/>
      <c r="CY668" s="105"/>
      <c r="CZ668" s="98"/>
      <c r="DA668" s="279"/>
      <c r="DB668" s="52"/>
      <c r="DC668" s="105"/>
      <c r="DD668" s="98"/>
      <c r="DE668" s="279"/>
      <c r="DF668" s="52"/>
      <c r="DG668" s="105"/>
      <c r="DH668" s="98"/>
      <c r="DI668" s="279"/>
      <c r="DJ668" s="52"/>
      <c r="DK668" s="105"/>
      <c r="DL668" s="98"/>
      <c r="DM668" s="279"/>
      <c r="DN668" s="52"/>
      <c r="DO668" s="105"/>
      <c r="DP668" s="98"/>
      <c r="DQ668" s="279"/>
      <c r="DR668" s="52"/>
      <c r="DS668" s="559"/>
      <c r="DT668" s="98"/>
      <c r="DU668" s="279"/>
      <c r="DV668" s="52"/>
      <c r="DW668" s="105"/>
      <c r="DX668" s="98"/>
      <c r="DY668" s="279"/>
      <c r="DZ668" s="52"/>
      <c r="EA668" s="105"/>
      <c r="EB668" s="98"/>
      <c r="EC668" s="279"/>
      <c r="ED668" s="52"/>
      <c r="EE668" s="105"/>
      <c r="EF668" s="98"/>
      <c r="EG668" s="159"/>
      <c r="EH668" s="277"/>
      <c r="EI668" s="50">
        <f t="shared" si="274"/>
        <v>0</v>
      </c>
      <c r="EJ668" s="103">
        <f t="shared" si="275"/>
        <v>0</v>
      </c>
      <c r="EK668" s="164">
        <f t="shared" si="276"/>
        <v>0</v>
      </c>
      <c r="EL668" s="280">
        <f t="shared" si="277"/>
        <v>0</v>
      </c>
      <c r="EM668" s="63">
        <f t="shared" si="278"/>
        <v>0</v>
      </c>
      <c r="EN668" s="359">
        <f t="shared" si="279"/>
        <v>0</v>
      </c>
      <c r="EO668" s="51">
        <f t="shared" si="280"/>
        <v>0</v>
      </c>
      <c r="EP668" s="361">
        <f t="shared" si="281"/>
        <v>0</v>
      </c>
      <c r="EQ668" s="281"/>
      <c r="ER668" s="277"/>
      <c r="ES668" s="281"/>
      <c r="ET668" s="277"/>
      <c r="EU668" s="281"/>
      <c r="EV668" s="277"/>
      <c r="EW668" s="281"/>
      <c r="EX668" s="277"/>
      <c r="EY668" s="281"/>
      <c r="EZ668" s="277"/>
      <c r="FA668" s="281"/>
      <c r="FB668" s="277"/>
      <c r="FC668" s="281"/>
      <c r="FD668" s="277"/>
      <c r="FE668" s="281"/>
      <c r="FF668" s="277"/>
      <c r="FG668" s="281"/>
      <c r="FH668" s="277"/>
      <c r="FI668" s="281"/>
      <c r="FJ668" s="277"/>
      <c r="FK668" s="50">
        <f t="shared" si="282"/>
        <v>0</v>
      </c>
      <c r="FL668" s="63">
        <f t="shared" si="283"/>
        <v>0</v>
      </c>
      <c r="FM668" s="50">
        <f t="shared" si="265"/>
        <v>0</v>
      </c>
      <c r="FN668" s="360">
        <f t="shared" si="266"/>
        <v>0</v>
      </c>
      <c r="FO668" s="3"/>
      <c r="FP668" s="279"/>
      <c r="FQ668" s="467"/>
      <c r="FR668" s="296"/>
      <c r="FS668" s="98"/>
      <c r="FT668" s="467"/>
      <c r="FU668" s="52"/>
      <c r="FV668" s="296"/>
      <c r="FW668" s="98"/>
      <c r="FX668" s="467"/>
      <c r="FY668" s="52"/>
      <c r="FZ668" s="296"/>
      <c r="GA668" s="98"/>
      <c r="GB668" s="467"/>
      <c r="GC668" s="52"/>
      <c r="GD668" s="296"/>
      <c r="GE668" s="98"/>
      <c r="GF668" s="467"/>
      <c r="GG668" s="52"/>
      <c r="GH668" s="296"/>
      <c r="GI668" s="98"/>
      <c r="GJ668" s="467"/>
      <c r="GK668" s="52"/>
      <c r="GL668" s="296"/>
      <c r="GM668" s="464"/>
      <c r="GN668" s="467"/>
      <c r="GO668" s="52"/>
      <c r="GP668" s="296"/>
      <c r="GQ668" s="464"/>
      <c r="GR668" s="467"/>
      <c r="GS668" s="52"/>
      <c r="GT668" s="296"/>
      <c r="GU668" s="464"/>
      <c r="GV668" s="467"/>
      <c r="GW668" s="52"/>
      <c r="GX668" s="296"/>
      <c r="GY668" s="464"/>
      <c r="GZ668" s="467"/>
      <c r="HA668" s="52"/>
      <c r="HB668" s="296"/>
      <c r="HC668" s="3"/>
    </row>
    <row r="669" spans="1:211" s="86" customFormat="1">
      <c r="A669" s="502" t="s">
        <v>951</v>
      </c>
      <c r="B669" s="315" t="s">
        <v>1323</v>
      </c>
      <c r="C669" s="314">
        <v>223214</v>
      </c>
      <c r="D669" s="343">
        <v>15</v>
      </c>
      <c r="E669" s="460"/>
      <c r="F669" s="277"/>
      <c r="G669" s="158"/>
      <c r="H669" s="277"/>
      <c r="I669" s="158"/>
      <c r="J669" s="277"/>
      <c r="K669" s="160">
        <f t="shared" si="267"/>
        <v>0</v>
      </c>
      <c r="L669" s="161">
        <f t="shared" si="260"/>
        <v>0</v>
      </c>
      <c r="M669" s="54">
        <v>30</v>
      </c>
      <c r="N669" s="55"/>
      <c r="O669" s="55"/>
      <c r="P669" s="55"/>
      <c r="Q669" s="162">
        <f t="shared" si="268"/>
        <v>0</v>
      </c>
      <c r="R669" s="277">
        <v>30</v>
      </c>
      <c r="S669" s="277"/>
      <c r="T669" s="277"/>
      <c r="U669" s="277"/>
      <c r="V669" s="97">
        <f t="shared" si="269"/>
        <v>0</v>
      </c>
      <c r="W669" s="279"/>
      <c r="X669" s="52"/>
      <c r="Y669" s="99"/>
      <c r="Z669" s="53"/>
      <c r="AA669" s="228"/>
      <c r="AB669" s="52"/>
      <c r="AC669" s="99"/>
      <c r="AD669" s="53"/>
      <c r="AE669" s="228"/>
      <c r="AF669" s="52"/>
      <c r="AG669" s="99"/>
      <c r="AH669" s="53"/>
      <c r="AI669" s="228"/>
      <c r="AJ669" s="52"/>
      <c r="AK669" s="99"/>
      <c r="AL669" s="53"/>
      <c r="AM669" s="228"/>
      <c r="AN669" s="52"/>
      <c r="AO669" s="99"/>
      <c r="AP669" s="53"/>
      <c r="AQ669" s="50">
        <f t="shared" si="261"/>
        <v>0</v>
      </c>
      <c r="AR669" s="163">
        <f t="shared" si="262"/>
        <v>8.771929824561403E-2</v>
      </c>
      <c r="AS669" s="97">
        <f t="shared" si="263"/>
        <v>0</v>
      </c>
      <c r="AT669" s="278">
        <f t="shared" si="264"/>
        <v>8.1081081081081086E-2</v>
      </c>
      <c r="AU669" s="55"/>
      <c r="AV669" s="277"/>
      <c r="AW669" s="279">
        <v>51</v>
      </c>
      <c r="AX669" s="52">
        <v>68</v>
      </c>
      <c r="AY669" s="337">
        <v>51</v>
      </c>
      <c r="AZ669" s="166">
        <v>101</v>
      </c>
      <c r="BA669" s="279">
        <v>26</v>
      </c>
      <c r="BB669" s="52">
        <v>34</v>
      </c>
      <c r="BC669" s="337">
        <v>26</v>
      </c>
      <c r="BD669" s="166">
        <v>30</v>
      </c>
      <c r="BE669" s="279"/>
      <c r="BF669" s="52"/>
      <c r="BG669" s="105"/>
      <c r="BH669" s="98"/>
      <c r="BI669" s="279"/>
      <c r="BJ669" s="52"/>
      <c r="BK669" s="105"/>
      <c r="BL669" s="98"/>
      <c r="BM669" s="279"/>
      <c r="BN669" s="52"/>
      <c r="BO669" s="105"/>
      <c r="BP669" s="98"/>
      <c r="BQ669" s="279"/>
      <c r="BR669" s="52"/>
      <c r="BS669" s="105"/>
      <c r="BT669" s="98"/>
      <c r="BU669" s="279"/>
      <c r="BV669" s="52"/>
      <c r="BW669" s="105"/>
      <c r="BX669" s="98"/>
      <c r="BY669" s="279"/>
      <c r="BZ669" s="52"/>
      <c r="CA669" s="105"/>
      <c r="CB669" s="98"/>
      <c r="CC669" s="279"/>
      <c r="CD669" s="52"/>
      <c r="CE669" s="105"/>
      <c r="CF669" s="98"/>
      <c r="CG669" s="279"/>
      <c r="CH669" s="52"/>
      <c r="CI669" s="105"/>
      <c r="CJ669" s="98"/>
      <c r="CK669" s="281"/>
      <c r="CL669" s="277"/>
      <c r="CM669" s="281">
        <v>34</v>
      </c>
      <c r="CN669" s="277">
        <v>20</v>
      </c>
      <c r="CO669" s="50">
        <f t="shared" si="270"/>
        <v>136</v>
      </c>
      <c r="CP669" s="103">
        <f t="shared" si="271"/>
        <v>2</v>
      </c>
      <c r="CQ669" s="280">
        <f t="shared" si="272"/>
        <v>151</v>
      </c>
      <c r="CR669" s="63">
        <f t="shared" si="273"/>
        <v>2</v>
      </c>
      <c r="CS669" s="279">
        <v>26</v>
      </c>
      <c r="CT669" s="52">
        <v>12</v>
      </c>
      <c r="CU669" s="552">
        <v>26</v>
      </c>
      <c r="CV669" s="551">
        <v>20</v>
      </c>
      <c r="CW669" s="279"/>
      <c r="CX669" s="52"/>
      <c r="CY669" s="552">
        <v>51</v>
      </c>
      <c r="CZ669" s="551">
        <v>3</v>
      </c>
      <c r="DA669" s="279"/>
      <c r="DB669" s="52"/>
      <c r="DC669" s="105"/>
      <c r="DD669" s="98"/>
      <c r="DE669" s="279"/>
      <c r="DF669" s="52"/>
      <c r="DG669" s="105"/>
      <c r="DH669" s="98"/>
      <c r="DI669" s="279"/>
      <c r="DJ669" s="52"/>
      <c r="DK669" s="105"/>
      <c r="DL669" s="98"/>
      <c r="DM669" s="279"/>
      <c r="DN669" s="52"/>
      <c r="DO669" s="105"/>
      <c r="DP669" s="98"/>
      <c r="DQ669" s="279"/>
      <c r="DR669" s="52"/>
      <c r="DS669" s="105"/>
      <c r="DT669" s="98"/>
      <c r="DU669" s="279"/>
      <c r="DV669" s="52"/>
      <c r="DW669" s="105"/>
      <c r="DX669" s="98"/>
      <c r="DY669" s="279"/>
      <c r="DZ669" s="52"/>
      <c r="EA669" s="105"/>
      <c r="EB669" s="98"/>
      <c r="EC669" s="279"/>
      <c r="ED669" s="52"/>
      <c r="EE669" s="105"/>
      <c r="EF669" s="98"/>
      <c r="EG669" s="159"/>
      <c r="EH669" s="277"/>
      <c r="EI669" s="50">
        <f t="shared" si="274"/>
        <v>12</v>
      </c>
      <c r="EJ669" s="103">
        <f t="shared" si="275"/>
        <v>1</v>
      </c>
      <c r="EK669" s="164">
        <f t="shared" si="276"/>
        <v>1</v>
      </c>
      <c r="EL669" s="280">
        <f t="shared" si="277"/>
        <v>23</v>
      </c>
      <c r="EM669" s="63">
        <f t="shared" si="278"/>
        <v>2</v>
      </c>
      <c r="EN669" s="359">
        <f t="shared" si="279"/>
        <v>0.86956521739130432</v>
      </c>
      <c r="EO669" s="51">
        <f t="shared" si="280"/>
        <v>148</v>
      </c>
      <c r="EP669" s="361">
        <f t="shared" si="281"/>
        <v>174</v>
      </c>
      <c r="EQ669" s="281"/>
      <c r="ER669" s="277"/>
      <c r="ES669" s="281">
        <v>76</v>
      </c>
      <c r="ET669" s="277">
        <v>79</v>
      </c>
      <c r="EU669" s="281">
        <v>88</v>
      </c>
      <c r="EV669" s="277">
        <v>87</v>
      </c>
      <c r="EW669" s="281"/>
      <c r="EX669" s="277"/>
      <c r="EY669" s="281"/>
      <c r="EZ669" s="277"/>
      <c r="FA669" s="281"/>
      <c r="FB669" s="277"/>
      <c r="FC669" s="281"/>
      <c r="FD669" s="277"/>
      <c r="FE669" s="281"/>
      <c r="FF669" s="277"/>
      <c r="FG669" s="281"/>
      <c r="FH669" s="277"/>
      <c r="FI669" s="281"/>
      <c r="FJ669" s="277"/>
      <c r="FK669" s="50">
        <f t="shared" si="282"/>
        <v>164</v>
      </c>
      <c r="FL669" s="63">
        <f t="shared" si="283"/>
        <v>166</v>
      </c>
      <c r="FM669" s="50">
        <f t="shared" si="265"/>
        <v>342</v>
      </c>
      <c r="FN669" s="360">
        <f t="shared" si="266"/>
        <v>370</v>
      </c>
      <c r="FO669" s="43"/>
      <c r="FP669" s="279"/>
      <c r="FQ669" s="467"/>
      <c r="FR669" s="296"/>
      <c r="FS669" s="98"/>
      <c r="FT669" s="467"/>
      <c r="FU669" s="52"/>
      <c r="FV669" s="296"/>
      <c r="FW669" s="98"/>
      <c r="FX669" s="467"/>
      <c r="FY669" s="52"/>
      <c r="FZ669" s="296"/>
      <c r="GA669" s="98"/>
      <c r="GB669" s="467"/>
      <c r="GC669" s="52"/>
      <c r="GD669" s="296"/>
      <c r="GE669" s="98"/>
      <c r="GF669" s="467"/>
      <c r="GG669" s="52"/>
      <c r="GH669" s="296"/>
      <c r="GI669" s="98"/>
      <c r="GJ669" s="467"/>
      <c r="GK669" s="52"/>
      <c r="GL669" s="296"/>
      <c r="GM669" s="464"/>
      <c r="GN669" s="467"/>
      <c r="GO669" s="52"/>
      <c r="GP669" s="296"/>
      <c r="GQ669" s="464"/>
      <c r="GR669" s="467"/>
      <c r="GS669" s="52"/>
      <c r="GT669" s="296"/>
      <c r="GU669" s="464"/>
      <c r="GV669" s="467"/>
      <c r="GW669" s="52"/>
      <c r="GX669" s="296"/>
      <c r="GY669" s="464"/>
      <c r="GZ669" s="467"/>
      <c r="HA669" s="52"/>
      <c r="HB669" s="296"/>
      <c r="HC669" s="43"/>
    </row>
    <row r="670" spans="1:211" s="86" customFormat="1">
      <c r="A670" s="502" t="s">
        <v>951</v>
      </c>
      <c r="B670" s="315" t="s">
        <v>1232</v>
      </c>
      <c r="C670" s="314" t="s">
        <v>1231</v>
      </c>
      <c r="D670" s="343">
        <v>15</v>
      </c>
      <c r="E670" s="460"/>
      <c r="F670" s="277"/>
      <c r="G670" s="158"/>
      <c r="H670" s="277"/>
      <c r="I670" s="158"/>
      <c r="J670" s="277"/>
      <c r="K670" s="160">
        <f t="shared" si="267"/>
        <v>0</v>
      </c>
      <c r="L670" s="161">
        <f t="shared" si="260"/>
        <v>0</v>
      </c>
      <c r="M670" s="54"/>
      <c r="N670" s="55"/>
      <c r="O670" s="55"/>
      <c r="P670" s="55"/>
      <c r="Q670" s="162">
        <f t="shared" si="268"/>
        <v>0</v>
      </c>
      <c r="R670" s="558"/>
      <c r="S670" s="277"/>
      <c r="T670" s="277"/>
      <c r="U670" s="277"/>
      <c r="V670" s="97">
        <f t="shared" si="269"/>
        <v>0</v>
      </c>
      <c r="W670" s="279"/>
      <c r="X670" s="52"/>
      <c r="Y670" s="99"/>
      <c r="Z670" s="53"/>
      <c r="AA670" s="228"/>
      <c r="AB670" s="52"/>
      <c r="AC670" s="99"/>
      <c r="AD670" s="53"/>
      <c r="AE670" s="228"/>
      <c r="AF670" s="52"/>
      <c r="AG670" s="99"/>
      <c r="AH670" s="53"/>
      <c r="AI670" s="228"/>
      <c r="AJ670" s="52"/>
      <c r="AK670" s="99"/>
      <c r="AL670" s="53"/>
      <c r="AM670" s="228"/>
      <c r="AN670" s="52"/>
      <c r="AO670" s="99"/>
      <c r="AP670" s="53"/>
      <c r="AQ670" s="50">
        <f t="shared" si="261"/>
        <v>0</v>
      </c>
      <c r="AR670" s="163">
        <f t="shared" si="262"/>
        <v>0</v>
      </c>
      <c r="AS670" s="97">
        <f t="shared" si="263"/>
        <v>0</v>
      </c>
      <c r="AT670" s="278">
        <f t="shared" si="264"/>
        <v>0</v>
      </c>
      <c r="AU670" s="55"/>
      <c r="AV670" s="277"/>
      <c r="AW670" s="279"/>
      <c r="AX670" s="52"/>
      <c r="AY670" s="105"/>
      <c r="AZ670" s="98"/>
      <c r="BA670" s="279"/>
      <c r="BB670" s="52"/>
      <c r="BC670" s="105"/>
      <c r="BD670" s="98"/>
      <c r="BE670" s="279"/>
      <c r="BF670" s="52"/>
      <c r="BG670" s="105"/>
      <c r="BH670" s="98"/>
      <c r="BI670" s="279"/>
      <c r="BJ670" s="52"/>
      <c r="BK670" s="105"/>
      <c r="BL670" s="98"/>
      <c r="BM670" s="279"/>
      <c r="BN670" s="52"/>
      <c r="BO670" s="105"/>
      <c r="BP670" s="98"/>
      <c r="BQ670" s="279"/>
      <c r="BR670" s="52"/>
      <c r="BS670" s="105"/>
      <c r="BT670" s="98"/>
      <c r="BU670" s="279"/>
      <c r="BV670" s="52"/>
      <c r="BW670" s="105"/>
      <c r="BX670" s="98"/>
      <c r="BY670" s="279"/>
      <c r="BZ670" s="52"/>
      <c r="CA670" s="105"/>
      <c r="CB670" s="98"/>
      <c r="CC670" s="279"/>
      <c r="CD670" s="52"/>
      <c r="CE670" s="105"/>
      <c r="CF670" s="98"/>
      <c r="CG670" s="279"/>
      <c r="CH670" s="52"/>
      <c r="CI670" s="105"/>
      <c r="CJ670" s="98"/>
      <c r="CK670" s="281"/>
      <c r="CL670" s="277"/>
      <c r="CM670" s="159"/>
      <c r="CN670" s="277"/>
      <c r="CO670" s="50">
        <f t="shared" si="270"/>
        <v>0</v>
      </c>
      <c r="CP670" s="103">
        <f t="shared" si="271"/>
        <v>0</v>
      </c>
      <c r="CQ670" s="280">
        <f t="shared" si="272"/>
        <v>0</v>
      </c>
      <c r="CR670" s="63">
        <f t="shared" si="273"/>
        <v>0</v>
      </c>
      <c r="CS670" s="279"/>
      <c r="CT670" s="52"/>
      <c r="CU670" s="105"/>
      <c r="CV670" s="98"/>
      <c r="CW670" s="279"/>
      <c r="CX670" s="52"/>
      <c r="CY670" s="105"/>
      <c r="CZ670" s="98"/>
      <c r="DA670" s="279"/>
      <c r="DB670" s="52"/>
      <c r="DC670" s="105"/>
      <c r="DD670" s="98"/>
      <c r="DE670" s="279"/>
      <c r="DF670" s="52"/>
      <c r="DG670" s="105"/>
      <c r="DH670" s="98"/>
      <c r="DI670" s="279"/>
      <c r="DJ670" s="52"/>
      <c r="DK670" s="105"/>
      <c r="DL670" s="98"/>
      <c r="DM670" s="279"/>
      <c r="DN670" s="52"/>
      <c r="DO670" s="105"/>
      <c r="DP670" s="98"/>
      <c r="DQ670" s="279"/>
      <c r="DR670" s="52"/>
      <c r="DS670" s="105"/>
      <c r="DT670" s="98"/>
      <c r="DU670" s="279"/>
      <c r="DV670" s="52"/>
      <c r="DW670" s="105"/>
      <c r="DX670" s="98"/>
      <c r="DY670" s="279"/>
      <c r="DZ670" s="52"/>
      <c r="EA670" s="105"/>
      <c r="EB670" s="98"/>
      <c r="EC670" s="279"/>
      <c r="ED670" s="52"/>
      <c r="EE670" s="105"/>
      <c r="EF670" s="98"/>
      <c r="EG670" s="159"/>
      <c r="EH670" s="277"/>
      <c r="EI670" s="50">
        <f t="shared" si="274"/>
        <v>0</v>
      </c>
      <c r="EJ670" s="103">
        <f t="shared" si="275"/>
        <v>0</v>
      </c>
      <c r="EK670" s="164">
        <f t="shared" si="276"/>
        <v>0</v>
      </c>
      <c r="EL670" s="280">
        <f t="shared" si="277"/>
        <v>0</v>
      </c>
      <c r="EM670" s="63">
        <f t="shared" si="278"/>
        <v>0</v>
      </c>
      <c r="EN670" s="359">
        <f t="shared" si="279"/>
        <v>0</v>
      </c>
      <c r="EO670" s="51">
        <f t="shared" si="280"/>
        <v>0</v>
      </c>
      <c r="EP670" s="361">
        <f t="shared" si="281"/>
        <v>0</v>
      </c>
      <c r="EQ670" s="281"/>
      <c r="ER670" s="277"/>
      <c r="ES670" s="281"/>
      <c r="ET670" s="277"/>
      <c r="EU670" s="281"/>
      <c r="EV670" s="277"/>
      <c r="EW670" s="281"/>
      <c r="EX670" s="277"/>
      <c r="EY670" s="281"/>
      <c r="EZ670" s="277"/>
      <c r="FA670" s="281"/>
      <c r="FB670" s="277"/>
      <c r="FC670" s="281"/>
      <c r="FD670" s="277"/>
      <c r="FE670" s="281"/>
      <c r="FF670" s="277"/>
      <c r="FG670" s="281"/>
      <c r="FH670" s="277"/>
      <c r="FI670" s="281"/>
      <c r="FJ670" s="277"/>
      <c r="FK670" s="50">
        <f t="shared" si="282"/>
        <v>0</v>
      </c>
      <c r="FL670" s="63">
        <f t="shared" si="283"/>
        <v>0</v>
      </c>
      <c r="FM670" s="50">
        <f t="shared" si="265"/>
        <v>0</v>
      </c>
      <c r="FN670" s="360">
        <f t="shared" si="266"/>
        <v>0</v>
      </c>
      <c r="FO670" s="3"/>
      <c r="FP670" s="279"/>
      <c r="FQ670" s="467"/>
      <c r="FR670" s="296"/>
      <c r="FS670" s="98"/>
      <c r="FT670" s="467"/>
      <c r="FU670" s="52"/>
      <c r="FV670" s="296"/>
      <c r="FW670" s="98"/>
      <c r="FX670" s="467"/>
      <c r="FY670" s="52"/>
      <c r="FZ670" s="296"/>
      <c r="GA670" s="98"/>
      <c r="GB670" s="467"/>
      <c r="GC670" s="52"/>
      <c r="GD670" s="296"/>
      <c r="GE670" s="98"/>
      <c r="GF670" s="467"/>
      <c r="GG670" s="52"/>
      <c r="GH670" s="296"/>
      <c r="GI670" s="98"/>
      <c r="GJ670" s="467"/>
      <c r="GK670" s="52"/>
      <c r="GL670" s="296"/>
      <c r="GM670" s="464"/>
      <c r="GN670" s="467"/>
      <c r="GO670" s="52"/>
      <c r="GP670" s="296"/>
      <c r="GQ670" s="464"/>
      <c r="GR670" s="467"/>
      <c r="GS670" s="52"/>
      <c r="GT670" s="296"/>
      <c r="GU670" s="464"/>
      <c r="GV670" s="467"/>
      <c r="GW670" s="52"/>
      <c r="GX670" s="296"/>
      <c r="GY670" s="464"/>
      <c r="GZ670" s="467"/>
      <c r="HA670" s="52"/>
      <c r="HB670" s="296"/>
      <c r="HC670" s="3"/>
    </row>
    <row r="671" spans="1:211" s="86" customFormat="1">
      <c r="A671" s="502" t="s">
        <v>951</v>
      </c>
      <c r="B671" s="315" t="s">
        <v>892</v>
      </c>
      <c r="C671" s="314">
        <v>229337</v>
      </c>
      <c r="D671" s="343">
        <v>15</v>
      </c>
      <c r="E671" s="460"/>
      <c r="F671" s="277"/>
      <c r="G671" s="158"/>
      <c r="H671" s="277"/>
      <c r="I671" s="158"/>
      <c r="J671" s="277"/>
      <c r="K671" s="160">
        <f t="shared" si="267"/>
        <v>0</v>
      </c>
      <c r="L671" s="161">
        <f t="shared" si="260"/>
        <v>0</v>
      </c>
      <c r="M671" s="54">
        <v>479</v>
      </c>
      <c r="N671" s="55"/>
      <c r="O671" s="55"/>
      <c r="P671" s="55"/>
      <c r="Q671" s="162">
        <f t="shared" si="268"/>
        <v>0</v>
      </c>
      <c r="R671" s="277">
        <v>542</v>
      </c>
      <c r="S671" s="277"/>
      <c r="T671" s="277"/>
      <c r="U671" s="277"/>
      <c r="V671" s="97">
        <f t="shared" si="269"/>
        <v>0</v>
      </c>
      <c r="W671" s="279"/>
      <c r="X671" s="52"/>
      <c r="Y671" s="99"/>
      <c r="Z671" s="53"/>
      <c r="AA671" s="228"/>
      <c r="AB671" s="52"/>
      <c r="AC671" s="99"/>
      <c r="AD671" s="53"/>
      <c r="AE671" s="228"/>
      <c r="AF671" s="52"/>
      <c r="AG671" s="99"/>
      <c r="AH671" s="53"/>
      <c r="AI671" s="228"/>
      <c r="AJ671" s="52"/>
      <c r="AK671" s="99"/>
      <c r="AL671" s="53"/>
      <c r="AM671" s="228"/>
      <c r="AN671" s="52"/>
      <c r="AO671" s="99"/>
      <c r="AP671" s="53"/>
      <c r="AQ671" s="50">
        <f t="shared" si="261"/>
        <v>0</v>
      </c>
      <c r="AR671" s="163">
        <f t="shared" si="262"/>
        <v>0.50209643605870025</v>
      </c>
      <c r="AS671" s="97">
        <f t="shared" si="263"/>
        <v>0</v>
      </c>
      <c r="AT671" s="278">
        <f t="shared" si="264"/>
        <v>0.53033268101761255</v>
      </c>
      <c r="AU671" s="55"/>
      <c r="AV671" s="277"/>
      <c r="AW671" s="279">
        <v>51</v>
      </c>
      <c r="AX671" s="52">
        <v>215</v>
      </c>
      <c r="AY671" s="337">
        <v>51</v>
      </c>
      <c r="AZ671" s="166">
        <v>228</v>
      </c>
      <c r="BA671" s="279">
        <v>26</v>
      </c>
      <c r="BB671" s="52">
        <v>22</v>
      </c>
      <c r="BC671" s="337">
        <v>26</v>
      </c>
      <c r="BD671" s="166">
        <v>29</v>
      </c>
      <c r="BE671" s="279"/>
      <c r="BF671" s="52"/>
      <c r="BG671" s="105"/>
      <c r="BH671" s="98"/>
      <c r="BI671" s="279"/>
      <c r="BJ671" s="52"/>
      <c r="BK671" s="105"/>
      <c r="BL671" s="98"/>
      <c r="BM671" s="279"/>
      <c r="BN671" s="52"/>
      <c r="BO671" s="105"/>
      <c r="BP671" s="98"/>
      <c r="BQ671" s="279"/>
      <c r="BR671" s="52"/>
      <c r="BS671" s="105"/>
      <c r="BT671" s="98"/>
      <c r="BU671" s="279"/>
      <c r="BV671" s="52"/>
      <c r="BW671" s="105"/>
      <c r="BX671" s="98"/>
      <c r="BY671" s="279"/>
      <c r="BZ671" s="52"/>
      <c r="CA671" s="105"/>
      <c r="CB671" s="98"/>
      <c r="CC671" s="279"/>
      <c r="CD671" s="52"/>
      <c r="CE671" s="105"/>
      <c r="CF671" s="98"/>
      <c r="CG671" s="279"/>
      <c r="CH671" s="52"/>
      <c r="CI671" s="105"/>
      <c r="CJ671" s="98"/>
      <c r="CK671" s="281"/>
      <c r="CL671" s="277"/>
      <c r="CM671" s="159"/>
      <c r="CN671" s="277"/>
      <c r="CO671" s="50">
        <f t="shared" si="270"/>
        <v>237</v>
      </c>
      <c r="CP671" s="103">
        <f t="shared" si="271"/>
        <v>2</v>
      </c>
      <c r="CQ671" s="280">
        <f t="shared" si="272"/>
        <v>257</v>
      </c>
      <c r="CR671" s="63">
        <f t="shared" si="273"/>
        <v>2</v>
      </c>
      <c r="CS671" s="279">
        <v>51</v>
      </c>
      <c r="CT671" s="52">
        <v>10</v>
      </c>
      <c r="CU671" s="552">
        <v>51</v>
      </c>
      <c r="CV671" s="551">
        <v>15</v>
      </c>
      <c r="CW671" s="279">
        <v>26</v>
      </c>
      <c r="CX671" s="52">
        <v>7</v>
      </c>
      <c r="CY671" s="552">
        <v>26</v>
      </c>
      <c r="CZ671" s="551">
        <v>3</v>
      </c>
      <c r="DA671" s="279"/>
      <c r="DB671" s="52"/>
      <c r="DC671" s="105"/>
      <c r="DD671" s="98"/>
      <c r="DE671" s="279"/>
      <c r="DF671" s="52"/>
      <c r="DG671" s="105"/>
      <c r="DH671" s="98"/>
      <c r="DI671" s="279"/>
      <c r="DJ671" s="52"/>
      <c r="DK671" s="105"/>
      <c r="DL671" s="98"/>
      <c r="DM671" s="279"/>
      <c r="DN671" s="52"/>
      <c r="DO671" s="105"/>
      <c r="DP671" s="98"/>
      <c r="DQ671" s="279"/>
      <c r="DR671" s="52"/>
      <c r="DS671" s="105"/>
      <c r="DT671" s="98"/>
      <c r="DU671" s="279"/>
      <c r="DV671" s="52"/>
      <c r="DW671" s="105"/>
      <c r="DX671" s="98"/>
      <c r="DY671" s="279"/>
      <c r="DZ671" s="52"/>
      <c r="EA671" s="105"/>
      <c r="EB671" s="98"/>
      <c r="EC671" s="279"/>
      <c r="ED671" s="52"/>
      <c r="EE671" s="105"/>
      <c r="EF671" s="98"/>
      <c r="EG671" s="159"/>
      <c r="EH671" s="277"/>
      <c r="EI671" s="50">
        <f t="shared" si="274"/>
        <v>17</v>
      </c>
      <c r="EJ671" s="103">
        <f t="shared" si="275"/>
        <v>2</v>
      </c>
      <c r="EK671" s="164">
        <f t="shared" si="276"/>
        <v>0.58823529411764708</v>
      </c>
      <c r="EL671" s="280">
        <f t="shared" si="277"/>
        <v>18</v>
      </c>
      <c r="EM671" s="63">
        <f t="shared" si="278"/>
        <v>2</v>
      </c>
      <c r="EN671" s="359">
        <f t="shared" si="279"/>
        <v>0.83333333333333337</v>
      </c>
      <c r="EO671" s="51">
        <f t="shared" si="280"/>
        <v>254</v>
      </c>
      <c r="EP671" s="361">
        <f t="shared" si="281"/>
        <v>275</v>
      </c>
      <c r="EQ671" s="281"/>
      <c r="ER671" s="277"/>
      <c r="ES671" s="281">
        <v>137</v>
      </c>
      <c r="ET671" s="277">
        <v>124</v>
      </c>
      <c r="EU671" s="281"/>
      <c r="EV671" s="277"/>
      <c r="EW671" s="281">
        <v>84</v>
      </c>
      <c r="EX671" s="277">
        <v>81</v>
      </c>
      <c r="EY671" s="281"/>
      <c r="EZ671" s="277"/>
      <c r="FA671" s="281"/>
      <c r="FB671" s="277"/>
      <c r="FC671" s="281"/>
      <c r="FD671" s="277"/>
      <c r="FE671" s="281"/>
      <c r="FF671" s="277"/>
      <c r="FG671" s="281"/>
      <c r="FH671" s="277"/>
      <c r="FI671" s="281"/>
      <c r="FJ671" s="277"/>
      <c r="FK671" s="50">
        <f t="shared" si="282"/>
        <v>221</v>
      </c>
      <c r="FL671" s="63">
        <f t="shared" si="283"/>
        <v>205</v>
      </c>
      <c r="FM671" s="50">
        <f t="shared" si="265"/>
        <v>954</v>
      </c>
      <c r="FN671" s="360">
        <f t="shared" si="266"/>
        <v>1022</v>
      </c>
      <c r="FO671" s="43"/>
      <c r="FP671" s="279" t="s">
        <v>1243</v>
      </c>
      <c r="FQ671" s="467">
        <v>11</v>
      </c>
      <c r="FR671" s="296" t="s">
        <v>1243</v>
      </c>
      <c r="FS671" s="98">
        <v>8</v>
      </c>
      <c r="FT671" s="467"/>
      <c r="FU671" s="52"/>
      <c r="FV671" s="296"/>
      <c r="FW671" s="98"/>
      <c r="FX671" s="467" t="s">
        <v>1245</v>
      </c>
      <c r="FY671" s="52">
        <v>45</v>
      </c>
      <c r="FZ671" s="296" t="s">
        <v>1245</v>
      </c>
      <c r="GA671" s="98">
        <v>66</v>
      </c>
      <c r="GB671" s="467"/>
      <c r="GC671" s="52"/>
      <c r="GD671" s="296"/>
      <c r="GE671" s="98"/>
      <c r="GF671" s="467"/>
      <c r="GG671" s="52"/>
      <c r="GH671" s="296"/>
      <c r="GI671" s="98"/>
      <c r="GJ671" s="467"/>
      <c r="GK671" s="52"/>
      <c r="GL671" s="296"/>
      <c r="GM671" s="464"/>
      <c r="GN671" s="467"/>
      <c r="GO671" s="52"/>
      <c r="GP671" s="296"/>
      <c r="GQ671" s="464"/>
      <c r="GR671" s="467"/>
      <c r="GS671" s="52"/>
      <c r="GT671" s="296"/>
      <c r="GU671" s="464"/>
      <c r="GV671" s="467"/>
      <c r="GW671" s="52"/>
      <c r="GX671" s="296"/>
      <c r="GY671" s="464"/>
      <c r="GZ671" s="467"/>
      <c r="HA671" s="52"/>
      <c r="HB671" s="296"/>
      <c r="HC671" s="43"/>
    </row>
    <row r="672" spans="1:211" s="86" customFormat="1">
      <c r="A672" s="502" t="s">
        <v>951</v>
      </c>
      <c r="B672" s="315" t="s">
        <v>1233</v>
      </c>
      <c r="C672" s="314" t="s">
        <v>1231</v>
      </c>
      <c r="D672" s="343">
        <v>15</v>
      </c>
      <c r="E672" s="460"/>
      <c r="F672" s="277"/>
      <c r="G672" s="158"/>
      <c r="H672" s="277"/>
      <c r="I672" s="158"/>
      <c r="J672" s="277"/>
      <c r="K672" s="160">
        <f t="shared" si="267"/>
        <v>0</v>
      </c>
      <c r="L672" s="161">
        <f t="shared" si="260"/>
        <v>0</v>
      </c>
      <c r="M672" s="54"/>
      <c r="N672" s="55"/>
      <c r="O672" s="55"/>
      <c r="P672" s="55"/>
      <c r="Q672" s="162">
        <f t="shared" si="268"/>
        <v>0</v>
      </c>
      <c r="R672" s="558"/>
      <c r="S672" s="277"/>
      <c r="T672" s="277"/>
      <c r="U672" s="277"/>
      <c r="V672" s="97">
        <f t="shared" si="269"/>
        <v>0</v>
      </c>
      <c r="W672" s="279"/>
      <c r="X672" s="52"/>
      <c r="Y672" s="99"/>
      <c r="Z672" s="53"/>
      <c r="AA672" s="228"/>
      <c r="AB672" s="52"/>
      <c r="AC672" s="99"/>
      <c r="AD672" s="53"/>
      <c r="AE672" s="228"/>
      <c r="AF672" s="52"/>
      <c r="AG672" s="99"/>
      <c r="AH672" s="53"/>
      <c r="AI672" s="228"/>
      <c r="AJ672" s="52"/>
      <c r="AK672" s="99"/>
      <c r="AL672" s="53"/>
      <c r="AM672" s="228"/>
      <c r="AN672" s="52"/>
      <c r="AO672" s="99"/>
      <c r="AP672" s="53"/>
      <c r="AQ672" s="50">
        <f t="shared" si="261"/>
        <v>0</v>
      </c>
      <c r="AR672" s="163">
        <f t="shared" si="262"/>
        <v>0</v>
      </c>
      <c r="AS672" s="97">
        <f t="shared" si="263"/>
        <v>0</v>
      </c>
      <c r="AT672" s="278">
        <f t="shared" si="264"/>
        <v>0</v>
      </c>
      <c r="AU672" s="55"/>
      <c r="AV672" s="277"/>
      <c r="AW672" s="279"/>
      <c r="AX672" s="52"/>
      <c r="AY672" s="105"/>
      <c r="AZ672" s="98"/>
      <c r="BA672" s="279"/>
      <c r="BB672" s="52"/>
      <c r="BC672" s="105"/>
      <c r="BD672" s="98"/>
      <c r="BE672" s="279"/>
      <c r="BF672" s="52"/>
      <c r="BG672" s="105"/>
      <c r="BH672" s="98"/>
      <c r="BI672" s="279"/>
      <c r="BJ672" s="52"/>
      <c r="BK672" s="105"/>
      <c r="BL672" s="98"/>
      <c r="BM672" s="279"/>
      <c r="BN672" s="52"/>
      <c r="BO672" s="105"/>
      <c r="BP672" s="98"/>
      <c r="BQ672" s="279"/>
      <c r="BR672" s="52"/>
      <c r="BS672" s="105"/>
      <c r="BT672" s="98"/>
      <c r="BU672" s="279"/>
      <c r="BV672" s="52"/>
      <c r="BW672" s="105"/>
      <c r="BX672" s="98"/>
      <c r="BY672" s="279"/>
      <c r="BZ672" s="52"/>
      <c r="CA672" s="105"/>
      <c r="CB672" s="98"/>
      <c r="CC672" s="279"/>
      <c r="CD672" s="52"/>
      <c r="CE672" s="105"/>
      <c r="CF672" s="98"/>
      <c r="CG672" s="279"/>
      <c r="CH672" s="52"/>
      <c r="CI672" s="105"/>
      <c r="CJ672" s="98"/>
      <c r="CK672" s="281"/>
      <c r="CL672" s="277"/>
      <c r="CM672" s="159"/>
      <c r="CN672" s="277"/>
      <c r="CO672" s="50">
        <f t="shared" si="270"/>
        <v>0</v>
      </c>
      <c r="CP672" s="103">
        <f t="shared" si="271"/>
        <v>0</v>
      </c>
      <c r="CQ672" s="280">
        <f t="shared" si="272"/>
        <v>0</v>
      </c>
      <c r="CR672" s="63">
        <f t="shared" si="273"/>
        <v>0</v>
      </c>
      <c r="CS672" s="279"/>
      <c r="CT672" s="52"/>
      <c r="CU672" s="105"/>
      <c r="CV672" s="98"/>
      <c r="CW672" s="279"/>
      <c r="CX672" s="52"/>
      <c r="CY672" s="105"/>
      <c r="CZ672" s="98"/>
      <c r="DA672" s="279"/>
      <c r="DB672" s="52"/>
      <c r="DC672" s="105"/>
      <c r="DD672" s="98"/>
      <c r="DE672" s="279"/>
      <c r="DF672" s="52"/>
      <c r="DG672" s="105"/>
      <c r="DH672" s="98"/>
      <c r="DI672" s="279"/>
      <c r="DJ672" s="52"/>
      <c r="DK672" s="105"/>
      <c r="DL672" s="98"/>
      <c r="DM672" s="279"/>
      <c r="DN672" s="52"/>
      <c r="DO672" s="105"/>
      <c r="DP672" s="98"/>
      <c r="DQ672" s="279"/>
      <c r="DR672" s="52"/>
      <c r="DS672" s="105"/>
      <c r="DT672" s="98"/>
      <c r="DU672" s="279"/>
      <c r="DV672" s="52"/>
      <c r="DW672" s="105"/>
      <c r="DX672" s="98"/>
      <c r="DY672" s="279"/>
      <c r="DZ672" s="52"/>
      <c r="EA672" s="105"/>
      <c r="EB672" s="98"/>
      <c r="EC672" s="279"/>
      <c r="ED672" s="52"/>
      <c r="EE672" s="105"/>
      <c r="EF672" s="98"/>
      <c r="EG672" s="159"/>
      <c r="EH672" s="277"/>
      <c r="EI672" s="50">
        <f t="shared" si="274"/>
        <v>0</v>
      </c>
      <c r="EJ672" s="103">
        <f t="shared" si="275"/>
        <v>0</v>
      </c>
      <c r="EK672" s="164">
        <f t="shared" si="276"/>
        <v>0</v>
      </c>
      <c r="EL672" s="280">
        <f t="shared" si="277"/>
        <v>0</v>
      </c>
      <c r="EM672" s="63">
        <f t="shared" si="278"/>
        <v>0</v>
      </c>
      <c r="EN672" s="359">
        <f t="shared" si="279"/>
        <v>0</v>
      </c>
      <c r="EO672" s="51">
        <f t="shared" si="280"/>
        <v>0</v>
      </c>
      <c r="EP672" s="361">
        <f t="shared" si="281"/>
        <v>0</v>
      </c>
      <c r="EQ672" s="281"/>
      <c r="ER672" s="277"/>
      <c r="ES672" s="281"/>
      <c r="ET672" s="277"/>
      <c r="EU672" s="281"/>
      <c r="EV672" s="277"/>
      <c r="EW672" s="281"/>
      <c r="EX672" s="277"/>
      <c r="EY672" s="281"/>
      <c r="EZ672" s="277"/>
      <c r="FA672" s="281"/>
      <c r="FB672" s="277"/>
      <c r="FC672" s="281"/>
      <c r="FD672" s="277"/>
      <c r="FE672" s="281"/>
      <c r="FF672" s="277"/>
      <c r="FG672" s="281"/>
      <c r="FH672" s="277"/>
      <c r="FI672" s="281"/>
      <c r="FJ672" s="277"/>
      <c r="FK672" s="50">
        <f t="shared" si="282"/>
        <v>0</v>
      </c>
      <c r="FL672" s="63">
        <f t="shared" si="283"/>
        <v>0</v>
      </c>
      <c r="FM672" s="50">
        <f t="shared" si="265"/>
        <v>0</v>
      </c>
      <c r="FN672" s="360">
        <f t="shared" si="266"/>
        <v>0</v>
      </c>
      <c r="FO672" s="3"/>
      <c r="FP672" s="279"/>
      <c r="FQ672" s="467"/>
      <c r="FR672" s="296"/>
      <c r="FS672" s="98"/>
      <c r="FT672" s="467"/>
      <c r="FU672" s="52"/>
      <c r="FV672" s="296"/>
      <c r="FW672" s="98"/>
      <c r="FX672" s="467"/>
      <c r="FY672" s="52"/>
      <c r="FZ672" s="296"/>
      <c r="GA672" s="98"/>
      <c r="GB672" s="467"/>
      <c r="GC672" s="52"/>
      <c r="GD672" s="296"/>
      <c r="GE672" s="98"/>
      <c r="GF672" s="467"/>
      <c r="GG672" s="52"/>
      <c r="GH672" s="296"/>
      <c r="GI672" s="98"/>
      <c r="GJ672" s="467"/>
      <c r="GK672" s="52"/>
      <c r="GL672" s="296"/>
      <c r="GM672" s="464"/>
      <c r="GN672" s="467"/>
      <c r="GO672" s="52"/>
      <c r="GP672" s="296"/>
      <c r="GQ672" s="464"/>
      <c r="GR672" s="467"/>
      <c r="GS672" s="52"/>
      <c r="GT672" s="296"/>
      <c r="GU672" s="464"/>
      <c r="GV672" s="467"/>
      <c r="GW672" s="52"/>
      <c r="GX672" s="296"/>
      <c r="GY672" s="464"/>
      <c r="GZ672" s="467"/>
      <c r="HA672" s="52"/>
      <c r="HB672" s="296"/>
      <c r="HC672" s="3"/>
    </row>
    <row r="673" spans="1:211" s="86" customFormat="1">
      <c r="A673" s="502" t="s">
        <v>951</v>
      </c>
      <c r="B673" s="315" t="s">
        <v>893</v>
      </c>
      <c r="C673" s="314">
        <v>228909</v>
      </c>
      <c r="D673" s="343">
        <v>15</v>
      </c>
      <c r="E673" s="460"/>
      <c r="F673" s="277"/>
      <c r="G673" s="158"/>
      <c r="H673" s="277"/>
      <c r="I673" s="158"/>
      <c r="J673" s="277"/>
      <c r="K673" s="160">
        <f t="shared" si="267"/>
        <v>0</v>
      </c>
      <c r="L673" s="161">
        <f t="shared" si="260"/>
        <v>0</v>
      </c>
      <c r="M673" s="54"/>
      <c r="N673" s="55"/>
      <c r="O673" s="55"/>
      <c r="P673" s="55"/>
      <c r="Q673" s="162">
        <f t="shared" si="268"/>
        <v>0</v>
      </c>
      <c r="R673" s="277"/>
      <c r="S673" s="277"/>
      <c r="T673" s="277"/>
      <c r="U673" s="277"/>
      <c r="V673" s="97">
        <f t="shared" si="269"/>
        <v>0</v>
      </c>
      <c r="W673" s="279"/>
      <c r="X673" s="52"/>
      <c r="Y673" s="99"/>
      <c r="Z673" s="53"/>
      <c r="AA673" s="228"/>
      <c r="AB673" s="52"/>
      <c r="AC673" s="99"/>
      <c r="AD673" s="53"/>
      <c r="AE673" s="228"/>
      <c r="AF673" s="52"/>
      <c r="AG673" s="99"/>
      <c r="AH673" s="53"/>
      <c r="AI673" s="228"/>
      <c r="AJ673" s="52"/>
      <c r="AK673" s="99"/>
      <c r="AL673" s="53"/>
      <c r="AM673" s="228"/>
      <c r="AN673" s="52"/>
      <c r="AO673" s="99"/>
      <c r="AP673" s="53"/>
      <c r="AQ673" s="50">
        <f t="shared" si="261"/>
        <v>0</v>
      </c>
      <c r="AR673" s="163">
        <f t="shared" si="262"/>
        <v>0</v>
      </c>
      <c r="AS673" s="97">
        <f t="shared" si="263"/>
        <v>0</v>
      </c>
      <c r="AT673" s="278">
        <f t="shared" si="264"/>
        <v>0</v>
      </c>
      <c r="AU673" s="55"/>
      <c r="AV673" s="277"/>
      <c r="AW673" s="279">
        <v>51</v>
      </c>
      <c r="AX673" s="52">
        <v>84</v>
      </c>
      <c r="AY673" s="337">
        <v>26</v>
      </c>
      <c r="AZ673" s="166">
        <v>95</v>
      </c>
      <c r="BA673" s="279">
        <v>26</v>
      </c>
      <c r="BB673" s="52">
        <v>77</v>
      </c>
      <c r="BC673" s="552">
        <v>51</v>
      </c>
      <c r="BD673" s="551">
        <v>86</v>
      </c>
      <c r="BE673" s="279"/>
      <c r="BF673" s="52"/>
      <c r="BG673" s="105"/>
      <c r="BH673" s="98"/>
      <c r="BI673" s="279"/>
      <c r="BJ673" s="52"/>
      <c r="BK673" s="105"/>
      <c r="BL673" s="98"/>
      <c r="BM673" s="279"/>
      <c r="BN673" s="52"/>
      <c r="BO673" s="105"/>
      <c r="BP673" s="98"/>
      <c r="BQ673" s="279"/>
      <c r="BR673" s="52"/>
      <c r="BS673" s="105"/>
      <c r="BT673" s="98"/>
      <c r="BU673" s="279"/>
      <c r="BV673" s="52"/>
      <c r="BW673" s="105"/>
      <c r="BX673" s="98"/>
      <c r="BY673" s="279"/>
      <c r="BZ673" s="52"/>
      <c r="CA673" s="105"/>
      <c r="CB673" s="98"/>
      <c r="CC673" s="279"/>
      <c r="CD673" s="52"/>
      <c r="CE673" s="105"/>
      <c r="CF673" s="98"/>
      <c r="CG673" s="279"/>
      <c r="CH673" s="52"/>
      <c r="CI673" s="105"/>
      <c r="CJ673" s="98"/>
      <c r="CK673" s="281"/>
      <c r="CL673" s="277"/>
      <c r="CM673" s="159"/>
      <c r="CN673" s="277"/>
      <c r="CO673" s="50">
        <f t="shared" si="270"/>
        <v>161</v>
      </c>
      <c r="CP673" s="103">
        <f t="shared" si="271"/>
        <v>2</v>
      </c>
      <c r="CQ673" s="280">
        <f t="shared" si="272"/>
        <v>181</v>
      </c>
      <c r="CR673" s="63">
        <f t="shared" si="273"/>
        <v>2</v>
      </c>
      <c r="CS673" s="279">
        <v>26</v>
      </c>
      <c r="CT673" s="52">
        <v>24</v>
      </c>
      <c r="CU673" s="552">
        <v>26</v>
      </c>
      <c r="CV673" s="551">
        <v>21</v>
      </c>
      <c r="CW673" s="279">
        <v>51</v>
      </c>
      <c r="CX673" s="52">
        <v>8</v>
      </c>
      <c r="CY673" s="552">
        <v>51</v>
      </c>
      <c r="CZ673" s="551">
        <v>4</v>
      </c>
      <c r="DA673" s="279"/>
      <c r="DB673" s="52"/>
      <c r="DC673" s="105"/>
      <c r="DD673" s="98"/>
      <c r="DE673" s="279"/>
      <c r="DF673" s="52"/>
      <c r="DG673" s="105"/>
      <c r="DH673" s="98"/>
      <c r="DI673" s="279"/>
      <c r="DJ673" s="52"/>
      <c r="DK673" s="105"/>
      <c r="DL673" s="98"/>
      <c r="DM673" s="279"/>
      <c r="DN673" s="52"/>
      <c r="DO673" s="105"/>
      <c r="DP673" s="98"/>
      <c r="DQ673" s="279"/>
      <c r="DR673" s="52"/>
      <c r="DS673" s="105"/>
      <c r="DT673" s="98"/>
      <c r="DU673" s="279"/>
      <c r="DV673" s="52"/>
      <c r="DW673" s="105"/>
      <c r="DX673" s="98"/>
      <c r="DY673" s="279"/>
      <c r="DZ673" s="52"/>
      <c r="EA673" s="105"/>
      <c r="EB673" s="98"/>
      <c r="EC673" s="279"/>
      <c r="ED673" s="52"/>
      <c r="EE673" s="105"/>
      <c r="EF673" s="98"/>
      <c r="EG673" s="159"/>
      <c r="EH673" s="277"/>
      <c r="EI673" s="50">
        <f t="shared" si="274"/>
        <v>32</v>
      </c>
      <c r="EJ673" s="103">
        <f t="shared" si="275"/>
        <v>2</v>
      </c>
      <c r="EK673" s="164">
        <f t="shared" si="276"/>
        <v>0.75</v>
      </c>
      <c r="EL673" s="280">
        <f t="shared" si="277"/>
        <v>25</v>
      </c>
      <c r="EM673" s="63">
        <f t="shared" si="278"/>
        <v>2</v>
      </c>
      <c r="EN673" s="359">
        <f t="shared" si="279"/>
        <v>0.84</v>
      </c>
      <c r="EO673" s="51">
        <f t="shared" si="280"/>
        <v>193</v>
      </c>
      <c r="EP673" s="361">
        <f t="shared" si="281"/>
        <v>206</v>
      </c>
      <c r="EQ673" s="281"/>
      <c r="ER673" s="277"/>
      <c r="ES673" s="281"/>
      <c r="ET673" s="277"/>
      <c r="EU673" s="281"/>
      <c r="EV673" s="277"/>
      <c r="EW673" s="281"/>
      <c r="EX673" s="277"/>
      <c r="EY673" s="281"/>
      <c r="EZ673" s="277"/>
      <c r="FA673" s="281"/>
      <c r="FB673" s="277"/>
      <c r="FC673" s="281">
        <v>128</v>
      </c>
      <c r="FD673" s="277">
        <v>128</v>
      </c>
      <c r="FE673" s="281"/>
      <c r="FF673" s="277"/>
      <c r="FG673" s="281"/>
      <c r="FH673" s="277"/>
      <c r="FI673" s="281"/>
      <c r="FJ673" s="277"/>
      <c r="FK673" s="50">
        <f t="shared" si="282"/>
        <v>128</v>
      </c>
      <c r="FL673" s="63">
        <f t="shared" si="283"/>
        <v>128</v>
      </c>
      <c r="FM673" s="50">
        <f t="shared" si="265"/>
        <v>321</v>
      </c>
      <c r="FN673" s="360">
        <f t="shared" si="266"/>
        <v>334</v>
      </c>
      <c r="FO673" s="43"/>
      <c r="FP673" s="279"/>
      <c r="FQ673" s="467"/>
      <c r="FR673" s="296"/>
      <c r="FS673" s="98"/>
      <c r="FT673" s="467"/>
      <c r="FU673" s="52"/>
      <c r="FV673" s="296"/>
      <c r="FW673" s="98"/>
      <c r="FX673" s="467"/>
      <c r="FY673" s="52"/>
      <c r="FZ673" s="296"/>
      <c r="GA673" s="98"/>
      <c r="GB673" s="467"/>
      <c r="GC673" s="52"/>
      <c r="GD673" s="296"/>
      <c r="GE673" s="98"/>
      <c r="GF673" s="467"/>
      <c r="GG673" s="52"/>
      <c r="GH673" s="296"/>
      <c r="GI673" s="98"/>
      <c r="GJ673" s="467"/>
      <c r="GK673" s="52"/>
      <c r="GL673" s="296"/>
      <c r="GM673" s="464"/>
      <c r="GN673" s="467"/>
      <c r="GO673" s="52"/>
      <c r="GP673" s="296"/>
      <c r="GQ673" s="464"/>
      <c r="GR673" s="467"/>
      <c r="GS673" s="52"/>
      <c r="GT673" s="296"/>
      <c r="GU673" s="464"/>
      <c r="GV673" s="467"/>
      <c r="GW673" s="52"/>
      <c r="GX673" s="296"/>
      <c r="GY673" s="464"/>
      <c r="GZ673" s="467"/>
      <c r="HA673" s="52"/>
      <c r="HB673" s="296"/>
      <c r="HC673" s="43"/>
    </row>
    <row r="674" spans="1:211" s="86" customFormat="1">
      <c r="A674" s="502" t="s">
        <v>951</v>
      </c>
      <c r="B674" s="315" t="s">
        <v>894</v>
      </c>
      <c r="C674" s="314">
        <v>229300</v>
      </c>
      <c r="D674" s="343">
        <v>15</v>
      </c>
      <c r="E674" s="460"/>
      <c r="F674" s="277"/>
      <c r="G674" s="158"/>
      <c r="H674" s="277"/>
      <c r="I674" s="158">
        <v>14</v>
      </c>
      <c r="J674" s="277">
        <v>7</v>
      </c>
      <c r="K674" s="160">
        <f t="shared" si="267"/>
        <v>5.9322033898305086E-2</v>
      </c>
      <c r="L674" s="161">
        <f t="shared" si="260"/>
        <v>2.9411764705882353E-2</v>
      </c>
      <c r="M674" s="54">
        <v>236</v>
      </c>
      <c r="N674" s="55"/>
      <c r="O674" s="55"/>
      <c r="P674" s="55"/>
      <c r="Q674" s="162">
        <f t="shared" si="268"/>
        <v>0</v>
      </c>
      <c r="R674" s="277">
        <v>238</v>
      </c>
      <c r="S674" s="277"/>
      <c r="T674" s="277"/>
      <c r="U674" s="277"/>
      <c r="V674" s="97">
        <f t="shared" si="269"/>
        <v>0</v>
      </c>
      <c r="W674" s="279"/>
      <c r="X674" s="52"/>
      <c r="Y674" s="99"/>
      <c r="Z674" s="53"/>
      <c r="AA674" s="228"/>
      <c r="AB674" s="52"/>
      <c r="AC674" s="99"/>
      <c r="AD674" s="53"/>
      <c r="AE674" s="228"/>
      <c r="AF674" s="52"/>
      <c r="AG674" s="99"/>
      <c r="AH674" s="53"/>
      <c r="AI674" s="228"/>
      <c r="AJ674" s="52"/>
      <c r="AK674" s="99"/>
      <c r="AL674" s="53"/>
      <c r="AM674" s="228"/>
      <c r="AN674" s="52"/>
      <c r="AO674" s="99"/>
      <c r="AP674" s="53"/>
      <c r="AQ674" s="50">
        <f t="shared" si="261"/>
        <v>0</v>
      </c>
      <c r="AR674" s="163">
        <f t="shared" si="262"/>
        <v>0.249208025343189</v>
      </c>
      <c r="AS674" s="97">
        <f t="shared" si="263"/>
        <v>0</v>
      </c>
      <c r="AT674" s="278">
        <f t="shared" si="264"/>
        <v>0.2413793103448276</v>
      </c>
      <c r="AU674" s="55"/>
      <c r="AV674" s="277"/>
      <c r="AW674" s="279">
        <v>51</v>
      </c>
      <c r="AX674" s="52">
        <v>236</v>
      </c>
      <c r="AY674" s="552">
        <v>51</v>
      </c>
      <c r="AZ674" s="551">
        <v>261</v>
      </c>
      <c r="BA674" s="279">
        <v>26</v>
      </c>
      <c r="BB674" s="52">
        <v>72</v>
      </c>
      <c r="BC674" s="552">
        <v>26</v>
      </c>
      <c r="BD674" s="551">
        <v>78</v>
      </c>
      <c r="BE674" s="279"/>
      <c r="BF674" s="52"/>
      <c r="BG674" s="552">
        <v>30</v>
      </c>
      <c r="BH674" s="551">
        <v>3</v>
      </c>
      <c r="BI674" s="279"/>
      <c r="BJ674" s="52"/>
      <c r="BK674" s="552">
        <v>3</v>
      </c>
      <c r="BL674" s="551">
        <v>1</v>
      </c>
      <c r="BM674" s="279"/>
      <c r="BN674" s="52"/>
      <c r="BO674" s="105"/>
      <c r="BP674" s="98"/>
      <c r="BQ674" s="279"/>
      <c r="BR674" s="52"/>
      <c r="BS674" s="105"/>
      <c r="BT674" s="98"/>
      <c r="BU674" s="279"/>
      <c r="BV674" s="52"/>
      <c r="BW674" s="105"/>
      <c r="BX674" s="98"/>
      <c r="BY674" s="279"/>
      <c r="BZ674" s="52"/>
      <c r="CA674" s="105"/>
      <c r="CB674" s="98"/>
      <c r="CC674" s="279"/>
      <c r="CD674" s="52"/>
      <c r="CE674" s="105"/>
      <c r="CF674" s="98"/>
      <c r="CG674" s="279"/>
      <c r="CH674" s="52"/>
      <c r="CI674" s="105"/>
      <c r="CJ674" s="98"/>
      <c r="CK674" s="281"/>
      <c r="CL674" s="277"/>
      <c r="CM674" s="281">
        <v>25</v>
      </c>
      <c r="CN674" s="277"/>
      <c r="CO674" s="50">
        <f t="shared" si="270"/>
        <v>333</v>
      </c>
      <c r="CP674" s="103">
        <f t="shared" si="271"/>
        <v>2</v>
      </c>
      <c r="CQ674" s="280">
        <f t="shared" si="272"/>
        <v>343</v>
      </c>
      <c r="CR674" s="63">
        <f t="shared" si="273"/>
        <v>4</v>
      </c>
      <c r="CS674" s="279">
        <v>26</v>
      </c>
      <c r="CT674" s="52">
        <v>84</v>
      </c>
      <c r="CU674" s="552">
        <v>26</v>
      </c>
      <c r="CV674" s="551">
        <v>81</v>
      </c>
      <c r="CW674" s="279">
        <v>51</v>
      </c>
      <c r="CX674" s="52">
        <v>20</v>
      </c>
      <c r="CY674" s="552">
        <v>51</v>
      </c>
      <c r="CZ674" s="551">
        <v>33</v>
      </c>
      <c r="DA674" s="279">
        <v>30</v>
      </c>
      <c r="DB674" s="52">
        <v>6</v>
      </c>
      <c r="DC674" s="552">
        <v>30</v>
      </c>
      <c r="DD674" s="551">
        <v>10</v>
      </c>
      <c r="DE674" s="279">
        <v>44</v>
      </c>
      <c r="DF674" s="52">
        <v>5</v>
      </c>
      <c r="DG674" s="552">
        <v>44</v>
      </c>
      <c r="DH674" s="551">
        <v>9</v>
      </c>
      <c r="DI674" s="279">
        <v>3</v>
      </c>
      <c r="DJ674" s="52">
        <v>3</v>
      </c>
      <c r="DK674" s="552">
        <v>3</v>
      </c>
      <c r="DL674" s="551">
        <v>1</v>
      </c>
      <c r="DM674" s="279"/>
      <c r="DN674" s="52"/>
      <c r="DO674" s="105"/>
      <c r="DP674" s="98"/>
      <c r="DQ674" s="279"/>
      <c r="DR674" s="52"/>
      <c r="DS674" s="105"/>
      <c r="DT674" s="98"/>
      <c r="DU674" s="279"/>
      <c r="DV674" s="52"/>
      <c r="DW674" s="105"/>
      <c r="DX674" s="98"/>
      <c r="DY674" s="279"/>
      <c r="DZ674" s="52"/>
      <c r="EA674" s="105"/>
      <c r="EB674" s="98"/>
      <c r="EC674" s="279"/>
      <c r="ED674" s="52"/>
      <c r="EE674" s="105"/>
      <c r="EF674" s="98"/>
      <c r="EG674" s="159"/>
      <c r="EH674" s="277"/>
      <c r="EI674" s="50">
        <f t="shared" si="274"/>
        <v>118</v>
      </c>
      <c r="EJ674" s="103">
        <f t="shared" si="275"/>
        <v>5</v>
      </c>
      <c r="EK674" s="164">
        <f t="shared" si="276"/>
        <v>0.71186440677966101</v>
      </c>
      <c r="EL674" s="280">
        <f t="shared" si="277"/>
        <v>134</v>
      </c>
      <c r="EM674" s="63">
        <f t="shared" si="278"/>
        <v>5</v>
      </c>
      <c r="EN674" s="359">
        <f t="shared" si="279"/>
        <v>0.60447761194029848</v>
      </c>
      <c r="EO674" s="51">
        <f t="shared" si="280"/>
        <v>451</v>
      </c>
      <c r="EP674" s="361">
        <f t="shared" si="281"/>
        <v>477</v>
      </c>
      <c r="EQ674" s="281"/>
      <c r="ER674" s="277"/>
      <c r="ES674" s="281">
        <v>187</v>
      </c>
      <c r="ET674" s="277">
        <v>189</v>
      </c>
      <c r="EU674" s="281">
        <v>59</v>
      </c>
      <c r="EV674" s="277">
        <v>75</v>
      </c>
      <c r="EW674" s="281"/>
      <c r="EX674" s="277"/>
      <c r="EY674" s="281"/>
      <c r="EZ674" s="277"/>
      <c r="FA674" s="281"/>
      <c r="FB674" s="277"/>
      <c r="FC674" s="281"/>
      <c r="FD674" s="277"/>
      <c r="FE674" s="281"/>
      <c r="FF674" s="277"/>
      <c r="FG674" s="281"/>
      <c r="FH674" s="277"/>
      <c r="FI674" s="281"/>
      <c r="FJ674" s="277"/>
      <c r="FK674" s="50">
        <f t="shared" si="282"/>
        <v>246</v>
      </c>
      <c r="FL674" s="63">
        <f t="shared" si="283"/>
        <v>264</v>
      </c>
      <c r="FM674" s="50">
        <f t="shared" si="265"/>
        <v>947</v>
      </c>
      <c r="FN674" s="360">
        <f t="shared" si="266"/>
        <v>986</v>
      </c>
      <c r="FO674" s="43"/>
      <c r="FP674" s="279"/>
      <c r="FQ674" s="467"/>
      <c r="FR674" s="296"/>
      <c r="FS674" s="98"/>
      <c r="FT674" s="467"/>
      <c r="FU674" s="52"/>
      <c r="FV674" s="296"/>
      <c r="FW674" s="98"/>
      <c r="FX674" s="467"/>
      <c r="FY674" s="52"/>
      <c r="FZ674" s="296"/>
      <c r="GA674" s="98"/>
      <c r="GB674" s="467"/>
      <c r="GC674" s="52"/>
      <c r="GD674" s="296"/>
      <c r="GE674" s="98"/>
      <c r="GF674" s="467"/>
      <c r="GG674" s="52"/>
      <c r="GH674" s="296"/>
      <c r="GI674" s="98"/>
      <c r="GJ674" s="467"/>
      <c r="GK674" s="52"/>
      <c r="GL674" s="296"/>
      <c r="GM674" s="464"/>
      <c r="GN674" s="467"/>
      <c r="GO674" s="52"/>
      <c r="GP674" s="296"/>
      <c r="GQ674" s="464"/>
      <c r="GR674" s="467"/>
      <c r="GS674" s="52"/>
      <c r="GT674" s="296"/>
      <c r="GU674" s="464"/>
      <c r="GV674" s="467"/>
      <c r="GW674" s="52"/>
      <c r="GX674" s="296"/>
      <c r="GY674" s="464"/>
      <c r="GZ674" s="467"/>
      <c r="HA674" s="52"/>
      <c r="HB674" s="296"/>
      <c r="HC674" s="43"/>
    </row>
    <row r="675" spans="1:211" s="86" customFormat="1">
      <c r="A675" s="502" t="s">
        <v>951</v>
      </c>
      <c r="B675" s="315" t="s">
        <v>895</v>
      </c>
      <c r="C675" s="314">
        <v>228644</v>
      </c>
      <c r="D675" s="343">
        <v>15</v>
      </c>
      <c r="E675" s="460"/>
      <c r="F675" s="277"/>
      <c r="G675" s="158"/>
      <c r="H675" s="277"/>
      <c r="I675" s="158">
        <v>191</v>
      </c>
      <c r="J675" s="277">
        <v>152</v>
      </c>
      <c r="K675" s="160">
        <f t="shared" si="267"/>
        <v>0.58769230769230774</v>
      </c>
      <c r="L675" s="161">
        <f t="shared" si="260"/>
        <v>0.39480519480519483</v>
      </c>
      <c r="M675" s="54">
        <v>325</v>
      </c>
      <c r="N675" s="55"/>
      <c r="O675" s="55"/>
      <c r="P675" s="55"/>
      <c r="Q675" s="162">
        <f t="shared" si="268"/>
        <v>0</v>
      </c>
      <c r="R675" s="277">
        <v>385</v>
      </c>
      <c r="S675" s="277"/>
      <c r="T675" s="277"/>
      <c r="U675" s="277"/>
      <c r="V675" s="97">
        <f t="shared" si="269"/>
        <v>0</v>
      </c>
      <c r="W675" s="279"/>
      <c r="X675" s="52"/>
      <c r="Y675" s="99"/>
      <c r="Z675" s="53"/>
      <c r="AA675" s="228"/>
      <c r="AB675" s="52"/>
      <c r="AC675" s="99"/>
      <c r="AD675" s="53"/>
      <c r="AE675" s="228"/>
      <c r="AF675" s="52"/>
      <c r="AG675" s="99"/>
      <c r="AH675" s="53"/>
      <c r="AI675" s="228"/>
      <c r="AJ675" s="52"/>
      <c r="AK675" s="99"/>
      <c r="AL675" s="53"/>
      <c r="AM675" s="228"/>
      <c r="AN675" s="52"/>
      <c r="AO675" s="99"/>
      <c r="AP675" s="53"/>
      <c r="AQ675" s="50">
        <f t="shared" si="261"/>
        <v>0</v>
      </c>
      <c r="AR675" s="163">
        <f t="shared" si="262"/>
        <v>0.3128007699711261</v>
      </c>
      <c r="AS675" s="97">
        <f t="shared" si="263"/>
        <v>0</v>
      </c>
      <c r="AT675" s="278">
        <f t="shared" si="264"/>
        <v>0.36218250235183441</v>
      </c>
      <c r="AU675" s="55"/>
      <c r="AV675" s="277"/>
      <c r="AW675" s="279">
        <v>51</v>
      </c>
      <c r="AX675" s="52">
        <v>172</v>
      </c>
      <c r="AY675" s="552">
        <v>51</v>
      </c>
      <c r="AZ675" s="551">
        <v>155</v>
      </c>
      <c r="BA675" s="279">
        <v>13</v>
      </c>
      <c r="BB675" s="52">
        <v>3</v>
      </c>
      <c r="BC675" s="552">
        <v>26</v>
      </c>
      <c r="BD675" s="551">
        <v>13</v>
      </c>
      <c r="BE675" s="279">
        <v>26</v>
      </c>
      <c r="BF675" s="52">
        <v>2</v>
      </c>
      <c r="BG675" s="552">
        <v>40</v>
      </c>
      <c r="BH675" s="551">
        <v>5</v>
      </c>
      <c r="BI675" s="279">
        <v>40</v>
      </c>
      <c r="BJ675" s="52">
        <v>2</v>
      </c>
      <c r="BK675" s="552">
        <v>13</v>
      </c>
      <c r="BL675" s="551">
        <v>3</v>
      </c>
      <c r="BM675" s="279"/>
      <c r="BN675" s="52"/>
      <c r="BO675" s="105"/>
      <c r="BP675" s="98"/>
      <c r="BQ675" s="279"/>
      <c r="BR675" s="52"/>
      <c r="BS675" s="105"/>
      <c r="BT675" s="98"/>
      <c r="BU675" s="279"/>
      <c r="BV675" s="52"/>
      <c r="BW675" s="105"/>
      <c r="BX675" s="98"/>
      <c r="BY675" s="279"/>
      <c r="BZ675" s="52"/>
      <c r="CA675" s="105"/>
      <c r="CB675" s="98"/>
      <c r="CC675" s="279"/>
      <c r="CD675" s="52"/>
      <c r="CE675" s="105"/>
      <c r="CF675" s="98"/>
      <c r="CG675" s="279"/>
      <c r="CH675" s="52"/>
      <c r="CI675" s="105"/>
      <c r="CJ675" s="98"/>
      <c r="CK675" s="281"/>
      <c r="CL675" s="277"/>
      <c r="CM675" s="281">
        <v>25</v>
      </c>
      <c r="CN675" s="277">
        <v>20</v>
      </c>
      <c r="CO675" s="50">
        <f t="shared" si="270"/>
        <v>204</v>
      </c>
      <c r="CP675" s="103">
        <f t="shared" si="271"/>
        <v>4</v>
      </c>
      <c r="CQ675" s="280">
        <f t="shared" si="272"/>
        <v>196</v>
      </c>
      <c r="CR675" s="63">
        <f t="shared" si="273"/>
        <v>4</v>
      </c>
      <c r="CS675" s="279">
        <v>26</v>
      </c>
      <c r="CT675" s="52">
        <v>21</v>
      </c>
      <c r="CU675" s="552">
        <v>26</v>
      </c>
      <c r="CV675" s="551">
        <v>29</v>
      </c>
      <c r="CW675" s="279">
        <v>14</v>
      </c>
      <c r="CX675" s="52">
        <v>5</v>
      </c>
      <c r="CY675" s="552">
        <v>40</v>
      </c>
      <c r="CZ675" s="551">
        <v>7</v>
      </c>
      <c r="DA675" s="279">
        <v>51</v>
      </c>
      <c r="DB675" s="52">
        <v>4</v>
      </c>
      <c r="DC675" s="552">
        <v>51</v>
      </c>
      <c r="DD675" s="551">
        <v>4</v>
      </c>
      <c r="DE675" s="279">
        <v>40</v>
      </c>
      <c r="DF675" s="52">
        <v>3</v>
      </c>
      <c r="DG675" s="552">
        <v>14</v>
      </c>
      <c r="DH675" s="551">
        <v>1</v>
      </c>
      <c r="DI675" s="279"/>
      <c r="DJ675" s="52"/>
      <c r="DK675" s="105"/>
      <c r="DL675" s="98"/>
      <c r="DM675" s="279"/>
      <c r="DN675" s="52"/>
      <c r="DO675" s="105"/>
      <c r="DP675" s="98"/>
      <c r="DQ675" s="279"/>
      <c r="DR675" s="52"/>
      <c r="DS675" s="105"/>
      <c r="DT675" s="98"/>
      <c r="DU675" s="279"/>
      <c r="DV675" s="52"/>
      <c r="DW675" s="105"/>
      <c r="DX675" s="98"/>
      <c r="DY675" s="279"/>
      <c r="DZ675" s="52"/>
      <c r="EA675" s="105"/>
      <c r="EB675" s="98"/>
      <c r="EC675" s="279"/>
      <c r="ED675" s="52"/>
      <c r="EE675" s="105"/>
      <c r="EF675" s="98"/>
      <c r="EG675" s="159"/>
      <c r="EH675" s="277"/>
      <c r="EI675" s="50">
        <f t="shared" si="274"/>
        <v>33</v>
      </c>
      <c r="EJ675" s="103">
        <f t="shared" si="275"/>
        <v>4</v>
      </c>
      <c r="EK675" s="164">
        <f t="shared" si="276"/>
        <v>0.63636363636363635</v>
      </c>
      <c r="EL675" s="280">
        <f t="shared" si="277"/>
        <v>41</v>
      </c>
      <c r="EM675" s="63">
        <f t="shared" si="278"/>
        <v>4</v>
      </c>
      <c r="EN675" s="359">
        <f t="shared" si="279"/>
        <v>0.70731707317073167</v>
      </c>
      <c r="EO675" s="51">
        <f t="shared" si="280"/>
        <v>237</v>
      </c>
      <c r="EP675" s="361">
        <f t="shared" si="281"/>
        <v>237</v>
      </c>
      <c r="EQ675" s="281"/>
      <c r="ER675" s="277"/>
      <c r="ES675" s="281">
        <v>204</v>
      </c>
      <c r="ET675" s="277">
        <v>197</v>
      </c>
      <c r="EU675" s="281">
        <v>82</v>
      </c>
      <c r="EV675" s="277">
        <v>92</v>
      </c>
      <c r="EW675" s="281"/>
      <c r="EX675" s="277"/>
      <c r="EY675" s="281"/>
      <c r="EZ675" s="277"/>
      <c r="FA675" s="281"/>
      <c r="FB675" s="277"/>
      <c r="FC675" s="281"/>
      <c r="FD675" s="277"/>
      <c r="FE675" s="281"/>
      <c r="FF675" s="277"/>
      <c r="FG675" s="281"/>
      <c r="FH675" s="277"/>
      <c r="FI675" s="281"/>
      <c r="FJ675" s="277"/>
      <c r="FK675" s="50">
        <f t="shared" si="282"/>
        <v>286</v>
      </c>
      <c r="FL675" s="63">
        <f t="shared" si="283"/>
        <v>289</v>
      </c>
      <c r="FM675" s="50">
        <f t="shared" si="265"/>
        <v>1039</v>
      </c>
      <c r="FN675" s="360">
        <f t="shared" si="266"/>
        <v>1063</v>
      </c>
      <c r="FO675" s="43"/>
      <c r="FP675" s="279"/>
      <c r="FQ675" s="467"/>
      <c r="FR675" s="296"/>
      <c r="FS675" s="98"/>
      <c r="FT675" s="467"/>
      <c r="FU675" s="52"/>
      <c r="FV675" s="296"/>
      <c r="FW675" s="98"/>
      <c r="FX675" s="467"/>
      <c r="FY675" s="52"/>
      <c r="FZ675" s="296" t="s">
        <v>1245</v>
      </c>
      <c r="GA675" s="98">
        <v>40</v>
      </c>
      <c r="GB675" s="467"/>
      <c r="GC675" s="52"/>
      <c r="GD675" s="296"/>
      <c r="GE675" s="98"/>
      <c r="GF675" s="467"/>
      <c r="GG675" s="52"/>
      <c r="GH675" s="296"/>
      <c r="GI675" s="98"/>
      <c r="GJ675" s="467"/>
      <c r="GK675" s="52"/>
      <c r="GL675" s="296"/>
      <c r="GM675" s="464"/>
      <c r="GN675" s="467"/>
      <c r="GO675" s="52"/>
      <c r="GP675" s="296"/>
      <c r="GQ675" s="464"/>
      <c r="GR675" s="467"/>
      <c r="GS675" s="52"/>
      <c r="GT675" s="296"/>
      <c r="GU675" s="464"/>
      <c r="GV675" s="467"/>
      <c r="GW675" s="52"/>
      <c r="GX675" s="296"/>
      <c r="GY675" s="464"/>
      <c r="GZ675" s="467"/>
      <c r="HA675" s="52"/>
      <c r="HB675" s="296"/>
      <c r="HC675" s="43"/>
    </row>
    <row r="676" spans="1:211" s="86" customFormat="1">
      <c r="A676" s="502" t="s">
        <v>951</v>
      </c>
      <c r="B676" s="315" t="s">
        <v>896</v>
      </c>
      <c r="C676" s="314">
        <v>416801</v>
      </c>
      <c r="D676" s="343">
        <v>15</v>
      </c>
      <c r="E676" s="460"/>
      <c r="F676" s="277"/>
      <c r="G676" s="158"/>
      <c r="H676" s="277"/>
      <c r="I676" s="158"/>
      <c r="J676" s="277"/>
      <c r="K676" s="160">
        <f t="shared" si="267"/>
        <v>0</v>
      </c>
      <c r="L676" s="161">
        <f t="shared" si="260"/>
        <v>0</v>
      </c>
      <c r="M676" s="54">
        <v>96</v>
      </c>
      <c r="N676" s="55"/>
      <c r="O676" s="55"/>
      <c r="P676" s="55"/>
      <c r="Q676" s="162">
        <f t="shared" si="268"/>
        <v>0</v>
      </c>
      <c r="R676" s="277">
        <v>105</v>
      </c>
      <c r="S676" s="277"/>
      <c r="T676" s="277"/>
      <c r="U676" s="277"/>
      <c r="V676" s="97">
        <f t="shared" si="269"/>
        <v>0</v>
      </c>
      <c r="W676" s="279"/>
      <c r="X676" s="52"/>
      <c r="Y676" s="99"/>
      <c r="Z676" s="53"/>
      <c r="AA676" s="228"/>
      <c r="AB676" s="52"/>
      <c r="AC676" s="99"/>
      <c r="AD676" s="53"/>
      <c r="AE676" s="228"/>
      <c r="AF676" s="52"/>
      <c r="AG676" s="99"/>
      <c r="AH676" s="53"/>
      <c r="AI676" s="228"/>
      <c r="AJ676" s="52"/>
      <c r="AK676" s="99"/>
      <c r="AL676" s="53"/>
      <c r="AM676" s="228"/>
      <c r="AN676" s="52"/>
      <c r="AO676" s="99"/>
      <c r="AP676" s="53"/>
      <c r="AQ676" s="50">
        <f t="shared" si="261"/>
        <v>0</v>
      </c>
      <c r="AR676" s="163">
        <f t="shared" si="262"/>
        <v>1</v>
      </c>
      <c r="AS676" s="97">
        <f t="shared" si="263"/>
        <v>0</v>
      </c>
      <c r="AT676" s="278">
        <f t="shared" si="264"/>
        <v>1</v>
      </c>
      <c r="AU676" s="55"/>
      <c r="AV676" s="277"/>
      <c r="AW676" s="279"/>
      <c r="AX676" s="52"/>
      <c r="AY676" s="105"/>
      <c r="AZ676" s="98"/>
      <c r="BA676" s="279"/>
      <c r="BB676" s="52"/>
      <c r="BC676" s="105"/>
      <c r="BD676" s="98"/>
      <c r="BE676" s="279"/>
      <c r="BF676" s="52"/>
      <c r="BG676" s="105"/>
      <c r="BH676" s="98"/>
      <c r="BI676" s="279"/>
      <c r="BJ676" s="52"/>
      <c r="BK676" s="105"/>
      <c r="BL676" s="98"/>
      <c r="BM676" s="279"/>
      <c r="BN676" s="52"/>
      <c r="BO676" s="105"/>
      <c r="BP676" s="98"/>
      <c r="BQ676" s="279"/>
      <c r="BR676" s="52"/>
      <c r="BS676" s="105"/>
      <c r="BT676" s="98"/>
      <c r="BU676" s="279"/>
      <c r="BV676" s="52"/>
      <c r="BW676" s="105"/>
      <c r="BX676" s="98"/>
      <c r="BY676" s="279"/>
      <c r="BZ676" s="52"/>
      <c r="CA676" s="105"/>
      <c r="CB676" s="98"/>
      <c r="CC676" s="279"/>
      <c r="CD676" s="52"/>
      <c r="CE676" s="105"/>
      <c r="CF676" s="98"/>
      <c r="CG676" s="279"/>
      <c r="CH676" s="52"/>
      <c r="CI676" s="105"/>
      <c r="CJ676" s="98"/>
      <c r="CK676" s="281"/>
      <c r="CL676" s="277"/>
      <c r="CM676" s="159"/>
      <c r="CN676" s="277"/>
      <c r="CO676" s="50">
        <f t="shared" si="270"/>
        <v>0</v>
      </c>
      <c r="CP676" s="103">
        <f t="shared" si="271"/>
        <v>0</v>
      </c>
      <c r="CQ676" s="280">
        <f t="shared" si="272"/>
        <v>0</v>
      </c>
      <c r="CR676" s="63">
        <f t="shared" si="273"/>
        <v>0</v>
      </c>
      <c r="CS676" s="279"/>
      <c r="CT676" s="52"/>
      <c r="CU676" s="552"/>
      <c r="CV676" s="551"/>
      <c r="CW676" s="279"/>
      <c r="CX676" s="52"/>
      <c r="CY676" s="105"/>
      <c r="CZ676" s="98"/>
      <c r="DA676" s="279"/>
      <c r="DB676" s="52"/>
      <c r="DC676" s="105"/>
      <c r="DD676" s="98"/>
      <c r="DE676" s="279"/>
      <c r="DF676" s="52"/>
      <c r="DG676" s="105"/>
      <c r="DH676" s="98"/>
      <c r="DI676" s="279"/>
      <c r="DJ676" s="52"/>
      <c r="DK676" s="105"/>
      <c r="DL676" s="98"/>
      <c r="DM676" s="279"/>
      <c r="DN676" s="52"/>
      <c r="DO676" s="105"/>
      <c r="DP676" s="98"/>
      <c r="DQ676" s="279"/>
      <c r="DR676" s="52"/>
      <c r="DS676" s="105"/>
      <c r="DT676" s="98"/>
      <c r="DU676" s="279"/>
      <c r="DV676" s="52"/>
      <c r="DW676" s="105"/>
      <c r="DX676" s="98"/>
      <c r="DY676" s="279"/>
      <c r="DZ676" s="52"/>
      <c r="EA676" s="105"/>
      <c r="EB676" s="98"/>
      <c r="EC676" s="279"/>
      <c r="ED676" s="52"/>
      <c r="EE676" s="105"/>
      <c r="EF676" s="98"/>
      <c r="EG676" s="159"/>
      <c r="EH676" s="277"/>
      <c r="EI676" s="50">
        <f t="shared" si="274"/>
        <v>0</v>
      </c>
      <c r="EJ676" s="103">
        <f t="shared" si="275"/>
        <v>0</v>
      </c>
      <c r="EK676" s="164">
        <f t="shared" si="276"/>
        <v>0</v>
      </c>
      <c r="EL676" s="280">
        <f t="shared" si="277"/>
        <v>0</v>
      </c>
      <c r="EM676" s="63">
        <f t="shared" si="278"/>
        <v>0</v>
      </c>
      <c r="EN676" s="359">
        <f t="shared" si="279"/>
        <v>0</v>
      </c>
      <c r="EO676" s="51">
        <f t="shared" si="280"/>
        <v>0</v>
      </c>
      <c r="EP676" s="361">
        <f t="shared" si="281"/>
        <v>0</v>
      </c>
      <c r="EQ676" s="281"/>
      <c r="ER676" s="277"/>
      <c r="ES676" s="281"/>
      <c r="ET676" s="277"/>
      <c r="EU676" s="281"/>
      <c r="EV676" s="277"/>
      <c r="EW676" s="281"/>
      <c r="EX676" s="277"/>
      <c r="EY676" s="281"/>
      <c r="EZ676" s="277"/>
      <c r="FA676" s="281"/>
      <c r="FB676" s="277"/>
      <c r="FC676" s="281"/>
      <c r="FD676" s="277"/>
      <c r="FE676" s="281"/>
      <c r="FF676" s="277"/>
      <c r="FG676" s="281"/>
      <c r="FH676" s="277"/>
      <c r="FI676" s="281"/>
      <c r="FJ676" s="277"/>
      <c r="FK676" s="50">
        <f t="shared" si="282"/>
        <v>0</v>
      </c>
      <c r="FL676" s="63">
        <f t="shared" si="283"/>
        <v>0</v>
      </c>
      <c r="FM676" s="50">
        <f t="shared" si="265"/>
        <v>96</v>
      </c>
      <c r="FN676" s="360">
        <f t="shared" si="266"/>
        <v>105</v>
      </c>
      <c r="FO676" s="43"/>
      <c r="FP676" s="279"/>
      <c r="FQ676" s="467"/>
      <c r="FR676" s="296"/>
      <c r="FS676" s="98"/>
      <c r="FT676" s="467"/>
      <c r="FU676" s="52"/>
      <c r="FV676" s="296"/>
      <c r="FW676" s="98"/>
      <c r="FX676" s="467"/>
      <c r="FY676" s="52"/>
      <c r="FZ676" s="296"/>
      <c r="GA676" s="98"/>
      <c r="GB676" s="467"/>
      <c r="GC676" s="52"/>
      <c r="GD676" s="296"/>
      <c r="GE676" s="98"/>
      <c r="GF676" s="467"/>
      <c r="GG676" s="52"/>
      <c r="GH676" s="296"/>
      <c r="GI676" s="98"/>
      <c r="GJ676" s="467"/>
      <c r="GK676" s="52"/>
      <c r="GL676" s="296"/>
      <c r="GM676" s="464"/>
      <c r="GN676" s="467"/>
      <c r="GO676" s="52"/>
      <c r="GP676" s="296"/>
      <c r="GQ676" s="464"/>
      <c r="GR676" s="467"/>
      <c r="GS676" s="52"/>
      <c r="GT676" s="296"/>
      <c r="GU676" s="464"/>
      <c r="GV676" s="467"/>
      <c r="GW676" s="52"/>
      <c r="GX676" s="296"/>
      <c r="GY676" s="464"/>
      <c r="GZ676" s="467"/>
      <c r="HA676" s="52"/>
      <c r="HB676" s="296"/>
      <c r="HC676" s="43"/>
    </row>
    <row r="677" spans="1:211" s="86" customFormat="1">
      <c r="A677" s="502" t="s">
        <v>951</v>
      </c>
      <c r="B677" s="315" t="s">
        <v>897</v>
      </c>
      <c r="C677" s="314">
        <v>228653</v>
      </c>
      <c r="D677" s="343">
        <v>15</v>
      </c>
      <c r="E677" s="460"/>
      <c r="F677" s="277"/>
      <c r="G677" s="158"/>
      <c r="H677" s="277"/>
      <c r="I677" s="158"/>
      <c r="J677" s="277"/>
      <c r="K677" s="160">
        <f t="shared" si="267"/>
        <v>0</v>
      </c>
      <c r="L677" s="161">
        <f t="shared" si="260"/>
        <v>0</v>
      </c>
      <c r="M677" s="54">
        <v>279</v>
      </c>
      <c r="N677" s="55"/>
      <c r="O677" s="55"/>
      <c r="P677" s="55"/>
      <c r="Q677" s="162">
        <f t="shared" si="268"/>
        <v>0</v>
      </c>
      <c r="R677" s="277">
        <v>251</v>
      </c>
      <c r="S677" s="277"/>
      <c r="T677" s="277"/>
      <c r="U677" s="277"/>
      <c r="V677" s="97">
        <f t="shared" si="269"/>
        <v>0</v>
      </c>
      <c r="W677" s="279"/>
      <c r="X677" s="52"/>
      <c r="Y677" s="99"/>
      <c r="Z677" s="53"/>
      <c r="AA677" s="228"/>
      <c r="AB677" s="52"/>
      <c r="AC677" s="99"/>
      <c r="AD677" s="53"/>
      <c r="AE677" s="228"/>
      <c r="AF677" s="52"/>
      <c r="AG677" s="99"/>
      <c r="AH677" s="53"/>
      <c r="AI677" s="228"/>
      <c r="AJ677" s="52"/>
      <c r="AK677" s="99"/>
      <c r="AL677" s="53"/>
      <c r="AM677" s="228"/>
      <c r="AN677" s="52"/>
      <c r="AO677" s="99"/>
      <c r="AP677" s="53"/>
      <c r="AQ677" s="50">
        <f t="shared" si="261"/>
        <v>0</v>
      </c>
      <c r="AR677" s="163">
        <f t="shared" si="262"/>
        <v>0.38589211618257263</v>
      </c>
      <c r="AS677" s="97">
        <f t="shared" si="263"/>
        <v>0</v>
      </c>
      <c r="AT677" s="278">
        <f t="shared" si="264"/>
        <v>0.3505586592178771</v>
      </c>
      <c r="AU677" s="55"/>
      <c r="AV677" s="277"/>
      <c r="AW677" s="279">
        <v>51</v>
      </c>
      <c r="AX677" s="52">
        <v>200</v>
      </c>
      <c r="AY677" s="552">
        <v>51</v>
      </c>
      <c r="AZ677" s="551">
        <v>196</v>
      </c>
      <c r="BA677" s="279">
        <v>26</v>
      </c>
      <c r="BB677" s="52">
        <v>5</v>
      </c>
      <c r="BC677" s="552">
        <v>26</v>
      </c>
      <c r="BD677" s="551">
        <v>4</v>
      </c>
      <c r="BE677" s="279">
        <v>30</v>
      </c>
      <c r="BF677" s="52">
        <v>3</v>
      </c>
      <c r="BG677" s="552">
        <v>30</v>
      </c>
      <c r="BH677" s="551">
        <v>4</v>
      </c>
      <c r="BI677" s="279"/>
      <c r="BJ677" s="52"/>
      <c r="BK677" s="105"/>
      <c r="BL677" s="98"/>
      <c r="BM677" s="279"/>
      <c r="BN677" s="52"/>
      <c r="BO677" s="105"/>
      <c r="BP677" s="98"/>
      <c r="BQ677" s="279"/>
      <c r="BR677" s="52"/>
      <c r="BS677" s="105"/>
      <c r="BT677" s="98"/>
      <c r="BU677" s="279"/>
      <c r="BV677" s="52"/>
      <c r="BW677" s="105"/>
      <c r="BX677" s="98"/>
      <c r="BY677" s="279"/>
      <c r="BZ677" s="52"/>
      <c r="CA677" s="105"/>
      <c r="CB677" s="98"/>
      <c r="CC677" s="279"/>
      <c r="CD677" s="52"/>
      <c r="CE677" s="105"/>
      <c r="CF677" s="98"/>
      <c r="CG677" s="279"/>
      <c r="CH677" s="52"/>
      <c r="CI677" s="105"/>
      <c r="CJ677" s="98"/>
      <c r="CK677" s="281"/>
      <c r="CL677" s="277"/>
      <c r="CM677" s="281">
        <v>2</v>
      </c>
      <c r="CN677" s="277">
        <v>3</v>
      </c>
      <c r="CO677" s="50">
        <f t="shared" si="270"/>
        <v>210</v>
      </c>
      <c r="CP677" s="103">
        <f t="shared" si="271"/>
        <v>3</v>
      </c>
      <c r="CQ677" s="280">
        <f t="shared" si="272"/>
        <v>207</v>
      </c>
      <c r="CR677" s="63">
        <f t="shared" si="273"/>
        <v>3</v>
      </c>
      <c r="CS677" s="279">
        <v>26</v>
      </c>
      <c r="CT677" s="52">
        <v>20</v>
      </c>
      <c r="CU677" s="552">
        <v>26</v>
      </c>
      <c r="CV677" s="551">
        <v>39</v>
      </c>
      <c r="CW677" s="279">
        <v>51</v>
      </c>
      <c r="CX677" s="52">
        <v>16</v>
      </c>
      <c r="CY677" s="552">
        <v>51</v>
      </c>
      <c r="CZ677" s="551">
        <v>17</v>
      </c>
      <c r="DA677" s="279">
        <v>30</v>
      </c>
      <c r="DB677" s="52">
        <v>4</v>
      </c>
      <c r="DC677" s="552">
        <v>30</v>
      </c>
      <c r="DD677" s="551">
        <v>2</v>
      </c>
      <c r="DE677" s="279"/>
      <c r="DF677" s="52"/>
      <c r="DG677" s="105"/>
      <c r="DH677" s="98"/>
      <c r="DI677" s="279"/>
      <c r="DJ677" s="52"/>
      <c r="DK677" s="105"/>
      <c r="DL677" s="98"/>
      <c r="DM677" s="279"/>
      <c r="DN677" s="52"/>
      <c r="DO677" s="105"/>
      <c r="DP677" s="98"/>
      <c r="DQ677" s="279"/>
      <c r="DR677" s="52"/>
      <c r="DS677" s="105"/>
      <c r="DT677" s="98"/>
      <c r="DU677" s="279"/>
      <c r="DV677" s="52"/>
      <c r="DW677" s="105"/>
      <c r="DX677" s="98"/>
      <c r="DY677" s="279"/>
      <c r="DZ677" s="52"/>
      <c r="EA677" s="105"/>
      <c r="EB677" s="98"/>
      <c r="EC677" s="279"/>
      <c r="ED677" s="52"/>
      <c r="EE677" s="105"/>
      <c r="EF677" s="98"/>
      <c r="EG677" s="159"/>
      <c r="EH677" s="277"/>
      <c r="EI677" s="50">
        <f t="shared" si="274"/>
        <v>40</v>
      </c>
      <c r="EJ677" s="103">
        <f t="shared" si="275"/>
        <v>3</v>
      </c>
      <c r="EK677" s="164">
        <f t="shared" si="276"/>
        <v>0.5</v>
      </c>
      <c r="EL677" s="280">
        <f t="shared" si="277"/>
        <v>58</v>
      </c>
      <c r="EM677" s="63">
        <f t="shared" si="278"/>
        <v>3</v>
      </c>
      <c r="EN677" s="359">
        <f t="shared" si="279"/>
        <v>0.67241379310344829</v>
      </c>
      <c r="EO677" s="51">
        <f t="shared" si="280"/>
        <v>250</v>
      </c>
      <c r="EP677" s="361">
        <f t="shared" si="281"/>
        <v>265</v>
      </c>
      <c r="EQ677" s="281"/>
      <c r="ER677" s="277"/>
      <c r="ES677" s="281">
        <v>194</v>
      </c>
      <c r="ET677" s="277">
        <v>200</v>
      </c>
      <c r="EU677" s="281"/>
      <c r="EV677" s="277"/>
      <c r="EW677" s="281"/>
      <c r="EX677" s="277"/>
      <c r="EY677" s="281"/>
      <c r="EZ677" s="277"/>
      <c r="FA677" s="281"/>
      <c r="FB677" s="277"/>
      <c r="FC677" s="281"/>
      <c r="FD677" s="277"/>
      <c r="FE677" s="281"/>
      <c r="FF677" s="277"/>
      <c r="FG677" s="281"/>
      <c r="FH677" s="277"/>
      <c r="FI677" s="281"/>
      <c r="FJ677" s="277"/>
      <c r="FK677" s="50">
        <f t="shared" si="282"/>
        <v>194</v>
      </c>
      <c r="FL677" s="63">
        <f t="shared" si="283"/>
        <v>200</v>
      </c>
      <c r="FM677" s="50">
        <f t="shared" si="265"/>
        <v>723</v>
      </c>
      <c r="FN677" s="360">
        <f t="shared" si="266"/>
        <v>716</v>
      </c>
      <c r="FO677" s="43"/>
      <c r="FP677" s="279"/>
      <c r="FQ677" s="467"/>
      <c r="FR677" s="296"/>
      <c r="FS677" s="98"/>
      <c r="FT677" s="467"/>
      <c r="FU677" s="52"/>
      <c r="FV677" s="296"/>
      <c r="FW677" s="98"/>
      <c r="FX677" s="467"/>
      <c r="FY677" s="52"/>
      <c r="FZ677" s="296" t="s">
        <v>1245</v>
      </c>
      <c r="GA677" s="98">
        <v>21</v>
      </c>
      <c r="GB677" s="467"/>
      <c r="GC677" s="52"/>
      <c r="GD677" s="296"/>
      <c r="GE677" s="98"/>
      <c r="GF677" s="467"/>
      <c r="GG677" s="52"/>
      <c r="GH677" s="296"/>
      <c r="GI677" s="98"/>
      <c r="GJ677" s="467"/>
      <c r="GK677" s="52"/>
      <c r="GL677" s="296"/>
      <c r="GM677" s="464"/>
      <c r="GN677" s="467"/>
      <c r="GO677" s="52"/>
      <c r="GP677" s="296"/>
      <c r="GQ677" s="464"/>
      <c r="GR677" s="467"/>
      <c r="GS677" s="52"/>
      <c r="GT677" s="296"/>
      <c r="GU677" s="464"/>
      <c r="GV677" s="467"/>
      <c r="GW677" s="52"/>
      <c r="GX677" s="296"/>
      <c r="GY677" s="464"/>
      <c r="GZ677" s="467"/>
      <c r="HA677" s="52"/>
      <c r="HB677" s="296"/>
      <c r="HC677" s="43"/>
    </row>
    <row r="678" spans="1:211" s="86" customFormat="1">
      <c r="A678" s="502" t="s">
        <v>951</v>
      </c>
      <c r="B678" s="315" t="s">
        <v>898</v>
      </c>
      <c r="C678" s="314">
        <v>228635</v>
      </c>
      <c r="D678" s="343">
        <v>15</v>
      </c>
      <c r="E678" s="460"/>
      <c r="F678" s="277"/>
      <c r="G678" s="158"/>
      <c r="H678" s="277"/>
      <c r="I678" s="158"/>
      <c r="J678" s="277"/>
      <c r="K678" s="160">
        <f t="shared" si="267"/>
        <v>0</v>
      </c>
      <c r="L678" s="161">
        <f t="shared" si="260"/>
        <v>0</v>
      </c>
      <c r="M678" s="54">
        <v>46</v>
      </c>
      <c r="N678" s="55"/>
      <c r="O678" s="55"/>
      <c r="P678" s="55"/>
      <c r="Q678" s="162">
        <f t="shared" si="268"/>
        <v>0</v>
      </c>
      <c r="R678" s="277">
        <v>43</v>
      </c>
      <c r="S678" s="277"/>
      <c r="T678" s="277"/>
      <c r="U678" s="277"/>
      <c r="V678" s="97">
        <f t="shared" si="269"/>
        <v>0</v>
      </c>
      <c r="W678" s="279"/>
      <c r="X678" s="52"/>
      <c r="Y678" s="99"/>
      <c r="Z678" s="53"/>
      <c r="AA678" s="228"/>
      <c r="AB678" s="52"/>
      <c r="AC678" s="99"/>
      <c r="AD678" s="53"/>
      <c r="AE678" s="228"/>
      <c r="AF678" s="52"/>
      <c r="AG678" s="99"/>
      <c r="AH678" s="53"/>
      <c r="AI678" s="228"/>
      <c r="AJ678" s="52"/>
      <c r="AK678" s="99"/>
      <c r="AL678" s="53"/>
      <c r="AM678" s="228"/>
      <c r="AN678" s="52"/>
      <c r="AO678" s="99"/>
      <c r="AP678" s="53"/>
      <c r="AQ678" s="50">
        <f t="shared" si="261"/>
        <v>0</v>
      </c>
      <c r="AR678" s="163">
        <f t="shared" si="262"/>
        <v>7.9173838209982791E-2</v>
      </c>
      <c r="AS678" s="97">
        <f t="shared" si="263"/>
        <v>0</v>
      </c>
      <c r="AT678" s="278">
        <f t="shared" si="264"/>
        <v>8.3984375E-2</v>
      </c>
      <c r="AU678" s="55"/>
      <c r="AV678" s="277"/>
      <c r="AW678" s="279">
        <v>51</v>
      </c>
      <c r="AX678" s="52">
        <v>86</v>
      </c>
      <c r="AY678" s="552">
        <v>51</v>
      </c>
      <c r="AZ678" s="551">
        <v>63</v>
      </c>
      <c r="BA678" s="279">
        <v>26</v>
      </c>
      <c r="BB678" s="52">
        <v>7</v>
      </c>
      <c r="BC678" s="552">
        <v>26</v>
      </c>
      <c r="BD678" s="551">
        <v>2</v>
      </c>
      <c r="BE678" s="279">
        <v>14</v>
      </c>
      <c r="BF678" s="52">
        <v>2</v>
      </c>
      <c r="BG678" s="105"/>
      <c r="BH678" s="98"/>
      <c r="BI678" s="279">
        <v>30</v>
      </c>
      <c r="BJ678" s="52">
        <v>2</v>
      </c>
      <c r="BK678" s="105"/>
      <c r="BL678" s="98"/>
      <c r="BM678" s="279"/>
      <c r="BN678" s="52"/>
      <c r="BO678" s="105"/>
      <c r="BP678" s="98"/>
      <c r="BQ678" s="279"/>
      <c r="BR678" s="52"/>
      <c r="BS678" s="105"/>
      <c r="BT678" s="98"/>
      <c r="BU678" s="279"/>
      <c r="BV678" s="52"/>
      <c r="BW678" s="105"/>
      <c r="BX678" s="98"/>
      <c r="BY678" s="279"/>
      <c r="BZ678" s="52"/>
      <c r="CA678" s="105"/>
      <c r="CB678" s="98"/>
      <c r="CC678" s="279"/>
      <c r="CD678" s="52"/>
      <c r="CE678" s="105"/>
      <c r="CF678" s="98"/>
      <c r="CG678" s="279"/>
      <c r="CH678" s="52"/>
      <c r="CI678" s="105"/>
      <c r="CJ678" s="98"/>
      <c r="CK678" s="281"/>
      <c r="CL678" s="277"/>
      <c r="CM678" s="281">
        <v>137</v>
      </c>
      <c r="CN678" s="277">
        <v>51</v>
      </c>
      <c r="CO678" s="50">
        <f t="shared" si="270"/>
        <v>234</v>
      </c>
      <c r="CP678" s="103">
        <f t="shared" si="271"/>
        <v>4</v>
      </c>
      <c r="CQ678" s="280">
        <f t="shared" si="272"/>
        <v>116</v>
      </c>
      <c r="CR678" s="63">
        <f t="shared" si="273"/>
        <v>2</v>
      </c>
      <c r="CS678" s="279">
        <v>26</v>
      </c>
      <c r="CT678" s="52">
        <v>58</v>
      </c>
      <c r="CU678" s="552">
        <v>26</v>
      </c>
      <c r="CV678" s="551">
        <v>89</v>
      </c>
      <c r="CW678" s="279">
        <v>30</v>
      </c>
      <c r="CX678" s="52">
        <v>11</v>
      </c>
      <c r="CY678" s="552">
        <v>30</v>
      </c>
      <c r="CZ678" s="551">
        <v>17</v>
      </c>
      <c r="DA678" s="279">
        <v>42</v>
      </c>
      <c r="DB678" s="52">
        <v>9</v>
      </c>
      <c r="DC678" s="552">
        <v>42</v>
      </c>
      <c r="DD678" s="551">
        <v>9</v>
      </c>
      <c r="DE678" s="279">
        <v>14</v>
      </c>
      <c r="DF678" s="52">
        <v>4</v>
      </c>
      <c r="DG678" s="552">
        <v>14</v>
      </c>
      <c r="DH678" s="551">
        <v>5</v>
      </c>
      <c r="DI678" s="279"/>
      <c r="DJ678" s="52"/>
      <c r="DK678" s="105"/>
      <c r="DL678" s="98"/>
      <c r="DM678" s="279"/>
      <c r="DN678" s="52"/>
      <c r="DO678" s="105"/>
      <c r="DP678" s="98"/>
      <c r="DQ678" s="279"/>
      <c r="DR678" s="52"/>
      <c r="DS678" s="105"/>
      <c r="DT678" s="98"/>
      <c r="DU678" s="279"/>
      <c r="DV678" s="52"/>
      <c r="DW678" s="105"/>
      <c r="DX678" s="98"/>
      <c r="DY678" s="279"/>
      <c r="DZ678" s="52"/>
      <c r="EA678" s="105"/>
      <c r="EB678" s="98"/>
      <c r="EC678" s="279"/>
      <c r="ED678" s="52"/>
      <c r="EE678" s="105"/>
      <c r="EF678" s="98"/>
      <c r="EG678" s="159"/>
      <c r="EH678" s="277"/>
      <c r="EI678" s="50">
        <f t="shared" si="274"/>
        <v>82</v>
      </c>
      <c r="EJ678" s="103">
        <f t="shared" si="275"/>
        <v>4</v>
      </c>
      <c r="EK678" s="164">
        <f t="shared" si="276"/>
        <v>0.70731707317073167</v>
      </c>
      <c r="EL678" s="280">
        <f t="shared" si="277"/>
        <v>120</v>
      </c>
      <c r="EM678" s="63">
        <f t="shared" si="278"/>
        <v>4</v>
      </c>
      <c r="EN678" s="359">
        <f t="shared" si="279"/>
        <v>0.7416666666666667</v>
      </c>
      <c r="EO678" s="51">
        <f t="shared" si="280"/>
        <v>316</v>
      </c>
      <c r="EP678" s="361">
        <f t="shared" si="281"/>
        <v>236</v>
      </c>
      <c r="EQ678" s="281"/>
      <c r="ER678" s="277"/>
      <c r="ES678" s="281">
        <v>219</v>
      </c>
      <c r="ET678" s="277">
        <v>233</v>
      </c>
      <c r="EU678" s="281"/>
      <c r="EV678" s="277"/>
      <c r="EW678" s="281"/>
      <c r="EX678" s="277"/>
      <c r="EY678" s="281"/>
      <c r="EZ678" s="277"/>
      <c r="FA678" s="281"/>
      <c r="FB678" s="277"/>
      <c r="FC678" s="281"/>
      <c r="FD678" s="277"/>
      <c r="FE678" s="281"/>
      <c r="FF678" s="277"/>
      <c r="FG678" s="281"/>
      <c r="FH678" s="277"/>
      <c r="FI678" s="281"/>
      <c r="FJ678" s="277"/>
      <c r="FK678" s="50">
        <f t="shared" si="282"/>
        <v>219</v>
      </c>
      <c r="FL678" s="63">
        <f t="shared" si="283"/>
        <v>233</v>
      </c>
      <c r="FM678" s="50">
        <f t="shared" si="265"/>
        <v>581</v>
      </c>
      <c r="FN678" s="360">
        <f t="shared" si="266"/>
        <v>512</v>
      </c>
      <c r="FO678" s="43"/>
      <c r="FP678" s="279"/>
      <c r="FQ678" s="52"/>
      <c r="FR678" s="296"/>
      <c r="FS678" s="98"/>
      <c r="FT678" s="467"/>
      <c r="FU678" s="52"/>
      <c r="FV678" s="296"/>
      <c r="FW678" s="98"/>
      <c r="FX678" s="467"/>
      <c r="FY678" s="52"/>
      <c r="FZ678" s="296"/>
      <c r="GA678" s="98"/>
      <c r="GB678" s="467"/>
      <c r="GC678" s="52"/>
      <c r="GD678" s="296"/>
      <c r="GE678" s="98"/>
      <c r="GF678" s="467"/>
      <c r="GG678" s="52"/>
      <c r="GH678" s="296"/>
      <c r="GI678" s="98"/>
      <c r="GJ678" s="467"/>
      <c r="GK678" s="52"/>
      <c r="GL678" s="296"/>
      <c r="GM678" s="464"/>
      <c r="GN678" s="467"/>
      <c r="GO678" s="52"/>
      <c r="GP678" s="296"/>
      <c r="GQ678" s="464"/>
      <c r="GR678" s="467"/>
      <c r="GS678" s="52"/>
      <c r="GT678" s="296"/>
      <c r="GU678" s="464"/>
      <c r="GV678" s="467"/>
      <c r="GW678" s="52"/>
      <c r="GX678" s="296"/>
      <c r="GY678" s="464"/>
      <c r="GZ678" s="467"/>
      <c r="HA678" s="52"/>
      <c r="HB678" s="296"/>
      <c r="HC678" s="43"/>
    </row>
    <row r="679" spans="1:211" s="3" customFormat="1">
      <c r="A679" s="330" t="s">
        <v>347</v>
      </c>
      <c r="B679" s="331" t="s">
        <v>1269</v>
      </c>
      <c r="C679" s="330">
        <v>232186</v>
      </c>
      <c r="D679" s="344">
        <v>1</v>
      </c>
      <c r="E679" s="158"/>
      <c r="F679" s="277"/>
      <c r="G679" s="158"/>
      <c r="H679" s="277"/>
      <c r="I679" s="158"/>
      <c r="J679" s="666">
        <v>0</v>
      </c>
      <c r="K679" s="160">
        <f t="shared" ref="K679:K739" si="284">IF(M679&gt;0,I679/M679, )</f>
        <v>0</v>
      </c>
      <c r="L679" s="161">
        <f t="shared" si="260"/>
        <v>0</v>
      </c>
      <c r="M679" s="54">
        <v>3809</v>
      </c>
      <c r="N679" s="55"/>
      <c r="O679" s="55"/>
      <c r="P679" s="55"/>
      <c r="Q679" s="162">
        <f t="shared" ref="Q679:Q717" si="285">SUM(N679:P679)</f>
        <v>0</v>
      </c>
      <c r="R679" s="666">
        <v>4009</v>
      </c>
      <c r="S679" s="277"/>
      <c r="T679" s="277"/>
      <c r="U679" s="277">
        <v>38</v>
      </c>
      <c r="V679" s="97">
        <f t="shared" ref="V679:V739" si="286">SUM(S679:U679)</f>
        <v>38</v>
      </c>
      <c r="W679" s="279"/>
      <c r="X679" s="52"/>
      <c r="Y679" s="99"/>
      <c r="Z679" s="53"/>
      <c r="AA679" s="228"/>
      <c r="AB679" s="52"/>
      <c r="AC679" s="99"/>
      <c r="AD679" s="53"/>
      <c r="AE679" s="228"/>
      <c r="AF679" s="52"/>
      <c r="AG679" s="99"/>
      <c r="AH679" s="53"/>
      <c r="AI679" s="228"/>
      <c r="AJ679" s="52"/>
      <c r="AK679" s="99"/>
      <c r="AL679" s="53"/>
      <c r="AM679" s="228"/>
      <c r="AN679" s="52"/>
      <c r="AO679" s="99"/>
      <c r="AP679" s="53"/>
      <c r="AQ679" s="50">
        <f t="shared" si="261"/>
        <v>0</v>
      </c>
      <c r="AR679" s="163">
        <f t="shared" si="262"/>
        <v>0.56014705882352944</v>
      </c>
      <c r="AS679" s="97">
        <f t="shared" si="263"/>
        <v>0</v>
      </c>
      <c r="AT679" s="278">
        <f t="shared" si="264"/>
        <v>0.56986496090973704</v>
      </c>
      <c r="AU679" s="55">
        <v>316</v>
      </c>
      <c r="AV679" s="666">
        <v>366</v>
      </c>
      <c r="AW679" s="279">
        <v>13</v>
      </c>
      <c r="AX679" s="52">
        <v>763</v>
      </c>
      <c r="AY679" s="666">
        <v>13</v>
      </c>
      <c r="AZ679" s="666">
        <v>762</v>
      </c>
      <c r="BA679" s="279">
        <v>30</v>
      </c>
      <c r="BB679" s="52">
        <v>265</v>
      </c>
      <c r="BC679" s="666">
        <v>30</v>
      </c>
      <c r="BD679" s="666">
        <v>263</v>
      </c>
      <c r="BE679" s="279">
        <v>44</v>
      </c>
      <c r="BF679" s="52">
        <v>241</v>
      </c>
      <c r="BG679" s="666">
        <v>44</v>
      </c>
      <c r="BH679" s="666">
        <v>252</v>
      </c>
      <c r="BI679" s="279">
        <v>45</v>
      </c>
      <c r="BJ679" s="52">
        <v>195</v>
      </c>
      <c r="BK679" s="666">
        <v>45</v>
      </c>
      <c r="BL679" s="666">
        <v>189</v>
      </c>
      <c r="BM679" s="279">
        <v>52</v>
      </c>
      <c r="BN679" s="52">
        <v>189</v>
      </c>
      <c r="BO679" s="666">
        <v>52</v>
      </c>
      <c r="BP679" s="666">
        <v>168</v>
      </c>
      <c r="BQ679" s="279">
        <v>14</v>
      </c>
      <c r="BR679" s="52">
        <v>162</v>
      </c>
      <c r="BS679" s="666">
        <v>14</v>
      </c>
      <c r="BT679" s="666">
        <v>159</v>
      </c>
      <c r="BU679" s="279">
        <v>11</v>
      </c>
      <c r="BV679" s="52">
        <v>158</v>
      </c>
      <c r="BW679" s="666">
        <v>11</v>
      </c>
      <c r="BX679" s="666">
        <v>155</v>
      </c>
      <c r="BY679" s="279">
        <v>51</v>
      </c>
      <c r="BZ679" s="52">
        <v>108</v>
      </c>
      <c r="CA679" s="666">
        <v>9</v>
      </c>
      <c r="CB679" s="666">
        <v>118</v>
      </c>
      <c r="CC679" s="279">
        <v>9</v>
      </c>
      <c r="CD679" s="52">
        <v>100</v>
      </c>
      <c r="CE679" s="666">
        <v>51</v>
      </c>
      <c r="CF679" s="666">
        <v>105</v>
      </c>
      <c r="CG679" s="279">
        <v>23</v>
      </c>
      <c r="CH679" s="52">
        <v>91</v>
      </c>
      <c r="CI679" s="666">
        <v>50</v>
      </c>
      <c r="CJ679" s="666">
        <v>67</v>
      </c>
      <c r="CK679" s="281"/>
      <c r="CL679" s="277"/>
      <c r="CM679" s="159"/>
      <c r="CN679" s="666">
        <v>0</v>
      </c>
      <c r="CO679" s="50">
        <f t="shared" ref="CO679:CO739" si="287">AX679+BB679+BF679+BJ679+BN679+BR679+BV679+BZ679+CD679+CH679+CK679+CM679</f>
        <v>2272</v>
      </c>
      <c r="CP679" s="103">
        <f t="shared" ref="CP679:CP739" si="288">COUNTA(AW679,BA679,BE679,BI679,BM679,BQ679,BU679,BY679,CC679,CG679)</f>
        <v>10</v>
      </c>
      <c r="CQ679" s="280">
        <f t="shared" ref="CQ679:CQ739" si="289">AZ679+BD679+BH679+BL679+BP679+BT679+BX679+CB679+CF679+CJ679+CL679+CN679</f>
        <v>2238</v>
      </c>
      <c r="CR679" s="63">
        <f t="shared" ref="CR679:CR739" si="290">COUNTA(AY679,BC679,BG679,BK679,BO679,BS679,BW679,CA679,CE679,CI679)</f>
        <v>10</v>
      </c>
      <c r="CS679" s="279">
        <v>13</v>
      </c>
      <c r="CT679" s="52">
        <v>37</v>
      </c>
      <c r="CU679" s="666">
        <v>13</v>
      </c>
      <c r="CV679" s="666">
        <v>35</v>
      </c>
      <c r="CW679" s="279">
        <v>26</v>
      </c>
      <c r="CX679" s="52">
        <v>30</v>
      </c>
      <c r="CY679" s="666">
        <v>30</v>
      </c>
      <c r="CZ679" s="666">
        <v>33</v>
      </c>
      <c r="DA679" s="279">
        <v>30</v>
      </c>
      <c r="DB679" s="52">
        <v>27</v>
      </c>
      <c r="DC679" s="105">
        <v>42</v>
      </c>
      <c r="DD679" s="98">
        <v>24</v>
      </c>
      <c r="DE679" s="279">
        <v>14</v>
      </c>
      <c r="DF679" s="52">
        <v>26</v>
      </c>
      <c r="DG679" s="105">
        <v>14</v>
      </c>
      <c r="DH679" s="98">
        <v>21</v>
      </c>
      <c r="DI679" s="279">
        <v>45</v>
      </c>
      <c r="DJ679" s="52">
        <v>18</v>
      </c>
      <c r="DK679" s="105">
        <v>45</v>
      </c>
      <c r="DL679" s="98">
        <v>21</v>
      </c>
      <c r="DM679" s="279">
        <v>42</v>
      </c>
      <c r="DN679" s="52">
        <v>15</v>
      </c>
      <c r="DO679" s="105">
        <v>44</v>
      </c>
      <c r="DP679" s="98">
        <v>18</v>
      </c>
      <c r="DQ679" s="279">
        <v>44</v>
      </c>
      <c r="DR679" s="52">
        <v>13</v>
      </c>
      <c r="DS679" s="105">
        <v>26</v>
      </c>
      <c r="DT679" s="98">
        <v>18</v>
      </c>
      <c r="DU679" s="279">
        <v>51</v>
      </c>
      <c r="DV679" s="52">
        <v>13</v>
      </c>
      <c r="DW679" s="105">
        <v>40</v>
      </c>
      <c r="DX679" s="98">
        <v>10</v>
      </c>
      <c r="DY679" s="279">
        <v>40</v>
      </c>
      <c r="DZ679" s="52">
        <v>5</v>
      </c>
      <c r="EA679" s="105">
        <v>51</v>
      </c>
      <c r="EB679" s="98">
        <v>8</v>
      </c>
      <c r="EC679" s="279">
        <v>11</v>
      </c>
      <c r="ED679" s="52">
        <v>3</v>
      </c>
      <c r="EE679" s="105">
        <v>11</v>
      </c>
      <c r="EF679" s="98">
        <v>6</v>
      </c>
      <c r="EG679" s="159"/>
      <c r="EH679" s="277"/>
      <c r="EI679" s="50">
        <f t="shared" ref="EI679:EI739" si="291">CT679+CX679+DB679+DF679+DJ679+DN679+DR679+DV679+DZ679+ED679+EG679</f>
        <v>187</v>
      </c>
      <c r="EJ679" s="103">
        <f t="shared" ref="EJ679:EJ739" si="292">COUNTA(CS679,CW679,DA679,DE679,DI679,DM679,DQ679,DU679,DY679,EC679)</f>
        <v>10</v>
      </c>
      <c r="EK679" s="164">
        <f t="shared" ref="EK679:EK739" si="293">IF(EI679&gt;0,CT679/EI679,)</f>
        <v>0.19786096256684493</v>
      </c>
      <c r="EL679" s="280">
        <f t="shared" ref="EL679:EL739" si="294">CV679+CZ679+DD679+DH679+DL679+DP679+DT679+DX679+EB679+EF679+EH679</f>
        <v>194</v>
      </c>
      <c r="EM679" s="63">
        <f t="shared" ref="EM679:EM739" si="295">COUNTA(CU679,CY679,DC679,DG679,DK679,DO679,DS679,DW679,EA679,EE679)</f>
        <v>10</v>
      </c>
      <c r="EN679" s="359">
        <f t="shared" ref="EN679:EN739" si="296">IF(EL679&gt;0,CV679/EL679,)</f>
        <v>0.18041237113402062</v>
      </c>
      <c r="EO679" s="51">
        <f t="shared" ref="EO679:EO739" si="297">CO679+EI679</f>
        <v>2459</v>
      </c>
      <c r="EP679" s="361">
        <f t="shared" ref="EP679:EP739" si="298">CQ679+EL679</f>
        <v>2432</v>
      </c>
      <c r="EQ679" s="281">
        <v>216</v>
      </c>
      <c r="ER679" s="277">
        <v>228</v>
      </c>
      <c r="ES679" s="281"/>
      <c r="ET679" s="277"/>
      <c r="EU679" s="281"/>
      <c r="EV679" s="277"/>
      <c r="EW679" s="281"/>
      <c r="EX679" s="277"/>
      <c r="EY679" s="281"/>
      <c r="EZ679" s="277"/>
      <c r="FA679" s="281"/>
      <c r="FB679" s="277"/>
      <c r="FC679" s="281"/>
      <c r="FD679" s="277"/>
      <c r="FE679" s="281"/>
      <c r="FF679" s="277"/>
      <c r="FG679" s="281"/>
      <c r="FH679" s="277"/>
      <c r="FI679" s="281"/>
      <c r="FJ679" s="277"/>
      <c r="FK679" s="50">
        <f t="shared" ref="FK679:FK739" si="299">EQ679+ES679+EU679+EW679+EY679+FA679+FC679+FE679+FG679+FI679</f>
        <v>216</v>
      </c>
      <c r="FL679" s="63">
        <f t="shared" si="283"/>
        <v>228</v>
      </c>
      <c r="FM679" s="50">
        <f t="shared" si="265"/>
        <v>6800</v>
      </c>
      <c r="FN679" s="360">
        <f t="shared" si="266"/>
        <v>7035</v>
      </c>
      <c r="FP679" s="279"/>
      <c r="FQ679" s="52"/>
      <c r="FR679" s="296"/>
      <c r="FS679" s="98"/>
      <c r="FT679" s="467"/>
      <c r="FU679" s="52"/>
      <c r="FV679" s="296"/>
      <c r="FW679" s="98"/>
      <c r="FX679" s="467"/>
      <c r="FY679" s="52"/>
      <c r="FZ679" s="296"/>
      <c r="GA679" s="98"/>
      <c r="GB679" s="467"/>
      <c r="GC679" s="52"/>
      <c r="GD679" s="296"/>
      <c r="GE679" s="98"/>
      <c r="GF679" s="467"/>
      <c r="GG679" s="52"/>
      <c r="GH679" s="296"/>
      <c r="GI679" s="98"/>
      <c r="GJ679" s="467"/>
      <c r="GK679" s="52"/>
      <c r="GL679" s="296"/>
      <c r="GM679" s="464"/>
      <c r="GN679" s="467"/>
      <c r="GO679" s="52"/>
      <c r="GP679" s="296"/>
      <c r="GQ679" s="464"/>
      <c r="GR679" s="467"/>
      <c r="GS679" s="52"/>
      <c r="GT679" s="296"/>
      <c r="GU679" s="464"/>
      <c r="GV679" s="467"/>
      <c r="GW679" s="52"/>
      <c r="GX679" s="296"/>
      <c r="GY679" s="464"/>
      <c r="GZ679" s="467"/>
      <c r="HA679" s="52"/>
      <c r="HB679" s="296"/>
      <c r="HC679" s="43"/>
    </row>
    <row r="680" spans="1:211" s="3" customFormat="1">
      <c r="A680" s="330" t="s">
        <v>347</v>
      </c>
      <c r="B680" s="668" t="s">
        <v>1273</v>
      </c>
      <c r="C680" s="669">
        <v>232982</v>
      </c>
      <c r="D680" s="670">
        <v>1</v>
      </c>
      <c r="E680" s="158"/>
      <c r="F680" s="277"/>
      <c r="G680" s="158"/>
      <c r="H680" s="277"/>
      <c r="I680" s="158"/>
      <c r="J680" s="666">
        <v>0</v>
      </c>
      <c r="K680" s="160">
        <f t="shared" si="284"/>
        <v>0</v>
      </c>
      <c r="L680" s="161">
        <f t="shared" si="260"/>
        <v>0</v>
      </c>
      <c r="M680" s="54">
        <v>2858</v>
      </c>
      <c r="N680" s="55"/>
      <c r="O680" s="55"/>
      <c r="P680" s="55"/>
      <c r="Q680" s="162">
        <f t="shared" si="285"/>
        <v>0</v>
      </c>
      <c r="R680" s="666">
        <v>2955</v>
      </c>
      <c r="S680" s="277"/>
      <c r="T680" s="277"/>
      <c r="U680" s="277">
        <v>184</v>
      </c>
      <c r="V680" s="97">
        <f t="shared" si="286"/>
        <v>184</v>
      </c>
      <c r="W680" s="279"/>
      <c r="X680" s="52"/>
      <c r="Y680" s="99"/>
      <c r="Z680" s="53"/>
      <c r="AA680" s="228"/>
      <c r="AB680" s="52"/>
      <c r="AC680" s="99"/>
      <c r="AD680" s="53"/>
      <c r="AE680" s="228"/>
      <c r="AF680" s="52"/>
      <c r="AG680" s="99"/>
      <c r="AH680" s="53"/>
      <c r="AI680" s="228"/>
      <c r="AJ680" s="52"/>
      <c r="AK680" s="99"/>
      <c r="AL680" s="53"/>
      <c r="AM680" s="228"/>
      <c r="AN680" s="52"/>
      <c r="AO680" s="99"/>
      <c r="AP680" s="53"/>
      <c r="AQ680" s="50">
        <f t="shared" si="261"/>
        <v>0</v>
      </c>
      <c r="AR680" s="163">
        <f t="shared" si="262"/>
        <v>0.67693036475603974</v>
      </c>
      <c r="AS680" s="97">
        <f t="shared" si="263"/>
        <v>0</v>
      </c>
      <c r="AT680" s="278">
        <f t="shared" si="264"/>
        <v>0.67962281508739653</v>
      </c>
      <c r="AU680" s="55"/>
      <c r="AV680" s="666">
        <v>0</v>
      </c>
      <c r="AW680" s="279">
        <v>13</v>
      </c>
      <c r="AX680" s="52">
        <v>582</v>
      </c>
      <c r="AY680" s="666">
        <v>13</v>
      </c>
      <c r="AZ680" s="666">
        <v>586</v>
      </c>
      <c r="BA680" s="279">
        <v>14</v>
      </c>
      <c r="BB680" s="52">
        <v>253</v>
      </c>
      <c r="BC680" s="666">
        <v>14</v>
      </c>
      <c r="BD680" s="666">
        <v>243</v>
      </c>
      <c r="BE680" s="279">
        <v>51</v>
      </c>
      <c r="BF680" s="52">
        <v>123</v>
      </c>
      <c r="BG680" s="666">
        <v>51</v>
      </c>
      <c r="BH680" s="666">
        <v>128</v>
      </c>
      <c r="BI680" s="279">
        <v>52</v>
      </c>
      <c r="BJ680" s="52">
        <v>106</v>
      </c>
      <c r="BK680" s="666">
        <v>52</v>
      </c>
      <c r="BL680" s="666">
        <v>102</v>
      </c>
      <c r="BM680" s="279">
        <v>23</v>
      </c>
      <c r="BN680" s="52">
        <v>45</v>
      </c>
      <c r="BO680" s="666">
        <v>44</v>
      </c>
      <c r="BP680" s="666">
        <v>44</v>
      </c>
      <c r="BQ680" s="279">
        <v>45</v>
      </c>
      <c r="BR680" s="52">
        <v>38</v>
      </c>
      <c r="BS680" s="666">
        <v>11</v>
      </c>
      <c r="BT680" s="666">
        <v>42</v>
      </c>
      <c r="BU680" s="279">
        <v>44</v>
      </c>
      <c r="BV680" s="52">
        <v>37</v>
      </c>
      <c r="BW680" s="666">
        <v>23</v>
      </c>
      <c r="BX680" s="666">
        <v>41</v>
      </c>
      <c r="BY680" s="279">
        <v>11</v>
      </c>
      <c r="BZ680" s="52">
        <v>30</v>
      </c>
      <c r="CA680" s="666">
        <v>45</v>
      </c>
      <c r="CB680" s="666">
        <v>34</v>
      </c>
      <c r="CC680" s="279">
        <v>40</v>
      </c>
      <c r="CD680" s="52">
        <v>26</v>
      </c>
      <c r="CE680" s="666">
        <v>40</v>
      </c>
      <c r="CF680" s="666">
        <v>16</v>
      </c>
      <c r="CG680" s="279">
        <v>26</v>
      </c>
      <c r="CH680" s="52">
        <v>20</v>
      </c>
      <c r="CI680" s="666">
        <v>54</v>
      </c>
      <c r="CJ680" s="666">
        <v>15</v>
      </c>
      <c r="CK680" s="281"/>
      <c r="CL680" s="277"/>
      <c r="CM680" s="159"/>
      <c r="CN680" s="666">
        <v>22</v>
      </c>
      <c r="CO680" s="50">
        <f t="shared" si="287"/>
        <v>1260</v>
      </c>
      <c r="CP680" s="103">
        <f t="shared" si="288"/>
        <v>10</v>
      </c>
      <c r="CQ680" s="280">
        <f t="shared" si="289"/>
        <v>1273</v>
      </c>
      <c r="CR680" s="63">
        <f t="shared" si="290"/>
        <v>10</v>
      </c>
      <c r="CS680" s="279">
        <v>51</v>
      </c>
      <c r="CT680" s="52">
        <v>31</v>
      </c>
      <c r="CU680" s="666">
        <v>51</v>
      </c>
      <c r="CV680" s="666">
        <v>39</v>
      </c>
      <c r="CW680" s="279">
        <v>14</v>
      </c>
      <c r="CX680" s="52">
        <v>21</v>
      </c>
      <c r="CY680" s="666">
        <v>13</v>
      </c>
      <c r="CZ680" s="666">
        <v>25</v>
      </c>
      <c r="DA680" s="279">
        <v>45</v>
      </c>
      <c r="DB680" s="52">
        <v>11</v>
      </c>
      <c r="DC680" s="105">
        <v>14</v>
      </c>
      <c r="DD680" s="98">
        <v>18</v>
      </c>
      <c r="DE680" s="279">
        <v>52</v>
      </c>
      <c r="DF680" s="52">
        <v>10</v>
      </c>
      <c r="DG680" s="105">
        <v>45</v>
      </c>
      <c r="DH680" s="98">
        <v>9</v>
      </c>
      <c r="DI680" s="279">
        <v>42</v>
      </c>
      <c r="DJ680" s="52">
        <v>9</v>
      </c>
      <c r="DK680" s="105">
        <v>40</v>
      </c>
      <c r="DL680" s="98">
        <v>6</v>
      </c>
      <c r="DM680" s="279">
        <v>13</v>
      </c>
      <c r="DN680" s="52">
        <v>6</v>
      </c>
      <c r="DO680" s="105">
        <v>52</v>
      </c>
      <c r="DP680" s="98">
        <v>6</v>
      </c>
      <c r="DQ680" s="279">
        <v>26</v>
      </c>
      <c r="DR680" s="52">
        <v>5</v>
      </c>
      <c r="DS680" s="105">
        <v>42</v>
      </c>
      <c r="DT680" s="98">
        <v>5</v>
      </c>
      <c r="DU680" s="279">
        <v>40</v>
      </c>
      <c r="DV680" s="52">
        <v>5</v>
      </c>
      <c r="DW680" s="105">
        <v>26</v>
      </c>
      <c r="DX680" s="98">
        <v>4</v>
      </c>
      <c r="DY680" s="279">
        <v>27</v>
      </c>
      <c r="DZ680" s="52">
        <v>4</v>
      </c>
      <c r="EA680" s="105">
        <v>11</v>
      </c>
      <c r="EB680" s="98">
        <v>4</v>
      </c>
      <c r="EC680" s="279">
        <v>11</v>
      </c>
      <c r="ED680" s="52">
        <v>2</v>
      </c>
      <c r="EE680" s="105">
        <v>44</v>
      </c>
      <c r="EF680" s="98">
        <v>4</v>
      </c>
      <c r="EG680" s="159"/>
      <c r="EH680" s="277"/>
      <c r="EI680" s="50">
        <f t="shared" si="291"/>
        <v>104</v>
      </c>
      <c r="EJ680" s="103">
        <f t="shared" si="292"/>
        <v>10</v>
      </c>
      <c r="EK680" s="164">
        <f t="shared" si="293"/>
        <v>0.29807692307692307</v>
      </c>
      <c r="EL680" s="280">
        <f t="shared" si="294"/>
        <v>120</v>
      </c>
      <c r="EM680" s="63">
        <f t="shared" si="295"/>
        <v>10</v>
      </c>
      <c r="EN680" s="359">
        <f t="shared" si="296"/>
        <v>0.32500000000000001</v>
      </c>
      <c r="EO680" s="51">
        <f t="shared" si="297"/>
        <v>1364</v>
      </c>
      <c r="EP680" s="361">
        <f t="shared" si="298"/>
        <v>1393</v>
      </c>
      <c r="EQ680" s="281"/>
      <c r="ER680" s="277"/>
      <c r="ES680" s="281"/>
      <c r="ET680" s="277"/>
      <c r="EU680" s="281"/>
      <c r="EV680" s="277"/>
      <c r="EW680" s="281"/>
      <c r="EX680" s="277"/>
      <c r="EY680" s="281"/>
      <c r="EZ680" s="277"/>
      <c r="FA680" s="281"/>
      <c r="FB680" s="277"/>
      <c r="FC680" s="281"/>
      <c r="FD680" s="277"/>
      <c r="FE680" s="281"/>
      <c r="FF680" s="277"/>
      <c r="FG680" s="281"/>
      <c r="FH680" s="277"/>
      <c r="FI680" s="281"/>
      <c r="FJ680" s="277"/>
      <c r="FK680" s="50">
        <f t="shared" si="299"/>
        <v>0</v>
      </c>
      <c r="FL680" s="63">
        <f t="shared" si="283"/>
        <v>0</v>
      </c>
      <c r="FM680" s="50">
        <f t="shared" si="265"/>
        <v>4222</v>
      </c>
      <c r="FN680" s="360">
        <f t="shared" si="266"/>
        <v>4348</v>
      </c>
      <c r="FP680" s="279"/>
      <c r="FQ680" s="52"/>
      <c r="FR680" s="296"/>
      <c r="FS680" s="98"/>
      <c r="FT680" s="467"/>
      <c r="FU680" s="52"/>
      <c r="FV680" s="296"/>
      <c r="FW680" s="98"/>
      <c r="FX680" s="467"/>
      <c r="FY680" s="52"/>
      <c r="FZ680" s="296"/>
      <c r="GA680" s="98"/>
      <c r="GB680" s="467"/>
      <c r="GC680" s="52"/>
      <c r="GD680" s="296"/>
      <c r="GE680" s="98"/>
      <c r="GF680" s="467"/>
      <c r="GG680" s="52"/>
      <c r="GH680" s="296"/>
      <c r="GI680" s="98"/>
      <c r="GJ680" s="467"/>
      <c r="GK680" s="52"/>
      <c r="GL680" s="296"/>
      <c r="GM680" s="464"/>
      <c r="GN680" s="467"/>
      <c r="GO680" s="52"/>
      <c r="GP680" s="296"/>
      <c r="GQ680" s="464"/>
      <c r="GR680" s="467"/>
      <c r="GS680" s="52"/>
      <c r="GT680" s="296"/>
      <c r="GU680" s="464"/>
      <c r="GV680" s="467"/>
      <c r="GW680" s="52"/>
      <c r="GX680" s="296"/>
      <c r="GY680" s="464"/>
      <c r="GZ680" s="467"/>
      <c r="HA680" s="52"/>
      <c r="HB680" s="296"/>
      <c r="HC680" s="43"/>
    </row>
    <row r="681" spans="1:211" s="3" customFormat="1">
      <c r="A681" s="330" t="s">
        <v>347</v>
      </c>
      <c r="B681" s="331" t="s">
        <v>1270</v>
      </c>
      <c r="C681" s="330">
        <v>234076</v>
      </c>
      <c r="D681" s="344">
        <v>1</v>
      </c>
      <c r="E681" s="158"/>
      <c r="F681" s="277"/>
      <c r="G681" s="158"/>
      <c r="H681" s="277"/>
      <c r="I681" s="158"/>
      <c r="J681" s="666">
        <v>0</v>
      </c>
      <c r="K681" s="160">
        <f t="shared" si="284"/>
        <v>0</v>
      </c>
      <c r="L681" s="161">
        <f t="shared" si="260"/>
        <v>0</v>
      </c>
      <c r="M681" s="54">
        <v>3526</v>
      </c>
      <c r="N681" s="55"/>
      <c r="O681" s="55"/>
      <c r="P681" s="55"/>
      <c r="Q681" s="162">
        <f t="shared" si="285"/>
        <v>0</v>
      </c>
      <c r="R681" s="666">
        <v>3560</v>
      </c>
      <c r="S681" s="277"/>
      <c r="T681" s="277"/>
      <c r="U681" s="277">
        <v>82</v>
      </c>
      <c r="V681" s="97">
        <f t="shared" si="286"/>
        <v>82</v>
      </c>
      <c r="W681" s="279"/>
      <c r="X681" s="52"/>
      <c r="Y681" s="99"/>
      <c r="Z681" s="53"/>
      <c r="AA681" s="228"/>
      <c r="AB681" s="52"/>
      <c r="AC681" s="99"/>
      <c r="AD681" s="53"/>
      <c r="AE681" s="228"/>
      <c r="AF681" s="52"/>
      <c r="AG681" s="99"/>
      <c r="AH681" s="53"/>
      <c r="AI681" s="228"/>
      <c r="AJ681" s="52"/>
      <c r="AK681" s="99"/>
      <c r="AL681" s="53"/>
      <c r="AM681" s="228"/>
      <c r="AN681" s="52"/>
      <c r="AO681" s="99"/>
      <c r="AP681" s="53"/>
      <c r="AQ681" s="50">
        <f t="shared" si="261"/>
        <v>0</v>
      </c>
      <c r="AR681" s="163">
        <f t="shared" si="262"/>
        <v>0.57529776472507754</v>
      </c>
      <c r="AS681" s="97">
        <f t="shared" si="263"/>
        <v>0</v>
      </c>
      <c r="AT681" s="278">
        <f t="shared" si="264"/>
        <v>0.58427703922534058</v>
      </c>
      <c r="AU681" s="55"/>
      <c r="AV681" s="666">
        <v>0</v>
      </c>
      <c r="AW681" s="279">
        <v>52</v>
      </c>
      <c r="AX681" s="52">
        <v>581</v>
      </c>
      <c r="AY681" s="666">
        <v>52</v>
      </c>
      <c r="AZ681" s="666">
        <v>553</v>
      </c>
      <c r="BA681" s="279">
        <v>13</v>
      </c>
      <c r="BB681" s="52">
        <v>536</v>
      </c>
      <c r="BC681" s="666">
        <v>13</v>
      </c>
      <c r="BD681" s="666">
        <v>469</v>
      </c>
      <c r="BE681" s="279">
        <v>14</v>
      </c>
      <c r="BF681" s="52">
        <v>165</v>
      </c>
      <c r="BG681" s="666">
        <v>14</v>
      </c>
      <c r="BH681" s="666">
        <v>138</v>
      </c>
      <c r="BI681" s="279">
        <v>51</v>
      </c>
      <c r="BJ681" s="52">
        <v>106</v>
      </c>
      <c r="BK681" s="666">
        <v>51</v>
      </c>
      <c r="BL681" s="666">
        <v>137</v>
      </c>
      <c r="BM681" s="279">
        <v>42</v>
      </c>
      <c r="BN681" s="52">
        <v>79</v>
      </c>
      <c r="BO681" s="666">
        <v>4</v>
      </c>
      <c r="BP681" s="666">
        <v>78</v>
      </c>
      <c r="BQ681" s="279">
        <v>4</v>
      </c>
      <c r="BR681" s="52">
        <v>75</v>
      </c>
      <c r="BS681" s="666">
        <v>42</v>
      </c>
      <c r="BT681" s="666">
        <v>64</v>
      </c>
      <c r="BU681" s="279">
        <v>45</v>
      </c>
      <c r="BV681" s="52">
        <v>53</v>
      </c>
      <c r="BW681" s="666">
        <v>45</v>
      </c>
      <c r="BX681" s="666">
        <v>46</v>
      </c>
      <c r="BY681" s="279">
        <v>27</v>
      </c>
      <c r="BZ681" s="52">
        <v>44</v>
      </c>
      <c r="CA681" s="666">
        <v>23</v>
      </c>
      <c r="CB681" s="666">
        <v>44</v>
      </c>
      <c r="CC681" s="279">
        <v>23</v>
      </c>
      <c r="CD681" s="52">
        <v>39</v>
      </c>
      <c r="CE681" s="666">
        <v>16</v>
      </c>
      <c r="CF681" s="666">
        <v>40</v>
      </c>
      <c r="CG681" s="279">
        <v>22</v>
      </c>
      <c r="CH681" s="52">
        <v>38</v>
      </c>
      <c r="CI681" s="666">
        <v>31</v>
      </c>
      <c r="CJ681" s="666">
        <v>38</v>
      </c>
      <c r="CK681" s="281"/>
      <c r="CL681" s="277"/>
      <c r="CM681" s="159"/>
      <c r="CN681" s="666">
        <v>68</v>
      </c>
      <c r="CO681" s="50">
        <f t="shared" si="287"/>
        <v>1716</v>
      </c>
      <c r="CP681" s="103">
        <f t="shared" si="288"/>
        <v>10</v>
      </c>
      <c r="CQ681" s="280">
        <f t="shared" si="289"/>
        <v>1675</v>
      </c>
      <c r="CR681" s="63">
        <f t="shared" si="290"/>
        <v>10</v>
      </c>
      <c r="CS681" s="279">
        <v>14</v>
      </c>
      <c r="CT681" s="52">
        <v>77</v>
      </c>
      <c r="CU681" s="666">
        <v>13</v>
      </c>
      <c r="CV681" s="666">
        <v>71</v>
      </c>
      <c r="CW681" s="279">
        <v>13</v>
      </c>
      <c r="CX681" s="52">
        <v>69</v>
      </c>
      <c r="CY681" s="666">
        <v>14</v>
      </c>
      <c r="CZ681" s="666">
        <v>56</v>
      </c>
      <c r="DA681" s="279">
        <v>26</v>
      </c>
      <c r="DB681" s="52">
        <v>56</v>
      </c>
      <c r="DC681" s="105">
        <v>26</v>
      </c>
      <c r="DD681" s="98">
        <v>39</v>
      </c>
      <c r="DE681" s="279">
        <v>40</v>
      </c>
      <c r="DF681" s="52">
        <v>32</v>
      </c>
      <c r="DG681" s="105">
        <v>45</v>
      </c>
      <c r="DH681" s="98">
        <v>34</v>
      </c>
      <c r="DI681" s="279">
        <v>45</v>
      </c>
      <c r="DJ681" s="52">
        <v>30</v>
      </c>
      <c r="DK681" s="105">
        <v>40</v>
      </c>
      <c r="DL681" s="98">
        <v>26</v>
      </c>
      <c r="DM681" s="279">
        <v>23</v>
      </c>
      <c r="DN681" s="52">
        <v>27</v>
      </c>
      <c r="DO681" s="105">
        <v>42</v>
      </c>
      <c r="DP681" s="98">
        <v>25</v>
      </c>
      <c r="DQ681" s="279">
        <v>16</v>
      </c>
      <c r="DR681" s="52">
        <v>18</v>
      </c>
      <c r="DS681" s="105">
        <v>38</v>
      </c>
      <c r="DT681" s="98">
        <v>18</v>
      </c>
      <c r="DU681" s="279">
        <v>42</v>
      </c>
      <c r="DV681" s="52">
        <v>17</v>
      </c>
      <c r="DW681" s="105">
        <v>54</v>
      </c>
      <c r="DX681" s="98">
        <v>15</v>
      </c>
      <c r="DY681" s="279">
        <v>38</v>
      </c>
      <c r="DZ681" s="52">
        <v>15</v>
      </c>
      <c r="EA681" s="105">
        <v>23</v>
      </c>
      <c r="EB681" s="98">
        <v>14</v>
      </c>
      <c r="EC681" s="279">
        <v>54</v>
      </c>
      <c r="ED681" s="52">
        <v>14</v>
      </c>
      <c r="EE681" s="105">
        <v>16</v>
      </c>
      <c r="EF681" s="98">
        <v>13</v>
      </c>
      <c r="EG681" s="159"/>
      <c r="EH681" s="277"/>
      <c r="EI681" s="50">
        <f t="shared" si="291"/>
        <v>355</v>
      </c>
      <c r="EJ681" s="103">
        <f t="shared" si="292"/>
        <v>10</v>
      </c>
      <c r="EK681" s="164">
        <f t="shared" si="293"/>
        <v>0.21690140845070421</v>
      </c>
      <c r="EL681" s="280">
        <f t="shared" si="294"/>
        <v>311</v>
      </c>
      <c r="EM681" s="63">
        <f t="shared" si="295"/>
        <v>10</v>
      </c>
      <c r="EN681" s="359">
        <f t="shared" si="296"/>
        <v>0.22829581993569131</v>
      </c>
      <c r="EO681" s="51">
        <f t="shared" si="297"/>
        <v>2071</v>
      </c>
      <c r="EP681" s="361">
        <f t="shared" si="298"/>
        <v>1986</v>
      </c>
      <c r="EQ681" s="281">
        <v>402</v>
      </c>
      <c r="ER681" s="277">
        <v>405</v>
      </c>
      <c r="ES681" s="281">
        <v>130</v>
      </c>
      <c r="ET681" s="277">
        <v>142</v>
      </c>
      <c r="EU681" s="281"/>
      <c r="EV681" s="277"/>
      <c r="EW681" s="281"/>
      <c r="EX681" s="277"/>
      <c r="EY681" s="281"/>
      <c r="EZ681" s="277"/>
      <c r="FA681" s="281"/>
      <c r="FB681" s="277"/>
      <c r="FC681" s="281"/>
      <c r="FD681" s="277"/>
      <c r="FE681" s="281"/>
      <c r="FF681" s="277"/>
      <c r="FG681" s="281"/>
      <c r="FH681" s="277"/>
      <c r="FI681" s="281"/>
      <c r="FJ681" s="277"/>
      <c r="FK681" s="50">
        <f t="shared" si="299"/>
        <v>532</v>
      </c>
      <c r="FL681" s="63">
        <f t="shared" si="283"/>
        <v>547</v>
      </c>
      <c r="FM681" s="50">
        <f t="shared" si="265"/>
        <v>6129</v>
      </c>
      <c r="FN681" s="360">
        <f t="shared" si="266"/>
        <v>6093</v>
      </c>
      <c r="FP681" s="279"/>
      <c r="FQ681" s="52"/>
      <c r="FR681" s="296"/>
      <c r="FS681" s="98"/>
      <c r="FT681" s="467"/>
      <c r="FU681" s="52"/>
      <c r="FV681" s="296"/>
      <c r="FW681" s="98"/>
      <c r="FX681" s="467"/>
      <c r="FY681" s="52"/>
      <c r="FZ681" s="296"/>
      <c r="GA681" s="98"/>
      <c r="GB681" s="467"/>
      <c r="GC681" s="52"/>
      <c r="GD681" s="296"/>
      <c r="GE681" s="98"/>
      <c r="GF681" s="467"/>
      <c r="GG681" s="52"/>
      <c r="GH681" s="296"/>
      <c r="GI681" s="98"/>
      <c r="GJ681" s="467"/>
      <c r="GK681" s="52"/>
      <c r="GL681" s="296"/>
      <c r="GM681" s="464"/>
      <c r="GN681" s="467"/>
      <c r="GO681" s="52"/>
      <c r="GP681" s="296"/>
      <c r="GQ681" s="464"/>
      <c r="GR681" s="467"/>
      <c r="GS681" s="52"/>
      <c r="GT681" s="296"/>
      <c r="GU681" s="464"/>
      <c r="GV681" s="467"/>
      <c r="GW681" s="52"/>
      <c r="GX681" s="296"/>
      <c r="GY681" s="464"/>
      <c r="GZ681" s="467"/>
      <c r="HA681" s="52"/>
      <c r="HB681" s="296"/>
      <c r="HC681" s="43"/>
    </row>
    <row r="682" spans="1:211" s="3" customFormat="1">
      <c r="A682" s="330" t="s">
        <v>347</v>
      </c>
      <c r="B682" s="331" t="s">
        <v>1271</v>
      </c>
      <c r="C682" s="330">
        <v>233921</v>
      </c>
      <c r="D682" s="344">
        <v>1</v>
      </c>
      <c r="E682" s="158"/>
      <c r="F682" s="277"/>
      <c r="G682" s="158"/>
      <c r="H682" s="277"/>
      <c r="I682" s="158">
        <v>33</v>
      </c>
      <c r="J682" s="666">
        <v>51</v>
      </c>
      <c r="K682" s="160">
        <f t="shared" si="284"/>
        <v>6.5359477124183009E-3</v>
      </c>
      <c r="L682" s="161">
        <f t="shared" si="260"/>
        <v>9.6099491237987555E-3</v>
      </c>
      <c r="M682" s="54">
        <v>5049</v>
      </c>
      <c r="N682" s="55"/>
      <c r="O682" s="55"/>
      <c r="P682" s="55"/>
      <c r="Q682" s="162">
        <f t="shared" si="285"/>
        <v>0</v>
      </c>
      <c r="R682" s="666">
        <v>5307</v>
      </c>
      <c r="S682" s="277"/>
      <c r="T682" s="277"/>
      <c r="U682" s="277">
        <v>0</v>
      </c>
      <c r="V682" s="97">
        <f t="shared" si="286"/>
        <v>0</v>
      </c>
      <c r="W682" s="279"/>
      <c r="X682" s="52"/>
      <c r="Y682" s="99"/>
      <c r="Z682" s="53"/>
      <c r="AA682" s="228"/>
      <c r="AB682" s="52"/>
      <c r="AC682" s="99"/>
      <c r="AD682" s="53"/>
      <c r="AE682" s="228"/>
      <c r="AF682" s="52"/>
      <c r="AG682" s="99"/>
      <c r="AH682" s="53"/>
      <c r="AI682" s="228"/>
      <c r="AJ682" s="52"/>
      <c r="AK682" s="99"/>
      <c r="AL682" s="53"/>
      <c r="AM682" s="228"/>
      <c r="AN682" s="52"/>
      <c r="AO682" s="99"/>
      <c r="AP682" s="53"/>
      <c r="AQ682" s="50">
        <f t="shared" si="261"/>
        <v>0</v>
      </c>
      <c r="AR682" s="163">
        <f t="shared" si="262"/>
        <v>0.73482753602095763</v>
      </c>
      <c r="AS682" s="97">
        <f t="shared" si="263"/>
        <v>0</v>
      </c>
      <c r="AT682" s="278">
        <f t="shared" si="264"/>
        <v>0.74662352279122113</v>
      </c>
      <c r="AU682" s="55"/>
      <c r="AV682" s="666">
        <v>0</v>
      </c>
      <c r="AW682" s="279">
        <v>13</v>
      </c>
      <c r="AX682" s="52">
        <v>352</v>
      </c>
      <c r="AY682" s="666">
        <v>14</v>
      </c>
      <c r="AZ682" s="666">
        <v>329</v>
      </c>
      <c r="BA682" s="279">
        <v>14</v>
      </c>
      <c r="BB682" s="52">
        <v>313</v>
      </c>
      <c r="BC682" s="666">
        <v>13</v>
      </c>
      <c r="BD682" s="666">
        <v>297</v>
      </c>
      <c r="BE682" s="279">
        <v>52</v>
      </c>
      <c r="BF682" s="52">
        <v>238</v>
      </c>
      <c r="BG682" s="666">
        <v>52</v>
      </c>
      <c r="BH682" s="666">
        <v>206</v>
      </c>
      <c r="BI682" s="279">
        <v>11</v>
      </c>
      <c r="BJ682" s="52">
        <v>192</v>
      </c>
      <c r="BK682" s="666">
        <v>11</v>
      </c>
      <c r="BL682" s="666">
        <v>141</v>
      </c>
      <c r="BM682" s="279">
        <v>4</v>
      </c>
      <c r="BN682" s="52">
        <v>100</v>
      </c>
      <c r="BO682" s="666">
        <v>4</v>
      </c>
      <c r="BP682" s="666">
        <v>104</v>
      </c>
      <c r="BQ682" s="279">
        <v>45</v>
      </c>
      <c r="BR682" s="52">
        <v>58</v>
      </c>
      <c r="BS682" s="666">
        <v>45</v>
      </c>
      <c r="BT682" s="666">
        <v>50</v>
      </c>
      <c r="BU682" s="279">
        <v>19</v>
      </c>
      <c r="BV682" s="52">
        <v>47</v>
      </c>
      <c r="BW682" s="666">
        <v>27</v>
      </c>
      <c r="BX682" s="666">
        <v>39</v>
      </c>
      <c r="BY682" s="279">
        <v>27</v>
      </c>
      <c r="BZ682" s="52">
        <v>33</v>
      </c>
      <c r="CA682" s="666">
        <v>3</v>
      </c>
      <c r="CB682" s="666">
        <v>38</v>
      </c>
      <c r="CC682" s="279">
        <v>3</v>
      </c>
      <c r="CD682" s="52">
        <v>29</v>
      </c>
      <c r="CE682" s="666">
        <v>1</v>
      </c>
      <c r="CF682" s="666">
        <v>35</v>
      </c>
      <c r="CG682" s="279">
        <v>44</v>
      </c>
      <c r="CH682" s="52">
        <v>28</v>
      </c>
      <c r="CI682" s="666">
        <v>26</v>
      </c>
      <c r="CJ682" s="666">
        <v>30</v>
      </c>
      <c r="CK682" s="281"/>
      <c r="CL682" s="277"/>
      <c r="CM682" s="159"/>
      <c r="CN682" s="666">
        <v>11</v>
      </c>
      <c r="CO682" s="50">
        <f t="shared" si="287"/>
        <v>1390</v>
      </c>
      <c r="CP682" s="103">
        <f t="shared" si="288"/>
        <v>10</v>
      </c>
      <c r="CQ682" s="280">
        <f t="shared" si="289"/>
        <v>1280</v>
      </c>
      <c r="CR682" s="63">
        <f t="shared" si="290"/>
        <v>10</v>
      </c>
      <c r="CS682" s="279">
        <v>14</v>
      </c>
      <c r="CT682" s="52">
        <v>129</v>
      </c>
      <c r="CU682" s="666">
        <v>14</v>
      </c>
      <c r="CV682" s="666">
        <v>145</v>
      </c>
      <c r="CW682" s="279">
        <v>13</v>
      </c>
      <c r="CX682" s="52">
        <v>53</v>
      </c>
      <c r="CY682" s="666">
        <v>13</v>
      </c>
      <c r="CZ682" s="666">
        <v>79</v>
      </c>
      <c r="DA682" s="279">
        <v>40</v>
      </c>
      <c r="DB682" s="52">
        <v>27</v>
      </c>
      <c r="DC682" s="105">
        <v>26</v>
      </c>
      <c r="DD682" s="98">
        <v>31</v>
      </c>
      <c r="DE682" s="279">
        <v>26</v>
      </c>
      <c r="DF682" s="52">
        <v>20</v>
      </c>
      <c r="DG682" s="105">
        <v>40</v>
      </c>
      <c r="DH682" s="98">
        <v>27</v>
      </c>
      <c r="DI682" s="279">
        <v>11</v>
      </c>
      <c r="DJ682" s="52">
        <v>18</v>
      </c>
      <c r="DK682" s="105">
        <v>19</v>
      </c>
      <c r="DL682" s="98">
        <v>21</v>
      </c>
      <c r="DM682" s="279">
        <v>52</v>
      </c>
      <c r="DN682" s="52">
        <v>17</v>
      </c>
      <c r="DO682" s="105">
        <v>3</v>
      </c>
      <c r="DP682" s="98">
        <v>21</v>
      </c>
      <c r="DQ682" s="279">
        <v>19</v>
      </c>
      <c r="DR682" s="52">
        <v>14</v>
      </c>
      <c r="DS682" s="105">
        <v>11</v>
      </c>
      <c r="DT682" s="98">
        <v>17</v>
      </c>
      <c r="DU682" s="279">
        <v>27</v>
      </c>
      <c r="DV682" s="52">
        <v>12</v>
      </c>
      <c r="DW682" s="105">
        <v>1</v>
      </c>
      <c r="DX682" s="98">
        <v>15</v>
      </c>
      <c r="DY682" s="279">
        <v>1</v>
      </c>
      <c r="DZ682" s="52">
        <v>12</v>
      </c>
      <c r="EA682" s="105">
        <v>42</v>
      </c>
      <c r="EB682" s="98">
        <v>14</v>
      </c>
      <c r="EC682" s="279">
        <v>4</v>
      </c>
      <c r="ED682" s="52">
        <v>9</v>
      </c>
      <c r="EE682" s="105">
        <v>45</v>
      </c>
      <c r="EF682" s="98">
        <v>14</v>
      </c>
      <c r="EG682" s="159"/>
      <c r="EH682" s="277"/>
      <c r="EI682" s="50">
        <f t="shared" si="291"/>
        <v>311</v>
      </c>
      <c r="EJ682" s="103">
        <f t="shared" si="292"/>
        <v>10</v>
      </c>
      <c r="EK682" s="164">
        <f t="shared" si="293"/>
        <v>0.41479099678456594</v>
      </c>
      <c r="EL682" s="280">
        <f t="shared" si="294"/>
        <v>384</v>
      </c>
      <c r="EM682" s="63">
        <f t="shared" si="295"/>
        <v>10</v>
      </c>
      <c r="EN682" s="359">
        <f t="shared" si="296"/>
        <v>0.37760416666666669</v>
      </c>
      <c r="EO682" s="51">
        <f t="shared" si="297"/>
        <v>1701</v>
      </c>
      <c r="EP682" s="361">
        <f t="shared" si="298"/>
        <v>1664</v>
      </c>
      <c r="EQ682" s="281"/>
      <c r="ER682" s="277">
        <v>0</v>
      </c>
      <c r="ES682" s="281"/>
      <c r="ET682" s="277"/>
      <c r="EU682" s="281"/>
      <c r="EV682" s="277"/>
      <c r="EW682" s="281"/>
      <c r="EX682" s="277"/>
      <c r="EY682" s="281"/>
      <c r="EZ682" s="277"/>
      <c r="FA682" s="281"/>
      <c r="FB682" s="277"/>
      <c r="FC682" s="281"/>
      <c r="FD682" s="277"/>
      <c r="FE682" s="281">
        <v>88</v>
      </c>
      <c r="FF682" s="277">
        <v>86</v>
      </c>
      <c r="FG682" s="281"/>
      <c r="FH682" s="277"/>
      <c r="FI682" s="281"/>
      <c r="FJ682" s="277"/>
      <c r="FK682" s="50">
        <f t="shared" si="299"/>
        <v>88</v>
      </c>
      <c r="FL682" s="63">
        <f t="shared" si="283"/>
        <v>86</v>
      </c>
      <c r="FM682" s="50">
        <f t="shared" si="265"/>
        <v>6871</v>
      </c>
      <c r="FN682" s="360">
        <f t="shared" si="266"/>
        <v>7108</v>
      </c>
      <c r="FP682" s="279"/>
      <c r="FQ682" s="52"/>
      <c r="FR682" s="296"/>
      <c r="FS682" s="98"/>
      <c r="FT682" s="467"/>
      <c r="FU682" s="52"/>
      <c r="FV682" s="296"/>
      <c r="FW682" s="98"/>
      <c r="FX682" s="467"/>
      <c r="FY682" s="52"/>
      <c r="FZ682" s="296"/>
      <c r="GA682" s="98"/>
      <c r="GB682" s="467"/>
      <c r="GC682" s="52"/>
      <c r="GD682" s="296"/>
      <c r="GE682" s="98"/>
      <c r="GF682" s="467"/>
      <c r="GG682" s="52"/>
      <c r="GH682" s="296"/>
      <c r="GI682" s="98"/>
      <c r="GJ682" s="467"/>
      <c r="GK682" s="52"/>
      <c r="GL682" s="296"/>
      <c r="GM682" s="464"/>
      <c r="GN682" s="467"/>
      <c r="GO682" s="52"/>
      <c r="GP682" s="296"/>
      <c r="GQ682" s="464"/>
      <c r="GR682" s="467"/>
      <c r="GS682" s="52"/>
      <c r="GT682" s="296"/>
      <c r="GU682" s="464"/>
      <c r="GV682" s="467"/>
      <c r="GW682" s="52"/>
      <c r="GX682" s="296"/>
      <c r="GY682" s="464"/>
      <c r="GZ682" s="467"/>
      <c r="HA682" s="52"/>
      <c r="HB682" s="296"/>
      <c r="HC682" s="43"/>
    </row>
    <row r="683" spans="1:211" s="3" customFormat="1">
      <c r="A683" s="330" t="s">
        <v>347</v>
      </c>
      <c r="B683" s="331" t="s">
        <v>1272</v>
      </c>
      <c r="C683" s="330">
        <v>231624</v>
      </c>
      <c r="D683" s="344">
        <v>2</v>
      </c>
      <c r="E683" s="158"/>
      <c r="F683" s="277"/>
      <c r="G683" s="158"/>
      <c r="H683" s="277"/>
      <c r="I683" s="158"/>
      <c r="J683" s="666">
        <v>0</v>
      </c>
      <c r="K683" s="160">
        <f t="shared" si="284"/>
        <v>0</v>
      </c>
      <c r="L683" s="161">
        <f t="shared" si="260"/>
        <v>0</v>
      </c>
      <c r="M683" s="54">
        <v>1454</v>
      </c>
      <c r="N683" s="55"/>
      <c r="O683" s="55"/>
      <c r="P683" s="55"/>
      <c r="Q683" s="162">
        <f t="shared" si="285"/>
        <v>0</v>
      </c>
      <c r="R683" s="666">
        <v>1461</v>
      </c>
      <c r="S683" s="277"/>
      <c r="T683" s="277"/>
      <c r="U683" s="277">
        <v>45</v>
      </c>
      <c r="V683" s="97">
        <f t="shared" si="286"/>
        <v>45</v>
      </c>
      <c r="W683" s="279"/>
      <c r="X683" s="52"/>
      <c r="Y683" s="99"/>
      <c r="Z683" s="53"/>
      <c r="AA683" s="228"/>
      <c r="AB683" s="52"/>
      <c r="AC683" s="99"/>
      <c r="AD683" s="53"/>
      <c r="AE683" s="228"/>
      <c r="AF683" s="52"/>
      <c r="AG683" s="99"/>
      <c r="AH683" s="53"/>
      <c r="AI683" s="228"/>
      <c r="AJ683" s="52"/>
      <c r="AK683" s="99"/>
      <c r="AL683" s="53"/>
      <c r="AM683" s="228"/>
      <c r="AN683" s="52"/>
      <c r="AO683" s="99"/>
      <c r="AP683" s="53"/>
      <c r="AQ683" s="50">
        <f t="shared" si="261"/>
        <v>0</v>
      </c>
      <c r="AR683" s="163">
        <f t="shared" si="262"/>
        <v>0.67097369635440707</v>
      </c>
      <c r="AS683" s="97">
        <f t="shared" si="263"/>
        <v>0</v>
      </c>
      <c r="AT683" s="278">
        <f t="shared" si="264"/>
        <v>0.64531802120141346</v>
      </c>
      <c r="AU683" s="55"/>
      <c r="AV683" s="666">
        <v>0</v>
      </c>
      <c r="AW683" s="279">
        <v>52</v>
      </c>
      <c r="AX683" s="52">
        <v>198</v>
      </c>
      <c r="AY683" s="666">
        <v>52</v>
      </c>
      <c r="AZ683" s="666">
        <v>220</v>
      </c>
      <c r="BA683" s="279">
        <v>13</v>
      </c>
      <c r="BB683" s="52">
        <v>106</v>
      </c>
      <c r="BC683" s="666">
        <v>13</v>
      </c>
      <c r="BD683" s="666">
        <v>171</v>
      </c>
      <c r="BE683" s="279">
        <v>42</v>
      </c>
      <c r="BF683" s="52">
        <v>29</v>
      </c>
      <c r="BG683" s="666">
        <v>42</v>
      </c>
      <c r="BH683" s="666">
        <v>32</v>
      </c>
      <c r="BI683" s="279">
        <v>44</v>
      </c>
      <c r="BJ683" s="52">
        <v>25</v>
      </c>
      <c r="BK683" s="666">
        <v>26</v>
      </c>
      <c r="BL683" s="666">
        <v>25</v>
      </c>
      <c r="BM683" s="279">
        <v>11</v>
      </c>
      <c r="BN683" s="52">
        <v>20</v>
      </c>
      <c r="BO683" s="666">
        <v>11</v>
      </c>
      <c r="BP683" s="666">
        <v>19</v>
      </c>
      <c r="BQ683" s="279">
        <v>26</v>
      </c>
      <c r="BR683" s="52">
        <v>18</v>
      </c>
      <c r="BS683" s="666">
        <v>40</v>
      </c>
      <c r="BT683" s="666">
        <v>16</v>
      </c>
      <c r="BU683" s="279">
        <v>40</v>
      </c>
      <c r="BV683" s="52">
        <v>14</v>
      </c>
      <c r="BW683" s="666">
        <v>44</v>
      </c>
      <c r="BX683" s="666">
        <v>15</v>
      </c>
      <c r="BY683" s="279">
        <v>22</v>
      </c>
      <c r="BZ683" s="52">
        <v>14</v>
      </c>
      <c r="CA683" s="666">
        <v>54</v>
      </c>
      <c r="CB683" s="666">
        <v>15</v>
      </c>
      <c r="CC683" s="279">
        <v>54</v>
      </c>
      <c r="CD683" s="52">
        <v>13</v>
      </c>
      <c r="CE683" s="666">
        <v>22</v>
      </c>
      <c r="CF683" s="666">
        <v>14</v>
      </c>
      <c r="CG683" s="279">
        <v>5</v>
      </c>
      <c r="CH683" s="52">
        <v>7</v>
      </c>
      <c r="CI683" s="666">
        <v>45</v>
      </c>
      <c r="CJ683" s="666">
        <v>9</v>
      </c>
      <c r="CK683" s="281"/>
      <c r="CL683" s="277"/>
      <c r="CM683" s="159"/>
      <c r="CN683" s="666">
        <v>12</v>
      </c>
      <c r="CO683" s="50">
        <f t="shared" si="287"/>
        <v>444</v>
      </c>
      <c r="CP683" s="103">
        <f t="shared" si="288"/>
        <v>10</v>
      </c>
      <c r="CQ683" s="280">
        <f t="shared" si="289"/>
        <v>548</v>
      </c>
      <c r="CR683" s="63">
        <f t="shared" si="290"/>
        <v>10</v>
      </c>
      <c r="CS683" s="279">
        <v>13</v>
      </c>
      <c r="CT683" s="52">
        <v>22</v>
      </c>
      <c r="CU683" s="666">
        <v>13</v>
      </c>
      <c r="CV683" s="666">
        <v>25</v>
      </c>
      <c r="CW683" s="279">
        <v>26</v>
      </c>
      <c r="CX683" s="52">
        <v>10</v>
      </c>
      <c r="CY683" s="666">
        <v>26</v>
      </c>
      <c r="CZ683" s="666">
        <v>14</v>
      </c>
      <c r="DA683" s="279">
        <v>30</v>
      </c>
      <c r="DB683" s="52">
        <v>8</v>
      </c>
      <c r="DC683" s="105">
        <v>40</v>
      </c>
      <c r="DD683" s="98">
        <v>8</v>
      </c>
      <c r="DE683" s="279">
        <v>40</v>
      </c>
      <c r="DF683" s="52">
        <v>6</v>
      </c>
      <c r="DG683" s="105">
        <v>30</v>
      </c>
      <c r="DH683" s="98">
        <v>6</v>
      </c>
      <c r="DI683" s="279">
        <v>54</v>
      </c>
      <c r="DJ683" s="52">
        <v>5</v>
      </c>
      <c r="DK683" s="105">
        <v>54</v>
      </c>
      <c r="DL683" s="98">
        <v>3</v>
      </c>
      <c r="DM683" s="279">
        <v>42</v>
      </c>
      <c r="DN683" s="52">
        <v>4</v>
      </c>
      <c r="DO683" s="105">
        <v>5</v>
      </c>
      <c r="DP683" s="98">
        <v>2</v>
      </c>
      <c r="DQ683" s="279">
        <v>11</v>
      </c>
      <c r="DR683" s="52">
        <v>3</v>
      </c>
      <c r="DS683" s="105">
        <v>45</v>
      </c>
      <c r="DT683" s="98">
        <v>1</v>
      </c>
      <c r="DU683" s="279">
        <v>45</v>
      </c>
      <c r="DV683" s="52">
        <v>1</v>
      </c>
      <c r="DW683" s="105">
        <v>42</v>
      </c>
      <c r="DX683" s="98">
        <v>1</v>
      </c>
      <c r="DY683" s="279">
        <v>5</v>
      </c>
      <c r="DZ683" s="52">
        <v>1</v>
      </c>
      <c r="EA683" s="105">
        <v>11</v>
      </c>
      <c r="EB683" s="98">
        <v>1</v>
      </c>
      <c r="EC683" s="279"/>
      <c r="ED683" s="52"/>
      <c r="EE683" s="105">
        <v>0</v>
      </c>
      <c r="EF683" s="98">
        <v>0</v>
      </c>
      <c r="EG683" s="159"/>
      <c r="EH683" s="277"/>
      <c r="EI683" s="50">
        <f t="shared" si="291"/>
        <v>60</v>
      </c>
      <c r="EJ683" s="103">
        <f t="shared" si="292"/>
        <v>9</v>
      </c>
      <c r="EK683" s="164">
        <f t="shared" si="293"/>
        <v>0.36666666666666664</v>
      </c>
      <c r="EL683" s="280">
        <f t="shared" si="294"/>
        <v>61</v>
      </c>
      <c r="EM683" s="63">
        <f t="shared" si="295"/>
        <v>10</v>
      </c>
      <c r="EN683" s="359">
        <f t="shared" si="296"/>
        <v>0.4098360655737705</v>
      </c>
      <c r="EO683" s="51">
        <f t="shared" si="297"/>
        <v>504</v>
      </c>
      <c r="EP683" s="361">
        <f t="shared" si="298"/>
        <v>609</v>
      </c>
      <c r="EQ683" s="281">
        <v>209</v>
      </c>
      <c r="ER683" s="277">
        <v>194</v>
      </c>
      <c r="ES683" s="281"/>
      <c r="ET683" s="277"/>
      <c r="EU683" s="281"/>
      <c r="EV683" s="277"/>
      <c r="EW683" s="281"/>
      <c r="EX683" s="277"/>
      <c r="EY683" s="281"/>
      <c r="EZ683" s="277"/>
      <c r="FA683" s="281"/>
      <c r="FB683" s="277"/>
      <c r="FC683" s="281"/>
      <c r="FD683" s="277"/>
      <c r="FE683" s="281"/>
      <c r="FF683" s="277"/>
      <c r="FG683" s="281"/>
      <c r="FH683" s="277"/>
      <c r="FI683" s="281"/>
      <c r="FJ683" s="277"/>
      <c r="FK683" s="50">
        <f t="shared" si="299"/>
        <v>209</v>
      </c>
      <c r="FL683" s="63">
        <f t="shared" si="283"/>
        <v>194</v>
      </c>
      <c r="FM683" s="50">
        <f t="shared" si="265"/>
        <v>2167</v>
      </c>
      <c r="FN683" s="360">
        <f t="shared" si="266"/>
        <v>2264</v>
      </c>
      <c r="FP683" s="279"/>
      <c r="FQ683" s="52"/>
      <c r="FR683" s="296"/>
      <c r="FS683" s="98"/>
      <c r="FT683" s="467"/>
      <c r="FU683" s="52"/>
      <c r="FV683" s="296"/>
      <c r="FW683" s="98"/>
      <c r="FX683" s="467"/>
      <c r="FY683" s="52"/>
      <c r="FZ683" s="296"/>
      <c r="GA683" s="98"/>
      <c r="GB683" s="467"/>
      <c r="GC683" s="52"/>
      <c r="GD683" s="296"/>
      <c r="GE683" s="98"/>
      <c r="GF683" s="467"/>
      <c r="GG683" s="52"/>
      <c r="GH683" s="296"/>
      <c r="GI683" s="98"/>
      <c r="GJ683" s="467"/>
      <c r="GK683" s="52"/>
      <c r="GL683" s="296"/>
      <c r="GM683" s="464"/>
      <c r="GN683" s="467"/>
      <c r="GO683" s="52"/>
      <c r="GP683" s="296"/>
      <c r="GQ683" s="464"/>
      <c r="GR683" s="467"/>
      <c r="GS683" s="52"/>
      <c r="GT683" s="296"/>
      <c r="GU683" s="464"/>
      <c r="GV683" s="467"/>
      <c r="GW683" s="52"/>
      <c r="GX683" s="296"/>
      <c r="GY683" s="464"/>
      <c r="GZ683" s="467"/>
      <c r="HA683" s="52"/>
      <c r="HB683" s="296"/>
      <c r="HC683" s="43"/>
    </row>
    <row r="684" spans="1:211" s="3" customFormat="1">
      <c r="A684" s="330" t="s">
        <v>347</v>
      </c>
      <c r="B684" s="331" t="s">
        <v>1274</v>
      </c>
      <c r="C684" s="330">
        <v>234030</v>
      </c>
      <c r="D684" s="344">
        <v>2</v>
      </c>
      <c r="E684" s="158"/>
      <c r="F684" s="277"/>
      <c r="G684" s="158"/>
      <c r="H684" s="277"/>
      <c r="I684" s="158"/>
      <c r="J684" s="666">
        <v>0</v>
      </c>
      <c r="K684" s="160">
        <f t="shared" si="284"/>
        <v>0</v>
      </c>
      <c r="L684" s="161">
        <f t="shared" si="260"/>
        <v>0</v>
      </c>
      <c r="M684" s="54">
        <v>3568</v>
      </c>
      <c r="N684" s="55"/>
      <c r="O684" s="55"/>
      <c r="P684" s="55"/>
      <c r="Q684" s="162">
        <f t="shared" si="285"/>
        <v>0</v>
      </c>
      <c r="R684" s="666">
        <v>3724</v>
      </c>
      <c r="S684" s="277"/>
      <c r="T684" s="277"/>
      <c r="U684" s="277">
        <v>147</v>
      </c>
      <c r="V684" s="97">
        <f t="shared" si="286"/>
        <v>147</v>
      </c>
      <c r="W684" s="279"/>
      <c r="X684" s="52"/>
      <c r="Y684" s="99"/>
      <c r="Z684" s="53"/>
      <c r="AA684" s="228"/>
      <c r="AB684" s="52"/>
      <c r="AC684" s="99"/>
      <c r="AD684" s="53"/>
      <c r="AE684" s="228"/>
      <c r="AF684" s="52"/>
      <c r="AG684" s="99"/>
      <c r="AH684" s="53"/>
      <c r="AI684" s="228"/>
      <c r="AJ684" s="52"/>
      <c r="AK684" s="99"/>
      <c r="AL684" s="53"/>
      <c r="AM684" s="228"/>
      <c r="AN684" s="52"/>
      <c r="AO684" s="99"/>
      <c r="AP684" s="53"/>
      <c r="AQ684" s="50">
        <f t="shared" si="261"/>
        <v>0</v>
      </c>
      <c r="AR684" s="163">
        <f t="shared" si="262"/>
        <v>0.61001880663361263</v>
      </c>
      <c r="AS684" s="97">
        <f t="shared" si="263"/>
        <v>0</v>
      </c>
      <c r="AT684" s="278">
        <f t="shared" si="264"/>
        <v>0.60919352200229016</v>
      </c>
      <c r="AU684" s="55">
        <v>198</v>
      </c>
      <c r="AV684" s="666">
        <v>211</v>
      </c>
      <c r="AW684" s="279">
        <v>13</v>
      </c>
      <c r="AX684" s="52">
        <v>399</v>
      </c>
      <c r="AY684" s="666">
        <v>13</v>
      </c>
      <c r="AZ684" s="666">
        <v>376</v>
      </c>
      <c r="BA684" s="279">
        <v>51</v>
      </c>
      <c r="BB684" s="52">
        <v>248</v>
      </c>
      <c r="BC684" s="666">
        <v>51</v>
      </c>
      <c r="BD684" s="666">
        <v>279</v>
      </c>
      <c r="BE684" s="279">
        <v>44</v>
      </c>
      <c r="BF684" s="52">
        <v>229</v>
      </c>
      <c r="BG684" s="666">
        <v>44</v>
      </c>
      <c r="BH684" s="666">
        <v>232</v>
      </c>
      <c r="BI684" s="279">
        <v>52</v>
      </c>
      <c r="BJ684" s="52">
        <v>143</v>
      </c>
      <c r="BK684" s="666">
        <v>52</v>
      </c>
      <c r="BL684" s="666">
        <v>168</v>
      </c>
      <c r="BM684" s="279">
        <v>9</v>
      </c>
      <c r="BN684" s="52">
        <v>99</v>
      </c>
      <c r="BO684" s="666">
        <v>9</v>
      </c>
      <c r="BP684" s="666">
        <v>91</v>
      </c>
      <c r="BQ684" s="279">
        <v>50</v>
      </c>
      <c r="BR684" s="52">
        <v>78</v>
      </c>
      <c r="BS684" s="666">
        <v>26</v>
      </c>
      <c r="BT684" s="666">
        <v>76</v>
      </c>
      <c r="BU684" s="279">
        <v>43</v>
      </c>
      <c r="BV684" s="52">
        <v>65</v>
      </c>
      <c r="BW684" s="666">
        <v>50</v>
      </c>
      <c r="BX684" s="666">
        <v>75</v>
      </c>
      <c r="BY684" s="279">
        <v>26</v>
      </c>
      <c r="BZ684" s="52">
        <v>65</v>
      </c>
      <c r="CA684" s="666">
        <v>43</v>
      </c>
      <c r="CB684" s="666">
        <v>62</v>
      </c>
      <c r="CC684" s="279">
        <v>31</v>
      </c>
      <c r="CD684" s="52">
        <v>55</v>
      </c>
      <c r="CE684" s="666">
        <v>31</v>
      </c>
      <c r="CF684" s="666">
        <v>55</v>
      </c>
      <c r="CG684" s="279">
        <v>11</v>
      </c>
      <c r="CH684" s="52">
        <v>53</v>
      </c>
      <c r="CI684" s="666">
        <v>11</v>
      </c>
      <c r="CJ684" s="666">
        <v>49</v>
      </c>
      <c r="CK684" s="281"/>
      <c r="CL684" s="277"/>
      <c r="CM684" s="159"/>
      <c r="CN684" s="666">
        <v>93</v>
      </c>
      <c r="CO684" s="50">
        <f t="shared" si="287"/>
        <v>1434</v>
      </c>
      <c r="CP684" s="103">
        <f t="shared" si="288"/>
        <v>10</v>
      </c>
      <c r="CQ684" s="280">
        <f t="shared" si="289"/>
        <v>1556</v>
      </c>
      <c r="CR684" s="63">
        <f t="shared" si="290"/>
        <v>10</v>
      </c>
      <c r="CS684" s="279">
        <v>51</v>
      </c>
      <c r="CT684" s="52">
        <v>133</v>
      </c>
      <c r="CU684" s="666">
        <v>51</v>
      </c>
      <c r="CV684" s="666">
        <v>107</v>
      </c>
      <c r="CW684" s="279">
        <v>26</v>
      </c>
      <c r="CX684" s="52">
        <v>38</v>
      </c>
      <c r="CY684" s="666">
        <v>26</v>
      </c>
      <c r="CZ684" s="666">
        <v>38</v>
      </c>
      <c r="DA684" s="279">
        <v>13</v>
      </c>
      <c r="DB684" s="52">
        <v>24</v>
      </c>
      <c r="DC684" s="105">
        <v>44</v>
      </c>
      <c r="DD684" s="98">
        <v>19</v>
      </c>
      <c r="DE684" s="279">
        <v>42</v>
      </c>
      <c r="DF684" s="52">
        <v>20</v>
      </c>
      <c r="DG684" s="105">
        <v>13</v>
      </c>
      <c r="DH684" s="98">
        <v>18</v>
      </c>
      <c r="DI684" s="279">
        <v>44</v>
      </c>
      <c r="DJ684" s="52">
        <v>13</v>
      </c>
      <c r="DK684" s="105">
        <v>42</v>
      </c>
      <c r="DL684" s="98">
        <v>17</v>
      </c>
      <c r="DM684" s="279">
        <v>14</v>
      </c>
      <c r="DN684" s="52">
        <v>10</v>
      </c>
      <c r="DO684" s="105">
        <v>52</v>
      </c>
      <c r="DP684" s="98">
        <v>13</v>
      </c>
      <c r="DQ684" s="279">
        <v>40</v>
      </c>
      <c r="DR684" s="52">
        <v>9</v>
      </c>
      <c r="DS684" s="105">
        <v>14</v>
      </c>
      <c r="DT684" s="98">
        <v>8</v>
      </c>
      <c r="DU684" s="279">
        <v>52</v>
      </c>
      <c r="DV684" s="52">
        <v>3</v>
      </c>
      <c r="DW684" s="105">
        <v>40</v>
      </c>
      <c r="DX684" s="98">
        <v>3</v>
      </c>
      <c r="DY684" s="279">
        <v>50</v>
      </c>
      <c r="DZ684" s="52">
        <v>1</v>
      </c>
      <c r="EA684" s="105">
        <v>30</v>
      </c>
      <c r="EB684" s="98">
        <v>3</v>
      </c>
      <c r="EC684" s="279">
        <v>30</v>
      </c>
      <c r="ED684" s="52">
        <v>1</v>
      </c>
      <c r="EE684" s="105">
        <v>50</v>
      </c>
      <c r="EF684" s="98">
        <v>1</v>
      </c>
      <c r="EG684" s="159"/>
      <c r="EH684" s="277"/>
      <c r="EI684" s="50">
        <f t="shared" si="291"/>
        <v>252</v>
      </c>
      <c r="EJ684" s="103">
        <f t="shared" si="292"/>
        <v>10</v>
      </c>
      <c r="EK684" s="164">
        <f t="shared" si="293"/>
        <v>0.52777777777777779</v>
      </c>
      <c r="EL684" s="280">
        <f t="shared" si="294"/>
        <v>227</v>
      </c>
      <c r="EM684" s="63">
        <f t="shared" si="295"/>
        <v>10</v>
      </c>
      <c r="EN684" s="359">
        <f t="shared" si="296"/>
        <v>0.47136563876651982</v>
      </c>
      <c r="EO684" s="51">
        <f t="shared" si="297"/>
        <v>1686</v>
      </c>
      <c r="EP684" s="361">
        <f t="shared" si="298"/>
        <v>1783</v>
      </c>
      <c r="EQ684" s="281"/>
      <c r="ER684" s="277"/>
      <c r="ES684" s="281">
        <v>179</v>
      </c>
      <c r="ET684" s="277">
        <v>174</v>
      </c>
      <c r="EU684" s="281">
        <v>92</v>
      </c>
      <c r="EV684" s="277">
        <v>91</v>
      </c>
      <c r="EW684" s="281">
        <v>126</v>
      </c>
      <c r="EX684" s="277">
        <v>130</v>
      </c>
      <c r="EY684" s="281"/>
      <c r="EZ684" s="277"/>
      <c r="FA684" s="281"/>
      <c r="FB684" s="277"/>
      <c r="FC684" s="281"/>
      <c r="FD684" s="277"/>
      <c r="FE684" s="281"/>
      <c r="FF684" s="277"/>
      <c r="FG684" s="281"/>
      <c r="FH684" s="277"/>
      <c r="FI684" s="281"/>
      <c r="FJ684" s="277"/>
      <c r="FK684" s="50">
        <f t="shared" si="299"/>
        <v>397</v>
      </c>
      <c r="FL684" s="63">
        <f t="shared" si="283"/>
        <v>395</v>
      </c>
      <c r="FM684" s="50">
        <f t="shared" si="265"/>
        <v>5849</v>
      </c>
      <c r="FN684" s="360">
        <f t="shared" si="266"/>
        <v>6113</v>
      </c>
      <c r="FP684" s="279"/>
      <c r="FQ684" s="52"/>
      <c r="FR684" s="296"/>
      <c r="FS684" s="98"/>
      <c r="FT684" s="467"/>
      <c r="FU684" s="52"/>
      <c r="FV684" s="296"/>
      <c r="FW684" s="98"/>
      <c r="FX684" s="467"/>
      <c r="FY684" s="52"/>
      <c r="FZ684" s="296"/>
      <c r="GA684" s="98"/>
      <c r="GB684" s="467"/>
      <c r="GC684" s="52"/>
      <c r="GD684" s="296"/>
      <c r="GE684" s="98"/>
      <c r="GF684" s="467"/>
      <c r="GG684" s="52"/>
      <c r="GH684" s="296"/>
      <c r="GI684" s="98"/>
      <c r="GJ684" s="467"/>
      <c r="GK684" s="52"/>
      <c r="GL684" s="296"/>
      <c r="GM684" s="464"/>
      <c r="GN684" s="467"/>
      <c r="GO684" s="52"/>
      <c r="GP684" s="296"/>
      <c r="GQ684" s="464"/>
      <c r="GR684" s="467"/>
      <c r="GS684" s="52"/>
      <c r="GT684" s="296"/>
      <c r="GU684" s="464"/>
      <c r="GV684" s="467"/>
      <c r="GW684" s="52"/>
      <c r="GX684" s="296"/>
      <c r="GY684" s="464"/>
      <c r="GZ684" s="467"/>
      <c r="HA684" s="52"/>
      <c r="HB684" s="296"/>
      <c r="HC684" s="43"/>
    </row>
    <row r="685" spans="1:211" s="3" customFormat="1">
      <c r="A685" s="330" t="s">
        <v>347</v>
      </c>
      <c r="B685" s="331" t="s">
        <v>1275</v>
      </c>
      <c r="C685" s="330">
        <v>232423</v>
      </c>
      <c r="D685" s="344">
        <v>3</v>
      </c>
      <c r="E685" s="158"/>
      <c r="F685" s="277"/>
      <c r="G685" s="158"/>
      <c r="H685" s="277"/>
      <c r="I685" s="158"/>
      <c r="J685" s="666">
        <v>0</v>
      </c>
      <c r="K685" s="160">
        <f t="shared" si="284"/>
        <v>0</v>
      </c>
      <c r="L685" s="161">
        <f t="shared" si="260"/>
        <v>0</v>
      </c>
      <c r="M685" s="54">
        <v>3504</v>
      </c>
      <c r="N685" s="55"/>
      <c r="O685" s="55"/>
      <c r="P685" s="55"/>
      <c r="Q685" s="162">
        <f t="shared" si="285"/>
        <v>0</v>
      </c>
      <c r="R685" s="666">
        <v>3630</v>
      </c>
      <c r="S685" s="277"/>
      <c r="T685" s="277"/>
      <c r="U685" s="277">
        <v>358</v>
      </c>
      <c r="V685" s="97">
        <f t="shared" si="286"/>
        <v>358</v>
      </c>
      <c r="W685" s="279"/>
      <c r="X685" s="52"/>
      <c r="Y685" s="99"/>
      <c r="Z685" s="53"/>
      <c r="AA685" s="228"/>
      <c r="AB685" s="52"/>
      <c r="AC685" s="99"/>
      <c r="AD685" s="53"/>
      <c r="AE685" s="228"/>
      <c r="AF685" s="52"/>
      <c r="AG685" s="99"/>
      <c r="AH685" s="53"/>
      <c r="AI685" s="228"/>
      <c r="AJ685" s="52"/>
      <c r="AK685" s="99"/>
      <c r="AL685" s="53"/>
      <c r="AM685" s="228"/>
      <c r="AN685" s="52"/>
      <c r="AO685" s="99"/>
      <c r="AP685" s="53"/>
      <c r="AQ685" s="50">
        <f t="shared" si="261"/>
        <v>0</v>
      </c>
      <c r="AR685" s="163">
        <f t="shared" si="262"/>
        <v>0.84842615012106537</v>
      </c>
      <c r="AS685" s="97">
        <f t="shared" si="263"/>
        <v>0</v>
      </c>
      <c r="AT685" s="278">
        <f t="shared" si="264"/>
        <v>0.83679114799446752</v>
      </c>
      <c r="AU685" s="55"/>
      <c r="AV685" s="666">
        <v>0</v>
      </c>
      <c r="AW685" s="279">
        <v>13</v>
      </c>
      <c r="AX685" s="52">
        <v>301</v>
      </c>
      <c r="AY685" s="666">
        <v>13</v>
      </c>
      <c r="AZ685" s="666">
        <v>343</v>
      </c>
      <c r="BA685" s="279">
        <v>52</v>
      </c>
      <c r="BB685" s="52">
        <v>110</v>
      </c>
      <c r="BC685" s="666">
        <v>52</v>
      </c>
      <c r="BD685" s="666">
        <v>103</v>
      </c>
      <c r="BE685" s="279">
        <v>51</v>
      </c>
      <c r="BF685" s="52">
        <v>69</v>
      </c>
      <c r="BG685" s="666">
        <v>51</v>
      </c>
      <c r="BH685" s="666">
        <v>79</v>
      </c>
      <c r="BI685" s="279">
        <v>31</v>
      </c>
      <c r="BJ685" s="52">
        <v>40</v>
      </c>
      <c r="BK685" s="666">
        <v>31</v>
      </c>
      <c r="BL685" s="666">
        <v>40</v>
      </c>
      <c r="BM685" s="279">
        <v>11</v>
      </c>
      <c r="BN685" s="52">
        <v>26</v>
      </c>
      <c r="BO685" s="666">
        <v>54</v>
      </c>
      <c r="BP685" s="666">
        <v>19</v>
      </c>
      <c r="BQ685" s="279">
        <v>23</v>
      </c>
      <c r="BR685" s="52">
        <v>20</v>
      </c>
      <c r="BS685" s="666">
        <v>45</v>
      </c>
      <c r="BT685" s="666">
        <v>17</v>
      </c>
      <c r="BU685" s="279">
        <v>42</v>
      </c>
      <c r="BV685" s="52">
        <v>17</v>
      </c>
      <c r="BW685" s="666">
        <v>11</v>
      </c>
      <c r="BX685" s="666">
        <v>15</v>
      </c>
      <c r="BY685" s="279">
        <v>50</v>
      </c>
      <c r="BZ685" s="52">
        <v>13</v>
      </c>
      <c r="CA685" s="666">
        <v>50</v>
      </c>
      <c r="CB685" s="666">
        <v>15</v>
      </c>
      <c r="CC685" s="279">
        <v>44</v>
      </c>
      <c r="CD685" s="52">
        <v>9</v>
      </c>
      <c r="CE685" s="666">
        <v>23</v>
      </c>
      <c r="CF685" s="666">
        <v>14</v>
      </c>
      <c r="CG685" s="279">
        <v>30</v>
      </c>
      <c r="CH685" s="52">
        <v>8</v>
      </c>
      <c r="CI685" s="666">
        <v>44</v>
      </c>
      <c r="CJ685" s="666">
        <v>14</v>
      </c>
      <c r="CK685" s="281"/>
      <c r="CL685" s="277"/>
      <c r="CM685" s="159"/>
      <c r="CN685" s="666">
        <v>27</v>
      </c>
      <c r="CO685" s="50">
        <f t="shared" si="287"/>
        <v>613</v>
      </c>
      <c r="CP685" s="103">
        <f t="shared" si="288"/>
        <v>10</v>
      </c>
      <c r="CQ685" s="280">
        <f t="shared" si="289"/>
        <v>686</v>
      </c>
      <c r="CR685" s="63">
        <f t="shared" si="290"/>
        <v>10</v>
      </c>
      <c r="CS685" s="279">
        <v>42</v>
      </c>
      <c r="CT685" s="52">
        <v>10</v>
      </c>
      <c r="CU685" s="666">
        <v>42</v>
      </c>
      <c r="CV685" s="666">
        <v>14</v>
      </c>
      <c r="CW685" s="279">
        <v>51</v>
      </c>
      <c r="CX685" s="52">
        <v>3</v>
      </c>
      <c r="CY685" s="666">
        <v>51</v>
      </c>
      <c r="CZ685" s="666">
        <v>8</v>
      </c>
      <c r="DA685" s="279"/>
      <c r="DB685" s="52"/>
      <c r="DC685" s="105">
        <v>0</v>
      </c>
      <c r="DD685" s="98">
        <v>0</v>
      </c>
      <c r="DE685" s="279"/>
      <c r="DF685" s="52"/>
      <c r="DG685" s="105">
        <v>0</v>
      </c>
      <c r="DH685" s="98">
        <v>0</v>
      </c>
      <c r="DI685" s="279"/>
      <c r="DJ685" s="52"/>
      <c r="DK685" s="105"/>
      <c r="DL685" s="98"/>
      <c r="DM685" s="279"/>
      <c r="DN685" s="52"/>
      <c r="DO685" s="105"/>
      <c r="DP685" s="98"/>
      <c r="DQ685" s="279"/>
      <c r="DR685" s="52"/>
      <c r="DS685" s="105"/>
      <c r="DT685" s="98"/>
      <c r="DU685" s="279"/>
      <c r="DV685" s="52"/>
      <c r="DW685" s="105"/>
      <c r="DX685" s="98"/>
      <c r="DY685" s="279"/>
      <c r="DZ685" s="52"/>
      <c r="EA685" s="105"/>
      <c r="EB685" s="98"/>
      <c r="EC685" s="279"/>
      <c r="ED685" s="52"/>
      <c r="EE685" s="105"/>
      <c r="EF685" s="98"/>
      <c r="EG685" s="159"/>
      <c r="EH685" s="277"/>
      <c r="EI685" s="50">
        <f t="shared" si="291"/>
        <v>13</v>
      </c>
      <c r="EJ685" s="103">
        <f t="shared" si="292"/>
        <v>2</v>
      </c>
      <c r="EK685" s="164">
        <f t="shared" si="293"/>
        <v>0.76923076923076927</v>
      </c>
      <c r="EL685" s="280">
        <f t="shared" si="294"/>
        <v>22</v>
      </c>
      <c r="EM685" s="63">
        <f t="shared" si="295"/>
        <v>4</v>
      </c>
      <c r="EN685" s="359">
        <f t="shared" si="296"/>
        <v>0.63636363636363635</v>
      </c>
      <c r="EO685" s="51">
        <f t="shared" si="297"/>
        <v>626</v>
      </c>
      <c r="EP685" s="361">
        <f t="shared" si="298"/>
        <v>708</v>
      </c>
      <c r="EQ685" s="281"/>
      <c r="ER685" s="277"/>
      <c r="ES685" s="281"/>
      <c r="ET685" s="277"/>
      <c r="EU685" s="281"/>
      <c r="EV685" s="277"/>
      <c r="EW685" s="281"/>
      <c r="EX685" s="277"/>
      <c r="EY685" s="281"/>
      <c r="EZ685" s="277"/>
      <c r="FA685" s="281"/>
      <c r="FB685" s="277"/>
      <c r="FC685" s="281"/>
      <c r="FD685" s="277"/>
      <c r="FE685" s="281"/>
      <c r="FF685" s="277"/>
      <c r="FG685" s="281"/>
      <c r="FH685" s="277"/>
      <c r="FI685" s="281"/>
      <c r="FJ685" s="277"/>
      <c r="FK685" s="50">
        <f t="shared" si="299"/>
        <v>0</v>
      </c>
      <c r="FL685" s="63">
        <f t="shared" si="283"/>
        <v>0</v>
      </c>
      <c r="FM685" s="50">
        <f t="shared" si="265"/>
        <v>4130</v>
      </c>
      <c r="FN685" s="360">
        <f t="shared" si="266"/>
        <v>4338</v>
      </c>
      <c r="FP685" s="279"/>
      <c r="FQ685" s="52"/>
      <c r="FR685" s="296"/>
      <c r="FS685" s="98"/>
      <c r="FT685" s="467"/>
      <c r="FU685" s="52"/>
      <c r="FV685" s="296"/>
      <c r="FW685" s="98"/>
      <c r="FX685" s="467"/>
      <c r="FY685" s="52"/>
      <c r="FZ685" s="296"/>
      <c r="GA685" s="98"/>
      <c r="GB685" s="467"/>
      <c r="GC685" s="52"/>
      <c r="GD685" s="296"/>
      <c r="GE685" s="98"/>
      <c r="GF685" s="467"/>
      <c r="GG685" s="52"/>
      <c r="GH685" s="296"/>
      <c r="GI685" s="98"/>
      <c r="GJ685" s="467"/>
      <c r="GK685" s="52"/>
      <c r="GL685" s="296"/>
      <c r="GM685" s="464"/>
      <c r="GN685" s="467"/>
      <c r="GO685" s="52"/>
      <c r="GP685" s="296"/>
      <c r="GQ685" s="464"/>
      <c r="GR685" s="467"/>
      <c r="GS685" s="52"/>
      <c r="GT685" s="296"/>
      <c r="GU685" s="464"/>
      <c r="GV685" s="467"/>
      <c r="GW685" s="52"/>
      <c r="GX685" s="296"/>
      <c r="GY685" s="464"/>
      <c r="GZ685" s="467"/>
      <c r="HA685" s="52"/>
      <c r="HB685" s="296"/>
      <c r="HC685" s="43"/>
    </row>
    <row r="686" spans="1:211" s="3" customFormat="1">
      <c r="A686" s="330" t="s">
        <v>347</v>
      </c>
      <c r="B686" s="668" t="s">
        <v>1278</v>
      </c>
      <c r="C686" s="669">
        <v>232937</v>
      </c>
      <c r="D686" s="670">
        <v>3</v>
      </c>
      <c r="E686" s="158"/>
      <c r="F686" s="277"/>
      <c r="G686" s="158"/>
      <c r="H686" s="277"/>
      <c r="I686" s="158">
        <v>54</v>
      </c>
      <c r="J686" s="666">
        <v>60</v>
      </c>
      <c r="K686" s="160">
        <f t="shared" si="284"/>
        <v>7.3270013568521031E-2</v>
      </c>
      <c r="L686" s="161">
        <f t="shared" si="260"/>
        <v>7.7220077220077218E-2</v>
      </c>
      <c r="M686" s="54">
        <v>737</v>
      </c>
      <c r="N686" s="55"/>
      <c r="O686" s="55"/>
      <c r="P686" s="55"/>
      <c r="Q686" s="162">
        <f t="shared" si="285"/>
        <v>0</v>
      </c>
      <c r="R686" s="666">
        <v>777</v>
      </c>
      <c r="S686" s="277"/>
      <c r="T686" s="277"/>
      <c r="U686" s="277">
        <v>71</v>
      </c>
      <c r="V686" s="97">
        <f t="shared" si="286"/>
        <v>71</v>
      </c>
      <c r="W686" s="279"/>
      <c r="X686" s="52"/>
      <c r="Y686" s="99"/>
      <c r="Z686" s="53"/>
      <c r="AA686" s="228"/>
      <c r="AB686" s="52"/>
      <c r="AC686" s="99"/>
      <c r="AD686" s="53"/>
      <c r="AE686" s="228"/>
      <c r="AF686" s="52"/>
      <c r="AG686" s="99"/>
      <c r="AH686" s="53"/>
      <c r="AI686" s="228"/>
      <c r="AJ686" s="52"/>
      <c r="AK686" s="99"/>
      <c r="AL686" s="53"/>
      <c r="AM686" s="228"/>
      <c r="AN686" s="52"/>
      <c r="AO686" s="99"/>
      <c r="AP686" s="53"/>
      <c r="AQ686" s="50">
        <f t="shared" si="261"/>
        <v>0</v>
      </c>
      <c r="AR686" s="163">
        <f t="shared" si="262"/>
        <v>0.72468043264503446</v>
      </c>
      <c r="AS686" s="97">
        <f t="shared" si="263"/>
        <v>0</v>
      </c>
      <c r="AT686" s="278">
        <f t="shared" si="264"/>
        <v>0.73371104815864019</v>
      </c>
      <c r="AU686" s="55"/>
      <c r="AV686" s="666">
        <v>0</v>
      </c>
      <c r="AW686" s="279">
        <v>13</v>
      </c>
      <c r="AX686" s="52">
        <v>115</v>
      </c>
      <c r="AY686" s="666">
        <v>13</v>
      </c>
      <c r="AZ686" s="666">
        <v>89</v>
      </c>
      <c r="BA686" s="279">
        <v>44</v>
      </c>
      <c r="BB686" s="52">
        <v>46</v>
      </c>
      <c r="BC686" s="666">
        <v>44</v>
      </c>
      <c r="BD686" s="666">
        <v>53</v>
      </c>
      <c r="BE686" s="279">
        <v>9</v>
      </c>
      <c r="BF686" s="52">
        <v>16</v>
      </c>
      <c r="BG686" s="666">
        <v>42</v>
      </c>
      <c r="BH686" s="666">
        <v>18</v>
      </c>
      <c r="BI686" s="279">
        <v>42</v>
      </c>
      <c r="BJ686" s="52">
        <v>12</v>
      </c>
      <c r="BK686" s="666">
        <v>50</v>
      </c>
      <c r="BL686" s="666">
        <v>13</v>
      </c>
      <c r="BM686" s="279">
        <v>43</v>
      </c>
      <c r="BN686" s="52">
        <v>9</v>
      </c>
      <c r="BO686" s="666">
        <v>40</v>
      </c>
      <c r="BP686" s="666">
        <v>10</v>
      </c>
      <c r="BQ686" s="279">
        <v>14</v>
      </c>
      <c r="BR686" s="52">
        <v>7</v>
      </c>
      <c r="BS686" s="666">
        <v>43</v>
      </c>
      <c r="BT686" s="666">
        <v>10</v>
      </c>
      <c r="BU686" s="279">
        <v>50</v>
      </c>
      <c r="BV686" s="52">
        <v>6</v>
      </c>
      <c r="BW686" s="666">
        <v>9</v>
      </c>
      <c r="BX686" s="666">
        <v>9</v>
      </c>
      <c r="BY686" s="279">
        <v>11</v>
      </c>
      <c r="BZ686" s="52">
        <v>5</v>
      </c>
      <c r="CA686" s="666">
        <v>45</v>
      </c>
      <c r="CB686" s="666">
        <v>7</v>
      </c>
      <c r="CC686" s="279">
        <v>40</v>
      </c>
      <c r="CD686" s="52">
        <v>3</v>
      </c>
      <c r="CE686" s="666">
        <v>11</v>
      </c>
      <c r="CF686" s="666">
        <v>7</v>
      </c>
      <c r="CG686" s="279">
        <v>45</v>
      </c>
      <c r="CH686" s="52">
        <v>3</v>
      </c>
      <c r="CI686" s="666">
        <v>14</v>
      </c>
      <c r="CJ686" s="666">
        <v>3</v>
      </c>
      <c r="CK686" s="281"/>
      <c r="CL686" s="277"/>
      <c r="CM686" s="159"/>
      <c r="CN686" s="666">
        <v>0</v>
      </c>
      <c r="CO686" s="50">
        <f t="shared" si="287"/>
        <v>222</v>
      </c>
      <c r="CP686" s="103">
        <f t="shared" si="288"/>
        <v>10</v>
      </c>
      <c r="CQ686" s="280">
        <f t="shared" si="289"/>
        <v>219</v>
      </c>
      <c r="CR686" s="63">
        <f t="shared" si="290"/>
        <v>10</v>
      </c>
      <c r="CS686" s="279">
        <v>42</v>
      </c>
      <c r="CT686" s="52">
        <v>3</v>
      </c>
      <c r="CU686" s="671">
        <v>42</v>
      </c>
      <c r="CV686" s="666">
        <v>2</v>
      </c>
      <c r="CW686" s="279">
        <v>44</v>
      </c>
      <c r="CX686" s="52">
        <v>1</v>
      </c>
      <c r="CY686" s="105">
        <v>44</v>
      </c>
      <c r="CZ686" s="98">
        <v>1</v>
      </c>
      <c r="DA686" s="279"/>
      <c r="DB686" s="52"/>
      <c r="DC686" s="105"/>
      <c r="DD686" s="98"/>
      <c r="DE686" s="279"/>
      <c r="DF686" s="52"/>
      <c r="DG686" s="105"/>
      <c r="DH686" s="98"/>
      <c r="DI686" s="279"/>
      <c r="DJ686" s="52"/>
      <c r="DK686" s="105"/>
      <c r="DL686" s="98"/>
      <c r="DM686" s="279"/>
      <c r="DN686" s="52"/>
      <c r="DO686" s="105"/>
      <c r="DP686" s="98"/>
      <c r="DQ686" s="279"/>
      <c r="DR686" s="52"/>
      <c r="DS686" s="105"/>
      <c r="DT686" s="98"/>
      <c r="DU686" s="279"/>
      <c r="DV686" s="52"/>
      <c r="DW686" s="105"/>
      <c r="DX686" s="98"/>
      <c r="DY686" s="279"/>
      <c r="DZ686" s="52"/>
      <c r="EA686" s="105"/>
      <c r="EB686" s="98"/>
      <c r="EC686" s="279"/>
      <c r="ED686" s="52"/>
      <c r="EE686" s="105"/>
      <c r="EF686" s="98"/>
      <c r="EG686" s="159"/>
      <c r="EH686" s="277"/>
      <c r="EI686" s="50">
        <f t="shared" si="291"/>
        <v>4</v>
      </c>
      <c r="EJ686" s="103">
        <f t="shared" si="292"/>
        <v>2</v>
      </c>
      <c r="EK686" s="164">
        <f t="shared" si="293"/>
        <v>0.75</v>
      </c>
      <c r="EL686" s="280">
        <f t="shared" si="294"/>
        <v>3</v>
      </c>
      <c r="EM686" s="63">
        <f t="shared" si="295"/>
        <v>2</v>
      </c>
      <c r="EN686" s="359">
        <f t="shared" si="296"/>
        <v>0.66666666666666663</v>
      </c>
      <c r="EO686" s="51">
        <f t="shared" si="297"/>
        <v>226</v>
      </c>
      <c r="EP686" s="361">
        <f t="shared" si="298"/>
        <v>222</v>
      </c>
      <c r="EQ686" s="281"/>
      <c r="ER686" s="277"/>
      <c r="ES686" s="281"/>
      <c r="ET686" s="277"/>
      <c r="EU686" s="281"/>
      <c r="EV686" s="277"/>
      <c r="EW686" s="281"/>
      <c r="EX686" s="277"/>
      <c r="EY686" s="281"/>
      <c r="EZ686" s="277"/>
      <c r="FA686" s="281"/>
      <c r="FB686" s="277"/>
      <c r="FC686" s="281"/>
      <c r="FD686" s="277"/>
      <c r="FE686" s="281"/>
      <c r="FF686" s="277"/>
      <c r="FG686" s="281"/>
      <c r="FH686" s="277"/>
      <c r="FI686" s="281"/>
      <c r="FJ686" s="277"/>
      <c r="FK686" s="50">
        <f t="shared" si="299"/>
        <v>0</v>
      </c>
      <c r="FL686" s="63">
        <f t="shared" si="283"/>
        <v>0</v>
      </c>
      <c r="FM686" s="50">
        <f t="shared" si="265"/>
        <v>1017</v>
      </c>
      <c r="FN686" s="360">
        <f t="shared" si="266"/>
        <v>1059</v>
      </c>
      <c r="FP686" s="279"/>
      <c r="FQ686" s="52"/>
      <c r="FR686" s="296"/>
      <c r="FS686" s="98"/>
      <c r="FT686" s="467"/>
      <c r="FU686" s="52"/>
      <c r="FV686" s="296"/>
      <c r="FW686" s="98"/>
      <c r="FX686" s="467"/>
      <c r="FY686" s="52"/>
      <c r="FZ686" s="296"/>
      <c r="GA686" s="98"/>
      <c r="GB686" s="467"/>
      <c r="GC686" s="52"/>
      <c r="GD686" s="296"/>
      <c r="GE686" s="98"/>
      <c r="GF686" s="467"/>
      <c r="GG686" s="52"/>
      <c r="GH686" s="296"/>
      <c r="GI686" s="98"/>
      <c r="GJ686" s="467"/>
      <c r="GK686" s="52"/>
      <c r="GL686" s="296"/>
      <c r="GM686" s="464"/>
      <c r="GN686" s="467"/>
      <c r="GO686" s="52"/>
      <c r="GP686" s="296"/>
      <c r="GQ686" s="464"/>
      <c r="GR686" s="467"/>
      <c r="GS686" s="52"/>
      <c r="GT686" s="296"/>
      <c r="GU686" s="464"/>
      <c r="GV686" s="467"/>
      <c r="GW686" s="52"/>
      <c r="GX686" s="296"/>
      <c r="GY686" s="464"/>
      <c r="GZ686" s="467"/>
      <c r="HA686" s="52"/>
      <c r="HB686" s="296"/>
      <c r="HC686" s="43"/>
    </row>
    <row r="687" spans="1:211" s="3" customFormat="1">
      <c r="A687" s="330" t="s">
        <v>347</v>
      </c>
      <c r="B687" s="668" t="s">
        <v>1276</v>
      </c>
      <c r="C687" s="669">
        <v>233277</v>
      </c>
      <c r="D687" s="670">
        <v>4</v>
      </c>
      <c r="E687" s="158"/>
      <c r="F687" s="277"/>
      <c r="G687" s="158"/>
      <c r="H687" s="277"/>
      <c r="I687" s="158"/>
      <c r="J687" s="666">
        <v>0</v>
      </c>
      <c r="K687" s="160">
        <f t="shared" si="284"/>
        <v>0</v>
      </c>
      <c r="L687" s="161">
        <f t="shared" si="260"/>
        <v>0</v>
      </c>
      <c r="M687" s="54">
        <v>1825</v>
      </c>
      <c r="N687" s="55"/>
      <c r="O687" s="55"/>
      <c r="P687" s="55"/>
      <c r="Q687" s="162">
        <f t="shared" si="285"/>
        <v>0</v>
      </c>
      <c r="R687" s="666">
        <v>1762</v>
      </c>
      <c r="S687" s="277"/>
      <c r="T687" s="277"/>
      <c r="U687" s="277">
        <v>185</v>
      </c>
      <c r="V687" s="97">
        <f t="shared" si="286"/>
        <v>185</v>
      </c>
      <c r="W687" s="279"/>
      <c r="X687" s="52"/>
      <c r="Y687" s="99"/>
      <c r="Z687" s="53"/>
      <c r="AA687" s="228"/>
      <c r="AB687" s="52"/>
      <c r="AC687" s="99"/>
      <c r="AD687" s="53"/>
      <c r="AE687" s="228"/>
      <c r="AF687" s="52"/>
      <c r="AG687" s="99"/>
      <c r="AH687" s="53"/>
      <c r="AI687" s="228"/>
      <c r="AJ687" s="52"/>
      <c r="AK687" s="99"/>
      <c r="AL687" s="53"/>
      <c r="AM687" s="228"/>
      <c r="AN687" s="52"/>
      <c r="AO687" s="99"/>
      <c r="AP687" s="53"/>
      <c r="AQ687" s="50">
        <f t="shared" si="261"/>
        <v>0</v>
      </c>
      <c r="AR687" s="163">
        <f t="shared" si="262"/>
        <v>0.80645161290322576</v>
      </c>
      <c r="AS687" s="97">
        <f t="shared" si="263"/>
        <v>0</v>
      </c>
      <c r="AT687" s="278">
        <f t="shared" si="264"/>
        <v>0.79764599366229061</v>
      </c>
      <c r="AU687" s="55"/>
      <c r="AV687" s="666">
        <v>18</v>
      </c>
      <c r="AW687" s="279">
        <v>13</v>
      </c>
      <c r="AX687" s="52">
        <v>221</v>
      </c>
      <c r="AY687" s="666">
        <v>13</v>
      </c>
      <c r="AZ687" s="666">
        <v>182</v>
      </c>
      <c r="BA687" s="279">
        <v>42</v>
      </c>
      <c r="BB687" s="52">
        <v>48</v>
      </c>
      <c r="BC687" s="666">
        <v>44</v>
      </c>
      <c r="BD687" s="666">
        <v>59</v>
      </c>
      <c r="BE687" s="279">
        <v>51</v>
      </c>
      <c r="BF687" s="52">
        <v>41</v>
      </c>
      <c r="BG687" s="666">
        <v>52</v>
      </c>
      <c r="BH687" s="666">
        <v>44</v>
      </c>
      <c r="BI687" s="279">
        <v>52</v>
      </c>
      <c r="BJ687" s="52">
        <v>39</v>
      </c>
      <c r="BK687" s="666">
        <v>42</v>
      </c>
      <c r="BL687" s="666">
        <v>40</v>
      </c>
      <c r="BM687" s="279">
        <v>44</v>
      </c>
      <c r="BN687" s="52">
        <v>32</v>
      </c>
      <c r="BO687" s="666">
        <v>51</v>
      </c>
      <c r="BP687" s="666">
        <v>38</v>
      </c>
      <c r="BQ687" s="279">
        <v>43</v>
      </c>
      <c r="BR687" s="52">
        <v>21</v>
      </c>
      <c r="BS687" s="666">
        <v>23</v>
      </c>
      <c r="BT687" s="666">
        <v>20</v>
      </c>
      <c r="BU687" s="279">
        <v>50</v>
      </c>
      <c r="BV687" s="52">
        <v>17</v>
      </c>
      <c r="BW687" s="666">
        <v>43</v>
      </c>
      <c r="BX687" s="666">
        <v>19</v>
      </c>
      <c r="BY687" s="279">
        <v>23</v>
      </c>
      <c r="BZ687" s="52">
        <v>12</v>
      </c>
      <c r="CA687" s="666">
        <v>50</v>
      </c>
      <c r="CB687" s="666">
        <v>11</v>
      </c>
      <c r="CC687" s="279">
        <v>9</v>
      </c>
      <c r="CD687" s="52">
        <v>7</v>
      </c>
      <c r="CE687" s="666">
        <v>9</v>
      </c>
      <c r="CF687" s="666">
        <v>10</v>
      </c>
      <c r="CG687" s="279"/>
      <c r="CH687" s="52"/>
      <c r="CI687" s="666">
        <v>0</v>
      </c>
      <c r="CJ687" s="666">
        <v>0</v>
      </c>
      <c r="CK687" s="281"/>
      <c r="CL687" s="277"/>
      <c r="CM687" s="159"/>
      <c r="CN687" s="666">
        <v>6</v>
      </c>
      <c r="CO687" s="50">
        <f t="shared" si="287"/>
        <v>438</v>
      </c>
      <c r="CP687" s="103">
        <f t="shared" si="288"/>
        <v>9</v>
      </c>
      <c r="CQ687" s="280">
        <f t="shared" si="289"/>
        <v>429</v>
      </c>
      <c r="CR687" s="63">
        <f t="shared" si="290"/>
        <v>10</v>
      </c>
      <c r="CS687" s="279"/>
      <c r="CT687" s="52"/>
      <c r="CU687" s="105"/>
      <c r="CV687" s="98"/>
      <c r="CW687" s="279"/>
      <c r="CX687" s="52"/>
      <c r="CY687" s="105"/>
      <c r="CZ687" s="98"/>
      <c r="DA687" s="279"/>
      <c r="DB687" s="52"/>
      <c r="DC687" s="105"/>
      <c r="DD687" s="98"/>
      <c r="DE687" s="279"/>
      <c r="DF687" s="52"/>
      <c r="DG687" s="105"/>
      <c r="DH687" s="98"/>
      <c r="DI687" s="279"/>
      <c r="DJ687" s="52"/>
      <c r="DK687" s="105"/>
      <c r="DL687" s="98"/>
      <c r="DM687" s="279"/>
      <c r="DN687" s="52"/>
      <c r="DO687" s="105"/>
      <c r="DP687" s="98"/>
      <c r="DQ687" s="279"/>
      <c r="DR687" s="52"/>
      <c r="DS687" s="105"/>
      <c r="DT687" s="98"/>
      <c r="DU687" s="279"/>
      <c r="DV687" s="52"/>
      <c r="DW687" s="105"/>
      <c r="DX687" s="98"/>
      <c r="DY687" s="279"/>
      <c r="DZ687" s="52"/>
      <c r="EA687" s="105"/>
      <c r="EB687" s="98"/>
      <c r="EC687" s="279"/>
      <c r="ED687" s="52"/>
      <c r="EE687" s="105"/>
      <c r="EF687" s="98"/>
      <c r="EG687" s="159"/>
      <c r="EH687" s="277"/>
      <c r="EI687" s="50">
        <f t="shared" si="291"/>
        <v>0</v>
      </c>
      <c r="EJ687" s="103">
        <f t="shared" si="292"/>
        <v>0</v>
      </c>
      <c r="EK687" s="164">
        <f t="shared" si="293"/>
        <v>0</v>
      </c>
      <c r="EL687" s="280">
        <f t="shared" si="294"/>
        <v>0</v>
      </c>
      <c r="EM687" s="63">
        <f t="shared" si="295"/>
        <v>0</v>
      </c>
      <c r="EN687" s="359">
        <f t="shared" si="296"/>
        <v>0</v>
      </c>
      <c r="EO687" s="51">
        <f t="shared" si="297"/>
        <v>438</v>
      </c>
      <c r="EP687" s="361">
        <f t="shared" si="298"/>
        <v>429</v>
      </c>
      <c r="EQ687" s="281"/>
      <c r="ER687" s="277"/>
      <c r="ES687" s="281"/>
      <c r="ET687" s="277"/>
      <c r="EU687" s="281"/>
      <c r="EV687" s="277"/>
      <c r="EW687" s="281"/>
      <c r="EX687" s="277"/>
      <c r="EY687" s="281"/>
      <c r="EZ687" s="277"/>
      <c r="FA687" s="281"/>
      <c r="FB687" s="277"/>
      <c r="FC687" s="281"/>
      <c r="FD687" s="277"/>
      <c r="FE687" s="281"/>
      <c r="FF687" s="277"/>
      <c r="FG687" s="281"/>
      <c r="FH687" s="277"/>
      <c r="FI687" s="281"/>
      <c r="FJ687" s="277"/>
      <c r="FK687" s="50">
        <f t="shared" si="299"/>
        <v>0</v>
      </c>
      <c r="FL687" s="63">
        <f t="shared" si="283"/>
        <v>0</v>
      </c>
      <c r="FM687" s="50">
        <f t="shared" si="265"/>
        <v>2263</v>
      </c>
      <c r="FN687" s="360">
        <f t="shared" si="266"/>
        <v>2209</v>
      </c>
      <c r="FP687" s="279"/>
      <c r="FQ687" s="52"/>
      <c r="FR687" s="296"/>
      <c r="FS687" s="98"/>
      <c r="FT687" s="467"/>
      <c r="FU687" s="52"/>
      <c r="FV687" s="296"/>
      <c r="FW687" s="98"/>
      <c r="FX687" s="467"/>
      <c r="FY687" s="52"/>
      <c r="FZ687" s="296"/>
      <c r="GA687" s="98"/>
      <c r="GB687" s="467"/>
      <c r="GC687" s="52"/>
      <c r="GD687" s="296"/>
      <c r="GE687" s="98"/>
      <c r="GF687" s="467"/>
      <c r="GG687" s="52"/>
      <c r="GH687" s="296"/>
      <c r="GI687" s="98"/>
      <c r="GJ687" s="467"/>
      <c r="GK687" s="52"/>
      <c r="GL687" s="296"/>
      <c r="GM687" s="464"/>
      <c r="GN687" s="467"/>
      <c r="GO687" s="52"/>
      <c r="GP687" s="296"/>
      <c r="GQ687" s="464"/>
      <c r="GR687" s="467"/>
      <c r="GS687" s="52"/>
      <c r="GT687" s="296"/>
      <c r="GU687" s="464"/>
      <c r="GV687" s="467"/>
      <c r="GW687" s="52"/>
      <c r="GX687" s="296"/>
      <c r="GY687" s="464"/>
      <c r="GZ687" s="467"/>
      <c r="HA687" s="52"/>
      <c r="HB687" s="296"/>
      <c r="HC687" s="43"/>
    </row>
    <row r="688" spans="1:211" s="3" customFormat="1">
      <c r="A688" s="330" t="s">
        <v>347</v>
      </c>
      <c r="B688" s="331" t="s">
        <v>1279</v>
      </c>
      <c r="C688" s="330">
        <v>234155</v>
      </c>
      <c r="D688" s="344">
        <v>4</v>
      </c>
      <c r="E688" s="158"/>
      <c r="F688" s="277"/>
      <c r="G688" s="158"/>
      <c r="H688" s="277"/>
      <c r="I688" s="158">
        <v>14</v>
      </c>
      <c r="J688" s="666">
        <v>8</v>
      </c>
      <c r="K688" s="160">
        <f t="shared" si="284"/>
        <v>2.337228714524207E-2</v>
      </c>
      <c r="L688" s="161">
        <f t="shared" si="260"/>
        <v>1.3136288998357963E-2</v>
      </c>
      <c r="M688" s="54">
        <v>599</v>
      </c>
      <c r="N688" s="55"/>
      <c r="O688" s="55"/>
      <c r="P688" s="55"/>
      <c r="Q688" s="162">
        <f t="shared" si="285"/>
        <v>0</v>
      </c>
      <c r="R688" s="666">
        <v>609</v>
      </c>
      <c r="S688" s="277"/>
      <c r="T688" s="277"/>
      <c r="U688" s="277">
        <v>16</v>
      </c>
      <c r="V688" s="97">
        <f t="shared" si="286"/>
        <v>16</v>
      </c>
      <c r="W688" s="279"/>
      <c r="X688" s="52"/>
      <c r="Y688" s="99"/>
      <c r="Z688" s="53"/>
      <c r="AA688" s="228"/>
      <c r="AB688" s="52"/>
      <c r="AC688" s="99"/>
      <c r="AD688" s="53"/>
      <c r="AE688" s="228"/>
      <c r="AF688" s="52"/>
      <c r="AG688" s="99"/>
      <c r="AH688" s="53"/>
      <c r="AI688" s="228"/>
      <c r="AJ688" s="52"/>
      <c r="AK688" s="99"/>
      <c r="AL688" s="53"/>
      <c r="AM688" s="228"/>
      <c r="AN688" s="52"/>
      <c r="AO688" s="99"/>
      <c r="AP688" s="53"/>
      <c r="AQ688" s="50">
        <f t="shared" si="261"/>
        <v>0</v>
      </c>
      <c r="AR688" s="163">
        <f t="shared" si="262"/>
        <v>0.83079056865464629</v>
      </c>
      <c r="AS688" s="97">
        <f t="shared" si="263"/>
        <v>0</v>
      </c>
      <c r="AT688" s="278">
        <f t="shared" si="264"/>
        <v>0.847009735744089</v>
      </c>
      <c r="AU688" s="55"/>
      <c r="AV688" s="666">
        <v>0</v>
      </c>
      <c r="AW688" s="279">
        <v>13</v>
      </c>
      <c r="AX688" s="52">
        <v>66</v>
      </c>
      <c r="AY688" s="666">
        <v>13</v>
      </c>
      <c r="AZ688" s="666">
        <v>49</v>
      </c>
      <c r="BA688" s="279">
        <v>31</v>
      </c>
      <c r="BB688" s="52">
        <v>8</v>
      </c>
      <c r="BC688" s="666">
        <v>52</v>
      </c>
      <c r="BD688" s="666">
        <v>11</v>
      </c>
      <c r="BE688" s="279">
        <v>52</v>
      </c>
      <c r="BF688" s="52">
        <v>7</v>
      </c>
      <c r="BG688" s="666">
        <v>31</v>
      </c>
      <c r="BH688" s="666">
        <v>11</v>
      </c>
      <c r="BI688" s="279">
        <v>26</v>
      </c>
      <c r="BJ688" s="52">
        <v>7</v>
      </c>
      <c r="BK688" s="666">
        <v>42</v>
      </c>
      <c r="BL688" s="666">
        <v>10</v>
      </c>
      <c r="BM688" s="279">
        <v>42</v>
      </c>
      <c r="BN688" s="52">
        <v>7</v>
      </c>
      <c r="BO688" s="666">
        <v>26</v>
      </c>
      <c r="BP688" s="666">
        <v>5</v>
      </c>
      <c r="BQ688" s="279">
        <v>27</v>
      </c>
      <c r="BR688" s="52">
        <v>2</v>
      </c>
      <c r="BS688" s="666">
        <v>23</v>
      </c>
      <c r="BT688" s="666">
        <v>4</v>
      </c>
      <c r="BU688" s="279">
        <v>54</v>
      </c>
      <c r="BV688" s="52">
        <v>2</v>
      </c>
      <c r="BW688" s="666">
        <v>54</v>
      </c>
      <c r="BX688" s="666">
        <v>4</v>
      </c>
      <c r="BY688" s="279"/>
      <c r="BZ688" s="52"/>
      <c r="CA688" s="666">
        <v>43</v>
      </c>
      <c r="CB688" s="666">
        <v>1</v>
      </c>
      <c r="CC688" s="279"/>
      <c r="CD688" s="52"/>
      <c r="CE688" s="666">
        <v>0</v>
      </c>
      <c r="CF688" s="666">
        <v>0</v>
      </c>
      <c r="CG688" s="279"/>
      <c r="CH688" s="52"/>
      <c r="CI688" s="666">
        <v>0</v>
      </c>
      <c r="CJ688" s="666">
        <v>0</v>
      </c>
      <c r="CK688" s="281"/>
      <c r="CL688" s="277"/>
      <c r="CM688" s="159"/>
      <c r="CN688" s="666">
        <v>0</v>
      </c>
      <c r="CO688" s="50">
        <f t="shared" si="287"/>
        <v>99</v>
      </c>
      <c r="CP688" s="103">
        <f t="shared" si="288"/>
        <v>7</v>
      </c>
      <c r="CQ688" s="280">
        <f t="shared" si="289"/>
        <v>95</v>
      </c>
      <c r="CR688" s="63">
        <f t="shared" si="290"/>
        <v>10</v>
      </c>
      <c r="CS688" s="279">
        <v>13</v>
      </c>
      <c r="CT688" s="52">
        <v>9</v>
      </c>
      <c r="CU688" s="666">
        <v>13</v>
      </c>
      <c r="CV688" s="666">
        <v>7</v>
      </c>
      <c r="CW688" s="279"/>
      <c r="CX688" s="52"/>
      <c r="CY688" s="105"/>
      <c r="CZ688" s="98"/>
      <c r="DA688" s="279"/>
      <c r="DB688" s="52"/>
      <c r="DC688" s="105"/>
      <c r="DD688" s="98"/>
      <c r="DE688" s="279"/>
      <c r="DF688" s="52"/>
      <c r="DG688" s="105"/>
      <c r="DH688" s="98"/>
      <c r="DI688" s="279"/>
      <c r="DJ688" s="52"/>
      <c r="DK688" s="105"/>
      <c r="DL688" s="98"/>
      <c r="DM688" s="279"/>
      <c r="DN688" s="52"/>
      <c r="DO688" s="105"/>
      <c r="DP688" s="98"/>
      <c r="DQ688" s="279"/>
      <c r="DR688" s="52"/>
      <c r="DS688" s="105"/>
      <c r="DT688" s="98"/>
      <c r="DU688" s="279"/>
      <c r="DV688" s="52"/>
      <c r="DW688" s="105"/>
      <c r="DX688" s="98"/>
      <c r="DY688" s="279"/>
      <c r="DZ688" s="52"/>
      <c r="EA688" s="105"/>
      <c r="EB688" s="98"/>
      <c r="EC688" s="279"/>
      <c r="ED688" s="52"/>
      <c r="EE688" s="105"/>
      <c r="EF688" s="98"/>
      <c r="EG688" s="159"/>
      <c r="EH688" s="277"/>
      <c r="EI688" s="50">
        <f t="shared" si="291"/>
        <v>9</v>
      </c>
      <c r="EJ688" s="103">
        <f t="shared" si="292"/>
        <v>1</v>
      </c>
      <c r="EK688" s="164">
        <f t="shared" si="293"/>
        <v>1</v>
      </c>
      <c r="EL688" s="280">
        <f t="shared" si="294"/>
        <v>7</v>
      </c>
      <c r="EM688" s="63">
        <f t="shared" si="295"/>
        <v>1</v>
      </c>
      <c r="EN688" s="359">
        <f t="shared" si="296"/>
        <v>1</v>
      </c>
      <c r="EO688" s="51">
        <f t="shared" si="297"/>
        <v>108</v>
      </c>
      <c r="EP688" s="361">
        <f t="shared" si="298"/>
        <v>102</v>
      </c>
      <c r="EQ688" s="281"/>
      <c r="ER688" s="277"/>
      <c r="ES688" s="281"/>
      <c r="ET688" s="277"/>
      <c r="EU688" s="281"/>
      <c r="EV688" s="277"/>
      <c r="EW688" s="281"/>
      <c r="EX688" s="277"/>
      <c r="EY688" s="281"/>
      <c r="EZ688" s="277"/>
      <c r="FA688" s="281"/>
      <c r="FB688" s="277"/>
      <c r="FC688" s="281"/>
      <c r="FD688" s="277"/>
      <c r="FE688" s="281"/>
      <c r="FF688" s="277"/>
      <c r="FG688" s="281"/>
      <c r="FH688" s="277"/>
      <c r="FI688" s="281"/>
      <c r="FJ688" s="277"/>
      <c r="FK688" s="50">
        <f t="shared" si="299"/>
        <v>0</v>
      </c>
      <c r="FL688" s="63">
        <f t="shared" si="283"/>
        <v>0</v>
      </c>
      <c r="FM688" s="50">
        <f t="shared" si="265"/>
        <v>721</v>
      </c>
      <c r="FN688" s="360">
        <f t="shared" si="266"/>
        <v>719</v>
      </c>
      <c r="FP688" s="279"/>
      <c r="FQ688" s="52"/>
      <c r="FR688" s="296"/>
      <c r="FS688" s="98"/>
      <c r="FT688" s="467"/>
      <c r="FU688" s="52"/>
      <c r="FV688" s="296"/>
      <c r="FW688" s="98"/>
      <c r="FX688" s="467"/>
      <c r="FY688" s="52"/>
      <c r="FZ688" s="296"/>
      <c r="GA688" s="98"/>
      <c r="GB688" s="467"/>
      <c r="GC688" s="52"/>
      <c r="GD688" s="296"/>
      <c r="GE688" s="98"/>
      <c r="GF688" s="467"/>
      <c r="GG688" s="52"/>
      <c r="GH688" s="296"/>
      <c r="GI688" s="98"/>
      <c r="GJ688" s="467"/>
      <c r="GK688" s="52"/>
      <c r="GL688" s="296"/>
      <c r="GM688" s="464"/>
      <c r="GN688" s="467"/>
      <c r="GO688" s="52"/>
      <c r="GP688" s="296"/>
      <c r="GQ688" s="464"/>
      <c r="GR688" s="467"/>
      <c r="GS688" s="52"/>
      <c r="GT688" s="296"/>
      <c r="GU688" s="464"/>
      <c r="GV688" s="467"/>
      <c r="GW688" s="52"/>
      <c r="GX688" s="296"/>
      <c r="GY688" s="464"/>
      <c r="GZ688" s="467"/>
      <c r="HA688" s="52"/>
      <c r="HB688" s="296"/>
      <c r="HC688" s="43"/>
    </row>
    <row r="689" spans="1:211" s="3" customFormat="1">
      <c r="A689" s="330" t="s">
        <v>347</v>
      </c>
      <c r="B689" s="668" t="s">
        <v>1277</v>
      </c>
      <c r="C689" s="669">
        <v>231712</v>
      </c>
      <c r="D689" s="670">
        <v>5</v>
      </c>
      <c r="E689" s="158"/>
      <c r="F689" s="277"/>
      <c r="G689" s="158"/>
      <c r="H689" s="277"/>
      <c r="I689" s="158"/>
      <c r="J689" s="666">
        <v>0</v>
      </c>
      <c r="K689" s="160">
        <f t="shared" si="284"/>
        <v>0</v>
      </c>
      <c r="L689" s="161">
        <f t="shared" si="260"/>
        <v>0</v>
      </c>
      <c r="M689" s="54">
        <v>837</v>
      </c>
      <c r="N689" s="55"/>
      <c r="O689" s="55"/>
      <c r="P689" s="55"/>
      <c r="Q689" s="162">
        <f t="shared" si="285"/>
        <v>0</v>
      </c>
      <c r="R689" s="666">
        <v>955</v>
      </c>
      <c r="S689" s="277"/>
      <c r="T689" s="277"/>
      <c r="U689" s="277">
        <v>0</v>
      </c>
      <c r="V689" s="97">
        <f t="shared" si="286"/>
        <v>0</v>
      </c>
      <c r="W689" s="279"/>
      <c r="X689" s="52"/>
      <c r="Y689" s="99"/>
      <c r="Z689" s="53"/>
      <c r="AA689" s="228"/>
      <c r="AB689" s="52"/>
      <c r="AC689" s="99"/>
      <c r="AD689" s="53"/>
      <c r="AE689" s="228"/>
      <c r="AF689" s="52"/>
      <c r="AG689" s="99"/>
      <c r="AH689" s="53"/>
      <c r="AI689" s="228"/>
      <c r="AJ689" s="52"/>
      <c r="AK689" s="99"/>
      <c r="AL689" s="53"/>
      <c r="AM689" s="228"/>
      <c r="AN689" s="52"/>
      <c r="AO689" s="99"/>
      <c r="AP689" s="53"/>
      <c r="AQ689" s="50">
        <f t="shared" si="261"/>
        <v>0</v>
      </c>
      <c r="AR689" s="163">
        <f t="shared" si="262"/>
        <v>0.92588495575221241</v>
      </c>
      <c r="AS689" s="97">
        <f t="shared" si="263"/>
        <v>0</v>
      </c>
      <c r="AT689" s="278">
        <f t="shared" si="264"/>
        <v>0.93352883675464315</v>
      </c>
      <c r="AU689" s="55"/>
      <c r="AV689" s="666">
        <v>0</v>
      </c>
      <c r="AW689" s="279">
        <v>13</v>
      </c>
      <c r="AX689" s="52">
        <v>56</v>
      </c>
      <c r="AY689" s="666">
        <v>13</v>
      </c>
      <c r="AZ689" s="666">
        <v>58</v>
      </c>
      <c r="BA689" s="279">
        <v>3</v>
      </c>
      <c r="BB689" s="52">
        <v>6</v>
      </c>
      <c r="BC689" s="666">
        <v>40</v>
      </c>
      <c r="BD689" s="666">
        <v>7</v>
      </c>
      <c r="BE689" s="279">
        <v>40</v>
      </c>
      <c r="BF689" s="52">
        <v>5</v>
      </c>
      <c r="BG689" s="666">
        <v>3</v>
      </c>
      <c r="BH689" s="666">
        <v>3</v>
      </c>
      <c r="BI689" s="279"/>
      <c r="BJ689" s="52"/>
      <c r="BK689" s="666">
        <v>0</v>
      </c>
      <c r="BL689" s="666">
        <v>0</v>
      </c>
      <c r="BM689" s="279"/>
      <c r="BN689" s="52"/>
      <c r="BO689" s="666">
        <v>0</v>
      </c>
      <c r="BP689" s="666">
        <v>0</v>
      </c>
      <c r="BQ689" s="279"/>
      <c r="BR689" s="52"/>
      <c r="BS689" s="666">
        <v>0</v>
      </c>
      <c r="BT689" s="666">
        <v>0</v>
      </c>
      <c r="BU689" s="279"/>
      <c r="BV689" s="52"/>
      <c r="BW689" s="666">
        <v>0</v>
      </c>
      <c r="BX689" s="666">
        <v>0</v>
      </c>
      <c r="BY689" s="279"/>
      <c r="BZ689" s="52"/>
      <c r="CA689" s="666">
        <v>0</v>
      </c>
      <c r="CB689" s="666">
        <v>0</v>
      </c>
      <c r="CC689" s="279"/>
      <c r="CD689" s="52"/>
      <c r="CE689" s="666">
        <v>0</v>
      </c>
      <c r="CF689" s="666">
        <v>0</v>
      </c>
      <c r="CG689" s="279"/>
      <c r="CH689" s="52"/>
      <c r="CI689" s="666">
        <v>0</v>
      </c>
      <c r="CJ689" s="666">
        <v>0</v>
      </c>
      <c r="CK689" s="281"/>
      <c r="CL689" s="277"/>
      <c r="CM689" s="159"/>
      <c r="CN689" s="666">
        <v>0</v>
      </c>
      <c r="CO689" s="50">
        <f t="shared" si="287"/>
        <v>67</v>
      </c>
      <c r="CP689" s="103">
        <f t="shared" si="288"/>
        <v>3</v>
      </c>
      <c r="CQ689" s="280">
        <f t="shared" si="289"/>
        <v>68</v>
      </c>
      <c r="CR689" s="63">
        <f t="shared" si="290"/>
        <v>10</v>
      </c>
      <c r="CS689" s="279"/>
      <c r="CT689" s="52"/>
      <c r="CU689" s="98"/>
      <c r="CV689" s="98"/>
      <c r="CW689" s="279"/>
      <c r="CX689" s="52"/>
      <c r="CY689" s="105"/>
      <c r="CZ689" s="98"/>
      <c r="DA689" s="279"/>
      <c r="DB689" s="52"/>
      <c r="DC689" s="105"/>
      <c r="DD689" s="98"/>
      <c r="DE689" s="279"/>
      <c r="DF689" s="52"/>
      <c r="DG689" s="105"/>
      <c r="DH689" s="98"/>
      <c r="DI689" s="279"/>
      <c r="DJ689" s="52"/>
      <c r="DK689" s="105"/>
      <c r="DL689" s="98"/>
      <c r="DM689" s="279"/>
      <c r="DN689" s="52"/>
      <c r="DO689" s="105"/>
      <c r="DP689" s="98"/>
      <c r="DQ689" s="279"/>
      <c r="DR689" s="52"/>
      <c r="DS689" s="105"/>
      <c r="DT689" s="98"/>
      <c r="DU689" s="279"/>
      <c r="DV689" s="52"/>
      <c r="DW689" s="105"/>
      <c r="DX689" s="98"/>
      <c r="DY689" s="279"/>
      <c r="DZ689" s="52"/>
      <c r="EA689" s="105"/>
      <c r="EB689" s="98"/>
      <c r="EC689" s="279"/>
      <c r="ED689" s="52"/>
      <c r="EE689" s="105"/>
      <c r="EF689" s="98"/>
      <c r="EG689" s="159"/>
      <c r="EH689" s="277"/>
      <c r="EI689" s="50">
        <f t="shared" si="291"/>
        <v>0</v>
      </c>
      <c r="EJ689" s="103">
        <f t="shared" si="292"/>
        <v>0</v>
      </c>
      <c r="EK689" s="164">
        <f t="shared" si="293"/>
        <v>0</v>
      </c>
      <c r="EL689" s="280">
        <f t="shared" si="294"/>
        <v>0</v>
      </c>
      <c r="EM689" s="63">
        <f t="shared" si="295"/>
        <v>0</v>
      </c>
      <c r="EN689" s="359">
        <f t="shared" si="296"/>
        <v>0</v>
      </c>
      <c r="EO689" s="51">
        <f t="shared" si="297"/>
        <v>67</v>
      </c>
      <c r="EP689" s="361">
        <f t="shared" si="298"/>
        <v>68</v>
      </c>
      <c r="EQ689" s="281"/>
      <c r="ER689" s="277"/>
      <c r="ES689" s="281"/>
      <c r="ET689" s="277"/>
      <c r="EU689" s="281"/>
      <c r="EV689" s="277"/>
      <c r="EW689" s="281"/>
      <c r="EX689" s="277"/>
      <c r="EY689" s="281"/>
      <c r="EZ689" s="277"/>
      <c r="FA689" s="281"/>
      <c r="FB689" s="277"/>
      <c r="FC689" s="281"/>
      <c r="FD689" s="277"/>
      <c r="FE689" s="281"/>
      <c r="FF689" s="277"/>
      <c r="FG689" s="281"/>
      <c r="FH689" s="277"/>
      <c r="FI689" s="281"/>
      <c r="FJ689" s="277"/>
      <c r="FK689" s="50">
        <f t="shared" si="299"/>
        <v>0</v>
      </c>
      <c r="FL689" s="63">
        <f t="shared" si="283"/>
        <v>0</v>
      </c>
      <c r="FM689" s="50">
        <f t="shared" si="265"/>
        <v>904</v>
      </c>
      <c r="FN689" s="360">
        <f t="shared" si="266"/>
        <v>1023</v>
      </c>
      <c r="FP689" s="279"/>
      <c r="FQ689" s="52"/>
      <c r="FR689" s="296"/>
      <c r="FS689" s="98"/>
      <c r="FT689" s="467"/>
      <c r="FU689" s="52"/>
      <c r="FV689" s="296"/>
      <c r="FW689" s="98"/>
      <c r="FX689" s="467"/>
      <c r="FY689" s="52"/>
      <c r="FZ689" s="296"/>
      <c r="GA689" s="98"/>
      <c r="GB689" s="467"/>
      <c r="GC689" s="52"/>
      <c r="GD689" s="296"/>
      <c r="GE689" s="98"/>
      <c r="GF689" s="467"/>
      <c r="GG689" s="52"/>
      <c r="GH689" s="296"/>
      <c r="GI689" s="98"/>
      <c r="GJ689" s="467"/>
      <c r="GK689" s="52"/>
      <c r="GL689" s="296"/>
      <c r="GM689" s="464"/>
      <c r="GN689" s="467"/>
      <c r="GO689" s="52"/>
      <c r="GP689" s="296"/>
      <c r="GQ689" s="464"/>
      <c r="GR689" s="467"/>
      <c r="GS689" s="52"/>
      <c r="GT689" s="296"/>
      <c r="GU689" s="464"/>
      <c r="GV689" s="467"/>
      <c r="GW689" s="52"/>
      <c r="GX689" s="296"/>
      <c r="GY689" s="464"/>
      <c r="GZ689" s="467"/>
      <c r="HA689" s="52"/>
      <c r="HB689" s="296"/>
      <c r="HC689" s="43"/>
    </row>
    <row r="690" spans="1:211" s="3" customFormat="1">
      <c r="A690" s="330" t="s">
        <v>347</v>
      </c>
      <c r="B690" s="331" t="s">
        <v>1280</v>
      </c>
      <c r="C690" s="330">
        <v>232566</v>
      </c>
      <c r="D690" s="344">
        <v>5</v>
      </c>
      <c r="E690" s="158"/>
      <c r="F690" s="277"/>
      <c r="G690" s="158"/>
      <c r="H690" s="277"/>
      <c r="I690" s="158"/>
      <c r="J690" s="666">
        <v>0</v>
      </c>
      <c r="K690" s="160">
        <f t="shared" si="284"/>
        <v>0</v>
      </c>
      <c r="L690" s="161">
        <f t="shared" si="260"/>
        <v>0</v>
      </c>
      <c r="M690" s="54">
        <v>746</v>
      </c>
      <c r="N690" s="55"/>
      <c r="O690" s="55"/>
      <c r="P690" s="55"/>
      <c r="Q690" s="162">
        <f t="shared" si="285"/>
        <v>0</v>
      </c>
      <c r="R690" s="666">
        <v>761</v>
      </c>
      <c r="S690" s="277"/>
      <c r="T690" s="277"/>
      <c r="U690" s="277">
        <v>240</v>
      </c>
      <c r="V690" s="97">
        <f t="shared" si="286"/>
        <v>240</v>
      </c>
      <c r="W690" s="279"/>
      <c r="X690" s="52"/>
      <c r="Y690" s="99"/>
      <c r="Z690" s="53"/>
      <c r="AA690" s="228"/>
      <c r="AB690" s="52"/>
      <c r="AC690" s="99"/>
      <c r="AD690" s="53"/>
      <c r="AE690" s="228"/>
      <c r="AF690" s="52"/>
      <c r="AG690" s="99"/>
      <c r="AH690" s="53"/>
      <c r="AI690" s="228"/>
      <c r="AJ690" s="52"/>
      <c r="AK690" s="99"/>
      <c r="AL690" s="53"/>
      <c r="AM690" s="228"/>
      <c r="AN690" s="52"/>
      <c r="AO690" s="99"/>
      <c r="AP690" s="53"/>
      <c r="AQ690" s="50">
        <f t="shared" si="261"/>
        <v>0</v>
      </c>
      <c r="AR690" s="163">
        <f t="shared" si="262"/>
        <v>0.82339955849889623</v>
      </c>
      <c r="AS690" s="97">
        <f t="shared" si="263"/>
        <v>0</v>
      </c>
      <c r="AT690" s="278">
        <f t="shared" si="264"/>
        <v>0.79853095487932846</v>
      </c>
      <c r="AU690" s="55">
        <v>16</v>
      </c>
      <c r="AV690" s="666">
        <v>0</v>
      </c>
      <c r="AW690" s="279">
        <v>13</v>
      </c>
      <c r="AX690" s="52">
        <v>124</v>
      </c>
      <c r="AY690" s="666">
        <v>13</v>
      </c>
      <c r="AZ690" s="666">
        <v>142</v>
      </c>
      <c r="BA690" s="279">
        <v>23</v>
      </c>
      <c r="BB690" s="52">
        <v>10</v>
      </c>
      <c r="BC690" s="666">
        <v>23</v>
      </c>
      <c r="BD690" s="666">
        <v>11</v>
      </c>
      <c r="BE690" s="279">
        <v>45</v>
      </c>
      <c r="BF690" s="52">
        <v>8</v>
      </c>
      <c r="BG690" s="666">
        <v>91</v>
      </c>
      <c r="BH690" s="666">
        <v>10</v>
      </c>
      <c r="BI690" s="279">
        <v>51</v>
      </c>
      <c r="BJ690" s="52">
        <v>2</v>
      </c>
      <c r="BK690" s="666">
        <v>45</v>
      </c>
      <c r="BL690" s="666">
        <v>9</v>
      </c>
      <c r="BM690" s="279"/>
      <c r="BN690" s="52"/>
      <c r="BO690" s="666">
        <v>51</v>
      </c>
      <c r="BP690" s="666">
        <v>6</v>
      </c>
      <c r="BQ690" s="279"/>
      <c r="BR690" s="52"/>
      <c r="BS690" s="666">
        <v>52</v>
      </c>
      <c r="BT690" s="666">
        <v>4</v>
      </c>
      <c r="BU690" s="279"/>
      <c r="BV690" s="52"/>
      <c r="BW690" s="666">
        <v>0</v>
      </c>
      <c r="BX690" s="666">
        <v>0</v>
      </c>
      <c r="BY690" s="279"/>
      <c r="BZ690" s="52"/>
      <c r="CA690" s="666">
        <v>0</v>
      </c>
      <c r="CB690" s="666">
        <v>0</v>
      </c>
      <c r="CC690" s="279"/>
      <c r="CD690" s="52"/>
      <c r="CE690" s="666">
        <v>0</v>
      </c>
      <c r="CF690" s="666">
        <v>0</v>
      </c>
      <c r="CG690" s="279"/>
      <c r="CH690" s="52"/>
      <c r="CI690" s="666">
        <v>0</v>
      </c>
      <c r="CJ690" s="666">
        <v>0</v>
      </c>
      <c r="CK690" s="281"/>
      <c r="CL690" s="277"/>
      <c r="CM690" s="159"/>
      <c r="CN690" s="666">
        <v>10</v>
      </c>
      <c r="CO690" s="50">
        <f t="shared" si="287"/>
        <v>144</v>
      </c>
      <c r="CP690" s="103">
        <f t="shared" si="288"/>
        <v>4</v>
      </c>
      <c r="CQ690" s="280">
        <f t="shared" si="289"/>
        <v>192</v>
      </c>
      <c r="CR690" s="63">
        <f t="shared" si="290"/>
        <v>10</v>
      </c>
      <c r="CS690" s="279"/>
      <c r="CT690" s="52"/>
      <c r="CU690" s="105"/>
      <c r="CV690" s="98"/>
      <c r="CW690" s="279"/>
      <c r="CX690" s="52"/>
      <c r="CY690" s="105"/>
      <c r="CZ690" s="98"/>
      <c r="DA690" s="279"/>
      <c r="DB690" s="52"/>
      <c r="DC690" s="105"/>
      <c r="DD690" s="98"/>
      <c r="DE690" s="279"/>
      <c r="DF690" s="52"/>
      <c r="DG690" s="105"/>
      <c r="DH690" s="98"/>
      <c r="DI690" s="279"/>
      <c r="DJ690" s="52"/>
      <c r="DK690" s="105"/>
      <c r="DL690" s="98"/>
      <c r="DM690" s="279"/>
      <c r="DN690" s="52"/>
      <c r="DO690" s="105"/>
      <c r="DP690" s="98"/>
      <c r="DQ690" s="279"/>
      <c r="DR690" s="52"/>
      <c r="DS690" s="105"/>
      <c r="DT690" s="98"/>
      <c r="DU690" s="279"/>
      <c r="DV690" s="52"/>
      <c r="DW690" s="105"/>
      <c r="DX690" s="98"/>
      <c r="DY690" s="279"/>
      <c r="DZ690" s="52"/>
      <c r="EA690" s="105"/>
      <c r="EB690" s="98"/>
      <c r="EC690" s="279"/>
      <c r="ED690" s="52"/>
      <c r="EE690" s="105"/>
      <c r="EF690" s="98"/>
      <c r="EG690" s="159"/>
      <c r="EH690" s="277"/>
      <c r="EI690" s="50">
        <f t="shared" si="291"/>
        <v>0</v>
      </c>
      <c r="EJ690" s="103">
        <f t="shared" si="292"/>
        <v>0</v>
      </c>
      <c r="EK690" s="164">
        <f t="shared" si="293"/>
        <v>0</v>
      </c>
      <c r="EL690" s="280">
        <f t="shared" si="294"/>
        <v>0</v>
      </c>
      <c r="EM690" s="63">
        <f t="shared" si="295"/>
        <v>0</v>
      </c>
      <c r="EN690" s="359">
        <f t="shared" si="296"/>
        <v>0</v>
      </c>
      <c r="EO690" s="51">
        <f t="shared" si="297"/>
        <v>144</v>
      </c>
      <c r="EP690" s="361">
        <f t="shared" si="298"/>
        <v>192</v>
      </c>
      <c r="EQ690" s="281"/>
      <c r="ER690" s="277"/>
      <c r="ES690" s="281"/>
      <c r="ET690" s="277"/>
      <c r="EU690" s="281"/>
      <c r="EV690" s="277"/>
      <c r="EW690" s="281"/>
      <c r="EX690" s="277"/>
      <c r="EY690" s="281"/>
      <c r="EZ690" s="277"/>
      <c r="FA690" s="281"/>
      <c r="FB690" s="277"/>
      <c r="FC690" s="281"/>
      <c r="FD690" s="277"/>
      <c r="FE690" s="281"/>
      <c r="FF690" s="277"/>
      <c r="FG690" s="281"/>
      <c r="FH690" s="277"/>
      <c r="FI690" s="281"/>
      <c r="FJ690" s="277"/>
      <c r="FK690" s="50">
        <f t="shared" si="299"/>
        <v>0</v>
      </c>
      <c r="FL690" s="63">
        <f t="shared" si="283"/>
        <v>0</v>
      </c>
      <c r="FM690" s="50">
        <f t="shared" si="265"/>
        <v>906</v>
      </c>
      <c r="FN690" s="360">
        <f t="shared" si="266"/>
        <v>953</v>
      </c>
      <c r="FP690" s="279"/>
      <c r="FQ690" s="52"/>
      <c r="FR690" s="296"/>
      <c r="FS690" s="98"/>
      <c r="FT690" s="467"/>
      <c r="FU690" s="52"/>
      <c r="FV690" s="296"/>
      <c r="FW690" s="98"/>
      <c r="FX690" s="467"/>
      <c r="FY690" s="52"/>
      <c r="FZ690" s="296"/>
      <c r="GA690" s="98"/>
      <c r="GB690" s="467"/>
      <c r="GC690" s="52"/>
      <c r="GD690" s="296"/>
      <c r="GE690" s="98"/>
      <c r="GF690" s="467"/>
      <c r="GG690" s="52"/>
      <c r="GH690" s="296"/>
      <c r="GI690" s="98"/>
      <c r="GJ690" s="467"/>
      <c r="GK690" s="52"/>
      <c r="GL690" s="296"/>
      <c r="GM690" s="464"/>
      <c r="GN690" s="467"/>
      <c r="GO690" s="52"/>
      <c r="GP690" s="296"/>
      <c r="GQ690" s="464"/>
      <c r="GR690" s="467"/>
      <c r="GS690" s="52"/>
      <c r="GT690" s="296"/>
      <c r="GU690" s="464"/>
      <c r="GV690" s="467"/>
      <c r="GW690" s="52"/>
      <c r="GX690" s="296"/>
      <c r="GY690" s="464"/>
      <c r="GZ690" s="467"/>
      <c r="HA690" s="52"/>
      <c r="HB690" s="296"/>
      <c r="HC690" s="43"/>
    </row>
    <row r="691" spans="1:211" s="3" customFormat="1">
      <c r="A691" s="330" t="s">
        <v>347</v>
      </c>
      <c r="B691" s="331" t="s">
        <v>1281</v>
      </c>
      <c r="C691" s="330">
        <v>232681</v>
      </c>
      <c r="D691" s="344">
        <v>5</v>
      </c>
      <c r="E691" s="158"/>
      <c r="F691" s="277"/>
      <c r="G691" s="158"/>
      <c r="H691" s="277"/>
      <c r="I691" s="158"/>
      <c r="J691" s="666">
        <v>0</v>
      </c>
      <c r="K691" s="160">
        <f t="shared" si="284"/>
        <v>0</v>
      </c>
      <c r="L691" s="161">
        <f t="shared" si="260"/>
        <v>0</v>
      </c>
      <c r="M691" s="54">
        <v>1011</v>
      </c>
      <c r="N691" s="55"/>
      <c r="O691" s="55"/>
      <c r="P691" s="55"/>
      <c r="Q691" s="162">
        <f t="shared" si="285"/>
        <v>0</v>
      </c>
      <c r="R691" s="666">
        <v>928</v>
      </c>
      <c r="S691" s="277"/>
      <c r="T691" s="277"/>
      <c r="U691" s="277">
        <v>85</v>
      </c>
      <c r="V691" s="97">
        <f t="shared" si="286"/>
        <v>85</v>
      </c>
      <c r="W691" s="279"/>
      <c r="X691" s="52"/>
      <c r="Y691" s="99"/>
      <c r="Z691" s="53"/>
      <c r="AA691" s="228"/>
      <c r="AB691" s="52"/>
      <c r="AC691" s="99"/>
      <c r="AD691" s="53"/>
      <c r="AE691" s="228"/>
      <c r="AF691" s="52"/>
      <c r="AG691" s="99"/>
      <c r="AH691" s="53"/>
      <c r="AI691" s="228"/>
      <c r="AJ691" s="52"/>
      <c r="AK691" s="99"/>
      <c r="AL691" s="53"/>
      <c r="AM691" s="228"/>
      <c r="AN691" s="52"/>
      <c r="AO691" s="99"/>
      <c r="AP691" s="53"/>
      <c r="AQ691" s="50">
        <f t="shared" si="261"/>
        <v>0</v>
      </c>
      <c r="AR691" s="163">
        <f t="shared" si="262"/>
        <v>0.81729991915925626</v>
      </c>
      <c r="AS691" s="97">
        <f t="shared" si="263"/>
        <v>0</v>
      </c>
      <c r="AT691" s="278">
        <f t="shared" si="264"/>
        <v>0.80906713164777677</v>
      </c>
      <c r="AU691" s="55">
        <v>14</v>
      </c>
      <c r="AV691" s="666">
        <v>17</v>
      </c>
      <c r="AW691" s="279">
        <v>13</v>
      </c>
      <c r="AX691" s="52">
        <v>150</v>
      </c>
      <c r="AY691" s="666">
        <v>13</v>
      </c>
      <c r="AZ691" s="666">
        <v>143</v>
      </c>
      <c r="BA691" s="279">
        <v>52</v>
      </c>
      <c r="BB691" s="52">
        <v>62</v>
      </c>
      <c r="BC691" s="666">
        <v>52</v>
      </c>
      <c r="BD691" s="666">
        <v>59</v>
      </c>
      <c r="BE691" s="279"/>
      <c r="BF691" s="52"/>
      <c r="BG691" s="666">
        <v>0</v>
      </c>
      <c r="BH691" s="666">
        <v>0</v>
      </c>
      <c r="BI691" s="279"/>
      <c r="BJ691" s="52"/>
      <c r="BK691" s="666">
        <v>0</v>
      </c>
      <c r="BL691" s="666">
        <v>0</v>
      </c>
      <c r="BM691" s="279"/>
      <c r="BN691" s="52"/>
      <c r="BO691" s="666">
        <v>0</v>
      </c>
      <c r="BP691" s="666">
        <v>0</v>
      </c>
      <c r="BQ691" s="279"/>
      <c r="BR691" s="52"/>
      <c r="BS691" s="666">
        <v>0</v>
      </c>
      <c r="BT691" s="666">
        <v>0</v>
      </c>
      <c r="BU691" s="279"/>
      <c r="BV691" s="52"/>
      <c r="BW691" s="666">
        <v>0</v>
      </c>
      <c r="BX691" s="666">
        <v>0</v>
      </c>
      <c r="BY691" s="279"/>
      <c r="BZ691" s="52"/>
      <c r="CA691" s="666">
        <v>0</v>
      </c>
      <c r="CB691" s="666">
        <v>0</v>
      </c>
      <c r="CC691" s="279"/>
      <c r="CD691" s="52"/>
      <c r="CE691" s="666">
        <v>0</v>
      </c>
      <c r="CF691" s="666">
        <v>0</v>
      </c>
      <c r="CG691" s="279"/>
      <c r="CH691" s="52"/>
      <c r="CI691" s="666">
        <v>0</v>
      </c>
      <c r="CJ691" s="666">
        <v>0</v>
      </c>
      <c r="CK691" s="281"/>
      <c r="CL691" s="277"/>
      <c r="CM691" s="159"/>
      <c r="CN691" s="666">
        <v>0</v>
      </c>
      <c r="CO691" s="50">
        <f t="shared" si="287"/>
        <v>212</v>
      </c>
      <c r="CP691" s="103">
        <f t="shared" si="288"/>
        <v>2</v>
      </c>
      <c r="CQ691" s="280">
        <f t="shared" si="289"/>
        <v>202</v>
      </c>
      <c r="CR691" s="63">
        <f t="shared" si="290"/>
        <v>10</v>
      </c>
      <c r="CS691" s="279"/>
      <c r="CT691" s="52"/>
      <c r="CU691" s="105"/>
      <c r="CV691" s="98"/>
      <c r="CW691" s="279"/>
      <c r="CX691" s="52"/>
      <c r="CY691" s="105"/>
      <c r="CZ691" s="98"/>
      <c r="DA691" s="279"/>
      <c r="DB691" s="52"/>
      <c r="DC691" s="105"/>
      <c r="DD691" s="98"/>
      <c r="DE691" s="279"/>
      <c r="DF691" s="52"/>
      <c r="DG691" s="105"/>
      <c r="DH691" s="98"/>
      <c r="DI691" s="279"/>
      <c r="DJ691" s="52"/>
      <c r="DK691" s="105"/>
      <c r="DL691" s="98"/>
      <c r="DM691" s="279"/>
      <c r="DN691" s="52"/>
      <c r="DO691" s="105"/>
      <c r="DP691" s="98"/>
      <c r="DQ691" s="279"/>
      <c r="DR691" s="52"/>
      <c r="DS691" s="105"/>
      <c r="DT691" s="98"/>
      <c r="DU691" s="279"/>
      <c r="DV691" s="52"/>
      <c r="DW691" s="105"/>
      <c r="DX691" s="98"/>
      <c r="DY691" s="279"/>
      <c r="DZ691" s="52"/>
      <c r="EA691" s="105"/>
      <c r="EB691" s="98"/>
      <c r="EC691" s="279"/>
      <c r="ED691" s="52"/>
      <c r="EE691" s="105"/>
      <c r="EF691" s="98"/>
      <c r="EG691" s="159"/>
      <c r="EH691" s="277"/>
      <c r="EI691" s="50">
        <f t="shared" si="291"/>
        <v>0</v>
      </c>
      <c r="EJ691" s="103">
        <f t="shared" si="292"/>
        <v>0</v>
      </c>
      <c r="EK691" s="164">
        <f t="shared" si="293"/>
        <v>0</v>
      </c>
      <c r="EL691" s="280">
        <f t="shared" si="294"/>
        <v>0</v>
      </c>
      <c r="EM691" s="63">
        <f t="shared" si="295"/>
        <v>0</v>
      </c>
      <c r="EN691" s="359">
        <f t="shared" si="296"/>
        <v>0</v>
      </c>
      <c r="EO691" s="51">
        <f t="shared" si="297"/>
        <v>212</v>
      </c>
      <c r="EP691" s="361">
        <f t="shared" si="298"/>
        <v>202</v>
      </c>
      <c r="EQ691" s="281"/>
      <c r="ER691" s="277"/>
      <c r="ES691" s="281"/>
      <c r="ET691" s="277"/>
      <c r="EU691" s="281"/>
      <c r="EV691" s="277"/>
      <c r="EW691" s="281"/>
      <c r="EX691" s="277"/>
      <c r="EY691" s="281"/>
      <c r="EZ691" s="277"/>
      <c r="FA691" s="281"/>
      <c r="FB691" s="277"/>
      <c r="FC691" s="281"/>
      <c r="FD691" s="277"/>
      <c r="FE691" s="281"/>
      <c r="FF691" s="277"/>
      <c r="FG691" s="281"/>
      <c r="FH691" s="277"/>
      <c r="FI691" s="281"/>
      <c r="FJ691" s="277"/>
      <c r="FK691" s="50">
        <f t="shared" si="299"/>
        <v>0</v>
      </c>
      <c r="FL691" s="63">
        <f t="shared" si="283"/>
        <v>0</v>
      </c>
      <c r="FM691" s="50">
        <f t="shared" si="265"/>
        <v>1237</v>
      </c>
      <c r="FN691" s="360">
        <f t="shared" si="266"/>
        <v>1147</v>
      </c>
      <c r="FP691" s="279"/>
      <c r="FQ691" s="52"/>
      <c r="FR691" s="296"/>
      <c r="FS691" s="98"/>
      <c r="FT691" s="467"/>
      <c r="FU691" s="52"/>
      <c r="FV691" s="296"/>
      <c r="FW691" s="98"/>
      <c r="FX691" s="467"/>
      <c r="FY691" s="52"/>
      <c r="FZ691" s="296"/>
      <c r="GA691" s="98"/>
      <c r="GB691" s="467"/>
      <c r="GC691" s="52"/>
      <c r="GD691" s="296"/>
      <c r="GE691" s="98"/>
      <c r="GF691" s="467"/>
      <c r="GG691" s="52"/>
      <c r="GH691" s="296"/>
      <c r="GI691" s="98"/>
      <c r="GJ691" s="467"/>
      <c r="GK691" s="52"/>
      <c r="GL691" s="296"/>
      <c r="GM691" s="464"/>
      <c r="GN691" s="467"/>
      <c r="GO691" s="52"/>
      <c r="GP691" s="296"/>
      <c r="GQ691" s="464"/>
      <c r="GR691" s="467"/>
      <c r="GS691" s="52"/>
      <c r="GT691" s="296"/>
      <c r="GU691" s="464"/>
      <c r="GV691" s="467"/>
      <c r="GW691" s="52"/>
      <c r="GX691" s="296"/>
      <c r="GY691" s="464"/>
      <c r="GZ691" s="467"/>
      <c r="HA691" s="52"/>
      <c r="HB691" s="296"/>
      <c r="HC691" s="43"/>
    </row>
    <row r="692" spans="1:211" s="3" customFormat="1">
      <c r="A692" s="330" t="s">
        <v>347</v>
      </c>
      <c r="B692" s="331" t="s">
        <v>1282</v>
      </c>
      <c r="C692" s="330">
        <v>233897</v>
      </c>
      <c r="D692" s="344">
        <v>6</v>
      </c>
      <c r="E692" s="158"/>
      <c r="F692" s="277"/>
      <c r="G692" s="158"/>
      <c r="H692" s="277"/>
      <c r="I692" s="158"/>
      <c r="J692" s="666">
        <v>0</v>
      </c>
      <c r="K692" s="160">
        <f t="shared" si="284"/>
        <v>0</v>
      </c>
      <c r="L692" s="161">
        <f t="shared" si="260"/>
        <v>0</v>
      </c>
      <c r="M692" s="54">
        <v>308</v>
      </c>
      <c r="N692" s="55"/>
      <c r="O692" s="55"/>
      <c r="P692" s="55"/>
      <c r="Q692" s="162">
        <f t="shared" si="285"/>
        <v>0</v>
      </c>
      <c r="R692" s="666">
        <v>287</v>
      </c>
      <c r="S692" s="277"/>
      <c r="T692" s="277"/>
      <c r="U692" s="277">
        <v>53</v>
      </c>
      <c r="V692" s="97">
        <f t="shared" si="286"/>
        <v>53</v>
      </c>
      <c r="W692" s="279"/>
      <c r="X692" s="52"/>
      <c r="Y692" s="99"/>
      <c r="Z692" s="53"/>
      <c r="AA692" s="228"/>
      <c r="AB692" s="52"/>
      <c r="AC692" s="99"/>
      <c r="AD692" s="53"/>
      <c r="AE692" s="228"/>
      <c r="AF692" s="52"/>
      <c r="AG692" s="99"/>
      <c r="AH692" s="53"/>
      <c r="AI692" s="228"/>
      <c r="AJ692" s="52"/>
      <c r="AK692" s="99"/>
      <c r="AL692" s="53"/>
      <c r="AM692" s="228"/>
      <c r="AN692" s="52"/>
      <c r="AO692" s="99"/>
      <c r="AP692" s="53"/>
      <c r="AQ692" s="50">
        <f t="shared" si="261"/>
        <v>0</v>
      </c>
      <c r="AR692" s="163">
        <f t="shared" si="262"/>
        <v>1</v>
      </c>
      <c r="AS692" s="97">
        <f t="shared" si="263"/>
        <v>0</v>
      </c>
      <c r="AT692" s="278">
        <f t="shared" si="264"/>
        <v>1</v>
      </c>
      <c r="AU692" s="55"/>
      <c r="AV692" s="666">
        <v>0</v>
      </c>
      <c r="AW692" s="279"/>
      <c r="AX692" s="52"/>
      <c r="AY692" s="105"/>
      <c r="AZ692" s="98"/>
      <c r="BA692" s="279"/>
      <c r="BB692" s="52"/>
      <c r="BC692" s="105"/>
      <c r="BD692" s="98"/>
      <c r="BE692" s="279"/>
      <c r="BF692" s="52"/>
      <c r="BG692" s="105"/>
      <c r="BH692" s="98"/>
      <c r="BI692" s="279"/>
      <c r="BJ692" s="52"/>
      <c r="BK692" s="105"/>
      <c r="BL692" s="98"/>
      <c r="BM692" s="279"/>
      <c r="BN692" s="52"/>
      <c r="BO692" s="105"/>
      <c r="BP692" s="98"/>
      <c r="BQ692" s="279"/>
      <c r="BR692" s="52"/>
      <c r="BS692" s="105"/>
      <c r="BT692" s="98"/>
      <c r="BU692" s="279"/>
      <c r="BV692" s="52"/>
      <c r="BW692" s="105"/>
      <c r="BX692" s="98"/>
      <c r="BY692" s="279"/>
      <c r="BZ692" s="52"/>
      <c r="CA692" s="105"/>
      <c r="CB692" s="98"/>
      <c r="CC692" s="279"/>
      <c r="CD692" s="52"/>
      <c r="CE692" s="105"/>
      <c r="CF692" s="98"/>
      <c r="CG692" s="279"/>
      <c r="CH692" s="52"/>
      <c r="CI692" s="105"/>
      <c r="CJ692" s="98"/>
      <c r="CK692" s="281"/>
      <c r="CL692" s="277"/>
      <c r="CM692" s="159"/>
      <c r="CN692" s="666">
        <v>0</v>
      </c>
      <c r="CO692" s="50">
        <f t="shared" si="287"/>
        <v>0</v>
      </c>
      <c r="CP692" s="103">
        <f t="shared" si="288"/>
        <v>0</v>
      </c>
      <c r="CQ692" s="280">
        <f t="shared" si="289"/>
        <v>0</v>
      </c>
      <c r="CR692" s="63">
        <f t="shared" si="290"/>
        <v>0</v>
      </c>
      <c r="CS692" s="279"/>
      <c r="CT692" s="52"/>
      <c r="CU692" s="105"/>
      <c r="CV692" s="98"/>
      <c r="CW692" s="279"/>
      <c r="CX692" s="52"/>
      <c r="CY692" s="105"/>
      <c r="CZ692" s="98"/>
      <c r="DA692" s="279"/>
      <c r="DB692" s="52"/>
      <c r="DC692" s="105"/>
      <c r="DD692" s="98"/>
      <c r="DE692" s="279"/>
      <c r="DF692" s="52"/>
      <c r="DG692" s="105"/>
      <c r="DH692" s="98"/>
      <c r="DI692" s="279"/>
      <c r="DJ692" s="52"/>
      <c r="DK692" s="105"/>
      <c r="DL692" s="98"/>
      <c r="DM692" s="279"/>
      <c r="DN692" s="52"/>
      <c r="DO692" s="105"/>
      <c r="DP692" s="98"/>
      <c r="DQ692" s="279"/>
      <c r="DR692" s="52"/>
      <c r="DS692" s="105"/>
      <c r="DT692" s="98"/>
      <c r="DU692" s="279"/>
      <c r="DV692" s="52"/>
      <c r="DW692" s="105"/>
      <c r="DX692" s="98"/>
      <c r="DY692" s="279"/>
      <c r="DZ692" s="52"/>
      <c r="EA692" s="105"/>
      <c r="EB692" s="98"/>
      <c r="EC692" s="279"/>
      <c r="ED692" s="52"/>
      <c r="EE692" s="105"/>
      <c r="EF692" s="98"/>
      <c r="EG692" s="159"/>
      <c r="EH692" s="277"/>
      <c r="EI692" s="50">
        <f t="shared" si="291"/>
        <v>0</v>
      </c>
      <c r="EJ692" s="103">
        <f t="shared" si="292"/>
        <v>0</v>
      </c>
      <c r="EK692" s="164">
        <f t="shared" si="293"/>
        <v>0</v>
      </c>
      <c r="EL692" s="280">
        <f t="shared" si="294"/>
        <v>0</v>
      </c>
      <c r="EM692" s="63">
        <f t="shared" si="295"/>
        <v>0</v>
      </c>
      <c r="EN692" s="359">
        <f t="shared" si="296"/>
        <v>0</v>
      </c>
      <c r="EO692" s="51">
        <f t="shared" si="297"/>
        <v>0</v>
      </c>
      <c r="EP692" s="361">
        <f t="shared" si="298"/>
        <v>0</v>
      </c>
      <c r="EQ692" s="281"/>
      <c r="ER692" s="277"/>
      <c r="ES692" s="281"/>
      <c r="ET692" s="277"/>
      <c r="EU692" s="281"/>
      <c r="EV692" s="277"/>
      <c r="EW692" s="281"/>
      <c r="EX692" s="277"/>
      <c r="EY692" s="281"/>
      <c r="EZ692" s="277"/>
      <c r="FA692" s="281"/>
      <c r="FB692" s="277"/>
      <c r="FC692" s="281"/>
      <c r="FD692" s="277"/>
      <c r="FE692" s="281"/>
      <c r="FF692" s="277"/>
      <c r="FG692" s="281"/>
      <c r="FH692" s="277"/>
      <c r="FI692" s="281"/>
      <c r="FJ692" s="277"/>
      <c r="FK692" s="50">
        <f t="shared" si="299"/>
        <v>0</v>
      </c>
      <c r="FL692" s="63">
        <f t="shared" si="283"/>
        <v>0</v>
      </c>
      <c r="FM692" s="50">
        <f t="shared" si="265"/>
        <v>308</v>
      </c>
      <c r="FN692" s="360">
        <f t="shared" si="266"/>
        <v>287</v>
      </c>
      <c r="FP692" s="279"/>
      <c r="FQ692" s="52"/>
      <c r="FR692" s="296"/>
      <c r="FS692" s="98"/>
      <c r="FT692" s="467"/>
      <c r="FU692" s="52"/>
      <c r="FV692" s="296"/>
      <c r="FW692" s="98"/>
      <c r="FX692" s="467"/>
      <c r="FY692" s="52"/>
      <c r="FZ692" s="296"/>
      <c r="GA692" s="98"/>
      <c r="GB692" s="467"/>
      <c r="GC692" s="52"/>
      <c r="GD692" s="296"/>
      <c r="GE692" s="98"/>
      <c r="GF692" s="467"/>
      <c r="GG692" s="52"/>
      <c r="GH692" s="296"/>
      <c r="GI692" s="98"/>
      <c r="GJ692" s="467"/>
      <c r="GK692" s="52"/>
      <c r="GL692" s="296"/>
      <c r="GM692" s="464"/>
      <c r="GN692" s="467"/>
      <c r="GO692" s="52"/>
      <c r="GP692" s="296"/>
      <c r="GQ692" s="464"/>
      <c r="GR692" s="467"/>
      <c r="GS692" s="52"/>
      <c r="GT692" s="296"/>
      <c r="GU692" s="464"/>
      <c r="GV692" s="467"/>
      <c r="GW692" s="52"/>
      <c r="GX692" s="296"/>
      <c r="GY692" s="464"/>
      <c r="GZ692" s="467"/>
      <c r="HA692" s="52"/>
      <c r="HB692" s="296"/>
      <c r="HC692" s="43"/>
    </row>
    <row r="693" spans="1:211" s="3" customFormat="1">
      <c r="A693" s="330" t="s">
        <v>347</v>
      </c>
      <c r="B693" s="331" t="s">
        <v>1283</v>
      </c>
      <c r="C693" s="330">
        <v>232414</v>
      </c>
      <c r="D693" s="344">
        <v>8</v>
      </c>
      <c r="E693" s="158">
        <v>300</v>
      </c>
      <c r="F693" s="666">
        <v>254</v>
      </c>
      <c r="G693" s="158"/>
      <c r="H693" s="277"/>
      <c r="I693" s="158">
        <v>687</v>
      </c>
      <c r="J693" s="666">
        <v>713</v>
      </c>
      <c r="K693" s="160">
        <f t="shared" si="284"/>
        <v>0</v>
      </c>
      <c r="L693" s="161">
        <f t="shared" si="260"/>
        <v>0</v>
      </c>
      <c r="M693" s="54"/>
      <c r="N693" s="55"/>
      <c r="O693" s="55"/>
      <c r="P693" s="55"/>
      <c r="Q693" s="162">
        <f t="shared" si="285"/>
        <v>0</v>
      </c>
      <c r="R693" s="277"/>
      <c r="S693" s="277"/>
      <c r="T693" s="277"/>
      <c r="U693" s="277"/>
      <c r="V693" s="97">
        <f t="shared" si="286"/>
        <v>0</v>
      </c>
      <c r="W693" s="279"/>
      <c r="X693" s="52"/>
      <c r="Y693" s="99"/>
      <c r="Z693" s="53"/>
      <c r="AA693" s="228"/>
      <c r="AB693" s="52"/>
      <c r="AC693" s="99"/>
      <c r="AD693" s="53"/>
      <c r="AE693" s="228"/>
      <c r="AF693" s="52"/>
      <c r="AG693" s="99"/>
      <c r="AH693" s="53"/>
      <c r="AI693" s="228"/>
      <c r="AJ693" s="52"/>
      <c r="AK693" s="99"/>
      <c r="AL693" s="53"/>
      <c r="AM693" s="228"/>
      <c r="AN693" s="52"/>
      <c r="AO693" s="99"/>
      <c r="AP693" s="53"/>
      <c r="AQ693" s="50">
        <f t="shared" si="261"/>
        <v>0</v>
      </c>
      <c r="AR693" s="163">
        <f t="shared" si="262"/>
        <v>0</v>
      </c>
      <c r="AS693" s="97">
        <f t="shared" si="263"/>
        <v>0</v>
      </c>
      <c r="AT693" s="278">
        <f t="shared" si="264"/>
        <v>0</v>
      </c>
      <c r="AU693" s="55"/>
      <c r="AV693" s="277"/>
      <c r="AW693" s="279"/>
      <c r="AX693" s="52"/>
      <c r="AY693" s="105"/>
      <c r="AZ693" s="98"/>
      <c r="BA693" s="279"/>
      <c r="BB693" s="52"/>
      <c r="BC693" s="105"/>
      <c r="BD693" s="98"/>
      <c r="BE693" s="279"/>
      <c r="BF693" s="52"/>
      <c r="BG693" s="105"/>
      <c r="BH693" s="98"/>
      <c r="BI693" s="279"/>
      <c r="BJ693" s="52"/>
      <c r="BK693" s="105"/>
      <c r="BL693" s="98"/>
      <c r="BM693" s="279"/>
      <c r="BN693" s="52"/>
      <c r="BO693" s="105"/>
      <c r="BP693" s="98"/>
      <c r="BQ693" s="279"/>
      <c r="BR693" s="52"/>
      <c r="BS693" s="105"/>
      <c r="BT693" s="98"/>
      <c r="BU693" s="279"/>
      <c r="BV693" s="52"/>
      <c r="BW693" s="105"/>
      <c r="BX693" s="98"/>
      <c r="BY693" s="279"/>
      <c r="BZ693" s="52"/>
      <c r="CA693" s="105"/>
      <c r="CB693" s="98"/>
      <c r="CC693" s="279"/>
      <c r="CD693" s="52"/>
      <c r="CE693" s="105"/>
      <c r="CF693" s="98"/>
      <c r="CG693" s="279"/>
      <c r="CH693" s="52"/>
      <c r="CI693" s="105"/>
      <c r="CJ693" s="98"/>
      <c r="CK693" s="281"/>
      <c r="CL693" s="277"/>
      <c r="CM693" s="159"/>
      <c r="CN693" s="277"/>
      <c r="CO693" s="50">
        <f t="shared" si="287"/>
        <v>0</v>
      </c>
      <c r="CP693" s="103">
        <f t="shared" si="288"/>
        <v>0</v>
      </c>
      <c r="CQ693" s="280">
        <f t="shared" si="289"/>
        <v>0</v>
      </c>
      <c r="CR693" s="63">
        <f t="shared" si="290"/>
        <v>0</v>
      </c>
      <c r="CS693" s="279"/>
      <c r="CT693" s="52"/>
      <c r="CU693" s="105"/>
      <c r="CV693" s="98"/>
      <c r="CW693" s="279"/>
      <c r="CX693" s="52"/>
      <c r="CY693" s="105"/>
      <c r="CZ693" s="98"/>
      <c r="DA693" s="279"/>
      <c r="DB693" s="52"/>
      <c r="DC693" s="105"/>
      <c r="DD693" s="98"/>
      <c r="DE693" s="279"/>
      <c r="DF693" s="52"/>
      <c r="DG693" s="105"/>
      <c r="DH693" s="98"/>
      <c r="DI693" s="279"/>
      <c r="DJ693" s="52"/>
      <c r="DK693" s="105"/>
      <c r="DL693" s="98"/>
      <c r="DM693" s="279"/>
      <c r="DN693" s="52"/>
      <c r="DO693" s="105"/>
      <c r="DP693" s="98"/>
      <c r="DQ693" s="279"/>
      <c r="DR693" s="52"/>
      <c r="DS693" s="105"/>
      <c r="DT693" s="98"/>
      <c r="DU693" s="279"/>
      <c r="DV693" s="52"/>
      <c r="DW693" s="105"/>
      <c r="DX693" s="98"/>
      <c r="DY693" s="279"/>
      <c r="DZ693" s="52"/>
      <c r="EA693" s="105"/>
      <c r="EB693" s="98"/>
      <c r="EC693" s="279"/>
      <c r="ED693" s="52"/>
      <c r="EE693" s="105"/>
      <c r="EF693" s="98"/>
      <c r="EG693" s="159"/>
      <c r="EH693" s="277"/>
      <c r="EI693" s="50">
        <f t="shared" si="291"/>
        <v>0</v>
      </c>
      <c r="EJ693" s="103">
        <f t="shared" si="292"/>
        <v>0</v>
      </c>
      <c r="EK693" s="164">
        <f t="shared" si="293"/>
        <v>0</v>
      </c>
      <c r="EL693" s="280">
        <f t="shared" si="294"/>
        <v>0</v>
      </c>
      <c r="EM693" s="63">
        <f t="shared" si="295"/>
        <v>0</v>
      </c>
      <c r="EN693" s="359">
        <f t="shared" si="296"/>
        <v>0</v>
      </c>
      <c r="EO693" s="51">
        <f t="shared" si="297"/>
        <v>0</v>
      </c>
      <c r="EP693" s="361">
        <f t="shared" si="298"/>
        <v>0</v>
      </c>
      <c r="EQ693" s="281"/>
      <c r="ER693" s="277"/>
      <c r="ES693" s="281"/>
      <c r="ET693" s="277"/>
      <c r="EU693" s="281"/>
      <c r="EV693" s="277"/>
      <c r="EW693" s="281"/>
      <c r="EX693" s="277"/>
      <c r="EY693" s="281"/>
      <c r="EZ693" s="277"/>
      <c r="FA693" s="281"/>
      <c r="FB693" s="277"/>
      <c r="FC693" s="281"/>
      <c r="FD693" s="277"/>
      <c r="FE693" s="281"/>
      <c r="FF693" s="277"/>
      <c r="FG693" s="281"/>
      <c r="FH693" s="277"/>
      <c r="FI693" s="281"/>
      <c r="FJ693" s="277"/>
      <c r="FK693" s="50">
        <f t="shared" si="299"/>
        <v>0</v>
      </c>
      <c r="FL693" s="63">
        <f t="shared" si="283"/>
        <v>0</v>
      </c>
      <c r="FM693" s="50">
        <f t="shared" si="265"/>
        <v>987</v>
      </c>
      <c r="FN693" s="360">
        <f t="shared" si="266"/>
        <v>967</v>
      </c>
      <c r="FP693" s="279"/>
      <c r="FQ693" s="52"/>
      <c r="FR693" s="296"/>
      <c r="FS693" s="98"/>
      <c r="FT693" s="467"/>
      <c r="FU693" s="52"/>
      <c r="FV693" s="296"/>
      <c r="FW693" s="98"/>
      <c r="FX693" s="467"/>
      <c r="FY693" s="52"/>
      <c r="FZ693" s="296"/>
      <c r="GA693" s="98"/>
      <c r="GB693" s="467"/>
      <c r="GC693" s="52"/>
      <c r="GD693" s="296"/>
      <c r="GE693" s="98"/>
      <c r="GF693" s="467"/>
      <c r="GG693" s="52"/>
      <c r="GH693" s="296"/>
      <c r="GI693" s="98"/>
      <c r="GJ693" s="467"/>
      <c r="GK693" s="52"/>
      <c r="GL693" s="296"/>
      <c r="GM693" s="464"/>
      <c r="GN693" s="467"/>
      <c r="GO693" s="52"/>
      <c r="GP693" s="296"/>
      <c r="GQ693" s="464"/>
      <c r="GR693" s="467"/>
      <c r="GS693" s="52"/>
      <c r="GT693" s="296"/>
      <c r="GU693" s="464"/>
      <c r="GV693" s="467"/>
      <c r="GW693" s="52"/>
      <c r="GX693" s="296"/>
      <c r="GY693" s="464"/>
      <c r="GZ693" s="467"/>
      <c r="HA693" s="52"/>
      <c r="HB693" s="296"/>
      <c r="HC693" s="43"/>
    </row>
    <row r="694" spans="1:211" s="3" customFormat="1">
      <c r="A694" s="330" t="s">
        <v>347</v>
      </c>
      <c r="B694" s="331" t="s">
        <v>1284</v>
      </c>
      <c r="C694" s="330">
        <v>232946</v>
      </c>
      <c r="D694" s="344">
        <v>8</v>
      </c>
      <c r="E694" s="158">
        <v>334</v>
      </c>
      <c r="F694" s="666">
        <v>249</v>
      </c>
      <c r="G694" s="158"/>
      <c r="H694" s="277"/>
      <c r="I694" s="158">
        <v>2925</v>
      </c>
      <c r="J694" s="666">
        <v>3186</v>
      </c>
      <c r="K694" s="160">
        <f t="shared" si="284"/>
        <v>0</v>
      </c>
      <c r="L694" s="161">
        <f t="shared" si="260"/>
        <v>0</v>
      </c>
      <c r="M694" s="54"/>
      <c r="N694" s="55"/>
      <c r="O694" s="55"/>
      <c r="P694" s="55"/>
      <c r="Q694" s="162">
        <f t="shared" si="285"/>
        <v>0</v>
      </c>
      <c r="R694" s="277"/>
      <c r="S694" s="277"/>
      <c r="T694" s="277"/>
      <c r="U694" s="277"/>
      <c r="V694" s="97">
        <f t="shared" si="286"/>
        <v>0</v>
      </c>
      <c r="W694" s="279"/>
      <c r="X694" s="52"/>
      <c r="Y694" s="99"/>
      <c r="Z694" s="53"/>
      <c r="AA694" s="228"/>
      <c r="AB694" s="52"/>
      <c r="AC694" s="99"/>
      <c r="AD694" s="53"/>
      <c r="AE694" s="228"/>
      <c r="AF694" s="52"/>
      <c r="AG694" s="99"/>
      <c r="AH694" s="53"/>
      <c r="AI694" s="228"/>
      <c r="AJ694" s="52"/>
      <c r="AK694" s="99"/>
      <c r="AL694" s="53"/>
      <c r="AM694" s="228"/>
      <c r="AN694" s="52"/>
      <c r="AO694" s="99"/>
      <c r="AP694" s="53"/>
      <c r="AQ694" s="50">
        <f t="shared" si="261"/>
        <v>0</v>
      </c>
      <c r="AR694" s="163">
        <f t="shared" si="262"/>
        <v>0</v>
      </c>
      <c r="AS694" s="97">
        <f t="shared" si="263"/>
        <v>0</v>
      </c>
      <c r="AT694" s="278">
        <f t="shared" si="264"/>
        <v>0</v>
      </c>
      <c r="AU694" s="55"/>
      <c r="AV694" s="277"/>
      <c r="AW694" s="279"/>
      <c r="AX694" s="52"/>
      <c r="AY694" s="105"/>
      <c r="AZ694" s="98"/>
      <c r="BA694" s="279"/>
      <c r="BB694" s="52"/>
      <c r="BC694" s="105"/>
      <c r="BD694" s="98"/>
      <c r="BE694" s="279"/>
      <c r="BF694" s="52"/>
      <c r="BG694" s="105"/>
      <c r="BH694" s="98"/>
      <c r="BI694" s="279"/>
      <c r="BJ694" s="52"/>
      <c r="BK694" s="105"/>
      <c r="BL694" s="98"/>
      <c r="BM694" s="279"/>
      <c r="BN694" s="52"/>
      <c r="BO694" s="105"/>
      <c r="BP694" s="98"/>
      <c r="BQ694" s="279"/>
      <c r="BR694" s="52"/>
      <c r="BS694" s="105"/>
      <c r="BT694" s="98"/>
      <c r="BU694" s="279"/>
      <c r="BV694" s="52"/>
      <c r="BW694" s="105"/>
      <c r="BX694" s="98"/>
      <c r="BY694" s="279"/>
      <c r="BZ694" s="52"/>
      <c r="CA694" s="105"/>
      <c r="CB694" s="98"/>
      <c r="CC694" s="279"/>
      <c r="CD694" s="52"/>
      <c r="CE694" s="105"/>
      <c r="CF694" s="98"/>
      <c r="CG694" s="279"/>
      <c r="CH694" s="52"/>
      <c r="CI694" s="105"/>
      <c r="CJ694" s="98"/>
      <c r="CK694" s="281"/>
      <c r="CL694" s="277"/>
      <c r="CM694" s="159"/>
      <c r="CN694" s="277"/>
      <c r="CO694" s="50">
        <f t="shared" si="287"/>
        <v>0</v>
      </c>
      <c r="CP694" s="103">
        <f t="shared" si="288"/>
        <v>0</v>
      </c>
      <c r="CQ694" s="280">
        <f t="shared" si="289"/>
        <v>0</v>
      </c>
      <c r="CR694" s="63">
        <f t="shared" si="290"/>
        <v>0</v>
      </c>
      <c r="CS694" s="279"/>
      <c r="CT694" s="52"/>
      <c r="CU694" s="105"/>
      <c r="CV694" s="98"/>
      <c r="CW694" s="279"/>
      <c r="CX694" s="52"/>
      <c r="CY694" s="105"/>
      <c r="CZ694" s="98"/>
      <c r="DA694" s="279"/>
      <c r="DB694" s="52"/>
      <c r="DC694" s="105"/>
      <c r="DD694" s="98"/>
      <c r="DE694" s="279"/>
      <c r="DF694" s="52"/>
      <c r="DG694" s="105"/>
      <c r="DH694" s="98"/>
      <c r="DI694" s="279"/>
      <c r="DJ694" s="52"/>
      <c r="DK694" s="105"/>
      <c r="DL694" s="98"/>
      <c r="DM694" s="279"/>
      <c r="DN694" s="52"/>
      <c r="DO694" s="105"/>
      <c r="DP694" s="98"/>
      <c r="DQ694" s="279"/>
      <c r="DR694" s="52"/>
      <c r="DS694" s="105"/>
      <c r="DT694" s="98"/>
      <c r="DU694" s="279"/>
      <c r="DV694" s="52"/>
      <c r="DW694" s="105"/>
      <c r="DX694" s="98"/>
      <c r="DY694" s="279"/>
      <c r="DZ694" s="52"/>
      <c r="EA694" s="105"/>
      <c r="EB694" s="98"/>
      <c r="EC694" s="279"/>
      <c r="ED694" s="52"/>
      <c r="EE694" s="105"/>
      <c r="EF694" s="98"/>
      <c r="EG694" s="159"/>
      <c r="EH694" s="277"/>
      <c r="EI694" s="50">
        <f t="shared" si="291"/>
        <v>0</v>
      </c>
      <c r="EJ694" s="103">
        <f t="shared" si="292"/>
        <v>0</v>
      </c>
      <c r="EK694" s="164">
        <f t="shared" si="293"/>
        <v>0</v>
      </c>
      <c r="EL694" s="280">
        <f t="shared" si="294"/>
        <v>0</v>
      </c>
      <c r="EM694" s="63">
        <f t="shared" si="295"/>
        <v>0</v>
      </c>
      <c r="EN694" s="359">
        <f t="shared" si="296"/>
        <v>0</v>
      </c>
      <c r="EO694" s="51">
        <f t="shared" si="297"/>
        <v>0</v>
      </c>
      <c r="EP694" s="361">
        <f t="shared" si="298"/>
        <v>0</v>
      </c>
      <c r="EQ694" s="281"/>
      <c r="ER694" s="277"/>
      <c r="ES694" s="281"/>
      <c r="ET694" s="277"/>
      <c r="EU694" s="281"/>
      <c r="EV694" s="277"/>
      <c r="EW694" s="281"/>
      <c r="EX694" s="277"/>
      <c r="EY694" s="281"/>
      <c r="EZ694" s="277"/>
      <c r="FA694" s="281"/>
      <c r="FB694" s="277"/>
      <c r="FC694" s="281"/>
      <c r="FD694" s="277"/>
      <c r="FE694" s="281"/>
      <c r="FF694" s="277"/>
      <c r="FG694" s="281"/>
      <c r="FH694" s="277"/>
      <c r="FI694" s="281"/>
      <c r="FJ694" s="277"/>
      <c r="FK694" s="50">
        <f t="shared" si="299"/>
        <v>0</v>
      </c>
      <c r="FL694" s="63">
        <f t="shared" si="283"/>
        <v>0</v>
      </c>
      <c r="FM694" s="50">
        <f t="shared" si="265"/>
        <v>3259</v>
      </c>
      <c r="FN694" s="360">
        <f t="shared" si="266"/>
        <v>3435</v>
      </c>
      <c r="FP694" s="279"/>
      <c r="FQ694" s="52"/>
      <c r="FR694" s="296"/>
      <c r="FS694" s="98"/>
      <c r="FT694" s="467"/>
      <c r="FU694" s="52"/>
      <c r="FV694" s="296"/>
      <c r="FW694" s="98"/>
      <c r="FX694" s="467"/>
      <c r="FY694" s="52"/>
      <c r="FZ694" s="296"/>
      <c r="GA694" s="98"/>
      <c r="GB694" s="467"/>
      <c r="GC694" s="52"/>
      <c r="GD694" s="296"/>
      <c r="GE694" s="98"/>
      <c r="GF694" s="467"/>
      <c r="GG694" s="52"/>
      <c r="GH694" s="296"/>
      <c r="GI694" s="98"/>
      <c r="GJ694" s="467"/>
      <c r="GK694" s="52"/>
      <c r="GL694" s="296"/>
      <c r="GM694" s="464"/>
      <c r="GN694" s="467"/>
      <c r="GO694" s="52"/>
      <c r="GP694" s="296"/>
      <c r="GQ694" s="464"/>
      <c r="GR694" s="467"/>
      <c r="GS694" s="52"/>
      <c r="GT694" s="296"/>
      <c r="GU694" s="464"/>
      <c r="GV694" s="467"/>
      <c r="GW694" s="52"/>
      <c r="GX694" s="296"/>
      <c r="GY694" s="464"/>
      <c r="GZ694" s="467"/>
      <c r="HA694" s="52"/>
      <c r="HB694" s="296"/>
      <c r="HC694" s="43"/>
    </row>
    <row r="695" spans="1:211" s="3" customFormat="1">
      <c r="A695" s="330" t="s">
        <v>347</v>
      </c>
      <c r="B695" s="331" t="s">
        <v>1285</v>
      </c>
      <c r="C695" s="330">
        <v>233754</v>
      </c>
      <c r="D695" s="344">
        <v>8</v>
      </c>
      <c r="E695" s="158">
        <v>472</v>
      </c>
      <c r="F695" s="666">
        <v>445</v>
      </c>
      <c r="G695" s="158"/>
      <c r="H695" s="277"/>
      <c r="I695" s="158">
        <v>735</v>
      </c>
      <c r="J695" s="666">
        <v>714</v>
      </c>
      <c r="K695" s="160">
        <f t="shared" si="284"/>
        <v>0</v>
      </c>
      <c r="L695" s="161">
        <f t="shared" si="260"/>
        <v>0</v>
      </c>
      <c r="M695" s="54"/>
      <c r="N695" s="55"/>
      <c r="O695" s="55"/>
      <c r="P695" s="55"/>
      <c r="Q695" s="162">
        <f t="shared" si="285"/>
        <v>0</v>
      </c>
      <c r="R695" s="277"/>
      <c r="S695" s="277"/>
      <c r="T695" s="277"/>
      <c r="U695" s="277"/>
      <c r="V695" s="97">
        <f t="shared" si="286"/>
        <v>0</v>
      </c>
      <c r="W695" s="279"/>
      <c r="X695" s="52"/>
      <c r="Y695" s="99"/>
      <c r="Z695" s="53"/>
      <c r="AA695" s="228"/>
      <c r="AB695" s="52"/>
      <c r="AC695" s="99"/>
      <c r="AD695" s="53"/>
      <c r="AE695" s="228"/>
      <c r="AF695" s="52"/>
      <c r="AG695" s="99"/>
      <c r="AH695" s="53"/>
      <c r="AI695" s="228"/>
      <c r="AJ695" s="52"/>
      <c r="AK695" s="99"/>
      <c r="AL695" s="53"/>
      <c r="AM695" s="228"/>
      <c r="AN695" s="52"/>
      <c r="AO695" s="99"/>
      <c r="AP695" s="53"/>
      <c r="AQ695" s="50">
        <f t="shared" si="261"/>
        <v>0</v>
      </c>
      <c r="AR695" s="163">
        <f t="shared" si="262"/>
        <v>0</v>
      </c>
      <c r="AS695" s="97">
        <f t="shared" si="263"/>
        <v>0</v>
      </c>
      <c r="AT695" s="278">
        <f t="shared" si="264"/>
        <v>0</v>
      </c>
      <c r="AU695" s="55"/>
      <c r="AV695" s="277"/>
      <c r="AW695" s="279"/>
      <c r="AX695" s="52"/>
      <c r="AY695" s="105"/>
      <c r="AZ695" s="98"/>
      <c r="BA695" s="279"/>
      <c r="BB695" s="52"/>
      <c r="BC695" s="105"/>
      <c r="BD695" s="98"/>
      <c r="BE695" s="279"/>
      <c r="BF695" s="52"/>
      <c r="BG695" s="105"/>
      <c r="BH695" s="98"/>
      <c r="BI695" s="279"/>
      <c r="BJ695" s="52"/>
      <c r="BK695" s="105"/>
      <c r="BL695" s="98"/>
      <c r="BM695" s="279"/>
      <c r="BN695" s="52"/>
      <c r="BO695" s="105"/>
      <c r="BP695" s="98"/>
      <c r="BQ695" s="279"/>
      <c r="BR695" s="52"/>
      <c r="BS695" s="105"/>
      <c r="BT695" s="98"/>
      <c r="BU695" s="279"/>
      <c r="BV695" s="52"/>
      <c r="BW695" s="105"/>
      <c r="BX695" s="98"/>
      <c r="BY695" s="279"/>
      <c r="BZ695" s="52"/>
      <c r="CA695" s="105"/>
      <c r="CB695" s="98"/>
      <c r="CC695" s="279"/>
      <c r="CD695" s="52"/>
      <c r="CE695" s="105"/>
      <c r="CF695" s="98"/>
      <c r="CG695" s="279"/>
      <c r="CH695" s="52"/>
      <c r="CI695" s="105"/>
      <c r="CJ695" s="98"/>
      <c r="CK695" s="281"/>
      <c r="CL695" s="277"/>
      <c r="CM695" s="159"/>
      <c r="CN695" s="277"/>
      <c r="CO695" s="50">
        <f t="shared" si="287"/>
        <v>0</v>
      </c>
      <c r="CP695" s="103">
        <f t="shared" si="288"/>
        <v>0</v>
      </c>
      <c r="CQ695" s="280">
        <f t="shared" si="289"/>
        <v>0</v>
      </c>
      <c r="CR695" s="63">
        <f t="shared" si="290"/>
        <v>0</v>
      </c>
      <c r="CS695" s="279"/>
      <c r="CT695" s="52"/>
      <c r="CU695" s="105"/>
      <c r="CV695" s="98"/>
      <c r="CW695" s="279"/>
      <c r="CX695" s="52"/>
      <c r="CY695" s="105"/>
      <c r="CZ695" s="98"/>
      <c r="DA695" s="279"/>
      <c r="DB695" s="52"/>
      <c r="DC695" s="105"/>
      <c r="DD695" s="98"/>
      <c r="DE695" s="279"/>
      <c r="DF695" s="52"/>
      <c r="DG695" s="105"/>
      <c r="DH695" s="98"/>
      <c r="DI695" s="279"/>
      <c r="DJ695" s="52"/>
      <c r="DK695" s="105"/>
      <c r="DL695" s="98"/>
      <c r="DM695" s="279"/>
      <c r="DN695" s="52"/>
      <c r="DO695" s="105"/>
      <c r="DP695" s="98"/>
      <c r="DQ695" s="279"/>
      <c r="DR695" s="52"/>
      <c r="DS695" s="105"/>
      <c r="DT695" s="98"/>
      <c r="DU695" s="279"/>
      <c r="DV695" s="52"/>
      <c r="DW695" s="105"/>
      <c r="DX695" s="98"/>
      <c r="DY695" s="279"/>
      <c r="DZ695" s="52"/>
      <c r="EA695" s="105"/>
      <c r="EB695" s="98"/>
      <c r="EC695" s="279"/>
      <c r="ED695" s="52"/>
      <c r="EE695" s="105"/>
      <c r="EF695" s="98"/>
      <c r="EG695" s="159"/>
      <c r="EH695" s="277"/>
      <c r="EI695" s="50">
        <f t="shared" si="291"/>
        <v>0</v>
      </c>
      <c r="EJ695" s="103">
        <f t="shared" si="292"/>
        <v>0</v>
      </c>
      <c r="EK695" s="164">
        <f t="shared" si="293"/>
        <v>0</v>
      </c>
      <c r="EL695" s="280">
        <f t="shared" si="294"/>
        <v>0</v>
      </c>
      <c r="EM695" s="63">
        <f t="shared" si="295"/>
        <v>0</v>
      </c>
      <c r="EN695" s="359">
        <f t="shared" si="296"/>
        <v>0</v>
      </c>
      <c r="EO695" s="51">
        <f t="shared" si="297"/>
        <v>0</v>
      </c>
      <c r="EP695" s="361">
        <f t="shared" si="298"/>
        <v>0</v>
      </c>
      <c r="EQ695" s="281"/>
      <c r="ER695" s="277"/>
      <c r="ES695" s="281"/>
      <c r="ET695" s="277"/>
      <c r="EU695" s="281"/>
      <c r="EV695" s="277"/>
      <c r="EW695" s="281"/>
      <c r="EX695" s="277"/>
      <c r="EY695" s="281"/>
      <c r="EZ695" s="277"/>
      <c r="FA695" s="281"/>
      <c r="FB695" s="277"/>
      <c r="FC695" s="281"/>
      <c r="FD695" s="277"/>
      <c r="FE695" s="281"/>
      <c r="FF695" s="277"/>
      <c r="FG695" s="281"/>
      <c r="FH695" s="277"/>
      <c r="FI695" s="281"/>
      <c r="FJ695" s="277"/>
      <c r="FK695" s="50">
        <f t="shared" si="299"/>
        <v>0</v>
      </c>
      <c r="FL695" s="63">
        <f t="shared" si="283"/>
        <v>0</v>
      </c>
      <c r="FM695" s="50">
        <f t="shared" si="265"/>
        <v>1207</v>
      </c>
      <c r="FN695" s="360">
        <f t="shared" si="266"/>
        <v>1159</v>
      </c>
      <c r="FP695" s="279"/>
      <c r="FQ695" s="52"/>
      <c r="FR695" s="296"/>
      <c r="FS695" s="98"/>
      <c r="FT695" s="467"/>
      <c r="FU695" s="52"/>
      <c r="FV695" s="296"/>
      <c r="FW695" s="98"/>
      <c r="FX695" s="467"/>
      <c r="FY695" s="52"/>
      <c r="FZ695" s="296"/>
      <c r="GA695" s="98"/>
      <c r="GB695" s="467"/>
      <c r="GC695" s="52"/>
      <c r="GD695" s="296"/>
      <c r="GE695" s="98"/>
      <c r="GF695" s="467"/>
      <c r="GG695" s="52"/>
      <c r="GH695" s="296"/>
      <c r="GI695" s="98"/>
      <c r="GJ695" s="467"/>
      <c r="GK695" s="52"/>
      <c r="GL695" s="296"/>
      <c r="GM695" s="464"/>
      <c r="GN695" s="467"/>
      <c r="GO695" s="52"/>
      <c r="GP695" s="296"/>
      <c r="GQ695" s="464"/>
      <c r="GR695" s="467"/>
      <c r="GS695" s="52"/>
      <c r="GT695" s="296"/>
      <c r="GU695" s="464"/>
      <c r="GV695" s="467"/>
      <c r="GW695" s="52"/>
      <c r="GX695" s="296"/>
      <c r="GY695" s="464"/>
      <c r="GZ695" s="467"/>
      <c r="HA695" s="52"/>
      <c r="HB695" s="296"/>
      <c r="HC695" s="43"/>
    </row>
    <row r="696" spans="1:211" s="3" customFormat="1">
      <c r="A696" s="330" t="s">
        <v>347</v>
      </c>
      <c r="B696" s="331" t="s">
        <v>1286</v>
      </c>
      <c r="C696" s="330">
        <v>233772</v>
      </c>
      <c r="D696" s="344">
        <v>8</v>
      </c>
      <c r="E696" s="158">
        <v>268</v>
      </c>
      <c r="F696" s="666">
        <v>569</v>
      </c>
      <c r="G696" s="158"/>
      <c r="H696" s="277"/>
      <c r="I696" s="158">
        <v>2250</v>
      </c>
      <c r="J696" s="666">
        <v>2297</v>
      </c>
      <c r="K696" s="160">
        <f t="shared" si="284"/>
        <v>0</v>
      </c>
      <c r="L696" s="161">
        <f t="shared" si="260"/>
        <v>0</v>
      </c>
      <c r="M696" s="54"/>
      <c r="N696" s="55"/>
      <c r="O696" s="55"/>
      <c r="P696" s="55"/>
      <c r="Q696" s="162">
        <f t="shared" si="285"/>
        <v>0</v>
      </c>
      <c r="R696" s="277"/>
      <c r="S696" s="277"/>
      <c r="T696" s="277"/>
      <c r="U696" s="277"/>
      <c r="V696" s="97">
        <f t="shared" si="286"/>
        <v>0</v>
      </c>
      <c r="W696" s="279"/>
      <c r="X696" s="52"/>
      <c r="Y696" s="99"/>
      <c r="Z696" s="53"/>
      <c r="AA696" s="228"/>
      <c r="AB696" s="52"/>
      <c r="AC696" s="99"/>
      <c r="AD696" s="53"/>
      <c r="AE696" s="228"/>
      <c r="AF696" s="52"/>
      <c r="AG696" s="99"/>
      <c r="AH696" s="53"/>
      <c r="AI696" s="228"/>
      <c r="AJ696" s="52"/>
      <c r="AK696" s="99"/>
      <c r="AL696" s="53"/>
      <c r="AM696" s="228"/>
      <c r="AN696" s="52"/>
      <c r="AO696" s="99"/>
      <c r="AP696" s="53"/>
      <c r="AQ696" s="50">
        <f t="shared" si="261"/>
        <v>0</v>
      </c>
      <c r="AR696" s="163">
        <f t="shared" si="262"/>
        <v>0</v>
      </c>
      <c r="AS696" s="97">
        <f t="shared" si="263"/>
        <v>0</v>
      </c>
      <c r="AT696" s="278">
        <f t="shared" si="264"/>
        <v>0</v>
      </c>
      <c r="AU696" s="55"/>
      <c r="AV696" s="277"/>
      <c r="AW696" s="279"/>
      <c r="AX696" s="52"/>
      <c r="AY696" s="105"/>
      <c r="AZ696" s="98"/>
      <c r="BA696" s="279"/>
      <c r="BB696" s="52"/>
      <c r="BC696" s="105"/>
      <c r="BD696" s="98"/>
      <c r="BE696" s="279"/>
      <c r="BF696" s="52"/>
      <c r="BG696" s="105"/>
      <c r="BH696" s="98"/>
      <c r="BI696" s="279"/>
      <c r="BJ696" s="52"/>
      <c r="BK696" s="105"/>
      <c r="BL696" s="98"/>
      <c r="BM696" s="279"/>
      <c r="BN696" s="52"/>
      <c r="BO696" s="105"/>
      <c r="BP696" s="98"/>
      <c r="BQ696" s="279"/>
      <c r="BR696" s="52"/>
      <c r="BS696" s="105"/>
      <c r="BT696" s="98"/>
      <c r="BU696" s="279"/>
      <c r="BV696" s="52"/>
      <c r="BW696" s="105"/>
      <c r="BX696" s="98"/>
      <c r="BY696" s="279"/>
      <c r="BZ696" s="52"/>
      <c r="CA696" s="105"/>
      <c r="CB696" s="98"/>
      <c r="CC696" s="279"/>
      <c r="CD696" s="52"/>
      <c r="CE696" s="105"/>
      <c r="CF696" s="98"/>
      <c r="CG696" s="279"/>
      <c r="CH696" s="52"/>
      <c r="CI696" s="105"/>
      <c r="CJ696" s="98"/>
      <c r="CK696" s="281"/>
      <c r="CL696" s="277"/>
      <c r="CM696" s="159"/>
      <c r="CN696" s="277"/>
      <c r="CO696" s="50">
        <f t="shared" si="287"/>
        <v>0</v>
      </c>
      <c r="CP696" s="103">
        <f t="shared" si="288"/>
        <v>0</v>
      </c>
      <c r="CQ696" s="280">
        <f t="shared" si="289"/>
        <v>0</v>
      </c>
      <c r="CR696" s="63">
        <f t="shared" si="290"/>
        <v>0</v>
      </c>
      <c r="CS696" s="279"/>
      <c r="CT696" s="52"/>
      <c r="CU696" s="105"/>
      <c r="CV696" s="98"/>
      <c r="CW696" s="279"/>
      <c r="CX696" s="52"/>
      <c r="CY696" s="105"/>
      <c r="CZ696" s="98"/>
      <c r="DA696" s="279"/>
      <c r="DB696" s="52"/>
      <c r="DC696" s="105"/>
      <c r="DD696" s="98"/>
      <c r="DE696" s="279"/>
      <c r="DF696" s="52"/>
      <c r="DG696" s="105"/>
      <c r="DH696" s="98"/>
      <c r="DI696" s="279"/>
      <c r="DJ696" s="52"/>
      <c r="DK696" s="105"/>
      <c r="DL696" s="98"/>
      <c r="DM696" s="279"/>
      <c r="DN696" s="52"/>
      <c r="DO696" s="105"/>
      <c r="DP696" s="98"/>
      <c r="DQ696" s="279"/>
      <c r="DR696" s="52"/>
      <c r="DS696" s="105"/>
      <c r="DT696" s="98"/>
      <c r="DU696" s="279"/>
      <c r="DV696" s="52"/>
      <c r="DW696" s="105"/>
      <c r="DX696" s="98"/>
      <c r="DY696" s="279"/>
      <c r="DZ696" s="52"/>
      <c r="EA696" s="105"/>
      <c r="EB696" s="98"/>
      <c r="EC696" s="279"/>
      <c r="ED696" s="52"/>
      <c r="EE696" s="105"/>
      <c r="EF696" s="98"/>
      <c r="EG696" s="159"/>
      <c r="EH696" s="277"/>
      <c r="EI696" s="50">
        <f t="shared" si="291"/>
        <v>0</v>
      </c>
      <c r="EJ696" s="103">
        <f t="shared" si="292"/>
        <v>0</v>
      </c>
      <c r="EK696" s="164">
        <f t="shared" si="293"/>
        <v>0</v>
      </c>
      <c r="EL696" s="280">
        <f t="shared" si="294"/>
        <v>0</v>
      </c>
      <c r="EM696" s="63">
        <f t="shared" si="295"/>
        <v>0</v>
      </c>
      <c r="EN696" s="359">
        <f t="shared" si="296"/>
        <v>0</v>
      </c>
      <c r="EO696" s="51">
        <f t="shared" si="297"/>
        <v>0</v>
      </c>
      <c r="EP696" s="361">
        <f t="shared" si="298"/>
        <v>0</v>
      </c>
      <c r="EQ696" s="281"/>
      <c r="ER696" s="277"/>
      <c r="ES696" s="281"/>
      <c r="ET696" s="277"/>
      <c r="EU696" s="281"/>
      <c r="EV696" s="277"/>
      <c r="EW696" s="281"/>
      <c r="EX696" s="277"/>
      <c r="EY696" s="281"/>
      <c r="EZ696" s="277"/>
      <c r="FA696" s="281"/>
      <c r="FB696" s="277"/>
      <c r="FC696" s="281"/>
      <c r="FD696" s="277"/>
      <c r="FE696" s="281"/>
      <c r="FF696" s="277"/>
      <c r="FG696" s="281"/>
      <c r="FH696" s="277"/>
      <c r="FI696" s="281"/>
      <c r="FJ696" s="277"/>
      <c r="FK696" s="50">
        <f t="shared" si="299"/>
        <v>0</v>
      </c>
      <c r="FL696" s="63">
        <f t="shared" si="283"/>
        <v>0</v>
      </c>
      <c r="FM696" s="50">
        <f t="shared" si="265"/>
        <v>2518</v>
      </c>
      <c r="FN696" s="360">
        <f t="shared" si="266"/>
        <v>2866</v>
      </c>
      <c r="FP696" s="279"/>
      <c r="FQ696" s="52"/>
      <c r="FR696" s="296"/>
      <c r="FS696" s="98"/>
      <c r="FT696" s="467"/>
      <c r="FU696" s="52"/>
      <c r="FV696" s="296"/>
      <c r="FW696" s="98"/>
      <c r="FX696" s="467"/>
      <c r="FY696" s="52"/>
      <c r="FZ696" s="296"/>
      <c r="GA696" s="98"/>
      <c r="GB696" s="467"/>
      <c r="GC696" s="52"/>
      <c r="GD696" s="296"/>
      <c r="GE696" s="98"/>
      <c r="GF696" s="467"/>
      <c r="GG696" s="52"/>
      <c r="GH696" s="296"/>
      <c r="GI696" s="98"/>
      <c r="GJ696" s="467"/>
      <c r="GK696" s="52"/>
      <c r="GL696" s="296"/>
      <c r="GM696" s="464"/>
      <c r="GN696" s="467"/>
      <c r="GO696" s="52"/>
      <c r="GP696" s="296"/>
      <c r="GQ696" s="464"/>
      <c r="GR696" s="467"/>
      <c r="GS696" s="52"/>
      <c r="GT696" s="296"/>
      <c r="GU696" s="464"/>
      <c r="GV696" s="467"/>
      <c r="GW696" s="52"/>
      <c r="GX696" s="296"/>
      <c r="GY696" s="464"/>
      <c r="GZ696" s="467"/>
      <c r="HA696" s="52"/>
      <c r="HB696" s="296"/>
      <c r="HC696" s="43"/>
    </row>
    <row r="697" spans="1:211" s="3" customFormat="1">
      <c r="A697" s="330" t="s">
        <v>347</v>
      </c>
      <c r="B697" s="331" t="s">
        <v>1287</v>
      </c>
      <c r="C697" s="330">
        <v>231536</v>
      </c>
      <c r="D697" s="344">
        <v>9</v>
      </c>
      <c r="E697" s="158">
        <v>60</v>
      </c>
      <c r="F697" s="666">
        <v>45</v>
      </c>
      <c r="G697" s="158"/>
      <c r="H697" s="277"/>
      <c r="I697" s="158">
        <v>498</v>
      </c>
      <c r="J697" s="666">
        <v>476</v>
      </c>
      <c r="K697" s="160">
        <f t="shared" si="284"/>
        <v>0</v>
      </c>
      <c r="L697" s="161">
        <f t="shared" si="260"/>
        <v>0</v>
      </c>
      <c r="M697" s="54"/>
      <c r="N697" s="55"/>
      <c r="O697" s="55"/>
      <c r="P697" s="55"/>
      <c r="Q697" s="162">
        <f t="shared" si="285"/>
        <v>0</v>
      </c>
      <c r="R697" s="277"/>
      <c r="S697" s="277"/>
      <c r="T697" s="277"/>
      <c r="U697" s="277"/>
      <c r="V697" s="97">
        <f t="shared" si="286"/>
        <v>0</v>
      </c>
      <c r="W697" s="279"/>
      <c r="X697" s="52"/>
      <c r="Y697" s="99"/>
      <c r="Z697" s="53"/>
      <c r="AA697" s="228"/>
      <c r="AB697" s="52"/>
      <c r="AC697" s="99"/>
      <c r="AD697" s="53"/>
      <c r="AE697" s="228"/>
      <c r="AF697" s="52"/>
      <c r="AG697" s="99"/>
      <c r="AH697" s="53"/>
      <c r="AI697" s="228"/>
      <c r="AJ697" s="52"/>
      <c r="AK697" s="99"/>
      <c r="AL697" s="53"/>
      <c r="AM697" s="228"/>
      <c r="AN697" s="52"/>
      <c r="AO697" s="99"/>
      <c r="AP697" s="53"/>
      <c r="AQ697" s="50">
        <f t="shared" si="261"/>
        <v>0</v>
      </c>
      <c r="AR697" s="163">
        <f t="shared" si="262"/>
        <v>0</v>
      </c>
      <c r="AS697" s="97">
        <f t="shared" si="263"/>
        <v>0</v>
      </c>
      <c r="AT697" s="278">
        <f t="shared" si="264"/>
        <v>0</v>
      </c>
      <c r="AU697" s="55"/>
      <c r="AV697" s="277"/>
      <c r="AW697" s="279"/>
      <c r="AX697" s="52"/>
      <c r="AY697" s="105"/>
      <c r="AZ697" s="98"/>
      <c r="BA697" s="279"/>
      <c r="BB697" s="52"/>
      <c r="BC697" s="105"/>
      <c r="BD697" s="98"/>
      <c r="BE697" s="279"/>
      <c r="BF697" s="52"/>
      <c r="BG697" s="105"/>
      <c r="BH697" s="98"/>
      <c r="BI697" s="279"/>
      <c r="BJ697" s="52"/>
      <c r="BK697" s="105"/>
      <c r="BL697" s="98"/>
      <c r="BM697" s="279"/>
      <c r="BN697" s="52"/>
      <c r="BO697" s="105"/>
      <c r="BP697" s="98"/>
      <c r="BQ697" s="279"/>
      <c r="BR697" s="52"/>
      <c r="BS697" s="105"/>
      <c r="BT697" s="98"/>
      <c r="BU697" s="279"/>
      <c r="BV697" s="52"/>
      <c r="BW697" s="105"/>
      <c r="BX697" s="98"/>
      <c r="BY697" s="279"/>
      <c r="BZ697" s="52"/>
      <c r="CA697" s="105"/>
      <c r="CB697" s="98"/>
      <c r="CC697" s="279"/>
      <c r="CD697" s="52"/>
      <c r="CE697" s="105"/>
      <c r="CF697" s="98"/>
      <c r="CG697" s="279"/>
      <c r="CH697" s="52"/>
      <c r="CI697" s="105"/>
      <c r="CJ697" s="98"/>
      <c r="CK697" s="281"/>
      <c r="CL697" s="277"/>
      <c r="CM697" s="159"/>
      <c r="CN697" s="277"/>
      <c r="CO697" s="50">
        <f t="shared" si="287"/>
        <v>0</v>
      </c>
      <c r="CP697" s="103">
        <f t="shared" si="288"/>
        <v>0</v>
      </c>
      <c r="CQ697" s="280">
        <f t="shared" si="289"/>
        <v>0</v>
      </c>
      <c r="CR697" s="63">
        <f t="shared" si="290"/>
        <v>0</v>
      </c>
      <c r="CS697" s="279"/>
      <c r="CT697" s="52"/>
      <c r="CU697" s="105"/>
      <c r="CV697" s="98"/>
      <c r="CW697" s="279"/>
      <c r="CX697" s="52"/>
      <c r="CY697" s="105"/>
      <c r="CZ697" s="98"/>
      <c r="DA697" s="279"/>
      <c r="DB697" s="52"/>
      <c r="DC697" s="105"/>
      <c r="DD697" s="98"/>
      <c r="DE697" s="279"/>
      <c r="DF697" s="52"/>
      <c r="DG697" s="105"/>
      <c r="DH697" s="98"/>
      <c r="DI697" s="279"/>
      <c r="DJ697" s="52"/>
      <c r="DK697" s="105"/>
      <c r="DL697" s="98"/>
      <c r="DM697" s="279"/>
      <c r="DN697" s="52"/>
      <c r="DO697" s="105"/>
      <c r="DP697" s="98"/>
      <c r="DQ697" s="279"/>
      <c r="DR697" s="52"/>
      <c r="DS697" s="105"/>
      <c r="DT697" s="98"/>
      <c r="DU697" s="279"/>
      <c r="DV697" s="52"/>
      <c r="DW697" s="105"/>
      <c r="DX697" s="98"/>
      <c r="DY697" s="279"/>
      <c r="DZ697" s="52"/>
      <c r="EA697" s="105"/>
      <c r="EB697" s="98"/>
      <c r="EC697" s="279"/>
      <c r="ED697" s="52"/>
      <c r="EE697" s="105"/>
      <c r="EF697" s="98"/>
      <c r="EG697" s="159"/>
      <c r="EH697" s="277"/>
      <c r="EI697" s="50">
        <f t="shared" si="291"/>
        <v>0</v>
      </c>
      <c r="EJ697" s="103">
        <f t="shared" si="292"/>
        <v>0</v>
      </c>
      <c r="EK697" s="164">
        <f t="shared" si="293"/>
        <v>0</v>
      </c>
      <c r="EL697" s="280">
        <f t="shared" si="294"/>
        <v>0</v>
      </c>
      <c r="EM697" s="63">
        <f t="shared" si="295"/>
        <v>0</v>
      </c>
      <c r="EN697" s="359">
        <f t="shared" si="296"/>
        <v>0</v>
      </c>
      <c r="EO697" s="51">
        <f t="shared" si="297"/>
        <v>0</v>
      </c>
      <c r="EP697" s="361">
        <f t="shared" si="298"/>
        <v>0</v>
      </c>
      <c r="EQ697" s="281"/>
      <c r="ER697" s="277"/>
      <c r="ES697" s="281"/>
      <c r="ET697" s="277"/>
      <c r="EU697" s="281"/>
      <c r="EV697" s="277"/>
      <c r="EW697" s="281"/>
      <c r="EX697" s="277"/>
      <c r="EY697" s="281"/>
      <c r="EZ697" s="277"/>
      <c r="FA697" s="281"/>
      <c r="FB697" s="277"/>
      <c r="FC697" s="281"/>
      <c r="FD697" s="277"/>
      <c r="FE697" s="281"/>
      <c r="FF697" s="277"/>
      <c r="FG697" s="281"/>
      <c r="FH697" s="277"/>
      <c r="FI697" s="281"/>
      <c r="FJ697" s="277"/>
      <c r="FK697" s="50">
        <f t="shared" si="299"/>
        <v>0</v>
      </c>
      <c r="FL697" s="63">
        <f t="shared" si="283"/>
        <v>0</v>
      </c>
      <c r="FM697" s="50">
        <f t="shared" si="265"/>
        <v>558</v>
      </c>
      <c r="FN697" s="360">
        <f t="shared" si="266"/>
        <v>521</v>
      </c>
      <c r="FP697" s="279"/>
      <c r="FQ697" s="52"/>
      <c r="FR697" s="296"/>
      <c r="FS697" s="98"/>
      <c r="FT697" s="467"/>
      <c r="FU697" s="52"/>
      <c r="FV697" s="296"/>
      <c r="FW697" s="98"/>
      <c r="FX697" s="467"/>
      <c r="FY697" s="52"/>
      <c r="FZ697" s="296"/>
      <c r="GA697" s="98"/>
      <c r="GB697" s="467"/>
      <c r="GC697" s="52"/>
      <c r="GD697" s="296"/>
      <c r="GE697" s="98"/>
      <c r="GF697" s="467"/>
      <c r="GG697" s="52"/>
      <c r="GH697" s="296"/>
      <c r="GI697" s="98"/>
      <c r="GJ697" s="467"/>
      <c r="GK697" s="52"/>
      <c r="GL697" s="296"/>
      <c r="GM697" s="464"/>
      <c r="GN697" s="467"/>
      <c r="GO697" s="52"/>
      <c r="GP697" s="296"/>
      <c r="GQ697" s="464"/>
      <c r="GR697" s="467"/>
      <c r="GS697" s="52"/>
      <c r="GT697" s="296"/>
      <c r="GU697" s="464"/>
      <c r="GV697" s="467"/>
      <c r="GW697" s="52"/>
      <c r="GX697" s="296"/>
      <c r="GY697" s="464"/>
      <c r="GZ697" s="467"/>
      <c r="HA697" s="52"/>
      <c r="HB697" s="296"/>
      <c r="HC697" s="43"/>
    </row>
    <row r="698" spans="1:211" s="3" customFormat="1">
      <c r="A698" s="330" t="s">
        <v>347</v>
      </c>
      <c r="B698" s="331" t="s">
        <v>1288</v>
      </c>
      <c r="C698" s="330">
        <v>231697</v>
      </c>
      <c r="D698" s="344">
        <v>9</v>
      </c>
      <c r="E698" s="158">
        <v>112</v>
      </c>
      <c r="F698" s="666">
        <v>164</v>
      </c>
      <c r="G698" s="158"/>
      <c r="H698" s="277"/>
      <c r="I698" s="158">
        <v>306</v>
      </c>
      <c r="J698" s="666">
        <v>307</v>
      </c>
      <c r="K698" s="160">
        <f t="shared" si="284"/>
        <v>0</v>
      </c>
      <c r="L698" s="161">
        <f t="shared" si="260"/>
        <v>0</v>
      </c>
      <c r="M698" s="54"/>
      <c r="N698" s="55"/>
      <c r="O698" s="55"/>
      <c r="P698" s="55"/>
      <c r="Q698" s="162">
        <f t="shared" si="285"/>
        <v>0</v>
      </c>
      <c r="R698" s="277"/>
      <c r="S698" s="277"/>
      <c r="T698" s="277"/>
      <c r="U698" s="277"/>
      <c r="V698" s="97">
        <f t="shared" si="286"/>
        <v>0</v>
      </c>
      <c r="W698" s="279"/>
      <c r="X698" s="52"/>
      <c r="Y698" s="99"/>
      <c r="Z698" s="53"/>
      <c r="AA698" s="228"/>
      <c r="AB698" s="52"/>
      <c r="AC698" s="99"/>
      <c r="AD698" s="53"/>
      <c r="AE698" s="228"/>
      <c r="AF698" s="52"/>
      <c r="AG698" s="99"/>
      <c r="AH698" s="53"/>
      <c r="AI698" s="228"/>
      <c r="AJ698" s="52"/>
      <c r="AK698" s="99"/>
      <c r="AL698" s="53"/>
      <c r="AM698" s="228"/>
      <c r="AN698" s="52"/>
      <c r="AO698" s="99"/>
      <c r="AP698" s="53"/>
      <c r="AQ698" s="50">
        <f t="shared" si="261"/>
        <v>0</v>
      </c>
      <c r="AR698" s="163">
        <f t="shared" si="262"/>
        <v>0</v>
      </c>
      <c r="AS698" s="97">
        <f t="shared" si="263"/>
        <v>0</v>
      </c>
      <c r="AT698" s="278">
        <f t="shared" si="264"/>
        <v>0</v>
      </c>
      <c r="AU698" s="55"/>
      <c r="AV698" s="277"/>
      <c r="AW698" s="279"/>
      <c r="AX698" s="52"/>
      <c r="AY698" s="105"/>
      <c r="AZ698" s="98"/>
      <c r="BA698" s="279"/>
      <c r="BB698" s="52"/>
      <c r="BC698" s="105"/>
      <c r="BD698" s="98"/>
      <c r="BE698" s="279"/>
      <c r="BF698" s="52"/>
      <c r="BG698" s="105"/>
      <c r="BH698" s="98"/>
      <c r="BI698" s="279"/>
      <c r="BJ698" s="52"/>
      <c r="BK698" s="105"/>
      <c r="BL698" s="98"/>
      <c r="BM698" s="279"/>
      <c r="BN698" s="52"/>
      <c r="BO698" s="105"/>
      <c r="BP698" s="98"/>
      <c r="BQ698" s="279"/>
      <c r="BR698" s="52"/>
      <c r="BS698" s="105"/>
      <c r="BT698" s="98"/>
      <c r="BU698" s="279"/>
      <c r="BV698" s="52"/>
      <c r="BW698" s="105"/>
      <c r="BX698" s="98"/>
      <c r="BY698" s="279"/>
      <c r="BZ698" s="52"/>
      <c r="CA698" s="105"/>
      <c r="CB698" s="98"/>
      <c r="CC698" s="279"/>
      <c r="CD698" s="52"/>
      <c r="CE698" s="105"/>
      <c r="CF698" s="98"/>
      <c r="CG698" s="279"/>
      <c r="CH698" s="52"/>
      <c r="CI698" s="105"/>
      <c r="CJ698" s="98"/>
      <c r="CK698" s="281"/>
      <c r="CL698" s="277"/>
      <c r="CM698" s="159"/>
      <c r="CN698" s="277"/>
      <c r="CO698" s="50">
        <f t="shared" si="287"/>
        <v>0</v>
      </c>
      <c r="CP698" s="103">
        <f t="shared" si="288"/>
        <v>0</v>
      </c>
      <c r="CQ698" s="280">
        <f t="shared" si="289"/>
        <v>0</v>
      </c>
      <c r="CR698" s="63">
        <f t="shared" si="290"/>
        <v>0</v>
      </c>
      <c r="CS698" s="279"/>
      <c r="CT698" s="52"/>
      <c r="CU698" s="105"/>
      <c r="CV698" s="98"/>
      <c r="CW698" s="279"/>
      <c r="CX698" s="52"/>
      <c r="CY698" s="105"/>
      <c r="CZ698" s="98"/>
      <c r="DA698" s="279"/>
      <c r="DB698" s="52"/>
      <c r="DC698" s="105"/>
      <c r="DD698" s="98"/>
      <c r="DE698" s="279"/>
      <c r="DF698" s="52"/>
      <c r="DG698" s="105"/>
      <c r="DH698" s="98"/>
      <c r="DI698" s="279"/>
      <c r="DJ698" s="52"/>
      <c r="DK698" s="105"/>
      <c r="DL698" s="98"/>
      <c r="DM698" s="279"/>
      <c r="DN698" s="52"/>
      <c r="DO698" s="105"/>
      <c r="DP698" s="98"/>
      <c r="DQ698" s="279"/>
      <c r="DR698" s="52"/>
      <c r="DS698" s="105"/>
      <c r="DT698" s="98"/>
      <c r="DU698" s="279"/>
      <c r="DV698" s="52"/>
      <c r="DW698" s="105"/>
      <c r="DX698" s="98"/>
      <c r="DY698" s="279"/>
      <c r="DZ698" s="52"/>
      <c r="EA698" s="105"/>
      <c r="EB698" s="98"/>
      <c r="EC698" s="279"/>
      <c r="ED698" s="52"/>
      <c r="EE698" s="105"/>
      <c r="EF698" s="98"/>
      <c r="EG698" s="159"/>
      <c r="EH698" s="277"/>
      <c r="EI698" s="50">
        <f t="shared" si="291"/>
        <v>0</v>
      </c>
      <c r="EJ698" s="103">
        <f t="shared" si="292"/>
        <v>0</v>
      </c>
      <c r="EK698" s="164">
        <f t="shared" si="293"/>
        <v>0</v>
      </c>
      <c r="EL698" s="280">
        <f t="shared" si="294"/>
        <v>0</v>
      </c>
      <c r="EM698" s="63">
        <f t="shared" si="295"/>
        <v>0</v>
      </c>
      <c r="EN698" s="359">
        <f t="shared" si="296"/>
        <v>0</v>
      </c>
      <c r="EO698" s="51">
        <f t="shared" si="297"/>
        <v>0</v>
      </c>
      <c r="EP698" s="361">
        <f t="shared" si="298"/>
        <v>0</v>
      </c>
      <c r="EQ698" s="281"/>
      <c r="ER698" s="277"/>
      <c r="ES698" s="281"/>
      <c r="ET698" s="277"/>
      <c r="EU698" s="281"/>
      <c r="EV698" s="277"/>
      <c r="EW698" s="281"/>
      <c r="EX698" s="277"/>
      <c r="EY698" s="281"/>
      <c r="EZ698" s="277"/>
      <c r="FA698" s="281"/>
      <c r="FB698" s="277"/>
      <c r="FC698" s="281"/>
      <c r="FD698" s="277"/>
      <c r="FE698" s="281"/>
      <c r="FF698" s="277"/>
      <c r="FG698" s="281"/>
      <c r="FH698" s="277"/>
      <c r="FI698" s="281"/>
      <c r="FJ698" s="277"/>
      <c r="FK698" s="50">
        <f t="shared" si="299"/>
        <v>0</v>
      </c>
      <c r="FL698" s="63">
        <f t="shared" si="283"/>
        <v>0</v>
      </c>
      <c r="FM698" s="50">
        <f t="shared" si="265"/>
        <v>418</v>
      </c>
      <c r="FN698" s="360">
        <f t="shared" si="266"/>
        <v>471</v>
      </c>
      <c r="FP698" s="279"/>
      <c r="FQ698" s="52"/>
      <c r="FR698" s="296"/>
      <c r="FS698" s="98"/>
      <c r="FT698" s="467"/>
      <c r="FU698" s="52"/>
      <c r="FV698" s="296"/>
      <c r="FW698" s="98"/>
      <c r="FX698" s="467"/>
      <c r="FY698" s="52"/>
      <c r="FZ698" s="296"/>
      <c r="GA698" s="98"/>
      <c r="GB698" s="467"/>
      <c r="GC698" s="52"/>
      <c r="GD698" s="296"/>
      <c r="GE698" s="98"/>
      <c r="GF698" s="467"/>
      <c r="GG698" s="52"/>
      <c r="GH698" s="296"/>
      <c r="GI698" s="98"/>
      <c r="GJ698" s="467"/>
      <c r="GK698" s="52"/>
      <c r="GL698" s="296"/>
      <c r="GM698" s="464"/>
      <c r="GN698" s="467"/>
      <c r="GO698" s="52"/>
      <c r="GP698" s="296"/>
      <c r="GQ698" s="464"/>
      <c r="GR698" s="467"/>
      <c r="GS698" s="52"/>
      <c r="GT698" s="296"/>
      <c r="GU698" s="464"/>
      <c r="GV698" s="467"/>
      <c r="GW698" s="52"/>
      <c r="GX698" s="296"/>
      <c r="GY698" s="464"/>
      <c r="GZ698" s="467"/>
      <c r="HA698" s="52"/>
      <c r="HB698" s="296"/>
      <c r="HC698" s="43"/>
    </row>
    <row r="699" spans="1:211" s="3" customFormat="1">
      <c r="A699" s="330" t="s">
        <v>347</v>
      </c>
      <c r="B699" s="331" t="s">
        <v>1289</v>
      </c>
      <c r="C699" s="330">
        <v>231882</v>
      </c>
      <c r="D699" s="344">
        <v>9</v>
      </c>
      <c r="E699" s="158">
        <v>495</v>
      </c>
      <c r="F699" s="666">
        <v>546</v>
      </c>
      <c r="G699" s="158"/>
      <c r="H699" s="277"/>
      <c r="I699" s="158">
        <v>276</v>
      </c>
      <c r="J699" s="666">
        <v>229</v>
      </c>
      <c r="K699" s="160">
        <f t="shared" si="284"/>
        <v>0</v>
      </c>
      <c r="L699" s="161">
        <f t="shared" si="260"/>
        <v>0</v>
      </c>
      <c r="M699" s="54"/>
      <c r="N699" s="55"/>
      <c r="O699" s="55"/>
      <c r="P699" s="55"/>
      <c r="Q699" s="162">
        <f t="shared" si="285"/>
        <v>0</v>
      </c>
      <c r="R699" s="277"/>
      <c r="S699" s="277"/>
      <c r="T699" s="277"/>
      <c r="U699" s="277"/>
      <c r="V699" s="97">
        <f t="shared" si="286"/>
        <v>0</v>
      </c>
      <c r="W699" s="279"/>
      <c r="X699" s="52"/>
      <c r="Y699" s="99"/>
      <c r="Z699" s="53"/>
      <c r="AA699" s="228"/>
      <c r="AB699" s="52"/>
      <c r="AC699" s="99"/>
      <c r="AD699" s="53"/>
      <c r="AE699" s="228"/>
      <c r="AF699" s="52"/>
      <c r="AG699" s="99"/>
      <c r="AH699" s="53"/>
      <c r="AI699" s="228"/>
      <c r="AJ699" s="52"/>
      <c r="AK699" s="99"/>
      <c r="AL699" s="53"/>
      <c r="AM699" s="228"/>
      <c r="AN699" s="52"/>
      <c r="AO699" s="99"/>
      <c r="AP699" s="53"/>
      <c r="AQ699" s="50">
        <f t="shared" si="261"/>
        <v>0</v>
      </c>
      <c r="AR699" s="163">
        <f t="shared" si="262"/>
        <v>0</v>
      </c>
      <c r="AS699" s="97">
        <f t="shared" si="263"/>
        <v>0</v>
      </c>
      <c r="AT699" s="278">
        <f t="shared" si="264"/>
        <v>0</v>
      </c>
      <c r="AU699" s="55"/>
      <c r="AV699" s="277"/>
      <c r="AW699" s="279"/>
      <c r="AX699" s="52"/>
      <c r="AY699" s="105"/>
      <c r="AZ699" s="98"/>
      <c r="BA699" s="279"/>
      <c r="BB699" s="52"/>
      <c r="BC699" s="105"/>
      <c r="BD699" s="98"/>
      <c r="BE699" s="279"/>
      <c r="BF699" s="52"/>
      <c r="BG699" s="105"/>
      <c r="BH699" s="98"/>
      <c r="BI699" s="279"/>
      <c r="BJ699" s="52"/>
      <c r="BK699" s="105"/>
      <c r="BL699" s="98"/>
      <c r="BM699" s="279"/>
      <c r="BN699" s="52"/>
      <c r="BO699" s="105"/>
      <c r="BP699" s="98"/>
      <c r="BQ699" s="279"/>
      <c r="BR699" s="52"/>
      <c r="BS699" s="105"/>
      <c r="BT699" s="98"/>
      <c r="BU699" s="279"/>
      <c r="BV699" s="52"/>
      <c r="BW699" s="105"/>
      <c r="BX699" s="98"/>
      <c r="BY699" s="279"/>
      <c r="BZ699" s="52"/>
      <c r="CA699" s="105"/>
      <c r="CB699" s="98"/>
      <c r="CC699" s="279"/>
      <c r="CD699" s="52"/>
      <c r="CE699" s="105"/>
      <c r="CF699" s="98"/>
      <c r="CG699" s="279"/>
      <c r="CH699" s="52"/>
      <c r="CI699" s="105"/>
      <c r="CJ699" s="98"/>
      <c r="CK699" s="281"/>
      <c r="CL699" s="277"/>
      <c r="CM699" s="159"/>
      <c r="CN699" s="277"/>
      <c r="CO699" s="50">
        <f t="shared" si="287"/>
        <v>0</v>
      </c>
      <c r="CP699" s="103">
        <f t="shared" si="288"/>
        <v>0</v>
      </c>
      <c r="CQ699" s="280">
        <f t="shared" si="289"/>
        <v>0</v>
      </c>
      <c r="CR699" s="63">
        <f t="shared" si="290"/>
        <v>0</v>
      </c>
      <c r="CS699" s="279"/>
      <c r="CT699" s="52"/>
      <c r="CU699" s="105"/>
      <c r="CV699" s="98"/>
      <c r="CW699" s="279"/>
      <c r="CX699" s="52"/>
      <c r="CY699" s="105"/>
      <c r="CZ699" s="98"/>
      <c r="DA699" s="279"/>
      <c r="DB699" s="52"/>
      <c r="DC699" s="105"/>
      <c r="DD699" s="98"/>
      <c r="DE699" s="279"/>
      <c r="DF699" s="52"/>
      <c r="DG699" s="105"/>
      <c r="DH699" s="98"/>
      <c r="DI699" s="279"/>
      <c r="DJ699" s="52"/>
      <c r="DK699" s="105"/>
      <c r="DL699" s="98"/>
      <c r="DM699" s="279"/>
      <c r="DN699" s="52"/>
      <c r="DO699" s="105"/>
      <c r="DP699" s="98"/>
      <c r="DQ699" s="279"/>
      <c r="DR699" s="52"/>
      <c r="DS699" s="105"/>
      <c r="DT699" s="98"/>
      <c r="DU699" s="279"/>
      <c r="DV699" s="52"/>
      <c r="DW699" s="105"/>
      <c r="DX699" s="98"/>
      <c r="DY699" s="279"/>
      <c r="DZ699" s="52"/>
      <c r="EA699" s="105"/>
      <c r="EB699" s="98"/>
      <c r="EC699" s="279"/>
      <c r="ED699" s="52"/>
      <c r="EE699" s="105"/>
      <c r="EF699" s="98"/>
      <c r="EG699" s="159"/>
      <c r="EH699" s="277"/>
      <c r="EI699" s="50">
        <f t="shared" si="291"/>
        <v>0</v>
      </c>
      <c r="EJ699" s="103">
        <f t="shared" si="292"/>
        <v>0</v>
      </c>
      <c r="EK699" s="164">
        <f t="shared" si="293"/>
        <v>0</v>
      </c>
      <c r="EL699" s="280">
        <f t="shared" si="294"/>
        <v>0</v>
      </c>
      <c r="EM699" s="63">
        <f t="shared" si="295"/>
        <v>0</v>
      </c>
      <c r="EN699" s="359">
        <f t="shared" si="296"/>
        <v>0</v>
      </c>
      <c r="EO699" s="51">
        <f t="shared" si="297"/>
        <v>0</v>
      </c>
      <c r="EP699" s="361">
        <f t="shared" si="298"/>
        <v>0</v>
      </c>
      <c r="EQ699" s="281"/>
      <c r="ER699" s="277"/>
      <c r="ES699" s="281"/>
      <c r="ET699" s="277"/>
      <c r="EU699" s="281"/>
      <c r="EV699" s="277"/>
      <c r="EW699" s="281"/>
      <c r="EX699" s="277"/>
      <c r="EY699" s="281"/>
      <c r="EZ699" s="277"/>
      <c r="FA699" s="281"/>
      <c r="FB699" s="277"/>
      <c r="FC699" s="281"/>
      <c r="FD699" s="277"/>
      <c r="FE699" s="281"/>
      <c r="FF699" s="277"/>
      <c r="FG699" s="281"/>
      <c r="FH699" s="277"/>
      <c r="FI699" s="281"/>
      <c r="FJ699" s="277"/>
      <c r="FK699" s="50">
        <f t="shared" si="299"/>
        <v>0</v>
      </c>
      <c r="FL699" s="63">
        <f t="shared" si="283"/>
        <v>0</v>
      </c>
      <c r="FM699" s="50">
        <f t="shared" si="265"/>
        <v>771</v>
      </c>
      <c r="FN699" s="360">
        <f t="shared" si="266"/>
        <v>775</v>
      </c>
      <c r="FP699" s="279"/>
      <c r="FQ699" s="52"/>
      <c r="FR699" s="296"/>
      <c r="FS699" s="98"/>
      <c r="FT699" s="467"/>
      <c r="FU699" s="52"/>
      <c r="FV699" s="296"/>
      <c r="FW699" s="98"/>
      <c r="FX699" s="467"/>
      <c r="FY699" s="52"/>
      <c r="FZ699" s="296"/>
      <c r="GA699" s="98"/>
      <c r="GB699" s="467"/>
      <c r="GC699" s="52"/>
      <c r="GD699" s="296"/>
      <c r="GE699" s="98"/>
      <c r="GF699" s="467"/>
      <c r="GG699" s="52"/>
      <c r="GH699" s="296"/>
      <c r="GI699" s="98"/>
      <c r="GJ699" s="467"/>
      <c r="GK699" s="52"/>
      <c r="GL699" s="296"/>
      <c r="GM699" s="464"/>
      <c r="GN699" s="467"/>
      <c r="GO699" s="52"/>
      <c r="GP699" s="296"/>
      <c r="GQ699" s="464"/>
      <c r="GR699" s="467"/>
      <c r="GS699" s="52"/>
      <c r="GT699" s="296"/>
      <c r="GU699" s="464"/>
      <c r="GV699" s="467"/>
      <c r="GW699" s="52"/>
      <c r="GX699" s="296"/>
      <c r="GY699" s="464"/>
      <c r="GZ699" s="467"/>
      <c r="HA699" s="52"/>
      <c r="HB699" s="296"/>
      <c r="HC699" s="43"/>
    </row>
    <row r="700" spans="1:211" s="3" customFormat="1">
      <c r="A700" s="330" t="s">
        <v>347</v>
      </c>
      <c r="B700" s="331" t="s">
        <v>1290</v>
      </c>
      <c r="C700" s="330">
        <v>232195</v>
      </c>
      <c r="D700" s="344">
        <v>9</v>
      </c>
      <c r="E700" s="158">
        <v>201</v>
      </c>
      <c r="F700" s="666">
        <v>296</v>
      </c>
      <c r="G700" s="158"/>
      <c r="H700" s="277"/>
      <c r="I700" s="158">
        <v>439</v>
      </c>
      <c r="J700" s="666">
        <v>508</v>
      </c>
      <c r="K700" s="160">
        <f t="shared" si="284"/>
        <v>0</v>
      </c>
      <c r="L700" s="161">
        <f t="shared" si="260"/>
        <v>0</v>
      </c>
      <c r="M700" s="54"/>
      <c r="N700" s="55"/>
      <c r="O700" s="55"/>
      <c r="P700" s="55"/>
      <c r="Q700" s="162">
        <f t="shared" si="285"/>
        <v>0</v>
      </c>
      <c r="R700" s="277"/>
      <c r="S700" s="277"/>
      <c r="T700" s="277"/>
      <c r="U700" s="277"/>
      <c r="V700" s="97">
        <f t="shared" si="286"/>
        <v>0</v>
      </c>
      <c r="W700" s="279"/>
      <c r="X700" s="52"/>
      <c r="Y700" s="99"/>
      <c r="Z700" s="53"/>
      <c r="AA700" s="228"/>
      <c r="AB700" s="52"/>
      <c r="AC700" s="99"/>
      <c r="AD700" s="53"/>
      <c r="AE700" s="228"/>
      <c r="AF700" s="52"/>
      <c r="AG700" s="99"/>
      <c r="AH700" s="53"/>
      <c r="AI700" s="228"/>
      <c r="AJ700" s="52"/>
      <c r="AK700" s="99"/>
      <c r="AL700" s="53"/>
      <c r="AM700" s="228"/>
      <c r="AN700" s="52"/>
      <c r="AO700" s="99"/>
      <c r="AP700" s="53"/>
      <c r="AQ700" s="50">
        <f t="shared" si="261"/>
        <v>0</v>
      </c>
      <c r="AR700" s="163">
        <f t="shared" si="262"/>
        <v>0</v>
      </c>
      <c r="AS700" s="97">
        <f t="shared" si="263"/>
        <v>0</v>
      </c>
      <c r="AT700" s="278">
        <f t="shared" si="264"/>
        <v>0</v>
      </c>
      <c r="AU700" s="55"/>
      <c r="AV700" s="277"/>
      <c r="AW700" s="279"/>
      <c r="AX700" s="52"/>
      <c r="AY700" s="105"/>
      <c r="AZ700" s="98"/>
      <c r="BA700" s="279"/>
      <c r="BB700" s="52"/>
      <c r="BC700" s="105"/>
      <c r="BD700" s="98"/>
      <c r="BE700" s="279"/>
      <c r="BF700" s="52"/>
      <c r="BG700" s="105"/>
      <c r="BH700" s="98"/>
      <c r="BI700" s="279"/>
      <c r="BJ700" s="52"/>
      <c r="BK700" s="105"/>
      <c r="BL700" s="98"/>
      <c r="BM700" s="279"/>
      <c r="BN700" s="52"/>
      <c r="BO700" s="105"/>
      <c r="BP700" s="98"/>
      <c r="BQ700" s="279"/>
      <c r="BR700" s="52"/>
      <c r="BS700" s="105"/>
      <c r="BT700" s="98"/>
      <c r="BU700" s="279"/>
      <c r="BV700" s="52"/>
      <c r="BW700" s="105"/>
      <c r="BX700" s="98"/>
      <c r="BY700" s="279"/>
      <c r="BZ700" s="52"/>
      <c r="CA700" s="105"/>
      <c r="CB700" s="98"/>
      <c r="CC700" s="279"/>
      <c r="CD700" s="52"/>
      <c r="CE700" s="105"/>
      <c r="CF700" s="98"/>
      <c r="CG700" s="279"/>
      <c r="CH700" s="52"/>
      <c r="CI700" s="105"/>
      <c r="CJ700" s="98"/>
      <c r="CK700" s="281"/>
      <c r="CL700" s="277"/>
      <c r="CM700" s="159"/>
      <c r="CN700" s="277"/>
      <c r="CO700" s="50">
        <f t="shared" si="287"/>
        <v>0</v>
      </c>
      <c r="CP700" s="103">
        <f t="shared" si="288"/>
        <v>0</v>
      </c>
      <c r="CQ700" s="280">
        <f t="shared" si="289"/>
        <v>0</v>
      </c>
      <c r="CR700" s="63">
        <f t="shared" si="290"/>
        <v>0</v>
      </c>
      <c r="CS700" s="279"/>
      <c r="CT700" s="52"/>
      <c r="CU700" s="105"/>
      <c r="CV700" s="98"/>
      <c r="CW700" s="279"/>
      <c r="CX700" s="52"/>
      <c r="CY700" s="105"/>
      <c r="CZ700" s="98"/>
      <c r="DA700" s="279"/>
      <c r="DB700" s="52"/>
      <c r="DC700" s="105"/>
      <c r="DD700" s="98"/>
      <c r="DE700" s="279"/>
      <c r="DF700" s="52"/>
      <c r="DG700" s="105"/>
      <c r="DH700" s="98"/>
      <c r="DI700" s="279"/>
      <c r="DJ700" s="52"/>
      <c r="DK700" s="105"/>
      <c r="DL700" s="98"/>
      <c r="DM700" s="279"/>
      <c r="DN700" s="52"/>
      <c r="DO700" s="105"/>
      <c r="DP700" s="98"/>
      <c r="DQ700" s="279"/>
      <c r="DR700" s="52"/>
      <c r="DS700" s="105"/>
      <c r="DT700" s="98"/>
      <c r="DU700" s="279"/>
      <c r="DV700" s="52"/>
      <c r="DW700" s="105"/>
      <c r="DX700" s="98"/>
      <c r="DY700" s="279"/>
      <c r="DZ700" s="52"/>
      <c r="EA700" s="105"/>
      <c r="EB700" s="98"/>
      <c r="EC700" s="279"/>
      <c r="ED700" s="52"/>
      <c r="EE700" s="105"/>
      <c r="EF700" s="98"/>
      <c r="EG700" s="159"/>
      <c r="EH700" s="277"/>
      <c r="EI700" s="50">
        <f t="shared" si="291"/>
        <v>0</v>
      </c>
      <c r="EJ700" s="103">
        <f t="shared" si="292"/>
        <v>0</v>
      </c>
      <c r="EK700" s="164">
        <f t="shared" si="293"/>
        <v>0</v>
      </c>
      <c r="EL700" s="280">
        <f t="shared" si="294"/>
        <v>0</v>
      </c>
      <c r="EM700" s="63">
        <f t="shared" si="295"/>
        <v>0</v>
      </c>
      <c r="EN700" s="359">
        <f t="shared" si="296"/>
        <v>0</v>
      </c>
      <c r="EO700" s="51">
        <f t="shared" si="297"/>
        <v>0</v>
      </c>
      <c r="EP700" s="361">
        <f t="shared" si="298"/>
        <v>0</v>
      </c>
      <c r="EQ700" s="281"/>
      <c r="ER700" s="277"/>
      <c r="ES700" s="281"/>
      <c r="ET700" s="277"/>
      <c r="EU700" s="281"/>
      <c r="EV700" s="277"/>
      <c r="EW700" s="281"/>
      <c r="EX700" s="277"/>
      <c r="EY700" s="281"/>
      <c r="EZ700" s="277"/>
      <c r="FA700" s="281"/>
      <c r="FB700" s="277"/>
      <c r="FC700" s="281"/>
      <c r="FD700" s="277"/>
      <c r="FE700" s="281"/>
      <c r="FF700" s="277"/>
      <c r="FG700" s="281"/>
      <c r="FH700" s="277"/>
      <c r="FI700" s="281"/>
      <c r="FJ700" s="277"/>
      <c r="FK700" s="50">
        <f t="shared" si="299"/>
        <v>0</v>
      </c>
      <c r="FL700" s="63">
        <f t="shared" si="283"/>
        <v>0</v>
      </c>
      <c r="FM700" s="50">
        <f t="shared" si="265"/>
        <v>640</v>
      </c>
      <c r="FN700" s="360">
        <f t="shared" si="266"/>
        <v>804</v>
      </c>
      <c r="FP700" s="279"/>
      <c r="FQ700" s="52"/>
      <c r="FR700" s="296"/>
      <c r="FS700" s="98"/>
      <c r="FT700" s="467"/>
      <c r="FU700" s="52"/>
      <c r="FV700" s="296"/>
      <c r="FW700" s="98"/>
      <c r="FX700" s="467"/>
      <c r="FY700" s="52"/>
      <c r="FZ700" s="296"/>
      <c r="GA700" s="98"/>
      <c r="GB700" s="467"/>
      <c r="GC700" s="52"/>
      <c r="GD700" s="296"/>
      <c r="GE700" s="98"/>
      <c r="GF700" s="467"/>
      <c r="GG700" s="52"/>
      <c r="GH700" s="296"/>
      <c r="GI700" s="98"/>
      <c r="GJ700" s="467"/>
      <c r="GK700" s="52"/>
      <c r="GL700" s="296"/>
      <c r="GM700" s="464"/>
      <c r="GN700" s="467"/>
      <c r="GO700" s="52"/>
      <c r="GP700" s="296"/>
      <c r="GQ700" s="464"/>
      <c r="GR700" s="467"/>
      <c r="GS700" s="52"/>
      <c r="GT700" s="296"/>
      <c r="GU700" s="464"/>
      <c r="GV700" s="467"/>
      <c r="GW700" s="52"/>
      <c r="GX700" s="296"/>
      <c r="GY700" s="464"/>
      <c r="GZ700" s="467"/>
      <c r="HA700" s="52"/>
      <c r="HB700" s="296"/>
      <c r="HC700" s="43"/>
    </row>
    <row r="701" spans="1:211" s="3" customFormat="1">
      <c r="A701" s="330" t="s">
        <v>347</v>
      </c>
      <c r="B701" s="331" t="s">
        <v>1291</v>
      </c>
      <c r="C701" s="330">
        <v>232450</v>
      </c>
      <c r="D701" s="344">
        <v>9</v>
      </c>
      <c r="E701" s="158">
        <v>246</v>
      </c>
      <c r="F701" s="666">
        <v>270</v>
      </c>
      <c r="G701" s="158"/>
      <c r="H701" s="277"/>
      <c r="I701" s="158">
        <v>512</v>
      </c>
      <c r="J701" s="666">
        <v>617</v>
      </c>
      <c r="K701" s="160">
        <f t="shared" si="284"/>
        <v>0</v>
      </c>
      <c r="L701" s="161">
        <f t="shared" si="260"/>
        <v>0</v>
      </c>
      <c r="M701" s="54"/>
      <c r="N701" s="55"/>
      <c r="O701" s="55"/>
      <c r="P701" s="55"/>
      <c r="Q701" s="162">
        <f t="shared" si="285"/>
        <v>0</v>
      </c>
      <c r="R701" s="277"/>
      <c r="S701" s="277"/>
      <c r="T701" s="277"/>
      <c r="U701" s="277"/>
      <c r="V701" s="97">
        <f t="shared" si="286"/>
        <v>0</v>
      </c>
      <c r="W701" s="279"/>
      <c r="X701" s="52"/>
      <c r="Y701" s="99"/>
      <c r="Z701" s="53"/>
      <c r="AA701" s="228"/>
      <c r="AB701" s="52"/>
      <c r="AC701" s="99"/>
      <c r="AD701" s="53"/>
      <c r="AE701" s="228"/>
      <c r="AF701" s="52"/>
      <c r="AG701" s="99"/>
      <c r="AH701" s="53"/>
      <c r="AI701" s="228"/>
      <c r="AJ701" s="52"/>
      <c r="AK701" s="99"/>
      <c r="AL701" s="53"/>
      <c r="AM701" s="228"/>
      <c r="AN701" s="52"/>
      <c r="AO701" s="99"/>
      <c r="AP701" s="53"/>
      <c r="AQ701" s="50">
        <f t="shared" si="261"/>
        <v>0</v>
      </c>
      <c r="AR701" s="163">
        <f t="shared" si="262"/>
        <v>0</v>
      </c>
      <c r="AS701" s="97">
        <f t="shared" si="263"/>
        <v>0</v>
      </c>
      <c r="AT701" s="278">
        <f t="shared" si="264"/>
        <v>0</v>
      </c>
      <c r="AU701" s="55"/>
      <c r="AV701" s="277"/>
      <c r="AW701" s="279"/>
      <c r="AX701" s="52"/>
      <c r="AY701" s="105"/>
      <c r="AZ701" s="98"/>
      <c r="BA701" s="279"/>
      <c r="BB701" s="52"/>
      <c r="BC701" s="105"/>
      <c r="BD701" s="98"/>
      <c r="BE701" s="279"/>
      <c r="BF701" s="52"/>
      <c r="BG701" s="105"/>
      <c r="BH701" s="98"/>
      <c r="BI701" s="279"/>
      <c r="BJ701" s="52"/>
      <c r="BK701" s="105"/>
      <c r="BL701" s="98"/>
      <c r="BM701" s="279"/>
      <c r="BN701" s="52"/>
      <c r="BO701" s="105"/>
      <c r="BP701" s="98"/>
      <c r="BQ701" s="279"/>
      <c r="BR701" s="52"/>
      <c r="BS701" s="105"/>
      <c r="BT701" s="98"/>
      <c r="BU701" s="279"/>
      <c r="BV701" s="52"/>
      <c r="BW701" s="105"/>
      <c r="BX701" s="98"/>
      <c r="BY701" s="279"/>
      <c r="BZ701" s="52"/>
      <c r="CA701" s="105"/>
      <c r="CB701" s="98"/>
      <c r="CC701" s="279"/>
      <c r="CD701" s="52"/>
      <c r="CE701" s="105"/>
      <c r="CF701" s="98"/>
      <c r="CG701" s="279"/>
      <c r="CH701" s="52"/>
      <c r="CI701" s="105"/>
      <c r="CJ701" s="98"/>
      <c r="CK701" s="281"/>
      <c r="CL701" s="277"/>
      <c r="CM701" s="159"/>
      <c r="CN701" s="277"/>
      <c r="CO701" s="50">
        <f t="shared" si="287"/>
        <v>0</v>
      </c>
      <c r="CP701" s="103">
        <f t="shared" si="288"/>
        <v>0</v>
      </c>
      <c r="CQ701" s="280">
        <f t="shared" si="289"/>
        <v>0</v>
      </c>
      <c r="CR701" s="63">
        <f t="shared" si="290"/>
        <v>0</v>
      </c>
      <c r="CS701" s="279"/>
      <c r="CT701" s="52"/>
      <c r="CU701" s="105"/>
      <c r="CV701" s="98"/>
      <c r="CW701" s="279"/>
      <c r="CX701" s="52"/>
      <c r="CY701" s="105"/>
      <c r="CZ701" s="98"/>
      <c r="DA701" s="279"/>
      <c r="DB701" s="52"/>
      <c r="DC701" s="105"/>
      <c r="DD701" s="98"/>
      <c r="DE701" s="279"/>
      <c r="DF701" s="52"/>
      <c r="DG701" s="105"/>
      <c r="DH701" s="98"/>
      <c r="DI701" s="279"/>
      <c r="DJ701" s="52"/>
      <c r="DK701" s="105"/>
      <c r="DL701" s="98"/>
      <c r="DM701" s="279"/>
      <c r="DN701" s="52"/>
      <c r="DO701" s="105"/>
      <c r="DP701" s="98"/>
      <c r="DQ701" s="279"/>
      <c r="DR701" s="52"/>
      <c r="DS701" s="105"/>
      <c r="DT701" s="98"/>
      <c r="DU701" s="279"/>
      <c r="DV701" s="52"/>
      <c r="DW701" s="105"/>
      <c r="DX701" s="98"/>
      <c r="DY701" s="279"/>
      <c r="DZ701" s="52"/>
      <c r="EA701" s="105"/>
      <c r="EB701" s="98"/>
      <c r="EC701" s="279"/>
      <c r="ED701" s="52"/>
      <c r="EE701" s="105"/>
      <c r="EF701" s="98"/>
      <c r="EG701" s="159"/>
      <c r="EH701" s="277"/>
      <c r="EI701" s="50">
        <f t="shared" si="291"/>
        <v>0</v>
      </c>
      <c r="EJ701" s="103">
        <f t="shared" si="292"/>
        <v>0</v>
      </c>
      <c r="EK701" s="164">
        <f t="shared" si="293"/>
        <v>0</v>
      </c>
      <c r="EL701" s="280">
        <f t="shared" si="294"/>
        <v>0</v>
      </c>
      <c r="EM701" s="63">
        <f t="shared" si="295"/>
        <v>0</v>
      </c>
      <c r="EN701" s="359">
        <f t="shared" si="296"/>
        <v>0</v>
      </c>
      <c r="EO701" s="51">
        <f t="shared" si="297"/>
        <v>0</v>
      </c>
      <c r="EP701" s="361">
        <f t="shared" si="298"/>
        <v>0</v>
      </c>
      <c r="EQ701" s="281"/>
      <c r="ER701" s="277"/>
      <c r="ES701" s="281"/>
      <c r="ET701" s="277"/>
      <c r="EU701" s="281"/>
      <c r="EV701" s="277"/>
      <c r="EW701" s="281"/>
      <c r="EX701" s="277"/>
      <c r="EY701" s="281"/>
      <c r="EZ701" s="277"/>
      <c r="FA701" s="281"/>
      <c r="FB701" s="277"/>
      <c r="FC701" s="281"/>
      <c r="FD701" s="277"/>
      <c r="FE701" s="281"/>
      <c r="FF701" s="277"/>
      <c r="FG701" s="281"/>
      <c r="FH701" s="277"/>
      <c r="FI701" s="281"/>
      <c r="FJ701" s="277"/>
      <c r="FK701" s="50">
        <f t="shared" si="299"/>
        <v>0</v>
      </c>
      <c r="FL701" s="63">
        <f t="shared" si="283"/>
        <v>0</v>
      </c>
      <c r="FM701" s="50">
        <f t="shared" si="265"/>
        <v>758</v>
      </c>
      <c r="FN701" s="360">
        <f t="shared" si="266"/>
        <v>887</v>
      </c>
      <c r="FP701" s="279"/>
      <c r="FQ701" s="52"/>
      <c r="FR701" s="296"/>
      <c r="FS701" s="98"/>
      <c r="FT701" s="467"/>
      <c r="FU701" s="52"/>
      <c r="FV701" s="296"/>
      <c r="FW701" s="98"/>
      <c r="FX701" s="467"/>
      <c r="FY701" s="52"/>
      <c r="FZ701" s="296"/>
      <c r="GA701" s="98"/>
      <c r="GB701" s="467"/>
      <c r="GC701" s="52"/>
      <c r="GD701" s="296"/>
      <c r="GE701" s="98"/>
      <c r="GF701" s="467"/>
      <c r="GG701" s="52"/>
      <c r="GH701" s="296"/>
      <c r="GI701" s="98"/>
      <c r="GJ701" s="467"/>
      <c r="GK701" s="52"/>
      <c r="GL701" s="296"/>
      <c r="GM701" s="464"/>
      <c r="GN701" s="467"/>
      <c r="GO701" s="52"/>
      <c r="GP701" s="296"/>
      <c r="GQ701" s="464"/>
      <c r="GR701" s="467"/>
      <c r="GS701" s="52"/>
      <c r="GT701" s="296"/>
      <c r="GU701" s="464"/>
      <c r="GV701" s="467"/>
      <c r="GW701" s="52"/>
      <c r="GX701" s="296"/>
      <c r="GY701" s="464"/>
      <c r="GZ701" s="467"/>
      <c r="HA701" s="52"/>
      <c r="HB701" s="296"/>
      <c r="HC701" s="43"/>
    </row>
    <row r="702" spans="1:211" s="3" customFormat="1">
      <c r="A702" s="330" t="s">
        <v>347</v>
      </c>
      <c r="B702" s="331" t="s">
        <v>1292</v>
      </c>
      <c r="C702" s="330">
        <v>232575</v>
      </c>
      <c r="D702" s="344">
        <v>9</v>
      </c>
      <c r="E702" s="158">
        <v>153</v>
      </c>
      <c r="F702" s="666">
        <v>154</v>
      </c>
      <c r="G702" s="158"/>
      <c r="H702" s="277"/>
      <c r="I702" s="158">
        <v>460</v>
      </c>
      <c r="J702" s="666">
        <v>436</v>
      </c>
      <c r="K702" s="160">
        <f t="shared" si="284"/>
        <v>0</v>
      </c>
      <c r="L702" s="161">
        <f t="shared" si="260"/>
        <v>0</v>
      </c>
      <c r="M702" s="54"/>
      <c r="N702" s="55"/>
      <c r="O702" s="55"/>
      <c r="P702" s="55"/>
      <c r="Q702" s="162">
        <f t="shared" si="285"/>
        <v>0</v>
      </c>
      <c r="R702" s="277"/>
      <c r="S702" s="277"/>
      <c r="T702" s="277"/>
      <c r="U702" s="277"/>
      <c r="V702" s="97">
        <f t="shared" si="286"/>
        <v>0</v>
      </c>
      <c r="W702" s="279"/>
      <c r="X702" s="52"/>
      <c r="Y702" s="99"/>
      <c r="Z702" s="53"/>
      <c r="AA702" s="228"/>
      <c r="AB702" s="52"/>
      <c r="AC702" s="99"/>
      <c r="AD702" s="53"/>
      <c r="AE702" s="228"/>
      <c r="AF702" s="52"/>
      <c r="AG702" s="99"/>
      <c r="AH702" s="53"/>
      <c r="AI702" s="228"/>
      <c r="AJ702" s="52"/>
      <c r="AK702" s="99"/>
      <c r="AL702" s="53"/>
      <c r="AM702" s="228"/>
      <c r="AN702" s="52"/>
      <c r="AO702" s="99"/>
      <c r="AP702" s="53"/>
      <c r="AQ702" s="50">
        <f t="shared" si="261"/>
        <v>0</v>
      </c>
      <c r="AR702" s="163">
        <f t="shared" si="262"/>
        <v>0</v>
      </c>
      <c r="AS702" s="97">
        <f t="shared" si="263"/>
        <v>0</v>
      </c>
      <c r="AT702" s="278">
        <f t="shared" si="264"/>
        <v>0</v>
      </c>
      <c r="AU702" s="55"/>
      <c r="AV702" s="277"/>
      <c r="AW702" s="279"/>
      <c r="AX702" s="52"/>
      <c r="AY702" s="105"/>
      <c r="AZ702" s="98"/>
      <c r="BA702" s="279"/>
      <c r="BB702" s="52"/>
      <c r="BC702" s="105"/>
      <c r="BD702" s="98"/>
      <c r="BE702" s="279"/>
      <c r="BF702" s="52"/>
      <c r="BG702" s="105"/>
      <c r="BH702" s="98"/>
      <c r="BI702" s="279"/>
      <c r="BJ702" s="52"/>
      <c r="BK702" s="105"/>
      <c r="BL702" s="98"/>
      <c r="BM702" s="279"/>
      <c r="BN702" s="52"/>
      <c r="BO702" s="105"/>
      <c r="BP702" s="98"/>
      <c r="BQ702" s="279"/>
      <c r="BR702" s="52"/>
      <c r="BS702" s="105"/>
      <c r="BT702" s="98"/>
      <c r="BU702" s="279"/>
      <c r="BV702" s="52"/>
      <c r="BW702" s="105"/>
      <c r="BX702" s="98"/>
      <c r="BY702" s="279"/>
      <c r="BZ702" s="52"/>
      <c r="CA702" s="105"/>
      <c r="CB702" s="98"/>
      <c r="CC702" s="279"/>
      <c r="CD702" s="52"/>
      <c r="CE702" s="105"/>
      <c r="CF702" s="98"/>
      <c r="CG702" s="279"/>
      <c r="CH702" s="52"/>
      <c r="CI702" s="105"/>
      <c r="CJ702" s="98"/>
      <c r="CK702" s="281"/>
      <c r="CL702" s="277"/>
      <c r="CM702" s="159"/>
      <c r="CN702" s="277"/>
      <c r="CO702" s="50">
        <f t="shared" si="287"/>
        <v>0</v>
      </c>
      <c r="CP702" s="103">
        <f t="shared" si="288"/>
        <v>0</v>
      </c>
      <c r="CQ702" s="280">
        <f t="shared" si="289"/>
        <v>0</v>
      </c>
      <c r="CR702" s="63">
        <f t="shared" si="290"/>
        <v>0</v>
      </c>
      <c r="CS702" s="279"/>
      <c r="CT702" s="52"/>
      <c r="CU702" s="105"/>
      <c r="CV702" s="98"/>
      <c r="CW702" s="279"/>
      <c r="CX702" s="52"/>
      <c r="CY702" s="105"/>
      <c r="CZ702" s="98"/>
      <c r="DA702" s="279"/>
      <c r="DB702" s="52"/>
      <c r="DC702" s="105"/>
      <c r="DD702" s="98"/>
      <c r="DE702" s="279"/>
      <c r="DF702" s="52"/>
      <c r="DG702" s="105"/>
      <c r="DH702" s="98"/>
      <c r="DI702" s="279"/>
      <c r="DJ702" s="52"/>
      <c r="DK702" s="105"/>
      <c r="DL702" s="98"/>
      <c r="DM702" s="279"/>
      <c r="DN702" s="52"/>
      <c r="DO702" s="105"/>
      <c r="DP702" s="98"/>
      <c r="DQ702" s="279"/>
      <c r="DR702" s="52"/>
      <c r="DS702" s="105"/>
      <c r="DT702" s="98"/>
      <c r="DU702" s="279"/>
      <c r="DV702" s="52"/>
      <c r="DW702" s="105"/>
      <c r="DX702" s="98"/>
      <c r="DY702" s="279"/>
      <c r="DZ702" s="52"/>
      <c r="EA702" s="105"/>
      <c r="EB702" s="98"/>
      <c r="EC702" s="279"/>
      <c r="ED702" s="52"/>
      <c r="EE702" s="105"/>
      <c r="EF702" s="98"/>
      <c r="EG702" s="159"/>
      <c r="EH702" s="277"/>
      <c r="EI702" s="50">
        <f t="shared" si="291"/>
        <v>0</v>
      </c>
      <c r="EJ702" s="103">
        <f t="shared" si="292"/>
        <v>0</v>
      </c>
      <c r="EK702" s="164">
        <f t="shared" si="293"/>
        <v>0</v>
      </c>
      <c r="EL702" s="280">
        <f t="shared" si="294"/>
        <v>0</v>
      </c>
      <c r="EM702" s="63">
        <f t="shared" si="295"/>
        <v>0</v>
      </c>
      <c r="EN702" s="359">
        <f t="shared" si="296"/>
        <v>0</v>
      </c>
      <c r="EO702" s="51">
        <f t="shared" si="297"/>
        <v>0</v>
      </c>
      <c r="EP702" s="361">
        <f t="shared" si="298"/>
        <v>0</v>
      </c>
      <c r="EQ702" s="281"/>
      <c r="ER702" s="277"/>
      <c r="ES702" s="281"/>
      <c r="ET702" s="277"/>
      <c r="EU702" s="281"/>
      <c r="EV702" s="277"/>
      <c r="EW702" s="281"/>
      <c r="EX702" s="277"/>
      <c r="EY702" s="281"/>
      <c r="EZ702" s="277"/>
      <c r="FA702" s="281"/>
      <c r="FB702" s="277"/>
      <c r="FC702" s="281"/>
      <c r="FD702" s="277"/>
      <c r="FE702" s="281"/>
      <c r="FF702" s="277"/>
      <c r="FG702" s="281"/>
      <c r="FH702" s="277"/>
      <c r="FI702" s="281"/>
      <c r="FJ702" s="277"/>
      <c r="FK702" s="50">
        <f t="shared" si="299"/>
        <v>0</v>
      </c>
      <c r="FL702" s="63">
        <f t="shared" si="283"/>
        <v>0</v>
      </c>
      <c r="FM702" s="50">
        <f t="shared" si="265"/>
        <v>613</v>
      </c>
      <c r="FN702" s="360">
        <f t="shared" si="266"/>
        <v>590</v>
      </c>
      <c r="FP702" s="279"/>
      <c r="FQ702" s="52"/>
      <c r="FR702" s="296"/>
      <c r="FS702" s="98"/>
      <c r="FT702" s="467"/>
      <c r="FU702" s="52"/>
      <c r="FV702" s="296"/>
      <c r="FW702" s="98"/>
      <c r="FX702" s="467"/>
      <c r="FY702" s="52"/>
      <c r="FZ702" s="296"/>
      <c r="GA702" s="98"/>
      <c r="GB702" s="467"/>
      <c r="GC702" s="52"/>
      <c r="GD702" s="296"/>
      <c r="GE702" s="98"/>
      <c r="GF702" s="467"/>
      <c r="GG702" s="52"/>
      <c r="GH702" s="296"/>
      <c r="GI702" s="98"/>
      <c r="GJ702" s="467"/>
      <c r="GK702" s="52"/>
      <c r="GL702" s="296"/>
      <c r="GM702" s="464"/>
      <c r="GN702" s="467"/>
      <c r="GO702" s="52"/>
      <c r="GP702" s="296"/>
      <c r="GQ702" s="464"/>
      <c r="GR702" s="467"/>
      <c r="GS702" s="52"/>
      <c r="GT702" s="296"/>
      <c r="GU702" s="464"/>
      <c r="GV702" s="467"/>
      <c r="GW702" s="52"/>
      <c r="GX702" s="296"/>
      <c r="GY702" s="464"/>
      <c r="GZ702" s="467"/>
      <c r="HA702" s="52"/>
      <c r="HB702" s="296"/>
      <c r="HC702" s="43"/>
    </row>
    <row r="703" spans="1:211" s="3" customFormat="1">
      <c r="A703" s="330" t="s">
        <v>347</v>
      </c>
      <c r="B703" s="331" t="s">
        <v>1293</v>
      </c>
      <c r="C703" s="330">
        <v>232867</v>
      </c>
      <c r="D703" s="344">
        <v>9</v>
      </c>
      <c r="E703" s="158">
        <v>113</v>
      </c>
      <c r="F703" s="666">
        <v>93</v>
      </c>
      <c r="G703" s="158"/>
      <c r="H703" s="277"/>
      <c r="I703" s="158">
        <v>341</v>
      </c>
      <c r="J703" s="666">
        <v>376</v>
      </c>
      <c r="K703" s="160">
        <f t="shared" si="284"/>
        <v>0</v>
      </c>
      <c r="L703" s="161">
        <f t="shared" si="260"/>
        <v>0</v>
      </c>
      <c r="M703" s="54"/>
      <c r="N703" s="55"/>
      <c r="O703" s="55"/>
      <c r="P703" s="55"/>
      <c r="Q703" s="162">
        <f t="shared" si="285"/>
        <v>0</v>
      </c>
      <c r="R703" s="277"/>
      <c r="S703" s="277"/>
      <c r="T703" s="277"/>
      <c r="U703" s="277"/>
      <c r="V703" s="97">
        <f t="shared" si="286"/>
        <v>0</v>
      </c>
      <c r="W703" s="279"/>
      <c r="X703" s="52"/>
      <c r="Y703" s="99"/>
      <c r="Z703" s="53"/>
      <c r="AA703" s="228"/>
      <c r="AB703" s="52"/>
      <c r="AC703" s="99"/>
      <c r="AD703" s="53"/>
      <c r="AE703" s="228"/>
      <c r="AF703" s="52"/>
      <c r="AG703" s="99"/>
      <c r="AH703" s="53"/>
      <c r="AI703" s="228"/>
      <c r="AJ703" s="52"/>
      <c r="AK703" s="99"/>
      <c r="AL703" s="53"/>
      <c r="AM703" s="228"/>
      <c r="AN703" s="52"/>
      <c r="AO703" s="99"/>
      <c r="AP703" s="53"/>
      <c r="AQ703" s="50">
        <f t="shared" si="261"/>
        <v>0</v>
      </c>
      <c r="AR703" s="163">
        <f t="shared" si="262"/>
        <v>0</v>
      </c>
      <c r="AS703" s="97">
        <f t="shared" si="263"/>
        <v>0</v>
      </c>
      <c r="AT703" s="278">
        <f t="shared" si="264"/>
        <v>0</v>
      </c>
      <c r="AU703" s="55"/>
      <c r="AV703" s="277"/>
      <c r="AW703" s="279"/>
      <c r="AX703" s="52"/>
      <c r="AY703" s="105"/>
      <c r="AZ703" s="98"/>
      <c r="BA703" s="279"/>
      <c r="BB703" s="52"/>
      <c r="BC703" s="105"/>
      <c r="BD703" s="98"/>
      <c r="BE703" s="279"/>
      <c r="BF703" s="52"/>
      <c r="BG703" s="105"/>
      <c r="BH703" s="98"/>
      <c r="BI703" s="279"/>
      <c r="BJ703" s="52"/>
      <c r="BK703" s="105"/>
      <c r="BL703" s="98"/>
      <c r="BM703" s="279"/>
      <c r="BN703" s="52"/>
      <c r="BO703" s="105"/>
      <c r="BP703" s="98"/>
      <c r="BQ703" s="279"/>
      <c r="BR703" s="52"/>
      <c r="BS703" s="105"/>
      <c r="BT703" s="98"/>
      <c r="BU703" s="279"/>
      <c r="BV703" s="52"/>
      <c r="BW703" s="105"/>
      <c r="BX703" s="98"/>
      <c r="BY703" s="279"/>
      <c r="BZ703" s="52"/>
      <c r="CA703" s="105"/>
      <c r="CB703" s="98"/>
      <c r="CC703" s="279"/>
      <c r="CD703" s="52"/>
      <c r="CE703" s="105"/>
      <c r="CF703" s="98"/>
      <c r="CG703" s="279"/>
      <c r="CH703" s="52"/>
      <c r="CI703" s="105"/>
      <c r="CJ703" s="98"/>
      <c r="CK703" s="281"/>
      <c r="CL703" s="277"/>
      <c r="CM703" s="159"/>
      <c r="CN703" s="277"/>
      <c r="CO703" s="50">
        <f t="shared" si="287"/>
        <v>0</v>
      </c>
      <c r="CP703" s="103">
        <f t="shared" si="288"/>
        <v>0</v>
      </c>
      <c r="CQ703" s="280">
        <f t="shared" si="289"/>
        <v>0</v>
      </c>
      <c r="CR703" s="63">
        <f t="shared" si="290"/>
        <v>0</v>
      </c>
      <c r="CS703" s="279"/>
      <c r="CT703" s="52"/>
      <c r="CU703" s="105"/>
      <c r="CV703" s="98"/>
      <c r="CW703" s="279"/>
      <c r="CX703" s="52"/>
      <c r="CY703" s="105"/>
      <c r="CZ703" s="98"/>
      <c r="DA703" s="279"/>
      <c r="DB703" s="52"/>
      <c r="DC703" s="105"/>
      <c r="DD703" s="98"/>
      <c r="DE703" s="279"/>
      <c r="DF703" s="52"/>
      <c r="DG703" s="105"/>
      <c r="DH703" s="98"/>
      <c r="DI703" s="279"/>
      <c r="DJ703" s="52"/>
      <c r="DK703" s="105"/>
      <c r="DL703" s="98"/>
      <c r="DM703" s="279"/>
      <c r="DN703" s="52"/>
      <c r="DO703" s="105"/>
      <c r="DP703" s="98"/>
      <c r="DQ703" s="279"/>
      <c r="DR703" s="52"/>
      <c r="DS703" s="105"/>
      <c r="DT703" s="98"/>
      <c r="DU703" s="279"/>
      <c r="DV703" s="52"/>
      <c r="DW703" s="105"/>
      <c r="DX703" s="98"/>
      <c r="DY703" s="279"/>
      <c r="DZ703" s="52"/>
      <c r="EA703" s="105"/>
      <c r="EB703" s="98"/>
      <c r="EC703" s="279"/>
      <c r="ED703" s="52"/>
      <c r="EE703" s="105"/>
      <c r="EF703" s="98"/>
      <c r="EG703" s="159"/>
      <c r="EH703" s="277"/>
      <c r="EI703" s="50">
        <f t="shared" si="291"/>
        <v>0</v>
      </c>
      <c r="EJ703" s="103">
        <f t="shared" si="292"/>
        <v>0</v>
      </c>
      <c r="EK703" s="164">
        <f t="shared" si="293"/>
        <v>0</v>
      </c>
      <c r="EL703" s="280">
        <f t="shared" si="294"/>
        <v>0</v>
      </c>
      <c r="EM703" s="63">
        <f t="shared" si="295"/>
        <v>0</v>
      </c>
      <c r="EN703" s="359">
        <f t="shared" si="296"/>
        <v>0</v>
      </c>
      <c r="EO703" s="51">
        <f t="shared" si="297"/>
        <v>0</v>
      </c>
      <c r="EP703" s="361">
        <f t="shared" si="298"/>
        <v>0</v>
      </c>
      <c r="EQ703" s="281"/>
      <c r="ER703" s="277"/>
      <c r="ES703" s="281"/>
      <c r="ET703" s="277"/>
      <c r="EU703" s="281"/>
      <c r="EV703" s="277"/>
      <c r="EW703" s="281"/>
      <c r="EX703" s="277"/>
      <c r="EY703" s="281"/>
      <c r="EZ703" s="277"/>
      <c r="FA703" s="281"/>
      <c r="FB703" s="277"/>
      <c r="FC703" s="281"/>
      <c r="FD703" s="277"/>
      <c r="FE703" s="281"/>
      <c r="FF703" s="277"/>
      <c r="FG703" s="281"/>
      <c r="FH703" s="277"/>
      <c r="FI703" s="281"/>
      <c r="FJ703" s="277"/>
      <c r="FK703" s="50">
        <f t="shared" si="299"/>
        <v>0</v>
      </c>
      <c r="FL703" s="63">
        <f t="shared" si="283"/>
        <v>0</v>
      </c>
      <c r="FM703" s="50">
        <f t="shared" si="265"/>
        <v>454</v>
      </c>
      <c r="FN703" s="360">
        <f t="shared" si="266"/>
        <v>469</v>
      </c>
      <c r="FP703" s="279"/>
      <c r="FQ703" s="52"/>
      <c r="FR703" s="296"/>
      <c r="FS703" s="98"/>
      <c r="FT703" s="467"/>
      <c r="FU703" s="52"/>
      <c r="FV703" s="296"/>
      <c r="FW703" s="98"/>
      <c r="FX703" s="467"/>
      <c r="FY703" s="52"/>
      <c r="FZ703" s="296"/>
      <c r="GA703" s="98"/>
      <c r="GB703" s="467"/>
      <c r="GC703" s="52"/>
      <c r="GD703" s="296"/>
      <c r="GE703" s="98"/>
      <c r="GF703" s="467"/>
      <c r="GG703" s="52"/>
      <c r="GH703" s="296"/>
      <c r="GI703" s="98"/>
      <c r="GJ703" s="467"/>
      <c r="GK703" s="52"/>
      <c r="GL703" s="296"/>
      <c r="GM703" s="464"/>
      <c r="GN703" s="467"/>
      <c r="GO703" s="52"/>
      <c r="GP703" s="296"/>
      <c r="GQ703" s="464"/>
      <c r="GR703" s="467"/>
      <c r="GS703" s="52"/>
      <c r="GT703" s="296"/>
      <c r="GU703" s="464"/>
      <c r="GV703" s="467"/>
      <c r="GW703" s="52"/>
      <c r="GX703" s="296"/>
      <c r="GY703" s="464"/>
      <c r="GZ703" s="467"/>
      <c r="HA703" s="52"/>
      <c r="HB703" s="296"/>
      <c r="HC703" s="43"/>
    </row>
    <row r="704" spans="1:211" s="3" customFormat="1">
      <c r="A704" s="330" t="s">
        <v>347</v>
      </c>
      <c r="B704" s="331" t="s">
        <v>1294</v>
      </c>
      <c r="C704" s="330">
        <v>233116</v>
      </c>
      <c r="D704" s="344">
        <v>9</v>
      </c>
      <c r="E704" s="158">
        <v>53</v>
      </c>
      <c r="F704" s="666">
        <v>217</v>
      </c>
      <c r="G704" s="158"/>
      <c r="H704" s="277"/>
      <c r="I704" s="158">
        <v>265</v>
      </c>
      <c r="J704" s="666">
        <v>268</v>
      </c>
      <c r="K704" s="160">
        <f t="shared" si="284"/>
        <v>0</v>
      </c>
      <c r="L704" s="161">
        <f t="shared" si="260"/>
        <v>0</v>
      </c>
      <c r="M704" s="54"/>
      <c r="N704" s="55"/>
      <c r="O704" s="55"/>
      <c r="P704" s="55"/>
      <c r="Q704" s="162">
        <f t="shared" si="285"/>
        <v>0</v>
      </c>
      <c r="R704" s="277"/>
      <c r="S704" s="277"/>
      <c r="T704" s="277"/>
      <c r="U704" s="277"/>
      <c r="V704" s="97">
        <f t="shared" si="286"/>
        <v>0</v>
      </c>
      <c r="W704" s="279"/>
      <c r="X704" s="52"/>
      <c r="Y704" s="99"/>
      <c r="Z704" s="53"/>
      <c r="AA704" s="228"/>
      <c r="AB704" s="52"/>
      <c r="AC704" s="99"/>
      <c r="AD704" s="53"/>
      <c r="AE704" s="228"/>
      <c r="AF704" s="52"/>
      <c r="AG704" s="99"/>
      <c r="AH704" s="53"/>
      <c r="AI704" s="228"/>
      <c r="AJ704" s="52"/>
      <c r="AK704" s="99"/>
      <c r="AL704" s="53"/>
      <c r="AM704" s="228"/>
      <c r="AN704" s="52"/>
      <c r="AO704" s="99"/>
      <c r="AP704" s="53"/>
      <c r="AQ704" s="50">
        <f t="shared" si="261"/>
        <v>0</v>
      </c>
      <c r="AR704" s="163">
        <f t="shared" si="262"/>
        <v>0</v>
      </c>
      <c r="AS704" s="97">
        <f t="shared" si="263"/>
        <v>0</v>
      </c>
      <c r="AT704" s="278">
        <f t="shared" si="264"/>
        <v>0</v>
      </c>
      <c r="AU704" s="55"/>
      <c r="AV704" s="277"/>
      <c r="AW704" s="279"/>
      <c r="AX704" s="52"/>
      <c r="AY704" s="105"/>
      <c r="AZ704" s="98"/>
      <c r="BA704" s="279"/>
      <c r="BB704" s="52"/>
      <c r="BC704" s="105"/>
      <c r="BD704" s="98"/>
      <c r="BE704" s="279"/>
      <c r="BF704" s="52"/>
      <c r="BG704" s="105"/>
      <c r="BH704" s="98"/>
      <c r="BI704" s="279"/>
      <c r="BJ704" s="52"/>
      <c r="BK704" s="105"/>
      <c r="BL704" s="98"/>
      <c r="BM704" s="279"/>
      <c r="BN704" s="52"/>
      <c r="BO704" s="105"/>
      <c r="BP704" s="98"/>
      <c r="BQ704" s="279"/>
      <c r="BR704" s="52"/>
      <c r="BS704" s="105"/>
      <c r="BT704" s="98"/>
      <c r="BU704" s="279"/>
      <c r="BV704" s="52"/>
      <c r="BW704" s="105"/>
      <c r="BX704" s="98"/>
      <c r="BY704" s="279"/>
      <c r="BZ704" s="52"/>
      <c r="CA704" s="105"/>
      <c r="CB704" s="98"/>
      <c r="CC704" s="279"/>
      <c r="CD704" s="52"/>
      <c r="CE704" s="105"/>
      <c r="CF704" s="98"/>
      <c r="CG704" s="279"/>
      <c r="CH704" s="52"/>
      <c r="CI704" s="105"/>
      <c r="CJ704" s="98"/>
      <c r="CK704" s="281"/>
      <c r="CL704" s="277"/>
      <c r="CM704" s="159"/>
      <c r="CN704" s="277"/>
      <c r="CO704" s="50">
        <f t="shared" si="287"/>
        <v>0</v>
      </c>
      <c r="CP704" s="103">
        <f t="shared" si="288"/>
        <v>0</v>
      </c>
      <c r="CQ704" s="280">
        <f t="shared" si="289"/>
        <v>0</v>
      </c>
      <c r="CR704" s="63">
        <f t="shared" si="290"/>
        <v>0</v>
      </c>
      <c r="CS704" s="279"/>
      <c r="CT704" s="52"/>
      <c r="CU704" s="105"/>
      <c r="CV704" s="98"/>
      <c r="CW704" s="279"/>
      <c r="CX704" s="52"/>
      <c r="CY704" s="105"/>
      <c r="CZ704" s="98"/>
      <c r="DA704" s="279"/>
      <c r="DB704" s="52"/>
      <c r="DC704" s="105"/>
      <c r="DD704" s="98"/>
      <c r="DE704" s="279"/>
      <c r="DF704" s="52"/>
      <c r="DG704" s="105"/>
      <c r="DH704" s="98"/>
      <c r="DI704" s="279"/>
      <c r="DJ704" s="52"/>
      <c r="DK704" s="105"/>
      <c r="DL704" s="98"/>
      <c r="DM704" s="279"/>
      <c r="DN704" s="52"/>
      <c r="DO704" s="105"/>
      <c r="DP704" s="98"/>
      <c r="DQ704" s="279"/>
      <c r="DR704" s="52"/>
      <c r="DS704" s="105"/>
      <c r="DT704" s="98"/>
      <c r="DU704" s="279"/>
      <c r="DV704" s="52"/>
      <c r="DW704" s="105"/>
      <c r="DX704" s="98"/>
      <c r="DY704" s="279"/>
      <c r="DZ704" s="52"/>
      <c r="EA704" s="105"/>
      <c r="EB704" s="98"/>
      <c r="EC704" s="279"/>
      <c r="ED704" s="52"/>
      <c r="EE704" s="105"/>
      <c r="EF704" s="98"/>
      <c r="EG704" s="159"/>
      <c r="EH704" s="277"/>
      <c r="EI704" s="50">
        <f t="shared" si="291"/>
        <v>0</v>
      </c>
      <c r="EJ704" s="103">
        <f t="shared" si="292"/>
        <v>0</v>
      </c>
      <c r="EK704" s="164">
        <f t="shared" si="293"/>
        <v>0</v>
      </c>
      <c r="EL704" s="280">
        <f t="shared" si="294"/>
        <v>0</v>
      </c>
      <c r="EM704" s="63">
        <f t="shared" si="295"/>
        <v>0</v>
      </c>
      <c r="EN704" s="359">
        <f t="shared" si="296"/>
        <v>0</v>
      </c>
      <c r="EO704" s="51">
        <f t="shared" si="297"/>
        <v>0</v>
      </c>
      <c r="EP704" s="361">
        <f t="shared" si="298"/>
        <v>0</v>
      </c>
      <c r="EQ704" s="281"/>
      <c r="ER704" s="277"/>
      <c r="ES704" s="281"/>
      <c r="ET704" s="277"/>
      <c r="EU704" s="281"/>
      <c r="EV704" s="277"/>
      <c r="EW704" s="281"/>
      <c r="EX704" s="277"/>
      <c r="EY704" s="281"/>
      <c r="EZ704" s="277"/>
      <c r="FA704" s="281"/>
      <c r="FB704" s="277"/>
      <c r="FC704" s="281"/>
      <c r="FD704" s="277"/>
      <c r="FE704" s="281"/>
      <c r="FF704" s="277"/>
      <c r="FG704" s="281"/>
      <c r="FH704" s="277"/>
      <c r="FI704" s="281"/>
      <c r="FJ704" s="277"/>
      <c r="FK704" s="50">
        <f t="shared" si="299"/>
        <v>0</v>
      </c>
      <c r="FL704" s="63">
        <f t="shared" si="283"/>
        <v>0</v>
      </c>
      <c r="FM704" s="50">
        <f t="shared" si="265"/>
        <v>318</v>
      </c>
      <c r="FN704" s="360">
        <f t="shared" si="266"/>
        <v>485</v>
      </c>
      <c r="FP704" s="279"/>
      <c r="FQ704" s="52"/>
      <c r="FR704" s="296"/>
      <c r="FS704" s="98"/>
      <c r="FT704" s="467"/>
      <c r="FU704" s="52"/>
      <c r="FV704" s="296"/>
      <c r="FW704" s="98"/>
      <c r="FX704" s="467"/>
      <c r="FY704" s="52"/>
      <c r="FZ704" s="296"/>
      <c r="GA704" s="98"/>
      <c r="GB704" s="467"/>
      <c r="GC704" s="52"/>
      <c r="GD704" s="296"/>
      <c r="GE704" s="98"/>
      <c r="GF704" s="467"/>
      <c r="GG704" s="52"/>
      <c r="GH704" s="296"/>
      <c r="GI704" s="98"/>
      <c r="GJ704" s="467"/>
      <c r="GK704" s="52"/>
      <c r="GL704" s="296"/>
      <c r="GM704" s="464"/>
      <c r="GN704" s="467"/>
      <c r="GO704" s="52"/>
      <c r="GP704" s="296"/>
      <c r="GQ704" s="464"/>
      <c r="GR704" s="467"/>
      <c r="GS704" s="52"/>
      <c r="GT704" s="296"/>
      <c r="GU704" s="464"/>
      <c r="GV704" s="467"/>
      <c r="GW704" s="52"/>
      <c r="GX704" s="296"/>
      <c r="GY704" s="464"/>
      <c r="GZ704" s="467"/>
      <c r="HA704" s="52"/>
      <c r="HB704" s="296"/>
      <c r="HC704" s="43"/>
    </row>
    <row r="705" spans="1:211" s="3" customFormat="1">
      <c r="A705" s="330" t="s">
        <v>347</v>
      </c>
      <c r="B705" s="331" t="s">
        <v>1295</v>
      </c>
      <c r="C705" s="330">
        <v>233639</v>
      </c>
      <c r="D705" s="344">
        <v>9</v>
      </c>
      <c r="E705" s="158">
        <v>409</v>
      </c>
      <c r="F705" s="666">
        <v>219</v>
      </c>
      <c r="G705" s="158"/>
      <c r="H705" s="277"/>
      <c r="I705" s="158">
        <v>328</v>
      </c>
      <c r="J705" s="666">
        <v>293</v>
      </c>
      <c r="K705" s="160">
        <f t="shared" si="284"/>
        <v>0</v>
      </c>
      <c r="L705" s="161">
        <f t="shared" si="260"/>
        <v>0</v>
      </c>
      <c r="M705" s="54"/>
      <c r="N705" s="55"/>
      <c r="O705" s="55"/>
      <c r="P705" s="55"/>
      <c r="Q705" s="162">
        <f t="shared" si="285"/>
        <v>0</v>
      </c>
      <c r="R705" s="277"/>
      <c r="S705" s="277"/>
      <c r="T705" s="277"/>
      <c r="U705" s="277"/>
      <c r="V705" s="97">
        <f t="shared" si="286"/>
        <v>0</v>
      </c>
      <c r="W705" s="279"/>
      <c r="X705" s="52"/>
      <c r="Y705" s="99"/>
      <c r="Z705" s="53"/>
      <c r="AA705" s="228"/>
      <c r="AB705" s="52"/>
      <c r="AC705" s="99"/>
      <c r="AD705" s="53"/>
      <c r="AE705" s="228"/>
      <c r="AF705" s="52"/>
      <c r="AG705" s="99"/>
      <c r="AH705" s="53"/>
      <c r="AI705" s="228"/>
      <c r="AJ705" s="52"/>
      <c r="AK705" s="99"/>
      <c r="AL705" s="53"/>
      <c r="AM705" s="228"/>
      <c r="AN705" s="52"/>
      <c r="AO705" s="99"/>
      <c r="AP705" s="53"/>
      <c r="AQ705" s="50">
        <f t="shared" si="261"/>
        <v>0</v>
      </c>
      <c r="AR705" s="163">
        <f t="shared" si="262"/>
        <v>0</v>
      </c>
      <c r="AS705" s="97">
        <f t="shared" si="263"/>
        <v>0</v>
      </c>
      <c r="AT705" s="278">
        <f t="shared" si="264"/>
        <v>0</v>
      </c>
      <c r="AU705" s="55"/>
      <c r="AV705" s="277"/>
      <c r="AW705" s="279"/>
      <c r="AX705" s="52"/>
      <c r="AY705" s="105"/>
      <c r="AZ705" s="98"/>
      <c r="BA705" s="279"/>
      <c r="BB705" s="52"/>
      <c r="BC705" s="105"/>
      <c r="BD705" s="98"/>
      <c r="BE705" s="279"/>
      <c r="BF705" s="52"/>
      <c r="BG705" s="105"/>
      <c r="BH705" s="98"/>
      <c r="BI705" s="279"/>
      <c r="BJ705" s="52"/>
      <c r="BK705" s="105"/>
      <c r="BL705" s="98"/>
      <c r="BM705" s="279"/>
      <c r="BN705" s="52"/>
      <c r="BO705" s="105"/>
      <c r="BP705" s="98"/>
      <c r="BQ705" s="279"/>
      <c r="BR705" s="52"/>
      <c r="BS705" s="105"/>
      <c r="BT705" s="98"/>
      <c r="BU705" s="279"/>
      <c r="BV705" s="52"/>
      <c r="BW705" s="105"/>
      <c r="BX705" s="98"/>
      <c r="BY705" s="279"/>
      <c r="BZ705" s="52"/>
      <c r="CA705" s="105"/>
      <c r="CB705" s="98"/>
      <c r="CC705" s="279"/>
      <c r="CD705" s="52"/>
      <c r="CE705" s="105"/>
      <c r="CF705" s="98"/>
      <c r="CG705" s="279"/>
      <c r="CH705" s="52"/>
      <c r="CI705" s="105"/>
      <c r="CJ705" s="98"/>
      <c r="CK705" s="281"/>
      <c r="CL705" s="277"/>
      <c r="CM705" s="159"/>
      <c r="CN705" s="277"/>
      <c r="CO705" s="50">
        <f t="shared" si="287"/>
        <v>0</v>
      </c>
      <c r="CP705" s="103">
        <f t="shared" si="288"/>
        <v>0</v>
      </c>
      <c r="CQ705" s="280">
        <f t="shared" si="289"/>
        <v>0</v>
      </c>
      <c r="CR705" s="63">
        <f t="shared" si="290"/>
        <v>0</v>
      </c>
      <c r="CS705" s="279"/>
      <c r="CT705" s="52"/>
      <c r="CU705" s="105"/>
      <c r="CV705" s="98"/>
      <c r="CW705" s="279"/>
      <c r="CX705" s="52"/>
      <c r="CY705" s="105"/>
      <c r="CZ705" s="98"/>
      <c r="DA705" s="279"/>
      <c r="DB705" s="52"/>
      <c r="DC705" s="105"/>
      <c r="DD705" s="98"/>
      <c r="DE705" s="279"/>
      <c r="DF705" s="52"/>
      <c r="DG705" s="105"/>
      <c r="DH705" s="98"/>
      <c r="DI705" s="279"/>
      <c r="DJ705" s="52"/>
      <c r="DK705" s="105"/>
      <c r="DL705" s="98"/>
      <c r="DM705" s="279"/>
      <c r="DN705" s="52"/>
      <c r="DO705" s="105"/>
      <c r="DP705" s="98"/>
      <c r="DQ705" s="279"/>
      <c r="DR705" s="52"/>
      <c r="DS705" s="105"/>
      <c r="DT705" s="98"/>
      <c r="DU705" s="279"/>
      <c r="DV705" s="52"/>
      <c r="DW705" s="105"/>
      <c r="DX705" s="98"/>
      <c r="DY705" s="279"/>
      <c r="DZ705" s="52"/>
      <c r="EA705" s="105"/>
      <c r="EB705" s="98"/>
      <c r="EC705" s="279"/>
      <c r="ED705" s="52"/>
      <c r="EE705" s="105"/>
      <c r="EF705" s="98"/>
      <c r="EG705" s="159"/>
      <c r="EH705" s="277"/>
      <c r="EI705" s="50">
        <f t="shared" si="291"/>
        <v>0</v>
      </c>
      <c r="EJ705" s="103">
        <f t="shared" si="292"/>
        <v>0</v>
      </c>
      <c r="EK705" s="164">
        <f t="shared" si="293"/>
        <v>0</v>
      </c>
      <c r="EL705" s="280">
        <f t="shared" si="294"/>
        <v>0</v>
      </c>
      <c r="EM705" s="63">
        <f t="shared" si="295"/>
        <v>0</v>
      </c>
      <c r="EN705" s="359">
        <f t="shared" si="296"/>
        <v>0</v>
      </c>
      <c r="EO705" s="51">
        <f t="shared" si="297"/>
        <v>0</v>
      </c>
      <c r="EP705" s="361">
        <f t="shared" si="298"/>
        <v>0</v>
      </c>
      <c r="EQ705" s="281"/>
      <c r="ER705" s="277"/>
      <c r="ES705" s="281"/>
      <c r="ET705" s="277"/>
      <c r="EU705" s="281"/>
      <c r="EV705" s="277"/>
      <c r="EW705" s="281"/>
      <c r="EX705" s="277"/>
      <c r="EY705" s="281"/>
      <c r="EZ705" s="277"/>
      <c r="FA705" s="281"/>
      <c r="FB705" s="277"/>
      <c r="FC705" s="281"/>
      <c r="FD705" s="277"/>
      <c r="FE705" s="281"/>
      <c r="FF705" s="277"/>
      <c r="FG705" s="281"/>
      <c r="FH705" s="277"/>
      <c r="FI705" s="281"/>
      <c r="FJ705" s="277"/>
      <c r="FK705" s="50">
        <f t="shared" si="299"/>
        <v>0</v>
      </c>
      <c r="FL705" s="63">
        <f t="shared" si="283"/>
        <v>0</v>
      </c>
      <c r="FM705" s="50">
        <f t="shared" si="265"/>
        <v>737</v>
      </c>
      <c r="FN705" s="360">
        <f t="shared" si="266"/>
        <v>512</v>
      </c>
      <c r="FP705" s="279"/>
      <c r="FQ705" s="52"/>
      <c r="FR705" s="296"/>
      <c r="FS705" s="98"/>
      <c r="FT705" s="467"/>
      <c r="FU705" s="52"/>
      <c r="FV705" s="296"/>
      <c r="FW705" s="98"/>
      <c r="FX705" s="467"/>
      <c r="FY705" s="52"/>
      <c r="FZ705" s="296"/>
      <c r="GA705" s="98"/>
      <c r="GB705" s="467"/>
      <c r="GC705" s="52"/>
      <c r="GD705" s="296"/>
      <c r="GE705" s="98"/>
      <c r="GF705" s="467"/>
      <c r="GG705" s="52"/>
      <c r="GH705" s="296"/>
      <c r="GI705" s="98"/>
      <c r="GJ705" s="467"/>
      <c r="GK705" s="52"/>
      <c r="GL705" s="296"/>
      <c r="GM705" s="464"/>
      <c r="GN705" s="467"/>
      <c r="GO705" s="52"/>
      <c r="GP705" s="296"/>
      <c r="GQ705" s="464"/>
      <c r="GR705" s="467"/>
      <c r="GS705" s="52"/>
      <c r="GT705" s="296"/>
      <c r="GU705" s="464"/>
      <c r="GV705" s="467"/>
      <c r="GW705" s="52"/>
      <c r="GX705" s="296"/>
      <c r="GY705" s="464"/>
      <c r="GZ705" s="467"/>
      <c r="HA705" s="52"/>
      <c r="HB705" s="296"/>
      <c r="HC705" s="43"/>
    </row>
    <row r="706" spans="1:211" s="3" customFormat="1">
      <c r="A706" s="330" t="s">
        <v>347</v>
      </c>
      <c r="B706" s="331" t="s">
        <v>1296</v>
      </c>
      <c r="C706" s="330">
        <v>233648</v>
      </c>
      <c r="D706" s="344">
        <v>9</v>
      </c>
      <c r="E706" s="158">
        <v>323</v>
      </c>
      <c r="F706" s="666">
        <v>339</v>
      </c>
      <c r="G706" s="158"/>
      <c r="H706" s="277"/>
      <c r="I706" s="158">
        <v>278</v>
      </c>
      <c r="J706" s="666">
        <v>360</v>
      </c>
      <c r="K706" s="160">
        <f t="shared" si="284"/>
        <v>0</v>
      </c>
      <c r="L706" s="161">
        <f t="shared" si="260"/>
        <v>0</v>
      </c>
      <c r="M706" s="54"/>
      <c r="N706" s="55"/>
      <c r="O706" s="55"/>
      <c r="P706" s="55"/>
      <c r="Q706" s="162">
        <f t="shared" si="285"/>
        <v>0</v>
      </c>
      <c r="R706" s="277"/>
      <c r="S706" s="277"/>
      <c r="T706" s="277"/>
      <c r="U706" s="277"/>
      <c r="V706" s="97">
        <f t="shared" si="286"/>
        <v>0</v>
      </c>
      <c r="W706" s="279"/>
      <c r="X706" s="52"/>
      <c r="Y706" s="99"/>
      <c r="Z706" s="53"/>
      <c r="AA706" s="228"/>
      <c r="AB706" s="52"/>
      <c r="AC706" s="99"/>
      <c r="AD706" s="53"/>
      <c r="AE706" s="228"/>
      <c r="AF706" s="52"/>
      <c r="AG706" s="99"/>
      <c r="AH706" s="53"/>
      <c r="AI706" s="228"/>
      <c r="AJ706" s="52"/>
      <c r="AK706" s="99"/>
      <c r="AL706" s="53"/>
      <c r="AM706" s="228"/>
      <c r="AN706" s="52"/>
      <c r="AO706" s="99"/>
      <c r="AP706" s="53"/>
      <c r="AQ706" s="50">
        <f t="shared" si="261"/>
        <v>0</v>
      </c>
      <c r="AR706" s="163">
        <f t="shared" si="262"/>
        <v>0</v>
      </c>
      <c r="AS706" s="97">
        <f t="shared" si="263"/>
        <v>0</v>
      </c>
      <c r="AT706" s="278">
        <f t="shared" si="264"/>
        <v>0</v>
      </c>
      <c r="AU706" s="55"/>
      <c r="AV706" s="277"/>
      <c r="AW706" s="279"/>
      <c r="AX706" s="52"/>
      <c r="AY706" s="105"/>
      <c r="AZ706" s="98"/>
      <c r="BA706" s="279"/>
      <c r="BB706" s="52"/>
      <c r="BC706" s="105"/>
      <c r="BD706" s="98"/>
      <c r="BE706" s="279"/>
      <c r="BF706" s="52"/>
      <c r="BG706" s="105"/>
      <c r="BH706" s="98"/>
      <c r="BI706" s="279"/>
      <c r="BJ706" s="52"/>
      <c r="BK706" s="105"/>
      <c r="BL706" s="98"/>
      <c r="BM706" s="279"/>
      <c r="BN706" s="52"/>
      <c r="BO706" s="105"/>
      <c r="BP706" s="98"/>
      <c r="BQ706" s="279"/>
      <c r="BR706" s="52"/>
      <c r="BS706" s="105"/>
      <c r="BT706" s="98"/>
      <c r="BU706" s="279"/>
      <c r="BV706" s="52"/>
      <c r="BW706" s="105"/>
      <c r="BX706" s="98"/>
      <c r="BY706" s="279"/>
      <c r="BZ706" s="52"/>
      <c r="CA706" s="105"/>
      <c r="CB706" s="98"/>
      <c r="CC706" s="279"/>
      <c r="CD706" s="52"/>
      <c r="CE706" s="105"/>
      <c r="CF706" s="98"/>
      <c r="CG706" s="279"/>
      <c r="CH706" s="52"/>
      <c r="CI706" s="105"/>
      <c r="CJ706" s="98"/>
      <c r="CK706" s="281"/>
      <c r="CL706" s="277"/>
      <c r="CM706" s="159"/>
      <c r="CN706" s="277"/>
      <c r="CO706" s="50">
        <f t="shared" si="287"/>
        <v>0</v>
      </c>
      <c r="CP706" s="103">
        <f t="shared" si="288"/>
        <v>0</v>
      </c>
      <c r="CQ706" s="280">
        <f t="shared" si="289"/>
        <v>0</v>
      </c>
      <c r="CR706" s="63">
        <f t="shared" si="290"/>
        <v>0</v>
      </c>
      <c r="CS706" s="279"/>
      <c r="CT706" s="52"/>
      <c r="CU706" s="105"/>
      <c r="CV706" s="98"/>
      <c r="CW706" s="279"/>
      <c r="CX706" s="52"/>
      <c r="CY706" s="105"/>
      <c r="CZ706" s="98"/>
      <c r="DA706" s="279"/>
      <c r="DB706" s="52"/>
      <c r="DC706" s="105"/>
      <c r="DD706" s="98"/>
      <c r="DE706" s="279"/>
      <c r="DF706" s="52"/>
      <c r="DG706" s="105"/>
      <c r="DH706" s="98"/>
      <c r="DI706" s="279"/>
      <c r="DJ706" s="52"/>
      <c r="DK706" s="105"/>
      <c r="DL706" s="98"/>
      <c r="DM706" s="279"/>
      <c r="DN706" s="52"/>
      <c r="DO706" s="105"/>
      <c r="DP706" s="98"/>
      <c r="DQ706" s="279"/>
      <c r="DR706" s="52"/>
      <c r="DS706" s="105"/>
      <c r="DT706" s="98"/>
      <c r="DU706" s="279"/>
      <c r="DV706" s="52"/>
      <c r="DW706" s="105"/>
      <c r="DX706" s="98"/>
      <c r="DY706" s="279"/>
      <c r="DZ706" s="52"/>
      <c r="EA706" s="105"/>
      <c r="EB706" s="98"/>
      <c r="EC706" s="279"/>
      <c r="ED706" s="52"/>
      <c r="EE706" s="105"/>
      <c r="EF706" s="98"/>
      <c r="EG706" s="159"/>
      <c r="EH706" s="277"/>
      <c r="EI706" s="50">
        <f t="shared" si="291"/>
        <v>0</v>
      </c>
      <c r="EJ706" s="103">
        <f t="shared" si="292"/>
        <v>0</v>
      </c>
      <c r="EK706" s="164">
        <f t="shared" si="293"/>
        <v>0</v>
      </c>
      <c r="EL706" s="280">
        <f t="shared" si="294"/>
        <v>0</v>
      </c>
      <c r="EM706" s="63">
        <f t="shared" si="295"/>
        <v>0</v>
      </c>
      <c r="EN706" s="359">
        <f t="shared" si="296"/>
        <v>0</v>
      </c>
      <c r="EO706" s="51">
        <f t="shared" si="297"/>
        <v>0</v>
      </c>
      <c r="EP706" s="361">
        <f t="shared" si="298"/>
        <v>0</v>
      </c>
      <c r="EQ706" s="281"/>
      <c r="ER706" s="277"/>
      <c r="ES706" s="281"/>
      <c r="ET706" s="277"/>
      <c r="EU706" s="281"/>
      <c r="EV706" s="277"/>
      <c r="EW706" s="281"/>
      <c r="EX706" s="277"/>
      <c r="EY706" s="281"/>
      <c r="EZ706" s="277"/>
      <c r="FA706" s="281"/>
      <c r="FB706" s="277"/>
      <c r="FC706" s="281"/>
      <c r="FD706" s="277"/>
      <c r="FE706" s="281"/>
      <c r="FF706" s="277"/>
      <c r="FG706" s="281"/>
      <c r="FH706" s="277"/>
      <c r="FI706" s="281"/>
      <c r="FJ706" s="277"/>
      <c r="FK706" s="50">
        <f t="shared" si="299"/>
        <v>0</v>
      </c>
      <c r="FL706" s="63">
        <f t="shared" si="283"/>
        <v>0</v>
      </c>
      <c r="FM706" s="50">
        <f t="shared" si="265"/>
        <v>601</v>
      </c>
      <c r="FN706" s="360">
        <f t="shared" si="266"/>
        <v>699</v>
      </c>
      <c r="FP706" s="279"/>
      <c r="FQ706" s="52"/>
      <c r="FR706" s="296"/>
      <c r="FS706" s="98"/>
      <c r="FT706" s="467"/>
      <c r="FU706" s="52"/>
      <c r="FV706" s="296"/>
      <c r="FW706" s="98"/>
      <c r="FX706" s="467"/>
      <c r="FY706" s="52"/>
      <c r="FZ706" s="296"/>
      <c r="GA706" s="98"/>
      <c r="GB706" s="467"/>
      <c r="GC706" s="52"/>
      <c r="GD706" s="296"/>
      <c r="GE706" s="98"/>
      <c r="GF706" s="467"/>
      <c r="GG706" s="52"/>
      <c r="GH706" s="296"/>
      <c r="GI706" s="98"/>
      <c r="GJ706" s="467"/>
      <c r="GK706" s="52"/>
      <c r="GL706" s="296"/>
      <c r="GM706" s="464"/>
      <c r="GN706" s="467"/>
      <c r="GO706" s="52"/>
      <c r="GP706" s="296"/>
      <c r="GQ706" s="464"/>
      <c r="GR706" s="467"/>
      <c r="GS706" s="52"/>
      <c r="GT706" s="296"/>
      <c r="GU706" s="464"/>
      <c r="GV706" s="467"/>
      <c r="GW706" s="52"/>
      <c r="GX706" s="296"/>
      <c r="GY706" s="464"/>
      <c r="GZ706" s="467"/>
      <c r="HA706" s="52"/>
      <c r="HB706" s="296"/>
      <c r="HC706" s="43"/>
    </row>
    <row r="707" spans="1:211" s="3" customFormat="1">
      <c r="A707" s="330" t="s">
        <v>347</v>
      </c>
      <c r="B707" s="331" t="s">
        <v>1297</v>
      </c>
      <c r="C707" s="330">
        <v>233949</v>
      </c>
      <c r="D707" s="344">
        <v>9</v>
      </c>
      <c r="E707" s="158">
        <v>144</v>
      </c>
      <c r="F707" s="666">
        <v>245</v>
      </c>
      <c r="G707" s="158"/>
      <c r="H707" s="277"/>
      <c r="I707" s="158">
        <v>501</v>
      </c>
      <c r="J707" s="666">
        <v>308</v>
      </c>
      <c r="K707" s="160">
        <f t="shared" si="284"/>
        <v>0</v>
      </c>
      <c r="L707" s="161">
        <f t="shared" si="260"/>
        <v>0</v>
      </c>
      <c r="M707" s="54"/>
      <c r="N707" s="55"/>
      <c r="O707" s="55"/>
      <c r="P707" s="55"/>
      <c r="Q707" s="162">
        <f t="shared" si="285"/>
        <v>0</v>
      </c>
      <c r="R707" s="277"/>
      <c r="S707" s="277"/>
      <c r="T707" s="277"/>
      <c r="U707" s="277"/>
      <c r="V707" s="97">
        <f t="shared" si="286"/>
        <v>0</v>
      </c>
      <c r="W707" s="279"/>
      <c r="X707" s="52"/>
      <c r="Y707" s="99"/>
      <c r="Z707" s="53"/>
      <c r="AA707" s="228"/>
      <c r="AB707" s="52"/>
      <c r="AC707" s="99"/>
      <c r="AD707" s="53"/>
      <c r="AE707" s="228"/>
      <c r="AF707" s="52"/>
      <c r="AG707" s="99"/>
      <c r="AH707" s="53"/>
      <c r="AI707" s="228"/>
      <c r="AJ707" s="52"/>
      <c r="AK707" s="99"/>
      <c r="AL707" s="53"/>
      <c r="AM707" s="228"/>
      <c r="AN707" s="52"/>
      <c r="AO707" s="99"/>
      <c r="AP707" s="53"/>
      <c r="AQ707" s="50">
        <f t="shared" si="261"/>
        <v>0</v>
      </c>
      <c r="AR707" s="163">
        <f t="shared" si="262"/>
        <v>0</v>
      </c>
      <c r="AS707" s="97">
        <f t="shared" si="263"/>
        <v>0</v>
      </c>
      <c r="AT707" s="278">
        <f t="shared" si="264"/>
        <v>0</v>
      </c>
      <c r="AU707" s="55"/>
      <c r="AV707" s="277"/>
      <c r="AW707" s="279"/>
      <c r="AX707" s="52"/>
      <c r="AY707" s="105"/>
      <c r="AZ707" s="98"/>
      <c r="BA707" s="279"/>
      <c r="BB707" s="52"/>
      <c r="BC707" s="105"/>
      <c r="BD707" s="98"/>
      <c r="BE707" s="279"/>
      <c r="BF707" s="52"/>
      <c r="BG707" s="105"/>
      <c r="BH707" s="98"/>
      <c r="BI707" s="279"/>
      <c r="BJ707" s="52"/>
      <c r="BK707" s="105"/>
      <c r="BL707" s="98"/>
      <c r="BM707" s="279"/>
      <c r="BN707" s="52"/>
      <c r="BO707" s="105"/>
      <c r="BP707" s="98"/>
      <c r="BQ707" s="279"/>
      <c r="BR707" s="52"/>
      <c r="BS707" s="105"/>
      <c r="BT707" s="98"/>
      <c r="BU707" s="279"/>
      <c r="BV707" s="52"/>
      <c r="BW707" s="105"/>
      <c r="BX707" s="98"/>
      <c r="BY707" s="279"/>
      <c r="BZ707" s="52"/>
      <c r="CA707" s="105"/>
      <c r="CB707" s="98"/>
      <c r="CC707" s="279"/>
      <c r="CD707" s="52"/>
      <c r="CE707" s="105"/>
      <c r="CF707" s="98"/>
      <c r="CG707" s="279"/>
      <c r="CH707" s="52"/>
      <c r="CI707" s="105"/>
      <c r="CJ707" s="98"/>
      <c r="CK707" s="281"/>
      <c r="CL707" s="277"/>
      <c r="CM707" s="159"/>
      <c r="CN707" s="277"/>
      <c r="CO707" s="50">
        <f t="shared" si="287"/>
        <v>0</v>
      </c>
      <c r="CP707" s="103">
        <f t="shared" si="288"/>
        <v>0</v>
      </c>
      <c r="CQ707" s="280">
        <f t="shared" si="289"/>
        <v>0</v>
      </c>
      <c r="CR707" s="63">
        <f t="shared" si="290"/>
        <v>0</v>
      </c>
      <c r="CS707" s="279"/>
      <c r="CT707" s="52"/>
      <c r="CU707" s="105"/>
      <c r="CV707" s="98"/>
      <c r="CW707" s="279"/>
      <c r="CX707" s="52"/>
      <c r="CY707" s="105"/>
      <c r="CZ707" s="98"/>
      <c r="DA707" s="279"/>
      <c r="DB707" s="52"/>
      <c r="DC707" s="105"/>
      <c r="DD707" s="98"/>
      <c r="DE707" s="279"/>
      <c r="DF707" s="52"/>
      <c r="DG707" s="105"/>
      <c r="DH707" s="98"/>
      <c r="DI707" s="279"/>
      <c r="DJ707" s="52"/>
      <c r="DK707" s="105"/>
      <c r="DL707" s="98"/>
      <c r="DM707" s="279"/>
      <c r="DN707" s="52"/>
      <c r="DO707" s="105"/>
      <c r="DP707" s="98"/>
      <c r="DQ707" s="279"/>
      <c r="DR707" s="52"/>
      <c r="DS707" s="105"/>
      <c r="DT707" s="98"/>
      <c r="DU707" s="279"/>
      <c r="DV707" s="52"/>
      <c r="DW707" s="105"/>
      <c r="DX707" s="98"/>
      <c r="DY707" s="279"/>
      <c r="DZ707" s="52"/>
      <c r="EA707" s="105"/>
      <c r="EB707" s="98"/>
      <c r="EC707" s="279"/>
      <c r="ED707" s="52"/>
      <c r="EE707" s="105"/>
      <c r="EF707" s="98"/>
      <c r="EG707" s="159"/>
      <c r="EH707" s="277"/>
      <c r="EI707" s="50">
        <f t="shared" si="291"/>
        <v>0</v>
      </c>
      <c r="EJ707" s="103">
        <f t="shared" si="292"/>
        <v>0</v>
      </c>
      <c r="EK707" s="164">
        <f t="shared" si="293"/>
        <v>0</v>
      </c>
      <c r="EL707" s="280">
        <f t="shared" si="294"/>
        <v>0</v>
      </c>
      <c r="EM707" s="63">
        <f t="shared" si="295"/>
        <v>0</v>
      </c>
      <c r="EN707" s="359">
        <f t="shared" si="296"/>
        <v>0</v>
      </c>
      <c r="EO707" s="51">
        <f t="shared" si="297"/>
        <v>0</v>
      </c>
      <c r="EP707" s="361">
        <f t="shared" si="298"/>
        <v>0</v>
      </c>
      <c r="EQ707" s="281"/>
      <c r="ER707" s="277"/>
      <c r="ES707" s="281"/>
      <c r="ET707" s="277"/>
      <c r="EU707" s="281"/>
      <c r="EV707" s="277"/>
      <c r="EW707" s="281"/>
      <c r="EX707" s="277"/>
      <c r="EY707" s="281"/>
      <c r="EZ707" s="277"/>
      <c r="FA707" s="281"/>
      <c r="FB707" s="277"/>
      <c r="FC707" s="281"/>
      <c r="FD707" s="277"/>
      <c r="FE707" s="281"/>
      <c r="FF707" s="277"/>
      <c r="FG707" s="281"/>
      <c r="FH707" s="277"/>
      <c r="FI707" s="281"/>
      <c r="FJ707" s="277"/>
      <c r="FK707" s="50">
        <f t="shared" si="299"/>
        <v>0</v>
      </c>
      <c r="FL707" s="63">
        <f t="shared" si="283"/>
        <v>0</v>
      </c>
      <c r="FM707" s="50">
        <f t="shared" si="265"/>
        <v>645</v>
      </c>
      <c r="FN707" s="360">
        <f t="shared" si="266"/>
        <v>553</v>
      </c>
      <c r="FP707" s="279"/>
      <c r="FQ707" s="52"/>
      <c r="FR707" s="296"/>
      <c r="FS707" s="98"/>
      <c r="FT707" s="467"/>
      <c r="FU707" s="52"/>
      <c r="FV707" s="296"/>
      <c r="FW707" s="98"/>
      <c r="FX707" s="467"/>
      <c r="FY707" s="52"/>
      <c r="FZ707" s="296"/>
      <c r="GA707" s="98"/>
      <c r="GB707" s="467"/>
      <c r="GC707" s="52"/>
      <c r="GD707" s="296"/>
      <c r="GE707" s="98"/>
      <c r="GF707" s="467"/>
      <c r="GG707" s="52"/>
      <c r="GH707" s="296"/>
      <c r="GI707" s="98"/>
      <c r="GJ707" s="467"/>
      <c r="GK707" s="52"/>
      <c r="GL707" s="296"/>
      <c r="GM707" s="464"/>
      <c r="GN707" s="467"/>
      <c r="GO707" s="52"/>
      <c r="GP707" s="296"/>
      <c r="GQ707" s="464"/>
      <c r="GR707" s="467"/>
      <c r="GS707" s="52"/>
      <c r="GT707" s="296"/>
      <c r="GU707" s="464"/>
      <c r="GV707" s="467"/>
      <c r="GW707" s="52"/>
      <c r="GX707" s="296"/>
      <c r="GY707" s="464"/>
      <c r="GZ707" s="467"/>
      <c r="HA707" s="52"/>
      <c r="HB707" s="296"/>
      <c r="HC707" s="43"/>
    </row>
    <row r="708" spans="1:211" s="3" customFormat="1">
      <c r="A708" s="330" t="s">
        <v>347</v>
      </c>
      <c r="B708" s="331" t="s">
        <v>1298</v>
      </c>
      <c r="C708" s="330">
        <v>231873</v>
      </c>
      <c r="D708" s="344">
        <v>10</v>
      </c>
      <c r="E708" s="158">
        <v>136</v>
      </c>
      <c r="F708" s="666">
        <v>166</v>
      </c>
      <c r="G708" s="158"/>
      <c r="H708" s="277"/>
      <c r="I708" s="158">
        <v>83</v>
      </c>
      <c r="J708" s="666">
        <v>528</v>
      </c>
      <c r="K708" s="160">
        <f t="shared" si="284"/>
        <v>0</v>
      </c>
      <c r="L708" s="161">
        <f t="shared" si="260"/>
        <v>0</v>
      </c>
      <c r="M708" s="54"/>
      <c r="N708" s="55"/>
      <c r="O708" s="55"/>
      <c r="P708" s="55"/>
      <c r="Q708" s="162">
        <f t="shared" si="285"/>
        <v>0</v>
      </c>
      <c r="R708" s="277"/>
      <c r="S708" s="277"/>
      <c r="T708" s="277"/>
      <c r="U708" s="277"/>
      <c r="V708" s="97">
        <f t="shared" si="286"/>
        <v>0</v>
      </c>
      <c r="W708" s="279"/>
      <c r="X708" s="52"/>
      <c r="Y708" s="99"/>
      <c r="Z708" s="53"/>
      <c r="AA708" s="228"/>
      <c r="AB708" s="52"/>
      <c r="AC708" s="99"/>
      <c r="AD708" s="53"/>
      <c r="AE708" s="228"/>
      <c r="AF708" s="52"/>
      <c r="AG708" s="99"/>
      <c r="AH708" s="53"/>
      <c r="AI708" s="228"/>
      <c r="AJ708" s="52"/>
      <c r="AK708" s="99"/>
      <c r="AL708" s="53"/>
      <c r="AM708" s="228"/>
      <c r="AN708" s="52"/>
      <c r="AO708" s="99"/>
      <c r="AP708" s="53"/>
      <c r="AQ708" s="50">
        <f t="shared" si="261"/>
        <v>0</v>
      </c>
      <c r="AR708" s="163">
        <f t="shared" si="262"/>
        <v>0</v>
      </c>
      <c r="AS708" s="97">
        <f t="shared" si="263"/>
        <v>0</v>
      </c>
      <c r="AT708" s="278">
        <f t="shared" si="264"/>
        <v>0</v>
      </c>
      <c r="AU708" s="55"/>
      <c r="AV708" s="277"/>
      <c r="AW708" s="279"/>
      <c r="AX708" s="52"/>
      <c r="AY708" s="105"/>
      <c r="AZ708" s="98"/>
      <c r="BA708" s="279"/>
      <c r="BB708" s="52"/>
      <c r="BC708" s="105"/>
      <c r="BD708" s="98"/>
      <c r="BE708" s="279"/>
      <c r="BF708" s="52"/>
      <c r="BG708" s="105"/>
      <c r="BH708" s="98"/>
      <c r="BI708" s="279"/>
      <c r="BJ708" s="52"/>
      <c r="BK708" s="105"/>
      <c r="BL708" s="98"/>
      <c r="BM708" s="279"/>
      <c r="BN708" s="52"/>
      <c r="BO708" s="105"/>
      <c r="BP708" s="98"/>
      <c r="BQ708" s="279"/>
      <c r="BR708" s="52"/>
      <c r="BS708" s="105"/>
      <c r="BT708" s="98"/>
      <c r="BU708" s="279"/>
      <c r="BV708" s="52"/>
      <c r="BW708" s="105"/>
      <c r="BX708" s="98"/>
      <c r="BY708" s="279"/>
      <c r="BZ708" s="52"/>
      <c r="CA708" s="105"/>
      <c r="CB708" s="98"/>
      <c r="CC708" s="279"/>
      <c r="CD708" s="52"/>
      <c r="CE708" s="105"/>
      <c r="CF708" s="98"/>
      <c r="CG708" s="279"/>
      <c r="CH708" s="52"/>
      <c r="CI708" s="105"/>
      <c r="CJ708" s="98"/>
      <c r="CK708" s="281"/>
      <c r="CL708" s="277"/>
      <c r="CM708" s="159"/>
      <c r="CN708" s="277"/>
      <c r="CO708" s="50">
        <f t="shared" si="287"/>
        <v>0</v>
      </c>
      <c r="CP708" s="103">
        <f t="shared" si="288"/>
        <v>0</v>
      </c>
      <c r="CQ708" s="280">
        <f t="shared" si="289"/>
        <v>0</v>
      </c>
      <c r="CR708" s="63">
        <f t="shared" si="290"/>
        <v>0</v>
      </c>
      <c r="CS708" s="279"/>
      <c r="CT708" s="52"/>
      <c r="CU708" s="105"/>
      <c r="CV708" s="98"/>
      <c r="CW708" s="279"/>
      <c r="CX708" s="52"/>
      <c r="CY708" s="105"/>
      <c r="CZ708" s="98"/>
      <c r="DA708" s="279"/>
      <c r="DB708" s="52"/>
      <c r="DC708" s="105"/>
      <c r="DD708" s="98"/>
      <c r="DE708" s="279"/>
      <c r="DF708" s="52"/>
      <c r="DG708" s="105"/>
      <c r="DH708" s="98"/>
      <c r="DI708" s="279"/>
      <c r="DJ708" s="52"/>
      <c r="DK708" s="105"/>
      <c r="DL708" s="98"/>
      <c r="DM708" s="279"/>
      <c r="DN708" s="52"/>
      <c r="DO708" s="105"/>
      <c r="DP708" s="98"/>
      <c r="DQ708" s="279"/>
      <c r="DR708" s="52"/>
      <c r="DS708" s="105"/>
      <c r="DT708" s="98"/>
      <c r="DU708" s="279"/>
      <c r="DV708" s="52"/>
      <c r="DW708" s="105"/>
      <c r="DX708" s="98"/>
      <c r="DY708" s="279"/>
      <c r="DZ708" s="52"/>
      <c r="EA708" s="105"/>
      <c r="EB708" s="98"/>
      <c r="EC708" s="279"/>
      <c r="ED708" s="52"/>
      <c r="EE708" s="105"/>
      <c r="EF708" s="98"/>
      <c r="EG708" s="159"/>
      <c r="EH708" s="277"/>
      <c r="EI708" s="50">
        <f t="shared" si="291"/>
        <v>0</v>
      </c>
      <c r="EJ708" s="103">
        <f t="shared" si="292"/>
        <v>0</v>
      </c>
      <c r="EK708" s="164">
        <f t="shared" si="293"/>
        <v>0</v>
      </c>
      <c r="EL708" s="280">
        <f t="shared" si="294"/>
        <v>0</v>
      </c>
      <c r="EM708" s="63">
        <f t="shared" si="295"/>
        <v>0</v>
      </c>
      <c r="EN708" s="359">
        <f t="shared" si="296"/>
        <v>0</v>
      </c>
      <c r="EO708" s="51">
        <f t="shared" si="297"/>
        <v>0</v>
      </c>
      <c r="EP708" s="361">
        <f t="shared" si="298"/>
        <v>0</v>
      </c>
      <c r="EQ708" s="281"/>
      <c r="ER708" s="277"/>
      <c r="ES708" s="281"/>
      <c r="ET708" s="277"/>
      <c r="EU708" s="281"/>
      <c r="EV708" s="277"/>
      <c r="EW708" s="281"/>
      <c r="EX708" s="277"/>
      <c r="EY708" s="281"/>
      <c r="EZ708" s="277"/>
      <c r="FA708" s="281"/>
      <c r="FB708" s="277"/>
      <c r="FC708" s="281"/>
      <c r="FD708" s="277"/>
      <c r="FE708" s="281"/>
      <c r="FF708" s="277"/>
      <c r="FG708" s="281"/>
      <c r="FH708" s="277"/>
      <c r="FI708" s="281"/>
      <c r="FJ708" s="277"/>
      <c r="FK708" s="50">
        <f t="shared" si="299"/>
        <v>0</v>
      </c>
      <c r="FL708" s="63">
        <f t="shared" si="283"/>
        <v>0</v>
      </c>
      <c r="FM708" s="50">
        <f t="shared" si="265"/>
        <v>219</v>
      </c>
      <c r="FN708" s="360">
        <f t="shared" si="266"/>
        <v>694</v>
      </c>
      <c r="FP708" s="279"/>
      <c r="FQ708" s="52"/>
      <c r="FR708" s="296"/>
      <c r="FS708" s="98"/>
      <c r="FT708" s="467"/>
      <c r="FU708" s="52"/>
      <c r="FV708" s="296"/>
      <c r="FW708" s="98"/>
      <c r="FX708" s="467"/>
      <c r="FY708" s="52"/>
      <c r="FZ708" s="296"/>
      <c r="GA708" s="98"/>
      <c r="GB708" s="467"/>
      <c r="GC708" s="52"/>
      <c r="GD708" s="296"/>
      <c r="GE708" s="98"/>
      <c r="GF708" s="467"/>
      <c r="GG708" s="52"/>
      <c r="GH708" s="296"/>
      <c r="GI708" s="98"/>
      <c r="GJ708" s="467"/>
      <c r="GK708" s="52"/>
      <c r="GL708" s="296"/>
      <c r="GM708" s="464"/>
      <c r="GN708" s="467"/>
      <c r="GO708" s="52"/>
      <c r="GP708" s="296"/>
      <c r="GQ708" s="464"/>
      <c r="GR708" s="467"/>
      <c r="GS708" s="52"/>
      <c r="GT708" s="296"/>
      <c r="GU708" s="464"/>
      <c r="GV708" s="467"/>
      <c r="GW708" s="52"/>
      <c r="GX708" s="296"/>
      <c r="GY708" s="464"/>
      <c r="GZ708" s="467"/>
      <c r="HA708" s="52"/>
      <c r="HB708" s="296"/>
      <c r="HC708" s="43"/>
    </row>
    <row r="709" spans="1:211" s="3" customFormat="1">
      <c r="A709" s="330" t="s">
        <v>347</v>
      </c>
      <c r="B709" s="331" t="s">
        <v>1299</v>
      </c>
      <c r="C709" s="330">
        <v>232052</v>
      </c>
      <c r="D709" s="344">
        <v>10</v>
      </c>
      <c r="E709" s="158">
        <v>71</v>
      </c>
      <c r="F709" s="666">
        <v>119</v>
      </c>
      <c r="G709" s="158"/>
      <c r="H709" s="277"/>
      <c r="I709" s="158">
        <v>46</v>
      </c>
      <c r="J709" s="666">
        <v>96</v>
      </c>
      <c r="K709" s="160">
        <f t="shared" si="284"/>
        <v>0</v>
      </c>
      <c r="L709" s="161">
        <f t="shared" si="260"/>
        <v>0</v>
      </c>
      <c r="M709" s="54"/>
      <c r="N709" s="55"/>
      <c r="O709" s="55"/>
      <c r="P709" s="55"/>
      <c r="Q709" s="162">
        <f t="shared" si="285"/>
        <v>0</v>
      </c>
      <c r="R709" s="277"/>
      <c r="S709" s="277"/>
      <c r="T709" s="277"/>
      <c r="U709" s="277"/>
      <c r="V709" s="97">
        <f t="shared" si="286"/>
        <v>0</v>
      </c>
      <c r="W709" s="279"/>
      <c r="X709" s="52"/>
      <c r="Y709" s="99"/>
      <c r="Z709" s="53"/>
      <c r="AA709" s="228"/>
      <c r="AB709" s="52"/>
      <c r="AC709" s="99"/>
      <c r="AD709" s="53"/>
      <c r="AE709" s="228"/>
      <c r="AF709" s="52"/>
      <c r="AG709" s="99"/>
      <c r="AH709" s="53"/>
      <c r="AI709" s="228"/>
      <c r="AJ709" s="52"/>
      <c r="AK709" s="99"/>
      <c r="AL709" s="53"/>
      <c r="AM709" s="228"/>
      <c r="AN709" s="52"/>
      <c r="AO709" s="99"/>
      <c r="AP709" s="53"/>
      <c r="AQ709" s="50">
        <f t="shared" si="261"/>
        <v>0</v>
      </c>
      <c r="AR709" s="163">
        <f t="shared" si="262"/>
        <v>0</v>
      </c>
      <c r="AS709" s="97">
        <f t="shared" si="263"/>
        <v>0</v>
      </c>
      <c r="AT709" s="278">
        <f t="shared" si="264"/>
        <v>0</v>
      </c>
      <c r="AU709" s="55"/>
      <c r="AV709" s="277"/>
      <c r="AW709" s="279"/>
      <c r="AX709" s="52"/>
      <c r="AY709" s="105"/>
      <c r="AZ709" s="98"/>
      <c r="BA709" s="279"/>
      <c r="BB709" s="52"/>
      <c r="BC709" s="105"/>
      <c r="BD709" s="98"/>
      <c r="BE709" s="279"/>
      <c r="BF709" s="52"/>
      <c r="BG709" s="105"/>
      <c r="BH709" s="98"/>
      <c r="BI709" s="279"/>
      <c r="BJ709" s="52"/>
      <c r="BK709" s="105"/>
      <c r="BL709" s="98"/>
      <c r="BM709" s="279"/>
      <c r="BN709" s="52"/>
      <c r="BO709" s="105"/>
      <c r="BP709" s="98"/>
      <c r="BQ709" s="279"/>
      <c r="BR709" s="52"/>
      <c r="BS709" s="105"/>
      <c r="BT709" s="98"/>
      <c r="BU709" s="279"/>
      <c r="BV709" s="52"/>
      <c r="BW709" s="105"/>
      <c r="BX709" s="98"/>
      <c r="BY709" s="279"/>
      <c r="BZ709" s="52"/>
      <c r="CA709" s="105"/>
      <c r="CB709" s="98"/>
      <c r="CC709" s="279"/>
      <c r="CD709" s="52"/>
      <c r="CE709" s="105"/>
      <c r="CF709" s="98"/>
      <c r="CG709" s="279"/>
      <c r="CH709" s="52"/>
      <c r="CI709" s="105"/>
      <c r="CJ709" s="98"/>
      <c r="CK709" s="281"/>
      <c r="CL709" s="277"/>
      <c r="CM709" s="159"/>
      <c r="CN709" s="277"/>
      <c r="CO709" s="50">
        <f t="shared" si="287"/>
        <v>0</v>
      </c>
      <c r="CP709" s="103">
        <f t="shared" si="288"/>
        <v>0</v>
      </c>
      <c r="CQ709" s="280">
        <f t="shared" si="289"/>
        <v>0</v>
      </c>
      <c r="CR709" s="63">
        <f t="shared" si="290"/>
        <v>0</v>
      </c>
      <c r="CS709" s="279"/>
      <c r="CT709" s="52"/>
      <c r="CU709" s="105"/>
      <c r="CV709" s="98"/>
      <c r="CW709" s="279"/>
      <c r="CX709" s="52"/>
      <c r="CY709" s="105"/>
      <c r="CZ709" s="98"/>
      <c r="DA709" s="279"/>
      <c r="DB709" s="52"/>
      <c r="DC709" s="105"/>
      <c r="DD709" s="98"/>
      <c r="DE709" s="279"/>
      <c r="DF709" s="52"/>
      <c r="DG709" s="105"/>
      <c r="DH709" s="98"/>
      <c r="DI709" s="279"/>
      <c r="DJ709" s="52"/>
      <c r="DK709" s="105"/>
      <c r="DL709" s="98"/>
      <c r="DM709" s="279"/>
      <c r="DN709" s="52"/>
      <c r="DO709" s="105"/>
      <c r="DP709" s="98"/>
      <c r="DQ709" s="279"/>
      <c r="DR709" s="52"/>
      <c r="DS709" s="105"/>
      <c r="DT709" s="98"/>
      <c r="DU709" s="279"/>
      <c r="DV709" s="52"/>
      <c r="DW709" s="105"/>
      <c r="DX709" s="98"/>
      <c r="DY709" s="279"/>
      <c r="DZ709" s="52"/>
      <c r="EA709" s="105"/>
      <c r="EB709" s="98"/>
      <c r="EC709" s="279"/>
      <c r="ED709" s="52"/>
      <c r="EE709" s="105"/>
      <c r="EF709" s="98"/>
      <c r="EG709" s="159"/>
      <c r="EH709" s="277"/>
      <c r="EI709" s="50">
        <f t="shared" si="291"/>
        <v>0</v>
      </c>
      <c r="EJ709" s="103">
        <f t="shared" si="292"/>
        <v>0</v>
      </c>
      <c r="EK709" s="164">
        <f t="shared" si="293"/>
        <v>0</v>
      </c>
      <c r="EL709" s="280">
        <f t="shared" si="294"/>
        <v>0</v>
      </c>
      <c r="EM709" s="63">
        <f t="shared" si="295"/>
        <v>0</v>
      </c>
      <c r="EN709" s="359">
        <f t="shared" si="296"/>
        <v>0</v>
      </c>
      <c r="EO709" s="51">
        <f t="shared" si="297"/>
        <v>0</v>
      </c>
      <c r="EP709" s="361">
        <f t="shared" si="298"/>
        <v>0</v>
      </c>
      <c r="EQ709" s="281"/>
      <c r="ER709" s="277"/>
      <c r="ES709" s="281"/>
      <c r="ET709" s="277"/>
      <c r="EU709" s="281"/>
      <c r="EV709" s="277"/>
      <c r="EW709" s="281"/>
      <c r="EX709" s="277"/>
      <c r="EY709" s="281"/>
      <c r="EZ709" s="277"/>
      <c r="FA709" s="281"/>
      <c r="FB709" s="277"/>
      <c r="FC709" s="281"/>
      <c r="FD709" s="277"/>
      <c r="FE709" s="281"/>
      <c r="FF709" s="277"/>
      <c r="FG709" s="281"/>
      <c r="FH709" s="277"/>
      <c r="FI709" s="281"/>
      <c r="FJ709" s="277"/>
      <c r="FK709" s="50">
        <f t="shared" si="299"/>
        <v>0</v>
      </c>
      <c r="FL709" s="63">
        <f t="shared" si="283"/>
        <v>0</v>
      </c>
      <c r="FM709" s="50">
        <f t="shared" si="265"/>
        <v>117</v>
      </c>
      <c r="FN709" s="360">
        <f t="shared" si="266"/>
        <v>215</v>
      </c>
      <c r="FP709" s="279"/>
      <c r="FQ709" s="52"/>
      <c r="FR709" s="296"/>
      <c r="FS709" s="98"/>
      <c r="FT709" s="467"/>
      <c r="FU709" s="52"/>
      <c r="FV709" s="296"/>
      <c r="FW709" s="98"/>
      <c r="FX709" s="467"/>
      <c r="FY709" s="52"/>
      <c r="FZ709" s="296"/>
      <c r="GA709" s="98"/>
      <c r="GB709" s="467"/>
      <c r="GC709" s="52"/>
      <c r="GD709" s="296"/>
      <c r="GE709" s="98"/>
      <c r="GF709" s="467"/>
      <c r="GG709" s="52"/>
      <c r="GH709" s="296"/>
      <c r="GI709" s="98"/>
      <c r="GJ709" s="467"/>
      <c r="GK709" s="52"/>
      <c r="GL709" s="296"/>
      <c r="GM709" s="464"/>
      <c r="GN709" s="467"/>
      <c r="GO709" s="52"/>
      <c r="GP709" s="296"/>
      <c r="GQ709" s="464"/>
      <c r="GR709" s="467"/>
      <c r="GS709" s="52"/>
      <c r="GT709" s="296"/>
      <c r="GU709" s="464"/>
      <c r="GV709" s="467"/>
      <c r="GW709" s="52"/>
      <c r="GX709" s="296"/>
      <c r="GY709" s="464"/>
      <c r="GZ709" s="467"/>
      <c r="HA709" s="52"/>
      <c r="HB709" s="296"/>
      <c r="HC709" s="43"/>
    </row>
    <row r="710" spans="1:211" s="3" customFormat="1">
      <c r="A710" s="330" t="s">
        <v>347</v>
      </c>
      <c r="B710" s="331" t="s">
        <v>1300</v>
      </c>
      <c r="C710" s="330">
        <v>232788</v>
      </c>
      <c r="D710" s="344">
        <v>10</v>
      </c>
      <c r="E710" s="158">
        <v>281</v>
      </c>
      <c r="F710" s="666">
        <v>62</v>
      </c>
      <c r="G710" s="158"/>
      <c r="H710" s="277"/>
      <c r="I710" s="158">
        <v>222</v>
      </c>
      <c r="J710" s="666">
        <v>65</v>
      </c>
      <c r="K710" s="160">
        <f t="shared" si="284"/>
        <v>0</v>
      </c>
      <c r="L710" s="161">
        <f t="shared" si="260"/>
        <v>0</v>
      </c>
      <c r="M710" s="54"/>
      <c r="N710" s="55"/>
      <c r="O710" s="55"/>
      <c r="P710" s="55"/>
      <c r="Q710" s="162">
        <f t="shared" si="285"/>
        <v>0</v>
      </c>
      <c r="R710" s="277"/>
      <c r="S710" s="277"/>
      <c r="T710" s="277"/>
      <c r="U710" s="277"/>
      <c r="V710" s="97">
        <f t="shared" si="286"/>
        <v>0</v>
      </c>
      <c r="W710" s="279"/>
      <c r="X710" s="52"/>
      <c r="Y710" s="99"/>
      <c r="Z710" s="53"/>
      <c r="AA710" s="228"/>
      <c r="AB710" s="52"/>
      <c r="AC710" s="99"/>
      <c r="AD710" s="53"/>
      <c r="AE710" s="228"/>
      <c r="AF710" s="52"/>
      <c r="AG710" s="99"/>
      <c r="AH710" s="53"/>
      <c r="AI710" s="228"/>
      <c r="AJ710" s="52"/>
      <c r="AK710" s="99"/>
      <c r="AL710" s="53"/>
      <c r="AM710" s="228"/>
      <c r="AN710" s="52"/>
      <c r="AO710" s="99"/>
      <c r="AP710" s="53"/>
      <c r="AQ710" s="50">
        <f t="shared" si="261"/>
        <v>0</v>
      </c>
      <c r="AR710" s="163">
        <f t="shared" si="262"/>
        <v>0</v>
      </c>
      <c r="AS710" s="97">
        <f t="shared" si="263"/>
        <v>0</v>
      </c>
      <c r="AT710" s="278">
        <f t="shared" si="264"/>
        <v>0</v>
      </c>
      <c r="AU710" s="55"/>
      <c r="AV710" s="277"/>
      <c r="AW710" s="279"/>
      <c r="AX710" s="52"/>
      <c r="AY710" s="105"/>
      <c r="AZ710" s="98"/>
      <c r="BA710" s="279"/>
      <c r="BB710" s="52"/>
      <c r="BC710" s="105"/>
      <c r="BD710" s="98"/>
      <c r="BE710" s="279"/>
      <c r="BF710" s="52"/>
      <c r="BG710" s="105"/>
      <c r="BH710" s="98"/>
      <c r="BI710" s="279"/>
      <c r="BJ710" s="52"/>
      <c r="BK710" s="105"/>
      <c r="BL710" s="98"/>
      <c r="BM710" s="279"/>
      <c r="BN710" s="52"/>
      <c r="BO710" s="105"/>
      <c r="BP710" s="98"/>
      <c r="BQ710" s="279"/>
      <c r="BR710" s="52"/>
      <c r="BS710" s="105"/>
      <c r="BT710" s="98"/>
      <c r="BU710" s="279"/>
      <c r="BV710" s="52"/>
      <c r="BW710" s="105"/>
      <c r="BX710" s="98"/>
      <c r="BY710" s="279"/>
      <c r="BZ710" s="52"/>
      <c r="CA710" s="105"/>
      <c r="CB710" s="98"/>
      <c r="CC710" s="279"/>
      <c r="CD710" s="52"/>
      <c r="CE710" s="105"/>
      <c r="CF710" s="98"/>
      <c r="CG710" s="279"/>
      <c r="CH710" s="52"/>
      <c r="CI710" s="105"/>
      <c r="CJ710" s="98"/>
      <c r="CK710" s="281"/>
      <c r="CL710" s="277"/>
      <c r="CM710" s="159"/>
      <c r="CN710" s="277"/>
      <c r="CO710" s="50">
        <f t="shared" si="287"/>
        <v>0</v>
      </c>
      <c r="CP710" s="103">
        <f t="shared" si="288"/>
        <v>0</v>
      </c>
      <c r="CQ710" s="280">
        <f t="shared" si="289"/>
        <v>0</v>
      </c>
      <c r="CR710" s="63">
        <f t="shared" si="290"/>
        <v>0</v>
      </c>
      <c r="CS710" s="279"/>
      <c r="CT710" s="52"/>
      <c r="CU710" s="105"/>
      <c r="CV710" s="98"/>
      <c r="CW710" s="279"/>
      <c r="CX710" s="52"/>
      <c r="CY710" s="105"/>
      <c r="CZ710" s="98"/>
      <c r="DA710" s="279"/>
      <c r="DB710" s="52"/>
      <c r="DC710" s="105"/>
      <c r="DD710" s="98"/>
      <c r="DE710" s="279"/>
      <c r="DF710" s="52"/>
      <c r="DG710" s="105"/>
      <c r="DH710" s="98"/>
      <c r="DI710" s="279"/>
      <c r="DJ710" s="52"/>
      <c r="DK710" s="105"/>
      <c r="DL710" s="98"/>
      <c r="DM710" s="279"/>
      <c r="DN710" s="52"/>
      <c r="DO710" s="105"/>
      <c r="DP710" s="98"/>
      <c r="DQ710" s="279"/>
      <c r="DR710" s="52"/>
      <c r="DS710" s="105"/>
      <c r="DT710" s="98"/>
      <c r="DU710" s="279"/>
      <c r="DV710" s="52"/>
      <c r="DW710" s="105"/>
      <c r="DX710" s="98"/>
      <c r="DY710" s="279"/>
      <c r="DZ710" s="52"/>
      <c r="EA710" s="105"/>
      <c r="EB710" s="98"/>
      <c r="EC710" s="279"/>
      <c r="ED710" s="52"/>
      <c r="EE710" s="105"/>
      <c r="EF710" s="98"/>
      <c r="EG710" s="159"/>
      <c r="EH710" s="277"/>
      <c r="EI710" s="50">
        <f t="shared" si="291"/>
        <v>0</v>
      </c>
      <c r="EJ710" s="103">
        <f t="shared" si="292"/>
        <v>0</v>
      </c>
      <c r="EK710" s="164">
        <f t="shared" si="293"/>
        <v>0</v>
      </c>
      <c r="EL710" s="280">
        <f t="shared" si="294"/>
        <v>0</v>
      </c>
      <c r="EM710" s="63">
        <f t="shared" si="295"/>
        <v>0</v>
      </c>
      <c r="EN710" s="359">
        <f t="shared" si="296"/>
        <v>0</v>
      </c>
      <c r="EO710" s="51">
        <f t="shared" si="297"/>
        <v>0</v>
      </c>
      <c r="EP710" s="361">
        <f t="shared" si="298"/>
        <v>0</v>
      </c>
      <c r="EQ710" s="281"/>
      <c r="ER710" s="277"/>
      <c r="ES710" s="281"/>
      <c r="ET710" s="277"/>
      <c r="EU710" s="281"/>
      <c r="EV710" s="277"/>
      <c r="EW710" s="281"/>
      <c r="EX710" s="277"/>
      <c r="EY710" s="281"/>
      <c r="EZ710" s="277"/>
      <c r="FA710" s="281"/>
      <c r="FB710" s="277"/>
      <c r="FC710" s="281"/>
      <c r="FD710" s="277"/>
      <c r="FE710" s="281"/>
      <c r="FF710" s="277"/>
      <c r="FG710" s="281"/>
      <c r="FH710" s="277"/>
      <c r="FI710" s="281"/>
      <c r="FJ710" s="277"/>
      <c r="FK710" s="50">
        <f t="shared" si="299"/>
        <v>0</v>
      </c>
      <c r="FL710" s="63">
        <f t="shared" si="283"/>
        <v>0</v>
      </c>
      <c r="FM710" s="50">
        <f t="shared" si="265"/>
        <v>503</v>
      </c>
      <c r="FN710" s="360">
        <f t="shared" si="266"/>
        <v>127</v>
      </c>
      <c r="FP710" s="279"/>
      <c r="FQ710" s="52"/>
      <c r="FR710" s="296"/>
      <c r="FS710" s="98"/>
      <c r="FT710" s="467"/>
      <c r="FU710" s="52"/>
      <c r="FV710" s="296"/>
      <c r="FW710" s="98"/>
      <c r="FX710" s="467"/>
      <c r="FY710" s="52"/>
      <c r="FZ710" s="296"/>
      <c r="GA710" s="98"/>
      <c r="GB710" s="467"/>
      <c r="GC710" s="52"/>
      <c r="GD710" s="296"/>
      <c r="GE710" s="98"/>
      <c r="GF710" s="467"/>
      <c r="GG710" s="52"/>
      <c r="GH710" s="296"/>
      <c r="GI710" s="98"/>
      <c r="GJ710" s="467"/>
      <c r="GK710" s="52"/>
      <c r="GL710" s="296"/>
      <c r="GM710" s="464"/>
      <c r="GN710" s="467"/>
      <c r="GO710" s="52"/>
      <c r="GP710" s="296"/>
      <c r="GQ710" s="464"/>
      <c r="GR710" s="467"/>
      <c r="GS710" s="52"/>
      <c r="GT710" s="296"/>
      <c r="GU710" s="464"/>
      <c r="GV710" s="467"/>
      <c r="GW710" s="52"/>
      <c r="GX710" s="296"/>
      <c r="GY710" s="464"/>
      <c r="GZ710" s="467"/>
      <c r="HA710" s="52"/>
      <c r="HB710" s="296"/>
      <c r="HC710" s="43"/>
    </row>
    <row r="711" spans="1:211" s="3" customFormat="1">
      <c r="A711" s="330" t="s">
        <v>347</v>
      </c>
      <c r="B711" s="667" t="s">
        <v>1301</v>
      </c>
      <c r="C711" s="330">
        <v>233019</v>
      </c>
      <c r="D711" s="344">
        <v>10</v>
      </c>
      <c r="E711" s="158">
        <v>165</v>
      </c>
      <c r="F711" s="666">
        <v>314</v>
      </c>
      <c r="G711" s="158"/>
      <c r="H711" s="277"/>
      <c r="I711" s="158">
        <v>200</v>
      </c>
      <c r="J711" s="666">
        <v>214</v>
      </c>
      <c r="K711" s="160">
        <f t="shared" si="284"/>
        <v>0</v>
      </c>
      <c r="L711" s="161">
        <f t="shared" si="260"/>
        <v>0</v>
      </c>
      <c r="M711" s="54"/>
      <c r="N711" s="55"/>
      <c r="O711" s="55"/>
      <c r="P711" s="55"/>
      <c r="Q711" s="162">
        <f t="shared" si="285"/>
        <v>0</v>
      </c>
      <c r="R711" s="277"/>
      <c r="S711" s="277"/>
      <c r="T711" s="277"/>
      <c r="U711" s="277"/>
      <c r="V711" s="97">
        <f t="shared" si="286"/>
        <v>0</v>
      </c>
      <c r="W711" s="279"/>
      <c r="X711" s="52"/>
      <c r="Y711" s="99"/>
      <c r="Z711" s="53"/>
      <c r="AA711" s="228"/>
      <c r="AB711" s="52"/>
      <c r="AC711" s="99"/>
      <c r="AD711" s="53"/>
      <c r="AE711" s="228"/>
      <c r="AF711" s="52"/>
      <c r="AG711" s="99"/>
      <c r="AH711" s="53"/>
      <c r="AI711" s="228"/>
      <c r="AJ711" s="52"/>
      <c r="AK711" s="99"/>
      <c r="AL711" s="53"/>
      <c r="AM711" s="228"/>
      <c r="AN711" s="52"/>
      <c r="AO711" s="99"/>
      <c r="AP711" s="53"/>
      <c r="AQ711" s="50">
        <f t="shared" si="261"/>
        <v>0</v>
      </c>
      <c r="AR711" s="163">
        <f t="shared" si="262"/>
        <v>0</v>
      </c>
      <c r="AS711" s="97">
        <f t="shared" si="263"/>
        <v>0</v>
      </c>
      <c r="AT711" s="278">
        <f t="shared" si="264"/>
        <v>0</v>
      </c>
      <c r="AU711" s="55"/>
      <c r="AV711" s="277"/>
      <c r="AW711" s="279"/>
      <c r="AX711" s="52"/>
      <c r="AY711" s="105"/>
      <c r="AZ711" s="98"/>
      <c r="BA711" s="279"/>
      <c r="BB711" s="52"/>
      <c r="BC711" s="105"/>
      <c r="BD711" s="98"/>
      <c r="BE711" s="279"/>
      <c r="BF711" s="52"/>
      <c r="BG711" s="105"/>
      <c r="BH711" s="98"/>
      <c r="BI711" s="279"/>
      <c r="BJ711" s="52"/>
      <c r="BK711" s="105"/>
      <c r="BL711" s="98"/>
      <c r="BM711" s="279"/>
      <c r="BN711" s="52"/>
      <c r="BO711" s="105"/>
      <c r="BP711" s="98"/>
      <c r="BQ711" s="279"/>
      <c r="BR711" s="52"/>
      <c r="BS711" s="105"/>
      <c r="BT711" s="98"/>
      <c r="BU711" s="279"/>
      <c r="BV711" s="52"/>
      <c r="BW711" s="105"/>
      <c r="BX711" s="98"/>
      <c r="BY711" s="279"/>
      <c r="BZ711" s="52"/>
      <c r="CA711" s="105"/>
      <c r="CB711" s="98"/>
      <c r="CC711" s="279"/>
      <c r="CD711" s="52"/>
      <c r="CE711" s="105"/>
      <c r="CF711" s="98"/>
      <c r="CG711" s="279"/>
      <c r="CH711" s="52"/>
      <c r="CI711" s="105"/>
      <c r="CJ711" s="98"/>
      <c r="CK711" s="281"/>
      <c r="CL711" s="277"/>
      <c r="CM711" s="159"/>
      <c r="CN711" s="277"/>
      <c r="CO711" s="50">
        <f t="shared" si="287"/>
        <v>0</v>
      </c>
      <c r="CP711" s="103">
        <f t="shared" si="288"/>
        <v>0</v>
      </c>
      <c r="CQ711" s="280">
        <f t="shared" si="289"/>
        <v>0</v>
      </c>
      <c r="CR711" s="63">
        <f t="shared" si="290"/>
        <v>0</v>
      </c>
      <c r="CS711" s="279"/>
      <c r="CT711" s="52"/>
      <c r="CU711" s="105"/>
      <c r="CV711" s="98"/>
      <c r="CW711" s="279"/>
      <c r="CX711" s="52"/>
      <c r="CY711" s="105"/>
      <c r="CZ711" s="98"/>
      <c r="DA711" s="279"/>
      <c r="DB711" s="52"/>
      <c r="DC711" s="105"/>
      <c r="DD711" s="98"/>
      <c r="DE711" s="279"/>
      <c r="DF711" s="52"/>
      <c r="DG711" s="105"/>
      <c r="DH711" s="98"/>
      <c r="DI711" s="279"/>
      <c r="DJ711" s="52"/>
      <c r="DK711" s="105"/>
      <c r="DL711" s="98"/>
      <c r="DM711" s="279"/>
      <c r="DN711" s="52"/>
      <c r="DO711" s="105"/>
      <c r="DP711" s="98"/>
      <c r="DQ711" s="279"/>
      <c r="DR711" s="52"/>
      <c r="DS711" s="105"/>
      <c r="DT711" s="98"/>
      <c r="DU711" s="279"/>
      <c r="DV711" s="52"/>
      <c r="DW711" s="105"/>
      <c r="DX711" s="98"/>
      <c r="DY711" s="279"/>
      <c r="DZ711" s="52"/>
      <c r="EA711" s="105"/>
      <c r="EB711" s="98"/>
      <c r="EC711" s="279"/>
      <c r="ED711" s="52"/>
      <c r="EE711" s="105"/>
      <c r="EF711" s="98"/>
      <c r="EG711" s="159"/>
      <c r="EH711" s="277"/>
      <c r="EI711" s="50">
        <f t="shared" si="291"/>
        <v>0</v>
      </c>
      <c r="EJ711" s="103">
        <f t="shared" si="292"/>
        <v>0</v>
      </c>
      <c r="EK711" s="164">
        <f t="shared" si="293"/>
        <v>0</v>
      </c>
      <c r="EL711" s="280">
        <f t="shared" si="294"/>
        <v>0</v>
      </c>
      <c r="EM711" s="63">
        <f t="shared" si="295"/>
        <v>0</v>
      </c>
      <c r="EN711" s="359">
        <f t="shared" si="296"/>
        <v>0</v>
      </c>
      <c r="EO711" s="51">
        <f t="shared" si="297"/>
        <v>0</v>
      </c>
      <c r="EP711" s="361">
        <f t="shared" si="298"/>
        <v>0</v>
      </c>
      <c r="EQ711" s="281"/>
      <c r="ER711" s="277"/>
      <c r="ES711" s="281"/>
      <c r="ET711" s="277"/>
      <c r="EU711" s="281"/>
      <c r="EV711" s="277"/>
      <c r="EW711" s="281"/>
      <c r="EX711" s="277"/>
      <c r="EY711" s="281"/>
      <c r="EZ711" s="277"/>
      <c r="FA711" s="281"/>
      <c r="FB711" s="277"/>
      <c r="FC711" s="281"/>
      <c r="FD711" s="277"/>
      <c r="FE711" s="281"/>
      <c r="FF711" s="277"/>
      <c r="FG711" s="281"/>
      <c r="FH711" s="277"/>
      <c r="FI711" s="281"/>
      <c r="FJ711" s="277"/>
      <c r="FK711" s="50">
        <f t="shared" si="299"/>
        <v>0</v>
      </c>
      <c r="FL711" s="63">
        <f t="shared" si="283"/>
        <v>0</v>
      </c>
      <c r="FM711" s="50">
        <f t="shared" si="265"/>
        <v>365</v>
      </c>
      <c r="FN711" s="360">
        <f t="shared" si="266"/>
        <v>528</v>
      </c>
      <c r="FP711" s="279"/>
      <c r="FQ711" s="52"/>
      <c r="FR711" s="296"/>
      <c r="FS711" s="98"/>
      <c r="FT711" s="467"/>
      <c r="FU711" s="52"/>
      <c r="FV711" s="296"/>
      <c r="FW711" s="98"/>
      <c r="FX711" s="467"/>
      <c r="FY711" s="52"/>
      <c r="FZ711" s="296"/>
      <c r="GA711" s="98"/>
      <c r="GB711" s="467"/>
      <c r="GC711" s="52"/>
      <c r="GD711" s="296"/>
      <c r="GE711" s="98"/>
      <c r="GF711" s="467"/>
      <c r="GG711" s="52"/>
      <c r="GH711" s="296"/>
      <c r="GI711" s="98"/>
      <c r="GJ711" s="467"/>
      <c r="GK711" s="52"/>
      <c r="GL711" s="296"/>
      <c r="GM711" s="464"/>
      <c r="GN711" s="467"/>
      <c r="GO711" s="52"/>
      <c r="GP711" s="296"/>
      <c r="GQ711" s="464"/>
      <c r="GR711" s="467"/>
      <c r="GS711" s="52"/>
      <c r="GT711" s="296"/>
      <c r="GU711" s="464"/>
      <c r="GV711" s="467"/>
      <c r="GW711" s="52"/>
      <c r="GX711" s="296"/>
      <c r="GY711" s="464"/>
      <c r="GZ711" s="467"/>
      <c r="HA711" s="52"/>
      <c r="HB711" s="296"/>
      <c r="HC711" s="43"/>
    </row>
    <row r="712" spans="1:211" s="3" customFormat="1">
      <c r="A712" s="330" t="s">
        <v>347</v>
      </c>
      <c r="B712" s="331" t="s">
        <v>1302</v>
      </c>
      <c r="C712" s="330">
        <v>233037</v>
      </c>
      <c r="D712" s="344">
        <v>10</v>
      </c>
      <c r="E712" s="158">
        <v>43</v>
      </c>
      <c r="F712" s="666">
        <v>69</v>
      </c>
      <c r="G712" s="158"/>
      <c r="H712" s="277"/>
      <c r="I712" s="158">
        <v>124</v>
      </c>
      <c r="J712" s="666">
        <v>124</v>
      </c>
      <c r="K712" s="160">
        <f t="shared" si="284"/>
        <v>0</v>
      </c>
      <c r="L712" s="161">
        <f t="shared" si="260"/>
        <v>0</v>
      </c>
      <c r="M712" s="54"/>
      <c r="N712" s="55"/>
      <c r="O712" s="55"/>
      <c r="P712" s="55"/>
      <c r="Q712" s="162">
        <f t="shared" si="285"/>
        <v>0</v>
      </c>
      <c r="R712" s="277"/>
      <c r="S712" s="277"/>
      <c r="T712" s="277"/>
      <c r="U712" s="277"/>
      <c r="V712" s="97">
        <f t="shared" si="286"/>
        <v>0</v>
      </c>
      <c r="W712" s="279"/>
      <c r="X712" s="52"/>
      <c r="Y712" s="99"/>
      <c r="Z712" s="53"/>
      <c r="AA712" s="228"/>
      <c r="AB712" s="52"/>
      <c r="AC712" s="99"/>
      <c r="AD712" s="53"/>
      <c r="AE712" s="228"/>
      <c r="AF712" s="52"/>
      <c r="AG712" s="99"/>
      <c r="AH712" s="53"/>
      <c r="AI712" s="228"/>
      <c r="AJ712" s="52"/>
      <c r="AK712" s="99"/>
      <c r="AL712" s="53"/>
      <c r="AM712" s="228"/>
      <c r="AN712" s="52"/>
      <c r="AO712" s="99"/>
      <c r="AP712" s="53"/>
      <c r="AQ712" s="50">
        <f t="shared" si="261"/>
        <v>0</v>
      </c>
      <c r="AR712" s="163">
        <f t="shared" si="262"/>
        <v>0</v>
      </c>
      <c r="AS712" s="97">
        <f t="shared" si="263"/>
        <v>0</v>
      </c>
      <c r="AT712" s="278">
        <f t="shared" si="264"/>
        <v>0</v>
      </c>
      <c r="AU712" s="55"/>
      <c r="AV712" s="277"/>
      <c r="AW712" s="279"/>
      <c r="AX712" s="52"/>
      <c r="AY712" s="105"/>
      <c r="AZ712" s="98"/>
      <c r="BA712" s="279"/>
      <c r="BB712" s="52"/>
      <c r="BC712" s="105"/>
      <c r="BD712" s="98"/>
      <c r="BE712" s="279"/>
      <c r="BF712" s="52"/>
      <c r="BG712" s="105"/>
      <c r="BH712" s="98"/>
      <c r="BI712" s="279"/>
      <c r="BJ712" s="52"/>
      <c r="BK712" s="105"/>
      <c r="BL712" s="98"/>
      <c r="BM712" s="279"/>
      <c r="BN712" s="52"/>
      <c r="BO712" s="105"/>
      <c r="BP712" s="98"/>
      <c r="BQ712" s="279"/>
      <c r="BR712" s="52"/>
      <c r="BS712" s="105"/>
      <c r="BT712" s="98"/>
      <c r="BU712" s="279"/>
      <c r="BV712" s="52"/>
      <c r="BW712" s="105"/>
      <c r="BX712" s="98"/>
      <c r="BY712" s="279"/>
      <c r="BZ712" s="52"/>
      <c r="CA712" s="105"/>
      <c r="CB712" s="98"/>
      <c r="CC712" s="279"/>
      <c r="CD712" s="52"/>
      <c r="CE712" s="105"/>
      <c r="CF712" s="98"/>
      <c r="CG712" s="279"/>
      <c r="CH712" s="52"/>
      <c r="CI712" s="105"/>
      <c r="CJ712" s="98"/>
      <c r="CK712" s="281"/>
      <c r="CL712" s="277"/>
      <c r="CM712" s="159"/>
      <c r="CN712" s="277"/>
      <c r="CO712" s="50">
        <f t="shared" si="287"/>
        <v>0</v>
      </c>
      <c r="CP712" s="103">
        <f t="shared" si="288"/>
        <v>0</v>
      </c>
      <c r="CQ712" s="280">
        <f t="shared" si="289"/>
        <v>0</v>
      </c>
      <c r="CR712" s="63">
        <f t="shared" si="290"/>
        <v>0</v>
      </c>
      <c r="CS712" s="279"/>
      <c r="CT712" s="52"/>
      <c r="CU712" s="105"/>
      <c r="CV712" s="98"/>
      <c r="CW712" s="279"/>
      <c r="CX712" s="52"/>
      <c r="CY712" s="105"/>
      <c r="CZ712" s="98"/>
      <c r="DA712" s="279"/>
      <c r="DB712" s="52"/>
      <c r="DC712" s="105"/>
      <c r="DD712" s="98"/>
      <c r="DE712" s="279"/>
      <c r="DF712" s="52"/>
      <c r="DG712" s="105"/>
      <c r="DH712" s="98"/>
      <c r="DI712" s="279"/>
      <c r="DJ712" s="52"/>
      <c r="DK712" s="105"/>
      <c r="DL712" s="98"/>
      <c r="DM712" s="279"/>
      <c r="DN712" s="52"/>
      <c r="DO712" s="105"/>
      <c r="DP712" s="98"/>
      <c r="DQ712" s="279"/>
      <c r="DR712" s="52"/>
      <c r="DS712" s="105"/>
      <c r="DT712" s="98"/>
      <c r="DU712" s="279"/>
      <c r="DV712" s="52"/>
      <c r="DW712" s="105"/>
      <c r="DX712" s="98"/>
      <c r="DY712" s="279"/>
      <c r="DZ712" s="52"/>
      <c r="EA712" s="105"/>
      <c r="EB712" s="98"/>
      <c r="EC712" s="279"/>
      <c r="ED712" s="52"/>
      <c r="EE712" s="105"/>
      <c r="EF712" s="98"/>
      <c r="EG712" s="159"/>
      <c r="EH712" s="277"/>
      <c r="EI712" s="50">
        <f t="shared" si="291"/>
        <v>0</v>
      </c>
      <c r="EJ712" s="103">
        <f t="shared" si="292"/>
        <v>0</v>
      </c>
      <c r="EK712" s="164">
        <f t="shared" si="293"/>
        <v>0</v>
      </c>
      <c r="EL712" s="280">
        <f t="shared" si="294"/>
        <v>0</v>
      </c>
      <c r="EM712" s="63">
        <f t="shared" si="295"/>
        <v>0</v>
      </c>
      <c r="EN712" s="359">
        <f t="shared" si="296"/>
        <v>0</v>
      </c>
      <c r="EO712" s="51">
        <f t="shared" si="297"/>
        <v>0</v>
      </c>
      <c r="EP712" s="361">
        <f t="shared" si="298"/>
        <v>0</v>
      </c>
      <c r="EQ712" s="281"/>
      <c r="ER712" s="277"/>
      <c r="ES712" s="281"/>
      <c r="ET712" s="277"/>
      <c r="EU712" s="281"/>
      <c r="EV712" s="277"/>
      <c r="EW712" s="281"/>
      <c r="EX712" s="277"/>
      <c r="EY712" s="281"/>
      <c r="EZ712" s="277"/>
      <c r="FA712" s="281"/>
      <c r="FB712" s="277"/>
      <c r="FC712" s="281"/>
      <c r="FD712" s="277"/>
      <c r="FE712" s="281"/>
      <c r="FF712" s="277"/>
      <c r="FG712" s="281"/>
      <c r="FH712" s="277"/>
      <c r="FI712" s="281"/>
      <c r="FJ712" s="277"/>
      <c r="FK712" s="50">
        <f t="shared" si="299"/>
        <v>0</v>
      </c>
      <c r="FL712" s="63">
        <f t="shared" si="283"/>
        <v>0</v>
      </c>
      <c r="FM712" s="50">
        <f t="shared" si="265"/>
        <v>167</v>
      </c>
      <c r="FN712" s="360">
        <f t="shared" si="266"/>
        <v>193</v>
      </c>
      <c r="FP712" s="279"/>
      <c r="FQ712" s="52"/>
      <c r="FR712" s="296"/>
      <c r="FS712" s="98"/>
      <c r="FT712" s="467"/>
      <c r="FU712" s="52"/>
      <c r="FV712" s="296"/>
      <c r="FW712" s="98"/>
      <c r="FX712" s="467"/>
      <c r="FY712" s="52"/>
      <c r="FZ712" s="296"/>
      <c r="GA712" s="98"/>
      <c r="GB712" s="467"/>
      <c r="GC712" s="52"/>
      <c r="GD712" s="296"/>
      <c r="GE712" s="98"/>
      <c r="GF712" s="467"/>
      <c r="GG712" s="52"/>
      <c r="GH712" s="296"/>
      <c r="GI712" s="98"/>
      <c r="GJ712" s="467"/>
      <c r="GK712" s="52"/>
      <c r="GL712" s="296"/>
      <c r="GM712" s="464"/>
      <c r="GN712" s="467"/>
      <c r="GO712" s="52"/>
      <c r="GP712" s="296"/>
      <c r="GQ712" s="464"/>
      <c r="GR712" s="467"/>
      <c r="GS712" s="52"/>
      <c r="GT712" s="296"/>
      <c r="GU712" s="464"/>
      <c r="GV712" s="467"/>
      <c r="GW712" s="52"/>
      <c r="GX712" s="296"/>
      <c r="GY712" s="464"/>
      <c r="GZ712" s="467"/>
      <c r="HA712" s="52"/>
      <c r="HB712" s="296"/>
      <c r="HC712" s="43"/>
    </row>
    <row r="713" spans="1:211" s="3" customFormat="1">
      <c r="A713" s="330" t="s">
        <v>347</v>
      </c>
      <c r="B713" s="331" t="s">
        <v>1303</v>
      </c>
      <c r="C713" s="330">
        <v>233310</v>
      </c>
      <c r="D713" s="344">
        <v>10</v>
      </c>
      <c r="E713" s="158">
        <v>62</v>
      </c>
      <c r="F713" s="666">
        <v>103</v>
      </c>
      <c r="G713" s="158"/>
      <c r="H713" s="277"/>
      <c r="I713" s="158">
        <v>162</v>
      </c>
      <c r="J713" s="666">
        <v>223</v>
      </c>
      <c r="K713" s="160">
        <f t="shared" si="284"/>
        <v>0</v>
      </c>
      <c r="L713" s="161">
        <f t="shared" si="260"/>
        <v>0</v>
      </c>
      <c r="M713" s="54"/>
      <c r="N713" s="55"/>
      <c r="O713" s="55"/>
      <c r="P713" s="55"/>
      <c r="Q713" s="162">
        <f t="shared" si="285"/>
        <v>0</v>
      </c>
      <c r="R713" s="277"/>
      <c r="S713" s="277"/>
      <c r="T713" s="277"/>
      <c r="U713" s="277"/>
      <c r="V713" s="97">
        <f t="shared" si="286"/>
        <v>0</v>
      </c>
      <c r="W713" s="279"/>
      <c r="X713" s="52"/>
      <c r="Y713" s="99"/>
      <c r="Z713" s="53"/>
      <c r="AA713" s="228"/>
      <c r="AB713" s="52"/>
      <c r="AC713" s="99"/>
      <c r="AD713" s="53"/>
      <c r="AE713" s="228"/>
      <c r="AF713" s="52"/>
      <c r="AG713" s="99"/>
      <c r="AH713" s="53"/>
      <c r="AI713" s="228"/>
      <c r="AJ713" s="52"/>
      <c r="AK713" s="99"/>
      <c r="AL713" s="53"/>
      <c r="AM713" s="228"/>
      <c r="AN713" s="52"/>
      <c r="AO713" s="99"/>
      <c r="AP713" s="53"/>
      <c r="AQ713" s="50">
        <f t="shared" si="261"/>
        <v>0</v>
      </c>
      <c r="AR713" s="163">
        <f t="shared" si="262"/>
        <v>0</v>
      </c>
      <c r="AS713" s="97">
        <f t="shared" si="263"/>
        <v>0</v>
      </c>
      <c r="AT713" s="278">
        <f t="shared" si="264"/>
        <v>0</v>
      </c>
      <c r="AU713" s="55"/>
      <c r="AV713" s="277"/>
      <c r="AW713" s="279"/>
      <c r="AX713" s="52"/>
      <c r="AY713" s="105"/>
      <c r="AZ713" s="98"/>
      <c r="BA713" s="279"/>
      <c r="BB713" s="52"/>
      <c r="BC713" s="105"/>
      <c r="BD713" s="98"/>
      <c r="BE713" s="279"/>
      <c r="BF713" s="52"/>
      <c r="BG713" s="105"/>
      <c r="BH713" s="98"/>
      <c r="BI713" s="279"/>
      <c r="BJ713" s="52"/>
      <c r="BK713" s="105"/>
      <c r="BL713" s="98"/>
      <c r="BM713" s="279"/>
      <c r="BN713" s="52"/>
      <c r="BO713" s="105"/>
      <c r="BP713" s="98"/>
      <c r="BQ713" s="279"/>
      <c r="BR713" s="52"/>
      <c r="BS713" s="105"/>
      <c r="BT713" s="98"/>
      <c r="BU713" s="279"/>
      <c r="BV713" s="52"/>
      <c r="BW713" s="105"/>
      <c r="BX713" s="98"/>
      <c r="BY713" s="279"/>
      <c r="BZ713" s="52"/>
      <c r="CA713" s="105"/>
      <c r="CB713" s="98"/>
      <c r="CC713" s="279"/>
      <c r="CD713" s="52"/>
      <c r="CE713" s="105"/>
      <c r="CF713" s="98"/>
      <c r="CG713" s="279"/>
      <c r="CH713" s="52"/>
      <c r="CI713" s="105"/>
      <c r="CJ713" s="98"/>
      <c r="CK713" s="281"/>
      <c r="CL713" s="277"/>
      <c r="CM713" s="159"/>
      <c r="CN713" s="277"/>
      <c r="CO713" s="50">
        <f t="shared" si="287"/>
        <v>0</v>
      </c>
      <c r="CP713" s="103">
        <f t="shared" si="288"/>
        <v>0</v>
      </c>
      <c r="CQ713" s="280">
        <f t="shared" si="289"/>
        <v>0</v>
      </c>
      <c r="CR713" s="63">
        <f t="shared" si="290"/>
        <v>0</v>
      </c>
      <c r="CS713" s="279"/>
      <c r="CT713" s="52"/>
      <c r="CU713" s="105"/>
      <c r="CV713" s="98"/>
      <c r="CW713" s="279"/>
      <c r="CX713" s="52"/>
      <c r="CY713" s="105"/>
      <c r="CZ713" s="98"/>
      <c r="DA713" s="279"/>
      <c r="DB713" s="52"/>
      <c r="DC713" s="105"/>
      <c r="DD713" s="98"/>
      <c r="DE713" s="279"/>
      <c r="DF713" s="52"/>
      <c r="DG713" s="105"/>
      <c r="DH713" s="98"/>
      <c r="DI713" s="279"/>
      <c r="DJ713" s="52"/>
      <c r="DK713" s="105"/>
      <c r="DL713" s="98"/>
      <c r="DM713" s="279"/>
      <c r="DN713" s="52"/>
      <c r="DO713" s="105"/>
      <c r="DP713" s="98"/>
      <c r="DQ713" s="279"/>
      <c r="DR713" s="52"/>
      <c r="DS713" s="105"/>
      <c r="DT713" s="98"/>
      <c r="DU713" s="279"/>
      <c r="DV713" s="52"/>
      <c r="DW713" s="105"/>
      <c r="DX713" s="98"/>
      <c r="DY713" s="279"/>
      <c r="DZ713" s="52"/>
      <c r="EA713" s="105"/>
      <c r="EB713" s="98"/>
      <c r="EC713" s="279"/>
      <c r="ED713" s="52"/>
      <c r="EE713" s="105"/>
      <c r="EF713" s="98"/>
      <c r="EG713" s="159"/>
      <c r="EH713" s="277"/>
      <c r="EI713" s="50">
        <f t="shared" si="291"/>
        <v>0</v>
      </c>
      <c r="EJ713" s="103">
        <f t="shared" si="292"/>
        <v>0</v>
      </c>
      <c r="EK713" s="164">
        <f t="shared" si="293"/>
        <v>0</v>
      </c>
      <c r="EL713" s="280">
        <f t="shared" si="294"/>
        <v>0</v>
      </c>
      <c r="EM713" s="63">
        <f t="shared" si="295"/>
        <v>0</v>
      </c>
      <c r="EN713" s="359">
        <f t="shared" si="296"/>
        <v>0</v>
      </c>
      <c r="EO713" s="51">
        <f t="shared" si="297"/>
        <v>0</v>
      </c>
      <c r="EP713" s="361">
        <f t="shared" si="298"/>
        <v>0</v>
      </c>
      <c r="EQ713" s="281"/>
      <c r="ER713" s="277"/>
      <c r="ES713" s="281"/>
      <c r="ET713" s="277"/>
      <c r="EU713" s="281"/>
      <c r="EV713" s="277"/>
      <c r="EW713" s="281"/>
      <c r="EX713" s="277"/>
      <c r="EY713" s="281"/>
      <c r="EZ713" s="277"/>
      <c r="FA713" s="281"/>
      <c r="FB713" s="277"/>
      <c r="FC713" s="281"/>
      <c r="FD713" s="277"/>
      <c r="FE713" s="281"/>
      <c r="FF713" s="277"/>
      <c r="FG713" s="281"/>
      <c r="FH713" s="277"/>
      <c r="FI713" s="281"/>
      <c r="FJ713" s="277"/>
      <c r="FK713" s="50">
        <f t="shared" si="299"/>
        <v>0</v>
      </c>
      <c r="FL713" s="63">
        <f t="shared" si="283"/>
        <v>0</v>
      </c>
      <c r="FM713" s="50">
        <f t="shared" si="265"/>
        <v>224</v>
      </c>
      <c r="FN713" s="360">
        <f t="shared" si="266"/>
        <v>326</v>
      </c>
      <c r="FP713" s="279"/>
      <c r="FQ713" s="52"/>
      <c r="FR713" s="296"/>
      <c r="FS713" s="98"/>
      <c r="FT713" s="467"/>
      <c r="FU713" s="52"/>
      <c r="FV713" s="296"/>
      <c r="FW713" s="98"/>
      <c r="FX713" s="467"/>
      <c r="FY713" s="52"/>
      <c r="FZ713" s="296"/>
      <c r="GA713" s="98"/>
      <c r="GB713" s="467"/>
      <c r="GC713" s="52"/>
      <c r="GD713" s="296"/>
      <c r="GE713" s="98"/>
      <c r="GF713" s="467"/>
      <c r="GG713" s="52"/>
      <c r="GH713" s="296"/>
      <c r="GI713" s="98"/>
      <c r="GJ713" s="467"/>
      <c r="GK713" s="52"/>
      <c r="GL713" s="296"/>
      <c r="GM713" s="464"/>
      <c r="GN713" s="467"/>
      <c r="GO713" s="52"/>
      <c r="GP713" s="296"/>
      <c r="GQ713" s="464"/>
      <c r="GR713" s="467"/>
      <c r="GS713" s="52"/>
      <c r="GT713" s="296"/>
      <c r="GU713" s="464"/>
      <c r="GV713" s="467"/>
      <c r="GW713" s="52"/>
      <c r="GX713" s="296"/>
      <c r="GY713" s="464"/>
      <c r="GZ713" s="467"/>
      <c r="HA713" s="52"/>
      <c r="HB713" s="296"/>
      <c r="HC713" s="43"/>
    </row>
    <row r="714" spans="1:211" s="3" customFormat="1">
      <c r="A714" s="330" t="s">
        <v>347</v>
      </c>
      <c r="B714" s="331" t="s">
        <v>1304</v>
      </c>
      <c r="C714" s="330">
        <v>233338</v>
      </c>
      <c r="D714" s="344">
        <v>10</v>
      </c>
      <c r="E714" s="158"/>
      <c r="F714" s="666">
        <v>0</v>
      </c>
      <c r="G714" s="158"/>
      <c r="H714" s="277"/>
      <c r="I714" s="158">
        <v>174</v>
      </c>
      <c r="J714" s="666">
        <v>165</v>
      </c>
      <c r="K714" s="160">
        <f t="shared" si="284"/>
        <v>0</v>
      </c>
      <c r="L714" s="161">
        <f t="shared" ref="L714:L739" si="300">IF(R714&gt;0,J714/R714, )</f>
        <v>0</v>
      </c>
      <c r="M714" s="54"/>
      <c r="N714" s="55"/>
      <c r="O714" s="55"/>
      <c r="P714" s="55"/>
      <c r="Q714" s="162">
        <f t="shared" si="285"/>
        <v>0</v>
      </c>
      <c r="R714" s="277"/>
      <c r="S714" s="277"/>
      <c r="T714" s="277"/>
      <c r="U714" s="277"/>
      <c r="V714" s="97">
        <f t="shared" si="286"/>
        <v>0</v>
      </c>
      <c r="W714" s="279"/>
      <c r="X714" s="52"/>
      <c r="Y714" s="99"/>
      <c r="Z714" s="53"/>
      <c r="AA714" s="228"/>
      <c r="AB714" s="52"/>
      <c r="AC714" s="99"/>
      <c r="AD714" s="53"/>
      <c r="AE714" s="228"/>
      <c r="AF714" s="52"/>
      <c r="AG714" s="99"/>
      <c r="AH714" s="53"/>
      <c r="AI714" s="228"/>
      <c r="AJ714" s="52"/>
      <c r="AK714" s="99"/>
      <c r="AL714" s="53"/>
      <c r="AM714" s="228"/>
      <c r="AN714" s="52"/>
      <c r="AO714" s="99"/>
      <c r="AP714" s="53"/>
      <c r="AQ714" s="50">
        <f t="shared" ref="AQ714:AQ739" si="301">COUNTA(W714,AA714,AE714,AI714,AM714)</f>
        <v>0</v>
      </c>
      <c r="AR714" s="163">
        <f t="shared" ref="AR714:AR739" si="302">IF(FM714&gt;0,M714/FM714,)</f>
        <v>0</v>
      </c>
      <c r="AS714" s="97">
        <f t="shared" ref="AS714:AS739" si="303">COUNTA(Y714,AC714,AG714,AK714,AO714)</f>
        <v>0</v>
      </c>
      <c r="AT714" s="278">
        <f t="shared" ref="AT714:AT739" si="304">IF(FN714&gt;0,R714/FN714,)</f>
        <v>0</v>
      </c>
      <c r="AU714" s="55"/>
      <c r="AV714" s="277"/>
      <c r="AW714" s="279"/>
      <c r="AX714" s="52"/>
      <c r="AY714" s="105"/>
      <c r="AZ714" s="98"/>
      <c r="BA714" s="279"/>
      <c r="BB714" s="52"/>
      <c r="BC714" s="105"/>
      <c r="BD714" s="98"/>
      <c r="BE714" s="279"/>
      <c r="BF714" s="52"/>
      <c r="BG714" s="105"/>
      <c r="BH714" s="98"/>
      <c r="BI714" s="279"/>
      <c r="BJ714" s="52"/>
      <c r="BK714" s="105"/>
      <c r="BL714" s="98"/>
      <c r="BM714" s="279"/>
      <c r="BN714" s="52"/>
      <c r="BO714" s="105"/>
      <c r="BP714" s="98"/>
      <c r="BQ714" s="279"/>
      <c r="BR714" s="52"/>
      <c r="BS714" s="105"/>
      <c r="BT714" s="98"/>
      <c r="BU714" s="279"/>
      <c r="BV714" s="52"/>
      <c r="BW714" s="105"/>
      <c r="BX714" s="98"/>
      <c r="BY714" s="279"/>
      <c r="BZ714" s="52"/>
      <c r="CA714" s="105"/>
      <c r="CB714" s="98"/>
      <c r="CC714" s="279"/>
      <c r="CD714" s="52"/>
      <c r="CE714" s="105"/>
      <c r="CF714" s="98"/>
      <c r="CG714" s="279"/>
      <c r="CH714" s="52"/>
      <c r="CI714" s="105"/>
      <c r="CJ714" s="98"/>
      <c r="CK714" s="281"/>
      <c r="CL714" s="277"/>
      <c r="CM714" s="159"/>
      <c r="CN714" s="277"/>
      <c r="CO714" s="50">
        <f t="shared" si="287"/>
        <v>0</v>
      </c>
      <c r="CP714" s="103">
        <f t="shared" si="288"/>
        <v>0</v>
      </c>
      <c r="CQ714" s="280">
        <f t="shared" si="289"/>
        <v>0</v>
      </c>
      <c r="CR714" s="63">
        <f t="shared" si="290"/>
        <v>0</v>
      </c>
      <c r="CS714" s="279"/>
      <c r="CT714" s="52"/>
      <c r="CU714" s="105"/>
      <c r="CV714" s="98"/>
      <c r="CW714" s="279"/>
      <c r="CX714" s="52"/>
      <c r="CY714" s="105"/>
      <c r="CZ714" s="98"/>
      <c r="DA714" s="279"/>
      <c r="DB714" s="52"/>
      <c r="DC714" s="105"/>
      <c r="DD714" s="98"/>
      <c r="DE714" s="279"/>
      <c r="DF714" s="52"/>
      <c r="DG714" s="105"/>
      <c r="DH714" s="98"/>
      <c r="DI714" s="279"/>
      <c r="DJ714" s="52"/>
      <c r="DK714" s="105"/>
      <c r="DL714" s="98"/>
      <c r="DM714" s="279"/>
      <c r="DN714" s="52"/>
      <c r="DO714" s="105"/>
      <c r="DP714" s="98"/>
      <c r="DQ714" s="279"/>
      <c r="DR714" s="52"/>
      <c r="DS714" s="105"/>
      <c r="DT714" s="98"/>
      <c r="DU714" s="279"/>
      <c r="DV714" s="52"/>
      <c r="DW714" s="105"/>
      <c r="DX714" s="98"/>
      <c r="DY714" s="279"/>
      <c r="DZ714" s="52"/>
      <c r="EA714" s="105"/>
      <c r="EB714" s="98"/>
      <c r="EC714" s="279"/>
      <c r="ED714" s="52"/>
      <c r="EE714" s="105"/>
      <c r="EF714" s="98"/>
      <c r="EG714" s="159"/>
      <c r="EH714" s="277"/>
      <c r="EI714" s="50">
        <f t="shared" si="291"/>
        <v>0</v>
      </c>
      <c r="EJ714" s="103">
        <f t="shared" si="292"/>
        <v>0</v>
      </c>
      <c r="EK714" s="164">
        <f t="shared" si="293"/>
        <v>0</v>
      </c>
      <c r="EL714" s="280">
        <f t="shared" si="294"/>
        <v>0</v>
      </c>
      <c r="EM714" s="63">
        <f t="shared" si="295"/>
        <v>0</v>
      </c>
      <c r="EN714" s="359">
        <f t="shared" si="296"/>
        <v>0</v>
      </c>
      <c r="EO714" s="51">
        <f t="shared" si="297"/>
        <v>0</v>
      </c>
      <c r="EP714" s="361">
        <f t="shared" si="298"/>
        <v>0</v>
      </c>
      <c r="EQ714" s="281"/>
      <c r="ER714" s="277"/>
      <c r="ES714" s="281"/>
      <c r="ET714" s="277"/>
      <c r="EU714" s="281"/>
      <c r="EV714" s="277"/>
      <c r="EW714" s="281"/>
      <c r="EX714" s="277"/>
      <c r="EY714" s="281"/>
      <c r="EZ714" s="277"/>
      <c r="FA714" s="281"/>
      <c r="FB714" s="277"/>
      <c r="FC714" s="281"/>
      <c r="FD714" s="277"/>
      <c r="FE714" s="281"/>
      <c r="FF714" s="277"/>
      <c r="FG714" s="281"/>
      <c r="FH714" s="277"/>
      <c r="FI714" s="281"/>
      <c r="FJ714" s="277"/>
      <c r="FK714" s="50">
        <f t="shared" si="299"/>
        <v>0</v>
      </c>
      <c r="FL714" s="63">
        <f t="shared" si="283"/>
        <v>0</v>
      </c>
      <c r="FM714" s="50">
        <f t="shared" ref="FM714:FM739" si="305">E714+G714+I714+M714+AU714+EO714+FK714</f>
        <v>174</v>
      </c>
      <c r="FN714" s="360">
        <f t="shared" ref="FN714:FN739" si="306">F714+H714+J714+R714+AV714+EP714+FL714</f>
        <v>165</v>
      </c>
      <c r="FP714" s="279"/>
      <c r="FQ714" s="52"/>
      <c r="FR714" s="296"/>
      <c r="FS714" s="98"/>
      <c r="FT714" s="467"/>
      <c r="FU714" s="52"/>
      <c r="FV714" s="296"/>
      <c r="FW714" s="98"/>
      <c r="FX714" s="467"/>
      <c r="FY714" s="52"/>
      <c r="FZ714" s="296"/>
      <c r="GA714" s="98"/>
      <c r="GB714" s="467"/>
      <c r="GC714" s="52"/>
      <c r="GD714" s="296"/>
      <c r="GE714" s="98"/>
      <c r="GF714" s="467"/>
      <c r="GG714" s="52"/>
      <c r="GH714" s="296"/>
      <c r="GI714" s="98"/>
      <c r="GJ714" s="467"/>
      <c r="GK714" s="52"/>
      <c r="GL714" s="296"/>
      <c r="GM714" s="464"/>
      <c r="GN714" s="467"/>
      <c r="GO714" s="52"/>
      <c r="GP714" s="296"/>
      <c r="GQ714" s="464"/>
      <c r="GR714" s="467"/>
      <c r="GS714" s="52"/>
      <c r="GT714" s="296"/>
      <c r="GU714" s="464"/>
      <c r="GV714" s="467"/>
      <c r="GW714" s="52"/>
      <c r="GX714" s="296"/>
      <c r="GY714" s="464"/>
      <c r="GZ714" s="467"/>
      <c r="HA714" s="52"/>
      <c r="HB714" s="296"/>
      <c r="HC714" s="43"/>
    </row>
    <row r="715" spans="1:211" s="3" customFormat="1">
      <c r="A715" s="330" t="s">
        <v>347</v>
      </c>
      <c r="B715" s="331" t="s">
        <v>1305</v>
      </c>
      <c r="C715" s="330">
        <v>233903</v>
      </c>
      <c r="D715" s="344">
        <v>10</v>
      </c>
      <c r="E715" s="158">
        <v>199</v>
      </c>
      <c r="F715" s="666">
        <v>163</v>
      </c>
      <c r="G715" s="158"/>
      <c r="H715" s="277"/>
      <c r="I715" s="158">
        <v>208</v>
      </c>
      <c r="J715" s="666">
        <v>237</v>
      </c>
      <c r="K715" s="160">
        <f t="shared" si="284"/>
        <v>0</v>
      </c>
      <c r="L715" s="161">
        <f t="shared" si="300"/>
        <v>0</v>
      </c>
      <c r="M715" s="54"/>
      <c r="N715" s="55"/>
      <c r="O715" s="55"/>
      <c r="P715" s="55"/>
      <c r="Q715" s="162">
        <f t="shared" si="285"/>
        <v>0</v>
      </c>
      <c r="R715" s="277"/>
      <c r="S715" s="277"/>
      <c r="T715" s="277"/>
      <c r="U715" s="277"/>
      <c r="V715" s="97">
        <f t="shared" si="286"/>
        <v>0</v>
      </c>
      <c r="W715" s="279"/>
      <c r="X715" s="52"/>
      <c r="Y715" s="99"/>
      <c r="Z715" s="53"/>
      <c r="AA715" s="228"/>
      <c r="AB715" s="52"/>
      <c r="AC715" s="99"/>
      <c r="AD715" s="53"/>
      <c r="AE715" s="228"/>
      <c r="AF715" s="52"/>
      <c r="AG715" s="99"/>
      <c r="AH715" s="53"/>
      <c r="AI715" s="228"/>
      <c r="AJ715" s="52"/>
      <c r="AK715" s="99"/>
      <c r="AL715" s="53"/>
      <c r="AM715" s="228"/>
      <c r="AN715" s="52"/>
      <c r="AO715" s="99"/>
      <c r="AP715" s="53"/>
      <c r="AQ715" s="50">
        <f t="shared" si="301"/>
        <v>0</v>
      </c>
      <c r="AR715" s="163">
        <f t="shared" si="302"/>
        <v>0</v>
      </c>
      <c r="AS715" s="97">
        <f t="shared" si="303"/>
        <v>0</v>
      </c>
      <c r="AT715" s="278">
        <f t="shared" si="304"/>
        <v>0</v>
      </c>
      <c r="AU715" s="55"/>
      <c r="AV715" s="277"/>
      <c r="AW715" s="279"/>
      <c r="AX715" s="52"/>
      <c r="AY715" s="105"/>
      <c r="AZ715" s="98"/>
      <c r="BA715" s="279"/>
      <c r="BB715" s="52"/>
      <c r="BC715" s="105"/>
      <c r="BD715" s="98"/>
      <c r="BE715" s="279"/>
      <c r="BF715" s="52"/>
      <c r="BG715" s="105"/>
      <c r="BH715" s="98"/>
      <c r="BI715" s="279"/>
      <c r="BJ715" s="52"/>
      <c r="BK715" s="105"/>
      <c r="BL715" s="98"/>
      <c r="BM715" s="279"/>
      <c r="BN715" s="52"/>
      <c r="BO715" s="105"/>
      <c r="BP715" s="98"/>
      <c r="BQ715" s="279"/>
      <c r="BR715" s="52"/>
      <c r="BS715" s="105"/>
      <c r="BT715" s="98"/>
      <c r="BU715" s="279"/>
      <c r="BV715" s="52"/>
      <c r="BW715" s="105"/>
      <c r="BX715" s="98"/>
      <c r="BY715" s="279"/>
      <c r="BZ715" s="52"/>
      <c r="CA715" s="105"/>
      <c r="CB715" s="98"/>
      <c r="CC715" s="279"/>
      <c r="CD715" s="52"/>
      <c r="CE715" s="105"/>
      <c r="CF715" s="98"/>
      <c r="CG715" s="279"/>
      <c r="CH715" s="52"/>
      <c r="CI715" s="105"/>
      <c r="CJ715" s="98"/>
      <c r="CK715" s="281"/>
      <c r="CL715" s="277"/>
      <c r="CM715" s="159"/>
      <c r="CN715" s="277"/>
      <c r="CO715" s="50">
        <f t="shared" si="287"/>
        <v>0</v>
      </c>
      <c r="CP715" s="103">
        <f t="shared" si="288"/>
        <v>0</v>
      </c>
      <c r="CQ715" s="280">
        <f t="shared" si="289"/>
        <v>0</v>
      </c>
      <c r="CR715" s="63">
        <f t="shared" si="290"/>
        <v>0</v>
      </c>
      <c r="CS715" s="279"/>
      <c r="CT715" s="52"/>
      <c r="CU715" s="105"/>
      <c r="CV715" s="98"/>
      <c r="CW715" s="279"/>
      <c r="CX715" s="52"/>
      <c r="CY715" s="105"/>
      <c r="CZ715" s="98"/>
      <c r="DA715" s="279"/>
      <c r="DB715" s="52"/>
      <c r="DC715" s="105"/>
      <c r="DD715" s="98"/>
      <c r="DE715" s="279"/>
      <c r="DF715" s="52"/>
      <c r="DG715" s="105"/>
      <c r="DH715" s="98"/>
      <c r="DI715" s="279"/>
      <c r="DJ715" s="52"/>
      <c r="DK715" s="105"/>
      <c r="DL715" s="98"/>
      <c r="DM715" s="279"/>
      <c r="DN715" s="52"/>
      <c r="DO715" s="105"/>
      <c r="DP715" s="98"/>
      <c r="DQ715" s="279"/>
      <c r="DR715" s="52"/>
      <c r="DS715" s="105"/>
      <c r="DT715" s="98"/>
      <c r="DU715" s="279"/>
      <c r="DV715" s="52"/>
      <c r="DW715" s="105"/>
      <c r="DX715" s="98"/>
      <c r="DY715" s="279"/>
      <c r="DZ715" s="52"/>
      <c r="EA715" s="105"/>
      <c r="EB715" s="98"/>
      <c r="EC715" s="279"/>
      <c r="ED715" s="52"/>
      <c r="EE715" s="105"/>
      <c r="EF715" s="98"/>
      <c r="EG715" s="159"/>
      <c r="EH715" s="277"/>
      <c r="EI715" s="50">
        <f t="shared" si="291"/>
        <v>0</v>
      </c>
      <c r="EJ715" s="103">
        <f t="shared" si="292"/>
        <v>0</v>
      </c>
      <c r="EK715" s="164">
        <f t="shared" si="293"/>
        <v>0</v>
      </c>
      <c r="EL715" s="280">
        <f t="shared" si="294"/>
        <v>0</v>
      </c>
      <c r="EM715" s="63">
        <f t="shared" si="295"/>
        <v>0</v>
      </c>
      <c r="EN715" s="359">
        <f t="shared" si="296"/>
        <v>0</v>
      </c>
      <c r="EO715" s="51">
        <f t="shared" si="297"/>
        <v>0</v>
      </c>
      <c r="EP715" s="361">
        <f t="shared" si="298"/>
        <v>0</v>
      </c>
      <c r="EQ715" s="281"/>
      <c r="ER715" s="277"/>
      <c r="ES715" s="281"/>
      <c r="ET715" s="277"/>
      <c r="EU715" s="281"/>
      <c r="EV715" s="277"/>
      <c r="EW715" s="281"/>
      <c r="EX715" s="277"/>
      <c r="EY715" s="281"/>
      <c r="EZ715" s="277"/>
      <c r="FA715" s="281"/>
      <c r="FB715" s="277"/>
      <c r="FC715" s="281"/>
      <c r="FD715" s="277"/>
      <c r="FE715" s="281"/>
      <c r="FF715" s="277"/>
      <c r="FG715" s="281"/>
      <c r="FH715" s="277"/>
      <c r="FI715" s="281"/>
      <c r="FJ715" s="277"/>
      <c r="FK715" s="50">
        <f t="shared" si="299"/>
        <v>0</v>
      </c>
      <c r="FL715" s="63">
        <f t="shared" si="283"/>
        <v>0</v>
      </c>
      <c r="FM715" s="50">
        <f t="shared" si="305"/>
        <v>407</v>
      </c>
      <c r="FN715" s="360">
        <f t="shared" si="306"/>
        <v>400</v>
      </c>
      <c r="FP715" s="279"/>
      <c r="FQ715" s="52"/>
      <c r="FR715" s="296"/>
      <c r="FS715" s="98"/>
      <c r="FT715" s="467"/>
      <c r="FU715" s="52"/>
      <c r="FV715" s="296"/>
      <c r="FW715" s="98"/>
      <c r="FX715" s="467"/>
      <c r="FY715" s="52"/>
      <c r="FZ715" s="296"/>
      <c r="GA715" s="98"/>
      <c r="GB715" s="467"/>
      <c r="GC715" s="52"/>
      <c r="GD715" s="296"/>
      <c r="GE715" s="98"/>
      <c r="GF715" s="467"/>
      <c r="GG715" s="52"/>
      <c r="GH715" s="296"/>
      <c r="GI715" s="98"/>
      <c r="GJ715" s="467"/>
      <c r="GK715" s="52"/>
      <c r="GL715" s="296"/>
      <c r="GM715" s="464"/>
      <c r="GN715" s="467"/>
      <c r="GO715" s="52"/>
      <c r="GP715" s="296"/>
      <c r="GQ715" s="464"/>
      <c r="GR715" s="467"/>
      <c r="GS715" s="52"/>
      <c r="GT715" s="296"/>
      <c r="GU715" s="464"/>
      <c r="GV715" s="467"/>
      <c r="GW715" s="52"/>
      <c r="GX715" s="296"/>
      <c r="GY715" s="464"/>
      <c r="GZ715" s="467"/>
      <c r="HA715" s="52"/>
      <c r="HB715" s="296"/>
      <c r="HC715" s="43"/>
    </row>
    <row r="716" spans="1:211" s="3" customFormat="1">
      <c r="A716" s="330" t="s">
        <v>347</v>
      </c>
      <c r="B716" s="331" t="s">
        <v>1306</v>
      </c>
      <c r="C716" s="330">
        <v>234377</v>
      </c>
      <c r="D716" s="344">
        <v>10</v>
      </c>
      <c r="E716" s="158">
        <v>246</v>
      </c>
      <c r="F716" s="666">
        <v>295</v>
      </c>
      <c r="G716" s="158"/>
      <c r="H716" s="277"/>
      <c r="I716" s="158">
        <v>254</v>
      </c>
      <c r="J716" s="666">
        <v>287</v>
      </c>
      <c r="K716" s="160">
        <f t="shared" si="284"/>
        <v>0</v>
      </c>
      <c r="L716" s="161">
        <f t="shared" si="300"/>
        <v>0</v>
      </c>
      <c r="M716" s="54"/>
      <c r="N716" s="55"/>
      <c r="O716" s="55"/>
      <c r="P716" s="55"/>
      <c r="Q716" s="162">
        <f t="shared" si="285"/>
        <v>0</v>
      </c>
      <c r="R716" s="277"/>
      <c r="S716" s="277"/>
      <c r="T716" s="277"/>
      <c r="U716" s="277"/>
      <c r="V716" s="97">
        <f t="shared" si="286"/>
        <v>0</v>
      </c>
      <c r="W716" s="279"/>
      <c r="X716" s="52"/>
      <c r="Y716" s="99"/>
      <c r="Z716" s="53"/>
      <c r="AA716" s="228"/>
      <c r="AB716" s="52"/>
      <c r="AC716" s="99"/>
      <c r="AD716" s="53"/>
      <c r="AE716" s="228"/>
      <c r="AF716" s="52"/>
      <c r="AG716" s="99"/>
      <c r="AH716" s="53"/>
      <c r="AI716" s="228"/>
      <c r="AJ716" s="52"/>
      <c r="AK716" s="99"/>
      <c r="AL716" s="53"/>
      <c r="AM716" s="228"/>
      <c r="AN716" s="52"/>
      <c r="AO716" s="99"/>
      <c r="AP716" s="53"/>
      <c r="AQ716" s="50">
        <f t="shared" si="301"/>
        <v>0</v>
      </c>
      <c r="AR716" s="163">
        <f t="shared" si="302"/>
        <v>0</v>
      </c>
      <c r="AS716" s="97">
        <f t="shared" si="303"/>
        <v>0</v>
      </c>
      <c r="AT716" s="278">
        <f t="shared" si="304"/>
        <v>0</v>
      </c>
      <c r="AU716" s="55"/>
      <c r="AV716" s="277"/>
      <c r="AW716" s="279"/>
      <c r="AX716" s="52"/>
      <c r="AY716" s="105"/>
      <c r="AZ716" s="98"/>
      <c r="BA716" s="279"/>
      <c r="BB716" s="52"/>
      <c r="BC716" s="105"/>
      <c r="BD716" s="98"/>
      <c r="BE716" s="279"/>
      <c r="BF716" s="52"/>
      <c r="BG716" s="105"/>
      <c r="BH716" s="98"/>
      <c r="BI716" s="279"/>
      <c r="BJ716" s="52"/>
      <c r="BK716" s="105"/>
      <c r="BL716" s="98"/>
      <c r="BM716" s="279"/>
      <c r="BN716" s="52"/>
      <c r="BO716" s="105"/>
      <c r="BP716" s="98"/>
      <c r="BQ716" s="279"/>
      <c r="BR716" s="52"/>
      <c r="BS716" s="105"/>
      <c r="BT716" s="98"/>
      <c r="BU716" s="279"/>
      <c r="BV716" s="52"/>
      <c r="BW716" s="105"/>
      <c r="BX716" s="98"/>
      <c r="BY716" s="279"/>
      <c r="BZ716" s="52"/>
      <c r="CA716" s="105"/>
      <c r="CB716" s="98"/>
      <c r="CC716" s="279"/>
      <c r="CD716" s="52"/>
      <c r="CE716" s="105"/>
      <c r="CF716" s="98"/>
      <c r="CG716" s="279"/>
      <c r="CH716" s="52"/>
      <c r="CI716" s="105"/>
      <c r="CJ716" s="98"/>
      <c r="CK716" s="281"/>
      <c r="CL716" s="277"/>
      <c r="CM716" s="159"/>
      <c r="CN716" s="277"/>
      <c r="CO716" s="50">
        <f t="shared" si="287"/>
        <v>0</v>
      </c>
      <c r="CP716" s="103">
        <f t="shared" si="288"/>
        <v>0</v>
      </c>
      <c r="CQ716" s="280">
        <f t="shared" si="289"/>
        <v>0</v>
      </c>
      <c r="CR716" s="63">
        <f t="shared" si="290"/>
        <v>0</v>
      </c>
      <c r="CS716" s="279"/>
      <c r="CT716" s="52"/>
      <c r="CU716" s="105"/>
      <c r="CV716" s="98"/>
      <c r="CW716" s="279"/>
      <c r="CX716" s="52"/>
      <c r="CY716" s="105"/>
      <c r="CZ716" s="98"/>
      <c r="DA716" s="279"/>
      <c r="DB716" s="52"/>
      <c r="DC716" s="105"/>
      <c r="DD716" s="98"/>
      <c r="DE716" s="279"/>
      <c r="DF716" s="52"/>
      <c r="DG716" s="105"/>
      <c r="DH716" s="98"/>
      <c r="DI716" s="279"/>
      <c r="DJ716" s="52"/>
      <c r="DK716" s="105"/>
      <c r="DL716" s="98"/>
      <c r="DM716" s="279"/>
      <c r="DN716" s="52"/>
      <c r="DO716" s="105"/>
      <c r="DP716" s="98"/>
      <c r="DQ716" s="279"/>
      <c r="DR716" s="52"/>
      <c r="DS716" s="105"/>
      <c r="DT716" s="98"/>
      <c r="DU716" s="279"/>
      <c r="DV716" s="52"/>
      <c r="DW716" s="105"/>
      <c r="DX716" s="98"/>
      <c r="DY716" s="279"/>
      <c r="DZ716" s="52"/>
      <c r="EA716" s="105"/>
      <c r="EB716" s="98"/>
      <c r="EC716" s="279"/>
      <c r="ED716" s="52"/>
      <c r="EE716" s="105"/>
      <c r="EF716" s="98"/>
      <c r="EG716" s="159"/>
      <c r="EH716" s="277"/>
      <c r="EI716" s="50">
        <f t="shared" si="291"/>
        <v>0</v>
      </c>
      <c r="EJ716" s="103">
        <f t="shared" si="292"/>
        <v>0</v>
      </c>
      <c r="EK716" s="164">
        <f t="shared" si="293"/>
        <v>0</v>
      </c>
      <c r="EL716" s="280">
        <f t="shared" si="294"/>
        <v>0</v>
      </c>
      <c r="EM716" s="63">
        <f t="shared" si="295"/>
        <v>0</v>
      </c>
      <c r="EN716" s="359">
        <f t="shared" si="296"/>
        <v>0</v>
      </c>
      <c r="EO716" s="51">
        <f t="shared" si="297"/>
        <v>0</v>
      </c>
      <c r="EP716" s="361">
        <f t="shared" si="298"/>
        <v>0</v>
      </c>
      <c r="EQ716" s="281"/>
      <c r="ER716" s="277"/>
      <c r="ES716" s="281"/>
      <c r="ET716" s="277"/>
      <c r="EU716" s="281"/>
      <c r="EV716" s="277"/>
      <c r="EW716" s="281"/>
      <c r="EX716" s="277"/>
      <c r="EY716" s="281"/>
      <c r="EZ716" s="277"/>
      <c r="FA716" s="281"/>
      <c r="FB716" s="277"/>
      <c r="FC716" s="281"/>
      <c r="FD716" s="277"/>
      <c r="FE716" s="281"/>
      <c r="FF716" s="277"/>
      <c r="FG716" s="281"/>
      <c r="FH716" s="277"/>
      <c r="FI716" s="281"/>
      <c r="FJ716" s="277"/>
      <c r="FK716" s="50">
        <f t="shared" si="299"/>
        <v>0</v>
      </c>
      <c r="FL716" s="63">
        <f t="shared" si="283"/>
        <v>0</v>
      </c>
      <c r="FM716" s="50">
        <f t="shared" si="305"/>
        <v>500</v>
      </c>
      <c r="FN716" s="360">
        <f t="shared" si="306"/>
        <v>582</v>
      </c>
      <c r="FP716" s="279"/>
      <c r="FQ716" s="52"/>
      <c r="FR716" s="296"/>
      <c r="FS716" s="98"/>
      <c r="FT716" s="467"/>
      <c r="FU716" s="52"/>
      <c r="FV716" s="296"/>
      <c r="FW716" s="98"/>
      <c r="FX716" s="467"/>
      <c r="FY716" s="52"/>
      <c r="FZ716" s="296"/>
      <c r="GA716" s="98"/>
      <c r="GB716" s="467"/>
      <c r="GC716" s="52"/>
      <c r="GD716" s="296"/>
      <c r="GE716" s="98"/>
      <c r="GF716" s="467"/>
      <c r="GG716" s="52"/>
      <c r="GH716" s="296"/>
      <c r="GI716" s="98"/>
      <c r="GJ716" s="467"/>
      <c r="GK716" s="52"/>
      <c r="GL716" s="296"/>
      <c r="GM716" s="464"/>
      <c r="GN716" s="467"/>
      <c r="GO716" s="52"/>
      <c r="GP716" s="296"/>
      <c r="GQ716" s="464"/>
      <c r="GR716" s="467"/>
      <c r="GS716" s="52"/>
      <c r="GT716" s="296"/>
      <c r="GU716" s="464"/>
      <c r="GV716" s="467"/>
      <c r="GW716" s="52"/>
      <c r="GX716" s="296"/>
      <c r="GY716" s="464"/>
      <c r="GZ716" s="467"/>
      <c r="HA716" s="52"/>
      <c r="HB716" s="296"/>
      <c r="HC716" s="43"/>
    </row>
    <row r="717" spans="1:211" s="3" customFormat="1">
      <c r="A717" s="330" t="s">
        <v>347</v>
      </c>
      <c r="B717" s="331" t="s">
        <v>1307</v>
      </c>
      <c r="C717" s="330">
        <v>234085</v>
      </c>
      <c r="D717" s="344">
        <v>15</v>
      </c>
      <c r="E717" s="158"/>
      <c r="F717" s="277"/>
      <c r="G717" s="158"/>
      <c r="H717" s="277"/>
      <c r="I717" s="158"/>
      <c r="J717" s="277"/>
      <c r="K717" s="160">
        <f t="shared" si="284"/>
        <v>0</v>
      </c>
      <c r="L717" s="161">
        <f t="shared" si="300"/>
        <v>0</v>
      </c>
      <c r="M717" s="54">
        <v>280</v>
      </c>
      <c r="N717" s="55"/>
      <c r="O717" s="55"/>
      <c r="P717" s="55"/>
      <c r="Q717" s="162">
        <f t="shared" si="285"/>
        <v>0</v>
      </c>
      <c r="R717" s="277">
        <v>290</v>
      </c>
      <c r="S717" s="277"/>
      <c r="T717" s="277"/>
      <c r="U717" s="277"/>
      <c r="V717" s="97">
        <f t="shared" si="286"/>
        <v>0</v>
      </c>
      <c r="W717" s="279"/>
      <c r="X717" s="52"/>
      <c r="Y717" s="99"/>
      <c r="Z717" s="53"/>
      <c r="AA717" s="228"/>
      <c r="AB717" s="52"/>
      <c r="AC717" s="99"/>
      <c r="AD717" s="53"/>
      <c r="AE717" s="228"/>
      <c r="AF717" s="52"/>
      <c r="AG717" s="99"/>
      <c r="AH717" s="53"/>
      <c r="AI717" s="228"/>
      <c r="AJ717" s="52"/>
      <c r="AK717" s="99"/>
      <c r="AL717" s="53"/>
      <c r="AM717" s="228"/>
      <c r="AN717" s="52"/>
      <c r="AO717" s="99"/>
      <c r="AP717" s="53"/>
      <c r="AQ717" s="50">
        <f t="shared" si="301"/>
        <v>0</v>
      </c>
      <c r="AR717" s="163">
        <f t="shared" si="302"/>
        <v>1</v>
      </c>
      <c r="AS717" s="97">
        <f t="shared" si="303"/>
        <v>0</v>
      </c>
      <c r="AT717" s="278">
        <f t="shared" si="304"/>
        <v>1</v>
      </c>
      <c r="AU717" s="55"/>
      <c r="AV717" s="277"/>
      <c r="AW717" s="279"/>
      <c r="AX717" s="52"/>
      <c r="AY717" s="105"/>
      <c r="AZ717" s="98"/>
      <c r="BA717" s="279"/>
      <c r="BB717" s="52"/>
      <c r="BC717" s="105"/>
      <c r="BD717" s="98"/>
      <c r="BE717" s="279"/>
      <c r="BF717" s="52"/>
      <c r="BG717" s="105"/>
      <c r="BH717" s="98"/>
      <c r="BI717" s="279"/>
      <c r="BJ717" s="52"/>
      <c r="BK717" s="105"/>
      <c r="BL717" s="98"/>
      <c r="BM717" s="279"/>
      <c r="BN717" s="52"/>
      <c r="BO717" s="105"/>
      <c r="BP717" s="98"/>
      <c r="BQ717" s="279"/>
      <c r="BR717" s="52"/>
      <c r="BS717" s="105"/>
      <c r="BT717" s="98"/>
      <c r="BU717" s="279"/>
      <c r="BV717" s="52"/>
      <c r="BW717" s="105"/>
      <c r="BX717" s="98"/>
      <c r="BY717" s="279"/>
      <c r="BZ717" s="52"/>
      <c r="CA717" s="105"/>
      <c r="CB717" s="98"/>
      <c r="CC717" s="279"/>
      <c r="CD717" s="52"/>
      <c r="CE717" s="105"/>
      <c r="CF717" s="98"/>
      <c r="CG717" s="279"/>
      <c r="CH717" s="52"/>
      <c r="CI717" s="105"/>
      <c r="CJ717" s="98"/>
      <c r="CK717" s="281"/>
      <c r="CL717" s="277"/>
      <c r="CM717" s="159"/>
      <c r="CN717" s="277"/>
      <c r="CO717" s="50">
        <f t="shared" si="287"/>
        <v>0</v>
      </c>
      <c r="CP717" s="103">
        <f t="shared" si="288"/>
        <v>0</v>
      </c>
      <c r="CQ717" s="280">
        <f t="shared" si="289"/>
        <v>0</v>
      </c>
      <c r="CR717" s="63">
        <f t="shared" si="290"/>
        <v>0</v>
      </c>
      <c r="CS717" s="279"/>
      <c r="CT717" s="52"/>
      <c r="CU717" s="105"/>
      <c r="CV717" s="98"/>
      <c r="CW717" s="279"/>
      <c r="CX717" s="52"/>
      <c r="CY717" s="105"/>
      <c r="CZ717" s="98"/>
      <c r="DA717" s="279"/>
      <c r="DB717" s="52"/>
      <c r="DC717" s="105"/>
      <c r="DD717" s="98"/>
      <c r="DE717" s="279"/>
      <c r="DF717" s="52"/>
      <c r="DG717" s="105"/>
      <c r="DH717" s="98"/>
      <c r="DI717" s="279"/>
      <c r="DJ717" s="52"/>
      <c r="DK717" s="105"/>
      <c r="DL717" s="98"/>
      <c r="DM717" s="279"/>
      <c r="DN717" s="52"/>
      <c r="DO717" s="105"/>
      <c r="DP717" s="98"/>
      <c r="DQ717" s="279"/>
      <c r="DR717" s="52"/>
      <c r="DS717" s="105"/>
      <c r="DT717" s="98"/>
      <c r="DU717" s="279"/>
      <c r="DV717" s="52"/>
      <c r="DW717" s="105"/>
      <c r="DX717" s="98"/>
      <c r="DY717" s="279"/>
      <c r="DZ717" s="52"/>
      <c r="EA717" s="105"/>
      <c r="EB717" s="98"/>
      <c r="EC717" s="279"/>
      <c r="ED717" s="52"/>
      <c r="EE717" s="105"/>
      <c r="EF717" s="98"/>
      <c r="EG717" s="159"/>
      <c r="EH717" s="277"/>
      <c r="EI717" s="50">
        <f t="shared" si="291"/>
        <v>0</v>
      </c>
      <c r="EJ717" s="103">
        <f t="shared" si="292"/>
        <v>0</v>
      </c>
      <c r="EK717" s="164">
        <f t="shared" si="293"/>
        <v>0</v>
      </c>
      <c r="EL717" s="280">
        <f t="shared" si="294"/>
        <v>0</v>
      </c>
      <c r="EM717" s="63">
        <f t="shared" si="295"/>
        <v>0</v>
      </c>
      <c r="EN717" s="359">
        <f t="shared" si="296"/>
        <v>0</v>
      </c>
      <c r="EO717" s="51">
        <f t="shared" si="297"/>
        <v>0</v>
      </c>
      <c r="EP717" s="361">
        <f t="shared" si="298"/>
        <v>0</v>
      </c>
      <c r="EQ717" s="281"/>
      <c r="ER717" s="277"/>
      <c r="ES717" s="281"/>
      <c r="ET717" s="277"/>
      <c r="EU717" s="281"/>
      <c r="EV717" s="277"/>
      <c r="EW717" s="281"/>
      <c r="EX717" s="277"/>
      <c r="EY717" s="281"/>
      <c r="EZ717" s="277"/>
      <c r="FA717" s="281"/>
      <c r="FB717" s="277"/>
      <c r="FC717" s="281"/>
      <c r="FD717" s="277"/>
      <c r="FE717" s="281"/>
      <c r="FF717" s="277"/>
      <c r="FG717" s="281"/>
      <c r="FH717" s="277"/>
      <c r="FI717" s="281"/>
      <c r="FJ717" s="277"/>
      <c r="FK717" s="50">
        <f t="shared" si="299"/>
        <v>0</v>
      </c>
      <c r="FL717" s="63">
        <f t="shared" si="283"/>
        <v>0</v>
      </c>
      <c r="FM717" s="50">
        <f t="shared" si="305"/>
        <v>280</v>
      </c>
      <c r="FN717" s="360">
        <f t="shared" si="306"/>
        <v>290</v>
      </c>
      <c r="FP717" s="279"/>
      <c r="FQ717" s="52"/>
      <c r="FR717" s="296"/>
      <c r="FS717" s="98"/>
      <c r="FT717" s="467"/>
      <c r="FU717" s="52"/>
      <c r="FV717" s="296"/>
      <c r="FW717" s="98"/>
      <c r="FX717" s="467"/>
      <c r="FY717" s="52"/>
      <c r="FZ717" s="296"/>
      <c r="GA717" s="98"/>
      <c r="GB717" s="467"/>
      <c r="GC717" s="52"/>
      <c r="GD717" s="296"/>
      <c r="GE717" s="98"/>
      <c r="GF717" s="467"/>
      <c r="GG717" s="52"/>
      <c r="GH717" s="296"/>
      <c r="GI717" s="98"/>
      <c r="GJ717" s="467"/>
      <c r="GK717" s="52"/>
      <c r="GL717" s="296"/>
      <c r="GM717" s="464"/>
      <c r="GN717" s="467"/>
      <c r="GO717" s="52"/>
      <c r="GP717" s="296"/>
      <c r="GQ717" s="464"/>
      <c r="GR717" s="467"/>
      <c r="GS717" s="52"/>
      <c r="GT717" s="296"/>
      <c r="GU717" s="464"/>
      <c r="GV717" s="467"/>
      <c r="GW717" s="52"/>
      <c r="GX717" s="296"/>
      <c r="GY717" s="464"/>
      <c r="GZ717" s="467"/>
      <c r="HA717" s="52"/>
      <c r="HB717" s="296"/>
      <c r="HC717" s="43"/>
    </row>
    <row r="718" spans="1:211" s="86" customFormat="1">
      <c r="A718" s="321" t="s">
        <v>70</v>
      </c>
      <c r="B718" s="322" t="s">
        <v>358</v>
      </c>
      <c r="C718" s="321">
        <v>238032</v>
      </c>
      <c r="D718" s="353">
        <v>1</v>
      </c>
      <c r="E718" s="158"/>
      <c r="F718" s="277"/>
      <c r="G718" s="158"/>
      <c r="H718" s="277"/>
      <c r="I718" s="158"/>
      <c r="J718" s="277"/>
      <c r="K718" s="160">
        <f t="shared" si="284"/>
        <v>0</v>
      </c>
      <c r="L718" s="161">
        <f t="shared" si="300"/>
        <v>0</v>
      </c>
      <c r="M718" s="54">
        <v>3790</v>
      </c>
      <c r="N718" s="55"/>
      <c r="O718" s="55"/>
      <c r="P718" s="55">
        <v>218</v>
      </c>
      <c r="Q718" s="162">
        <f>SUM(N718:P718)</f>
        <v>218</v>
      </c>
      <c r="R718" s="558">
        <v>3892</v>
      </c>
      <c r="S718" s="277"/>
      <c r="T718" s="277"/>
      <c r="U718" s="277">
        <v>195</v>
      </c>
      <c r="V718" s="97">
        <f t="shared" si="286"/>
        <v>195</v>
      </c>
      <c r="W718" s="279"/>
      <c r="X718" s="52"/>
      <c r="Y718" s="99"/>
      <c r="Z718" s="53"/>
      <c r="AA718" s="228"/>
      <c r="AB718" s="52"/>
      <c r="AC718" s="99"/>
      <c r="AD718" s="53"/>
      <c r="AE718" s="228"/>
      <c r="AF718" s="52"/>
      <c r="AG718" s="99"/>
      <c r="AH718" s="53"/>
      <c r="AI718" s="228"/>
      <c r="AJ718" s="52"/>
      <c r="AK718" s="99"/>
      <c r="AL718" s="53"/>
      <c r="AM718" s="228"/>
      <c r="AN718" s="52"/>
      <c r="AO718" s="99"/>
      <c r="AP718" s="53"/>
      <c r="AQ718" s="50">
        <f t="shared" si="301"/>
        <v>0</v>
      </c>
      <c r="AR718" s="163">
        <f t="shared" si="302"/>
        <v>0.64499659632402995</v>
      </c>
      <c r="AS718" s="97">
        <f t="shared" si="303"/>
        <v>0</v>
      </c>
      <c r="AT718" s="278">
        <f t="shared" si="304"/>
        <v>0.65676679041511976</v>
      </c>
      <c r="AU718" s="55"/>
      <c r="AV718" s="277"/>
      <c r="AW718" s="279">
        <v>13</v>
      </c>
      <c r="AX718" s="52">
        <v>461</v>
      </c>
      <c r="AY718" s="105">
        <v>13</v>
      </c>
      <c r="AZ718" s="53">
        <v>475</v>
      </c>
      <c r="BA718" s="279">
        <v>52</v>
      </c>
      <c r="BB718" s="52">
        <v>215</v>
      </c>
      <c r="BC718" s="105">
        <v>52</v>
      </c>
      <c r="BD718" s="98">
        <v>210</v>
      </c>
      <c r="BE718" s="279">
        <v>51</v>
      </c>
      <c r="BF718" s="52">
        <v>177</v>
      </c>
      <c r="BG718" s="105">
        <v>51</v>
      </c>
      <c r="BH718" s="98">
        <v>153</v>
      </c>
      <c r="BI718" s="279">
        <v>44</v>
      </c>
      <c r="BJ718" s="52">
        <v>173</v>
      </c>
      <c r="BK718" s="105">
        <v>44</v>
      </c>
      <c r="BL718" s="98">
        <v>148</v>
      </c>
      <c r="BM718" s="279">
        <v>14</v>
      </c>
      <c r="BN718" s="52">
        <v>115</v>
      </c>
      <c r="BO718" s="105">
        <v>14</v>
      </c>
      <c r="BP718" s="53">
        <v>142</v>
      </c>
      <c r="BQ718" s="279">
        <v>9</v>
      </c>
      <c r="BR718" s="52">
        <v>104</v>
      </c>
      <c r="BS718" s="559" t="s">
        <v>734</v>
      </c>
      <c r="BT718" s="53">
        <v>112</v>
      </c>
      <c r="BU718" s="279">
        <v>1</v>
      </c>
      <c r="BV718" s="52">
        <v>39</v>
      </c>
      <c r="BW718" s="559" t="s">
        <v>742</v>
      </c>
      <c r="BX718" s="53">
        <v>36</v>
      </c>
      <c r="BY718" s="279">
        <v>16</v>
      </c>
      <c r="BZ718" s="52">
        <v>31</v>
      </c>
      <c r="CA718" s="105">
        <v>16</v>
      </c>
      <c r="CB718" s="53">
        <v>27</v>
      </c>
      <c r="CC718" s="279">
        <v>50</v>
      </c>
      <c r="CD718" s="52">
        <v>30</v>
      </c>
      <c r="CE718" s="105">
        <v>27</v>
      </c>
      <c r="CF718" s="98">
        <v>26</v>
      </c>
      <c r="CG718" s="279">
        <v>23</v>
      </c>
      <c r="CH718" s="52">
        <v>25</v>
      </c>
      <c r="CI718" s="105">
        <v>45</v>
      </c>
      <c r="CJ718" s="98">
        <v>25</v>
      </c>
      <c r="CK718" s="281"/>
      <c r="CL718" s="277"/>
      <c r="CM718" s="159">
        <v>157</v>
      </c>
      <c r="CN718" s="277">
        <v>127</v>
      </c>
      <c r="CO718" s="50">
        <f t="shared" si="287"/>
        <v>1527</v>
      </c>
      <c r="CP718" s="103">
        <f t="shared" si="288"/>
        <v>10</v>
      </c>
      <c r="CQ718" s="280">
        <f t="shared" si="289"/>
        <v>1481</v>
      </c>
      <c r="CR718" s="63">
        <f t="shared" si="290"/>
        <v>10</v>
      </c>
      <c r="CS718" s="279">
        <v>51</v>
      </c>
      <c r="CT718" s="52">
        <v>38</v>
      </c>
      <c r="CU718" s="105">
        <v>51</v>
      </c>
      <c r="CV718" s="98">
        <v>42</v>
      </c>
      <c r="CW718" s="279">
        <v>14</v>
      </c>
      <c r="CX718" s="52">
        <v>33</v>
      </c>
      <c r="CY718" s="105">
        <v>13</v>
      </c>
      <c r="CZ718" s="98">
        <v>28</v>
      </c>
      <c r="DA718" s="279">
        <v>13</v>
      </c>
      <c r="DB718" s="52">
        <v>23</v>
      </c>
      <c r="DC718" s="105">
        <v>14</v>
      </c>
      <c r="DD718" s="98">
        <v>23</v>
      </c>
      <c r="DE718" s="279">
        <v>26</v>
      </c>
      <c r="DF718" s="52">
        <v>19</v>
      </c>
      <c r="DG718" s="105">
        <v>40</v>
      </c>
      <c r="DH718" s="98">
        <v>16</v>
      </c>
      <c r="DI718" s="279">
        <v>42</v>
      </c>
      <c r="DJ718" s="52">
        <v>18</v>
      </c>
      <c r="DK718" s="105">
        <v>42</v>
      </c>
      <c r="DL718" s="98">
        <v>12</v>
      </c>
      <c r="DM718" s="279">
        <v>40</v>
      </c>
      <c r="DN718" s="52">
        <v>15</v>
      </c>
      <c r="DO718" s="105">
        <v>26</v>
      </c>
      <c r="DP718" s="98">
        <v>11</v>
      </c>
      <c r="DQ718" s="279">
        <v>3</v>
      </c>
      <c r="DR718" s="52">
        <v>10</v>
      </c>
      <c r="DS718" s="559" t="s">
        <v>751</v>
      </c>
      <c r="DT718" s="98">
        <v>8</v>
      </c>
      <c r="DU718" s="279">
        <v>45</v>
      </c>
      <c r="DV718" s="52">
        <v>9</v>
      </c>
      <c r="DW718" s="105">
        <v>52</v>
      </c>
      <c r="DX718" s="98">
        <v>8</v>
      </c>
      <c r="DY718" s="279">
        <v>52</v>
      </c>
      <c r="DZ718" s="52">
        <v>9</v>
      </c>
      <c r="EA718" s="105">
        <v>23</v>
      </c>
      <c r="EB718" s="98">
        <v>7</v>
      </c>
      <c r="EC718" s="279">
        <v>50</v>
      </c>
      <c r="ED718" s="52">
        <v>8</v>
      </c>
      <c r="EE718" s="105">
        <v>45</v>
      </c>
      <c r="EF718" s="98">
        <v>7</v>
      </c>
      <c r="EG718" s="159">
        <v>22</v>
      </c>
      <c r="EH718" s="277">
        <v>24</v>
      </c>
      <c r="EI718" s="50">
        <f t="shared" si="291"/>
        <v>204</v>
      </c>
      <c r="EJ718" s="103">
        <f t="shared" si="292"/>
        <v>10</v>
      </c>
      <c r="EK718" s="164">
        <f t="shared" si="293"/>
        <v>0.18627450980392157</v>
      </c>
      <c r="EL718" s="280">
        <f t="shared" si="294"/>
        <v>186</v>
      </c>
      <c r="EM718" s="63">
        <f t="shared" si="295"/>
        <v>10</v>
      </c>
      <c r="EN718" s="359">
        <f t="shared" si="296"/>
        <v>0.22580645161290322</v>
      </c>
      <c r="EO718" s="51">
        <f t="shared" si="297"/>
        <v>1731</v>
      </c>
      <c r="EP718" s="361">
        <f t="shared" si="298"/>
        <v>1667</v>
      </c>
      <c r="EQ718" s="281">
        <v>148</v>
      </c>
      <c r="ER718" s="277">
        <v>152</v>
      </c>
      <c r="ES718" s="281">
        <v>87</v>
      </c>
      <c r="ET718" s="277">
        <v>99</v>
      </c>
      <c r="EU718" s="281">
        <v>46</v>
      </c>
      <c r="EV718" s="277">
        <v>43</v>
      </c>
      <c r="EW718" s="281">
        <v>74</v>
      </c>
      <c r="EX718" s="277">
        <v>73</v>
      </c>
      <c r="EY718" s="281"/>
      <c r="EZ718" s="277"/>
      <c r="FA718" s="281"/>
      <c r="FB718" s="277"/>
      <c r="FC718" s="281"/>
      <c r="FD718" s="277"/>
      <c r="FE718" s="281"/>
      <c r="FF718" s="277"/>
      <c r="FG718" s="281"/>
      <c r="FH718" s="277"/>
      <c r="FI718" s="281"/>
      <c r="FJ718" s="277"/>
      <c r="FK718" s="50">
        <f t="shared" si="299"/>
        <v>355</v>
      </c>
      <c r="FL718" s="63">
        <f t="shared" si="283"/>
        <v>367</v>
      </c>
      <c r="FM718" s="50">
        <f t="shared" si="305"/>
        <v>5876</v>
      </c>
      <c r="FN718" s="360">
        <f t="shared" si="306"/>
        <v>5926</v>
      </c>
      <c r="FO718" s="3"/>
      <c r="FP718" s="279"/>
      <c r="FQ718" s="52"/>
      <c r="FR718" s="296"/>
      <c r="FS718" s="98"/>
      <c r="FT718" s="467"/>
      <c r="FU718" s="52"/>
      <c r="FV718" s="296"/>
      <c r="FW718" s="98"/>
      <c r="FX718" s="467"/>
      <c r="FY718" s="52"/>
      <c r="FZ718" s="296"/>
      <c r="GA718" s="98"/>
      <c r="GB718" s="467"/>
      <c r="GC718" s="52"/>
      <c r="GD718" s="296"/>
      <c r="GE718" s="98"/>
      <c r="GF718" s="467"/>
      <c r="GG718" s="52"/>
      <c r="GH718" s="296"/>
      <c r="GI718" s="98"/>
      <c r="GJ718" s="467"/>
      <c r="GK718" s="52"/>
      <c r="GL718" s="296"/>
      <c r="GM718" s="464"/>
      <c r="GN718" s="467"/>
      <c r="GO718" s="52"/>
      <c r="GP718" s="296"/>
      <c r="GQ718" s="464"/>
      <c r="GR718" s="467"/>
      <c r="GS718" s="52"/>
      <c r="GT718" s="296"/>
      <c r="GU718" s="464"/>
      <c r="GV718" s="467"/>
      <c r="GW718" s="52"/>
      <c r="GX718" s="296"/>
      <c r="GY718" s="464"/>
      <c r="GZ718" s="467"/>
      <c r="HA718" s="52"/>
      <c r="HB718" s="296"/>
      <c r="HC718" s="3"/>
    </row>
    <row r="719" spans="1:211" s="86" customFormat="1">
      <c r="A719" s="321" t="s">
        <v>70</v>
      </c>
      <c r="B719" s="322" t="s">
        <v>359</v>
      </c>
      <c r="C719" s="321">
        <v>237525</v>
      </c>
      <c r="D719" s="353">
        <v>3</v>
      </c>
      <c r="E719" s="158"/>
      <c r="F719" s="277"/>
      <c r="G719" s="158"/>
      <c r="H719" s="277"/>
      <c r="I719" s="158">
        <v>100</v>
      </c>
      <c r="J719" s="277">
        <v>111</v>
      </c>
      <c r="K719" s="160">
        <f t="shared" si="284"/>
        <v>6.8965517241379309E-2</v>
      </c>
      <c r="L719" s="161">
        <f t="shared" si="300"/>
        <v>7.9285714285714279E-2</v>
      </c>
      <c r="M719" s="54">
        <v>1450</v>
      </c>
      <c r="N719" s="55">
        <v>159</v>
      </c>
      <c r="O719" s="55"/>
      <c r="P719" s="55"/>
      <c r="Q719" s="162">
        <f t="shared" ref="Q719:Q739" si="307">SUM(N719:P719)</f>
        <v>159</v>
      </c>
      <c r="R719" s="558">
        <v>1400</v>
      </c>
      <c r="S719" s="277">
        <v>149</v>
      </c>
      <c r="T719" s="277"/>
      <c r="U719" s="277"/>
      <c r="V719" s="97">
        <f t="shared" si="286"/>
        <v>149</v>
      </c>
      <c r="W719" s="279"/>
      <c r="X719" s="52"/>
      <c r="Y719" s="99"/>
      <c r="Z719" s="53"/>
      <c r="AA719" s="228"/>
      <c r="AB719" s="52"/>
      <c r="AC719" s="99"/>
      <c r="AD719" s="53"/>
      <c r="AE719" s="228"/>
      <c r="AF719" s="52"/>
      <c r="AG719" s="99"/>
      <c r="AH719" s="53"/>
      <c r="AI719" s="228"/>
      <c r="AJ719" s="52"/>
      <c r="AK719" s="99"/>
      <c r="AL719" s="53"/>
      <c r="AM719" s="228"/>
      <c r="AN719" s="52"/>
      <c r="AO719" s="99"/>
      <c r="AP719" s="53"/>
      <c r="AQ719" s="50">
        <f t="shared" si="301"/>
        <v>0</v>
      </c>
      <c r="AR719" s="163">
        <f t="shared" si="302"/>
        <v>0.58350100603621735</v>
      </c>
      <c r="AS719" s="97">
        <f t="shared" si="303"/>
        <v>0</v>
      </c>
      <c r="AT719" s="278">
        <f t="shared" si="304"/>
        <v>0.56383407168747479</v>
      </c>
      <c r="AU719" s="55"/>
      <c r="AV719" s="277"/>
      <c r="AW719" s="279">
        <v>13</v>
      </c>
      <c r="AX719" s="52">
        <v>400</v>
      </c>
      <c r="AY719" s="105">
        <v>13</v>
      </c>
      <c r="AZ719" s="98">
        <v>403</v>
      </c>
      <c r="BA719" s="279">
        <v>52</v>
      </c>
      <c r="BB719" s="52">
        <v>148</v>
      </c>
      <c r="BC719" s="105">
        <v>52</v>
      </c>
      <c r="BD719" s="98">
        <v>145</v>
      </c>
      <c r="BE719" s="279">
        <v>51</v>
      </c>
      <c r="BF719" s="52">
        <v>101</v>
      </c>
      <c r="BG719" s="105">
        <v>51</v>
      </c>
      <c r="BH719" s="98">
        <v>112</v>
      </c>
      <c r="BI719" s="279">
        <v>42</v>
      </c>
      <c r="BJ719" s="52">
        <v>36</v>
      </c>
      <c r="BK719" s="105">
        <v>42</v>
      </c>
      <c r="BL719" s="98">
        <v>60</v>
      </c>
      <c r="BM719" s="279">
        <v>43</v>
      </c>
      <c r="BN719" s="52">
        <v>27</v>
      </c>
      <c r="BO719" s="105">
        <v>43</v>
      </c>
      <c r="BP719" s="98">
        <v>27</v>
      </c>
      <c r="BQ719" s="279">
        <v>23</v>
      </c>
      <c r="BR719" s="52">
        <v>26</v>
      </c>
      <c r="BS719" s="105">
        <v>11</v>
      </c>
      <c r="BT719" s="98">
        <v>18</v>
      </c>
      <c r="BU719" s="279">
        <v>26</v>
      </c>
      <c r="BV719" s="52">
        <v>16</v>
      </c>
      <c r="BW719" s="105">
        <v>26</v>
      </c>
      <c r="BX719" s="98">
        <v>18</v>
      </c>
      <c r="BY719" s="279">
        <v>45</v>
      </c>
      <c r="BZ719" s="52">
        <v>16</v>
      </c>
      <c r="CA719" s="105">
        <v>23</v>
      </c>
      <c r="CB719" s="98">
        <v>17</v>
      </c>
      <c r="CC719" s="279">
        <v>31</v>
      </c>
      <c r="CD719" s="52">
        <v>15</v>
      </c>
      <c r="CE719" s="105">
        <v>31</v>
      </c>
      <c r="CF719" s="98">
        <v>16</v>
      </c>
      <c r="CG719" s="279">
        <v>40</v>
      </c>
      <c r="CH719" s="52">
        <v>15</v>
      </c>
      <c r="CI719" s="105">
        <v>50</v>
      </c>
      <c r="CJ719" s="98">
        <v>13</v>
      </c>
      <c r="CK719" s="281"/>
      <c r="CL719" s="277"/>
      <c r="CM719" s="159">
        <v>76</v>
      </c>
      <c r="CN719" s="277">
        <v>78</v>
      </c>
      <c r="CO719" s="50">
        <f t="shared" si="287"/>
        <v>876</v>
      </c>
      <c r="CP719" s="103">
        <f t="shared" si="288"/>
        <v>10</v>
      </c>
      <c r="CQ719" s="280">
        <f t="shared" si="289"/>
        <v>907</v>
      </c>
      <c r="CR719" s="63">
        <f t="shared" si="290"/>
        <v>10</v>
      </c>
      <c r="CS719" s="279">
        <v>13</v>
      </c>
      <c r="CT719" s="52">
        <v>12</v>
      </c>
      <c r="CU719" s="105">
        <v>42</v>
      </c>
      <c r="CV719" s="98">
        <v>7</v>
      </c>
      <c r="CW719" s="279">
        <v>42</v>
      </c>
      <c r="CX719" s="52">
        <v>3</v>
      </c>
      <c r="CY719" s="105">
        <v>13</v>
      </c>
      <c r="CZ719" s="98">
        <v>6</v>
      </c>
      <c r="DA719" s="279">
        <v>26</v>
      </c>
      <c r="DB719" s="52">
        <v>2</v>
      </c>
      <c r="DC719" s="105">
        <v>26</v>
      </c>
      <c r="DD719" s="98">
        <v>2</v>
      </c>
      <c r="DE719" s="279"/>
      <c r="DF719" s="52"/>
      <c r="DG719" s="105"/>
      <c r="DH719" s="98"/>
      <c r="DI719" s="279"/>
      <c r="DJ719" s="52"/>
      <c r="DK719" s="105"/>
      <c r="DL719" s="98"/>
      <c r="DM719" s="279"/>
      <c r="DN719" s="52"/>
      <c r="DO719" s="105"/>
      <c r="DP719" s="98"/>
      <c r="DQ719" s="279"/>
      <c r="DR719" s="52"/>
      <c r="DS719" s="105"/>
      <c r="DT719" s="98"/>
      <c r="DU719" s="279"/>
      <c r="DV719" s="52"/>
      <c r="DW719" s="105"/>
      <c r="DX719" s="98"/>
      <c r="DY719" s="279"/>
      <c r="DZ719" s="52"/>
      <c r="EA719" s="105"/>
      <c r="EB719" s="98"/>
      <c r="EC719" s="279"/>
      <c r="ED719" s="52"/>
      <c r="EE719" s="105"/>
      <c r="EF719" s="98"/>
      <c r="EG719" s="159"/>
      <c r="EH719" s="277">
        <v>0</v>
      </c>
      <c r="EI719" s="50">
        <f t="shared" si="291"/>
        <v>17</v>
      </c>
      <c r="EJ719" s="103">
        <f t="shared" si="292"/>
        <v>3</v>
      </c>
      <c r="EK719" s="164">
        <f t="shared" si="293"/>
        <v>0.70588235294117652</v>
      </c>
      <c r="EL719" s="280">
        <f t="shared" si="294"/>
        <v>15</v>
      </c>
      <c r="EM719" s="63">
        <f t="shared" si="295"/>
        <v>3</v>
      </c>
      <c r="EN719" s="359">
        <f t="shared" si="296"/>
        <v>0.46666666666666667</v>
      </c>
      <c r="EO719" s="51">
        <f t="shared" si="297"/>
        <v>893</v>
      </c>
      <c r="EP719" s="361">
        <f t="shared" si="298"/>
        <v>922</v>
      </c>
      <c r="EQ719" s="281"/>
      <c r="ER719" s="277"/>
      <c r="ES719" s="281">
        <v>42</v>
      </c>
      <c r="ET719" s="277">
        <v>50</v>
      </c>
      <c r="EU719" s="281"/>
      <c r="EV719" s="277"/>
      <c r="EW719" s="281"/>
      <c r="EX719" s="277"/>
      <c r="EY719" s="281"/>
      <c r="EZ719" s="277"/>
      <c r="FA719" s="281"/>
      <c r="FB719" s="277"/>
      <c r="FC719" s="281"/>
      <c r="FD719" s="277"/>
      <c r="FE719" s="281"/>
      <c r="FF719" s="277"/>
      <c r="FG719" s="281"/>
      <c r="FH719" s="277"/>
      <c r="FI719" s="281"/>
      <c r="FJ719" s="277"/>
      <c r="FK719" s="50">
        <f t="shared" si="299"/>
        <v>42</v>
      </c>
      <c r="FL719" s="63">
        <f t="shared" si="283"/>
        <v>50</v>
      </c>
      <c r="FM719" s="50">
        <f t="shared" si="305"/>
        <v>2485</v>
      </c>
      <c r="FN719" s="360">
        <f t="shared" si="306"/>
        <v>2483</v>
      </c>
      <c r="FO719" s="3"/>
      <c r="FP719" s="279"/>
      <c r="FQ719" s="52"/>
      <c r="FR719" s="296"/>
      <c r="FS719" s="98"/>
      <c r="FT719" s="467"/>
      <c r="FU719" s="52"/>
      <c r="FV719" s="296"/>
      <c r="FW719" s="98"/>
      <c r="FX719" s="467"/>
      <c r="FY719" s="52"/>
      <c r="FZ719" s="296"/>
      <c r="GA719" s="98"/>
      <c r="GB719" s="467"/>
      <c r="GC719" s="52"/>
      <c r="GD719" s="296"/>
      <c r="GE719" s="98"/>
      <c r="GF719" s="467"/>
      <c r="GG719" s="52"/>
      <c r="GH719" s="296"/>
      <c r="GI719" s="98"/>
      <c r="GJ719" s="467"/>
      <c r="GK719" s="52"/>
      <c r="GL719" s="296"/>
      <c r="GM719" s="464"/>
      <c r="GN719" s="467"/>
      <c r="GO719" s="52"/>
      <c r="GP719" s="296"/>
      <c r="GQ719" s="464"/>
      <c r="GR719" s="467"/>
      <c r="GS719" s="52"/>
      <c r="GT719" s="296"/>
      <c r="GU719" s="464"/>
      <c r="GV719" s="467"/>
      <c r="GW719" s="52"/>
      <c r="GX719" s="296"/>
      <c r="GY719" s="464"/>
      <c r="GZ719" s="467"/>
      <c r="HA719" s="52"/>
      <c r="HB719" s="296"/>
      <c r="HC719" s="3"/>
    </row>
    <row r="720" spans="1:211" s="86" customFormat="1">
      <c r="A720" s="321" t="s">
        <v>70</v>
      </c>
      <c r="B720" s="322" t="s">
        <v>360</v>
      </c>
      <c r="C720" s="321">
        <v>237215</v>
      </c>
      <c r="D720" s="353">
        <v>6</v>
      </c>
      <c r="E720" s="158"/>
      <c r="F720" s="277"/>
      <c r="G720" s="158"/>
      <c r="H720" s="277"/>
      <c r="I720" s="158">
        <v>86</v>
      </c>
      <c r="J720" s="277">
        <v>92</v>
      </c>
      <c r="K720" s="160">
        <f t="shared" si="284"/>
        <v>0.39090909090909093</v>
      </c>
      <c r="L720" s="161">
        <f t="shared" si="300"/>
        <v>0.44444444444444442</v>
      </c>
      <c r="M720" s="54">
        <v>220</v>
      </c>
      <c r="N720" s="55">
        <v>31</v>
      </c>
      <c r="O720" s="55"/>
      <c r="P720" s="55"/>
      <c r="Q720" s="162">
        <f t="shared" si="307"/>
        <v>31</v>
      </c>
      <c r="R720" s="558">
        <v>207</v>
      </c>
      <c r="S720" s="277">
        <v>24</v>
      </c>
      <c r="T720" s="277"/>
      <c r="U720" s="277"/>
      <c r="V720" s="97">
        <f t="shared" si="286"/>
        <v>24</v>
      </c>
      <c r="W720" s="279"/>
      <c r="X720" s="52"/>
      <c r="Y720" s="99"/>
      <c r="Z720" s="53"/>
      <c r="AA720" s="228"/>
      <c r="AB720" s="52"/>
      <c r="AC720" s="99"/>
      <c r="AD720" s="53"/>
      <c r="AE720" s="228"/>
      <c r="AF720" s="52"/>
      <c r="AG720" s="99"/>
      <c r="AH720" s="53"/>
      <c r="AI720" s="228"/>
      <c r="AJ720" s="52"/>
      <c r="AK720" s="99"/>
      <c r="AL720" s="53"/>
      <c r="AM720" s="228"/>
      <c r="AN720" s="52"/>
      <c r="AO720" s="99"/>
      <c r="AP720" s="53"/>
      <c r="AQ720" s="50">
        <f t="shared" si="301"/>
        <v>0</v>
      </c>
      <c r="AR720" s="163">
        <f t="shared" si="302"/>
        <v>0.71895424836601307</v>
      </c>
      <c r="AS720" s="97">
        <f t="shared" si="303"/>
        <v>0</v>
      </c>
      <c r="AT720" s="278">
        <f t="shared" si="304"/>
        <v>0.69230769230769229</v>
      </c>
      <c r="AU720" s="55"/>
      <c r="AV720" s="277"/>
      <c r="AW720" s="279"/>
      <c r="AX720" s="52"/>
      <c r="AY720" s="105"/>
      <c r="AZ720" s="98"/>
      <c r="BA720" s="279"/>
      <c r="BB720" s="52"/>
      <c r="BC720" s="105"/>
      <c r="BD720" s="98"/>
      <c r="BE720" s="279"/>
      <c r="BF720" s="52"/>
      <c r="BG720" s="105"/>
      <c r="BH720" s="98"/>
      <c r="BI720" s="279"/>
      <c r="BJ720" s="52"/>
      <c r="BK720" s="105"/>
      <c r="BL720" s="98"/>
      <c r="BM720" s="279"/>
      <c r="BN720" s="52"/>
      <c r="BO720" s="105"/>
      <c r="BP720" s="98"/>
      <c r="BQ720" s="279"/>
      <c r="BR720" s="52"/>
      <c r="BS720" s="105"/>
      <c r="BT720" s="98"/>
      <c r="BU720" s="279"/>
      <c r="BV720" s="52"/>
      <c r="BW720" s="105"/>
      <c r="BX720" s="98"/>
      <c r="BY720" s="279"/>
      <c r="BZ720" s="52"/>
      <c r="CA720" s="105"/>
      <c r="CB720" s="98"/>
      <c r="CC720" s="279"/>
      <c r="CD720" s="52"/>
      <c r="CE720" s="105"/>
      <c r="CF720" s="98"/>
      <c r="CG720" s="279"/>
      <c r="CH720" s="52"/>
      <c r="CI720" s="105"/>
      <c r="CJ720" s="98"/>
      <c r="CK720" s="281"/>
      <c r="CL720" s="277"/>
      <c r="CM720" s="159"/>
      <c r="CN720" s="277"/>
      <c r="CO720" s="50">
        <f t="shared" si="287"/>
        <v>0</v>
      </c>
      <c r="CP720" s="103">
        <f t="shared" si="288"/>
        <v>0</v>
      </c>
      <c r="CQ720" s="280">
        <f t="shared" si="289"/>
        <v>0</v>
      </c>
      <c r="CR720" s="63">
        <f t="shared" si="290"/>
        <v>0</v>
      </c>
      <c r="CS720" s="279"/>
      <c r="CT720" s="52"/>
      <c r="CU720" s="105"/>
      <c r="CV720" s="98"/>
      <c r="CW720" s="279"/>
      <c r="CX720" s="52"/>
      <c r="CY720" s="105"/>
      <c r="CZ720" s="98"/>
      <c r="DA720" s="279"/>
      <c r="DB720" s="52"/>
      <c r="DC720" s="105"/>
      <c r="DD720" s="98"/>
      <c r="DE720" s="279"/>
      <c r="DF720" s="52"/>
      <c r="DG720" s="105"/>
      <c r="DH720" s="98"/>
      <c r="DI720" s="279"/>
      <c r="DJ720" s="52"/>
      <c r="DK720" s="105"/>
      <c r="DL720" s="98"/>
      <c r="DM720" s="279"/>
      <c r="DN720" s="52"/>
      <c r="DO720" s="105"/>
      <c r="DP720" s="98"/>
      <c r="DQ720" s="279"/>
      <c r="DR720" s="52"/>
      <c r="DS720" s="105"/>
      <c r="DT720" s="98"/>
      <c r="DU720" s="279"/>
      <c r="DV720" s="52"/>
      <c r="DW720" s="105"/>
      <c r="DX720" s="98"/>
      <c r="DY720" s="279"/>
      <c r="DZ720" s="52"/>
      <c r="EA720" s="105"/>
      <c r="EB720" s="98"/>
      <c r="EC720" s="279"/>
      <c r="ED720" s="52"/>
      <c r="EE720" s="105"/>
      <c r="EF720" s="98"/>
      <c r="EG720" s="159"/>
      <c r="EH720" s="277"/>
      <c r="EI720" s="50">
        <f t="shared" si="291"/>
        <v>0</v>
      </c>
      <c r="EJ720" s="103">
        <f t="shared" si="292"/>
        <v>0</v>
      </c>
      <c r="EK720" s="164">
        <f t="shared" si="293"/>
        <v>0</v>
      </c>
      <c r="EL720" s="280">
        <f t="shared" si="294"/>
        <v>0</v>
      </c>
      <c r="EM720" s="63">
        <f t="shared" si="295"/>
        <v>0</v>
      </c>
      <c r="EN720" s="359">
        <f t="shared" si="296"/>
        <v>0</v>
      </c>
      <c r="EO720" s="51">
        <f t="shared" si="297"/>
        <v>0</v>
      </c>
      <c r="EP720" s="361">
        <f t="shared" si="298"/>
        <v>0</v>
      </c>
      <c r="EQ720" s="281"/>
      <c r="ER720" s="277"/>
      <c r="ES720" s="281"/>
      <c r="ET720" s="277"/>
      <c r="EU720" s="281"/>
      <c r="EV720" s="277"/>
      <c r="EW720" s="281"/>
      <c r="EX720" s="277"/>
      <c r="EY720" s="281"/>
      <c r="EZ720" s="277"/>
      <c r="FA720" s="281"/>
      <c r="FB720" s="277"/>
      <c r="FC720" s="281"/>
      <c r="FD720" s="277"/>
      <c r="FE720" s="281"/>
      <c r="FF720" s="277"/>
      <c r="FG720" s="281"/>
      <c r="FH720" s="277"/>
      <c r="FI720" s="281"/>
      <c r="FJ720" s="277"/>
      <c r="FK720" s="50">
        <f t="shared" si="299"/>
        <v>0</v>
      </c>
      <c r="FL720" s="63">
        <f t="shared" si="283"/>
        <v>0</v>
      </c>
      <c r="FM720" s="50">
        <f t="shared" si="305"/>
        <v>306</v>
      </c>
      <c r="FN720" s="360">
        <f t="shared" si="306"/>
        <v>299</v>
      </c>
      <c r="FO720" s="3"/>
      <c r="FP720" s="279"/>
      <c r="FQ720" s="52"/>
      <c r="FR720" s="296"/>
      <c r="FS720" s="98"/>
      <c r="FT720" s="467"/>
      <c r="FU720" s="52"/>
      <c r="FV720" s="296"/>
      <c r="FW720" s="98"/>
      <c r="FX720" s="467"/>
      <c r="FY720" s="52"/>
      <c r="FZ720" s="296"/>
      <c r="GA720" s="98"/>
      <c r="GB720" s="467"/>
      <c r="GC720" s="52"/>
      <c r="GD720" s="296"/>
      <c r="GE720" s="98"/>
      <c r="GF720" s="467"/>
      <c r="GG720" s="52"/>
      <c r="GH720" s="296"/>
      <c r="GI720" s="98"/>
      <c r="GJ720" s="467"/>
      <c r="GK720" s="52"/>
      <c r="GL720" s="296"/>
      <c r="GM720" s="464"/>
      <c r="GN720" s="467"/>
      <c r="GO720" s="52"/>
      <c r="GP720" s="296"/>
      <c r="GQ720" s="464"/>
      <c r="GR720" s="467"/>
      <c r="GS720" s="52"/>
      <c r="GT720" s="296"/>
      <c r="GU720" s="464"/>
      <c r="GV720" s="467"/>
      <c r="GW720" s="52"/>
      <c r="GX720" s="296"/>
      <c r="GY720" s="464"/>
      <c r="GZ720" s="467"/>
      <c r="HA720" s="52"/>
      <c r="HB720" s="296"/>
      <c r="HC720" s="3"/>
    </row>
    <row r="721" spans="1:211" s="86" customFormat="1">
      <c r="A721" s="321" t="s">
        <v>70</v>
      </c>
      <c r="B721" s="322" t="s">
        <v>361</v>
      </c>
      <c r="C721" s="321">
        <v>237330</v>
      </c>
      <c r="D721" s="353">
        <v>6</v>
      </c>
      <c r="E721" s="158"/>
      <c r="F721" s="277"/>
      <c r="G721" s="158"/>
      <c r="H721" s="277"/>
      <c r="I721" s="158">
        <v>2</v>
      </c>
      <c r="J721" s="277">
        <v>1</v>
      </c>
      <c r="K721" s="160">
        <f t="shared" si="284"/>
        <v>5.7142857142857143E-3</v>
      </c>
      <c r="L721" s="161">
        <f t="shared" si="300"/>
        <v>2.5000000000000001E-3</v>
      </c>
      <c r="M721" s="54">
        <v>350</v>
      </c>
      <c r="N721" s="55">
        <v>65</v>
      </c>
      <c r="O721" s="55"/>
      <c r="P721" s="55"/>
      <c r="Q721" s="162">
        <f t="shared" si="307"/>
        <v>65</v>
      </c>
      <c r="R721" s="558">
        <v>400</v>
      </c>
      <c r="S721" s="277">
        <v>102</v>
      </c>
      <c r="T721" s="277"/>
      <c r="U721" s="277"/>
      <c r="V721" s="97">
        <f t="shared" si="286"/>
        <v>102</v>
      </c>
      <c r="W721" s="279"/>
      <c r="X721" s="52"/>
      <c r="Y721" s="99"/>
      <c r="Z721" s="53"/>
      <c r="AA721" s="228"/>
      <c r="AB721" s="52"/>
      <c r="AC721" s="99"/>
      <c r="AD721" s="53"/>
      <c r="AE721" s="228"/>
      <c r="AF721" s="52"/>
      <c r="AG721" s="99"/>
      <c r="AH721" s="53"/>
      <c r="AI721" s="228"/>
      <c r="AJ721" s="52"/>
      <c r="AK721" s="99"/>
      <c r="AL721" s="53"/>
      <c r="AM721" s="228"/>
      <c r="AN721" s="52"/>
      <c r="AO721" s="99"/>
      <c r="AP721" s="53"/>
      <c r="AQ721" s="50">
        <f t="shared" si="301"/>
        <v>0</v>
      </c>
      <c r="AR721" s="163">
        <f t="shared" si="302"/>
        <v>0.92348284960422167</v>
      </c>
      <c r="AS721" s="97">
        <f t="shared" si="303"/>
        <v>0</v>
      </c>
      <c r="AT721" s="278">
        <f t="shared" si="304"/>
        <v>0.94117647058823528</v>
      </c>
      <c r="AU721" s="55"/>
      <c r="AV721" s="277"/>
      <c r="AW721" s="279">
        <v>13</v>
      </c>
      <c r="AX721" s="52">
        <v>27</v>
      </c>
      <c r="AY721" s="105">
        <v>13</v>
      </c>
      <c r="AZ721" s="98">
        <v>24</v>
      </c>
      <c r="BA721" s="279"/>
      <c r="BB721" s="52"/>
      <c r="BC721" s="105"/>
      <c r="BD721" s="98"/>
      <c r="BE721" s="279"/>
      <c r="BF721" s="52"/>
      <c r="BG721" s="105"/>
      <c r="BH721" s="98"/>
      <c r="BI721" s="279"/>
      <c r="BJ721" s="52"/>
      <c r="BK721" s="105"/>
      <c r="BL721" s="98"/>
      <c r="BM721" s="279"/>
      <c r="BN721" s="52"/>
      <c r="BO721" s="105"/>
      <c r="BP721" s="98"/>
      <c r="BQ721" s="279"/>
      <c r="BR721" s="52"/>
      <c r="BS721" s="105"/>
      <c r="BT721" s="98"/>
      <c r="BU721" s="279"/>
      <c r="BV721" s="52"/>
      <c r="BW721" s="105"/>
      <c r="BX721" s="98"/>
      <c r="BY721" s="279"/>
      <c r="BZ721" s="52"/>
      <c r="CA721" s="105"/>
      <c r="CB721" s="98"/>
      <c r="CC721" s="279"/>
      <c r="CD721" s="52"/>
      <c r="CE721" s="105"/>
      <c r="CF721" s="98"/>
      <c r="CG721" s="279"/>
      <c r="CH721" s="52"/>
      <c r="CI721" s="105"/>
      <c r="CJ721" s="98"/>
      <c r="CK721" s="281"/>
      <c r="CL721" s="277"/>
      <c r="CM721" s="159"/>
      <c r="CN721" s="277">
        <v>0</v>
      </c>
      <c r="CO721" s="50">
        <f t="shared" si="287"/>
        <v>27</v>
      </c>
      <c r="CP721" s="103">
        <f t="shared" si="288"/>
        <v>1</v>
      </c>
      <c r="CQ721" s="280">
        <f t="shared" si="289"/>
        <v>24</v>
      </c>
      <c r="CR721" s="63">
        <f t="shared" si="290"/>
        <v>1</v>
      </c>
      <c r="CS721" s="279"/>
      <c r="CT721" s="52"/>
      <c r="CU721" s="105"/>
      <c r="CV721" s="98"/>
      <c r="CW721" s="279"/>
      <c r="CX721" s="52"/>
      <c r="CY721" s="105"/>
      <c r="CZ721" s="98"/>
      <c r="DA721" s="279"/>
      <c r="DB721" s="52"/>
      <c r="DC721" s="105"/>
      <c r="DD721" s="98"/>
      <c r="DE721" s="279"/>
      <c r="DF721" s="52"/>
      <c r="DG721" s="105"/>
      <c r="DH721" s="98"/>
      <c r="DI721" s="279"/>
      <c r="DJ721" s="52"/>
      <c r="DK721" s="105"/>
      <c r="DL721" s="98"/>
      <c r="DM721" s="279"/>
      <c r="DN721" s="52"/>
      <c r="DO721" s="105"/>
      <c r="DP721" s="98"/>
      <c r="DQ721" s="279"/>
      <c r="DR721" s="52"/>
      <c r="DS721" s="105"/>
      <c r="DT721" s="98"/>
      <c r="DU721" s="279"/>
      <c r="DV721" s="52"/>
      <c r="DW721" s="105"/>
      <c r="DX721" s="98"/>
      <c r="DY721" s="279"/>
      <c r="DZ721" s="52"/>
      <c r="EA721" s="105"/>
      <c r="EB721" s="98"/>
      <c r="EC721" s="279"/>
      <c r="ED721" s="52"/>
      <c r="EE721" s="105"/>
      <c r="EF721" s="98"/>
      <c r="EG721" s="159"/>
      <c r="EH721" s="277"/>
      <c r="EI721" s="50">
        <f t="shared" si="291"/>
        <v>0</v>
      </c>
      <c r="EJ721" s="103">
        <f t="shared" si="292"/>
        <v>0</v>
      </c>
      <c r="EK721" s="164">
        <f t="shared" si="293"/>
        <v>0</v>
      </c>
      <c r="EL721" s="280">
        <f t="shared" si="294"/>
        <v>0</v>
      </c>
      <c r="EM721" s="63">
        <f t="shared" si="295"/>
        <v>0</v>
      </c>
      <c r="EN721" s="359">
        <f t="shared" si="296"/>
        <v>0</v>
      </c>
      <c r="EO721" s="51">
        <f t="shared" si="297"/>
        <v>27</v>
      </c>
      <c r="EP721" s="361">
        <f t="shared" si="298"/>
        <v>24</v>
      </c>
      <c r="EQ721" s="281"/>
      <c r="ER721" s="277"/>
      <c r="ES721" s="281"/>
      <c r="ET721" s="277"/>
      <c r="EU721" s="281"/>
      <c r="EV721" s="277"/>
      <c r="EW721" s="281"/>
      <c r="EX721" s="277"/>
      <c r="EY721" s="281"/>
      <c r="EZ721" s="277"/>
      <c r="FA721" s="281"/>
      <c r="FB721" s="277"/>
      <c r="FC721" s="281"/>
      <c r="FD721" s="277"/>
      <c r="FE721" s="281"/>
      <c r="FF721" s="277"/>
      <c r="FG721" s="281"/>
      <c r="FH721" s="277"/>
      <c r="FI721" s="281"/>
      <c r="FJ721" s="277"/>
      <c r="FK721" s="50">
        <f t="shared" si="299"/>
        <v>0</v>
      </c>
      <c r="FL721" s="63">
        <f t="shared" si="283"/>
        <v>0</v>
      </c>
      <c r="FM721" s="50">
        <f t="shared" si="305"/>
        <v>379</v>
      </c>
      <c r="FN721" s="360">
        <f t="shared" si="306"/>
        <v>425</v>
      </c>
      <c r="FO721" s="3"/>
      <c r="FP721" s="279"/>
      <c r="FQ721" s="52"/>
      <c r="FR721" s="296"/>
      <c r="FS721" s="98"/>
      <c r="FT721" s="467"/>
      <c r="FU721" s="52"/>
      <c r="FV721" s="296"/>
      <c r="FW721" s="98"/>
      <c r="FX721" s="467"/>
      <c r="FY721" s="52"/>
      <c r="FZ721" s="296"/>
      <c r="GA721" s="98"/>
      <c r="GB721" s="467"/>
      <c r="GC721" s="52"/>
      <c r="GD721" s="296"/>
      <c r="GE721" s="98"/>
      <c r="GF721" s="467"/>
      <c r="GG721" s="52"/>
      <c r="GH721" s="296"/>
      <c r="GI721" s="98"/>
      <c r="GJ721" s="467"/>
      <c r="GK721" s="52"/>
      <c r="GL721" s="296"/>
      <c r="GM721" s="464"/>
      <c r="GN721" s="467"/>
      <c r="GO721" s="52"/>
      <c r="GP721" s="296"/>
      <c r="GQ721" s="464"/>
      <c r="GR721" s="467"/>
      <c r="GS721" s="52"/>
      <c r="GT721" s="296"/>
      <c r="GU721" s="464"/>
      <c r="GV721" s="467"/>
      <c r="GW721" s="52"/>
      <c r="GX721" s="296"/>
      <c r="GY721" s="464"/>
      <c r="GZ721" s="467"/>
      <c r="HA721" s="52"/>
      <c r="HB721" s="296"/>
      <c r="HC721" s="3"/>
    </row>
    <row r="722" spans="1:211" s="86" customFormat="1">
      <c r="A722" s="321" t="s">
        <v>70</v>
      </c>
      <c r="B722" s="560" t="s">
        <v>362</v>
      </c>
      <c r="C722" s="561">
        <v>237367</v>
      </c>
      <c r="D722" s="562">
        <v>5</v>
      </c>
      <c r="E722" s="158"/>
      <c r="F722" s="277"/>
      <c r="G722" s="158"/>
      <c r="H722" s="277"/>
      <c r="I722" s="158">
        <v>78</v>
      </c>
      <c r="J722" s="277">
        <v>107</v>
      </c>
      <c r="K722" s="160">
        <f t="shared" si="284"/>
        <v>0.11624441132637854</v>
      </c>
      <c r="L722" s="161">
        <f t="shared" si="300"/>
        <v>0.16589147286821707</v>
      </c>
      <c r="M722" s="54">
        <v>671</v>
      </c>
      <c r="N722" s="55">
        <v>106</v>
      </c>
      <c r="O722" s="55"/>
      <c r="P722" s="55"/>
      <c r="Q722" s="162">
        <f t="shared" si="307"/>
        <v>106</v>
      </c>
      <c r="R722" s="558">
        <v>645</v>
      </c>
      <c r="S722" s="277">
        <v>76</v>
      </c>
      <c r="T722" s="277"/>
      <c r="U722" s="277"/>
      <c r="V722" s="97">
        <f t="shared" si="286"/>
        <v>76</v>
      </c>
      <c r="W722" s="279"/>
      <c r="X722" s="52"/>
      <c r="Y722" s="99"/>
      <c r="Z722" s="53"/>
      <c r="AA722" s="228"/>
      <c r="AB722" s="52"/>
      <c r="AC722" s="99"/>
      <c r="AD722" s="53"/>
      <c r="AE722" s="228"/>
      <c r="AF722" s="52"/>
      <c r="AG722" s="99"/>
      <c r="AH722" s="53"/>
      <c r="AI722" s="228"/>
      <c r="AJ722" s="52"/>
      <c r="AK722" s="99"/>
      <c r="AL722" s="53"/>
      <c r="AM722" s="228"/>
      <c r="AN722" s="52"/>
      <c r="AO722" s="99"/>
      <c r="AP722" s="53"/>
      <c r="AQ722" s="50">
        <f t="shared" si="301"/>
        <v>0</v>
      </c>
      <c r="AR722" s="163">
        <f t="shared" si="302"/>
        <v>0.82432432432432434</v>
      </c>
      <c r="AS722" s="97">
        <f t="shared" si="303"/>
        <v>0</v>
      </c>
      <c r="AT722" s="278">
        <f t="shared" si="304"/>
        <v>0.77060931899641572</v>
      </c>
      <c r="AU722" s="55"/>
      <c r="AV722" s="277"/>
      <c r="AW722" s="279">
        <v>13</v>
      </c>
      <c r="AX722" s="52">
        <v>51</v>
      </c>
      <c r="AY722" s="105">
        <v>13</v>
      </c>
      <c r="AZ722" s="98">
        <v>55</v>
      </c>
      <c r="BA722" s="279">
        <v>52</v>
      </c>
      <c r="BB722" s="52">
        <v>10</v>
      </c>
      <c r="BC722" s="105">
        <v>52</v>
      </c>
      <c r="BD722" s="98">
        <v>22</v>
      </c>
      <c r="BE722" s="279">
        <v>43</v>
      </c>
      <c r="BF722" s="52">
        <v>4</v>
      </c>
      <c r="BG722" s="105">
        <v>43</v>
      </c>
      <c r="BH722" s="98">
        <v>6</v>
      </c>
      <c r="BI722" s="279"/>
      <c r="BJ722" s="52"/>
      <c r="BK722" s="105">
        <v>44</v>
      </c>
      <c r="BL722" s="98">
        <v>2</v>
      </c>
      <c r="BM722" s="279"/>
      <c r="BN722" s="52"/>
      <c r="BO722" s="105"/>
      <c r="BP722" s="98"/>
      <c r="BQ722" s="279"/>
      <c r="BR722" s="52"/>
      <c r="BS722" s="105"/>
      <c r="BT722" s="98"/>
      <c r="BU722" s="279"/>
      <c r="BV722" s="52"/>
      <c r="BW722" s="105"/>
      <c r="BX722" s="98"/>
      <c r="BY722" s="279"/>
      <c r="BZ722" s="52"/>
      <c r="CA722" s="105"/>
      <c r="CB722" s="98"/>
      <c r="CC722" s="279"/>
      <c r="CD722" s="52"/>
      <c r="CE722" s="105"/>
      <c r="CF722" s="98"/>
      <c r="CG722" s="279"/>
      <c r="CH722" s="52"/>
      <c r="CI722" s="105"/>
      <c r="CJ722" s="98"/>
      <c r="CK722" s="281"/>
      <c r="CL722" s="277"/>
      <c r="CM722" s="159"/>
      <c r="CN722" s="277">
        <v>0</v>
      </c>
      <c r="CO722" s="50">
        <f t="shared" si="287"/>
        <v>65</v>
      </c>
      <c r="CP722" s="103">
        <f t="shared" si="288"/>
        <v>3</v>
      </c>
      <c r="CQ722" s="280">
        <f t="shared" si="289"/>
        <v>85</v>
      </c>
      <c r="CR722" s="63">
        <f t="shared" si="290"/>
        <v>4</v>
      </c>
      <c r="CS722" s="279"/>
      <c r="CT722" s="52"/>
      <c r="CU722" s="105"/>
      <c r="CV722" s="98"/>
      <c r="CW722" s="279"/>
      <c r="CX722" s="52"/>
      <c r="CY722" s="105"/>
      <c r="CZ722" s="98"/>
      <c r="DA722" s="279"/>
      <c r="DB722" s="52"/>
      <c r="DC722" s="105"/>
      <c r="DD722" s="98"/>
      <c r="DE722" s="279"/>
      <c r="DF722" s="52"/>
      <c r="DG722" s="105"/>
      <c r="DH722" s="98"/>
      <c r="DI722" s="279"/>
      <c r="DJ722" s="52"/>
      <c r="DK722" s="105"/>
      <c r="DL722" s="98"/>
      <c r="DM722" s="279"/>
      <c r="DN722" s="52"/>
      <c r="DO722" s="105"/>
      <c r="DP722" s="98"/>
      <c r="DQ722" s="279"/>
      <c r="DR722" s="52"/>
      <c r="DS722" s="105"/>
      <c r="DT722" s="98"/>
      <c r="DU722" s="279"/>
      <c r="DV722" s="52"/>
      <c r="DW722" s="105"/>
      <c r="DX722" s="98"/>
      <c r="DY722" s="279"/>
      <c r="DZ722" s="52"/>
      <c r="EA722" s="105"/>
      <c r="EB722" s="98"/>
      <c r="EC722" s="279"/>
      <c r="ED722" s="52"/>
      <c r="EE722" s="105"/>
      <c r="EF722" s="98"/>
      <c r="EG722" s="159"/>
      <c r="EH722" s="277"/>
      <c r="EI722" s="50">
        <f t="shared" si="291"/>
        <v>0</v>
      </c>
      <c r="EJ722" s="103">
        <f t="shared" si="292"/>
        <v>0</v>
      </c>
      <c r="EK722" s="164">
        <f t="shared" si="293"/>
        <v>0</v>
      </c>
      <c r="EL722" s="280">
        <f t="shared" si="294"/>
        <v>0</v>
      </c>
      <c r="EM722" s="63">
        <f t="shared" si="295"/>
        <v>0</v>
      </c>
      <c r="EN722" s="359">
        <f t="shared" si="296"/>
        <v>0</v>
      </c>
      <c r="EO722" s="51">
        <f t="shared" si="297"/>
        <v>65</v>
      </c>
      <c r="EP722" s="361">
        <f t="shared" si="298"/>
        <v>85</v>
      </c>
      <c r="EQ722" s="281"/>
      <c r="ER722" s="277"/>
      <c r="ES722" s="281"/>
      <c r="ET722" s="277"/>
      <c r="EU722" s="281"/>
      <c r="EV722" s="277"/>
      <c r="EW722" s="281"/>
      <c r="EX722" s="277"/>
      <c r="EY722" s="281"/>
      <c r="EZ722" s="277"/>
      <c r="FA722" s="281"/>
      <c r="FB722" s="277"/>
      <c r="FC722" s="281"/>
      <c r="FD722" s="277"/>
      <c r="FE722" s="281"/>
      <c r="FF722" s="277"/>
      <c r="FG722" s="281"/>
      <c r="FH722" s="277"/>
      <c r="FI722" s="281"/>
      <c r="FJ722" s="277"/>
      <c r="FK722" s="50">
        <f t="shared" si="299"/>
        <v>0</v>
      </c>
      <c r="FL722" s="63">
        <f t="shared" si="283"/>
        <v>0</v>
      </c>
      <c r="FM722" s="50">
        <f t="shared" si="305"/>
        <v>814</v>
      </c>
      <c r="FN722" s="360">
        <f t="shared" si="306"/>
        <v>837</v>
      </c>
      <c r="FO722" s="3"/>
      <c r="FP722" s="279"/>
      <c r="FQ722" s="52"/>
      <c r="FR722" s="296"/>
      <c r="FS722" s="98"/>
      <c r="FT722" s="467"/>
      <c r="FU722" s="52"/>
      <c r="FV722" s="296"/>
      <c r="FW722" s="98"/>
      <c r="FX722" s="467"/>
      <c r="FY722" s="52"/>
      <c r="FZ722" s="296"/>
      <c r="GA722" s="98"/>
      <c r="GB722" s="467"/>
      <c r="GC722" s="52"/>
      <c r="GD722" s="296"/>
      <c r="GE722" s="98"/>
      <c r="GF722" s="467"/>
      <c r="GG722" s="52"/>
      <c r="GH722" s="296"/>
      <c r="GI722" s="98"/>
      <c r="GJ722" s="467"/>
      <c r="GK722" s="52"/>
      <c r="GL722" s="296"/>
      <c r="GM722" s="464"/>
      <c r="GN722" s="467"/>
      <c r="GO722" s="52"/>
      <c r="GP722" s="296"/>
      <c r="GQ722" s="464"/>
      <c r="GR722" s="467"/>
      <c r="GS722" s="52"/>
      <c r="GT722" s="296"/>
      <c r="GU722" s="464"/>
      <c r="GV722" s="467"/>
      <c r="GW722" s="52"/>
      <c r="GX722" s="296"/>
      <c r="GY722" s="464"/>
      <c r="GZ722" s="467"/>
      <c r="HA722" s="52"/>
      <c r="HB722" s="296"/>
      <c r="HC722" s="3"/>
    </row>
    <row r="723" spans="1:211" s="86" customFormat="1">
      <c r="A723" s="321" t="s">
        <v>70</v>
      </c>
      <c r="B723" s="322" t="s">
        <v>363</v>
      </c>
      <c r="C723" s="321">
        <v>237385</v>
      </c>
      <c r="D723" s="353">
        <v>6</v>
      </c>
      <c r="E723" s="158"/>
      <c r="F723" s="277"/>
      <c r="G723" s="158"/>
      <c r="H723" s="277"/>
      <c r="I723" s="158">
        <v>30</v>
      </c>
      <c r="J723" s="277">
        <v>31</v>
      </c>
      <c r="K723" s="160">
        <f t="shared" si="284"/>
        <v>0.15957446808510639</v>
      </c>
      <c r="L723" s="161">
        <f t="shared" si="300"/>
        <v>0.17816091954022989</v>
      </c>
      <c r="M723" s="54">
        <v>188</v>
      </c>
      <c r="N723" s="55">
        <v>60</v>
      </c>
      <c r="O723" s="55"/>
      <c r="P723" s="55"/>
      <c r="Q723" s="162">
        <f t="shared" si="307"/>
        <v>60</v>
      </c>
      <c r="R723" s="558">
        <v>174</v>
      </c>
      <c r="S723" s="277">
        <v>42</v>
      </c>
      <c r="T723" s="277"/>
      <c r="U723" s="277"/>
      <c r="V723" s="97">
        <f t="shared" si="286"/>
        <v>42</v>
      </c>
      <c r="W723" s="279"/>
      <c r="X723" s="52"/>
      <c r="Y723" s="99"/>
      <c r="Z723" s="53"/>
      <c r="AA723" s="228"/>
      <c r="AB723" s="52"/>
      <c r="AC723" s="99"/>
      <c r="AD723" s="53"/>
      <c r="AE723" s="228"/>
      <c r="AF723" s="52"/>
      <c r="AG723" s="99"/>
      <c r="AH723" s="53"/>
      <c r="AI723" s="228"/>
      <c r="AJ723" s="52"/>
      <c r="AK723" s="99"/>
      <c r="AL723" s="53"/>
      <c r="AM723" s="228"/>
      <c r="AN723" s="52"/>
      <c r="AO723" s="99"/>
      <c r="AP723" s="53"/>
      <c r="AQ723" s="50">
        <f t="shared" si="301"/>
        <v>0</v>
      </c>
      <c r="AR723" s="163">
        <f t="shared" si="302"/>
        <v>0.86238532110091748</v>
      </c>
      <c r="AS723" s="97">
        <f t="shared" si="303"/>
        <v>0</v>
      </c>
      <c r="AT723" s="278">
        <f t="shared" si="304"/>
        <v>0.84878048780487803</v>
      </c>
      <c r="AU723" s="55"/>
      <c r="AV723" s="277"/>
      <c r="AW723" s="279"/>
      <c r="AX723" s="52"/>
      <c r="AY723" s="105"/>
      <c r="AZ723" s="98"/>
      <c r="BA723" s="279"/>
      <c r="BB723" s="52"/>
      <c r="BC723" s="105"/>
      <c r="BD723" s="98"/>
      <c r="BE723" s="279"/>
      <c r="BF723" s="52"/>
      <c r="BG723" s="105"/>
      <c r="BH723" s="98"/>
      <c r="BI723" s="279"/>
      <c r="BJ723" s="52"/>
      <c r="BK723" s="105"/>
      <c r="BL723" s="98"/>
      <c r="BM723" s="279"/>
      <c r="BN723" s="52"/>
      <c r="BO723" s="105"/>
      <c r="BP723" s="98"/>
      <c r="BQ723" s="279"/>
      <c r="BR723" s="52"/>
      <c r="BS723" s="105"/>
      <c r="BT723" s="98"/>
      <c r="BU723" s="279"/>
      <c r="BV723" s="52"/>
      <c r="BW723" s="105"/>
      <c r="BX723" s="98"/>
      <c r="BY723" s="279"/>
      <c r="BZ723" s="52"/>
      <c r="CA723" s="105"/>
      <c r="CB723" s="98"/>
      <c r="CC723" s="279"/>
      <c r="CD723" s="52"/>
      <c r="CE723" s="105"/>
      <c r="CF723" s="98"/>
      <c r="CG723" s="279"/>
      <c r="CH723" s="52"/>
      <c r="CI723" s="105"/>
      <c r="CJ723" s="98"/>
      <c r="CK723" s="281"/>
      <c r="CL723" s="277"/>
      <c r="CM723" s="159"/>
      <c r="CN723" s="277"/>
      <c r="CO723" s="50">
        <f t="shared" si="287"/>
        <v>0</v>
      </c>
      <c r="CP723" s="103">
        <f t="shared" si="288"/>
        <v>0</v>
      </c>
      <c r="CQ723" s="280">
        <f t="shared" si="289"/>
        <v>0</v>
      </c>
      <c r="CR723" s="63">
        <f t="shared" si="290"/>
        <v>0</v>
      </c>
      <c r="CS723" s="279"/>
      <c r="CT723" s="52"/>
      <c r="CU723" s="105"/>
      <c r="CV723" s="98"/>
      <c r="CW723" s="279"/>
      <c r="CX723" s="52"/>
      <c r="CY723" s="105"/>
      <c r="CZ723" s="98"/>
      <c r="DA723" s="279"/>
      <c r="DB723" s="52"/>
      <c r="DC723" s="105"/>
      <c r="DD723" s="98"/>
      <c r="DE723" s="279"/>
      <c r="DF723" s="52"/>
      <c r="DG723" s="105"/>
      <c r="DH723" s="98"/>
      <c r="DI723" s="279"/>
      <c r="DJ723" s="52"/>
      <c r="DK723" s="105"/>
      <c r="DL723" s="98"/>
      <c r="DM723" s="279"/>
      <c r="DN723" s="52"/>
      <c r="DO723" s="105"/>
      <c r="DP723" s="98"/>
      <c r="DQ723" s="279"/>
      <c r="DR723" s="52"/>
      <c r="DS723" s="105"/>
      <c r="DT723" s="98"/>
      <c r="DU723" s="279"/>
      <c r="DV723" s="52"/>
      <c r="DW723" s="105"/>
      <c r="DX723" s="98"/>
      <c r="DY723" s="279"/>
      <c r="DZ723" s="52"/>
      <c r="EA723" s="105"/>
      <c r="EB723" s="98"/>
      <c r="EC723" s="279"/>
      <c r="ED723" s="52"/>
      <c r="EE723" s="105"/>
      <c r="EF723" s="98"/>
      <c r="EG723" s="159"/>
      <c r="EH723" s="277"/>
      <c r="EI723" s="50">
        <f t="shared" si="291"/>
        <v>0</v>
      </c>
      <c r="EJ723" s="103">
        <f t="shared" si="292"/>
        <v>0</v>
      </c>
      <c r="EK723" s="164">
        <f t="shared" si="293"/>
        <v>0</v>
      </c>
      <c r="EL723" s="280">
        <f t="shared" si="294"/>
        <v>0</v>
      </c>
      <c r="EM723" s="63">
        <f t="shared" si="295"/>
        <v>0</v>
      </c>
      <c r="EN723" s="359">
        <f t="shared" si="296"/>
        <v>0</v>
      </c>
      <c r="EO723" s="51">
        <f t="shared" si="297"/>
        <v>0</v>
      </c>
      <c r="EP723" s="361">
        <f t="shared" si="298"/>
        <v>0</v>
      </c>
      <c r="EQ723" s="281"/>
      <c r="ER723" s="277"/>
      <c r="ES723" s="281"/>
      <c r="ET723" s="277"/>
      <c r="EU723" s="281"/>
      <c r="EV723" s="277"/>
      <c r="EW723" s="281"/>
      <c r="EX723" s="277"/>
      <c r="EY723" s="281"/>
      <c r="EZ723" s="277"/>
      <c r="FA723" s="281"/>
      <c r="FB723" s="277"/>
      <c r="FC723" s="281"/>
      <c r="FD723" s="277"/>
      <c r="FE723" s="281"/>
      <c r="FF723" s="277"/>
      <c r="FG723" s="281"/>
      <c r="FH723" s="277"/>
      <c r="FI723" s="281"/>
      <c r="FJ723" s="277"/>
      <c r="FK723" s="50">
        <f t="shared" si="299"/>
        <v>0</v>
      </c>
      <c r="FL723" s="63">
        <f t="shared" si="283"/>
        <v>0</v>
      </c>
      <c r="FM723" s="50">
        <f t="shared" si="305"/>
        <v>218</v>
      </c>
      <c r="FN723" s="360">
        <f t="shared" si="306"/>
        <v>205</v>
      </c>
      <c r="FO723" s="3"/>
      <c r="FP723" s="279"/>
      <c r="FQ723" s="52"/>
      <c r="FR723" s="296"/>
      <c r="FS723" s="98"/>
      <c r="FT723" s="467"/>
      <c r="FU723" s="52"/>
      <c r="FV723" s="296"/>
      <c r="FW723" s="98"/>
      <c r="FX723" s="467"/>
      <c r="FY723" s="52"/>
      <c r="FZ723" s="296"/>
      <c r="GA723" s="98"/>
      <c r="GB723" s="467"/>
      <c r="GC723" s="52"/>
      <c r="GD723" s="296"/>
      <c r="GE723" s="98"/>
      <c r="GF723" s="467"/>
      <c r="GG723" s="52"/>
      <c r="GH723" s="296"/>
      <c r="GI723" s="98"/>
      <c r="GJ723" s="467"/>
      <c r="GK723" s="52"/>
      <c r="GL723" s="296"/>
      <c r="GM723" s="464"/>
      <c r="GN723" s="467"/>
      <c r="GO723" s="52"/>
      <c r="GP723" s="296"/>
      <c r="GQ723" s="464"/>
      <c r="GR723" s="467"/>
      <c r="GS723" s="52"/>
      <c r="GT723" s="296"/>
      <c r="GU723" s="464"/>
      <c r="GV723" s="467"/>
      <c r="GW723" s="52"/>
      <c r="GX723" s="296"/>
      <c r="GY723" s="464"/>
      <c r="GZ723" s="467"/>
      <c r="HA723" s="52"/>
      <c r="HB723" s="296"/>
      <c r="HC723" s="3"/>
    </row>
    <row r="724" spans="1:211" s="86" customFormat="1">
      <c r="A724" s="321" t="s">
        <v>70</v>
      </c>
      <c r="B724" s="322" t="s">
        <v>364</v>
      </c>
      <c r="C724" s="321">
        <v>237792</v>
      </c>
      <c r="D724" s="353">
        <v>6</v>
      </c>
      <c r="E724" s="158"/>
      <c r="F724" s="277"/>
      <c r="G724" s="158"/>
      <c r="H724" s="277"/>
      <c r="I724" s="158"/>
      <c r="J724" s="277"/>
      <c r="K724" s="160">
        <f t="shared" si="284"/>
        <v>0</v>
      </c>
      <c r="L724" s="161">
        <f t="shared" si="300"/>
        <v>0</v>
      </c>
      <c r="M724" s="54">
        <v>642</v>
      </c>
      <c r="N724" s="55">
        <v>85</v>
      </c>
      <c r="O724" s="55"/>
      <c r="P724" s="55"/>
      <c r="Q724" s="162">
        <f t="shared" si="307"/>
        <v>85</v>
      </c>
      <c r="R724" s="558">
        <v>662</v>
      </c>
      <c r="S724" s="277">
        <v>99</v>
      </c>
      <c r="T724" s="277"/>
      <c r="U724" s="277"/>
      <c r="V724" s="97">
        <f t="shared" si="286"/>
        <v>99</v>
      </c>
      <c r="W724" s="279"/>
      <c r="X724" s="52"/>
      <c r="Y724" s="99"/>
      <c r="Z724" s="53"/>
      <c r="AA724" s="228"/>
      <c r="AB724" s="52"/>
      <c r="AC724" s="99"/>
      <c r="AD724" s="53"/>
      <c r="AE724" s="228"/>
      <c r="AF724" s="52"/>
      <c r="AG724" s="99"/>
      <c r="AH724" s="53"/>
      <c r="AI724" s="228"/>
      <c r="AJ724" s="52"/>
      <c r="AK724" s="99"/>
      <c r="AL724" s="53"/>
      <c r="AM724" s="228"/>
      <c r="AN724" s="52"/>
      <c r="AO724" s="99"/>
      <c r="AP724" s="53"/>
      <c r="AQ724" s="50">
        <f t="shared" si="301"/>
        <v>0</v>
      </c>
      <c r="AR724" s="163">
        <f t="shared" si="302"/>
        <v>0.93043478260869561</v>
      </c>
      <c r="AS724" s="97">
        <f t="shared" si="303"/>
        <v>0</v>
      </c>
      <c r="AT724" s="278">
        <f t="shared" si="304"/>
        <v>0.92458100558659218</v>
      </c>
      <c r="AU724" s="55"/>
      <c r="AV724" s="277"/>
      <c r="AW724" s="279">
        <v>52</v>
      </c>
      <c r="AX724" s="52">
        <v>26</v>
      </c>
      <c r="AY724" s="105">
        <v>13</v>
      </c>
      <c r="AZ724" s="98">
        <v>28</v>
      </c>
      <c r="BA724" s="279">
        <v>13</v>
      </c>
      <c r="BB724" s="52">
        <v>22</v>
      </c>
      <c r="BC724" s="105">
        <v>52</v>
      </c>
      <c r="BD724" s="98">
        <v>26</v>
      </c>
      <c r="BE724" s="279"/>
      <c r="BF724" s="52"/>
      <c r="BG724" s="105"/>
      <c r="BH724" s="98"/>
      <c r="BI724" s="279"/>
      <c r="BJ724" s="52"/>
      <c r="BK724" s="105"/>
      <c r="BL724" s="98"/>
      <c r="BM724" s="279"/>
      <c r="BN724" s="52"/>
      <c r="BO724" s="105"/>
      <c r="BP724" s="98"/>
      <c r="BQ724" s="279"/>
      <c r="BR724" s="52"/>
      <c r="BS724" s="105"/>
      <c r="BT724" s="98"/>
      <c r="BU724" s="279"/>
      <c r="BV724" s="52"/>
      <c r="BW724" s="105"/>
      <c r="BX724" s="98"/>
      <c r="BY724" s="279"/>
      <c r="BZ724" s="52"/>
      <c r="CA724" s="105"/>
      <c r="CB724" s="98"/>
      <c r="CC724" s="279"/>
      <c r="CD724" s="52"/>
      <c r="CE724" s="105"/>
      <c r="CF724" s="98"/>
      <c r="CG724" s="279"/>
      <c r="CH724" s="52"/>
      <c r="CI724" s="105"/>
      <c r="CJ724" s="98"/>
      <c r="CK724" s="281"/>
      <c r="CL724" s="277"/>
      <c r="CM724" s="159"/>
      <c r="CN724" s="277">
        <v>0</v>
      </c>
      <c r="CO724" s="50">
        <f t="shared" si="287"/>
        <v>48</v>
      </c>
      <c r="CP724" s="103">
        <f t="shared" si="288"/>
        <v>2</v>
      </c>
      <c r="CQ724" s="280">
        <f t="shared" si="289"/>
        <v>54</v>
      </c>
      <c r="CR724" s="63">
        <f t="shared" si="290"/>
        <v>2</v>
      </c>
      <c r="CS724" s="279"/>
      <c r="CT724" s="52"/>
      <c r="CU724" s="105"/>
      <c r="CV724" s="98"/>
      <c r="CW724" s="279"/>
      <c r="CX724" s="52"/>
      <c r="CY724" s="105"/>
      <c r="CZ724" s="98"/>
      <c r="DA724" s="279"/>
      <c r="DB724" s="52"/>
      <c r="DC724" s="105"/>
      <c r="DD724" s="98"/>
      <c r="DE724" s="279"/>
      <c r="DF724" s="52"/>
      <c r="DG724" s="105"/>
      <c r="DH724" s="98"/>
      <c r="DI724" s="279"/>
      <c r="DJ724" s="52"/>
      <c r="DK724" s="105"/>
      <c r="DL724" s="98"/>
      <c r="DM724" s="279"/>
      <c r="DN724" s="52"/>
      <c r="DO724" s="105"/>
      <c r="DP724" s="98"/>
      <c r="DQ724" s="279"/>
      <c r="DR724" s="52"/>
      <c r="DS724" s="105"/>
      <c r="DT724" s="98"/>
      <c r="DU724" s="279"/>
      <c r="DV724" s="52"/>
      <c r="DW724" s="105"/>
      <c r="DX724" s="98"/>
      <c r="DY724" s="279"/>
      <c r="DZ724" s="52"/>
      <c r="EA724" s="105"/>
      <c r="EB724" s="98"/>
      <c r="EC724" s="279"/>
      <c r="ED724" s="52"/>
      <c r="EE724" s="105"/>
      <c r="EF724" s="98"/>
      <c r="EG724" s="159"/>
      <c r="EH724" s="277"/>
      <c r="EI724" s="50">
        <f t="shared" si="291"/>
        <v>0</v>
      </c>
      <c r="EJ724" s="103">
        <f t="shared" si="292"/>
        <v>0</v>
      </c>
      <c r="EK724" s="164">
        <f t="shared" si="293"/>
        <v>0</v>
      </c>
      <c r="EL724" s="280">
        <f t="shared" si="294"/>
        <v>0</v>
      </c>
      <c r="EM724" s="63">
        <f t="shared" si="295"/>
        <v>0</v>
      </c>
      <c r="EN724" s="359">
        <f t="shared" si="296"/>
        <v>0</v>
      </c>
      <c r="EO724" s="51">
        <f t="shared" si="297"/>
        <v>48</v>
      </c>
      <c r="EP724" s="361">
        <f t="shared" si="298"/>
        <v>54</v>
      </c>
      <c r="EQ724" s="281"/>
      <c r="ER724" s="277"/>
      <c r="ES724" s="281"/>
      <c r="ET724" s="277"/>
      <c r="EU724" s="281"/>
      <c r="EV724" s="277"/>
      <c r="EW724" s="281"/>
      <c r="EX724" s="277"/>
      <c r="EY724" s="281"/>
      <c r="EZ724" s="277"/>
      <c r="FA724" s="281"/>
      <c r="FB724" s="277"/>
      <c r="FC724" s="281"/>
      <c r="FD724" s="277"/>
      <c r="FE724" s="281"/>
      <c r="FF724" s="277"/>
      <c r="FG724" s="281"/>
      <c r="FH724" s="277"/>
      <c r="FI724" s="281"/>
      <c r="FJ724" s="277"/>
      <c r="FK724" s="50">
        <f t="shared" si="299"/>
        <v>0</v>
      </c>
      <c r="FL724" s="63">
        <f t="shared" si="283"/>
        <v>0</v>
      </c>
      <c r="FM724" s="50">
        <f t="shared" si="305"/>
        <v>690</v>
      </c>
      <c r="FN724" s="360">
        <f t="shared" si="306"/>
        <v>716</v>
      </c>
      <c r="FO724" s="3"/>
      <c r="FP724" s="279"/>
      <c r="FQ724" s="52"/>
      <c r="FR724" s="296"/>
      <c r="FS724" s="98"/>
      <c r="FT724" s="467"/>
      <c r="FU724" s="52"/>
      <c r="FV724" s="296"/>
      <c r="FW724" s="98"/>
      <c r="FX724" s="467"/>
      <c r="FY724" s="52"/>
      <c r="FZ724" s="296"/>
      <c r="GA724" s="98"/>
      <c r="GB724" s="467"/>
      <c r="GC724" s="52"/>
      <c r="GD724" s="296"/>
      <c r="GE724" s="98"/>
      <c r="GF724" s="467"/>
      <c r="GG724" s="52"/>
      <c r="GH724" s="296"/>
      <c r="GI724" s="98"/>
      <c r="GJ724" s="467"/>
      <c r="GK724" s="52"/>
      <c r="GL724" s="296"/>
      <c r="GM724" s="464"/>
      <c r="GN724" s="467"/>
      <c r="GO724" s="52"/>
      <c r="GP724" s="296"/>
      <c r="GQ724" s="464"/>
      <c r="GR724" s="467"/>
      <c r="GS724" s="52"/>
      <c r="GT724" s="296"/>
      <c r="GU724" s="464"/>
      <c r="GV724" s="467"/>
      <c r="GW724" s="52"/>
      <c r="GX724" s="296"/>
      <c r="GY724" s="464"/>
      <c r="GZ724" s="467"/>
      <c r="HA724" s="52"/>
      <c r="HB724" s="296"/>
      <c r="HC724" s="3"/>
    </row>
    <row r="725" spans="1:211" s="86" customFormat="1">
      <c r="A725" s="321" t="s">
        <v>70</v>
      </c>
      <c r="B725" s="374" t="s">
        <v>426</v>
      </c>
      <c r="C725" s="321">
        <v>237932</v>
      </c>
      <c r="D725" s="353">
        <v>6</v>
      </c>
      <c r="E725" s="158"/>
      <c r="F725" s="277"/>
      <c r="G725" s="158"/>
      <c r="H725" s="277"/>
      <c r="I725" s="158">
        <v>31</v>
      </c>
      <c r="J725" s="277">
        <v>32</v>
      </c>
      <c r="K725" s="160">
        <f t="shared" si="284"/>
        <v>8.4931506849315067E-2</v>
      </c>
      <c r="L725" s="161">
        <f t="shared" si="300"/>
        <v>9.1428571428571428E-2</v>
      </c>
      <c r="M725" s="54">
        <v>365</v>
      </c>
      <c r="N725" s="55">
        <v>77</v>
      </c>
      <c r="O725" s="55"/>
      <c r="P725" s="55"/>
      <c r="Q725" s="162">
        <f t="shared" si="307"/>
        <v>77</v>
      </c>
      <c r="R725" s="558">
        <v>350</v>
      </c>
      <c r="S725" s="277">
        <v>77</v>
      </c>
      <c r="T725" s="277"/>
      <c r="U725" s="277"/>
      <c r="V725" s="97">
        <f t="shared" si="286"/>
        <v>77</v>
      </c>
      <c r="W725" s="279"/>
      <c r="X725" s="52"/>
      <c r="Y725" s="99"/>
      <c r="Z725" s="53"/>
      <c r="AA725" s="228"/>
      <c r="AB725" s="52"/>
      <c r="AC725" s="99"/>
      <c r="AD725" s="53"/>
      <c r="AE725" s="228"/>
      <c r="AF725" s="52"/>
      <c r="AG725" s="99"/>
      <c r="AH725" s="53"/>
      <c r="AI725" s="228"/>
      <c r="AJ725" s="52"/>
      <c r="AK725" s="99"/>
      <c r="AL725" s="53"/>
      <c r="AM725" s="228"/>
      <c r="AN725" s="52"/>
      <c r="AO725" s="99"/>
      <c r="AP725" s="53"/>
      <c r="AQ725" s="50">
        <f t="shared" si="301"/>
        <v>0</v>
      </c>
      <c r="AR725" s="163">
        <f t="shared" si="302"/>
        <v>0.92171717171717171</v>
      </c>
      <c r="AS725" s="97">
        <f t="shared" si="303"/>
        <v>0</v>
      </c>
      <c r="AT725" s="278">
        <f t="shared" si="304"/>
        <v>0.91623036649214662</v>
      </c>
      <c r="AU725" s="55"/>
      <c r="AV725" s="277"/>
      <c r="AW725" s="279"/>
      <c r="AX725" s="52"/>
      <c r="AY725" s="105"/>
      <c r="AZ725" s="98"/>
      <c r="BA725" s="279"/>
      <c r="BB725" s="52"/>
      <c r="BC725" s="105"/>
      <c r="BD725" s="98"/>
      <c r="BE725" s="279"/>
      <c r="BF725" s="52"/>
      <c r="BG725" s="105"/>
      <c r="BH725" s="98"/>
      <c r="BI725" s="279"/>
      <c r="BJ725" s="52"/>
      <c r="BK725" s="105"/>
      <c r="BL725" s="98"/>
      <c r="BM725" s="279"/>
      <c r="BN725" s="52"/>
      <c r="BO725" s="105"/>
      <c r="BP725" s="98"/>
      <c r="BQ725" s="279"/>
      <c r="BR725" s="52"/>
      <c r="BS725" s="105"/>
      <c r="BT725" s="98"/>
      <c r="BU725" s="279"/>
      <c r="BV725" s="52"/>
      <c r="BW725" s="105"/>
      <c r="BX725" s="98"/>
      <c r="BY725" s="279"/>
      <c r="BZ725" s="52"/>
      <c r="CA725" s="105"/>
      <c r="CB725" s="98"/>
      <c r="CC725" s="279"/>
      <c r="CD725" s="52"/>
      <c r="CE725" s="105"/>
      <c r="CF725" s="98"/>
      <c r="CG725" s="279"/>
      <c r="CH725" s="52"/>
      <c r="CI725" s="105"/>
      <c r="CJ725" s="98"/>
      <c r="CK725" s="281"/>
      <c r="CL725" s="277"/>
      <c r="CM725" s="159"/>
      <c r="CN725" s="277"/>
      <c r="CO725" s="50">
        <f t="shared" si="287"/>
        <v>0</v>
      </c>
      <c r="CP725" s="103">
        <f t="shared" si="288"/>
        <v>0</v>
      </c>
      <c r="CQ725" s="280">
        <f t="shared" si="289"/>
        <v>0</v>
      </c>
      <c r="CR725" s="63">
        <f t="shared" si="290"/>
        <v>0</v>
      </c>
      <c r="CS725" s="279"/>
      <c r="CT725" s="52"/>
      <c r="CU725" s="105"/>
      <c r="CV725" s="98"/>
      <c r="CW725" s="279"/>
      <c r="CX725" s="52"/>
      <c r="CY725" s="105"/>
      <c r="CZ725" s="98"/>
      <c r="DA725" s="279"/>
      <c r="DB725" s="52"/>
      <c r="DC725" s="105"/>
      <c r="DD725" s="98"/>
      <c r="DE725" s="279"/>
      <c r="DF725" s="52"/>
      <c r="DG725" s="105"/>
      <c r="DH725" s="98"/>
      <c r="DI725" s="279"/>
      <c r="DJ725" s="52"/>
      <c r="DK725" s="105"/>
      <c r="DL725" s="98"/>
      <c r="DM725" s="279"/>
      <c r="DN725" s="52"/>
      <c r="DO725" s="105"/>
      <c r="DP725" s="98"/>
      <c r="DQ725" s="279"/>
      <c r="DR725" s="52"/>
      <c r="DS725" s="105"/>
      <c r="DT725" s="98"/>
      <c r="DU725" s="279"/>
      <c r="DV725" s="52"/>
      <c r="DW725" s="105"/>
      <c r="DX725" s="98"/>
      <c r="DY725" s="279"/>
      <c r="DZ725" s="52"/>
      <c r="EA725" s="105"/>
      <c r="EB725" s="98"/>
      <c r="EC725" s="279"/>
      <c r="ED725" s="52"/>
      <c r="EE725" s="105"/>
      <c r="EF725" s="98"/>
      <c r="EG725" s="159"/>
      <c r="EH725" s="277"/>
      <c r="EI725" s="50">
        <f t="shared" si="291"/>
        <v>0</v>
      </c>
      <c r="EJ725" s="103">
        <f t="shared" si="292"/>
        <v>0</v>
      </c>
      <c r="EK725" s="164">
        <f t="shared" si="293"/>
        <v>0</v>
      </c>
      <c r="EL725" s="280">
        <f t="shared" si="294"/>
        <v>0</v>
      </c>
      <c r="EM725" s="63">
        <f t="shared" si="295"/>
        <v>0</v>
      </c>
      <c r="EN725" s="359">
        <f t="shared" si="296"/>
        <v>0</v>
      </c>
      <c r="EO725" s="51">
        <f t="shared" si="297"/>
        <v>0</v>
      </c>
      <c r="EP725" s="361">
        <f t="shared" si="298"/>
        <v>0</v>
      </c>
      <c r="EQ725" s="281"/>
      <c r="ER725" s="277"/>
      <c r="ES725" s="281"/>
      <c r="ET725" s="277"/>
      <c r="EU725" s="281"/>
      <c r="EV725" s="277"/>
      <c r="EW725" s="281"/>
      <c r="EX725" s="277"/>
      <c r="EY725" s="281"/>
      <c r="EZ725" s="277"/>
      <c r="FA725" s="281"/>
      <c r="FB725" s="277"/>
      <c r="FC725" s="281"/>
      <c r="FD725" s="277"/>
      <c r="FE725" s="281"/>
      <c r="FF725" s="277"/>
      <c r="FG725" s="281"/>
      <c r="FH725" s="277"/>
      <c r="FI725" s="281"/>
      <c r="FJ725" s="277"/>
      <c r="FK725" s="50">
        <f t="shared" si="299"/>
        <v>0</v>
      </c>
      <c r="FL725" s="63">
        <f t="shared" si="283"/>
        <v>0</v>
      </c>
      <c r="FM725" s="50">
        <f t="shared" si="305"/>
        <v>396</v>
      </c>
      <c r="FN725" s="360">
        <f t="shared" si="306"/>
        <v>382</v>
      </c>
      <c r="FO725" s="3"/>
      <c r="FP725" s="279"/>
      <c r="FQ725" s="52"/>
      <c r="FR725" s="296"/>
      <c r="FS725" s="98"/>
      <c r="FT725" s="467"/>
      <c r="FU725" s="52"/>
      <c r="FV725" s="296"/>
      <c r="FW725" s="98"/>
      <c r="FX725" s="467"/>
      <c r="FY725" s="52"/>
      <c r="FZ725" s="296"/>
      <c r="GA725" s="98"/>
      <c r="GB725" s="467"/>
      <c r="GC725" s="52"/>
      <c r="GD725" s="296"/>
      <c r="GE725" s="98"/>
      <c r="GF725" s="467"/>
      <c r="GG725" s="52"/>
      <c r="GH725" s="296"/>
      <c r="GI725" s="98"/>
      <c r="GJ725" s="467"/>
      <c r="GK725" s="52"/>
      <c r="GL725" s="296"/>
      <c r="GM725" s="464"/>
      <c r="GN725" s="467"/>
      <c r="GO725" s="52"/>
      <c r="GP725" s="296"/>
      <c r="GQ725" s="464"/>
      <c r="GR725" s="467"/>
      <c r="GS725" s="52"/>
      <c r="GT725" s="296"/>
      <c r="GU725" s="464"/>
      <c r="GV725" s="467"/>
      <c r="GW725" s="52"/>
      <c r="GX725" s="296"/>
      <c r="GY725" s="464"/>
      <c r="GZ725" s="467"/>
      <c r="HA725" s="52"/>
      <c r="HB725" s="296"/>
      <c r="HC725" s="3"/>
    </row>
    <row r="726" spans="1:211" s="86" customFormat="1">
      <c r="A726" s="321" t="s">
        <v>70</v>
      </c>
      <c r="B726" s="322" t="s">
        <v>365</v>
      </c>
      <c r="C726" s="321">
        <v>237899</v>
      </c>
      <c r="D726" s="353">
        <v>6</v>
      </c>
      <c r="E726" s="158"/>
      <c r="F726" s="277"/>
      <c r="G726" s="158"/>
      <c r="H726" s="277"/>
      <c r="I726" s="158"/>
      <c r="J726" s="277"/>
      <c r="K726" s="160">
        <f t="shared" si="284"/>
        <v>0</v>
      </c>
      <c r="L726" s="161">
        <f t="shared" si="300"/>
        <v>0</v>
      </c>
      <c r="M726" s="54">
        <v>442</v>
      </c>
      <c r="N726" s="55">
        <v>74</v>
      </c>
      <c r="O726" s="55"/>
      <c r="P726" s="55"/>
      <c r="Q726" s="162">
        <f t="shared" si="307"/>
        <v>74</v>
      </c>
      <c r="R726" s="558">
        <v>372</v>
      </c>
      <c r="S726" s="277">
        <v>57</v>
      </c>
      <c r="T726" s="277"/>
      <c r="U726" s="277"/>
      <c r="V726" s="97">
        <f t="shared" si="286"/>
        <v>57</v>
      </c>
      <c r="W726" s="279"/>
      <c r="X726" s="52"/>
      <c r="Y726" s="99"/>
      <c r="Z726" s="53"/>
      <c r="AA726" s="228"/>
      <c r="AB726" s="52"/>
      <c r="AC726" s="99"/>
      <c r="AD726" s="53"/>
      <c r="AE726" s="228"/>
      <c r="AF726" s="52"/>
      <c r="AG726" s="99"/>
      <c r="AH726" s="53"/>
      <c r="AI726" s="228"/>
      <c r="AJ726" s="52"/>
      <c r="AK726" s="99"/>
      <c r="AL726" s="53"/>
      <c r="AM726" s="228"/>
      <c r="AN726" s="52"/>
      <c r="AO726" s="99"/>
      <c r="AP726" s="53"/>
      <c r="AQ726" s="50">
        <f t="shared" si="301"/>
        <v>0</v>
      </c>
      <c r="AR726" s="163">
        <f t="shared" si="302"/>
        <v>0.98004434589800449</v>
      </c>
      <c r="AS726" s="97">
        <f t="shared" si="303"/>
        <v>0</v>
      </c>
      <c r="AT726" s="278">
        <f t="shared" si="304"/>
        <v>0.98673740053050396</v>
      </c>
      <c r="AU726" s="55"/>
      <c r="AV726" s="277"/>
      <c r="AW726" s="279">
        <v>26</v>
      </c>
      <c r="AX726" s="52">
        <v>5</v>
      </c>
      <c r="AY726" s="105">
        <v>26</v>
      </c>
      <c r="AZ726" s="98">
        <v>5</v>
      </c>
      <c r="BA726" s="279">
        <v>9</v>
      </c>
      <c r="BB726" s="52">
        <v>4</v>
      </c>
      <c r="BC726" s="105"/>
      <c r="BD726" s="98"/>
      <c r="BE726" s="279"/>
      <c r="BF726" s="52"/>
      <c r="BG726" s="105"/>
      <c r="BH726" s="98"/>
      <c r="BI726" s="279"/>
      <c r="BJ726" s="52"/>
      <c r="BK726" s="105"/>
      <c r="BL726" s="98"/>
      <c r="BM726" s="279"/>
      <c r="BN726" s="52"/>
      <c r="BO726" s="105"/>
      <c r="BP726" s="98"/>
      <c r="BQ726" s="279"/>
      <c r="BR726" s="52"/>
      <c r="BS726" s="105"/>
      <c r="BT726" s="98"/>
      <c r="BU726" s="279"/>
      <c r="BV726" s="52"/>
      <c r="BW726" s="105"/>
      <c r="BX726" s="98"/>
      <c r="BY726" s="279"/>
      <c r="BZ726" s="52"/>
      <c r="CA726" s="105"/>
      <c r="CB726" s="98"/>
      <c r="CC726" s="279"/>
      <c r="CD726" s="52"/>
      <c r="CE726" s="105"/>
      <c r="CF726" s="98"/>
      <c r="CG726" s="279"/>
      <c r="CH726" s="52"/>
      <c r="CI726" s="105"/>
      <c r="CJ726" s="98"/>
      <c r="CK726" s="281"/>
      <c r="CL726" s="277"/>
      <c r="CM726" s="159"/>
      <c r="CN726" s="277">
        <v>0</v>
      </c>
      <c r="CO726" s="50">
        <f t="shared" si="287"/>
        <v>9</v>
      </c>
      <c r="CP726" s="103">
        <f t="shared" si="288"/>
        <v>2</v>
      </c>
      <c r="CQ726" s="280">
        <f t="shared" si="289"/>
        <v>5</v>
      </c>
      <c r="CR726" s="63">
        <f t="shared" si="290"/>
        <v>1</v>
      </c>
      <c r="CS726" s="279"/>
      <c r="CT726" s="52"/>
      <c r="CU726" s="105"/>
      <c r="CV726" s="98"/>
      <c r="CW726" s="279"/>
      <c r="CX726" s="52"/>
      <c r="CY726" s="105"/>
      <c r="CZ726" s="98"/>
      <c r="DA726" s="279"/>
      <c r="DB726" s="52"/>
      <c r="DC726" s="105"/>
      <c r="DD726" s="98"/>
      <c r="DE726" s="279"/>
      <c r="DF726" s="52"/>
      <c r="DG726" s="105"/>
      <c r="DH726" s="98"/>
      <c r="DI726" s="279"/>
      <c r="DJ726" s="52"/>
      <c r="DK726" s="105"/>
      <c r="DL726" s="98"/>
      <c r="DM726" s="279"/>
      <c r="DN726" s="52"/>
      <c r="DO726" s="105"/>
      <c r="DP726" s="98"/>
      <c r="DQ726" s="279"/>
      <c r="DR726" s="52"/>
      <c r="DS726" s="105"/>
      <c r="DT726" s="98"/>
      <c r="DU726" s="279"/>
      <c r="DV726" s="52"/>
      <c r="DW726" s="105"/>
      <c r="DX726" s="98"/>
      <c r="DY726" s="279"/>
      <c r="DZ726" s="52"/>
      <c r="EA726" s="105"/>
      <c r="EB726" s="98"/>
      <c r="EC726" s="279"/>
      <c r="ED726" s="52"/>
      <c r="EE726" s="105"/>
      <c r="EF726" s="98"/>
      <c r="EG726" s="159"/>
      <c r="EH726" s="277"/>
      <c r="EI726" s="50">
        <f t="shared" si="291"/>
        <v>0</v>
      </c>
      <c r="EJ726" s="103">
        <f t="shared" si="292"/>
        <v>0</v>
      </c>
      <c r="EK726" s="164">
        <f t="shared" si="293"/>
        <v>0</v>
      </c>
      <c r="EL726" s="280">
        <f t="shared" si="294"/>
        <v>0</v>
      </c>
      <c r="EM726" s="63">
        <f t="shared" si="295"/>
        <v>0</v>
      </c>
      <c r="EN726" s="359">
        <f t="shared" si="296"/>
        <v>0</v>
      </c>
      <c r="EO726" s="51">
        <f t="shared" si="297"/>
        <v>9</v>
      </c>
      <c r="EP726" s="361">
        <f t="shared" si="298"/>
        <v>5</v>
      </c>
      <c r="EQ726" s="281"/>
      <c r="ER726" s="277"/>
      <c r="ES726" s="281"/>
      <c r="ET726" s="277"/>
      <c r="EU726" s="281"/>
      <c r="EV726" s="277"/>
      <c r="EW726" s="281"/>
      <c r="EX726" s="277"/>
      <c r="EY726" s="281"/>
      <c r="EZ726" s="277"/>
      <c r="FA726" s="281"/>
      <c r="FB726" s="277"/>
      <c r="FC726" s="281"/>
      <c r="FD726" s="277"/>
      <c r="FE726" s="281"/>
      <c r="FF726" s="277"/>
      <c r="FG726" s="281"/>
      <c r="FH726" s="277"/>
      <c r="FI726" s="281"/>
      <c r="FJ726" s="277"/>
      <c r="FK726" s="50">
        <f t="shared" si="299"/>
        <v>0</v>
      </c>
      <c r="FL726" s="63">
        <f t="shared" si="283"/>
        <v>0</v>
      </c>
      <c r="FM726" s="50">
        <f t="shared" si="305"/>
        <v>451</v>
      </c>
      <c r="FN726" s="360">
        <f t="shared" si="306"/>
        <v>377</v>
      </c>
      <c r="FO726" s="3"/>
      <c r="FP726" s="279"/>
      <c r="FQ726" s="52"/>
      <c r="FR726" s="296"/>
      <c r="FS726" s="98"/>
      <c r="FT726" s="467"/>
      <c r="FU726" s="52"/>
      <c r="FV726" s="296"/>
      <c r="FW726" s="98"/>
      <c r="FX726" s="467"/>
      <c r="FY726" s="52"/>
      <c r="FZ726" s="296"/>
      <c r="GA726" s="98"/>
      <c r="GB726" s="467"/>
      <c r="GC726" s="52"/>
      <c r="GD726" s="296"/>
      <c r="GE726" s="98"/>
      <c r="GF726" s="467"/>
      <c r="GG726" s="52"/>
      <c r="GH726" s="296"/>
      <c r="GI726" s="98"/>
      <c r="GJ726" s="467"/>
      <c r="GK726" s="52"/>
      <c r="GL726" s="296"/>
      <c r="GM726" s="464"/>
      <c r="GN726" s="467"/>
      <c r="GO726" s="52"/>
      <c r="GP726" s="296"/>
      <c r="GQ726" s="464"/>
      <c r="GR726" s="467"/>
      <c r="GS726" s="52"/>
      <c r="GT726" s="296"/>
      <c r="GU726" s="464"/>
      <c r="GV726" s="467"/>
      <c r="GW726" s="52"/>
      <c r="GX726" s="296"/>
      <c r="GY726" s="464"/>
      <c r="GZ726" s="467"/>
      <c r="HA726" s="52"/>
      <c r="HB726" s="296"/>
      <c r="HC726" s="3"/>
    </row>
    <row r="727" spans="1:211" s="86" customFormat="1">
      <c r="A727" s="321" t="s">
        <v>70</v>
      </c>
      <c r="B727" s="322" t="s">
        <v>366</v>
      </c>
      <c r="C727" s="321">
        <v>237950</v>
      </c>
      <c r="D727" s="353">
        <v>6</v>
      </c>
      <c r="E727" s="158"/>
      <c r="F727" s="277"/>
      <c r="G727" s="158"/>
      <c r="H727" s="277"/>
      <c r="I727" s="158"/>
      <c r="J727" s="277"/>
      <c r="K727" s="160">
        <f t="shared" si="284"/>
        <v>0</v>
      </c>
      <c r="L727" s="161">
        <f t="shared" si="300"/>
        <v>0</v>
      </c>
      <c r="M727" s="54">
        <v>205</v>
      </c>
      <c r="N727" s="55">
        <v>4</v>
      </c>
      <c r="O727" s="55"/>
      <c r="P727" s="55"/>
      <c r="Q727" s="162">
        <f t="shared" si="307"/>
        <v>4</v>
      </c>
      <c r="R727" s="558">
        <v>140</v>
      </c>
      <c r="S727" s="277">
        <v>1</v>
      </c>
      <c r="T727" s="277"/>
      <c r="U727" s="277"/>
      <c r="V727" s="97">
        <f t="shared" si="286"/>
        <v>1</v>
      </c>
      <c r="W727" s="279"/>
      <c r="X727" s="52"/>
      <c r="Y727" s="99"/>
      <c r="Z727" s="53"/>
      <c r="AA727" s="228"/>
      <c r="AB727" s="52"/>
      <c r="AC727" s="99"/>
      <c r="AD727" s="53"/>
      <c r="AE727" s="228"/>
      <c r="AF727" s="52"/>
      <c r="AG727" s="99"/>
      <c r="AH727" s="53"/>
      <c r="AI727" s="228"/>
      <c r="AJ727" s="52"/>
      <c r="AK727" s="99"/>
      <c r="AL727" s="53"/>
      <c r="AM727" s="228"/>
      <c r="AN727" s="52"/>
      <c r="AO727" s="99"/>
      <c r="AP727" s="53"/>
      <c r="AQ727" s="50">
        <f t="shared" si="301"/>
        <v>0</v>
      </c>
      <c r="AR727" s="163">
        <f t="shared" si="302"/>
        <v>0.99514563106796117</v>
      </c>
      <c r="AS727" s="97">
        <f t="shared" si="303"/>
        <v>0</v>
      </c>
      <c r="AT727" s="278">
        <f t="shared" si="304"/>
        <v>0.99290780141843971</v>
      </c>
      <c r="AU727" s="55"/>
      <c r="AV727" s="277"/>
      <c r="AW727" s="279">
        <v>14</v>
      </c>
      <c r="AX727" s="52">
        <v>1</v>
      </c>
      <c r="AY727" s="105">
        <v>14</v>
      </c>
      <c r="AZ727" s="98">
        <v>1</v>
      </c>
      <c r="BA727" s="279"/>
      <c r="BB727" s="52"/>
      <c r="BC727" s="105"/>
      <c r="BD727" s="98"/>
      <c r="BE727" s="279"/>
      <c r="BF727" s="52"/>
      <c r="BG727" s="105"/>
      <c r="BH727" s="98"/>
      <c r="BI727" s="279"/>
      <c r="BJ727" s="52"/>
      <c r="BK727" s="105"/>
      <c r="BL727" s="98"/>
      <c r="BM727" s="279"/>
      <c r="BN727" s="52"/>
      <c r="BO727" s="105"/>
      <c r="BP727" s="98"/>
      <c r="BQ727" s="279"/>
      <c r="BR727" s="52"/>
      <c r="BS727" s="105"/>
      <c r="BT727" s="98"/>
      <c r="BU727" s="279"/>
      <c r="BV727" s="52"/>
      <c r="BW727" s="105"/>
      <c r="BX727" s="98"/>
      <c r="BY727" s="279"/>
      <c r="BZ727" s="52"/>
      <c r="CA727" s="105"/>
      <c r="CB727" s="98"/>
      <c r="CC727" s="279"/>
      <c r="CD727" s="52"/>
      <c r="CE727" s="105"/>
      <c r="CF727" s="98"/>
      <c r="CG727" s="279"/>
      <c r="CH727" s="52"/>
      <c r="CI727" s="105"/>
      <c r="CJ727" s="98"/>
      <c r="CK727" s="281"/>
      <c r="CL727" s="277"/>
      <c r="CM727" s="159"/>
      <c r="CN727" s="277"/>
      <c r="CO727" s="50">
        <f t="shared" si="287"/>
        <v>1</v>
      </c>
      <c r="CP727" s="103">
        <f t="shared" si="288"/>
        <v>1</v>
      </c>
      <c r="CQ727" s="280">
        <f t="shared" si="289"/>
        <v>1</v>
      </c>
      <c r="CR727" s="63">
        <f t="shared" si="290"/>
        <v>1</v>
      </c>
      <c r="CS727" s="279"/>
      <c r="CT727" s="52"/>
      <c r="CU727" s="105"/>
      <c r="CV727" s="98"/>
      <c r="CW727" s="279"/>
      <c r="CX727" s="52"/>
      <c r="CY727" s="105"/>
      <c r="CZ727" s="98"/>
      <c r="DA727" s="279"/>
      <c r="DB727" s="52"/>
      <c r="DC727" s="105"/>
      <c r="DD727" s="98"/>
      <c r="DE727" s="279"/>
      <c r="DF727" s="52"/>
      <c r="DG727" s="105"/>
      <c r="DH727" s="98"/>
      <c r="DI727" s="279"/>
      <c r="DJ727" s="52"/>
      <c r="DK727" s="105"/>
      <c r="DL727" s="98"/>
      <c r="DM727" s="279"/>
      <c r="DN727" s="52"/>
      <c r="DO727" s="105"/>
      <c r="DP727" s="98"/>
      <c r="DQ727" s="279"/>
      <c r="DR727" s="52"/>
      <c r="DS727" s="105"/>
      <c r="DT727" s="98"/>
      <c r="DU727" s="279"/>
      <c r="DV727" s="52"/>
      <c r="DW727" s="105"/>
      <c r="DX727" s="98"/>
      <c r="DY727" s="279"/>
      <c r="DZ727" s="52"/>
      <c r="EA727" s="105"/>
      <c r="EB727" s="98"/>
      <c r="EC727" s="279"/>
      <c r="ED727" s="52"/>
      <c r="EE727" s="105"/>
      <c r="EF727" s="98"/>
      <c r="EG727" s="159"/>
      <c r="EH727" s="277"/>
      <c r="EI727" s="50">
        <f t="shared" si="291"/>
        <v>0</v>
      </c>
      <c r="EJ727" s="103">
        <f t="shared" si="292"/>
        <v>0</v>
      </c>
      <c r="EK727" s="164">
        <f t="shared" si="293"/>
        <v>0</v>
      </c>
      <c r="EL727" s="280">
        <f t="shared" si="294"/>
        <v>0</v>
      </c>
      <c r="EM727" s="63">
        <f t="shared" si="295"/>
        <v>0</v>
      </c>
      <c r="EN727" s="359">
        <f t="shared" si="296"/>
        <v>0</v>
      </c>
      <c r="EO727" s="51">
        <f t="shared" si="297"/>
        <v>1</v>
      </c>
      <c r="EP727" s="361">
        <f t="shared" si="298"/>
        <v>1</v>
      </c>
      <c r="EQ727" s="281"/>
      <c r="ER727" s="277"/>
      <c r="ES727" s="281"/>
      <c r="ET727" s="277"/>
      <c r="EU727" s="281"/>
      <c r="EV727" s="277"/>
      <c r="EW727" s="281"/>
      <c r="EX727" s="277"/>
      <c r="EY727" s="281"/>
      <c r="EZ727" s="277"/>
      <c r="FA727" s="281"/>
      <c r="FB727" s="277"/>
      <c r="FC727" s="281"/>
      <c r="FD727" s="277"/>
      <c r="FE727" s="281"/>
      <c r="FF727" s="277"/>
      <c r="FG727" s="281"/>
      <c r="FH727" s="277"/>
      <c r="FI727" s="281"/>
      <c r="FJ727" s="277"/>
      <c r="FK727" s="50">
        <f t="shared" si="299"/>
        <v>0</v>
      </c>
      <c r="FL727" s="63">
        <f t="shared" si="283"/>
        <v>0</v>
      </c>
      <c r="FM727" s="50">
        <f t="shared" si="305"/>
        <v>206</v>
      </c>
      <c r="FN727" s="360">
        <f t="shared" si="306"/>
        <v>141</v>
      </c>
      <c r="FO727" s="3"/>
      <c r="FP727" s="279"/>
      <c r="FQ727" s="52"/>
      <c r="FR727" s="296"/>
      <c r="FS727" s="98"/>
      <c r="FT727" s="467"/>
      <c r="FU727" s="52"/>
      <c r="FV727" s="296"/>
      <c r="FW727" s="98"/>
      <c r="FX727" s="467"/>
      <c r="FY727" s="52"/>
      <c r="FZ727" s="296"/>
      <c r="GA727" s="98"/>
      <c r="GB727" s="467"/>
      <c r="GC727" s="52"/>
      <c r="GD727" s="296"/>
      <c r="GE727" s="98"/>
      <c r="GF727" s="467"/>
      <c r="GG727" s="52"/>
      <c r="GH727" s="296"/>
      <c r="GI727" s="98"/>
      <c r="GJ727" s="467"/>
      <c r="GK727" s="52"/>
      <c r="GL727" s="296"/>
      <c r="GM727" s="464"/>
      <c r="GN727" s="467"/>
      <c r="GO727" s="52"/>
      <c r="GP727" s="296"/>
      <c r="GQ727" s="464"/>
      <c r="GR727" s="467"/>
      <c r="GS727" s="52"/>
      <c r="GT727" s="296"/>
      <c r="GU727" s="464"/>
      <c r="GV727" s="467"/>
      <c r="GW727" s="52"/>
      <c r="GX727" s="296"/>
      <c r="GY727" s="464"/>
      <c r="GZ727" s="467"/>
      <c r="HA727" s="52"/>
      <c r="HB727" s="296"/>
      <c r="HC727" s="3"/>
    </row>
    <row r="728" spans="1:211" s="86" customFormat="1">
      <c r="A728" s="321" t="s">
        <v>70</v>
      </c>
      <c r="B728" s="322" t="s">
        <v>367</v>
      </c>
      <c r="C728" s="321">
        <v>237686</v>
      </c>
      <c r="D728" s="353">
        <v>7</v>
      </c>
      <c r="E728" s="158">
        <v>47</v>
      </c>
      <c r="F728" s="277">
        <v>26</v>
      </c>
      <c r="G728" s="158"/>
      <c r="H728" s="277"/>
      <c r="I728" s="158">
        <v>352</v>
      </c>
      <c r="J728" s="277">
        <v>367</v>
      </c>
      <c r="K728" s="160">
        <f t="shared" si="284"/>
        <v>1.76</v>
      </c>
      <c r="L728" s="161">
        <f t="shared" si="300"/>
        <v>1.9521276595744681</v>
      </c>
      <c r="M728" s="54">
        <v>200</v>
      </c>
      <c r="N728" s="55">
        <v>40</v>
      </c>
      <c r="O728" s="55"/>
      <c r="P728" s="55"/>
      <c r="Q728" s="162">
        <f t="shared" si="307"/>
        <v>40</v>
      </c>
      <c r="R728" s="558">
        <v>188</v>
      </c>
      <c r="S728" s="277">
        <v>31</v>
      </c>
      <c r="T728" s="277"/>
      <c r="U728" s="277"/>
      <c r="V728" s="97">
        <f t="shared" si="286"/>
        <v>31</v>
      </c>
      <c r="W728" s="279" t="s">
        <v>96</v>
      </c>
      <c r="X728" s="52">
        <v>112</v>
      </c>
      <c r="Y728" s="99" t="s">
        <v>96</v>
      </c>
      <c r="Z728" s="53">
        <v>90</v>
      </c>
      <c r="AA728" s="228" t="s">
        <v>343</v>
      </c>
      <c r="AB728" s="52">
        <v>40</v>
      </c>
      <c r="AC728" s="99" t="s">
        <v>731</v>
      </c>
      <c r="AD728" s="53">
        <v>49</v>
      </c>
      <c r="AE728" s="228" t="s">
        <v>731</v>
      </c>
      <c r="AF728" s="52">
        <v>38</v>
      </c>
      <c r="AG728" s="99" t="s">
        <v>343</v>
      </c>
      <c r="AH728" s="53">
        <v>31</v>
      </c>
      <c r="AI728" s="228" t="s">
        <v>72</v>
      </c>
      <c r="AJ728" s="52">
        <v>10</v>
      </c>
      <c r="AK728" s="99" t="s">
        <v>72</v>
      </c>
      <c r="AL728" s="53">
        <v>18</v>
      </c>
      <c r="AM728" s="228"/>
      <c r="AN728" s="52"/>
      <c r="AO728" s="99"/>
      <c r="AP728" s="53"/>
      <c r="AQ728" s="50">
        <f t="shared" si="301"/>
        <v>4</v>
      </c>
      <c r="AR728" s="163">
        <f t="shared" si="302"/>
        <v>0.333889816360601</v>
      </c>
      <c r="AS728" s="97">
        <f t="shared" si="303"/>
        <v>4</v>
      </c>
      <c r="AT728" s="278">
        <f t="shared" si="304"/>
        <v>0.32358003442340794</v>
      </c>
      <c r="AU728" s="55"/>
      <c r="AV728" s="277"/>
      <c r="AW728" s="279"/>
      <c r="AX728" s="52"/>
      <c r="AY728" s="105"/>
      <c r="AZ728" s="98"/>
      <c r="BA728" s="279"/>
      <c r="BB728" s="52"/>
      <c r="BC728" s="105"/>
      <c r="BD728" s="98"/>
      <c r="BE728" s="279"/>
      <c r="BF728" s="52"/>
      <c r="BG728" s="105"/>
      <c r="BH728" s="98"/>
      <c r="BI728" s="279"/>
      <c r="BJ728" s="52"/>
      <c r="BK728" s="105"/>
      <c r="BL728" s="98"/>
      <c r="BM728" s="279"/>
      <c r="BN728" s="52"/>
      <c r="BO728" s="105"/>
      <c r="BP728" s="98"/>
      <c r="BQ728" s="279"/>
      <c r="BR728" s="52"/>
      <c r="BS728" s="105"/>
      <c r="BT728" s="98"/>
      <c r="BU728" s="279"/>
      <c r="BV728" s="52"/>
      <c r="BW728" s="105"/>
      <c r="BX728" s="98"/>
      <c r="BY728" s="279"/>
      <c r="BZ728" s="52"/>
      <c r="CA728" s="105"/>
      <c r="CB728" s="98"/>
      <c r="CC728" s="279"/>
      <c r="CD728" s="52"/>
      <c r="CE728" s="105"/>
      <c r="CF728" s="98"/>
      <c r="CG728" s="279"/>
      <c r="CH728" s="52"/>
      <c r="CI728" s="105"/>
      <c r="CJ728" s="98"/>
      <c r="CK728" s="281"/>
      <c r="CL728" s="277"/>
      <c r="CM728" s="159"/>
      <c r="CN728" s="277"/>
      <c r="CO728" s="50">
        <f t="shared" si="287"/>
        <v>0</v>
      </c>
      <c r="CP728" s="103">
        <f t="shared" si="288"/>
        <v>0</v>
      </c>
      <c r="CQ728" s="280">
        <f t="shared" si="289"/>
        <v>0</v>
      </c>
      <c r="CR728" s="63">
        <f t="shared" si="290"/>
        <v>0</v>
      </c>
      <c r="CS728" s="279"/>
      <c r="CT728" s="52"/>
      <c r="CU728" s="105"/>
      <c r="CV728" s="98"/>
      <c r="CW728" s="279"/>
      <c r="CX728" s="52"/>
      <c r="CY728" s="105"/>
      <c r="CZ728" s="98"/>
      <c r="DA728" s="279"/>
      <c r="DB728" s="52"/>
      <c r="DC728" s="105"/>
      <c r="DD728" s="98"/>
      <c r="DE728" s="279"/>
      <c r="DF728" s="52"/>
      <c r="DG728" s="105"/>
      <c r="DH728" s="98"/>
      <c r="DI728" s="279"/>
      <c r="DJ728" s="52"/>
      <c r="DK728" s="105"/>
      <c r="DL728" s="98"/>
      <c r="DM728" s="279"/>
      <c r="DN728" s="52"/>
      <c r="DO728" s="105"/>
      <c r="DP728" s="98"/>
      <c r="DQ728" s="279"/>
      <c r="DR728" s="52"/>
      <c r="DS728" s="105"/>
      <c r="DT728" s="98"/>
      <c r="DU728" s="279"/>
      <c r="DV728" s="52"/>
      <c r="DW728" s="105"/>
      <c r="DX728" s="98"/>
      <c r="DY728" s="279"/>
      <c r="DZ728" s="52"/>
      <c r="EA728" s="105"/>
      <c r="EB728" s="98"/>
      <c r="EC728" s="279"/>
      <c r="ED728" s="52"/>
      <c r="EE728" s="105"/>
      <c r="EF728" s="98"/>
      <c r="EG728" s="159"/>
      <c r="EH728" s="277"/>
      <c r="EI728" s="50">
        <f t="shared" si="291"/>
        <v>0</v>
      </c>
      <c r="EJ728" s="103">
        <f t="shared" si="292"/>
        <v>0</v>
      </c>
      <c r="EK728" s="164">
        <f t="shared" si="293"/>
        <v>0</v>
      </c>
      <c r="EL728" s="280">
        <f t="shared" si="294"/>
        <v>0</v>
      </c>
      <c r="EM728" s="63">
        <f t="shared" si="295"/>
        <v>0</v>
      </c>
      <c r="EN728" s="359">
        <f t="shared" si="296"/>
        <v>0</v>
      </c>
      <c r="EO728" s="51">
        <f t="shared" si="297"/>
        <v>0</v>
      </c>
      <c r="EP728" s="361">
        <f t="shared" si="298"/>
        <v>0</v>
      </c>
      <c r="EQ728" s="281"/>
      <c r="ER728" s="277"/>
      <c r="ES728" s="281"/>
      <c r="ET728" s="277"/>
      <c r="EU728" s="281"/>
      <c r="EV728" s="277"/>
      <c r="EW728" s="281"/>
      <c r="EX728" s="277"/>
      <c r="EY728" s="281"/>
      <c r="EZ728" s="277"/>
      <c r="FA728" s="281"/>
      <c r="FB728" s="277"/>
      <c r="FC728" s="281"/>
      <c r="FD728" s="277"/>
      <c r="FE728" s="281"/>
      <c r="FF728" s="277"/>
      <c r="FG728" s="281"/>
      <c r="FH728" s="277"/>
      <c r="FI728" s="281"/>
      <c r="FJ728" s="277"/>
      <c r="FK728" s="50">
        <f t="shared" si="299"/>
        <v>0</v>
      </c>
      <c r="FL728" s="63">
        <f t="shared" si="283"/>
        <v>0</v>
      </c>
      <c r="FM728" s="50">
        <f t="shared" si="305"/>
        <v>599</v>
      </c>
      <c r="FN728" s="360">
        <f t="shared" si="306"/>
        <v>581</v>
      </c>
      <c r="FO728" s="3"/>
      <c r="FP728" s="279"/>
      <c r="FQ728" s="52"/>
      <c r="FR728" s="296"/>
      <c r="FS728" s="98"/>
      <c r="FT728" s="467"/>
      <c r="FU728" s="52"/>
      <c r="FV728" s="296"/>
      <c r="FW728" s="98"/>
      <c r="FX728" s="467"/>
      <c r="FY728" s="52"/>
      <c r="FZ728" s="296"/>
      <c r="GA728" s="98"/>
      <c r="GB728" s="467"/>
      <c r="GC728" s="52"/>
      <c r="GD728" s="296"/>
      <c r="GE728" s="98"/>
      <c r="GF728" s="467"/>
      <c r="GG728" s="52"/>
      <c r="GH728" s="296"/>
      <c r="GI728" s="98"/>
      <c r="GJ728" s="467"/>
      <c r="GK728" s="52"/>
      <c r="GL728" s="296"/>
      <c r="GM728" s="464"/>
      <c r="GN728" s="467"/>
      <c r="GO728" s="52"/>
      <c r="GP728" s="296"/>
      <c r="GQ728" s="464"/>
      <c r="GR728" s="467"/>
      <c r="GS728" s="52"/>
      <c r="GT728" s="296"/>
      <c r="GU728" s="464"/>
      <c r="GV728" s="467"/>
      <c r="GW728" s="52"/>
      <c r="GX728" s="296"/>
      <c r="GY728" s="464"/>
      <c r="GZ728" s="467"/>
      <c r="HA728" s="52"/>
      <c r="HB728" s="296"/>
      <c r="HC728" s="3"/>
    </row>
    <row r="729" spans="1:211" s="86" customFormat="1">
      <c r="A729" s="321" t="s">
        <v>70</v>
      </c>
      <c r="B729" s="693" t="s">
        <v>368</v>
      </c>
      <c r="C729" s="321">
        <v>443492</v>
      </c>
      <c r="D729" s="353">
        <v>9</v>
      </c>
      <c r="E729" s="158">
        <v>111</v>
      </c>
      <c r="F729" s="277">
        <v>118</v>
      </c>
      <c r="G729" s="158"/>
      <c r="H729" s="277"/>
      <c r="I729" s="158">
        <v>313</v>
      </c>
      <c r="J729" s="277">
        <v>273</v>
      </c>
      <c r="K729" s="160">
        <f t="shared" si="284"/>
        <v>0</v>
      </c>
      <c r="L729" s="161">
        <f t="shared" si="300"/>
        <v>0</v>
      </c>
      <c r="M729" s="54"/>
      <c r="N729" s="55"/>
      <c r="O729" s="55"/>
      <c r="P729" s="55"/>
      <c r="Q729" s="162">
        <f t="shared" si="307"/>
        <v>0</v>
      </c>
      <c r="R729" s="558"/>
      <c r="S729" s="277"/>
      <c r="T729" s="277"/>
      <c r="U729" s="277"/>
      <c r="V729" s="97">
        <f t="shared" si="286"/>
        <v>0</v>
      </c>
      <c r="W729" s="279"/>
      <c r="X729" s="52"/>
      <c r="Y729" s="99"/>
      <c r="Z729" s="53"/>
      <c r="AA729" s="228"/>
      <c r="AB729" s="52"/>
      <c r="AC729" s="99"/>
      <c r="AD729" s="53"/>
      <c r="AE729" s="228"/>
      <c r="AF729" s="52"/>
      <c r="AG729" s="99"/>
      <c r="AH729" s="53"/>
      <c r="AI729" s="228"/>
      <c r="AJ729" s="52"/>
      <c r="AK729" s="99"/>
      <c r="AL729" s="53"/>
      <c r="AM729" s="228"/>
      <c r="AN729" s="52"/>
      <c r="AO729" s="99"/>
      <c r="AP729" s="53"/>
      <c r="AQ729" s="50">
        <f t="shared" si="301"/>
        <v>0</v>
      </c>
      <c r="AR729" s="163">
        <f t="shared" si="302"/>
        <v>0</v>
      </c>
      <c r="AS729" s="97">
        <f t="shared" si="303"/>
        <v>0</v>
      </c>
      <c r="AT729" s="278">
        <f t="shared" si="304"/>
        <v>0</v>
      </c>
      <c r="AU729" s="55"/>
      <c r="AV729" s="277"/>
      <c r="AW729" s="279"/>
      <c r="AX729" s="52"/>
      <c r="AY729" s="105"/>
      <c r="AZ729" s="98"/>
      <c r="BA729" s="279"/>
      <c r="BB729" s="52"/>
      <c r="BC729" s="105"/>
      <c r="BD729" s="98"/>
      <c r="BE729" s="279"/>
      <c r="BF729" s="52"/>
      <c r="BG729" s="105"/>
      <c r="BH729" s="98"/>
      <c r="BI729" s="279"/>
      <c r="BJ729" s="52"/>
      <c r="BK729" s="105"/>
      <c r="BL729" s="98"/>
      <c r="BM729" s="279"/>
      <c r="BN729" s="52"/>
      <c r="BO729" s="105"/>
      <c r="BP729" s="98"/>
      <c r="BQ729" s="279"/>
      <c r="BR729" s="52"/>
      <c r="BS729" s="105"/>
      <c r="BT729" s="98"/>
      <c r="BU729" s="279"/>
      <c r="BV729" s="52"/>
      <c r="BW729" s="105"/>
      <c r="BX729" s="98"/>
      <c r="BY729" s="279"/>
      <c r="BZ729" s="52"/>
      <c r="CA729" s="105"/>
      <c r="CB729" s="98"/>
      <c r="CC729" s="279"/>
      <c r="CD729" s="52"/>
      <c r="CE729" s="105"/>
      <c r="CF729" s="98"/>
      <c r="CG729" s="279"/>
      <c r="CH729" s="52"/>
      <c r="CI729" s="105"/>
      <c r="CJ729" s="98"/>
      <c r="CK729" s="281"/>
      <c r="CL729" s="277"/>
      <c r="CM729" s="159"/>
      <c r="CN729" s="277"/>
      <c r="CO729" s="50">
        <f t="shared" si="287"/>
        <v>0</v>
      </c>
      <c r="CP729" s="103">
        <f t="shared" si="288"/>
        <v>0</v>
      </c>
      <c r="CQ729" s="280">
        <f t="shared" si="289"/>
        <v>0</v>
      </c>
      <c r="CR729" s="63">
        <f t="shared" si="290"/>
        <v>0</v>
      </c>
      <c r="CS729" s="279"/>
      <c r="CT729" s="52"/>
      <c r="CU729" s="105"/>
      <c r="CV729" s="98"/>
      <c r="CW729" s="279"/>
      <c r="CX729" s="52"/>
      <c r="CY729" s="105"/>
      <c r="CZ729" s="98"/>
      <c r="DA729" s="279"/>
      <c r="DB729" s="52"/>
      <c r="DC729" s="105"/>
      <c r="DD729" s="98"/>
      <c r="DE729" s="279"/>
      <c r="DF729" s="52"/>
      <c r="DG729" s="105"/>
      <c r="DH729" s="98"/>
      <c r="DI729" s="279"/>
      <c r="DJ729" s="52"/>
      <c r="DK729" s="105"/>
      <c r="DL729" s="98"/>
      <c r="DM729" s="279"/>
      <c r="DN729" s="52"/>
      <c r="DO729" s="105"/>
      <c r="DP729" s="98"/>
      <c r="DQ729" s="279"/>
      <c r="DR729" s="52"/>
      <c r="DS729" s="105"/>
      <c r="DT729" s="98"/>
      <c r="DU729" s="279"/>
      <c r="DV729" s="52"/>
      <c r="DW729" s="105"/>
      <c r="DX729" s="98"/>
      <c r="DY729" s="279"/>
      <c r="DZ729" s="52"/>
      <c r="EA729" s="105"/>
      <c r="EB729" s="98"/>
      <c r="EC729" s="279"/>
      <c r="ED729" s="52"/>
      <c r="EE729" s="105"/>
      <c r="EF729" s="98"/>
      <c r="EG729" s="159"/>
      <c r="EH729" s="277"/>
      <c r="EI729" s="50">
        <f t="shared" si="291"/>
        <v>0</v>
      </c>
      <c r="EJ729" s="103">
        <f t="shared" si="292"/>
        <v>0</v>
      </c>
      <c r="EK729" s="164">
        <f t="shared" si="293"/>
        <v>0</v>
      </c>
      <c r="EL729" s="280">
        <f t="shared" si="294"/>
        <v>0</v>
      </c>
      <c r="EM729" s="63">
        <f t="shared" si="295"/>
        <v>0</v>
      </c>
      <c r="EN729" s="359">
        <f t="shared" si="296"/>
        <v>0</v>
      </c>
      <c r="EO729" s="51">
        <f t="shared" si="297"/>
        <v>0</v>
      </c>
      <c r="EP729" s="361">
        <f t="shared" si="298"/>
        <v>0</v>
      </c>
      <c r="EQ729" s="281"/>
      <c r="ER729" s="277"/>
      <c r="ES729" s="281"/>
      <c r="ET729" s="277"/>
      <c r="EU729" s="281"/>
      <c r="EV729" s="277"/>
      <c r="EW729" s="281"/>
      <c r="EX729" s="277"/>
      <c r="EY729" s="281"/>
      <c r="EZ729" s="277"/>
      <c r="FA729" s="281"/>
      <c r="FB729" s="277"/>
      <c r="FC729" s="281"/>
      <c r="FD729" s="277"/>
      <c r="FE729" s="281"/>
      <c r="FF729" s="277"/>
      <c r="FG729" s="281"/>
      <c r="FH729" s="277"/>
      <c r="FI729" s="281"/>
      <c r="FJ729" s="277"/>
      <c r="FK729" s="50">
        <f t="shared" si="299"/>
        <v>0</v>
      </c>
      <c r="FL729" s="63">
        <f t="shared" si="283"/>
        <v>0</v>
      </c>
      <c r="FM729" s="50">
        <f t="shared" si="305"/>
        <v>424</v>
      </c>
      <c r="FN729" s="360">
        <f t="shared" si="306"/>
        <v>391</v>
      </c>
      <c r="FO729" s="3"/>
      <c r="FP729" s="279"/>
      <c r="FQ729" s="52"/>
      <c r="FR729" s="296"/>
      <c r="FS729" s="98"/>
      <c r="FT729" s="467"/>
      <c r="FU729" s="52"/>
      <c r="FV729" s="296"/>
      <c r="FW729" s="98"/>
      <c r="FX729" s="467"/>
      <c r="FY729" s="52"/>
      <c r="FZ729" s="296"/>
      <c r="GA729" s="98"/>
      <c r="GB729" s="467"/>
      <c r="GC729" s="52"/>
      <c r="GD729" s="296"/>
      <c r="GE729" s="98"/>
      <c r="GF729" s="467"/>
      <c r="GG729" s="52"/>
      <c r="GH729" s="296"/>
      <c r="GI729" s="98"/>
      <c r="GJ729" s="467"/>
      <c r="GK729" s="52"/>
      <c r="GL729" s="296"/>
      <c r="GM729" s="464"/>
      <c r="GN729" s="467"/>
      <c r="GO729" s="52"/>
      <c r="GP729" s="296"/>
      <c r="GQ729" s="464"/>
      <c r="GR729" s="467"/>
      <c r="GS729" s="52"/>
      <c r="GT729" s="296"/>
      <c r="GU729" s="464"/>
      <c r="GV729" s="467"/>
      <c r="GW729" s="52"/>
      <c r="GX729" s="296"/>
      <c r="GY729" s="464"/>
      <c r="GZ729" s="467"/>
      <c r="HA729" s="52"/>
      <c r="HB729" s="296"/>
      <c r="HC729" s="3"/>
    </row>
    <row r="730" spans="1:211" s="86" customFormat="1">
      <c r="A730" s="321" t="s">
        <v>70</v>
      </c>
      <c r="B730" s="322" t="s">
        <v>369</v>
      </c>
      <c r="C730" s="321">
        <v>446774</v>
      </c>
      <c r="D730" s="353">
        <v>10</v>
      </c>
      <c r="E730" s="158">
        <v>145</v>
      </c>
      <c r="F730" s="277">
        <v>51</v>
      </c>
      <c r="G730" s="158"/>
      <c r="H730" s="277"/>
      <c r="I730" s="158">
        <v>169</v>
      </c>
      <c r="J730" s="277">
        <v>142</v>
      </c>
      <c r="K730" s="160">
        <f t="shared" si="284"/>
        <v>0</v>
      </c>
      <c r="L730" s="161">
        <f t="shared" si="300"/>
        <v>0</v>
      </c>
      <c r="M730" s="54"/>
      <c r="N730" s="55"/>
      <c r="O730" s="55"/>
      <c r="P730" s="55"/>
      <c r="Q730" s="162">
        <f t="shared" si="307"/>
        <v>0</v>
      </c>
      <c r="R730" s="558"/>
      <c r="S730" s="277"/>
      <c r="T730" s="277"/>
      <c r="U730" s="277"/>
      <c r="V730" s="97">
        <f t="shared" si="286"/>
        <v>0</v>
      </c>
      <c r="W730" s="279"/>
      <c r="X730" s="52"/>
      <c r="Y730" s="99"/>
      <c r="Z730" s="53"/>
      <c r="AA730" s="228"/>
      <c r="AB730" s="52"/>
      <c r="AC730" s="99"/>
      <c r="AD730" s="53"/>
      <c r="AE730" s="228"/>
      <c r="AF730" s="52"/>
      <c r="AG730" s="99"/>
      <c r="AH730" s="53"/>
      <c r="AI730" s="228"/>
      <c r="AJ730" s="52"/>
      <c r="AK730" s="99"/>
      <c r="AL730" s="53"/>
      <c r="AM730" s="228"/>
      <c r="AN730" s="52"/>
      <c r="AO730" s="99"/>
      <c r="AP730" s="53"/>
      <c r="AQ730" s="50">
        <f t="shared" si="301"/>
        <v>0</v>
      </c>
      <c r="AR730" s="163">
        <f t="shared" si="302"/>
        <v>0</v>
      </c>
      <c r="AS730" s="97">
        <f t="shared" si="303"/>
        <v>0</v>
      </c>
      <c r="AT730" s="278">
        <f t="shared" si="304"/>
        <v>0</v>
      </c>
      <c r="AU730" s="55"/>
      <c r="AV730" s="277"/>
      <c r="AW730" s="279"/>
      <c r="AX730" s="52"/>
      <c r="AY730" s="105"/>
      <c r="AZ730" s="98"/>
      <c r="BA730" s="279"/>
      <c r="BB730" s="52"/>
      <c r="BC730" s="105"/>
      <c r="BD730" s="98"/>
      <c r="BE730" s="279"/>
      <c r="BF730" s="52"/>
      <c r="BG730" s="105"/>
      <c r="BH730" s="98"/>
      <c r="BI730" s="279"/>
      <c r="BJ730" s="52"/>
      <c r="BK730" s="105"/>
      <c r="BL730" s="98"/>
      <c r="BM730" s="279"/>
      <c r="BN730" s="52"/>
      <c r="BO730" s="105"/>
      <c r="BP730" s="98"/>
      <c r="BQ730" s="279"/>
      <c r="BR730" s="52"/>
      <c r="BS730" s="105"/>
      <c r="BT730" s="98"/>
      <c r="BU730" s="279"/>
      <c r="BV730" s="52"/>
      <c r="BW730" s="105"/>
      <c r="BX730" s="98"/>
      <c r="BY730" s="279"/>
      <c r="BZ730" s="52"/>
      <c r="CA730" s="105"/>
      <c r="CB730" s="98"/>
      <c r="CC730" s="279"/>
      <c r="CD730" s="52"/>
      <c r="CE730" s="105"/>
      <c r="CF730" s="98"/>
      <c r="CG730" s="279"/>
      <c r="CH730" s="52"/>
      <c r="CI730" s="105"/>
      <c r="CJ730" s="98"/>
      <c r="CK730" s="281"/>
      <c r="CL730" s="277"/>
      <c r="CM730" s="159"/>
      <c r="CN730" s="277"/>
      <c r="CO730" s="50">
        <f t="shared" si="287"/>
        <v>0</v>
      </c>
      <c r="CP730" s="103">
        <f t="shared" si="288"/>
        <v>0</v>
      </c>
      <c r="CQ730" s="280">
        <f t="shared" si="289"/>
        <v>0</v>
      </c>
      <c r="CR730" s="63">
        <f t="shared" si="290"/>
        <v>0</v>
      </c>
      <c r="CS730" s="279"/>
      <c r="CT730" s="52"/>
      <c r="CU730" s="105"/>
      <c r="CV730" s="98"/>
      <c r="CW730" s="279"/>
      <c r="CX730" s="52"/>
      <c r="CY730" s="105"/>
      <c r="CZ730" s="98"/>
      <c r="DA730" s="279"/>
      <c r="DB730" s="52"/>
      <c r="DC730" s="105"/>
      <c r="DD730" s="98"/>
      <c r="DE730" s="279"/>
      <c r="DF730" s="52"/>
      <c r="DG730" s="105"/>
      <c r="DH730" s="98"/>
      <c r="DI730" s="279"/>
      <c r="DJ730" s="52"/>
      <c r="DK730" s="105"/>
      <c r="DL730" s="98"/>
      <c r="DM730" s="279"/>
      <c r="DN730" s="52"/>
      <c r="DO730" s="105"/>
      <c r="DP730" s="98"/>
      <c r="DQ730" s="279"/>
      <c r="DR730" s="52"/>
      <c r="DS730" s="105"/>
      <c r="DT730" s="98"/>
      <c r="DU730" s="279"/>
      <c r="DV730" s="52"/>
      <c r="DW730" s="105"/>
      <c r="DX730" s="98"/>
      <c r="DY730" s="279"/>
      <c r="DZ730" s="52"/>
      <c r="EA730" s="105"/>
      <c r="EB730" s="98"/>
      <c r="EC730" s="279"/>
      <c r="ED730" s="52"/>
      <c r="EE730" s="105"/>
      <c r="EF730" s="98"/>
      <c r="EG730" s="159"/>
      <c r="EH730" s="277"/>
      <c r="EI730" s="50">
        <f t="shared" si="291"/>
        <v>0</v>
      </c>
      <c r="EJ730" s="103">
        <f t="shared" si="292"/>
        <v>0</v>
      </c>
      <c r="EK730" s="164">
        <f t="shared" si="293"/>
        <v>0</v>
      </c>
      <c r="EL730" s="280">
        <f t="shared" si="294"/>
        <v>0</v>
      </c>
      <c r="EM730" s="63">
        <f t="shared" si="295"/>
        <v>0</v>
      </c>
      <c r="EN730" s="359">
        <f t="shared" si="296"/>
        <v>0</v>
      </c>
      <c r="EO730" s="51">
        <f t="shared" si="297"/>
        <v>0</v>
      </c>
      <c r="EP730" s="361">
        <f t="shared" si="298"/>
        <v>0</v>
      </c>
      <c r="EQ730" s="281"/>
      <c r="ER730" s="277"/>
      <c r="ES730" s="281"/>
      <c r="ET730" s="277"/>
      <c r="EU730" s="281"/>
      <c r="EV730" s="277"/>
      <c r="EW730" s="281"/>
      <c r="EX730" s="277"/>
      <c r="EY730" s="281"/>
      <c r="EZ730" s="277"/>
      <c r="FA730" s="281"/>
      <c r="FB730" s="277"/>
      <c r="FC730" s="281"/>
      <c r="FD730" s="277"/>
      <c r="FE730" s="281"/>
      <c r="FF730" s="277"/>
      <c r="FG730" s="281"/>
      <c r="FH730" s="277"/>
      <c r="FI730" s="281"/>
      <c r="FJ730" s="277"/>
      <c r="FK730" s="50">
        <f t="shared" si="299"/>
        <v>0</v>
      </c>
      <c r="FL730" s="63">
        <f t="shared" si="283"/>
        <v>0</v>
      </c>
      <c r="FM730" s="50">
        <f t="shared" si="305"/>
        <v>314</v>
      </c>
      <c r="FN730" s="360">
        <f t="shared" si="306"/>
        <v>193</v>
      </c>
      <c r="FO730" s="3"/>
      <c r="FP730" s="279"/>
      <c r="FQ730" s="52"/>
      <c r="FR730" s="296"/>
      <c r="FS730" s="98"/>
      <c r="FT730" s="467"/>
      <c r="FU730" s="52"/>
      <c r="FV730" s="296"/>
      <c r="FW730" s="98"/>
      <c r="FX730" s="467"/>
      <c r="FY730" s="52"/>
      <c r="FZ730" s="296"/>
      <c r="GA730" s="98"/>
      <c r="GB730" s="467"/>
      <c r="GC730" s="52"/>
      <c r="GD730" s="296"/>
      <c r="GE730" s="98"/>
      <c r="GF730" s="467"/>
      <c r="GG730" s="52"/>
      <c r="GH730" s="296"/>
      <c r="GI730" s="98"/>
      <c r="GJ730" s="467"/>
      <c r="GK730" s="52"/>
      <c r="GL730" s="296"/>
      <c r="GM730" s="464"/>
      <c r="GN730" s="467"/>
      <c r="GO730" s="52"/>
      <c r="GP730" s="296"/>
      <c r="GQ730" s="464"/>
      <c r="GR730" s="467"/>
      <c r="GS730" s="52"/>
      <c r="GT730" s="296"/>
      <c r="GU730" s="464"/>
      <c r="GV730" s="467"/>
      <c r="GW730" s="52"/>
      <c r="GX730" s="296"/>
      <c r="GY730" s="464"/>
      <c r="GZ730" s="467"/>
      <c r="HA730" s="52"/>
      <c r="HB730" s="296"/>
      <c r="HC730" s="3"/>
    </row>
    <row r="731" spans="1:211" s="86" customFormat="1">
      <c r="A731" s="321" t="s">
        <v>70</v>
      </c>
      <c r="B731" s="322" t="s">
        <v>1234</v>
      </c>
      <c r="C731" s="321">
        <v>445674</v>
      </c>
      <c r="D731" s="353">
        <v>10</v>
      </c>
      <c r="E731" s="158">
        <v>9</v>
      </c>
      <c r="F731" s="277">
        <v>17</v>
      </c>
      <c r="G731" s="158"/>
      <c r="H731" s="277"/>
      <c r="I731" s="158">
        <v>125</v>
      </c>
      <c r="J731" s="277">
        <v>142</v>
      </c>
      <c r="K731" s="160">
        <f t="shared" si="284"/>
        <v>0</v>
      </c>
      <c r="L731" s="161">
        <f t="shared" si="300"/>
        <v>0</v>
      </c>
      <c r="M731" s="54"/>
      <c r="N731" s="55"/>
      <c r="O731" s="55"/>
      <c r="P731" s="55"/>
      <c r="Q731" s="162">
        <f t="shared" si="307"/>
        <v>0</v>
      </c>
      <c r="R731" s="558"/>
      <c r="S731" s="277"/>
      <c r="T731" s="277"/>
      <c r="U731" s="277"/>
      <c r="V731" s="97">
        <f t="shared" si="286"/>
        <v>0</v>
      </c>
      <c r="W731" s="279"/>
      <c r="X731" s="52"/>
      <c r="Y731" s="99"/>
      <c r="Z731" s="53"/>
      <c r="AA731" s="228"/>
      <c r="AB731" s="52"/>
      <c r="AC731" s="99"/>
      <c r="AD731" s="53"/>
      <c r="AE731" s="228"/>
      <c r="AF731" s="52"/>
      <c r="AG731" s="99"/>
      <c r="AH731" s="53"/>
      <c r="AI731" s="228"/>
      <c r="AJ731" s="52"/>
      <c r="AK731" s="99"/>
      <c r="AL731" s="53"/>
      <c r="AM731" s="228"/>
      <c r="AN731" s="52"/>
      <c r="AO731" s="99"/>
      <c r="AP731" s="53"/>
      <c r="AQ731" s="50">
        <f t="shared" si="301"/>
        <v>0</v>
      </c>
      <c r="AR731" s="163">
        <f t="shared" si="302"/>
        <v>0</v>
      </c>
      <c r="AS731" s="97">
        <f t="shared" si="303"/>
        <v>0</v>
      </c>
      <c r="AT731" s="278">
        <f t="shared" si="304"/>
        <v>0</v>
      </c>
      <c r="AU731" s="55"/>
      <c r="AV731" s="277"/>
      <c r="AW731" s="279"/>
      <c r="AX731" s="52"/>
      <c r="AY731" s="105"/>
      <c r="AZ731" s="98"/>
      <c r="BA731" s="279"/>
      <c r="BB731" s="52"/>
      <c r="BC731" s="105"/>
      <c r="BD731" s="98"/>
      <c r="BE731" s="279"/>
      <c r="BF731" s="52"/>
      <c r="BG731" s="105"/>
      <c r="BH731" s="98"/>
      <c r="BI731" s="279"/>
      <c r="BJ731" s="52"/>
      <c r="BK731" s="105"/>
      <c r="BL731" s="98"/>
      <c r="BM731" s="279"/>
      <c r="BN731" s="52"/>
      <c r="BO731" s="105"/>
      <c r="BP731" s="98"/>
      <c r="BQ731" s="279"/>
      <c r="BR731" s="52"/>
      <c r="BS731" s="105"/>
      <c r="BT731" s="98"/>
      <c r="BU731" s="279"/>
      <c r="BV731" s="52"/>
      <c r="BW731" s="105"/>
      <c r="BX731" s="98"/>
      <c r="BY731" s="279"/>
      <c r="BZ731" s="52"/>
      <c r="CA731" s="105"/>
      <c r="CB731" s="98"/>
      <c r="CC731" s="279"/>
      <c r="CD731" s="52"/>
      <c r="CE731" s="105"/>
      <c r="CF731" s="98"/>
      <c r="CG731" s="279"/>
      <c r="CH731" s="52"/>
      <c r="CI731" s="105"/>
      <c r="CJ731" s="98"/>
      <c r="CK731" s="281"/>
      <c r="CL731" s="277"/>
      <c r="CM731" s="159"/>
      <c r="CN731" s="277"/>
      <c r="CO731" s="50">
        <f t="shared" si="287"/>
        <v>0</v>
      </c>
      <c r="CP731" s="103">
        <f t="shared" si="288"/>
        <v>0</v>
      </c>
      <c r="CQ731" s="280">
        <f t="shared" si="289"/>
        <v>0</v>
      </c>
      <c r="CR731" s="63">
        <f t="shared" si="290"/>
        <v>0</v>
      </c>
      <c r="CS731" s="279"/>
      <c r="CT731" s="52"/>
      <c r="CU731" s="105"/>
      <c r="CV731" s="98"/>
      <c r="CW731" s="279"/>
      <c r="CX731" s="52"/>
      <c r="CY731" s="105"/>
      <c r="CZ731" s="98"/>
      <c r="DA731" s="279"/>
      <c r="DB731" s="52"/>
      <c r="DC731" s="105"/>
      <c r="DD731" s="98"/>
      <c r="DE731" s="279"/>
      <c r="DF731" s="52"/>
      <c r="DG731" s="105"/>
      <c r="DH731" s="98"/>
      <c r="DI731" s="279"/>
      <c r="DJ731" s="52"/>
      <c r="DK731" s="105"/>
      <c r="DL731" s="98"/>
      <c r="DM731" s="279"/>
      <c r="DN731" s="52"/>
      <c r="DO731" s="105"/>
      <c r="DP731" s="98"/>
      <c r="DQ731" s="279"/>
      <c r="DR731" s="52"/>
      <c r="DS731" s="105"/>
      <c r="DT731" s="98"/>
      <c r="DU731" s="279"/>
      <c r="DV731" s="52"/>
      <c r="DW731" s="105"/>
      <c r="DX731" s="98"/>
      <c r="DY731" s="279"/>
      <c r="DZ731" s="52"/>
      <c r="EA731" s="105"/>
      <c r="EB731" s="98"/>
      <c r="EC731" s="279"/>
      <c r="ED731" s="52"/>
      <c r="EE731" s="105"/>
      <c r="EF731" s="98"/>
      <c r="EG731" s="159"/>
      <c r="EH731" s="277"/>
      <c r="EI731" s="50">
        <f t="shared" si="291"/>
        <v>0</v>
      </c>
      <c r="EJ731" s="103">
        <f t="shared" si="292"/>
        <v>0</v>
      </c>
      <c r="EK731" s="164">
        <f t="shared" si="293"/>
        <v>0</v>
      </c>
      <c r="EL731" s="280">
        <f t="shared" si="294"/>
        <v>0</v>
      </c>
      <c r="EM731" s="63">
        <f t="shared" si="295"/>
        <v>0</v>
      </c>
      <c r="EN731" s="359">
        <f t="shared" si="296"/>
        <v>0</v>
      </c>
      <c r="EO731" s="51">
        <f t="shared" si="297"/>
        <v>0</v>
      </c>
      <c r="EP731" s="361">
        <f t="shared" si="298"/>
        <v>0</v>
      </c>
      <c r="EQ731" s="281"/>
      <c r="ER731" s="277"/>
      <c r="ES731" s="281"/>
      <c r="ET731" s="277"/>
      <c r="EU731" s="281"/>
      <c r="EV731" s="277"/>
      <c r="EW731" s="281"/>
      <c r="EX731" s="277"/>
      <c r="EY731" s="281"/>
      <c r="EZ731" s="277"/>
      <c r="FA731" s="281"/>
      <c r="FB731" s="277"/>
      <c r="FC731" s="281"/>
      <c r="FD731" s="277"/>
      <c r="FE731" s="281"/>
      <c r="FF731" s="277"/>
      <c r="FG731" s="281"/>
      <c r="FH731" s="277"/>
      <c r="FI731" s="281"/>
      <c r="FJ731" s="277"/>
      <c r="FK731" s="50">
        <f t="shared" si="299"/>
        <v>0</v>
      </c>
      <c r="FL731" s="63">
        <f t="shared" si="283"/>
        <v>0</v>
      </c>
      <c r="FM731" s="50">
        <f t="shared" si="305"/>
        <v>134</v>
      </c>
      <c r="FN731" s="360">
        <f t="shared" si="306"/>
        <v>159</v>
      </c>
      <c r="FO731" s="3"/>
      <c r="FP731" s="279"/>
      <c r="FQ731" s="52"/>
      <c r="FR731" s="296"/>
      <c r="FS731" s="98"/>
      <c r="FT731" s="467"/>
      <c r="FU731" s="52"/>
      <c r="FV731" s="296"/>
      <c r="FW731" s="98"/>
      <c r="FX731" s="467"/>
      <c r="FY731" s="52"/>
      <c r="FZ731" s="296"/>
      <c r="GA731" s="98"/>
      <c r="GB731" s="467"/>
      <c r="GC731" s="52"/>
      <c r="GD731" s="296"/>
      <c r="GE731" s="98"/>
      <c r="GF731" s="467"/>
      <c r="GG731" s="52"/>
      <c r="GH731" s="296"/>
      <c r="GI731" s="98"/>
      <c r="GJ731" s="467"/>
      <c r="GK731" s="52"/>
      <c r="GL731" s="296"/>
      <c r="GM731" s="464"/>
      <c r="GN731" s="467"/>
      <c r="GO731" s="52"/>
      <c r="GP731" s="296"/>
      <c r="GQ731" s="464"/>
      <c r="GR731" s="467"/>
      <c r="GS731" s="52"/>
      <c r="GT731" s="296"/>
      <c r="GU731" s="464"/>
      <c r="GV731" s="467"/>
      <c r="GW731" s="52"/>
      <c r="GX731" s="296"/>
      <c r="GY731" s="464"/>
      <c r="GZ731" s="467"/>
      <c r="HA731" s="52"/>
      <c r="HB731" s="296"/>
      <c r="HC731" s="3"/>
    </row>
    <row r="732" spans="1:211" s="86" customFormat="1">
      <c r="A732" s="321" t="s">
        <v>70</v>
      </c>
      <c r="B732" s="322" t="s">
        <v>370</v>
      </c>
      <c r="C732" s="321">
        <v>438708</v>
      </c>
      <c r="D732" s="353">
        <v>10</v>
      </c>
      <c r="E732" s="158">
        <v>1</v>
      </c>
      <c r="F732" s="277"/>
      <c r="G732" s="158"/>
      <c r="H732" s="277"/>
      <c r="I732" s="158">
        <v>29</v>
      </c>
      <c r="J732" s="277">
        <v>27</v>
      </c>
      <c r="K732" s="160">
        <f t="shared" si="284"/>
        <v>0</v>
      </c>
      <c r="L732" s="161">
        <f t="shared" si="300"/>
        <v>0</v>
      </c>
      <c r="M732" s="54"/>
      <c r="N732" s="55"/>
      <c r="O732" s="55"/>
      <c r="P732" s="55"/>
      <c r="Q732" s="162">
        <f t="shared" si="307"/>
        <v>0</v>
      </c>
      <c r="R732" s="558"/>
      <c r="S732" s="277"/>
      <c r="T732" s="277"/>
      <c r="U732" s="277"/>
      <c r="V732" s="97">
        <f t="shared" si="286"/>
        <v>0</v>
      </c>
      <c r="W732" s="279"/>
      <c r="X732" s="52"/>
      <c r="Y732" s="99"/>
      <c r="Z732" s="53"/>
      <c r="AA732" s="228"/>
      <c r="AB732" s="52"/>
      <c r="AC732" s="99"/>
      <c r="AD732" s="53"/>
      <c r="AE732" s="228"/>
      <c r="AF732" s="52"/>
      <c r="AG732" s="99"/>
      <c r="AH732" s="53"/>
      <c r="AI732" s="228"/>
      <c r="AJ732" s="52"/>
      <c r="AK732" s="99"/>
      <c r="AL732" s="53"/>
      <c r="AM732" s="228"/>
      <c r="AN732" s="52"/>
      <c r="AO732" s="99"/>
      <c r="AP732" s="53"/>
      <c r="AQ732" s="50">
        <f t="shared" si="301"/>
        <v>0</v>
      </c>
      <c r="AR732" s="163">
        <f t="shared" si="302"/>
        <v>0</v>
      </c>
      <c r="AS732" s="97">
        <f t="shared" si="303"/>
        <v>0</v>
      </c>
      <c r="AT732" s="278">
        <f t="shared" si="304"/>
        <v>0</v>
      </c>
      <c r="AU732" s="55"/>
      <c r="AV732" s="277"/>
      <c r="AW732" s="279"/>
      <c r="AX732" s="52"/>
      <c r="AY732" s="105"/>
      <c r="AZ732" s="98"/>
      <c r="BA732" s="279"/>
      <c r="BB732" s="52"/>
      <c r="BC732" s="105"/>
      <c r="BD732" s="98"/>
      <c r="BE732" s="279"/>
      <c r="BF732" s="52"/>
      <c r="BG732" s="105"/>
      <c r="BH732" s="98"/>
      <c r="BI732" s="279"/>
      <c r="BJ732" s="52"/>
      <c r="BK732" s="105"/>
      <c r="BL732" s="98"/>
      <c r="BM732" s="279"/>
      <c r="BN732" s="52"/>
      <c r="BO732" s="105"/>
      <c r="BP732" s="98"/>
      <c r="BQ732" s="279"/>
      <c r="BR732" s="52"/>
      <c r="BS732" s="105"/>
      <c r="BT732" s="98"/>
      <c r="BU732" s="279"/>
      <c r="BV732" s="52"/>
      <c r="BW732" s="105"/>
      <c r="BX732" s="98"/>
      <c r="BY732" s="279"/>
      <c r="BZ732" s="52"/>
      <c r="CA732" s="105"/>
      <c r="CB732" s="98"/>
      <c r="CC732" s="279"/>
      <c r="CD732" s="52"/>
      <c r="CE732" s="105"/>
      <c r="CF732" s="98"/>
      <c r="CG732" s="279"/>
      <c r="CH732" s="52"/>
      <c r="CI732" s="105"/>
      <c r="CJ732" s="98"/>
      <c r="CK732" s="281"/>
      <c r="CL732" s="277"/>
      <c r="CM732" s="159"/>
      <c r="CN732" s="277"/>
      <c r="CO732" s="50">
        <f t="shared" si="287"/>
        <v>0</v>
      </c>
      <c r="CP732" s="103">
        <f t="shared" si="288"/>
        <v>0</v>
      </c>
      <c r="CQ732" s="280">
        <f t="shared" si="289"/>
        <v>0</v>
      </c>
      <c r="CR732" s="63">
        <f t="shared" si="290"/>
        <v>0</v>
      </c>
      <c r="CS732" s="279"/>
      <c r="CT732" s="52"/>
      <c r="CU732" s="105"/>
      <c r="CV732" s="98"/>
      <c r="CW732" s="279"/>
      <c r="CX732" s="52"/>
      <c r="CY732" s="105"/>
      <c r="CZ732" s="98"/>
      <c r="DA732" s="279"/>
      <c r="DB732" s="52"/>
      <c r="DC732" s="105"/>
      <c r="DD732" s="98"/>
      <c r="DE732" s="279"/>
      <c r="DF732" s="52"/>
      <c r="DG732" s="105"/>
      <c r="DH732" s="98"/>
      <c r="DI732" s="279"/>
      <c r="DJ732" s="52"/>
      <c r="DK732" s="105"/>
      <c r="DL732" s="98"/>
      <c r="DM732" s="279"/>
      <c r="DN732" s="52"/>
      <c r="DO732" s="105"/>
      <c r="DP732" s="98"/>
      <c r="DQ732" s="279"/>
      <c r="DR732" s="52"/>
      <c r="DS732" s="105"/>
      <c r="DT732" s="98"/>
      <c r="DU732" s="279"/>
      <c r="DV732" s="52"/>
      <c r="DW732" s="105"/>
      <c r="DX732" s="98"/>
      <c r="DY732" s="279"/>
      <c r="DZ732" s="52"/>
      <c r="EA732" s="105"/>
      <c r="EB732" s="98"/>
      <c r="EC732" s="279"/>
      <c r="ED732" s="52"/>
      <c r="EE732" s="105"/>
      <c r="EF732" s="98"/>
      <c r="EG732" s="159"/>
      <c r="EH732" s="277"/>
      <c r="EI732" s="50">
        <f t="shared" si="291"/>
        <v>0</v>
      </c>
      <c r="EJ732" s="103">
        <f t="shared" si="292"/>
        <v>0</v>
      </c>
      <c r="EK732" s="164">
        <f t="shared" si="293"/>
        <v>0</v>
      </c>
      <c r="EL732" s="280">
        <f t="shared" si="294"/>
        <v>0</v>
      </c>
      <c r="EM732" s="63">
        <f t="shared" si="295"/>
        <v>0</v>
      </c>
      <c r="EN732" s="359">
        <f t="shared" si="296"/>
        <v>0</v>
      </c>
      <c r="EO732" s="51">
        <f t="shared" si="297"/>
        <v>0</v>
      </c>
      <c r="EP732" s="361">
        <f t="shared" si="298"/>
        <v>0</v>
      </c>
      <c r="EQ732" s="281"/>
      <c r="ER732" s="277"/>
      <c r="ES732" s="281"/>
      <c r="ET732" s="277"/>
      <c r="EU732" s="281"/>
      <c r="EV732" s="277"/>
      <c r="EW732" s="281"/>
      <c r="EX732" s="277"/>
      <c r="EY732" s="281"/>
      <c r="EZ732" s="277"/>
      <c r="FA732" s="281"/>
      <c r="FB732" s="277"/>
      <c r="FC732" s="281"/>
      <c r="FD732" s="277"/>
      <c r="FE732" s="281"/>
      <c r="FF732" s="277"/>
      <c r="FG732" s="281"/>
      <c r="FH732" s="277"/>
      <c r="FI732" s="281"/>
      <c r="FJ732" s="277"/>
      <c r="FK732" s="50">
        <f t="shared" si="299"/>
        <v>0</v>
      </c>
      <c r="FL732" s="63">
        <f t="shared" si="283"/>
        <v>0</v>
      </c>
      <c r="FM732" s="50">
        <f t="shared" si="305"/>
        <v>30</v>
      </c>
      <c r="FN732" s="360">
        <f t="shared" si="306"/>
        <v>27</v>
      </c>
      <c r="FO732" s="3"/>
      <c r="FP732" s="279"/>
      <c r="FQ732" s="52"/>
      <c r="FR732" s="296"/>
      <c r="FS732" s="98"/>
      <c r="FT732" s="467"/>
      <c r="FU732" s="52"/>
      <c r="FV732" s="296"/>
      <c r="FW732" s="98"/>
      <c r="FX732" s="467"/>
      <c r="FY732" s="52"/>
      <c r="FZ732" s="296"/>
      <c r="GA732" s="98"/>
      <c r="GB732" s="467"/>
      <c r="GC732" s="52"/>
      <c r="GD732" s="296"/>
      <c r="GE732" s="98"/>
      <c r="GF732" s="467"/>
      <c r="GG732" s="52"/>
      <c r="GH732" s="296"/>
      <c r="GI732" s="98"/>
      <c r="GJ732" s="467"/>
      <c r="GK732" s="52"/>
      <c r="GL732" s="296"/>
      <c r="GM732" s="464"/>
      <c r="GN732" s="467"/>
      <c r="GO732" s="52"/>
      <c r="GP732" s="296"/>
      <c r="GQ732" s="464"/>
      <c r="GR732" s="467"/>
      <c r="GS732" s="52"/>
      <c r="GT732" s="296"/>
      <c r="GU732" s="464"/>
      <c r="GV732" s="467"/>
      <c r="GW732" s="52"/>
      <c r="GX732" s="296"/>
      <c r="GY732" s="464"/>
      <c r="GZ732" s="467"/>
      <c r="HA732" s="52"/>
      <c r="HB732" s="296"/>
      <c r="HC732" s="3"/>
    </row>
    <row r="733" spans="1:211" s="86" customFormat="1">
      <c r="A733" s="321" t="s">
        <v>70</v>
      </c>
      <c r="B733" s="322" t="s">
        <v>371</v>
      </c>
      <c r="C733" s="321">
        <v>444954</v>
      </c>
      <c r="D733" s="353">
        <v>10</v>
      </c>
      <c r="E733" s="158">
        <v>56</v>
      </c>
      <c r="F733" s="277">
        <v>64</v>
      </c>
      <c r="G733" s="158"/>
      <c r="H733" s="277"/>
      <c r="I733" s="158">
        <v>326</v>
      </c>
      <c r="J733" s="277">
        <v>327</v>
      </c>
      <c r="K733" s="160">
        <f t="shared" si="284"/>
        <v>0</v>
      </c>
      <c r="L733" s="161">
        <f t="shared" si="300"/>
        <v>0</v>
      </c>
      <c r="M733" s="54"/>
      <c r="N733" s="55"/>
      <c r="O733" s="55"/>
      <c r="P733" s="55"/>
      <c r="Q733" s="162">
        <f t="shared" si="307"/>
        <v>0</v>
      </c>
      <c r="R733" s="558"/>
      <c r="S733" s="277"/>
      <c r="T733" s="277"/>
      <c r="U733" s="277"/>
      <c r="V733" s="97">
        <f t="shared" si="286"/>
        <v>0</v>
      </c>
      <c r="W733" s="279"/>
      <c r="X733" s="52"/>
      <c r="Y733" s="99"/>
      <c r="Z733" s="53"/>
      <c r="AA733" s="228"/>
      <c r="AB733" s="52"/>
      <c r="AC733" s="99"/>
      <c r="AD733" s="53"/>
      <c r="AE733" s="228"/>
      <c r="AF733" s="52"/>
      <c r="AG733" s="99"/>
      <c r="AH733" s="53"/>
      <c r="AI733" s="228"/>
      <c r="AJ733" s="52"/>
      <c r="AK733" s="99"/>
      <c r="AL733" s="53"/>
      <c r="AM733" s="228"/>
      <c r="AN733" s="52"/>
      <c r="AO733" s="99"/>
      <c r="AP733" s="53"/>
      <c r="AQ733" s="50">
        <f t="shared" si="301"/>
        <v>0</v>
      </c>
      <c r="AR733" s="163">
        <f t="shared" si="302"/>
        <v>0</v>
      </c>
      <c r="AS733" s="97">
        <f t="shared" si="303"/>
        <v>0</v>
      </c>
      <c r="AT733" s="278">
        <f t="shared" si="304"/>
        <v>0</v>
      </c>
      <c r="AU733" s="55"/>
      <c r="AV733" s="277"/>
      <c r="AW733" s="279"/>
      <c r="AX733" s="52"/>
      <c r="AY733" s="105"/>
      <c r="AZ733" s="98"/>
      <c r="BA733" s="279"/>
      <c r="BB733" s="52"/>
      <c r="BC733" s="105"/>
      <c r="BD733" s="98"/>
      <c r="BE733" s="279"/>
      <c r="BF733" s="52"/>
      <c r="BG733" s="105"/>
      <c r="BH733" s="98"/>
      <c r="BI733" s="279"/>
      <c r="BJ733" s="52"/>
      <c r="BK733" s="105"/>
      <c r="BL733" s="98"/>
      <c r="BM733" s="279"/>
      <c r="BN733" s="52"/>
      <c r="BO733" s="105"/>
      <c r="BP733" s="98"/>
      <c r="BQ733" s="279"/>
      <c r="BR733" s="52"/>
      <c r="BS733" s="105"/>
      <c r="BT733" s="98"/>
      <c r="BU733" s="279"/>
      <c r="BV733" s="52"/>
      <c r="BW733" s="105"/>
      <c r="BX733" s="98"/>
      <c r="BY733" s="279"/>
      <c r="BZ733" s="52"/>
      <c r="CA733" s="105"/>
      <c r="CB733" s="98"/>
      <c r="CC733" s="279"/>
      <c r="CD733" s="52"/>
      <c r="CE733" s="105"/>
      <c r="CF733" s="98"/>
      <c r="CG733" s="279"/>
      <c r="CH733" s="52"/>
      <c r="CI733" s="105"/>
      <c r="CJ733" s="98"/>
      <c r="CK733" s="281"/>
      <c r="CL733" s="277"/>
      <c r="CM733" s="159"/>
      <c r="CN733" s="277"/>
      <c r="CO733" s="50">
        <f t="shared" si="287"/>
        <v>0</v>
      </c>
      <c r="CP733" s="103">
        <f t="shared" si="288"/>
        <v>0</v>
      </c>
      <c r="CQ733" s="280">
        <f t="shared" si="289"/>
        <v>0</v>
      </c>
      <c r="CR733" s="63">
        <f t="shared" si="290"/>
        <v>0</v>
      </c>
      <c r="CS733" s="279"/>
      <c r="CT733" s="52"/>
      <c r="CU733" s="105"/>
      <c r="CV733" s="98"/>
      <c r="CW733" s="279"/>
      <c r="CX733" s="52"/>
      <c r="CY733" s="105"/>
      <c r="CZ733" s="98"/>
      <c r="DA733" s="279"/>
      <c r="DB733" s="52"/>
      <c r="DC733" s="105"/>
      <c r="DD733" s="98"/>
      <c r="DE733" s="279"/>
      <c r="DF733" s="52"/>
      <c r="DG733" s="105"/>
      <c r="DH733" s="98"/>
      <c r="DI733" s="279"/>
      <c r="DJ733" s="52"/>
      <c r="DK733" s="105"/>
      <c r="DL733" s="98"/>
      <c r="DM733" s="279"/>
      <c r="DN733" s="52"/>
      <c r="DO733" s="105"/>
      <c r="DP733" s="98"/>
      <c r="DQ733" s="279"/>
      <c r="DR733" s="52"/>
      <c r="DS733" s="105"/>
      <c r="DT733" s="98"/>
      <c r="DU733" s="279"/>
      <c r="DV733" s="52"/>
      <c r="DW733" s="105"/>
      <c r="DX733" s="98"/>
      <c r="DY733" s="279"/>
      <c r="DZ733" s="52"/>
      <c r="EA733" s="105"/>
      <c r="EB733" s="98"/>
      <c r="EC733" s="279"/>
      <c r="ED733" s="52"/>
      <c r="EE733" s="105"/>
      <c r="EF733" s="98"/>
      <c r="EG733" s="159"/>
      <c r="EH733" s="277"/>
      <c r="EI733" s="50">
        <f t="shared" si="291"/>
        <v>0</v>
      </c>
      <c r="EJ733" s="103">
        <f t="shared" si="292"/>
        <v>0</v>
      </c>
      <c r="EK733" s="164">
        <f t="shared" si="293"/>
        <v>0</v>
      </c>
      <c r="EL733" s="280">
        <f t="shared" si="294"/>
        <v>0</v>
      </c>
      <c r="EM733" s="63">
        <f t="shared" si="295"/>
        <v>0</v>
      </c>
      <c r="EN733" s="359">
        <f t="shared" si="296"/>
        <v>0</v>
      </c>
      <c r="EO733" s="51">
        <f t="shared" si="297"/>
        <v>0</v>
      </c>
      <c r="EP733" s="361">
        <f t="shared" si="298"/>
        <v>0</v>
      </c>
      <c r="EQ733" s="281"/>
      <c r="ER733" s="277"/>
      <c r="ES733" s="281"/>
      <c r="ET733" s="277"/>
      <c r="EU733" s="281"/>
      <c r="EV733" s="277"/>
      <c r="EW733" s="281"/>
      <c r="EX733" s="277"/>
      <c r="EY733" s="281"/>
      <c r="EZ733" s="277"/>
      <c r="FA733" s="281"/>
      <c r="FB733" s="277"/>
      <c r="FC733" s="281"/>
      <c r="FD733" s="277"/>
      <c r="FE733" s="281"/>
      <c r="FF733" s="277"/>
      <c r="FG733" s="281"/>
      <c r="FH733" s="277"/>
      <c r="FI733" s="281"/>
      <c r="FJ733" s="277"/>
      <c r="FK733" s="50">
        <f t="shared" si="299"/>
        <v>0</v>
      </c>
      <c r="FL733" s="63">
        <f t="shared" si="283"/>
        <v>0</v>
      </c>
      <c r="FM733" s="50">
        <f t="shared" si="305"/>
        <v>382</v>
      </c>
      <c r="FN733" s="360">
        <f t="shared" si="306"/>
        <v>391</v>
      </c>
      <c r="FO733" s="3"/>
      <c r="FP733" s="279"/>
      <c r="FQ733" s="52"/>
      <c r="FR733" s="296"/>
      <c r="FS733" s="98"/>
      <c r="FT733" s="467"/>
      <c r="FU733" s="52"/>
      <c r="FV733" s="296"/>
      <c r="FW733" s="98"/>
      <c r="FX733" s="467"/>
      <c r="FY733" s="52"/>
      <c r="FZ733" s="296"/>
      <c r="GA733" s="98"/>
      <c r="GB733" s="467"/>
      <c r="GC733" s="52"/>
      <c r="GD733" s="296"/>
      <c r="GE733" s="98"/>
      <c r="GF733" s="467"/>
      <c r="GG733" s="52"/>
      <c r="GH733" s="296"/>
      <c r="GI733" s="98"/>
      <c r="GJ733" s="467"/>
      <c r="GK733" s="52"/>
      <c r="GL733" s="296"/>
      <c r="GM733" s="464"/>
      <c r="GN733" s="467"/>
      <c r="GO733" s="52"/>
      <c r="GP733" s="296"/>
      <c r="GQ733" s="464"/>
      <c r="GR733" s="467"/>
      <c r="GS733" s="52"/>
      <c r="GT733" s="296"/>
      <c r="GU733" s="464"/>
      <c r="GV733" s="467"/>
      <c r="GW733" s="52"/>
      <c r="GX733" s="296"/>
      <c r="GY733" s="464"/>
      <c r="GZ733" s="467"/>
      <c r="HA733" s="52"/>
      <c r="HB733" s="296"/>
      <c r="HC733" s="3"/>
    </row>
    <row r="734" spans="1:211" s="86" customFormat="1">
      <c r="A734" s="321" t="s">
        <v>70</v>
      </c>
      <c r="B734" s="322" t="s">
        <v>372</v>
      </c>
      <c r="C734" s="321">
        <v>447582</v>
      </c>
      <c r="D734" s="353">
        <v>10</v>
      </c>
      <c r="E734" s="158">
        <v>40</v>
      </c>
      <c r="F734" s="277">
        <v>39</v>
      </c>
      <c r="G734" s="158"/>
      <c r="H734" s="277"/>
      <c r="I734" s="158">
        <v>162</v>
      </c>
      <c r="J734" s="277">
        <v>144</v>
      </c>
      <c r="K734" s="160">
        <f t="shared" si="284"/>
        <v>0</v>
      </c>
      <c r="L734" s="161">
        <f t="shared" si="300"/>
        <v>0</v>
      </c>
      <c r="M734" s="54"/>
      <c r="N734" s="55"/>
      <c r="O734" s="55"/>
      <c r="P734" s="55"/>
      <c r="Q734" s="162">
        <f t="shared" si="307"/>
        <v>0</v>
      </c>
      <c r="R734" s="558"/>
      <c r="S734" s="277"/>
      <c r="T734" s="277"/>
      <c r="U734" s="277"/>
      <c r="V734" s="97">
        <f t="shared" si="286"/>
        <v>0</v>
      </c>
      <c r="W734" s="279"/>
      <c r="X734" s="52"/>
      <c r="Y734" s="99"/>
      <c r="Z734" s="53"/>
      <c r="AA734" s="228"/>
      <c r="AB734" s="52"/>
      <c r="AC734" s="99"/>
      <c r="AD734" s="53"/>
      <c r="AE734" s="228"/>
      <c r="AF734" s="52"/>
      <c r="AG734" s="99"/>
      <c r="AH734" s="53"/>
      <c r="AI734" s="228"/>
      <c r="AJ734" s="52"/>
      <c r="AK734" s="99"/>
      <c r="AL734" s="53"/>
      <c r="AM734" s="228"/>
      <c r="AN734" s="52"/>
      <c r="AO734" s="99"/>
      <c r="AP734" s="53"/>
      <c r="AQ734" s="50">
        <f t="shared" si="301"/>
        <v>0</v>
      </c>
      <c r="AR734" s="163">
        <f t="shared" si="302"/>
        <v>0</v>
      </c>
      <c r="AS734" s="97">
        <f t="shared" si="303"/>
        <v>0</v>
      </c>
      <c r="AT734" s="278">
        <f t="shared" si="304"/>
        <v>0</v>
      </c>
      <c r="AU734" s="55"/>
      <c r="AV734" s="277"/>
      <c r="AW734" s="279"/>
      <c r="AX734" s="52"/>
      <c r="AY734" s="105"/>
      <c r="AZ734" s="98"/>
      <c r="BA734" s="279"/>
      <c r="BB734" s="52"/>
      <c r="BC734" s="105"/>
      <c r="BD734" s="98"/>
      <c r="BE734" s="279"/>
      <c r="BF734" s="52"/>
      <c r="BG734" s="105"/>
      <c r="BH734" s="98"/>
      <c r="BI734" s="279"/>
      <c r="BJ734" s="52"/>
      <c r="BK734" s="105"/>
      <c r="BL734" s="98"/>
      <c r="BM734" s="279"/>
      <c r="BN734" s="52"/>
      <c r="BO734" s="105"/>
      <c r="BP734" s="98"/>
      <c r="BQ734" s="279"/>
      <c r="BR734" s="52"/>
      <c r="BS734" s="105"/>
      <c r="BT734" s="98"/>
      <c r="BU734" s="279"/>
      <c r="BV734" s="52"/>
      <c r="BW734" s="105"/>
      <c r="BX734" s="98"/>
      <c r="BY734" s="279"/>
      <c r="BZ734" s="52"/>
      <c r="CA734" s="105"/>
      <c r="CB734" s="98"/>
      <c r="CC734" s="279"/>
      <c r="CD734" s="52"/>
      <c r="CE734" s="105"/>
      <c r="CF734" s="98"/>
      <c r="CG734" s="279"/>
      <c r="CH734" s="52"/>
      <c r="CI734" s="105"/>
      <c r="CJ734" s="98"/>
      <c r="CK734" s="281"/>
      <c r="CL734" s="277"/>
      <c r="CM734" s="159"/>
      <c r="CN734" s="277"/>
      <c r="CO734" s="50">
        <f t="shared" si="287"/>
        <v>0</v>
      </c>
      <c r="CP734" s="103">
        <f t="shared" si="288"/>
        <v>0</v>
      </c>
      <c r="CQ734" s="280">
        <f t="shared" si="289"/>
        <v>0</v>
      </c>
      <c r="CR734" s="63">
        <f t="shared" si="290"/>
        <v>0</v>
      </c>
      <c r="CS734" s="279"/>
      <c r="CT734" s="52"/>
      <c r="CU734" s="105"/>
      <c r="CV734" s="98"/>
      <c r="CW734" s="279"/>
      <c r="CX734" s="52"/>
      <c r="CY734" s="105"/>
      <c r="CZ734" s="98"/>
      <c r="DA734" s="279"/>
      <c r="DB734" s="52"/>
      <c r="DC734" s="105"/>
      <c r="DD734" s="98"/>
      <c r="DE734" s="279"/>
      <c r="DF734" s="52"/>
      <c r="DG734" s="105"/>
      <c r="DH734" s="98"/>
      <c r="DI734" s="279"/>
      <c r="DJ734" s="52"/>
      <c r="DK734" s="105"/>
      <c r="DL734" s="98"/>
      <c r="DM734" s="279"/>
      <c r="DN734" s="52"/>
      <c r="DO734" s="105"/>
      <c r="DP734" s="98"/>
      <c r="DQ734" s="279"/>
      <c r="DR734" s="52"/>
      <c r="DS734" s="105"/>
      <c r="DT734" s="98"/>
      <c r="DU734" s="279"/>
      <c r="DV734" s="52"/>
      <c r="DW734" s="105"/>
      <c r="DX734" s="98"/>
      <c r="DY734" s="279"/>
      <c r="DZ734" s="52"/>
      <c r="EA734" s="105"/>
      <c r="EB734" s="98"/>
      <c r="EC734" s="279"/>
      <c r="ED734" s="52"/>
      <c r="EE734" s="105"/>
      <c r="EF734" s="98"/>
      <c r="EG734" s="159"/>
      <c r="EH734" s="277"/>
      <c r="EI734" s="50">
        <f t="shared" si="291"/>
        <v>0</v>
      </c>
      <c r="EJ734" s="103">
        <f t="shared" si="292"/>
        <v>0</v>
      </c>
      <c r="EK734" s="164">
        <f t="shared" si="293"/>
        <v>0</v>
      </c>
      <c r="EL734" s="280">
        <f t="shared" si="294"/>
        <v>0</v>
      </c>
      <c r="EM734" s="63">
        <f t="shared" si="295"/>
        <v>0</v>
      </c>
      <c r="EN734" s="359">
        <f t="shared" si="296"/>
        <v>0</v>
      </c>
      <c r="EO734" s="51">
        <f t="shared" si="297"/>
        <v>0</v>
      </c>
      <c r="EP734" s="361">
        <f t="shared" si="298"/>
        <v>0</v>
      </c>
      <c r="EQ734" s="281"/>
      <c r="ER734" s="277"/>
      <c r="ES734" s="281"/>
      <c r="ET734" s="277"/>
      <c r="EU734" s="281"/>
      <c r="EV734" s="277"/>
      <c r="EW734" s="281"/>
      <c r="EX734" s="277"/>
      <c r="EY734" s="281"/>
      <c r="EZ734" s="277"/>
      <c r="FA734" s="281"/>
      <c r="FB734" s="277"/>
      <c r="FC734" s="281"/>
      <c r="FD734" s="277"/>
      <c r="FE734" s="281"/>
      <c r="FF734" s="277"/>
      <c r="FG734" s="281"/>
      <c r="FH734" s="277"/>
      <c r="FI734" s="281"/>
      <c r="FJ734" s="277"/>
      <c r="FK734" s="50">
        <f t="shared" si="299"/>
        <v>0</v>
      </c>
      <c r="FL734" s="63">
        <f t="shared" si="283"/>
        <v>0</v>
      </c>
      <c r="FM734" s="50">
        <f t="shared" si="305"/>
        <v>202</v>
      </c>
      <c r="FN734" s="360">
        <f t="shared" si="306"/>
        <v>183</v>
      </c>
      <c r="FO734" s="3"/>
      <c r="FP734" s="279"/>
      <c r="FQ734" s="52"/>
      <c r="FR734" s="296"/>
      <c r="FS734" s="98"/>
      <c r="FT734" s="467"/>
      <c r="FU734" s="52"/>
      <c r="FV734" s="296"/>
      <c r="FW734" s="98"/>
      <c r="FX734" s="467"/>
      <c r="FY734" s="52"/>
      <c r="FZ734" s="296"/>
      <c r="GA734" s="98"/>
      <c r="GB734" s="467"/>
      <c r="GC734" s="52"/>
      <c r="GD734" s="296"/>
      <c r="GE734" s="98"/>
      <c r="GF734" s="467"/>
      <c r="GG734" s="52"/>
      <c r="GH734" s="296"/>
      <c r="GI734" s="98"/>
      <c r="GJ734" s="467"/>
      <c r="GK734" s="52"/>
      <c r="GL734" s="296"/>
      <c r="GM734" s="464"/>
      <c r="GN734" s="467"/>
      <c r="GO734" s="52"/>
      <c r="GP734" s="296"/>
      <c r="GQ734" s="464"/>
      <c r="GR734" s="467"/>
      <c r="GS734" s="52"/>
      <c r="GT734" s="296"/>
      <c r="GU734" s="464"/>
      <c r="GV734" s="467"/>
      <c r="GW734" s="52"/>
      <c r="GX734" s="296"/>
      <c r="GY734" s="464"/>
      <c r="GZ734" s="467"/>
      <c r="HA734" s="52"/>
      <c r="HB734" s="296"/>
      <c r="HC734" s="3"/>
    </row>
    <row r="735" spans="1:211" s="86" customFormat="1">
      <c r="A735" s="321" t="s">
        <v>70</v>
      </c>
      <c r="B735" s="563" t="s">
        <v>373</v>
      </c>
      <c r="C735" s="561">
        <v>237701</v>
      </c>
      <c r="D735" s="562">
        <v>7</v>
      </c>
      <c r="E735" s="158">
        <v>6</v>
      </c>
      <c r="F735" s="277">
        <v>7</v>
      </c>
      <c r="G735" s="158"/>
      <c r="H735" s="277"/>
      <c r="I735" s="158">
        <v>166</v>
      </c>
      <c r="J735" s="277">
        <v>143</v>
      </c>
      <c r="K735" s="160">
        <f t="shared" si="284"/>
        <v>27.666666666666668</v>
      </c>
      <c r="L735" s="161">
        <f t="shared" si="300"/>
        <v>15.888888888888889</v>
      </c>
      <c r="M735" s="54">
        <v>6</v>
      </c>
      <c r="N735" s="55"/>
      <c r="O735" s="55"/>
      <c r="P735" s="55"/>
      <c r="Q735" s="162">
        <f t="shared" si="307"/>
        <v>0</v>
      </c>
      <c r="R735" s="558">
        <v>9</v>
      </c>
      <c r="S735" s="277"/>
      <c r="T735" s="277"/>
      <c r="U735" s="277"/>
      <c r="V735" s="97">
        <f t="shared" si="286"/>
        <v>0</v>
      </c>
      <c r="W735" s="279"/>
      <c r="X735" s="52"/>
      <c r="Y735" s="99"/>
      <c r="Z735" s="53"/>
      <c r="AA735" s="228"/>
      <c r="AB735" s="52"/>
      <c r="AC735" s="99"/>
      <c r="AD735" s="53"/>
      <c r="AE735" s="228"/>
      <c r="AF735" s="52"/>
      <c r="AG735" s="99"/>
      <c r="AH735" s="53"/>
      <c r="AI735" s="228"/>
      <c r="AJ735" s="52"/>
      <c r="AK735" s="99"/>
      <c r="AL735" s="53"/>
      <c r="AM735" s="228"/>
      <c r="AN735" s="52"/>
      <c r="AO735" s="99"/>
      <c r="AP735" s="53"/>
      <c r="AQ735" s="50">
        <f t="shared" si="301"/>
        <v>0</v>
      </c>
      <c r="AR735" s="163">
        <f t="shared" si="302"/>
        <v>3.3707865168539325E-2</v>
      </c>
      <c r="AS735" s="97">
        <f t="shared" si="303"/>
        <v>0</v>
      </c>
      <c r="AT735" s="278">
        <f t="shared" si="304"/>
        <v>5.6603773584905662E-2</v>
      </c>
      <c r="AU735" s="55"/>
      <c r="AV735" s="277"/>
      <c r="AW735" s="279"/>
      <c r="AX735" s="52"/>
      <c r="AY735" s="105"/>
      <c r="AZ735" s="98"/>
      <c r="BA735" s="279"/>
      <c r="BB735" s="52"/>
      <c r="BC735" s="105"/>
      <c r="BD735" s="98"/>
      <c r="BE735" s="279"/>
      <c r="BF735" s="52"/>
      <c r="BG735" s="105"/>
      <c r="BH735" s="98"/>
      <c r="BI735" s="279"/>
      <c r="BJ735" s="52"/>
      <c r="BK735" s="105"/>
      <c r="BL735" s="98"/>
      <c r="BM735" s="279"/>
      <c r="BN735" s="52"/>
      <c r="BO735" s="105"/>
      <c r="BP735" s="98"/>
      <c r="BQ735" s="279"/>
      <c r="BR735" s="52"/>
      <c r="BS735" s="105"/>
      <c r="BT735" s="98"/>
      <c r="BU735" s="279"/>
      <c r="BV735" s="52"/>
      <c r="BW735" s="105"/>
      <c r="BX735" s="98"/>
      <c r="BY735" s="279"/>
      <c r="BZ735" s="52"/>
      <c r="CA735" s="105"/>
      <c r="CB735" s="98"/>
      <c r="CC735" s="279"/>
      <c r="CD735" s="52"/>
      <c r="CE735" s="105"/>
      <c r="CF735" s="98"/>
      <c r="CG735" s="279"/>
      <c r="CH735" s="52"/>
      <c r="CI735" s="105"/>
      <c r="CJ735" s="98"/>
      <c r="CK735" s="281"/>
      <c r="CL735" s="277"/>
      <c r="CM735" s="159"/>
      <c r="CN735" s="277"/>
      <c r="CO735" s="50">
        <f t="shared" si="287"/>
        <v>0</v>
      </c>
      <c r="CP735" s="103">
        <f t="shared" si="288"/>
        <v>0</v>
      </c>
      <c r="CQ735" s="280">
        <f t="shared" si="289"/>
        <v>0</v>
      </c>
      <c r="CR735" s="63">
        <f t="shared" si="290"/>
        <v>0</v>
      </c>
      <c r="CS735" s="279"/>
      <c r="CT735" s="52"/>
      <c r="CU735" s="105"/>
      <c r="CV735" s="98"/>
      <c r="CW735" s="279"/>
      <c r="CX735" s="52"/>
      <c r="CY735" s="105"/>
      <c r="CZ735" s="98"/>
      <c r="DA735" s="279"/>
      <c r="DB735" s="52"/>
      <c r="DC735" s="105"/>
      <c r="DD735" s="98"/>
      <c r="DE735" s="279"/>
      <c r="DF735" s="52"/>
      <c r="DG735" s="105"/>
      <c r="DH735" s="98"/>
      <c r="DI735" s="279"/>
      <c r="DJ735" s="52"/>
      <c r="DK735" s="105"/>
      <c r="DL735" s="98"/>
      <c r="DM735" s="279"/>
      <c r="DN735" s="52"/>
      <c r="DO735" s="105"/>
      <c r="DP735" s="98"/>
      <c r="DQ735" s="279"/>
      <c r="DR735" s="52"/>
      <c r="DS735" s="105"/>
      <c r="DT735" s="98"/>
      <c r="DU735" s="279"/>
      <c r="DV735" s="52"/>
      <c r="DW735" s="105"/>
      <c r="DX735" s="98"/>
      <c r="DY735" s="279"/>
      <c r="DZ735" s="52"/>
      <c r="EA735" s="105"/>
      <c r="EB735" s="98"/>
      <c r="EC735" s="279"/>
      <c r="ED735" s="52"/>
      <c r="EE735" s="105"/>
      <c r="EF735" s="98"/>
      <c r="EG735" s="159"/>
      <c r="EH735" s="277"/>
      <c r="EI735" s="50">
        <f t="shared" si="291"/>
        <v>0</v>
      </c>
      <c r="EJ735" s="103">
        <f t="shared" si="292"/>
        <v>0</v>
      </c>
      <c r="EK735" s="164">
        <f t="shared" si="293"/>
        <v>0</v>
      </c>
      <c r="EL735" s="280">
        <f t="shared" si="294"/>
        <v>0</v>
      </c>
      <c r="EM735" s="63">
        <f t="shared" si="295"/>
        <v>0</v>
      </c>
      <c r="EN735" s="359">
        <f t="shared" si="296"/>
        <v>0</v>
      </c>
      <c r="EO735" s="51">
        <f t="shared" si="297"/>
        <v>0</v>
      </c>
      <c r="EP735" s="361">
        <f t="shared" si="298"/>
        <v>0</v>
      </c>
      <c r="EQ735" s="281"/>
      <c r="ER735" s="277"/>
      <c r="ES735" s="281"/>
      <c r="ET735" s="277"/>
      <c r="EU735" s="281"/>
      <c r="EV735" s="277"/>
      <c r="EW735" s="281"/>
      <c r="EX735" s="277"/>
      <c r="EY735" s="281"/>
      <c r="EZ735" s="277"/>
      <c r="FA735" s="281"/>
      <c r="FB735" s="277"/>
      <c r="FC735" s="281"/>
      <c r="FD735" s="277"/>
      <c r="FE735" s="281"/>
      <c r="FF735" s="277"/>
      <c r="FG735" s="281"/>
      <c r="FH735" s="277"/>
      <c r="FI735" s="281"/>
      <c r="FJ735" s="277"/>
      <c r="FK735" s="50">
        <f t="shared" si="299"/>
        <v>0</v>
      </c>
      <c r="FL735" s="63">
        <f t="shared" si="283"/>
        <v>0</v>
      </c>
      <c r="FM735" s="50">
        <f t="shared" si="305"/>
        <v>178</v>
      </c>
      <c r="FN735" s="360">
        <f t="shared" si="306"/>
        <v>159</v>
      </c>
      <c r="FO735" s="3"/>
      <c r="FP735" s="279"/>
      <c r="FQ735" s="52"/>
      <c r="FR735" s="296"/>
      <c r="FS735" s="98"/>
      <c r="FT735" s="467"/>
      <c r="FU735" s="52"/>
      <c r="FV735" s="296"/>
      <c r="FW735" s="98"/>
      <c r="FX735" s="467"/>
      <c r="FY735" s="52"/>
      <c r="FZ735" s="296"/>
      <c r="GA735" s="98"/>
      <c r="GB735" s="467"/>
      <c r="GC735" s="52"/>
      <c r="GD735" s="296"/>
      <c r="GE735" s="98"/>
      <c r="GF735" s="467"/>
      <c r="GG735" s="52"/>
      <c r="GH735" s="296"/>
      <c r="GI735" s="98"/>
      <c r="GJ735" s="467"/>
      <c r="GK735" s="52"/>
      <c r="GL735" s="296"/>
      <c r="GM735" s="464"/>
      <c r="GN735" s="467"/>
      <c r="GO735" s="52"/>
      <c r="GP735" s="296"/>
      <c r="GQ735" s="464"/>
      <c r="GR735" s="467"/>
      <c r="GS735" s="52"/>
      <c r="GT735" s="296"/>
      <c r="GU735" s="464"/>
      <c r="GV735" s="467"/>
      <c r="GW735" s="52"/>
      <c r="GX735" s="296"/>
      <c r="GY735" s="464"/>
      <c r="GZ735" s="467"/>
      <c r="HA735" s="52"/>
      <c r="HB735" s="296"/>
      <c r="HC735" s="3"/>
    </row>
    <row r="736" spans="1:211" s="86" customFormat="1">
      <c r="A736" s="321" t="s">
        <v>70</v>
      </c>
      <c r="B736" s="322" t="s">
        <v>374</v>
      </c>
      <c r="C736" s="321">
        <v>237817</v>
      </c>
      <c r="D736" s="353">
        <v>10</v>
      </c>
      <c r="E736" s="158">
        <v>37</v>
      </c>
      <c r="F736" s="277">
        <v>53</v>
      </c>
      <c r="G736" s="158"/>
      <c r="H736" s="277"/>
      <c r="I736" s="158">
        <v>226</v>
      </c>
      <c r="J736" s="277">
        <v>270</v>
      </c>
      <c r="K736" s="160">
        <f t="shared" si="284"/>
        <v>0</v>
      </c>
      <c r="L736" s="161">
        <f t="shared" si="300"/>
        <v>0</v>
      </c>
      <c r="M736" s="54"/>
      <c r="N736" s="55"/>
      <c r="O736" s="55"/>
      <c r="P736" s="55"/>
      <c r="Q736" s="162">
        <f t="shared" si="307"/>
        <v>0</v>
      </c>
      <c r="R736" s="558"/>
      <c r="S736" s="277"/>
      <c r="T736" s="277"/>
      <c r="U736" s="277"/>
      <c r="V736" s="97">
        <f t="shared" si="286"/>
        <v>0</v>
      </c>
      <c r="W736" s="279"/>
      <c r="X736" s="52"/>
      <c r="Y736" s="99"/>
      <c r="Z736" s="53"/>
      <c r="AA736" s="228"/>
      <c r="AB736" s="52"/>
      <c r="AC736" s="99"/>
      <c r="AD736" s="53"/>
      <c r="AE736" s="228"/>
      <c r="AF736" s="52"/>
      <c r="AG736" s="99"/>
      <c r="AH736" s="53"/>
      <c r="AI736" s="228"/>
      <c r="AJ736" s="52"/>
      <c r="AK736" s="99"/>
      <c r="AL736" s="53"/>
      <c r="AM736" s="228"/>
      <c r="AN736" s="52"/>
      <c r="AO736" s="99"/>
      <c r="AP736" s="53"/>
      <c r="AQ736" s="50">
        <f t="shared" si="301"/>
        <v>0</v>
      </c>
      <c r="AR736" s="163">
        <f t="shared" si="302"/>
        <v>0</v>
      </c>
      <c r="AS736" s="97">
        <f t="shared" si="303"/>
        <v>0</v>
      </c>
      <c r="AT736" s="278">
        <f t="shared" si="304"/>
        <v>0</v>
      </c>
      <c r="AU736" s="55"/>
      <c r="AV736" s="277"/>
      <c r="AW736" s="279"/>
      <c r="AX736" s="52"/>
      <c r="AY736" s="105"/>
      <c r="AZ736" s="98"/>
      <c r="BA736" s="279"/>
      <c r="BB736" s="52"/>
      <c r="BC736" s="105"/>
      <c r="BD736" s="98"/>
      <c r="BE736" s="279"/>
      <c r="BF736" s="52"/>
      <c r="BG736" s="105"/>
      <c r="BH736" s="98"/>
      <c r="BI736" s="279"/>
      <c r="BJ736" s="52"/>
      <c r="BK736" s="105"/>
      <c r="BL736" s="98"/>
      <c r="BM736" s="279"/>
      <c r="BN736" s="52"/>
      <c r="BO736" s="105"/>
      <c r="BP736" s="98"/>
      <c r="BQ736" s="279"/>
      <c r="BR736" s="52"/>
      <c r="BS736" s="105"/>
      <c r="BT736" s="98"/>
      <c r="BU736" s="279"/>
      <c r="BV736" s="52"/>
      <c r="BW736" s="105"/>
      <c r="BX736" s="98"/>
      <c r="BY736" s="279"/>
      <c r="BZ736" s="52"/>
      <c r="CA736" s="105"/>
      <c r="CB736" s="98"/>
      <c r="CC736" s="279"/>
      <c r="CD736" s="52"/>
      <c r="CE736" s="105"/>
      <c r="CF736" s="98"/>
      <c r="CG736" s="279"/>
      <c r="CH736" s="52"/>
      <c r="CI736" s="105"/>
      <c r="CJ736" s="98"/>
      <c r="CK736" s="281"/>
      <c r="CL736" s="277"/>
      <c r="CM736" s="159"/>
      <c r="CN736" s="277"/>
      <c r="CO736" s="50">
        <f t="shared" si="287"/>
        <v>0</v>
      </c>
      <c r="CP736" s="103">
        <f t="shared" si="288"/>
        <v>0</v>
      </c>
      <c r="CQ736" s="280">
        <f t="shared" si="289"/>
        <v>0</v>
      </c>
      <c r="CR736" s="63">
        <f t="shared" si="290"/>
        <v>0</v>
      </c>
      <c r="CS736" s="279"/>
      <c r="CT736" s="52"/>
      <c r="CU736" s="105"/>
      <c r="CV736" s="98"/>
      <c r="CW736" s="279"/>
      <c r="CX736" s="52"/>
      <c r="CY736" s="105"/>
      <c r="CZ736" s="98"/>
      <c r="DA736" s="279"/>
      <c r="DB736" s="52"/>
      <c r="DC736" s="105"/>
      <c r="DD736" s="98"/>
      <c r="DE736" s="279"/>
      <c r="DF736" s="52"/>
      <c r="DG736" s="105"/>
      <c r="DH736" s="98"/>
      <c r="DI736" s="279"/>
      <c r="DJ736" s="52"/>
      <c r="DK736" s="105"/>
      <c r="DL736" s="98"/>
      <c r="DM736" s="279"/>
      <c r="DN736" s="52"/>
      <c r="DO736" s="105"/>
      <c r="DP736" s="98"/>
      <c r="DQ736" s="279"/>
      <c r="DR736" s="52"/>
      <c r="DS736" s="105"/>
      <c r="DT736" s="98"/>
      <c r="DU736" s="279"/>
      <c r="DV736" s="52"/>
      <c r="DW736" s="105"/>
      <c r="DX736" s="98"/>
      <c r="DY736" s="279"/>
      <c r="DZ736" s="52"/>
      <c r="EA736" s="105"/>
      <c r="EB736" s="98"/>
      <c r="EC736" s="279"/>
      <c r="ED736" s="52"/>
      <c r="EE736" s="105"/>
      <c r="EF736" s="98"/>
      <c r="EG736" s="159"/>
      <c r="EH736" s="277"/>
      <c r="EI736" s="50">
        <f t="shared" si="291"/>
        <v>0</v>
      </c>
      <c r="EJ736" s="103">
        <f t="shared" si="292"/>
        <v>0</v>
      </c>
      <c r="EK736" s="164">
        <f t="shared" si="293"/>
        <v>0</v>
      </c>
      <c r="EL736" s="280">
        <f t="shared" si="294"/>
        <v>0</v>
      </c>
      <c r="EM736" s="63">
        <f t="shared" si="295"/>
        <v>0</v>
      </c>
      <c r="EN736" s="359">
        <f t="shared" si="296"/>
        <v>0</v>
      </c>
      <c r="EO736" s="51">
        <f t="shared" si="297"/>
        <v>0</v>
      </c>
      <c r="EP736" s="361">
        <f t="shared" si="298"/>
        <v>0</v>
      </c>
      <c r="EQ736" s="281"/>
      <c r="ER736" s="277"/>
      <c r="ES736" s="281"/>
      <c r="ET736" s="277"/>
      <c r="EU736" s="281"/>
      <c r="EV736" s="277"/>
      <c r="EW736" s="281"/>
      <c r="EX736" s="277"/>
      <c r="EY736" s="281"/>
      <c r="EZ736" s="277"/>
      <c r="FA736" s="281"/>
      <c r="FB736" s="277"/>
      <c r="FC736" s="281"/>
      <c r="FD736" s="277"/>
      <c r="FE736" s="281"/>
      <c r="FF736" s="277"/>
      <c r="FG736" s="281"/>
      <c r="FH736" s="277"/>
      <c r="FI736" s="281"/>
      <c r="FJ736" s="277"/>
      <c r="FK736" s="50">
        <f t="shared" si="299"/>
        <v>0</v>
      </c>
      <c r="FL736" s="63">
        <f t="shared" si="283"/>
        <v>0</v>
      </c>
      <c r="FM736" s="50">
        <f t="shared" si="305"/>
        <v>263</v>
      </c>
      <c r="FN736" s="360">
        <f t="shared" si="306"/>
        <v>323</v>
      </c>
      <c r="FO736" s="3"/>
      <c r="FP736" s="279"/>
      <c r="FQ736" s="52"/>
      <c r="FR736" s="296"/>
      <c r="FS736" s="98"/>
      <c r="FT736" s="467"/>
      <c r="FU736" s="52"/>
      <c r="FV736" s="296"/>
      <c r="FW736" s="98"/>
      <c r="FX736" s="467"/>
      <c r="FY736" s="52"/>
      <c r="FZ736" s="296"/>
      <c r="GA736" s="98"/>
      <c r="GB736" s="467"/>
      <c r="GC736" s="52"/>
      <c r="GD736" s="296"/>
      <c r="GE736" s="98"/>
      <c r="GF736" s="467"/>
      <c r="GG736" s="52"/>
      <c r="GH736" s="296"/>
      <c r="GI736" s="98"/>
      <c r="GJ736" s="467"/>
      <c r="GK736" s="52"/>
      <c r="GL736" s="296"/>
      <c r="GM736" s="464"/>
      <c r="GN736" s="467"/>
      <c r="GO736" s="52"/>
      <c r="GP736" s="296"/>
      <c r="GQ736" s="464"/>
      <c r="GR736" s="467"/>
      <c r="GS736" s="52"/>
      <c r="GT736" s="296"/>
      <c r="GU736" s="464"/>
      <c r="GV736" s="467"/>
      <c r="GW736" s="52"/>
      <c r="GX736" s="296"/>
      <c r="GY736" s="464"/>
      <c r="GZ736" s="467"/>
      <c r="HA736" s="52"/>
      <c r="HB736" s="296"/>
      <c r="HC736" s="3"/>
    </row>
    <row r="737" spans="1:211" s="86" customFormat="1">
      <c r="A737" s="321" t="s">
        <v>70</v>
      </c>
      <c r="B737" s="322" t="s">
        <v>375</v>
      </c>
      <c r="C737" s="321">
        <v>238014</v>
      </c>
      <c r="D737" s="353">
        <v>10</v>
      </c>
      <c r="E737" s="158">
        <v>83</v>
      </c>
      <c r="F737" s="277">
        <v>111</v>
      </c>
      <c r="G737" s="158"/>
      <c r="H737" s="277"/>
      <c r="I737" s="158">
        <v>248</v>
      </c>
      <c r="J737" s="277">
        <v>258</v>
      </c>
      <c r="K737" s="160">
        <f t="shared" si="284"/>
        <v>0</v>
      </c>
      <c r="L737" s="161">
        <f t="shared" si="300"/>
        <v>0</v>
      </c>
      <c r="M737" s="54"/>
      <c r="N737" s="55"/>
      <c r="O737" s="55"/>
      <c r="P737" s="55"/>
      <c r="Q737" s="162">
        <f t="shared" si="307"/>
        <v>0</v>
      </c>
      <c r="R737" s="558"/>
      <c r="S737" s="277"/>
      <c r="T737" s="277"/>
      <c r="U737" s="277"/>
      <c r="V737" s="97">
        <f t="shared" si="286"/>
        <v>0</v>
      </c>
      <c r="W737" s="279"/>
      <c r="X737" s="52"/>
      <c r="Y737" s="99"/>
      <c r="Z737" s="53"/>
      <c r="AA737" s="228"/>
      <c r="AB737" s="52"/>
      <c r="AC737" s="99"/>
      <c r="AD737" s="53"/>
      <c r="AE737" s="228"/>
      <c r="AF737" s="52"/>
      <c r="AG737" s="99"/>
      <c r="AH737" s="53"/>
      <c r="AI737" s="228"/>
      <c r="AJ737" s="52"/>
      <c r="AK737" s="99"/>
      <c r="AL737" s="53"/>
      <c r="AM737" s="228"/>
      <c r="AN737" s="52"/>
      <c r="AO737" s="99"/>
      <c r="AP737" s="53"/>
      <c r="AQ737" s="50">
        <f t="shared" si="301"/>
        <v>0</v>
      </c>
      <c r="AR737" s="163">
        <f t="shared" si="302"/>
        <v>0</v>
      </c>
      <c r="AS737" s="97">
        <f t="shared" si="303"/>
        <v>0</v>
      </c>
      <c r="AT737" s="278">
        <f t="shared" si="304"/>
        <v>0</v>
      </c>
      <c r="AU737" s="55"/>
      <c r="AV737" s="277"/>
      <c r="AW737" s="279"/>
      <c r="AX737" s="52"/>
      <c r="AY737" s="105"/>
      <c r="AZ737" s="98"/>
      <c r="BA737" s="279"/>
      <c r="BB737" s="52"/>
      <c r="BC737" s="105"/>
      <c r="BD737" s="98"/>
      <c r="BE737" s="279"/>
      <c r="BF737" s="52"/>
      <c r="BG737" s="105"/>
      <c r="BH737" s="98"/>
      <c r="BI737" s="279"/>
      <c r="BJ737" s="52"/>
      <c r="BK737" s="105"/>
      <c r="BL737" s="98"/>
      <c r="BM737" s="279"/>
      <c r="BN737" s="52"/>
      <c r="BO737" s="105"/>
      <c r="BP737" s="98"/>
      <c r="BQ737" s="279"/>
      <c r="BR737" s="52"/>
      <c r="BS737" s="105"/>
      <c r="BT737" s="98"/>
      <c r="BU737" s="279"/>
      <c r="BV737" s="52"/>
      <c r="BW737" s="105"/>
      <c r="BX737" s="98"/>
      <c r="BY737" s="279"/>
      <c r="BZ737" s="52"/>
      <c r="CA737" s="105"/>
      <c r="CB737" s="98"/>
      <c r="CC737" s="279"/>
      <c r="CD737" s="52"/>
      <c r="CE737" s="105"/>
      <c r="CF737" s="98"/>
      <c r="CG737" s="279"/>
      <c r="CH737" s="52"/>
      <c r="CI737" s="105"/>
      <c r="CJ737" s="98"/>
      <c r="CK737" s="281"/>
      <c r="CL737" s="277"/>
      <c r="CM737" s="159"/>
      <c r="CN737" s="277"/>
      <c r="CO737" s="50">
        <f t="shared" si="287"/>
        <v>0</v>
      </c>
      <c r="CP737" s="103">
        <f t="shared" si="288"/>
        <v>0</v>
      </c>
      <c r="CQ737" s="280">
        <f t="shared" si="289"/>
        <v>0</v>
      </c>
      <c r="CR737" s="63">
        <f t="shared" si="290"/>
        <v>0</v>
      </c>
      <c r="CS737" s="279"/>
      <c r="CT737" s="52"/>
      <c r="CU737" s="105"/>
      <c r="CV737" s="98"/>
      <c r="CW737" s="279"/>
      <c r="CX737" s="52"/>
      <c r="CY737" s="105"/>
      <c r="CZ737" s="98"/>
      <c r="DA737" s="279"/>
      <c r="DB737" s="52"/>
      <c r="DC737" s="105"/>
      <c r="DD737" s="98"/>
      <c r="DE737" s="279"/>
      <c r="DF737" s="52"/>
      <c r="DG737" s="105"/>
      <c r="DH737" s="98"/>
      <c r="DI737" s="279"/>
      <c r="DJ737" s="52"/>
      <c r="DK737" s="105"/>
      <c r="DL737" s="98"/>
      <c r="DM737" s="279"/>
      <c r="DN737" s="52"/>
      <c r="DO737" s="105"/>
      <c r="DP737" s="98"/>
      <c r="DQ737" s="279"/>
      <c r="DR737" s="52"/>
      <c r="DS737" s="105"/>
      <c r="DT737" s="98"/>
      <c r="DU737" s="279"/>
      <c r="DV737" s="52"/>
      <c r="DW737" s="105"/>
      <c r="DX737" s="98"/>
      <c r="DY737" s="279"/>
      <c r="DZ737" s="52"/>
      <c r="EA737" s="105"/>
      <c r="EB737" s="98"/>
      <c r="EC737" s="279"/>
      <c r="ED737" s="52"/>
      <c r="EE737" s="105"/>
      <c r="EF737" s="98"/>
      <c r="EG737" s="159"/>
      <c r="EH737" s="277"/>
      <c r="EI737" s="50">
        <f t="shared" si="291"/>
        <v>0</v>
      </c>
      <c r="EJ737" s="103">
        <f t="shared" si="292"/>
        <v>0</v>
      </c>
      <c r="EK737" s="164">
        <f t="shared" si="293"/>
        <v>0</v>
      </c>
      <c r="EL737" s="280">
        <f t="shared" si="294"/>
        <v>0</v>
      </c>
      <c r="EM737" s="63">
        <f t="shared" si="295"/>
        <v>0</v>
      </c>
      <c r="EN737" s="359">
        <f t="shared" si="296"/>
        <v>0</v>
      </c>
      <c r="EO737" s="51">
        <f t="shared" si="297"/>
        <v>0</v>
      </c>
      <c r="EP737" s="361">
        <f t="shared" si="298"/>
        <v>0</v>
      </c>
      <c r="EQ737" s="281"/>
      <c r="ER737" s="277"/>
      <c r="ES737" s="281"/>
      <c r="ET737" s="277"/>
      <c r="EU737" s="281"/>
      <c r="EV737" s="277"/>
      <c r="EW737" s="281"/>
      <c r="EX737" s="277"/>
      <c r="EY737" s="281"/>
      <c r="EZ737" s="277"/>
      <c r="FA737" s="281"/>
      <c r="FB737" s="277"/>
      <c r="FC737" s="281"/>
      <c r="FD737" s="277"/>
      <c r="FE737" s="281"/>
      <c r="FF737" s="277"/>
      <c r="FG737" s="281"/>
      <c r="FH737" s="277"/>
      <c r="FI737" s="281"/>
      <c r="FJ737" s="277"/>
      <c r="FK737" s="50">
        <f t="shared" si="299"/>
        <v>0</v>
      </c>
      <c r="FL737" s="63">
        <f t="shared" si="283"/>
        <v>0</v>
      </c>
      <c r="FM737" s="50">
        <f t="shared" si="305"/>
        <v>331</v>
      </c>
      <c r="FN737" s="360">
        <f t="shared" si="306"/>
        <v>369</v>
      </c>
      <c r="FO737" s="3"/>
      <c r="FP737" s="279"/>
      <c r="FQ737" s="52"/>
      <c r="FR737" s="296"/>
      <c r="FS737" s="98"/>
      <c r="FT737" s="467"/>
      <c r="FU737" s="52"/>
      <c r="FV737" s="296"/>
      <c r="FW737" s="98"/>
      <c r="FX737" s="467"/>
      <c r="FY737" s="52"/>
      <c r="FZ737" s="296"/>
      <c r="GA737" s="98"/>
      <c r="GB737" s="467"/>
      <c r="GC737" s="52"/>
      <c r="GD737" s="296"/>
      <c r="GE737" s="98"/>
      <c r="GF737" s="467"/>
      <c r="GG737" s="52"/>
      <c r="GH737" s="296"/>
      <c r="GI737" s="98"/>
      <c r="GJ737" s="467"/>
      <c r="GK737" s="52"/>
      <c r="GL737" s="296"/>
      <c r="GM737" s="464"/>
      <c r="GN737" s="467"/>
      <c r="GO737" s="52"/>
      <c r="GP737" s="296"/>
      <c r="GQ737" s="464"/>
      <c r="GR737" s="467"/>
      <c r="GS737" s="52"/>
      <c r="GT737" s="296"/>
      <c r="GU737" s="464"/>
      <c r="GV737" s="467"/>
      <c r="GW737" s="52"/>
      <c r="GX737" s="296"/>
      <c r="GY737" s="464"/>
      <c r="GZ737" s="467"/>
      <c r="HA737" s="52"/>
      <c r="HB737" s="296"/>
      <c r="HC737" s="3"/>
    </row>
    <row r="738" spans="1:211" s="86" customFormat="1">
      <c r="A738" s="321" t="s">
        <v>70</v>
      </c>
      <c r="B738" s="322" t="s">
        <v>1235</v>
      </c>
      <c r="C738" s="321">
        <v>445018</v>
      </c>
      <c r="D738" s="353">
        <v>10</v>
      </c>
      <c r="E738" s="158">
        <v>13</v>
      </c>
      <c r="F738" s="277">
        <v>18</v>
      </c>
      <c r="G738" s="158"/>
      <c r="H738" s="277"/>
      <c r="I738" s="158">
        <v>255</v>
      </c>
      <c r="J738" s="277">
        <v>235</v>
      </c>
      <c r="K738" s="160">
        <f t="shared" si="284"/>
        <v>0</v>
      </c>
      <c r="L738" s="161">
        <f t="shared" si="300"/>
        <v>0</v>
      </c>
      <c r="M738" s="54"/>
      <c r="N738" s="55"/>
      <c r="O738" s="55"/>
      <c r="P738" s="55"/>
      <c r="Q738" s="162">
        <f t="shared" si="307"/>
        <v>0</v>
      </c>
      <c r="R738" s="558"/>
      <c r="S738" s="277"/>
      <c r="T738" s="277"/>
      <c r="U738" s="277"/>
      <c r="V738" s="97">
        <f t="shared" si="286"/>
        <v>0</v>
      </c>
      <c r="W738" s="279"/>
      <c r="X738" s="52"/>
      <c r="Y738" s="99"/>
      <c r="Z738" s="53"/>
      <c r="AA738" s="228"/>
      <c r="AB738" s="52"/>
      <c r="AC738" s="99"/>
      <c r="AD738" s="53"/>
      <c r="AE738" s="228"/>
      <c r="AF738" s="52"/>
      <c r="AG738" s="99"/>
      <c r="AH738" s="53"/>
      <c r="AI738" s="228"/>
      <c r="AJ738" s="52"/>
      <c r="AK738" s="99"/>
      <c r="AL738" s="53"/>
      <c r="AM738" s="228"/>
      <c r="AN738" s="52"/>
      <c r="AO738" s="99"/>
      <c r="AP738" s="53"/>
      <c r="AQ738" s="50">
        <f t="shared" si="301"/>
        <v>0</v>
      </c>
      <c r="AR738" s="163">
        <f t="shared" si="302"/>
        <v>0</v>
      </c>
      <c r="AS738" s="97">
        <f t="shared" si="303"/>
        <v>0</v>
      </c>
      <c r="AT738" s="278">
        <f t="shared" si="304"/>
        <v>0</v>
      </c>
      <c r="AU738" s="55"/>
      <c r="AV738" s="277"/>
      <c r="AW738" s="279"/>
      <c r="AX738" s="52"/>
      <c r="AY738" s="105"/>
      <c r="AZ738" s="98"/>
      <c r="BA738" s="279"/>
      <c r="BB738" s="52"/>
      <c r="BC738" s="105"/>
      <c r="BD738" s="98"/>
      <c r="BE738" s="279"/>
      <c r="BF738" s="52"/>
      <c r="BG738" s="105"/>
      <c r="BH738" s="98"/>
      <c r="BI738" s="279"/>
      <c r="BJ738" s="52"/>
      <c r="BK738" s="105"/>
      <c r="BL738" s="98"/>
      <c r="BM738" s="279"/>
      <c r="BN738" s="52"/>
      <c r="BO738" s="105"/>
      <c r="BP738" s="98"/>
      <c r="BQ738" s="279"/>
      <c r="BR738" s="52"/>
      <c r="BS738" s="105"/>
      <c r="BT738" s="98"/>
      <c r="BU738" s="279"/>
      <c r="BV738" s="52"/>
      <c r="BW738" s="105"/>
      <c r="BX738" s="98"/>
      <c r="BY738" s="279"/>
      <c r="BZ738" s="52"/>
      <c r="CA738" s="105"/>
      <c r="CB738" s="98"/>
      <c r="CC738" s="279"/>
      <c r="CD738" s="52"/>
      <c r="CE738" s="105"/>
      <c r="CF738" s="98"/>
      <c r="CG738" s="279"/>
      <c r="CH738" s="52"/>
      <c r="CI738" s="105"/>
      <c r="CJ738" s="98"/>
      <c r="CK738" s="281"/>
      <c r="CL738" s="277"/>
      <c r="CM738" s="159"/>
      <c r="CN738" s="277"/>
      <c r="CO738" s="50">
        <f t="shared" si="287"/>
        <v>0</v>
      </c>
      <c r="CP738" s="103">
        <f t="shared" si="288"/>
        <v>0</v>
      </c>
      <c r="CQ738" s="280">
        <f t="shared" si="289"/>
        <v>0</v>
      </c>
      <c r="CR738" s="63">
        <f t="shared" si="290"/>
        <v>0</v>
      </c>
      <c r="CS738" s="279"/>
      <c r="CT738" s="52"/>
      <c r="CU738" s="105"/>
      <c r="CV738" s="98"/>
      <c r="CW738" s="279"/>
      <c r="CX738" s="52"/>
      <c r="CY738" s="105"/>
      <c r="CZ738" s="98"/>
      <c r="DA738" s="279"/>
      <c r="DB738" s="52"/>
      <c r="DC738" s="105"/>
      <c r="DD738" s="98"/>
      <c r="DE738" s="279"/>
      <c r="DF738" s="52"/>
      <c r="DG738" s="105"/>
      <c r="DH738" s="98"/>
      <c r="DI738" s="279"/>
      <c r="DJ738" s="52"/>
      <c r="DK738" s="105"/>
      <c r="DL738" s="98"/>
      <c r="DM738" s="279"/>
      <c r="DN738" s="52"/>
      <c r="DO738" s="105"/>
      <c r="DP738" s="98"/>
      <c r="DQ738" s="279"/>
      <c r="DR738" s="52"/>
      <c r="DS738" s="105"/>
      <c r="DT738" s="98"/>
      <c r="DU738" s="279"/>
      <c r="DV738" s="52"/>
      <c r="DW738" s="105"/>
      <c r="DX738" s="98"/>
      <c r="DY738" s="279"/>
      <c r="DZ738" s="52"/>
      <c r="EA738" s="105"/>
      <c r="EB738" s="98"/>
      <c r="EC738" s="279"/>
      <c r="ED738" s="52"/>
      <c r="EE738" s="105"/>
      <c r="EF738" s="98"/>
      <c r="EG738" s="159"/>
      <c r="EH738" s="277"/>
      <c r="EI738" s="50">
        <f t="shared" si="291"/>
        <v>0</v>
      </c>
      <c r="EJ738" s="103">
        <f t="shared" si="292"/>
        <v>0</v>
      </c>
      <c r="EK738" s="164">
        <f t="shared" si="293"/>
        <v>0</v>
      </c>
      <c r="EL738" s="280">
        <f t="shared" si="294"/>
        <v>0</v>
      </c>
      <c r="EM738" s="63">
        <f t="shared" si="295"/>
        <v>0</v>
      </c>
      <c r="EN738" s="359">
        <f t="shared" si="296"/>
        <v>0</v>
      </c>
      <c r="EO738" s="51">
        <f t="shared" si="297"/>
        <v>0</v>
      </c>
      <c r="EP738" s="361">
        <f t="shared" si="298"/>
        <v>0</v>
      </c>
      <c r="EQ738" s="281"/>
      <c r="ER738" s="277"/>
      <c r="ES738" s="281"/>
      <c r="ET738" s="277"/>
      <c r="EU738" s="281"/>
      <c r="EV738" s="277"/>
      <c r="EW738" s="281"/>
      <c r="EX738" s="277"/>
      <c r="EY738" s="281"/>
      <c r="EZ738" s="277"/>
      <c r="FA738" s="281"/>
      <c r="FB738" s="277"/>
      <c r="FC738" s="281"/>
      <c r="FD738" s="277"/>
      <c r="FE738" s="281"/>
      <c r="FF738" s="277"/>
      <c r="FG738" s="281"/>
      <c r="FH738" s="277"/>
      <c r="FI738" s="281"/>
      <c r="FJ738" s="277"/>
      <c r="FK738" s="50">
        <f t="shared" si="299"/>
        <v>0</v>
      </c>
      <c r="FL738" s="63">
        <f t="shared" si="283"/>
        <v>0</v>
      </c>
      <c r="FM738" s="50">
        <f t="shared" si="305"/>
        <v>268</v>
      </c>
      <c r="FN738" s="360">
        <f t="shared" si="306"/>
        <v>253</v>
      </c>
      <c r="FO738" s="3"/>
      <c r="FP738" s="279"/>
      <c r="FQ738" s="52"/>
      <c r="FR738" s="296"/>
      <c r="FS738" s="98"/>
      <c r="FT738" s="467"/>
      <c r="FU738" s="52"/>
      <c r="FV738" s="296"/>
      <c r="FW738" s="98"/>
      <c r="FX738" s="467"/>
      <c r="FY738" s="52"/>
      <c r="FZ738" s="296"/>
      <c r="GA738" s="98"/>
      <c r="GB738" s="467"/>
      <c r="GC738" s="52"/>
      <c r="GD738" s="296"/>
      <c r="GE738" s="98"/>
      <c r="GF738" s="467"/>
      <c r="GG738" s="52"/>
      <c r="GH738" s="296"/>
      <c r="GI738" s="98"/>
      <c r="GJ738" s="467"/>
      <c r="GK738" s="52"/>
      <c r="GL738" s="296"/>
      <c r="GM738" s="464"/>
      <c r="GN738" s="467"/>
      <c r="GO738" s="52"/>
      <c r="GP738" s="296"/>
      <c r="GQ738" s="464"/>
      <c r="GR738" s="467"/>
      <c r="GS738" s="52"/>
      <c r="GT738" s="296"/>
      <c r="GU738" s="464"/>
      <c r="GV738" s="467"/>
      <c r="GW738" s="52"/>
      <c r="GX738" s="296"/>
      <c r="GY738" s="464"/>
      <c r="GZ738" s="467"/>
      <c r="HA738" s="52"/>
      <c r="HB738" s="296"/>
      <c r="HC738" s="3"/>
    </row>
    <row r="739" spans="1:211" s="86" customFormat="1">
      <c r="A739" s="321" t="s">
        <v>70</v>
      </c>
      <c r="B739" s="322" t="s">
        <v>376</v>
      </c>
      <c r="C739" s="321">
        <v>237880</v>
      </c>
      <c r="D739" s="353">
        <v>15</v>
      </c>
      <c r="E739" s="158"/>
      <c r="F739" s="277"/>
      <c r="G739" s="158"/>
      <c r="H739" s="277"/>
      <c r="I739" s="158"/>
      <c r="J739" s="277"/>
      <c r="K739" s="160">
        <f t="shared" si="284"/>
        <v>0</v>
      </c>
      <c r="L739" s="161">
        <f t="shared" si="300"/>
        <v>0</v>
      </c>
      <c r="M739" s="54"/>
      <c r="N739" s="55"/>
      <c r="O739" s="55"/>
      <c r="P739" s="55"/>
      <c r="Q739" s="162">
        <f t="shared" si="307"/>
        <v>0</v>
      </c>
      <c r="R739" s="558"/>
      <c r="S739" s="277"/>
      <c r="T739" s="277"/>
      <c r="U739" s="277"/>
      <c r="V739" s="97">
        <f t="shared" si="286"/>
        <v>0</v>
      </c>
      <c r="W739" s="279"/>
      <c r="X739" s="52"/>
      <c r="Y739" s="99"/>
      <c r="Z739" s="53"/>
      <c r="AA739" s="228"/>
      <c r="AB739" s="52"/>
      <c r="AC739" s="99"/>
      <c r="AD739" s="53"/>
      <c r="AE739" s="228"/>
      <c r="AF739" s="52"/>
      <c r="AG739" s="99"/>
      <c r="AH739" s="53"/>
      <c r="AI739" s="228"/>
      <c r="AJ739" s="52"/>
      <c r="AK739" s="99"/>
      <c r="AL739" s="53"/>
      <c r="AM739" s="228"/>
      <c r="AN739" s="52"/>
      <c r="AO739" s="99"/>
      <c r="AP739" s="53"/>
      <c r="AQ739" s="50">
        <f t="shared" si="301"/>
        <v>0</v>
      </c>
      <c r="AR739" s="163">
        <f t="shared" si="302"/>
        <v>0</v>
      </c>
      <c r="AS739" s="97">
        <f t="shared" si="303"/>
        <v>0</v>
      </c>
      <c r="AT739" s="278">
        <f t="shared" si="304"/>
        <v>0</v>
      </c>
      <c r="AU739" s="55"/>
      <c r="AV739" s="277"/>
      <c r="AW739" s="279"/>
      <c r="AX739" s="52"/>
      <c r="AY739" s="105"/>
      <c r="AZ739" s="98"/>
      <c r="BA739" s="279"/>
      <c r="BB739" s="52"/>
      <c r="BC739" s="105"/>
      <c r="BD739" s="98"/>
      <c r="BE739" s="279"/>
      <c r="BF739" s="52"/>
      <c r="BG739" s="105"/>
      <c r="BH739" s="98"/>
      <c r="BI739" s="279"/>
      <c r="BJ739" s="52"/>
      <c r="BK739" s="105"/>
      <c r="BL739" s="98"/>
      <c r="BM739" s="279"/>
      <c r="BN739" s="52"/>
      <c r="BO739" s="105"/>
      <c r="BP739" s="98"/>
      <c r="BQ739" s="279"/>
      <c r="BR739" s="52"/>
      <c r="BS739" s="105"/>
      <c r="BT739" s="98"/>
      <c r="BU739" s="279"/>
      <c r="BV739" s="52"/>
      <c r="BW739" s="105"/>
      <c r="BX739" s="98"/>
      <c r="BY739" s="279"/>
      <c r="BZ739" s="52"/>
      <c r="CA739" s="105"/>
      <c r="CB739" s="98"/>
      <c r="CC739" s="279"/>
      <c r="CD739" s="52"/>
      <c r="CE739" s="105"/>
      <c r="CF739" s="98"/>
      <c r="CG739" s="279"/>
      <c r="CH739" s="52"/>
      <c r="CI739" s="105"/>
      <c r="CJ739" s="98"/>
      <c r="CK739" s="281"/>
      <c r="CL739" s="277"/>
      <c r="CM739" s="159"/>
      <c r="CN739" s="277"/>
      <c r="CO739" s="50">
        <f t="shared" si="287"/>
        <v>0</v>
      </c>
      <c r="CP739" s="103">
        <f t="shared" si="288"/>
        <v>0</v>
      </c>
      <c r="CQ739" s="280">
        <f t="shared" si="289"/>
        <v>0</v>
      </c>
      <c r="CR739" s="63">
        <f t="shared" si="290"/>
        <v>0</v>
      </c>
      <c r="CS739" s="279"/>
      <c r="CT739" s="52"/>
      <c r="CU739" s="105"/>
      <c r="CV739" s="98"/>
      <c r="CW739" s="279"/>
      <c r="CX739" s="52"/>
      <c r="CY739" s="105"/>
      <c r="CZ739" s="98"/>
      <c r="DA739" s="279"/>
      <c r="DB739" s="52"/>
      <c r="DC739" s="105"/>
      <c r="DD739" s="98"/>
      <c r="DE739" s="279"/>
      <c r="DF739" s="52"/>
      <c r="DG739" s="105"/>
      <c r="DH739" s="98"/>
      <c r="DI739" s="279"/>
      <c r="DJ739" s="52"/>
      <c r="DK739" s="105"/>
      <c r="DL739" s="98"/>
      <c r="DM739" s="279"/>
      <c r="DN739" s="52"/>
      <c r="DO739" s="105"/>
      <c r="DP739" s="98"/>
      <c r="DQ739" s="279"/>
      <c r="DR739" s="52"/>
      <c r="DS739" s="105"/>
      <c r="DT739" s="98"/>
      <c r="DU739" s="279"/>
      <c r="DV739" s="52"/>
      <c r="DW739" s="105"/>
      <c r="DX739" s="98"/>
      <c r="DY739" s="279"/>
      <c r="DZ739" s="52"/>
      <c r="EA739" s="105"/>
      <c r="EB739" s="98"/>
      <c r="EC739" s="279"/>
      <c r="ED739" s="52"/>
      <c r="EE739" s="105"/>
      <c r="EF739" s="98"/>
      <c r="EG739" s="159"/>
      <c r="EH739" s="277"/>
      <c r="EI739" s="50">
        <f t="shared" si="291"/>
        <v>0</v>
      </c>
      <c r="EJ739" s="103">
        <f t="shared" si="292"/>
        <v>0</v>
      </c>
      <c r="EK739" s="164">
        <f t="shared" si="293"/>
        <v>0</v>
      </c>
      <c r="EL739" s="280">
        <f t="shared" si="294"/>
        <v>0</v>
      </c>
      <c r="EM739" s="63">
        <f t="shared" si="295"/>
        <v>0</v>
      </c>
      <c r="EN739" s="359">
        <f t="shared" si="296"/>
        <v>0</v>
      </c>
      <c r="EO739" s="51">
        <f t="shared" si="297"/>
        <v>0</v>
      </c>
      <c r="EP739" s="361">
        <f t="shared" si="298"/>
        <v>0</v>
      </c>
      <c r="EQ739" s="281"/>
      <c r="ER739" s="277"/>
      <c r="ES739" s="281"/>
      <c r="ET739" s="277"/>
      <c r="EU739" s="281"/>
      <c r="EV739" s="277"/>
      <c r="EW739" s="281"/>
      <c r="EX739" s="277"/>
      <c r="EY739" s="281"/>
      <c r="EZ739" s="277"/>
      <c r="FA739" s="281"/>
      <c r="FB739" s="277"/>
      <c r="FC739" s="281">
        <v>94</v>
      </c>
      <c r="FD739" s="277">
        <v>97</v>
      </c>
      <c r="FE739" s="281"/>
      <c r="FF739" s="277"/>
      <c r="FG739" s="281"/>
      <c r="FH739" s="277"/>
      <c r="FI739" s="281"/>
      <c r="FJ739" s="277"/>
      <c r="FK739" s="50">
        <f t="shared" si="299"/>
        <v>94</v>
      </c>
      <c r="FL739" s="63">
        <f t="shared" si="283"/>
        <v>97</v>
      </c>
      <c r="FM739" s="50">
        <f t="shared" si="305"/>
        <v>94</v>
      </c>
      <c r="FN739" s="360">
        <f t="shared" si="306"/>
        <v>97</v>
      </c>
      <c r="FO739" s="3"/>
      <c r="FP739" s="279"/>
      <c r="FQ739" s="52"/>
      <c r="FR739" s="296"/>
      <c r="FS739" s="98"/>
      <c r="FT739" s="467"/>
      <c r="FU739" s="52"/>
      <c r="FV739" s="296"/>
      <c r="FW739" s="98"/>
      <c r="FX739" s="467"/>
      <c r="FY739" s="52"/>
      <c r="FZ739" s="296"/>
      <c r="GA739" s="98"/>
      <c r="GB739" s="467"/>
      <c r="GC739" s="52"/>
      <c r="GD739" s="296"/>
      <c r="GE739" s="98"/>
      <c r="GF739" s="467"/>
      <c r="GG739" s="52"/>
      <c r="GH739" s="296"/>
      <c r="GI739" s="98"/>
      <c r="GJ739" s="467"/>
      <c r="GK739" s="52"/>
      <c r="GL739" s="296"/>
      <c r="GM739" s="464"/>
      <c r="GN739" s="467"/>
      <c r="GO739" s="52"/>
      <c r="GP739" s="296"/>
      <c r="GQ739" s="464"/>
      <c r="GR739" s="467"/>
      <c r="GS739" s="52"/>
      <c r="GT739" s="296"/>
      <c r="GU739" s="464"/>
      <c r="GV739" s="467"/>
      <c r="GW739" s="52"/>
      <c r="GX739" s="296"/>
      <c r="GY739" s="464"/>
      <c r="GZ739" s="467"/>
      <c r="HA739" s="52"/>
      <c r="HB739" s="296"/>
      <c r="HC739" s="3"/>
    </row>
    <row r="740" spans="1:211" s="85" customFormat="1">
      <c r="A740" s="394"/>
      <c r="B740" s="399"/>
      <c r="C740" s="394"/>
      <c r="D740" s="393"/>
      <c r="E740" s="726"/>
      <c r="F740" s="390"/>
      <c r="G740" s="726"/>
      <c r="H740" s="390"/>
      <c r="I740" s="389"/>
      <c r="J740" s="390"/>
      <c r="K740" s="727"/>
      <c r="L740" s="728"/>
      <c r="M740" s="389"/>
      <c r="N740" s="729"/>
      <c r="O740" s="729"/>
      <c r="P740" s="729"/>
      <c r="Q740" s="730"/>
      <c r="R740" s="390"/>
      <c r="S740" s="390"/>
      <c r="T740" s="390"/>
      <c r="U740" s="390"/>
      <c r="V740" s="731"/>
      <c r="W740" s="721"/>
      <c r="X740" s="389"/>
      <c r="Y740" s="537"/>
      <c r="Z740" s="53"/>
      <c r="AA740" s="732"/>
      <c r="AB740" s="389"/>
      <c r="AC740" s="537"/>
      <c r="AD740" s="53"/>
      <c r="AE740" s="732"/>
      <c r="AF740" s="389"/>
      <c r="AG740" s="537"/>
      <c r="AH740" s="53"/>
      <c r="AI740" s="732"/>
      <c r="AJ740" s="389"/>
      <c r="AK740" s="537"/>
      <c r="AL740" s="53"/>
      <c r="AM740" s="732"/>
      <c r="AN740" s="389"/>
      <c r="AO740" s="537"/>
      <c r="AP740" s="53"/>
      <c r="AQ740" s="389"/>
      <c r="AR740" s="707"/>
      <c r="AS740" s="53"/>
      <c r="AT740" s="733"/>
      <c r="AU740" s="729"/>
      <c r="AV740" s="390"/>
      <c r="AW740" s="721"/>
      <c r="AX740" s="389"/>
      <c r="AY740" s="53"/>
      <c r="AZ740" s="53"/>
      <c r="BA740" s="721"/>
      <c r="BB740" s="389"/>
      <c r="BC740" s="53"/>
      <c r="BD740" s="53"/>
      <c r="BE740" s="721"/>
      <c r="BF740" s="389"/>
      <c r="BG740" s="53"/>
      <c r="BH740" s="53"/>
      <c r="BI740" s="721"/>
      <c r="BJ740" s="389"/>
      <c r="BK740" s="53"/>
      <c r="BL740" s="53"/>
      <c r="BM740" s="721"/>
      <c r="BN740" s="389"/>
      <c r="BO740" s="53"/>
      <c r="BP740" s="53"/>
      <c r="BQ740" s="721"/>
      <c r="BR740" s="389"/>
      <c r="BS740" s="53"/>
      <c r="BT740" s="53"/>
      <c r="BU740" s="721"/>
      <c r="BV740" s="389"/>
      <c r="BW740" s="53"/>
      <c r="BX740" s="53"/>
      <c r="BY740" s="721"/>
      <c r="BZ740" s="389"/>
      <c r="CA740" s="53"/>
      <c r="CB740" s="53"/>
      <c r="CC740" s="721"/>
      <c r="CD740" s="389"/>
      <c r="CE740" s="53"/>
      <c r="CF740" s="53"/>
      <c r="CG740" s="721"/>
      <c r="CH740" s="389"/>
      <c r="CI740" s="53"/>
      <c r="CJ740" s="53"/>
      <c r="CK740" s="389"/>
      <c r="CL740" s="390"/>
      <c r="CM740" s="389"/>
      <c r="CN740" s="389"/>
      <c r="CO740" s="390"/>
      <c r="CP740" s="390"/>
      <c r="CQ740" s="721"/>
      <c r="CR740" s="389"/>
      <c r="CS740" s="53"/>
      <c r="CT740" s="53"/>
      <c r="CU740" s="721"/>
      <c r="CV740" s="389"/>
      <c r="CW740" s="53"/>
      <c r="CX740" s="53"/>
      <c r="CY740" s="721"/>
      <c r="CZ740" s="389"/>
      <c r="DA740" s="53"/>
      <c r="DB740" s="53"/>
      <c r="DC740" s="721"/>
      <c r="DD740" s="389"/>
      <c r="DE740" s="53"/>
      <c r="DF740" s="53"/>
      <c r="DG740" s="721"/>
      <c r="DH740" s="389"/>
      <c r="DI740" s="53"/>
      <c r="DJ740" s="53"/>
      <c r="DK740" s="721"/>
      <c r="DL740" s="389"/>
      <c r="DM740" s="53"/>
      <c r="DN740" s="53"/>
      <c r="DO740" s="721"/>
      <c r="DP740" s="389"/>
      <c r="DQ740" s="53"/>
      <c r="DR740" s="53"/>
      <c r="DS740" s="721"/>
      <c r="DT740" s="389"/>
      <c r="DU740" s="53"/>
      <c r="DV740" s="53"/>
      <c r="DW740" s="721"/>
      <c r="DX740" s="389"/>
      <c r="DY740" s="53"/>
      <c r="DZ740" s="53"/>
      <c r="EA740" s="721"/>
      <c r="EB740" s="389"/>
      <c r="EC740" s="53"/>
      <c r="ED740" s="53"/>
      <c r="EE740" s="389"/>
      <c r="EF740" s="390"/>
      <c r="EG740" s="389"/>
      <c r="EH740" s="389"/>
      <c r="EI740" s="391"/>
      <c r="EJ740" s="390"/>
      <c r="EK740" s="390"/>
      <c r="EL740" s="734"/>
      <c r="EM740" s="735"/>
      <c r="EN740" s="392"/>
      <c r="EO740" s="736"/>
      <c r="EP740" s="390"/>
      <c r="EQ740" s="736"/>
      <c r="ER740" s="390"/>
      <c r="ES740" s="736"/>
      <c r="ET740" s="390"/>
      <c r="EU740" s="736"/>
      <c r="EV740" s="390"/>
      <c r="EW740" s="736"/>
      <c r="EX740" s="390"/>
      <c r="EY740" s="736"/>
      <c r="EZ740" s="390"/>
      <c r="FA740" s="736"/>
      <c r="FB740" s="390"/>
      <c r="FC740" s="736"/>
      <c r="FD740" s="390"/>
      <c r="FE740" s="736"/>
      <c r="FF740" s="390"/>
      <c r="FG740" s="736"/>
      <c r="FH740" s="390"/>
      <c r="FI740" s="389"/>
      <c r="FJ740" s="390"/>
      <c r="FK740" s="389"/>
      <c r="FL740" s="392"/>
    </row>
    <row r="741" spans="1:211" s="85" customFormat="1">
      <c r="A741" s="394"/>
      <c r="B741" s="395"/>
      <c r="C741" s="394"/>
      <c r="D741" s="388"/>
      <c r="E741" s="726"/>
      <c r="F741" s="390"/>
      <c r="G741" s="726"/>
      <c r="H741" s="390"/>
      <c r="I741" s="389"/>
      <c r="J741" s="390"/>
      <c r="K741" s="727"/>
      <c r="L741" s="728"/>
      <c r="M741" s="707"/>
      <c r="N741" s="729"/>
      <c r="O741" s="729"/>
      <c r="P741" s="729"/>
      <c r="Q741" s="730"/>
      <c r="R741" s="390"/>
      <c r="S741" s="390"/>
      <c r="T741" s="390"/>
      <c r="U741" s="390"/>
      <c r="V741" s="731"/>
      <c r="W741" s="721"/>
      <c r="X741" s="389"/>
      <c r="Y741" s="537"/>
      <c r="Z741" s="53"/>
      <c r="AA741" s="732"/>
      <c r="AB741" s="389"/>
      <c r="AC741" s="537"/>
      <c r="AD741" s="53"/>
      <c r="AE741" s="732"/>
      <c r="AF741" s="389"/>
      <c r="AG741" s="537"/>
      <c r="AH741" s="53"/>
      <c r="AI741" s="732"/>
      <c r="AJ741" s="389"/>
      <c r="AK741" s="537"/>
      <c r="AL741" s="53"/>
      <c r="AM741" s="732"/>
      <c r="AN741" s="389"/>
      <c r="AO741" s="537"/>
      <c r="AP741" s="53"/>
      <c r="AQ741" s="389"/>
      <c r="AR741" s="707"/>
      <c r="AS741" s="53"/>
      <c r="AT741" s="733"/>
      <c r="AU741" s="729"/>
      <c r="AV741" s="390"/>
      <c r="AW741" s="721"/>
      <c r="AX741" s="389"/>
      <c r="AY741" s="53"/>
      <c r="AZ741" s="53"/>
      <c r="BA741" s="721"/>
      <c r="BB741" s="389"/>
      <c r="BC741" s="53"/>
      <c r="BD741" s="53"/>
      <c r="BE741" s="721"/>
      <c r="BF741" s="389"/>
      <c r="BG741" s="53"/>
      <c r="BH741" s="53"/>
      <c r="BI741" s="721"/>
      <c r="BJ741" s="389"/>
      <c r="BK741" s="53"/>
      <c r="BL741" s="53"/>
      <c r="BM741" s="721"/>
      <c r="BN741" s="389"/>
      <c r="BO741" s="53"/>
      <c r="BP741" s="53"/>
      <c r="BQ741" s="721"/>
      <c r="BR741" s="389"/>
      <c r="BS741" s="53"/>
      <c r="BT741" s="53"/>
      <c r="BU741" s="721"/>
      <c r="BV741" s="389"/>
      <c r="BW741" s="53"/>
      <c r="BX741" s="53"/>
      <c r="BY741" s="721"/>
      <c r="BZ741" s="389"/>
      <c r="CA741" s="53"/>
      <c r="CB741" s="53"/>
      <c r="CC741" s="721"/>
      <c r="CD741" s="389"/>
      <c r="CE741" s="53"/>
      <c r="CF741" s="53"/>
      <c r="CG741" s="721"/>
      <c r="CH741" s="389"/>
      <c r="CI741" s="53"/>
      <c r="CJ741" s="53"/>
      <c r="CK741" s="389"/>
      <c r="CL741" s="390"/>
      <c r="CM741" s="389"/>
      <c r="CN741" s="389"/>
      <c r="CO741" s="390"/>
      <c r="CP741" s="390"/>
      <c r="CQ741" s="721"/>
      <c r="CR741" s="389"/>
      <c r="CS741" s="53"/>
      <c r="CT741" s="53"/>
      <c r="CU741" s="721"/>
      <c r="CV741" s="389"/>
      <c r="CW741" s="53"/>
      <c r="CX741" s="53"/>
      <c r="CY741" s="721"/>
      <c r="CZ741" s="389"/>
      <c r="DA741" s="53"/>
      <c r="DB741" s="53"/>
      <c r="DC741" s="721"/>
      <c r="DD741" s="389"/>
      <c r="DE741" s="53"/>
      <c r="DF741" s="53"/>
      <c r="DG741" s="721"/>
      <c r="DH741" s="389"/>
      <c r="DI741" s="53"/>
      <c r="DJ741" s="53"/>
      <c r="DK741" s="721"/>
      <c r="DL741" s="389"/>
      <c r="DM741" s="53"/>
      <c r="DN741" s="53"/>
      <c r="DO741" s="721"/>
      <c r="DP741" s="389"/>
      <c r="DQ741" s="53"/>
      <c r="DR741" s="53"/>
      <c r="DS741" s="721"/>
      <c r="DT741" s="389"/>
      <c r="DU741" s="53"/>
      <c r="DV741" s="53"/>
      <c r="DW741" s="721"/>
      <c r="DX741" s="389"/>
      <c r="DY741" s="53"/>
      <c r="DZ741" s="53"/>
      <c r="EA741" s="721"/>
      <c r="EB741" s="389"/>
      <c r="EC741" s="53"/>
      <c r="ED741" s="53"/>
      <c r="EE741" s="389"/>
      <c r="EF741" s="390"/>
      <c r="EG741" s="389"/>
      <c r="EH741" s="389"/>
      <c r="EI741" s="391"/>
      <c r="EJ741" s="390"/>
      <c r="EK741" s="390"/>
      <c r="EL741" s="734"/>
      <c r="EM741" s="735"/>
      <c r="EN741" s="392"/>
      <c r="EO741" s="736"/>
      <c r="EP741" s="390"/>
      <c r="EQ741" s="736"/>
      <c r="ER741" s="390"/>
      <c r="ES741" s="736"/>
      <c r="ET741" s="390"/>
      <c r="EU741" s="736"/>
      <c r="EV741" s="390"/>
      <c r="EW741" s="736"/>
      <c r="EX741" s="390"/>
      <c r="EY741" s="736"/>
      <c r="EZ741" s="390"/>
      <c r="FA741" s="736"/>
      <c r="FB741" s="390"/>
      <c r="FC741" s="736"/>
      <c r="FD741" s="390"/>
      <c r="FE741" s="736"/>
      <c r="FF741" s="390"/>
      <c r="FG741" s="736"/>
      <c r="FH741" s="390"/>
      <c r="FI741" s="389"/>
      <c r="FJ741" s="390"/>
      <c r="FK741" s="389"/>
      <c r="FL741" s="392"/>
    </row>
    <row r="742" spans="1:211" s="85" customFormat="1">
      <c r="A742" s="394"/>
      <c r="B742" s="395"/>
      <c r="C742" s="394"/>
      <c r="D742" s="388"/>
      <c r="E742" s="726"/>
      <c r="F742" s="390"/>
      <c r="G742" s="726"/>
      <c r="H742" s="390"/>
      <c r="I742" s="389"/>
      <c r="J742" s="390"/>
      <c r="K742" s="727"/>
      <c r="L742" s="728"/>
      <c r="M742" s="389"/>
      <c r="N742" s="729"/>
      <c r="O742" s="729"/>
      <c r="P742" s="729"/>
      <c r="Q742" s="730"/>
      <c r="R742" s="390"/>
      <c r="S742" s="390"/>
      <c r="T742" s="390"/>
      <c r="U742" s="390"/>
      <c r="V742" s="731"/>
      <c r="W742" s="721"/>
      <c r="X742" s="389"/>
      <c r="Y742" s="537"/>
      <c r="Z742" s="53"/>
      <c r="AA742" s="732"/>
      <c r="AB742" s="389"/>
      <c r="AC742" s="537"/>
      <c r="AD742" s="53"/>
      <c r="AE742" s="732"/>
      <c r="AF742" s="389"/>
      <c r="AG742" s="537"/>
      <c r="AH742" s="53"/>
      <c r="AI742" s="732"/>
      <c r="AJ742" s="389"/>
      <c r="AK742" s="537"/>
      <c r="AL742" s="53"/>
      <c r="AM742" s="732"/>
      <c r="AN742" s="389"/>
      <c r="AO742" s="537"/>
      <c r="AP742" s="53"/>
      <c r="AQ742" s="389"/>
      <c r="AR742" s="707"/>
      <c r="AS742" s="53"/>
      <c r="AT742" s="733"/>
      <c r="AU742" s="729"/>
      <c r="AV742" s="390"/>
      <c r="AW742" s="721"/>
      <c r="AX742" s="389"/>
      <c r="AY742" s="53"/>
      <c r="AZ742" s="53"/>
      <c r="BA742" s="721"/>
      <c r="BB742" s="389"/>
      <c r="BC742" s="53"/>
      <c r="BD742" s="53"/>
      <c r="BE742" s="721"/>
      <c r="BF742" s="389"/>
      <c r="BG742" s="53"/>
      <c r="BH742" s="53"/>
      <c r="BI742" s="721"/>
      <c r="BJ742" s="389"/>
      <c r="BK742" s="53"/>
      <c r="BL742" s="53"/>
      <c r="BM742" s="721"/>
      <c r="BN742" s="389"/>
      <c r="BO742" s="53"/>
      <c r="BP742" s="53"/>
      <c r="BQ742" s="721"/>
      <c r="BR742" s="389"/>
      <c r="BS742" s="53"/>
      <c r="BT742" s="53"/>
      <c r="BU742" s="721"/>
      <c r="BV742" s="389"/>
      <c r="BW742" s="53"/>
      <c r="BX742" s="53"/>
      <c r="BY742" s="721"/>
      <c r="BZ742" s="389"/>
      <c r="CA742" s="53"/>
      <c r="CB742" s="53"/>
      <c r="CC742" s="721"/>
      <c r="CD742" s="389"/>
      <c r="CE742" s="53"/>
      <c r="CF742" s="53"/>
      <c r="CG742" s="721"/>
      <c r="CH742" s="389"/>
      <c r="CI742" s="53"/>
      <c r="CJ742" s="53"/>
      <c r="CK742" s="389"/>
      <c r="CL742" s="390"/>
      <c r="CM742" s="389"/>
      <c r="CN742" s="389"/>
      <c r="CO742" s="390"/>
      <c r="CP742" s="390"/>
      <c r="CQ742" s="721"/>
      <c r="CR742" s="389"/>
      <c r="CS742" s="53"/>
      <c r="CT742" s="53"/>
      <c r="CU742" s="721"/>
      <c r="CV742" s="389"/>
      <c r="CW742" s="53"/>
      <c r="CX742" s="53"/>
      <c r="CY742" s="721"/>
      <c r="CZ742" s="389"/>
      <c r="DA742" s="53"/>
      <c r="DB742" s="53"/>
      <c r="DC742" s="721"/>
      <c r="DD742" s="389"/>
      <c r="DE742" s="53"/>
      <c r="DF742" s="53"/>
      <c r="DG742" s="721"/>
      <c r="DH742" s="389"/>
      <c r="DI742" s="53"/>
      <c r="DJ742" s="53"/>
      <c r="DK742" s="721"/>
      <c r="DL742" s="389"/>
      <c r="DM742" s="53"/>
      <c r="DN742" s="53"/>
      <c r="DO742" s="721"/>
      <c r="DP742" s="389"/>
      <c r="DQ742" s="53"/>
      <c r="DR742" s="53"/>
      <c r="DS742" s="721"/>
      <c r="DT742" s="389"/>
      <c r="DU742" s="53"/>
      <c r="DV742" s="53"/>
      <c r="DW742" s="721"/>
      <c r="DX742" s="389"/>
      <c r="DY742" s="53"/>
      <c r="DZ742" s="53"/>
      <c r="EA742" s="721"/>
      <c r="EB742" s="389"/>
      <c r="EC742" s="53"/>
      <c r="ED742" s="53"/>
      <c r="EE742" s="389"/>
      <c r="EF742" s="390"/>
      <c r="EG742" s="389"/>
      <c r="EH742" s="389"/>
      <c r="EI742" s="391"/>
      <c r="EJ742" s="390"/>
      <c r="EK742" s="390"/>
      <c r="EL742" s="734"/>
      <c r="EM742" s="735"/>
      <c r="EN742" s="392"/>
      <c r="EO742" s="736"/>
      <c r="EP742" s="390"/>
      <c r="EQ742" s="736"/>
      <c r="ER742" s="390"/>
      <c r="ES742" s="736"/>
      <c r="ET742" s="390"/>
      <c r="EU742" s="736"/>
      <c r="EV742" s="390"/>
      <c r="EW742" s="736"/>
      <c r="EX742" s="390"/>
      <c r="EY742" s="736"/>
      <c r="EZ742" s="390"/>
      <c r="FA742" s="736"/>
      <c r="FB742" s="390"/>
      <c r="FC742" s="736"/>
      <c r="FD742" s="390"/>
      <c r="FE742" s="736"/>
      <c r="FF742" s="390"/>
      <c r="FG742" s="736"/>
      <c r="FH742" s="390"/>
      <c r="FI742" s="389"/>
      <c r="FJ742" s="390"/>
      <c r="FK742" s="389"/>
      <c r="FL742" s="392"/>
    </row>
    <row r="743" spans="1:211" s="85" customFormat="1">
      <c r="A743" s="394"/>
      <c r="B743" s="395"/>
      <c r="C743" s="394"/>
      <c r="D743" s="388"/>
      <c r="E743" s="726"/>
      <c r="F743" s="390"/>
      <c r="G743" s="726"/>
      <c r="H743" s="390"/>
      <c r="I743" s="389"/>
      <c r="J743" s="390"/>
      <c r="K743" s="727"/>
      <c r="L743" s="728"/>
      <c r="M743" s="389"/>
      <c r="N743" s="729"/>
      <c r="O743" s="729"/>
      <c r="P743" s="729"/>
      <c r="Q743" s="730"/>
      <c r="R743" s="390"/>
      <c r="S743" s="390"/>
      <c r="T743" s="390"/>
      <c r="U743" s="390"/>
      <c r="V743" s="731"/>
      <c r="W743" s="721"/>
      <c r="X743" s="389"/>
      <c r="Y743" s="537"/>
      <c r="Z743" s="53"/>
      <c r="AA743" s="732"/>
      <c r="AB743" s="389"/>
      <c r="AC743" s="537"/>
      <c r="AD743" s="53"/>
      <c r="AE743" s="732"/>
      <c r="AF743" s="389"/>
      <c r="AG743" s="537"/>
      <c r="AH743" s="53"/>
      <c r="AI743" s="732"/>
      <c r="AJ743" s="389"/>
      <c r="AK743" s="537"/>
      <c r="AL743" s="53"/>
      <c r="AM743" s="732"/>
      <c r="AN743" s="389"/>
      <c r="AO743" s="537"/>
      <c r="AP743" s="53"/>
      <c r="AQ743" s="389"/>
      <c r="AR743" s="707"/>
      <c r="AS743" s="53"/>
      <c r="AT743" s="733"/>
      <c r="AU743" s="729"/>
      <c r="AV743" s="390"/>
      <c r="AW743" s="721"/>
      <c r="AX743" s="389"/>
      <c r="AY743" s="53"/>
      <c r="AZ743" s="53"/>
      <c r="BA743" s="721"/>
      <c r="BB743" s="389"/>
      <c r="BC743" s="53"/>
      <c r="BD743" s="53"/>
      <c r="BE743" s="721"/>
      <c r="BF743" s="389"/>
      <c r="BG743" s="53"/>
      <c r="BH743" s="53"/>
      <c r="BI743" s="721"/>
      <c r="BJ743" s="389"/>
      <c r="BK743" s="53"/>
      <c r="BL743" s="53"/>
      <c r="BM743" s="721"/>
      <c r="BN743" s="389"/>
      <c r="BO743" s="53"/>
      <c r="BP743" s="53"/>
      <c r="BQ743" s="721"/>
      <c r="BR743" s="389"/>
      <c r="BS743" s="53"/>
      <c r="BT743" s="53"/>
      <c r="BU743" s="721"/>
      <c r="BV743" s="389"/>
      <c r="BW743" s="53"/>
      <c r="BX743" s="53"/>
      <c r="BY743" s="721"/>
      <c r="BZ743" s="389"/>
      <c r="CA743" s="53"/>
      <c r="CB743" s="53"/>
      <c r="CC743" s="721"/>
      <c r="CD743" s="389"/>
      <c r="CE743" s="53"/>
      <c r="CF743" s="53"/>
      <c r="CG743" s="721"/>
      <c r="CH743" s="389"/>
      <c r="CI743" s="53"/>
      <c r="CJ743" s="53"/>
      <c r="CK743" s="389"/>
      <c r="CL743" s="390"/>
      <c r="CM743" s="389"/>
      <c r="CN743" s="389"/>
      <c r="CO743" s="390"/>
      <c r="CP743" s="390"/>
      <c r="CQ743" s="721"/>
      <c r="CR743" s="389"/>
      <c r="CS743" s="53"/>
      <c r="CT743" s="53"/>
      <c r="CU743" s="721"/>
      <c r="CV743" s="389"/>
      <c r="CW743" s="53"/>
      <c r="CX743" s="53"/>
      <c r="CY743" s="721"/>
      <c r="CZ743" s="389"/>
      <c r="DA743" s="53"/>
      <c r="DB743" s="53"/>
      <c r="DC743" s="721"/>
      <c r="DD743" s="389"/>
      <c r="DE743" s="53"/>
      <c r="DF743" s="53"/>
      <c r="DG743" s="721"/>
      <c r="DH743" s="389"/>
      <c r="DI743" s="53"/>
      <c r="DJ743" s="53"/>
      <c r="DK743" s="721"/>
      <c r="DL743" s="389"/>
      <c r="DM743" s="53"/>
      <c r="DN743" s="53"/>
      <c r="DO743" s="721"/>
      <c r="DP743" s="389"/>
      <c r="DQ743" s="53"/>
      <c r="DR743" s="53"/>
      <c r="DS743" s="721"/>
      <c r="DT743" s="389"/>
      <c r="DU743" s="53"/>
      <c r="DV743" s="53"/>
      <c r="DW743" s="721"/>
      <c r="DX743" s="389"/>
      <c r="DY743" s="53"/>
      <c r="DZ743" s="53"/>
      <c r="EA743" s="721"/>
      <c r="EB743" s="389"/>
      <c r="EC743" s="53"/>
      <c r="ED743" s="53"/>
      <c r="EE743" s="389"/>
      <c r="EF743" s="390"/>
      <c r="EG743" s="389"/>
      <c r="EH743" s="389"/>
      <c r="EI743" s="391"/>
      <c r="EJ743" s="390"/>
      <c r="EK743" s="390"/>
      <c r="EL743" s="734"/>
      <c r="EM743" s="735"/>
      <c r="EN743" s="392"/>
      <c r="EO743" s="736"/>
      <c r="EP743" s="390"/>
      <c r="EQ743" s="736"/>
      <c r="ER743" s="390"/>
      <c r="ES743" s="736"/>
      <c r="ET743" s="390"/>
      <c r="EU743" s="736"/>
      <c r="EV743" s="390"/>
      <c r="EW743" s="736"/>
      <c r="EX743" s="390"/>
      <c r="EY743" s="736"/>
      <c r="EZ743" s="390"/>
      <c r="FA743" s="736"/>
      <c r="FB743" s="390"/>
      <c r="FC743" s="736"/>
      <c r="FD743" s="390"/>
      <c r="FE743" s="736"/>
      <c r="FF743" s="390"/>
      <c r="FG743" s="736"/>
      <c r="FH743" s="390"/>
      <c r="FI743" s="389"/>
      <c r="FJ743" s="390"/>
      <c r="FK743" s="389"/>
      <c r="FL743" s="392"/>
    </row>
    <row r="744" spans="1:211" s="85" customFormat="1">
      <c r="A744" s="394"/>
      <c r="B744" s="395"/>
      <c r="C744" s="394"/>
      <c r="D744" s="388"/>
      <c r="E744" s="726"/>
      <c r="F744" s="390"/>
      <c r="G744" s="726"/>
      <c r="H744" s="390"/>
      <c r="I744" s="389"/>
      <c r="J744" s="390"/>
      <c r="K744" s="727"/>
      <c r="L744" s="728"/>
      <c r="M744" s="389"/>
      <c r="N744" s="729"/>
      <c r="O744" s="729"/>
      <c r="P744" s="729"/>
      <c r="Q744" s="730"/>
      <c r="R744" s="390"/>
      <c r="S744" s="390"/>
      <c r="T744" s="390"/>
      <c r="U744" s="390"/>
      <c r="V744" s="731"/>
      <c r="W744" s="721"/>
      <c r="X744" s="389"/>
      <c r="Y744" s="537"/>
      <c r="Z744" s="53"/>
      <c r="AA744" s="732"/>
      <c r="AB744" s="389"/>
      <c r="AC744" s="537"/>
      <c r="AD744" s="53"/>
      <c r="AE744" s="732"/>
      <c r="AF744" s="389"/>
      <c r="AG744" s="537"/>
      <c r="AH744" s="53"/>
      <c r="AI744" s="732"/>
      <c r="AJ744" s="389"/>
      <c r="AK744" s="537"/>
      <c r="AL744" s="53"/>
      <c r="AM744" s="732"/>
      <c r="AN744" s="389"/>
      <c r="AO744" s="537"/>
      <c r="AP744" s="53"/>
      <c r="AQ744" s="389"/>
      <c r="AR744" s="707"/>
      <c r="AS744" s="53"/>
      <c r="AT744" s="733"/>
      <c r="AU744" s="729"/>
      <c r="AV744" s="390"/>
      <c r="AW744" s="721"/>
      <c r="AX744" s="389"/>
      <c r="AY744" s="53"/>
      <c r="AZ744" s="53"/>
      <c r="BA744" s="721"/>
      <c r="BB744" s="389"/>
      <c r="BC744" s="53"/>
      <c r="BD744" s="53"/>
      <c r="BE744" s="721"/>
      <c r="BF744" s="389"/>
      <c r="BG744" s="53"/>
      <c r="BH744" s="53"/>
      <c r="BI744" s="721"/>
      <c r="BJ744" s="389"/>
      <c r="BK744" s="53"/>
      <c r="BL744" s="53"/>
      <c r="BM744" s="721"/>
      <c r="BN744" s="389"/>
      <c r="BO744" s="53"/>
      <c r="BP744" s="53"/>
      <c r="BQ744" s="721"/>
      <c r="BR744" s="389"/>
      <c r="BS744" s="53"/>
      <c r="BT744" s="53"/>
      <c r="BU744" s="721"/>
      <c r="BV744" s="389"/>
      <c r="BW744" s="53"/>
      <c r="BX744" s="53"/>
      <c r="BY744" s="721"/>
      <c r="BZ744" s="389"/>
      <c r="CA744" s="53"/>
      <c r="CB744" s="53"/>
      <c r="CC744" s="721"/>
      <c r="CD744" s="389"/>
      <c r="CE744" s="53"/>
      <c r="CF744" s="53"/>
      <c r="CG744" s="721"/>
      <c r="CH744" s="389"/>
      <c r="CI744" s="53"/>
      <c r="CJ744" s="53"/>
      <c r="CK744" s="389"/>
      <c r="CL744" s="390"/>
      <c r="CM744" s="389"/>
      <c r="CN744" s="389"/>
      <c r="CO744" s="390"/>
      <c r="CP744" s="390"/>
      <c r="CQ744" s="721"/>
      <c r="CR744" s="389"/>
      <c r="CS744" s="53"/>
      <c r="CT744" s="53"/>
      <c r="CU744" s="721"/>
      <c r="CV744" s="389"/>
      <c r="CW744" s="53"/>
      <c r="CX744" s="53"/>
      <c r="CY744" s="721"/>
      <c r="CZ744" s="389"/>
      <c r="DA744" s="53"/>
      <c r="DB744" s="53"/>
      <c r="DC744" s="721"/>
      <c r="DD744" s="389"/>
      <c r="DE744" s="53"/>
      <c r="DF744" s="53"/>
      <c r="DG744" s="721"/>
      <c r="DH744" s="389"/>
      <c r="DI744" s="53"/>
      <c r="DJ744" s="53"/>
      <c r="DK744" s="721"/>
      <c r="DL744" s="389"/>
      <c r="DM744" s="53"/>
      <c r="DN744" s="53"/>
      <c r="DO744" s="721"/>
      <c r="DP744" s="389"/>
      <c r="DQ744" s="53"/>
      <c r="DR744" s="53"/>
      <c r="DS744" s="721"/>
      <c r="DT744" s="389"/>
      <c r="DU744" s="53"/>
      <c r="DV744" s="53"/>
      <c r="DW744" s="721"/>
      <c r="DX744" s="389"/>
      <c r="DY744" s="53"/>
      <c r="DZ744" s="53"/>
      <c r="EA744" s="721"/>
      <c r="EB744" s="389"/>
      <c r="EC744" s="53"/>
      <c r="ED744" s="53"/>
      <c r="EE744" s="389"/>
      <c r="EF744" s="390"/>
      <c r="EG744" s="389"/>
      <c r="EH744" s="389"/>
      <c r="EI744" s="391"/>
      <c r="EJ744" s="390"/>
      <c r="EK744" s="390"/>
      <c r="EL744" s="734"/>
      <c r="EM744" s="735"/>
      <c r="EN744" s="392"/>
      <c r="EO744" s="736"/>
      <c r="EP744" s="390"/>
      <c r="EQ744" s="736"/>
      <c r="ER744" s="390"/>
      <c r="ES744" s="736"/>
      <c r="ET744" s="390"/>
      <c r="EU744" s="736"/>
      <c r="EV744" s="390"/>
      <c r="EW744" s="736"/>
      <c r="EX744" s="390"/>
      <c r="EY744" s="736"/>
      <c r="EZ744" s="390"/>
      <c r="FA744" s="736"/>
      <c r="FB744" s="390"/>
      <c r="FC744" s="736"/>
      <c r="FD744" s="390"/>
      <c r="FE744" s="736"/>
      <c r="FF744" s="390"/>
      <c r="FG744" s="736"/>
      <c r="FH744" s="390"/>
      <c r="FI744" s="389"/>
      <c r="FJ744" s="390"/>
      <c r="FK744" s="389"/>
      <c r="FL744" s="392"/>
    </row>
    <row r="745" spans="1:211" s="85" customFormat="1">
      <c r="A745" s="394"/>
      <c r="B745" s="395"/>
      <c r="C745" s="394"/>
      <c r="D745" s="388"/>
      <c r="E745" s="726"/>
      <c r="F745" s="390"/>
      <c r="G745" s="726"/>
      <c r="H745" s="390"/>
      <c r="I745" s="389"/>
      <c r="J745" s="390"/>
      <c r="K745" s="727"/>
      <c r="L745" s="728"/>
      <c r="M745" s="389"/>
      <c r="N745" s="729"/>
      <c r="O745" s="729"/>
      <c r="P745" s="729"/>
      <c r="Q745" s="730"/>
      <c r="R745" s="390"/>
      <c r="S745" s="390"/>
      <c r="T745" s="390"/>
      <c r="U745" s="390"/>
      <c r="V745" s="731"/>
      <c r="W745" s="721"/>
      <c r="X745" s="389"/>
      <c r="Y745" s="537"/>
      <c r="Z745" s="53"/>
      <c r="AA745" s="732"/>
      <c r="AB745" s="389"/>
      <c r="AC745" s="537"/>
      <c r="AD745" s="53"/>
      <c r="AE745" s="732"/>
      <c r="AF745" s="389"/>
      <c r="AG745" s="537"/>
      <c r="AH745" s="53"/>
      <c r="AI745" s="732"/>
      <c r="AJ745" s="389"/>
      <c r="AK745" s="537"/>
      <c r="AL745" s="53"/>
      <c r="AM745" s="732"/>
      <c r="AN745" s="389"/>
      <c r="AO745" s="537"/>
      <c r="AP745" s="53"/>
      <c r="AQ745" s="389"/>
      <c r="AR745" s="707"/>
      <c r="AS745" s="53"/>
      <c r="AT745" s="733"/>
      <c r="AU745" s="729"/>
      <c r="AV745" s="390"/>
      <c r="AW745" s="721"/>
      <c r="AX745" s="389"/>
      <c r="AY745" s="53"/>
      <c r="AZ745" s="53"/>
      <c r="BA745" s="721"/>
      <c r="BB745" s="389"/>
      <c r="BC745" s="53"/>
      <c r="BD745" s="53"/>
      <c r="BE745" s="721"/>
      <c r="BF745" s="389"/>
      <c r="BG745" s="53"/>
      <c r="BH745" s="53"/>
      <c r="BI745" s="721"/>
      <c r="BJ745" s="389"/>
      <c r="BK745" s="53"/>
      <c r="BL745" s="53"/>
      <c r="BM745" s="721"/>
      <c r="BN745" s="389"/>
      <c r="BO745" s="53"/>
      <c r="BP745" s="53"/>
      <c r="BQ745" s="721"/>
      <c r="BR745" s="389"/>
      <c r="BS745" s="53"/>
      <c r="BT745" s="53"/>
      <c r="BU745" s="721"/>
      <c r="BV745" s="389"/>
      <c r="BW745" s="53"/>
      <c r="BX745" s="53"/>
      <c r="BY745" s="721"/>
      <c r="BZ745" s="389"/>
      <c r="CA745" s="53"/>
      <c r="CB745" s="53"/>
      <c r="CC745" s="721"/>
      <c r="CD745" s="389"/>
      <c r="CE745" s="53"/>
      <c r="CF745" s="53"/>
      <c r="CG745" s="721"/>
      <c r="CH745" s="389"/>
      <c r="CI745" s="53"/>
      <c r="CJ745" s="53"/>
      <c r="CK745" s="389"/>
      <c r="CL745" s="390"/>
      <c r="CM745" s="389"/>
      <c r="CN745" s="389"/>
      <c r="CO745" s="390"/>
      <c r="CP745" s="390"/>
      <c r="CQ745" s="721"/>
      <c r="CR745" s="389"/>
      <c r="CS745" s="53"/>
      <c r="CT745" s="53"/>
      <c r="CU745" s="721"/>
      <c r="CV745" s="389"/>
      <c r="CW745" s="53"/>
      <c r="CX745" s="53"/>
      <c r="CY745" s="721"/>
      <c r="CZ745" s="389"/>
      <c r="DA745" s="53"/>
      <c r="DB745" s="53"/>
      <c r="DC745" s="721"/>
      <c r="DD745" s="389"/>
      <c r="DE745" s="53"/>
      <c r="DF745" s="53"/>
      <c r="DG745" s="721"/>
      <c r="DH745" s="389"/>
      <c r="DI745" s="53"/>
      <c r="DJ745" s="53"/>
      <c r="DK745" s="721"/>
      <c r="DL745" s="389"/>
      <c r="DM745" s="53"/>
      <c r="DN745" s="53"/>
      <c r="DO745" s="721"/>
      <c r="DP745" s="389"/>
      <c r="DQ745" s="53"/>
      <c r="DR745" s="53"/>
      <c r="DS745" s="721"/>
      <c r="DT745" s="389"/>
      <c r="DU745" s="53"/>
      <c r="DV745" s="53"/>
      <c r="DW745" s="721"/>
      <c r="DX745" s="389"/>
      <c r="DY745" s="53"/>
      <c r="DZ745" s="53"/>
      <c r="EA745" s="721"/>
      <c r="EB745" s="389"/>
      <c r="EC745" s="53"/>
      <c r="ED745" s="53"/>
      <c r="EE745" s="389"/>
      <c r="EF745" s="390"/>
      <c r="EG745" s="389"/>
      <c r="EH745" s="389"/>
      <c r="EI745" s="391"/>
      <c r="EJ745" s="390"/>
      <c r="EK745" s="390"/>
      <c r="EL745" s="734"/>
      <c r="EM745" s="735"/>
      <c r="EN745" s="392"/>
      <c r="EO745" s="736"/>
      <c r="EP745" s="390"/>
      <c r="EQ745" s="736"/>
      <c r="ER745" s="390"/>
      <c r="ES745" s="736"/>
      <c r="ET745" s="390"/>
      <c r="EU745" s="736"/>
      <c r="EV745" s="390"/>
      <c r="EW745" s="736"/>
      <c r="EX745" s="390"/>
      <c r="EY745" s="736"/>
      <c r="EZ745" s="390"/>
      <c r="FA745" s="736"/>
      <c r="FB745" s="390"/>
      <c r="FC745" s="736"/>
      <c r="FD745" s="390"/>
      <c r="FE745" s="736"/>
      <c r="FF745" s="390"/>
      <c r="FG745" s="736"/>
      <c r="FH745" s="390"/>
      <c r="FI745" s="389"/>
      <c r="FJ745" s="390"/>
      <c r="FK745" s="389"/>
      <c r="FL745" s="392"/>
    </row>
    <row r="746" spans="1:211" s="85" customFormat="1">
      <c r="A746" s="394"/>
      <c r="B746" s="395"/>
      <c r="C746" s="394"/>
      <c r="D746" s="388"/>
      <c r="E746" s="726"/>
      <c r="F746" s="390"/>
      <c r="G746" s="726"/>
      <c r="H746" s="390"/>
      <c r="I746" s="389"/>
      <c r="J746" s="390"/>
      <c r="K746" s="727"/>
      <c r="L746" s="728"/>
      <c r="M746" s="389"/>
      <c r="N746" s="729"/>
      <c r="O746" s="729"/>
      <c r="P746" s="729"/>
      <c r="Q746" s="730"/>
      <c r="R746" s="390"/>
      <c r="S746" s="390"/>
      <c r="T746" s="390"/>
      <c r="U746" s="390"/>
      <c r="V746" s="731"/>
      <c r="W746" s="721"/>
      <c r="X746" s="389"/>
      <c r="Y746" s="537"/>
      <c r="Z746" s="53"/>
      <c r="AA746" s="732"/>
      <c r="AB746" s="389"/>
      <c r="AC746" s="537"/>
      <c r="AD746" s="53"/>
      <c r="AE746" s="732"/>
      <c r="AF746" s="389"/>
      <c r="AG746" s="537"/>
      <c r="AH746" s="53"/>
      <c r="AI746" s="732"/>
      <c r="AJ746" s="389"/>
      <c r="AK746" s="537"/>
      <c r="AL746" s="53"/>
      <c r="AM746" s="732"/>
      <c r="AN746" s="389"/>
      <c r="AO746" s="537"/>
      <c r="AP746" s="53"/>
      <c r="AQ746" s="389"/>
      <c r="AR746" s="707"/>
      <c r="AS746" s="53"/>
      <c r="AT746" s="733"/>
      <c r="AU746" s="729"/>
      <c r="AV746" s="390"/>
      <c r="AW746" s="721"/>
      <c r="AX746" s="389"/>
      <c r="AY746" s="53"/>
      <c r="AZ746" s="53"/>
      <c r="BA746" s="721"/>
      <c r="BB746" s="389"/>
      <c r="BC746" s="53"/>
      <c r="BD746" s="53"/>
      <c r="BE746" s="721"/>
      <c r="BF746" s="389"/>
      <c r="BG746" s="53"/>
      <c r="BH746" s="53"/>
      <c r="BI746" s="721"/>
      <c r="BJ746" s="389"/>
      <c r="BK746" s="53"/>
      <c r="BL746" s="53"/>
      <c r="BM746" s="721"/>
      <c r="BN746" s="389"/>
      <c r="BO746" s="53"/>
      <c r="BP746" s="53"/>
      <c r="BQ746" s="721"/>
      <c r="BR746" s="389"/>
      <c r="BS746" s="53"/>
      <c r="BT746" s="53"/>
      <c r="BU746" s="721"/>
      <c r="BV746" s="389"/>
      <c r="BW746" s="53"/>
      <c r="BX746" s="53"/>
      <c r="BY746" s="721"/>
      <c r="BZ746" s="389"/>
      <c r="CA746" s="53"/>
      <c r="CB746" s="53"/>
      <c r="CC746" s="721"/>
      <c r="CD746" s="389"/>
      <c r="CE746" s="53"/>
      <c r="CF746" s="53"/>
      <c r="CG746" s="721"/>
      <c r="CH746" s="389"/>
      <c r="CI746" s="53"/>
      <c r="CJ746" s="53"/>
      <c r="CK746" s="389"/>
      <c r="CL746" s="390"/>
      <c r="CM746" s="389"/>
      <c r="CN746" s="389"/>
      <c r="CO746" s="390"/>
      <c r="CP746" s="390"/>
      <c r="CQ746" s="721"/>
      <c r="CR746" s="389"/>
      <c r="CS746" s="53"/>
      <c r="CT746" s="53"/>
      <c r="CU746" s="721"/>
      <c r="CV746" s="389"/>
      <c r="CW746" s="53"/>
      <c r="CX746" s="53"/>
      <c r="CY746" s="721"/>
      <c r="CZ746" s="389"/>
      <c r="DA746" s="53"/>
      <c r="DB746" s="53"/>
      <c r="DC746" s="721"/>
      <c r="DD746" s="389"/>
      <c r="DE746" s="53"/>
      <c r="DF746" s="53"/>
      <c r="DG746" s="721"/>
      <c r="DH746" s="389"/>
      <c r="DI746" s="53"/>
      <c r="DJ746" s="53"/>
      <c r="DK746" s="721"/>
      <c r="DL746" s="389"/>
      <c r="DM746" s="53"/>
      <c r="DN746" s="53"/>
      <c r="DO746" s="721"/>
      <c r="DP746" s="389"/>
      <c r="DQ746" s="53"/>
      <c r="DR746" s="53"/>
      <c r="DS746" s="721"/>
      <c r="DT746" s="389"/>
      <c r="DU746" s="53"/>
      <c r="DV746" s="53"/>
      <c r="DW746" s="721"/>
      <c r="DX746" s="389"/>
      <c r="DY746" s="53"/>
      <c r="DZ746" s="53"/>
      <c r="EA746" s="721"/>
      <c r="EB746" s="389"/>
      <c r="EC746" s="53"/>
      <c r="ED746" s="53"/>
      <c r="EE746" s="389"/>
      <c r="EF746" s="390"/>
      <c r="EG746" s="389"/>
      <c r="EH746" s="389"/>
      <c r="EI746" s="391"/>
      <c r="EJ746" s="390"/>
      <c r="EK746" s="390"/>
      <c r="EL746" s="734"/>
      <c r="EM746" s="735"/>
      <c r="EN746" s="392"/>
      <c r="EO746" s="736"/>
      <c r="EP746" s="390"/>
      <c r="EQ746" s="736"/>
      <c r="ER746" s="390"/>
      <c r="ES746" s="736"/>
      <c r="ET746" s="390"/>
      <c r="EU746" s="736"/>
      <c r="EV746" s="390"/>
      <c r="EW746" s="736"/>
      <c r="EX746" s="390"/>
      <c r="EY746" s="736"/>
      <c r="EZ746" s="390"/>
      <c r="FA746" s="736"/>
      <c r="FB746" s="390"/>
      <c r="FC746" s="736"/>
      <c r="FD746" s="390"/>
      <c r="FE746" s="736"/>
      <c r="FF746" s="390"/>
      <c r="FG746" s="736"/>
      <c r="FH746" s="390"/>
      <c r="FI746" s="389"/>
      <c r="FJ746" s="390"/>
      <c r="FK746" s="389"/>
      <c r="FL746" s="392"/>
    </row>
    <row r="747" spans="1:211" s="85" customFormat="1">
      <c r="A747" s="394"/>
      <c r="B747" s="395"/>
      <c r="C747" s="394"/>
      <c r="D747" s="388"/>
      <c r="E747" s="726"/>
      <c r="F747" s="390"/>
      <c r="G747" s="726"/>
      <c r="H747" s="390"/>
      <c r="I747" s="389"/>
      <c r="J747" s="390"/>
      <c r="K747" s="727"/>
      <c r="L747" s="728"/>
      <c r="M747" s="389"/>
      <c r="N747" s="729"/>
      <c r="O747" s="729"/>
      <c r="P747" s="729"/>
      <c r="Q747" s="730"/>
      <c r="R747" s="390"/>
      <c r="S747" s="390"/>
      <c r="T747" s="390"/>
      <c r="U747" s="390"/>
      <c r="V747" s="731"/>
      <c r="W747" s="721"/>
      <c r="X747" s="389"/>
      <c r="Y747" s="537"/>
      <c r="Z747" s="53"/>
      <c r="AA747" s="732"/>
      <c r="AB747" s="389"/>
      <c r="AC747" s="537"/>
      <c r="AD747" s="53"/>
      <c r="AE747" s="732"/>
      <c r="AF747" s="389"/>
      <c r="AG747" s="537"/>
      <c r="AH747" s="53"/>
      <c r="AI747" s="732"/>
      <c r="AJ747" s="389"/>
      <c r="AK747" s="537"/>
      <c r="AL747" s="53"/>
      <c r="AM747" s="732"/>
      <c r="AN747" s="389"/>
      <c r="AO747" s="537"/>
      <c r="AP747" s="53"/>
      <c r="AQ747" s="389"/>
      <c r="AR747" s="707"/>
      <c r="AS747" s="53"/>
      <c r="AT747" s="733"/>
      <c r="AU747" s="729"/>
      <c r="AV747" s="390"/>
      <c r="AW747" s="721"/>
      <c r="AX747" s="389"/>
      <c r="AY747" s="53"/>
      <c r="AZ747" s="53"/>
      <c r="BA747" s="721"/>
      <c r="BB747" s="389"/>
      <c r="BC747" s="53"/>
      <c r="BD747" s="53"/>
      <c r="BE747" s="721"/>
      <c r="BF747" s="389"/>
      <c r="BG747" s="53"/>
      <c r="BH747" s="53"/>
      <c r="BI747" s="721"/>
      <c r="BJ747" s="389"/>
      <c r="BK747" s="53"/>
      <c r="BL747" s="53"/>
      <c r="BM747" s="721"/>
      <c r="BN747" s="389"/>
      <c r="BO747" s="53"/>
      <c r="BP747" s="53"/>
      <c r="BQ747" s="721"/>
      <c r="BR747" s="389"/>
      <c r="BS747" s="53"/>
      <c r="BT747" s="53"/>
      <c r="BU747" s="721"/>
      <c r="BV747" s="389"/>
      <c r="BW747" s="53"/>
      <c r="BX747" s="53"/>
      <c r="BY747" s="721"/>
      <c r="BZ747" s="389"/>
      <c r="CA747" s="53"/>
      <c r="CB747" s="53"/>
      <c r="CC747" s="721"/>
      <c r="CD747" s="389"/>
      <c r="CE747" s="53"/>
      <c r="CF747" s="53"/>
      <c r="CG747" s="721"/>
      <c r="CH747" s="389"/>
      <c r="CI747" s="53"/>
      <c r="CJ747" s="53"/>
      <c r="CK747" s="389"/>
      <c r="CL747" s="390"/>
      <c r="CM747" s="389"/>
      <c r="CN747" s="389"/>
      <c r="CO747" s="390"/>
      <c r="CP747" s="390"/>
      <c r="CQ747" s="721"/>
      <c r="CR747" s="389"/>
      <c r="CS747" s="53"/>
      <c r="CT747" s="53"/>
      <c r="CU747" s="721"/>
      <c r="CV747" s="389"/>
      <c r="CW747" s="53"/>
      <c r="CX747" s="53"/>
      <c r="CY747" s="721"/>
      <c r="CZ747" s="389"/>
      <c r="DA747" s="53"/>
      <c r="DB747" s="53"/>
      <c r="DC747" s="721"/>
      <c r="DD747" s="389"/>
      <c r="DE747" s="53"/>
      <c r="DF747" s="53"/>
      <c r="DG747" s="721"/>
      <c r="DH747" s="389"/>
      <c r="DI747" s="53"/>
      <c r="DJ747" s="53"/>
      <c r="DK747" s="721"/>
      <c r="DL747" s="389"/>
      <c r="DM747" s="53"/>
      <c r="DN747" s="53"/>
      <c r="DO747" s="721"/>
      <c r="DP747" s="389"/>
      <c r="DQ747" s="53"/>
      <c r="DR747" s="53"/>
      <c r="DS747" s="721"/>
      <c r="DT747" s="389"/>
      <c r="DU747" s="53"/>
      <c r="DV747" s="53"/>
      <c r="DW747" s="721"/>
      <c r="DX747" s="389"/>
      <c r="DY747" s="53"/>
      <c r="DZ747" s="53"/>
      <c r="EA747" s="721"/>
      <c r="EB747" s="389"/>
      <c r="EC747" s="53"/>
      <c r="ED747" s="53"/>
      <c r="EE747" s="389"/>
      <c r="EF747" s="390"/>
      <c r="EG747" s="389"/>
      <c r="EH747" s="389"/>
      <c r="EI747" s="391"/>
      <c r="EJ747" s="390"/>
      <c r="EK747" s="390"/>
      <c r="EL747" s="734"/>
      <c r="EM747" s="735"/>
      <c r="EN747" s="392"/>
      <c r="EO747" s="736"/>
      <c r="EP747" s="390"/>
      <c r="EQ747" s="736"/>
      <c r="ER747" s="390"/>
      <c r="ES747" s="736"/>
      <c r="ET747" s="390"/>
      <c r="EU747" s="736"/>
      <c r="EV747" s="390"/>
      <c r="EW747" s="736"/>
      <c r="EX747" s="390"/>
      <c r="EY747" s="736"/>
      <c r="EZ747" s="390"/>
      <c r="FA747" s="736"/>
      <c r="FB747" s="390"/>
      <c r="FC747" s="736"/>
      <c r="FD747" s="390"/>
      <c r="FE747" s="736"/>
      <c r="FF747" s="390"/>
      <c r="FG747" s="736"/>
      <c r="FH747" s="390"/>
      <c r="FI747" s="389"/>
      <c r="FJ747" s="390"/>
      <c r="FK747" s="389"/>
      <c r="FL747" s="392"/>
    </row>
    <row r="748" spans="1:211" s="85" customFormat="1">
      <c r="A748" s="394"/>
      <c r="B748" s="395"/>
      <c r="C748" s="394"/>
      <c r="D748" s="388"/>
      <c r="E748" s="726"/>
      <c r="F748" s="390"/>
      <c r="G748" s="726"/>
      <c r="H748" s="390"/>
      <c r="I748" s="389"/>
      <c r="J748" s="390"/>
      <c r="K748" s="727"/>
      <c r="L748" s="728"/>
      <c r="M748" s="389"/>
      <c r="N748" s="729"/>
      <c r="O748" s="729"/>
      <c r="P748" s="729"/>
      <c r="Q748" s="730"/>
      <c r="R748" s="390"/>
      <c r="S748" s="390"/>
      <c r="T748" s="390"/>
      <c r="U748" s="390"/>
      <c r="V748" s="731"/>
      <c r="W748" s="721"/>
      <c r="X748" s="389"/>
      <c r="Y748" s="537"/>
      <c r="Z748" s="53"/>
      <c r="AA748" s="732"/>
      <c r="AB748" s="389"/>
      <c r="AC748" s="537"/>
      <c r="AD748" s="53"/>
      <c r="AE748" s="732"/>
      <c r="AF748" s="389"/>
      <c r="AG748" s="537"/>
      <c r="AH748" s="53"/>
      <c r="AI748" s="732"/>
      <c r="AJ748" s="389"/>
      <c r="AK748" s="537"/>
      <c r="AL748" s="53"/>
      <c r="AM748" s="732"/>
      <c r="AN748" s="389"/>
      <c r="AO748" s="537"/>
      <c r="AP748" s="53"/>
      <c r="AQ748" s="389"/>
      <c r="AR748" s="707"/>
      <c r="AS748" s="53"/>
      <c r="AT748" s="733"/>
      <c r="AU748" s="729"/>
      <c r="AV748" s="390"/>
      <c r="AW748" s="721"/>
      <c r="AX748" s="389"/>
      <c r="AY748" s="53"/>
      <c r="AZ748" s="53"/>
      <c r="BA748" s="721"/>
      <c r="BB748" s="389"/>
      <c r="BC748" s="53"/>
      <c r="BD748" s="53"/>
      <c r="BE748" s="721"/>
      <c r="BF748" s="389"/>
      <c r="BG748" s="53"/>
      <c r="BH748" s="53"/>
      <c r="BI748" s="721"/>
      <c r="BJ748" s="389"/>
      <c r="BK748" s="53"/>
      <c r="BL748" s="53"/>
      <c r="BM748" s="721"/>
      <c r="BN748" s="389"/>
      <c r="BO748" s="53"/>
      <c r="BP748" s="53"/>
      <c r="BQ748" s="721"/>
      <c r="BR748" s="389"/>
      <c r="BS748" s="53"/>
      <c r="BT748" s="53"/>
      <c r="BU748" s="721"/>
      <c r="BV748" s="389"/>
      <c r="BW748" s="53"/>
      <c r="BX748" s="53"/>
      <c r="BY748" s="721"/>
      <c r="BZ748" s="389"/>
      <c r="CA748" s="53"/>
      <c r="CB748" s="53"/>
      <c r="CC748" s="721"/>
      <c r="CD748" s="389"/>
      <c r="CE748" s="53"/>
      <c r="CF748" s="53"/>
      <c r="CG748" s="721"/>
      <c r="CH748" s="389"/>
      <c r="CI748" s="53"/>
      <c r="CJ748" s="53"/>
      <c r="CK748" s="389"/>
      <c r="CL748" s="390"/>
      <c r="CM748" s="389"/>
      <c r="CN748" s="389"/>
      <c r="CO748" s="390"/>
      <c r="CP748" s="390"/>
      <c r="CQ748" s="721"/>
      <c r="CR748" s="389"/>
      <c r="CS748" s="53"/>
      <c r="CT748" s="53"/>
      <c r="CU748" s="721"/>
      <c r="CV748" s="389"/>
      <c r="CW748" s="53"/>
      <c r="CX748" s="53"/>
      <c r="CY748" s="721"/>
      <c r="CZ748" s="389"/>
      <c r="DA748" s="53"/>
      <c r="DB748" s="53"/>
      <c r="DC748" s="721"/>
      <c r="DD748" s="389"/>
      <c r="DE748" s="53"/>
      <c r="DF748" s="53"/>
      <c r="DG748" s="721"/>
      <c r="DH748" s="389"/>
      <c r="DI748" s="53"/>
      <c r="DJ748" s="53"/>
      <c r="DK748" s="721"/>
      <c r="DL748" s="389"/>
      <c r="DM748" s="53"/>
      <c r="DN748" s="53"/>
      <c r="DO748" s="721"/>
      <c r="DP748" s="389"/>
      <c r="DQ748" s="53"/>
      <c r="DR748" s="53"/>
      <c r="DS748" s="721"/>
      <c r="DT748" s="389"/>
      <c r="DU748" s="53"/>
      <c r="DV748" s="53"/>
      <c r="DW748" s="721"/>
      <c r="DX748" s="389"/>
      <c r="DY748" s="53"/>
      <c r="DZ748" s="53"/>
      <c r="EA748" s="721"/>
      <c r="EB748" s="389"/>
      <c r="EC748" s="53"/>
      <c r="ED748" s="53"/>
      <c r="EE748" s="389"/>
      <c r="EF748" s="390"/>
      <c r="EG748" s="389"/>
      <c r="EH748" s="389"/>
      <c r="EI748" s="391"/>
      <c r="EJ748" s="390"/>
      <c r="EK748" s="390"/>
      <c r="EL748" s="734"/>
      <c r="EM748" s="735"/>
      <c r="EN748" s="392"/>
      <c r="EO748" s="736"/>
      <c r="EP748" s="390"/>
      <c r="EQ748" s="736"/>
      <c r="ER748" s="390"/>
      <c r="ES748" s="736"/>
      <c r="ET748" s="390"/>
      <c r="EU748" s="736"/>
      <c r="EV748" s="390"/>
      <c r="EW748" s="736"/>
      <c r="EX748" s="390"/>
      <c r="EY748" s="736"/>
      <c r="EZ748" s="390"/>
      <c r="FA748" s="736"/>
      <c r="FB748" s="390"/>
      <c r="FC748" s="736"/>
      <c r="FD748" s="390"/>
      <c r="FE748" s="736"/>
      <c r="FF748" s="390"/>
      <c r="FG748" s="736"/>
      <c r="FH748" s="390"/>
      <c r="FI748" s="389"/>
      <c r="FJ748" s="390"/>
      <c r="FK748" s="389"/>
      <c r="FL748" s="392"/>
    </row>
    <row r="749" spans="1:211" s="85" customFormat="1">
      <c r="A749" s="394"/>
      <c r="B749" s="395"/>
      <c r="C749" s="394"/>
      <c r="D749" s="388"/>
      <c r="E749" s="726"/>
      <c r="F749" s="390"/>
      <c r="G749" s="726"/>
      <c r="H749" s="390"/>
      <c r="I749" s="389"/>
      <c r="J749" s="390"/>
      <c r="K749" s="727"/>
      <c r="L749" s="728"/>
      <c r="M749" s="389"/>
      <c r="N749" s="729"/>
      <c r="O749" s="729"/>
      <c r="P749" s="729"/>
      <c r="Q749" s="730"/>
      <c r="R749" s="390"/>
      <c r="S749" s="390"/>
      <c r="T749" s="390"/>
      <c r="U749" s="390"/>
      <c r="V749" s="731"/>
      <c r="W749" s="721"/>
      <c r="X749" s="389"/>
      <c r="Y749" s="537"/>
      <c r="Z749" s="53"/>
      <c r="AA749" s="732"/>
      <c r="AB749" s="389"/>
      <c r="AC749" s="537"/>
      <c r="AD749" s="53"/>
      <c r="AE749" s="732"/>
      <c r="AF749" s="389"/>
      <c r="AG749" s="537"/>
      <c r="AH749" s="53"/>
      <c r="AI749" s="732"/>
      <c r="AJ749" s="389"/>
      <c r="AK749" s="537"/>
      <c r="AL749" s="53"/>
      <c r="AM749" s="732"/>
      <c r="AN749" s="389"/>
      <c r="AO749" s="537"/>
      <c r="AP749" s="53"/>
      <c r="AQ749" s="389"/>
      <c r="AR749" s="707"/>
      <c r="AS749" s="53"/>
      <c r="AT749" s="733"/>
      <c r="AU749" s="729"/>
      <c r="AV749" s="390"/>
      <c r="AW749" s="721"/>
      <c r="AX749" s="389"/>
      <c r="AY749" s="53"/>
      <c r="AZ749" s="53"/>
      <c r="BA749" s="721"/>
      <c r="BB749" s="389"/>
      <c r="BC749" s="53"/>
      <c r="BD749" s="53"/>
      <c r="BE749" s="721"/>
      <c r="BF749" s="389"/>
      <c r="BG749" s="53"/>
      <c r="BH749" s="53"/>
      <c r="BI749" s="721"/>
      <c r="BJ749" s="389"/>
      <c r="BK749" s="53"/>
      <c r="BL749" s="53"/>
      <c r="BM749" s="721"/>
      <c r="BN749" s="389"/>
      <c r="BO749" s="53"/>
      <c r="BP749" s="53"/>
      <c r="BQ749" s="721"/>
      <c r="BR749" s="389"/>
      <c r="BS749" s="53"/>
      <c r="BT749" s="53"/>
      <c r="BU749" s="721"/>
      <c r="BV749" s="389"/>
      <c r="BW749" s="53"/>
      <c r="BX749" s="53"/>
      <c r="BY749" s="721"/>
      <c r="BZ749" s="389"/>
      <c r="CA749" s="53"/>
      <c r="CB749" s="53"/>
      <c r="CC749" s="721"/>
      <c r="CD749" s="389"/>
      <c r="CE749" s="53"/>
      <c r="CF749" s="53"/>
      <c r="CG749" s="721"/>
      <c r="CH749" s="389"/>
      <c r="CI749" s="53"/>
      <c r="CJ749" s="53"/>
      <c r="CK749" s="389"/>
      <c r="CL749" s="390"/>
      <c r="CM749" s="389"/>
      <c r="CN749" s="389"/>
      <c r="CO749" s="390"/>
      <c r="CP749" s="390"/>
      <c r="CQ749" s="721"/>
      <c r="CR749" s="389"/>
      <c r="CS749" s="53"/>
      <c r="CT749" s="53"/>
      <c r="CU749" s="721"/>
      <c r="CV749" s="389"/>
      <c r="CW749" s="53"/>
      <c r="CX749" s="53"/>
      <c r="CY749" s="721"/>
      <c r="CZ749" s="389"/>
      <c r="DA749" s="53"/>
      <c r="DB749" s="53"/>
      <c r="DC749" s="721"/>
      <c r="DD749" s="389"/>
      <c r="DE749" s="53"/>
      <c r="DF749" s="53"/>
      <c r="DG749" s="721"/>
      <c r="DH749" s="389"/>
      <c r="DI749" s="53"/>
      <c r="DJ749" s="53"/>
      <c r="DK749" s="721"/>
      <c r="DL749" s="389"/>
      <c r="DM749" s="53"/>
      <c r="DN749" s="53"/>
      <c r="DO749" s="721"/>
      <c r="DP749" s="389"/>
      <c r="DQ749" s="53"/>
      <c r="DR749" s="53"/>
      <c r="DS749" s="721"/>
      <c r="DT749" s="389"/>
      <c r="DU749" s="53"/>
      <c r="DV749" s="53"/>
      <c r="DW749" s="721"/>
      <c r="DX749" s="389"/>
      <c r="DY749" s="53"/>
      <c r="DZ749" s="53"/>
      <c r="EA749" s="721"/>
      <c r="EB749" s="389"/>
      <c r="EC749" s="53"/>
      <c r="ED749" s="53"/>
      <c r="EE749" s="389"/>
      <c r="EF749" s="390"/>
      <c r="EG749" s="389"/>
      <c r="EH749" s="389"/>
      <c r="EI749" s="391"/>
      <c r="EJ749" s="390"/>
      <c r="EK749" s="390"/>
      <c r="EL749" s="734"/>
      <c r="EM749" s="735"/>
      <c r="EN749" s="392"/>
      <c r="EO749" s="736"/>
      <c r="EP749" s="390"/>
      <c r="EQ749" s="736"/>
      <c r="ER749" s="390"/>
      <c r="ES749" s="736"/>
      <c r="ET749" s="390"/>
      <c r="EU749" s="736"/>
      <c r="EV749" s="390"/>
      <c r="EW749" s="736"/>
      <c r="EX749" s="390"/>
      <c r="EY749" s="736"/>
      <c r="EZ749" s="390"/>
      <c r="FA749" s="736"/>
      <c r="FB749" s="390"/>
      <c r="FC749" s="736"/>
      <c r="FD749" s="390"/>
      <c r="FE749" s="736"/>
      <c r="FF749" s="390"/>
      <c r="FG749" s="736"/>
      <c r="FH749" s="390"/>
      <c r="FI749" s="389"/>
      <c r="FJ749" s="390"/>
      <c r="FK749" s="389"/>
      <c r="FL749" s="392"/>
    </row>
    <row r="750" spans="1:211" s="85" customFormat="1">
      <c r="A750" s="394"/>
      <c r="B750" s="395"/>
      <c r="C750" s="394"/>
      <c r="D750" s="388"/>
      <c r="E750" s="726"/>
      <c r="F750" s="390"/>
      <c r="G750" s="726"/>
      <c r="H750" s="390"/>
      <c r="I750" s="389"/>
      <c r="J750" s="390"/>
      <c r="K750" s="727"/>
      <c r="L750" s="728"/>
      <c r="M750" s="389"/>
      <c r="N750" s="729"/>
      <c r="O750" s="729"/>
      <c r="P750" s="729"/>
      <c r="Q750" s="730"/>
      <c r="R750" s="390"/>
      <c r="S750" s="390"/>
      <c r="T750" s="390"/>
      <c r="U750" s="390"/>
      <c r="V750" s="731"/>
      <c r="W750" s="721"/>
      <c r="X750" s="389"/>
      <c r="Y750" s="537"/>
      <c r="Z750" s="53"/>
      <c r="AA750" s="732"/>
      <c r="AB750" s="389"/>
      <c r="AC750" s="537"/>
      <c r="AD750" s="53"/>
      <c r="AE750" s="732"/>
      <c r="AF750" s="389"/>
      <c r="AG750" s="537"/>
      <c r="AH750" s="53"/>
      <c r="AI750" s="732"/>
      <c r="AJ750" s="389"/>
      <c r="AK750" s="537"/>
      <c r="AL750" s="53"/>
      <c r="AM750" s="732"/>
      <c r="AN750" s="389"/>
      <c r="AO750" s="537"/>
      <c r="AP750" s="53"/>
      <c r="AQ750" s="389"/>
      <c r="AR750" s="707"/>
      <c r="AS750" s="53"/>
      <c r="AT750" s="733"/>
      <c r="AU750" s="729"/>
      <c r="AV750" s="390"/>
      <c r="AW750" s="721"/>
      <c r="AX750" s="389"/>
      <c r="AY750" s="53"/>
      <c r="AZ750" s="53"/>
      <c r="BA750" s="721"/>
      <c r="BB750" s="389"/>
      <c r="BC750" s="53"/>
      <c r="BD750" s="53"/>
      <c r="BE750" s="721"/>
      <c r="BF750" s="389"/>
      <c r="BG750" s="53"/>
      <c r="BH750" s="53"/>
      <c r="BI750" s="721"/>
      <c r="BJ750" s="389"/>
      <c r="BK750" s="53"/>
      <c r="BL750" s="53"/>
      <c r="BM750" s="721"/>
      <c r="BN750" s="389"/>
      <c r="BO750" s="53"/>
      <c r="BP750" s="53"/>
      <c r="BQ750" s="721"/>
      <c r="BR750" s="389"/>
      <c r="BS750" s="53"/>
      <c r="BT750" s="53"/>
      <c r="BU750" s="721"/>
      <c r="BV750" s="389"/>
      <c r="BW750" s="53"/>
      <c r="BX750" s="53"/>
      <c r="BY750" s="721"/>
      <c r="BZ750" s="389"/>
      <c r="CA750" s="53"/>
      <c r="CB750" s="53"/>
      <c r="CC750" s="721"/>
      <c r="CD750" s="389"/>
      <c r="CE750" s="53"/>
      <c r="CF750" s="53"/>
      <c r="CG750" s="721"/>
      <c r="CH750" s="389"/>
      <c r="CI750" s="53"/>
      <c r="CJ750" s="53"/>
      <c r="CK750" s="389"/>
      <c r="CL750" s="390"/>
      <c r="CM750" s="389"/>
      <c r="CN750" s="389"/>
      <c r="CO750" s="390"/>
      <c r="CP750" s="390"/>
      <c r="CQ750" s="721"/>
      <c r="CR750" s="389"/>
      <c r="CS750" s="53"/>
      <c r="CT750" s="53"/>
      <c r="CU750" s="721"/>
      <c r="CV750" s="389"/>
      <c r="CW750" s="53"/>
      <c r="CX750" s="53"/>
      <c r="CY750" s="721"/>
      <c r="CZ750" s="389"/>
      <c r="DA750" s="53"/>
      <c r="DB750" s="53"/>
      <c r="DC750" s="721"/>
      <c r="DD750" s="389"/>
      <c r="DE750" s="53"/>
      <c r="DF750" s="53"/>
      <c r="DG750" s="721"/>
      <c r="DH750" s="389"/>
      <c r="DI750" s="53"/>
      <c r="DJ750" s="53"/>
      <c r="DK750" s="721"/>
      <c r="DL750" s="389"/>
      <c r="DM750" s="53"/>
      <c r="DN750" s="53"/>
      <c r="DO750" s="721"/>
      <c r="DP750" s="389"/>
      <c r="DQ750" s="53"/>
      <c r="DR750" s="53"/>
      <c r="DS750" s="721"/>
      <c r="DT750" s="389"/>
      <c r="DU750" s="53"/>
      <c r="DV750" s="53"/>
      <c r="DW750" s="721"/>
      <c r="DX750" s="389"/>
      <c r="DY750" s="53"/>
      <c r="DZ750" s="53"/>
      <c r="EA750" s="721"/>
      <c r="EB750" s="389"/>
      <c r="EC750" s="53"/>
      <c r="ED750" s="53"/>
      <c r="EE750" s="389"/>
      <c r="EF750" s="390"/>
      <c r="EG750" s="389"/>
      <c r="EH750" s="389"/>
      <c r="EI750" s="391"/>
      <c r="EJ750" s="390"/>
      <c r="EK750" s="390"/>
      <c r="EL750" s="734"/>
      <c r="EM750" s="735"/>
      <c r="EN750" s="392"/>
      <c r="EO750" s="736"/>
      <c r="EP750" s="390"/>
      <c r="EQ750" s="736"/>
      <c r="ER750" s="390"/>
      <c r="ES750" s="736"/>
      <c r="ET750" s="390"/>
      <c r="EU750" s="736"/>
      <c r="EV750" s="390"/>
      <c r="EW750" s="736"/>
      <c r="EX750" s="390"/>
      <c r="EY750" s="736"/>
      <c r="EZ750" s="390"/>
      <c r="FA750" s="736"/>
      <c r="FB750" s="390"/>
      <c r="FC750" s="736"/>
      <c r="FD750" s="390"/>
      <c r="FE750" s="736"/>
      <c r="FF750" s="390"/>
      <c r="FG750" s="736"/>
      <c r="FH750" s="390"/>
      <c r="FI750" s="389"/>
      <c r="FJ750" s="390"/>
      <c r="FK750" s="389"/>
      <c r="FL750" s="392"/>
    </row>
    <row r="751" spans="1:211" s="85" customFormat="1">
      <c r="A751" s="394"/>
      <c r="B751" s="395"/>
      <c r="C751" s="394"/>
      <c r="D751" s="388"/>
      <c r="E751" s="726"/>
      <c r="F751" s="390"/>
      <c r="G751" s="726"/>
      <c r="H751" s="390"/>
      <c r="I751" s="389"/>
      <c r="J751" s="390"/>
      <c r="K751" s="727"/>
      <c r="L751" s="728"/>
      <c r="M751" s="389"/>
      <c r="N751" s="729"/>
      <c r="O751" s="729"/>
      <c r="P751" s="729"/>
      <c r="Q751" s="730"/>
      <c r="R751" s="390"/>
      <c r="S751" s="390"/>
      <c r="T751" s="390"/>
      <c r="U751" s="390"/>
      <c r="V751" s="731"/>
      <c r="W751" s="721"/>
      <c r="X751" s="389"/>
      <c r="Y751" s="537"/>
      <c r="Z751" s="53"/>
      <c r="AA751" s="732"/>
      <c r="AB751" s="389"/>
      <c r="AC751" s="537"/>
      <c r="AD751" s="53"/>
      <c r="AE751" s="732"/>
      <c r="AF751" s="389"/>
      <c r="AG751" s="537"/>
      <c r="AH751" s="53"/>
      <c r="AI751" s="732"/>
      <c r="AJ751" s="389"/>
      <c r="AK751" s="537"/>
      <c r="AL751" s="53"/>
      <c r="AM751" s="732"/>
      <c r="AN751" s="389"/>
      <c r="AO751" s="537"/>
      <c r="AP751" s="53"/>
      <c r="AQ751" s="389"/>
      <c r="AR751" s="707"/>
      <c r="AS751" s="53"/>
      <c r="AT751" s="733"/>
      <c r="AU751" s="729"/>
      <c r="AV751" s="390"/>
      <c r="AW751" s="721"/>
      <c r="AX751" s="389"/>
      <c r="AY751" s="53"/>
      <c r="AZ751" s="53"/>
      <c r="BA751" s="721"/>
      <c r="BB751" s="389"/>
      <c r="BC751" s="53"/>
      <c r="BD751" s="53"/>
      <c r="BE751" s="721"/>
      <c r="BF751" s="389"/>
      <c r="BG751" s="53"/>
      <c r="BH751" s="53"/>
      <c r="BI751" s="721"/>
      <c r="BJ751" s="389"/>
      <c r="BK751" s="53"/>
      <c r="BL751" s="53"/>
      <c r="BM751" s="721"/>
      <c r="BN751" s="389"/>
      <c r="BO751" s="53"/>
      <c r="BP751" s="53"/>
      <c r="BQ751" s="721"/>
      <c r="BR751" s="389"/>
      <c r="BS751" s="53"/>
      <c r="BT751" s="53"/>
      <c r="BU751" s="721"/>
      <c r="BV751" s="389"/>
      <c r="BW751" s="53"/>
      <c r="BX751" s="53"/>
      <c r="BY751" s="721"/>
      <c r="BZ751" s="389"/>
      <c r="CA751" s="53"/>
      <c r="CB751" s="53"/>
      <c r="CC751" s="721"/>
      <c r="CD751" s="389"/>
      <c r="CE751" s="53"/>
      <c r="CF751" s="53"/>
      <c r="CG751" s="721"/>
      <c r="CH751" s="389"/>
      <c r="CI751" s="53"/>
      <c r="CJ751" s="53"/>
      <c r="CK751" s="389"/>
      <c r="CL751" s="390"/>
      <c r="CM751" s="389"/>
      <c r="CN751" s="389"/>
      <c r="CO751" s="390"/>
      <c r="CP751" s="390"/>
      <c r="CQ751" s="721"/>
      <c r="CR751" s="389"/>
      <c r="CS751" s="53"/>
      <c r="CT751" s="53"/>
      <c r="CU751" s="721"/>
      <c r="CV751" s="389"/>
      <c r="CW751" s="53"/>
      <c r="CX751" s="53"/>
      <c r="CY751" s="721"/>
      <c r="CZ751" s="389"/>
      <c r="DA751" s="53"/>
      <c r="DB751" s="53"/>
      <c r="DC751" s="721"/>
      <c r="DD751" s="389"/>
      <c r="DE751" s="53"/>
      <c r="DF751" s="53"/>
      <c r="DG751" s="721"/>
      <c r="DH751" s="389"/>
      <c r="DI751" s="53"/>
      <c r="DJ751" s="53"/>
      <c r="DK751" s="721"/>
      <c r="DL751" s="389"/>
      <c r="DM751" s="53"/>
      <c r="DN751" s="53"/>
      <c r="DO751" s="721"/>
      <c r="DP751" s="389"/>
      <c r="DQ751" s="53"/>
      <c r="DR751" s="53"/>
      <c r="DS751" s="721"/>
      <c r="DT751" s="389"/>
      <c r="DU751" s="53"/>
      <c r="DV751" s="53"/>
      <c r="DW751" s="721"/>
      <c r="DX751" s="389"/>
      <c r="DY751" s="53"/>
      <c r="DZ751" s="53"/>
      <c r="EA751" s="721"/>
      <c r="EB751" s="389"/>
      <c r="EC751" s="53"/>
      <c r="ED751" s="53"/>
      <c r="EE751" s="389"/>
      <c r="EF751" s="390"/>
      <c r="EG751" s="389"/>
      <c r="EH751" s="389"/>
      <c r="EI751" s="391"/>
      <c r="EJ751" s="390"/>
      <c r="EK751" s="390"/>
      <c r="EL751" s="734"/>
      <c r="EM751" s="735"/>
      <c r="EN751" s="392"/>
      <c r="EO751" s="736"/>
      <c r="EP751" s="390"/>
      <c r="EQ751" s="736"/>
      <c r="ER751" s="390"/>
      <c r="ES751" s="736"/>
      <c r="ET751" s="390"/>
      <c r="EU751" s="736"/>
      <c r="EV751" s="390"/>
      <c r="EW751" s="736"/>
      <c r="EX751" s="390"/>
      <c r="EY751" s="736"/>
      <c r="EZ751" s="390"/>
      <c r="FA751" s="736"/>
      <c r="FB751" s="390"/>
      <c r="FC751" s="736"/>
      <c r="FD751" s="390"/>
      <c r="FE751" s="736"/>
      <c r="FF751" s="390"/>
      <c r="FG751" s="736"/>
      <c r="FH751" s="390"/>
      <c r="FI751" s="389"/>
      <c r="FJ751" s="390"/>
      <c r="FK751" s="389"/>
      <c r="FL751" s="392"/>
    </row>
    <row r="752" spans="1:211" s="85" customFormat="1">
      <c r="A752" s="394"/>
      <c r="B752" s="395"/>
      <c r="C752" s="394"/>
      <c r="D752" s="388"/>
      <c r="E752" s="726"/>
      <c r="F752" s="390"/>
      <c r="G752" s="726"/>
      <c r="H752" s="390"/>
      <c r="I752" s="389"/>
      <c r="J752" s="390"/>
      <c r="K752" s="727"/>
      <c r="L752" s="728"/>
      <c r="M752" s="389"/>
      <c r="N752" s="729"/>
      <c r="O752" s="729"/>
      <c r="P752" s="729"/>
      <c r="Q752" s="730"/>
      <c r="R752" s="390"/>
      <c r="S752" s="390"/>
      <c r="T752" s="390"/>
      <c r="U752" s="390"/>
      <c r="V752" s="731"/>
      <c r="W752" s="721"/>
      <c r="X752" s="389"/>
      <c r="Y752" s="537"/>
      <c r="Z752" s="53"/>
      <c r="AA752" s="732"/>
      <c r="AB752" s="389"/>
      <c r="AC752" s="537"/>
      <c r="AD752" s="53"/>
      <c r="AE752" s="732"/>
      <c r="AF752" s="389"/>
      <c r="AG752" s="537"/>
      <c r="AH752" s="53"/>
      <c r="AI752" s="732"/>
      <c r="AJ752" s="389"/>
      <c r="AK752" s="537"/>
      <c r="AL752" s="53"/>
      <c r="AM752" s="732"/>
      <c r="AN752" s="389"/>
      <c r="AO752" s="537"/>
      <c r="AP752" s="53"/>
      <c r="AQ752" s="389"/>
      <c r="AR752" s="707"/>
      <c r="AS752" s="53"/>
      <c r="AT752" s="733"/>
      <c r="AU752" s="729"/>
      <c r="AV752" s="390"/>
      <c r="AW752" s="721"/>
      <c r="AX752" s="389"/>
      <c r="AY752" s="53"/>
      <c r="AZ752" s="53"/>
      <c r="BA752" s="721"/>
      <c r="BB752" s="389"/>
      <c r="BC752" s="53"/>
      <c r="BD752" s="53"/>
      <c r="BE752" s="721"/>
      <c r="BF752" s="389"/>
      <c r="BG752" s="53"/>
      <c r="BH752" s="53"/>
      <c r="BI752" s="721"/>
      <c r="BJ752" s="389"/>
      <c r="BK752" s="53"/>
      <c r="BL752" s="53"/>
      <c r="BM752" s="721"/>
      <c r="BN752" s="389"/>
      <c r="BO752" s="53"/>
      <c r="BP752" s="53"/>
      <c r="BQ752" s="721"/>
      <c r="BR752" s="389"/>
      <c r="BS752" s="53"/>
      <c r="BT752" s="53"/>
      <c r="BU752" s="721"/>
      <c r="BV752" s="389"/>
      <c r="BW752" s="53"/>
      <c r="BX752" s="53"/>
      <c r="BY752" s="721"/>
      <c r="BZ752" s="389"/>
      <c r="CA752" s="53"/>
      <c r="CB752" s="53"/>
      <c r="CC752" s="721"/>
      <c r="CD752" s="389"/>
      <c r="CE752" s="53"/>
      <c r="CF752" s="53"/>
      <c r="CG752" s="721"/>
      <c r="CH752" s="389"/>
      <c r="CI752" s="53"/>
      <c r="CJ752" s="53"/>
      <c r="CK752" s="389"/>
      <c r="CL752" s="390"/>
      <c r="CM752" s="389"/>
      <c r="CN752" s="389"/>
      <c r="CO752" s="390"/>
      <c r="CP752" s="390"/>
      <c r="CQ752" s="721"/>
      <c r="CR752" s="389"/>
      <c r="CS752" s="53"/>
      <c r="CT752" s="53"/>
      <c r="CU752" s="721"/>
      <c r="CV752" s="389"/>
      <c r="CW752" s="53"/>
      <c r="CX752" s="53"/>
      <c r="CY752" s="721"/>
      <c r="CZ752" s="389"/>
      <c r="DA752" s="53"/>
      <c r="DB752" s="53"/>
      <c r="DC752" s="721"/>
      <c r="DD752" s="389"/>
      <c r="DE752" s="53"/>
      <c r="DF752" s="53"/>
      <c r="DG752" s="721"/>
      <c r="DH752" s="389"/>
      <c r="DI752" s="53"/>
      <c r="DJ752" s="53"/>
      <c r="DK752" s="721"/>
      <c r="DL752" s="389"/>
      <c r="DM752" s="53"/>
      <c r="DN752" s="53"/>
      <c r="DO752" s="721"/>
      <c r="DP752" s="389"/>
      <c r="DQ752" s="53"/>
      <c r="DR752" s="53"/>
      <c r="DS752" s="721"/>
      <c r="DT752" s="389"/>
      <c r="DU752" s="53"/>
      <c r="DV752" s="53"/>
      <c r="DW752" s="721"/>
      <c r="DX752" s="389"/>
      <c r="DY752" s="53"/>
      <c r="DZ752" s="53"/>
      <c r="EA752" s="721"/>
      <c r="EB752" s="389"/>
      <c r="EC752" s="53"/>
      <c r="ED752" s="53"/>
      <c r="EE752" s="389"/>
      <c r="EF752" s="390"/>
      <c r="EG752" s="389"/>
      <c r="EH752" s="389"/>
      <c r="EI752" s="391"/>
      <c r="EJ752" s="390"/>
      <c r="EK752" s="390"/>
      <c r="EL752" s="734"/>
      <c r="EM752" s="735"/>
      <c r="EN752" s="392"/>
      <c r="EO752" s="736"/>
      <c r="EP752" s="390"/>
      <c r="EQ752" s="736"/>
      <c r="ER752" s="390"/>
      <c r="ES752" s="736"/>
      <c r="ET752" s="390"/>
      <c r="EU752" s="736"/>
      <c r="EV752" s="390"/>
      <c r="EW752" s="736"/>
      <c r="EX752" s="390"/>
      <c r="EY752" s="736"/>
      <c r="EZ752" s="390"/>
      <c r="FA752" s="736"/>
      <c r="FB752" s="390"/>
      <c r="FC752" s="736"/>
      <c r="FD752" s="390"/>
      <c r="FE752" s="736"/>
      <c r="FF752" s="390"/>
      <c r="FG752" s="736"/>
      <c r="FH752" s="390"/>
      <c r="FI752" s="389"/>
      <c r="FJ752" s="390"/>
      <c r="FK752" s="389"/>
      <c r="FL752" s="392"/>
    </row>
    <row r="753" spans="1:168" s="85" customFormat="1">
      <c r="A753" s="394"/>
      <c r="B753" s="395"/>
      <c r="C753" s="394"/>
      <c r="D753" s="388"/>
      <c r="E753" s="726"/>
      <c r="F753" s="390"/>
      <c r="G753" s="726"/>
      <c r="H753" s="390"/>
      <c r="I753" s="389"/>
      <c r="J753" s="390"/>
      <c r="K753" s="727"/>
      <c r="L753" s="728"/>
      <c r="M753" s="389"/>
      <c r="N753" s="729"/>
      <c r="O753" s="729"/>
      <c r="P753" s="729"/>
      <c r="Q753" s="730"/>
      <c r="R753" s="390"/>
      <c r="S753" s="390"/>
      <c r="T753" s="390"/>
      <c r="U753" s="390"/>
      <c r="V753" s="731"/>
      <c r="W753" s="721"/>
      <c r="X753" s="389"/>
      <c r="Y753" s="537"/>
      <c r="Z753" s="53"/>
      <c r="AA753" s="732"/>
      <c r="AB753" s="389"/>
      <c r="AC753" s="537"/>
      <c r="AD753" s="53"/>
      <c r="AE753" s="732"/>
      <c r="AF753" s="389"/>
      <c r="AG753" s="537"/>
      <c r="AH753" s="53"/>
      <c r="AI753" s="732"/>
      <c r="AJ753" s="389"/>
      <c r="AK753" s="537"/>
      <c r="AL753" s="53"/>
      <c r="AM753" s="732"/>
      <c r="AN753" s="389"/>
      <c r="AO753" s="537"/>
      <c r="AP753" s="53"/>
      <c r="AQ753" s="389"/>
      <c r="AR753" s="707"/>
      <c r="AS753" s="53"/>
      <c r="AT753" s="733"/>
      <c r="AU753" s="729"/>
      <c r="AV753" s="390"/>
      <c r="AW753" s="721"/>
      <c r="AX753" s="389"/>
      <c r="AY753" s="53"/>
      <c r="AZ753" s="53"/>
      <c r="BA753" s="721"/>
      <c r="BB753" s="389"/>
      <c r="BC753" s="53"/>
      <c r="BD753" s="53"/>
      <c r="BE753" s="721"/>
      <c r="BF753" s="389"/>
      <c r="BG753" s="53"/>
      <c r="BH753" s="53"/>
      <c r="BI753" s="721"/>
      <c r="BJ753" s="389"/>
      <c r="BK753" s="53"/>
      <c r="BL753" s="53"/>
      <c r="BM753" s="721"/>
      <c r="BN753" s="389"/>
      <c r="BO753" s="53"/>
      <c r="BP753" s="53"/>
      <c r="BQ753" s="721"/>
      <c r="BR753" s="389"/>
      <c r="BS753" s="53"/>
      <c r="BT753" s="53"/>
      <c r="BU753" s="721"/>
      <c r="BV753" s="389"/>
      <c r="BW753" s="53"/>
      <c r="BX753" s="53"/>
      <c r="BY753" s="721"/>
      <c r="BZ753" s="389"/>
      <c r="CA753" s="53"/>
      <c r="CB753" s="53"/>
      <c r="CC753" s="721"/>
      <c r="CD753" s="389"/>
      <c r="CE753" s="53"/>
      <c r="CF753" s="53"/>
      <c r="CG753" s="721"/>
      <c r="CH753" s="389"/>
      <c r="CI753" s="53"/>
      <c r="CJ753" s="53"/>
      <c r="CK753" s="389"/>
      <c r="CL753" s="390"/>
      <c r="CM753" s="389"/>
      <c r="CN753" s="389"/>
      <c r="CO753" s="390"/>
      <c r="CP753" s="390"/>
      <c r="CQ753" s="721"/>
      <c r="CR753" s="389"/>
      <c r="CS753" s="53"/>
      <c r="CT753" s="53"/>
      <c r="CU753" s="721"/>
      <c r="CV753" s="389"/>
      <c r="CW753" s="53"/>
      <c r="CX753" s="53"/>
      <c r="CY753" s="721"/>
      <c r="CZ753" s="389"/>
      <c r="DA753" s="53"/>
      <c r="DB753" s="53"/>
      <c r="DC753" s="721"/>
      <c r="DD753" s="389"/>
      <c r="DE753" s="53"/>
      <c r="DF753" s="53"/>
      <c r="DG753" s="721"/>
      <c r="DH753" s="389"/>
      <c r="DI753" s="53"/>
      <c r="DJ753" s="53"/>
      <c r="DK753" s="721"/>
      <c r="DL753" s="389"/>
      <c r="DM753" s="53"/>
      <c r="DN753" s="53"/>
      <c r="DO753" s="721"/>
      <c r="DP753" s="389"/>
      <c r="DQ753" s="53"/>
      <c r="DR753" s="53"/>
      <c r="DS753" s="721"/>
      <c r="DT753" s="389"/>
      <c r="DU753" s="53"/>
      <c r="DV753" s="53"/>
      <c r="DW753" s="721"/>
      <c r="DX753" s="389"/>
      <c r="DY753" s="53"/>
      <c r="DZ753" s="53"/>
      <c r="EA753" s="721"/>
      <c r="EB753" s="389"/>
      <c r="EC753" s="53"/>
      <c r="ED753" s="53"/>
      <c r="EE753" s="389"/>
      <c r="EF753" s="390"/>
      <c r="EG753" s="389"/>
      <c r="EH753" s="389"/>
      <c r="EI753" s="391"/>
      <c r="EJ753" s="390"/>
      <c r="EK753" s="390"/>
      <c r="EL753" s="734"/>
      <c r="EM753" s="735"/>
      <c r="EN753" s="392"/>
      <c r="EO753" s="736"/>
      <c r="EP753" s="390"/>
      <c r="EQ753" s="736"/>
      <c r="ER753" s="390"/>
      <c r="ES753" s="736"/>
      <c r="ET753" s="390"/>
      <c r="EU753" s="736"/>
      <c r="EV753" s="390"/>
      <c r="EW753" s="736"/>
      <c r="EX753" s="390"/>
      <c r="EY753" s="736"/>
      <c r="EZ753" s="390"/>
      <c r="FA753" s="736"/>
      <c r="FB753" s="390"/>
      <c r="FC753" s="736"/>
      <c r="FD753" s="390"/>
      <c r="FE753" s="736"/>
      <c r="FF753" s="390"/>
      <c r="FG753" s="736"/>
      <c r="FH753" s="390"/>
      <c r="FI753" s="389"/>
      <c r="FJ753" s="390"/>
      <c r="FK753" s="389"/>
      <c r="FL753" s="392"/>
    </row>
    <row r="754" spans="1:168" s="85" customFormat="1">
      <c r="A754" s="394"/>
      <c r="B754" s="398"/>
      <c r="C754" s="394"/>
      <c r="D754" s="388"/>
      <c r="E754" s="726"/>
      <c r="F754" s="390"/>
      <c r="G754" s="726"/>
      <c r="H754" s="390"/>
      <c r="I754" s="389"/>
      <c r="J754" s="390"/>
      <c r="K754" s="727"/>
      <c r="L754" s="728"/>
      <c r="M754" s="389"/>
      <c r="N754" s="729"/>
      <c r="O754" s="729"/>
      <c r="P754" s="729"/>
      <c r="Q754" s="730"/>
      <c r="R754" s="390"/>
      <c r="S754" s="390"/>
      <c r="T754" s="390"/>
      <c r="U754" s="390"/>
      <c r="V754" s="731"/>
      <c r="W754" s="721"/>
      <c r="X754" s="389"/>
      <c r="Y754" s="537"/>
      <c r="Z754" s="53"/>
      <c r="AA754" s="732"/>
      <c r="AB754" s="389"/>
      <c r="AC754" s="537"/>
      <c r="AD754" s="53"/>
      <c r="AE754" s="732"/>
      <c r="AF754" s="389"/>
      <c r="AG754" s="537"/>
      <c r="AH754" s="53"/>
      <c r="AI754" s="732"/>
      <c r="AJ754" s="389"/>
      <c r="AK754" s="537"/>
      <c r="AL754" s="53"/>
      <c r="AM754" s="732"/>
      <c r="AN754" s="389"/>
      <c r="AO754" s="537"/>
      <c r="AP754" s="53"/>
      <c r="AQ754" s="389"/>
      <c r="AR754" s="707"/>
      <c r="AS754" s="53"/>
      <c r="AT754" s="733"/>
      <c r="AU754" s="729"/>
      <c r="AV754" s="390"/>
      <c r="AW754" s="721"/>
      <c r="AX754" s="389"/>
      <c r="AY754" s="53"/>
      <c r="AZ754" s="53"/>
      <c r="BA754" s="721"/>
      <c r="BB754" s="389"/>
      <c r="BC754" s="53"/>
      <c r="BD754" s="53"/>
      <c r="BE754" s="721"/>
      <c r="BF754" s="389"/>
      <c r="BG754" s="53"/>
      <c r="BH754" s="53"/>
      <c r="BI754" s="721"/>
      <c r="BJ754" s="389"/>
      <c r="BK754" s="53"/>
      <c r="BL754" s="53"/>
      <c r="BM754" s="721"/>
      <c r="BN754" s="389"/>
      <c r="BO754" s="53"/>
      <c r="BP754" s="53"/>
      <c r="BQ754" s="721"/>
      <c r="BR754" s="389"/>
      <c r="BS754" s="53"/>
      <c r="BT754" s="53"/>
      <c r="BU754" s="721"/>
      <c r="BV754" s="389"/>
      <c r="BW754" s="53"/>
      <c r="BX754" s="53"/>
      <c r="BY754" s="721"/>
      <c r="BZ754" s="389"/>
      <c r="CA754" s="53"/>
      <c r="CB754" s="53"/>
      <c r="CC754" s="721"/>
      <c r="CD754" s="389"/>
      <c r="CE754" s="53"/>
      <c r="CF754" s="53"/>
      <c r="CG754" s="721"/>
      <c r="CH754" s="389"/>
      <c r="CI754" s="53"/>
      <c r="CJ754" s="53"/>
      <c r="CK754" s="389"/>
      <c r="CL754" s="390"/>
      <c r="CM754" s="389"/>
      <c r="CN754" s="389"/>
      <c r="CO754" s="390"/>
      <c r="CP754" s="390"/>
      <c r="CQ754" s="721"/>
      <c r="CR754" s="389"/>
      <c r="CS754" s="53"/>
      <c r="CT754" s="53"/>
      <c r="CU754" s="721"/>
      <c r="CV754" s="389"/>
      <c r="CW754" s="53"/>
      <c r="CX754" s="53"/>
      <c r="CY754" s="721"/>
      <c r="CZ754" s="389"/>
      <c r="DA754" s="53"/>
      <c r="DB754" s="53"/>
      <c r="DC754" s="721"/>
      <c r="DD754" s="389"/>
      <c r="DE754" s="53"/>
      <c r="DF754" s="53"/>
      <c r="DG754" s="721"/>
      <c r="DH754" s="389"/>
      <c r="DI754" s="53"/>
      <c r="DJ754" s="53"/>
      <c r="DK754" s="721"/>
      <c r="DL754" s="389"/>
      <c r="DM754" s="53"/>
      <c r="DN754" s="53"/>
      <c r="DO754" s="721"/>
      <c r="DP754" s="389"/>
      <c r="DQ754" s="53"/>
      <c r="DR754" s="53"/>
      <c r="DS754" s="721"/>
      <c r="DT754" s="389"/>
      <c r="DU754" s="53"/>
      <c r="DV754" s="53"/>
      <c r="DW754" s="721"/>
      <c r="DX754" s="389"/>
      <c r="DY754" s="53"/>
      <c r="DZ754" s="53"/>
      <c r="EA754" s="721"/>
      <c r="EB754" s="389"/>
      <c r="EC754" s="53"/>
      <c r="ED754" s="53"/>
      <c r="EE754" s="389"/>
      <c r="EF754" s="390"/>
      <c r="EG754" s="389"/>
      <c r="EH754" s="389"/>
      <c r="EI754" s="391"/>
      <c r="EJ754" s="390"/>
      <c r="EK754" s="390"/>
      <c r="EL754" s="734"/>
      <c r="EM754" s="735"/>
      <c r="EN754" s="392"/>
      <c r="EO754" s="736"/>
      <c r="EP754" s="390"/>
      <c r="EQ754" s="736"/>
      <c r="ER754" s="390"/>
      <c r="ES754" s="736"/>
      <c r="ET754" s="390"/>
      <c r="EU754" s="736"/>
      <c r="EV754" s="390"/>
      <c r="EW754" s="736"/>
      <c r="EX754" s="390"/>
      <c r="EY754" s="736"/>
      <c r="EZ754" s="390"/>
      <c r="FA754" s="736"/>
      <c r="FB754" s="390"/>
      <c r="FC754" s="736"/>
      <c r="FD754" s="390"/>
      <c r="FE754" s="736"/>
      <c r="FF754" s="390"/>
      <c r="FG754" s="736"/>
      <c r="FH754" s="390"/>
      <c r="FI754" s="389"/>
      <c r="FJ754" s="390"/>
      <c r="FK754" s="389"/>
      <c r="FL754" s="392"/>
    </row>
    <row r="755" spans="1:168" s="85" customFormat="1">
      <c r="A755" s="394"/>
      <c r="B755" s="395"/>
      <c r="C755" s="394"/>
      <c r="D755" s="388"/>
      <c r="E755" s="726"/>
      <c r="F755" s="390"/>
      <c r="G755" s="726"/>
      <c r="H755" s="390"/>
      <c r="I755" s="389"/>
      <c r="J755" s="390"/>
      <c r="K755" s="727"/>
      <c r="L755" s="728"/>
      <c r="M755" s="389"/>
      <c r="N755" s="729"/>
      <c r="O755" s="729"/>
      <c r="P755" s="729"/>
      <c r="Q755" s="730"/>
      <c r="R755" s="390"/>
      <c r="S755" s="390"/>
      <c r="T755" s="390"/>
      <c r="U755" s="390"/>
      <c r="V755" s="731"/>
      <c r="W755" s="721"/>
      <c r="X755" s="389"/>
      <c r="Y755" s="537"/>
      <c r="Z755" s="53"/>
      <c r="AA755" s="732"/>
      <c r="AB755" s="389"/>
      <c r="AC755" s="537"/>
      <c r="AD755" s="53"/>
      <c r="AE755" s="732"/>
      <c r="AF755" s="389"/>
      <c r="AG755" s="537"/>
      <c r="AH755" s="53"/>
      <c r="AI755" s="732"/>
      <c r="AJ755" s="389"/>
      <c r="AK755" s="537"/>
      <c r="AL755" s="53"/>
      <c r="AM755" s="732"/>
      <c r="AN755" s="389"/>
      <c r="AO755" s="537"/>
      <c r="AP755" s="53"/>
      <c r="AQ755" s="389"/>
      <c r="AR755" s="707"/>
      <c r="AS755" s="53"/>
      <c r="AT755" s="733"/>
      <c r="AU755" s="729"/>
      <c r="AV755" s="390"/>
      <c r="AW755" s="721"/>
      <c r="AX755" s="389"/>
      <c r="AY755" s="53"/>
      <c r="AZ755" s="53"/>
      <c r="BA755" s="721"/>
      <c r="BB755" s="389"/>
      <c r="BC755" s="53"/>
      <c r="BD755" s="53"/>
      <c r="BE755" s="721"/>
      <c r="BF755" s="389"/>
      <c r="BG755" s="53"/>
      <c r="BH755" s="53"/>
      <c r="BI755" s="721"/>
      <c r="BJ755" s="389"/>
      <c r="BK755" s="53"/>
      <c r="BL755" s="53"/>
      <c r="BM755" s="721"/>
      <c r="BN755" s="389"/>
      <c r="BO755" s="53"/>
      <c r="BP755" s="53"/>
      <c r="BQ755" s="721"/>
      <c r="BR755" s="389"/>
      <c r="BS755" s="53"/>
      <c r="BT755" s="53"/>
      <c r="BU755" s="721"/>
      <c r="BV755" s="389"/>
      <c r="BW755" s="53"/>
      <c r="BX755" s="53"/>
      <c r="BY755" s="721"/>
      <c r="BZ755" s="389"/>
      <c r="CA755" s="53"/>
      <c r="CB755" s="53"/>
      <c r="CC755" s="721"/>
      <c r="CD755" s="389"/>
      <c r="CE755" s="53"/>
      <c r="CF755" s="53"/>
      <c r="CG755" s="721"/>
      <c r="CH755" s="389"/>
      <c r="CI755" s="53"/>
      <c r="CJ755" s="53"/>
      <c r="CK755" s="389"/>
      <c r="CL755" s="390"/>
      <c r="CM755" s="389"/>
      <c r="CN755" s="389"/>
      <c r="CO755" s="390"/>
      <c r="CP755" s="390"/>
      <c r="CQ755" s="721"/>
      <c r="CR755" s="389"/>
      <c r="CS755" s="53"/>
      <c r="CT755" s="53"/>
      <c r="CU755" s="721"/>
      <c r="CV755" s="389"/>
      <c r="CW755" s="53"/>
      <c r="CX755" s="53"/>
      <c r="CY755" s="721"/>
      <c r="CZ755" s="389"/>
      <c r="DA755" s="53"/>
      <c r="DB755" s="53"/>
      <c r="DC755" s="721"/>
      <c r="DD755" s="389"/>
      <c r="DE755" s="53"/>
      <c r="DF755" s="53"/>
      <c r="DG755" s="721"/>
      <c r="DH755" s="389"/>
      <c r="DI755" s="53"/>
      <c r="DJ755" s="53"/>
      <c r="DK755" s="721"/>
      <c r="DL755" s="389"/>
      <c r="DM755" s="53"/>
      <c r="DN755" s="53"/>
      <c r="DO755" s="721"/>
      <c r="DP755" s="389"/>
      <c r="DQ755" s="53"/>
      <c r="DR755" s="53"/>
      <c r="DS755" s="721"/>
      <c r="DT755" s="389"/>
      <c r="DU755" s="53"/>
      <c r="DV755" s="53"/>
      <c r="DW755" s="721"/>
      <c r="DX755" s="389"/>
      <c r="DY755" s="53"/>
      <c r="DZ755" s="53"/>
      <c r="EA755" s="721"/>
      <c r="EB755" s="389"/>
      <c r="EC755" s="53"/>
      <c r="ED755" s="53"/>
      <c r="EE755" s="389"/>
      <c r="EF755" s="390"/>
      <c r="EG755" s="389"/>
      <c r="EH755" s="389"/>
      <c r="EI755" s="391"/>
      <c r="EJ755" s="390"/>
      <c r="EK755" s="390"/>
      <c r="EL755" s="734"/>
      <c r="EM755" s="735"/>
      <c r="EN755" s="392"/>
      <c r="EO755" s="736"/>
      <c r="EP755" s="390"/>
      <c r="EQ755" s="736"/>
      <c r="ER755" s="390"/>
      <c r="ES755" s="736"/>
      <c r="ET755" s="390"/>
      <c r="EU755" s="736"/>
      <c r="EV755" s="390"/>
      <c r="EW755" s="736"/>
      <c r="EX755" s="390"/>
      <c r="EY755" s="736"/>
      <c r="EZ755" s="390"/>
      <c r="FA755" s="736"/>
      <c r="FB755" s="390"/>
      <c r="FC755" s="736"/>
      <c r="FD755" s="390"/>
      <c r="FE755" s="736"/>
      <c r="FF755" s="390"/>
      <c r="FG755" s="736"/>
      <c r="FH755" s="390"/>
      <c r="FI755" s="389"/>
      <c r="FJ755" s="390"/>
      <c r="FK755" s="389"/>
      <c r="FL755" s="392"/>
    </row>
    <row r="756" spans="1:168" s="85" customFormat="1">
      <c r="A756" s="394"/>
      <c r="B756" s="395"/>
      <c r="C756" s="394"/>
      <c r="D756" s="388"/>
      <c r="E756" s="726"/>
      <c r="F756" s="390"/>
      <c r="G756" s="726"/>
      <c r="H756" s="390"/>
      <c r="I756" s="389"/>
      <c r="J756" s="390"/>
      <c r="K756" s="727"/>
      <c r="L756" s="728"/>
      <c r="M756" s="389"/>
      <c r="N756" s="729"/>
      <c r="O756" s="729"/>
      <c r="P756" s="729"/>
      <c r="Q756" s="730"/>
      <c r="R756" s="390"/>
      <c r="S756" s="390"/>
      <c r="T756" s="390"/>
      <c r="U756" s="390"/>
      <c r="V756" s="731"/>
      <c r="W756" s="721"/>
      <c r="X756" s="389"/>
      <c r="Y756" s="537"/>
      <c r="Z756" s="53"/>
      <c r="AA756" s="732"/>
      <c r="AB756" s="389"/>
      <c r="AC756" s="537"/>
      <c r="AD756" s="53"/>
      <c r="AE756" s="732"/>
      <c r="AF756" s="389"/>
      <c r="AG756" s="537"/>
      <c r="AH756" s="53"/>
      <c r="AI756" s="732"/>
      <c r="AJ756" s="389"/>
      <c r="AK756" s="537"/>
      <c r="AL756" s="53"/>
      <c r="AM756" s="732"/>
      <c r="AN756" s="389"/>
      <c r="AO756" s="537"/>
      <c r="AP756" s="53"/>
      <c r="AQ756" s="389"/>
      <c r="AR756" s="707"/>
      <c r="AS756" s="53"/>
      <c r="AT756" s="733"/>
      <c r="AU756" s="729"/>
      <c r="AV756" s="390"/>
      <c r="AW756" s="721"/>
      <c r="AX756" s="389"/>
      <c r="AY756" s="53"/>
      <c r="AZ756" s="53"/>
      <c r="BA756" s="721"/>
      <c r="BB756" s="389"/>
      <c r="BC756" s="53"/>
      <c r="BD756" s="53"/>
      <c r="BE756" s="721"/>
      <c r="BF756" s="389"/>
      <c r="BG756" s="53"/>
      <c r="BH756" s="53"/>
      <c r="BI756" s="721"/>
      <c r="BJ756" s="389"/>
      <c r="BK756" s="53"/>
      <c r="BL756" s="53"/>
      <c r="BM756" s="721"/>
      <c r="BN756" s="389"/>
      <c r="BO756" s="53"/>
      <c r="BP756" s="53"/>
      <c r="BQ756" s="721"/>
      <c r="BR756" s="389"/>
      <c r="BS756" s="53"/>
      <c r="BT756" s="53"/>
      <c r="BU756" s="721"/>
      <c r="BV756" s="389"/>
      <c r="BW756" s="53"/>
      <c r="BX756" s="53"/>
      <c r="BY756" s="721"/>
      <c r="BZ756" s="389"/>
      <c r="CA756" s="53"/>
      <c r="CB756" s="53"/>
      <c r="CC756" s="721"/>
      <c r="CD756" s="389"/>
      <c r="CE756" s="53"/>
      <c r="CF756" s="53"/>
      <c r="CG756" s="721"/>
      <c r="CH756" s="389"/>
      <c r="CI756" s="53"/>
      <c r="CJ756" s="53"/>
      <c r="CK756" s="389"/>
      <c r="CL756" s="390"/>
      <c r="CM756" s="389"/>
      <c r="CN756" s="389"/>
      <c r="CO756" s="390"/>
      <c r="CP756" s="390"/>
      <c r="CQ756" s="721"/>
      <c r="CR756" s="389"/>
      <c r="CS756" s="53"/>
      <c r="CT756" s="53"/>
      <c r="CU756" s="721"/>
      <c r="CV756" s="389"/>
      <c r="CW756" s="53"/>
      <c r="CX756" s="53"/>
      <c r="CY756" s="721"/>
      <c r="CZ756" s="389"/>
      <c r="DA756" s="53"/>
      <c r="DB756" s="53"/>
      <c r="DC756" s="721"/>
      <c r="DD756" s="389"/>
      <c r="DE756" s="53"/>
      <c r="DF756" s="53"/>
      <c r="DG756" s="721"/>
      <c r="DH756" s="389"/>
      <c r="DI756" s="53"/>
      <c r="DJ756" s="53"/>
      <c r="DK756" s="721"/>
      <c r="DL756" s="389"/>
      <c r="DM756" s="53"/>
      <c r="DN756" s="53"/>
      <c r="DO756" s="721"/>
      <c r="DP756" s="389"/>
      <c r="DQ756" s="53"/>
      <c r="DR756" s="53"/>
      <c r="DS756" s="721"/>
      <c r="DT756" s="389"/>
      <c r="DU756" s="53"/>
      <c r="DV756" s="53"/>
      <c r="DW756" s="721"/>
      <c r="DX756" s="389"/>
      <c r="DY756" s="53"/>
      <c r="DZ756" s="53"/>
      <c r="EA756" s="721"/>
      <c r="EB756" s="389"/>
      <c r="EC756" s="53"/>
      <c r="ED756" s="53"/>
      <c r="EE756" s="389"/>
      <c r="EF756" s="390"/>
      <c r="EG756" s="389"/>
      <c r="EH756" s="389"/>
      <c r="EI756" s="391"/>
      <c r="EJ756" s="390"/>
      <c r="EK756" s="390"/>
      <c r="EL756" s="734"/>
      <c r="EM756" s="735"/>
      <c r="EN756" s="392"/>
      <c r="EO756" s="736"/>
      <c r="EP756" s="390"/>
      <c r="EQ756" s="736"/>
      <c r="ER756" s="390"/>
      <c r="ES756" s="736"/>
      <c r="ET756" s="390"/>
      <c r="EU756" s="736"/>
      <c r="EV756" s="390"/>
      <c r="EW756" s="736"/>
      <c r="EX756" s="390"/>
      <c r="EY756" s="736"/>
      <c r="EZ756" s="390"/>
      <c r="FA756" s="736"/>
      <c r="FB756" s="390"/>
      <c r="FC756" s="736"/>
      <c r="FD756" s="390"/>
      <c r="FE756" s="736"/>
      <c r="FF756" s="390"/>
      <c r="FG756" s="736"/>
      <c r="FH756" s="390"/>
      <c r="FI756" s="389"/>
      <c r="FJ756" s="390"/>
      <c r="FK756" s="389"/>
      <c r="FL756" s="392"/>
    </row>
    <row r="757" spans="1:168" s="85" customFormat="1">
      <c r="A757" s="394"/>
      <c r="B757" s="395"/>
      <c r="C757" s="394"/>
      <c r="D757" s="388"/>
      <c r="E757" s="726"/>
      <c r="F757" s="390"/>
      <c r="G757" s="726"/>
      <c r="H757" s="390"/>
      <c r="I757" s="389"/>
      <c r="J757" s="390"/>
      <c r="K757" s="727"/>
      <c r="L757" s="728"/>
      <c r="M757" s="389"/>
      <c r="N757" s="729"/>
      <c r="O757" s="729"/>
      <c r="P757" s="729"/>
      <c r="Q757" s="730"/>
      <c r="R757" s="390"/>
      <c r="S757" s="390"/>
      <c r="T757" s="390"/>
      <c r="U757" s="390"/>
      <c r="V757" s="731"/>
      <c r="W757" s="721"/>
      <c r="X757" s="389"/>
      <c r="Y757" s="537"/>
      <c r="Z757" s="53"/>
      <c r="AA757" s="732"/>
      <c r="AB757" s="389"/>
      <c r="AC757" s="537"/>
      <c r="AD757" s="53"/>
      <c r="AE757" s="732"/>
      <c r="AF757" s="389"/>
      <c r="AG757" s="537"/>
      <c r="AH757" s="53"/>
      <c r="AI757" s="732"/>
      <c r="AJ757" s="389"/>
      <c r="AK757" s="537"/>
      <c r="AL757" s="53"/>
      <c r="AM757" s="732"/>
      <c r="AN757" s="389"/>
      <c r="AO757" s="537"/>
      <c r="AP757" s="53"/>
      <c r="AQ757" s="389"/>
      <c r="AR757" s="707"/>
      <c r="AS757" s="53"/>
      <c r="AT757" s="733"/>
      <c r="AU757" s="729"/>
      <c r="AV757" s="390"/>
      <c r="AW757" s="721"/>
      <c r="AX757" s="389"/>
      <c r="AY757" s="53"/>
      <c r="AZ757" s="53"/>
      <c r="BA757" s="721"/>
      <c r="BB757" s="389"/>
      <c r="BC757" s="53"/>
      <c r="BD757" s="53"/>
      <c r="BE757" s="721"/>
      <c r="BF757" s="389"/>
      <c r="BG757" s="53"/>
      <c r="BH757" s="53"/>
      <c r="BI757" s="721"/>
      <c r="BJ757" s="389"/>
      <c r="BK757" s="53"/>
      <c r="BL757" s="53"/>
      <c r="BM757" s="721"/>
      <c r="BN757" s="389"/>
      <c r="BO757" s="53"/>
      <c r="BP757" s="53"/>
      <c r="BQ757" s="721"/>
      <c r="BR757" s="389"/>
      <c r="BS757" s="53"/>
      <c r="BT757" s="53"/>
      <c r="BU757" s="721"/>
      <c r="BV757" s="389"/>
      <c r="BW757" s="53"/>
      <c r="BX757" s="53"/>
      <c r="BY757" s="721"/>
      <c r="BZ757" s="389"/>
      <c r="CA757" s="53"/>
      <c r="CB757" s="53"/>
      <c r="CC757" s="721"/>
      <c r="CD757" s="389"/>
      <c r="CE757" s="53"/>
      <c r="CF757" s="53"/>
      <c r="CG757" s="721"/>
      <c r="CH757" s="389"/>
      <c r="CI757" s="53"/>
      <c r="CJ757" s="53"/>
      <c r="CK757" s="389"/>
      <c r="CL757" s="390"/>
      <c r="CM757" s="389"/>
      <c r="CN757" s="389"/>
      <c r="CO757" s="390"/>
      <c r="CP757" s="390"/>
      <c r="CQ757" s="721"/>
      <c r="CR757" s="389"/>
      <c r="CS757" s="53"/>
      <c r="CT757" s="53"/>
      <c r="CU757" s="721"/>
      <c r="CV757" s="389"/>
      <c r="CW757" s="53"/>
      <c r="CX757" s="53"/>
      <c r="CY757" s="721"/>
      <c r="CZ757" s="389"/>
      <c r="DA757" s="53"/>
      <c r="DB757" s="53"/>
      <c r="DC757" s="721"/>
      <c r="DD757" s="389"/>
      <c r="DE757" s="53"/>
      <c r="DF757" s="53"/>
      <c r="DG757" s="721"/>
      <c r="DH757" s="389"/>
      <c r="DI757" s="53"/>
      <c r="DJ757" s="53"/>
      <c r="DK757" s="721"/>
      <c r="DL757" s="389"/>
      <c r="DM757" s="53"/>
      <c r="DN757" s="53"/>
      <c r="DO757" s="721"/>
      <c r="DP757" s="389"/>
      <c r="DQ757" s="53"/>
      <c r="DR757" s="53"/>
      <c r="DS757" s="721"/>
      <c r="DT757" s="389"/>
      <c r="DU757" s="53"/>
      <c r="DV757" s="53"/>
      <c r="DW757" s="721"/>
      <c r="DX757" s="389"/>
      <c r="DY757" s="53"/>
      <c r="DZ757" s="53"/>
      <c r="EA757" s="721"/>
      <c r="EB757" s="389"/>
      <c r="EC757" s="53"/>
      <c r="ED757" s="53"/>
      <c r="EE757" s="389"/>
      <c r="EF757" s="390"/>
      <c r="EG757" s="389"/>
      <c r="EH757" s="389"/>
      <c r="EI757" s="391"/>
      <c r="EJ757" s="390"/>
      <c r="EK757" s="390"/>
      <c r="EL757" s="734"/>
      <c r="EM757" s="735"/>
      <c r="EN757" s="392"/>
      <c r="EO757" s="736"/>
      <c r="EP757" s="390"/>
      <c r="EQ757" s="736"/>
      <c r="ER757" s="390"/>
      <c r="ES757" s="736"/>
      <c r="ET757" s="390"/>
      <c r="EU757" s="736"/>
      <c r="EV757" s="390"/>
      <c r="EW757" s="736"/>
      <c r="EX757" s="390"/>
      <c r="EY757" s="736"/>
      <c r="EZ757" s="390"/>
      <c r="FA757" s="736"/>
      <c r="FB757" s="390"/>
      <c r="FC757" s="736"/>
      <c r="FD757" s="390"/>
      <c r="FE757" s="736"/>
      <c r="FF757" s="390"/>
      <c r="FG757" s="736"/>
      <c r="FH757" s="390"/>
      <c r="FI757" s="389"/>
      <c r="FJ757" s="390"/>
      <c r="FK757" s="389"/>
      <c r="FL757" s="392"/>
    </row>
    <row r="758" spans="1:168" s="85" customFormat="1">
      <c r="A758" s="394"/>
      <c r="B758" s="397"/>
      <c r="C758" s="394"/>
      <c r="D758" s="388"/>
      <c r="E758" s="726"/>
      <c r="F758" s="390"/>
      <c r="G758" s="726"/>
      <c r="H758" s="390"/>
      <c r="I758" s="389"/>
      <c r="J758" s="390"/>
      <c r="K758" s="727"/>
      <c r="L758" s="728"/>
      <c r="M758" s="389"/>
      <c r="N758" s="729"/>
      <c r="O758" s="729"/>
      <c r="P758" s="729"/>
      <c r="Q758" s="730"/>
      <c r="R758" s="390"/>
      <c r="S758" s="390"/>
      <c r="T758" s="390"/>
      <c r="U758" s="390"/>
      <c r="V758" s="731"/>
      <c r="W758" s="721"/>
      <c r="X758" s="389"/>
      <c r="Y758" s="537"/>
      <c r="Z758" s="53"/>
      <c r="AA758" s="732"/>
      <c r="AB758" s="389"/>
      <c r="AC758" s="537"/>
      <c r="AD758" s="53"/>
      <c r="AE758" s="732"/>
      <c r="AF758" s="389"/>
      <c r="AG758" s="537"/>
      <c r="AH758" s="53"/>
      <c r="AI758" s="732"/>
      <c r="AJ758" s="389"/>
      <c r="AK758" s="537"/>
      <c r="AL758" s="53"/>
      <c r="AM758" s="732"/>
      <c r="AN758" s="389"/>
      <c r="AO758" s="537"/>
      <c r="AP758" s="53"/>
      <c r="AQ758" s="389"/>
      <c r="AR758" s="707"/>
      <c r="AS758" s="53"/>
      <c r="AT758" s="733"/>
      <c r="AU758" s="729"/>
      <c r="AV758" s="390"/>
      <c r="AW758" s="721"/>
      <c r="AX758" s="389"/>
      <c r="AY758" s="53"/>
      <c r="AZ758" s="53"/>
      <c r="BA758" s="721"/>
      <c r="BB758" s="389"/>
      <c r="BC758" s="53"/>
      <c r="BD758" s="53"/>
      <c r="BE758" s="721"/>
      <c r="BF758" s="389"/>
      <c r="BG758" s="53"/>
      <c r="BH758" s="53"/>
      <c r="BI758" s="721"/>
      <c r="BJ758" s="389"/>
      <c r="BK758" s="53"/>
      <c r="BL758" s="53"/>
      <c r="BM758" s="721"/>
      <c r="BN758" s="389"/>
      <c r="BO758" s="53"/>
      <c r="BP758" s="53"/>
      <c r="BQ758" s="721"/>
      <c r="BR758" s="389"/>
      <c r="BS758" s="53"/>
      <c r="BT758" s="53"/>
      <c r="BU758" s="721"/>
      <c r="BV758" s="389"/>
      <c r="BW758" s="53"/>
      <c r="BX758" s="53"/>
      <c r="BY758" s="721"/>
      <c r="BZ758" s="389"/>
      <c r="CA758" s="53"/>
      <c r="CB758" s="53"/>
      <c r="CC758" s="721"/>
      <c r="CD758" s="389"/>
      <c r="CE758" s="53"/>
      <c r="CF758" s="53"/>
      <c r="CG758" s="721"/>
      <c r="CH758" s="389"/>
      <c r="CI758" s="53"/>
      <c r="CJ758" s="53"/>
      <c r="CK758" s="389"/>
      <c r="CL758" s="390"/>
      <c r="CM758" s="389"/>
      <c r="CN758" s="389"/>
      <c r="CO758" s="390"/>
      <c r="CP758" s="390"/>
      <c r="CQ758" s="721"/>
      <c r="CR758" s="389"/>
      <c r="CS758" s="53"/>
      <c r="CT758" s="53"/>
      <c r="CU758" s="721"/>
      <c r="CV758" s="389"/>
      <c r="CW758" s="53"/>
      <c r="CX758" s="53"/>
      <c r="CY758" s="721"/>
      <c r="CZ758" s="389"/>
      <c r="DA758" s="53"/>
      <c r="DB758" s="53"/>
      <c r="DC758" s="721"/>
      <c r="DD758" s="389"/>
      <c r="DE758" s="53"/>
      <c r="DF758" s="53"/>
      <c r="DG758" s="721"/>
      <c r="DH758" s="389"/>
      <c r="DI758" s="53"/>
      <c r="DJ758" s="53"/>
      <c r="DK758" s="721"/>
      <c r="DL758" s="389"/>
      <c r="DM758" s="53"/>
      <c r="DN758" s="53"/>
      <c r="DO758" s="721"/>
      <c r="DP758" s="389"/>
      <c r="DQ758" s="53"/>
      <c r="DR758" s="53"/>
      <c r="DS758" s="721"/>
      <c r="DT758" s="389"/>
      <c r="DU758" s="53"/>
      <c r="DV758" s="53"/>
      <c r="DW758" s="721"/>
      <c r="DX758" s="389"/>
      <c r="DY758" s="53"/>
      <c r="DZ758" s="53"/>
      <c r="EA758" s="721"/>
      <c r="EB758" s="389"/>
      <c r="EC758" s="53"/>
      <c r="ED758" s="53"/>
      <c r="EE758" s="389"/>
      <c r="EF758" s="390"/>
      <c r="EG758" s="389"/>
      <c r="EH758" s="389"/>
      <c r="EI758" s="391"/>
      <c r="EJ758" s="390"/>
      <c r="EK758" s="390"/>
      <c r="EL758" s="734"/>
      <c r="EM758" s="735"/>
      <c r="EN758" s="392"/>
      <c r="EO758" s="736"/>
      <c r="EP758" s="390"/>
      <c r="EQ758" s="736"/>
      <c r="ER758" s="390"/>
      <c r="ES758" s="736"/>
      <c r="ET758" s="390"/>
      <c r="EU758" s="736"/>
      <c r="EV758" s="390"/>
      <c r="EW758" s="736"/>
      <c r="EX758" s="390"/>
      <c r="EY758" s="736"/>
      <c r="EZ758" s="390"/>
      <c r="FA758" s="736"/>
      <c r="FB758" s="390"/>
      <c r="FC758" s="736"/>
      <c r="FD758" s="390"/>
      <c r="FE758" s="736"/>
      <c r="FF758" s="390"/>
      <c r="FG758" s="736"/>
      <c r="FH758" s="390"/>
      <c r="FI758" s="389"/>
      <c r="FJ758" s="390"/>
      <c r="FK758" s="389"/>
      <c r="FL758" s="392"/>
    </row>
    <row r="759" spans="1:168" s="85" customFormat="1">
      <c r="A759" s="394"/>
      <c r="B759" s="395"/>
      <c r="C759" s="394"/>
      <c r="D759" s="388"/>
      <c r="E759" s="726"/>
      <c r="F759" s="390"/>
      <c r="G759" s="726"/>
      <c r="H759" s="390"/>
      <c r="I759" s="389"/>
      <c r="J759" s="390"/>
      <c r="K759" s="727"/>
      <c r="L759" s="728"/>
      <c r="M759" s="389"/>
      <c r="N759" s="729"/>
      <c r="O759" s="729"/>
      <c r="P759" s="729"/>
      <c r="Q759" s="730"/>
      <c r="R759" s="390"/>
      <c r="S759" s="390"/>
      <c r="T759" s="390"/>
      <c r="U759" s="390"/>
      <c r="V759" s="731"/>
      <c r="W759" s="721"/>
      <c r="X759" s="389"/>
      <c r="Y759" s="537"/>
      <c r="Z759" s="53"/>
      <c r="AA759" s="732"/>
      <c r="AB759" s="389"/>
      <c r="AC759" s="537"/>
      <c r="AD759" s="53"/>
      <c r="AE759" s="732"/>
      <c r="AF759" s="389"/>
      <c r="AG759" s="537"/>
      <c r="AH759" s="53"/>
      <c r="AI759" s="732"/>
      <c r="AJ759" s="389"/>
      <c r="AK759" s="537"/>
      <c r="AL759" s="53"/>
      <c r="AM759" s="732"/>
      <c r="AN759" s="389"/>
      <c r="AO759" s="537"/>
      <c r="AP759" s="53"/>
      <c r="AQ759" s="389"/>
      <c r="AR759" s="707"/>
      <c r="AS759" s="53"/>
      <c r="AT759" s="733"/>
      <c r="AU759" s="729"/>
      <c r="AV759" s="390"/>
      <c r="AW759" s="721"/>
      <c r="AX759" s="389"/>
      <c r="AY759" s="53"/>
      <c r="AZ759" s="53"/>
      <c r="BA759" s="721"/>
      <c r="BB759" s="389"/>
      <c r="BC759" s="53"/>
      <c r="BD759" s="53"/>
      <c r="BE759" s="721"/>
      <c r="BF759" s="389"/>
      <c r="BG759" s="53"/>
      <c r="BH759" s="53"/>
      <c r="BI759" s="721"/>
      <c r="BJ759" s="389"/>
      <c r="BK759" s="53"/>
      <c r="BL759" s="53"/>
      <c r="BM759" s="721"/>
      <c r="BN759" s="389"/>
      <c r="BO759" s="53"/>
      <c r="BP759" s="53"/>
      <c r="BQ759" s="721"/>
      <c r="BR759" s="389"/>
      <c r="BS759" s="53"/>
      <c r="BT759" s="53"/>
      <c r="BU759" s="721"/>
      <c r="BV759" s="389"/>
      <c r="BW759" s="53"/>
      <c r="BX759" s="53"/>
      <c r="BY759" s="721"/>
      <c r="BZ759" s="389"/>
      <c r="CA759" s="53"/>
      <c r="CB759" s="53"/>
      <c r="CC759" s="721"/>
      <c r="CD759" s="389"/>
      <c r="CE759" s="53"/>
      <c r="CF759" s="53"/>
      <c r="CG759" s="721"/>
      <c r="CH759" s="389"/>
      <c r="CI759" s="53"/>
      <c r="CJ759" s="53"/>
      <c r="CK759" s="389"/>
      <c r="CL759" s="390"/>
      <c r="CM759" s="389"/>
      <c r="CN759" s="389"/>
      <c r="CO759" s="390"/>
      <c r="CP759" s="390"/>
      <c r="CQ759" s="721"/>
      <c r="CR759" s="389"/>
      <c r="CS759" s="53"/>
      <c r="CT759" s="53"/>
      <c r="CU759" s="721"/>
      <c r="CV759" s="389"/>
      <c r="CW759" s="53"/>
      <c r="CX759" s="53"/>
      <c r="CY759" s="721"/>
      <c r="CZ759" s="389"/>
      <c r="DA759" s="53"/>
      <c r="DB759" s="53"/>
      <c r="DC759" s="721"/>
      <c r="DD759" s="389"/>
      <c r="DE759" s="53"/>
      <c r="DF759" s="53"/>
      <c r="DG759" s="721"/>
      <c r="DH759" s="389"/>
      <c r="DI759" s="53"/>
      <c r="DJ759" s="53"/>
      <c r="DK759" s="721"/>
      <c r="DL759" s="389"/>
      <c r="DM759" s="53"/>
      <c r="DN759" s="53"/>
      <c r="DO759" s="721"/>
      <c r="DP759" s="389"/>
      <c r="DQ759" s="53"/>
      <c r="DR759" s="53"/>
      <c r="DS759" s="721"/>
      <c r="DT759" s="389"/>
      <c r="DU759" s="53"/>
      <c r="DV759" s="53"/>
      <c r="DW759" s="721"/>
      <c r="DX759" s="389"/>
      <c r="DY759" s="53"/>
      <c r="DZ759" s="53"/>
      <c r="EA759" s="721"/>
      <c r="EB759" s="389"/>
      <c r="EC759" s="53"/>
      <c r="ED759" s="53"/>
      <c r="EE759" s="389"/>
      <c r="EF759" s="390"/>
      <c r="EG759" s="389"/>
      <c r="EH759" s="389"/>
      <c r="EI759" s="391"/>
      <c r="EJ759" s="390"/>
      <c r="EK759" s="390"/>
      <c r="EL759" s="734"/>
      <c r="EM759" s="735"/>
      <c r="EN759" s="392"/>
      <c r="EO759" s="736"/>
      <c r="EP759" s="390"/>
      <c r="EQ759" s="736"/>
      <c r="ER759" s="390"/>
      <c r="ES759" s="736"/>
      <c r="ET759" s="390"/>
      <c r="EU759" s="736"/>
      <c r="EV759" s="390"/>
      <c r="EW759" s="736"/>
      <c r="EX759" s="390"/>
      <c r="EY759" s="736"/>
      <c r="EZ759" s="390"/>
      <c r="FA759" s="736"/>
      <c r="FB759" s="390"/>
      <c r="FC759" s="736"/>
      <c r="FD759" s="390"/>
      <c r="FE759" s="736"/>
      <c r="FF759" s="390"/>
      <c r="FG759" s="736"/>
      <c r="FH759" s="390"/>
      <c r="FI759" s="389"/>
      <c r="FJ759" s="390"/>
      <c r="FK759" s="389"/>
      <c r="FL759" s="392"/>
    </row>
    <row r="760" spans="1:168" s="85" customFormat="1">
      <c r="A760" s="394"/>
      <c r="B760" s="395"/>
      <c r="C760" s="394"/>
      <c r="D760" s="388"/>
      <c r="E760" s="726"/>
      <c r="F760" s="390"/>
      <c r="G760" s="726"/>
      <c r="H760" s="390"/>
      <c r="I760" s="389"/>
      <c r="J760" s="390"/>
      <c r="K760" s="727"/>
      <c r="L760" s="728"/>
      <c r="M760" s="389"/>
      <c r="N760" s="729"/>
      <c r="O760" s="729"/>
      <c r="P760" s="729"/>
      <c r="Q760" s="730"/>
      <c r="R760" s="390"/>
      <c r="S760" s="390"/>
      <c r="T760" s="390"/>
      <c r="U760" s="390"/>
      <c r="V760" s="731"/>
      <c r="W760" s="721"/>
      <c r="X760" s="389"/>
      <c r="Y760" s="537"/>
      <c r="Z760" s="53"/>
      <c r="AA760" s="732"/>
      <c r="AB760" s="389"/>
      <c r="AC760" s="537"/>
      <c r="AD760" s="53"/>
      <c r="AE760" s="732"/>
      <c r="AF760" s="389"/>
      <c r="AG760" s="537"/>
      <c r="AH760" s="53"/>
      <c r="AI760" s="732"/>
      <c r="AJ760" s="389"/>
      <c r="AK760" s="537"/>
      <c r="AL760" s="53"/>
      <c r="AM760" s="732"/>
      <c r="AN760" s="389"/>
      <c r="AO760" s="537"/>
      <c r="AP760" s="53"/>
      <c r="AQ760" s="389"/>
      <c r="AR760" s="707"/>
      <c r="AS760" s="53"/>
      <c r="AT760" s="733"/>
      <c r="AU760" s="729"/>
      <c r="AV760" s="390"/>
      <c r="AW760" s="721"/>
      <c r="AX760" s="389"/>
      <c r="AY760" s="53"/>
      <c r="AZ760" s="53"/>
      <c r="BA760" s="721"/>
      <c r="BB760" s="389"/>
      <c r="BC760" s="53"/>
      <c r="BD760" s="53"/>
      <c r="BE760" s="721"/>
      <c r="BF760" s="389"/>
      <c r="BG760" s="53"/>
      <c r="BH760" s="53"/>
      <c r="BI760" s="721"/>
      <c r="BJ760" s="389"/>
      <c r="BK760" s="53"/>
      <c r="BL760" s="53"/>
      <c r="BM760" s="721"/>
      <c r="BN760" s="389"/>
      <c r="BO760" s="53"/>
      <c r="BP760" s="53"/>
      <c r="BQ760" s="721"/>
      <c r="BR760" s="389"/>
      <c r="BS760" s="53"/>
      <c r="BT760" s="53"/>
      <c r="BU760" s="721"/>
      <c r="BV760" s="389"/>
      <c r="BW760" s="53"/>
      <c r="BX760" s="53"/>
      <c r="BY760" s="721"/>
      <c r="BZ760" s="389"/>
      <c r="CA760" s="53"/>
      <c r="CB760" s="53"/>
      <c r="CC760" s="721"/>
      <c r="CD760" s="389"/>
      <c r="CE760" s="53"/>
      <c r="CF760" s="53"/>
      <c r="CG760" s="721"/>
      <c r="CH760" s="389"/>
      <c r="CI760" s="53"/>
      <c r="CJ760" s="53"/>
      <c r="CK760" s="389"/>
      <c r="CL760" s="390"/>
      <c r="CM760" s="389"/>
      <c r="CN760" s="389"/>
      <c r="CO760" s="390"/>
      <c r="CP760" s="390"/>
      <c r="CQ760" s="721"/>
      <c r="CR760" s="389"/>
      <c r="CS760" s="53"/>
      <c r="CT760" s="53"/>
      <c r="CU760" s="721"/>
      <c r="CV760" s="389"/>
      <c r="CW760" s="53"/>
      <c r="CX760" s="53"/>
      <c r="CY760" s="721"/>
      <c r="CZ760" s="389"/>
      <c r="DA760" s="53"/>
      <c r="DB760" s="53"/>
      <c r="DC760" s="721"/>
      <c r="DD760" s="389"/>
      <c r="DE760" s="53"/>
      <c r="DF760" s="53"/>
      <c r="DG760" s="721"/>
      <c r="DH760" s="389"/>
      <c r="DI760" s="53"/>
      <c r="DJ760" s="53"/>
      <c r="DK760" s="721"/>
      <c r="DL760" s="389"/>
      <c r="DM760" s="53"/>
      <c r="DN760" s="53"/>
      <c r="DO760" s="721"/>
      <c r="DP760" s="389"/>
      <c r="DQ760" s="53"/>
      <c r="DR760" s="53"/>
      <c r="DS760" s="721"/>
      <c r="DT760" s="389"/>
      <c r="DU760" s="53"/>
      <c r="DV760" s="53"/>
      <c r="DW760" s="721"/>
      <c r="DX760" s="389"/>
      <c r="DY760" s="53"/>
      <c r="DZ760" s="53"/>
      <c r="EA760" s="721"/>
      <c r="EB760" s="389"/>
      <c r="EC760" s="53"/>
      <c r="ED760" s="53"/>
      <c r="EE760" s="389"/>
      <c r="EF760" s="390"/>
      <c r="EG760" s="389"/>
      <c r="EH760" s="389"/>
      <c r="EI760" s="391"/>
      <c r="EJ760" s="390"/>
      <c r="EK760" s="390"/>
      <c r="EL760" s="734"/>
      <c r="EM760" s="735"/>
      <c r="EN760" s="392"/>
      <c r="EO760" s="736"/>
      <c r="EP760" s="390"/>
      <c r="EQ760" s="736"/>
      <c r="ER760" s="390"/>
      <c r="ES760" s="736"/>
      <c r="ET760" s="390"/>
      <c r="EU760" s="736"/>
      <c r="EV760" s="390"/>
      <c r="EW760" s="736"/>
      <c r="EX760" s="390"/>
      <c r="EY760" s="736"/>
      <c r="EZ760" s="390"/>
      <c r="FA760" s="736"/>
      <c r="FB760" s="390"/>
      <c r="FC760" s="736"/>
      <c r="FD760" s="390"/>
      <c r="FE760" s="736"/>
      <c r="FF760" s="390"/>
      <c r="FG760" s="736"/>
      <c r="FH760" s="390"/>
      <c r="FI760" s="389"/>
      <c r="FJ760" s="390"/>
      <c r="FK760" s="389"/>
      <c r="FL760" s="392"/>
    </row>
    <row r="761" spans="1:168" s="85" customFormat="1">
      <c r="A761" s="394"/>
      <c r="B761" s="395"/>
      <c r="C761" s="394"/>
      <c r="D761" s="388"/>
      <c r="E761" s="726"/>
      <c r="F761" s="390"/>
      <c r="G761" s="726"/>
      <c r="H761" s="390"/>
      <c r="I761" s="389"/>
      <c r="J761" s="390"/>
      <c r="K761" s="727"/>
      <c r="L761" s="728"/>
      <c r="M761" s="389"/>
      <c r="N761" s="729"/>
      <c r="O761" s="729"/>
      <c r="P761" s="729"/>
      <c r="Q761" s="730"/>
      <c r="R761" s="390"/>
      <c r="S761" s="390"/>
      <c r="T761" s="390"/>
      <c r="U761" s="390"/>
      <c r="V761" s="731"/>
      <c r="W761" s="721"/>
      <c r="X761" s="389"/>
      <c r="Y761" s="537"/>
      <c r="Z761" s="53"/>
      <c r="AA761" s="732"/>
      <c r="AB761" s="389"/>
      <c r="AC761" s="537"/>
      <c r="AD761" s="53"/>
      <c r="AE761" s="732"/>
      <c r="AF761" s="389"/>
      <c r="AG761" s="537"/>
      <c r="AH761" s="53"/>
      <c r="AI761" s="732"/>
      <c r="AJ761" s="389"/>
      <c r="AK761" s="537"/>
      <c r="AL761" s="53"/>
      <c r="AM761" s="732"/>
      <c r="AN761" s="389"/>
      <c r="AO761" s="537"/>
      <c r="AP761" s="53"/>
      <c r="AQ761" s="389"/>
      <c r="AR761" s="707"/>
      <c r="AS761" s="53"/>
      <c r="AT761" s="733"/>
      <c r="AU761" s="729"/>
      <c r="AV761" s="390"/>
      <c r="AW761" s="721"/>
      <c r="AX761" s="389"/>
      <c r="AY761" s="53"/>
      <c r="AZ761" s="53"/>
      <c r="BA761" s="721"/>
      <c r="BB761" s="389"/>
      <c r="BC761" s="53"/>
      <c r="BD761" s="53"/>
      <c r="BE761" s="721"/>
      <c r="BF761" s="389"/>
      <c r="BG761" s="53"/>
      <c r="BH761" s="53"/>
      <c r="BI761" s="721"/>
      <c r="BJ761" s="389"/>
      <c r="BK761" s="53"/>
      <c r="BL761" s="53"/>
      <c r="BM761" s="721"/>
      <c r="BN761" s="389"/>
      <c r="BO761" s="53"/>
      <c r="BP761" s="53"/>
      <c r="BQ761" s="721"/>
      <c r="BR761" s="389"/>
      <c r="BS761" s="53"/>
      <c r="BT761" s="53"/>
      <c r="BU761" s="721"/>
      <c r="BV761" s="389"/>
      <c r="BW761" s="53"/>
      <c r="BX761" s="53"/>
      <c r="BY761" s="721"/>
      <c r="BZ761" s="389"/>
      <c r="CA761" s="53"/>
      <c r="CB761" s="53"/>
      <c r="CC761" s="721"/>
      <c r="CD761" s="389"/>
      <c r="CE761" s="53"/>
      <c r="CF761" s="53"/>
      <c r="CG761" s="721"/>
      <c r="CH761" s="389"/>
      <c r="CI761" s="53"/>
      <c r="CJ761" s="53"/>
      <c r="CK761" s="389"/>
      <c r="CL761" s="390"/>
      <c r="CM761" s="389"/>
      <c r="CN761" s="389"/>
      <c r="CO761" s="390"/>
      <c r="CP761" s="390"/>
      <c r="CQ761" s="721"/>
      <c r="CR761" s="389"/>
      <c r="CS761" s="53"/>
      <c r="CT761" s="53"/>
      <c r="CU761" s="721"/>
      <c r="CV761" s="389"/>
      <c r="CW761" s="53"/>
      <c r="CX761" s="53"/>
      <c r="CY761" s="721"/>
      <c r="CZ761" s="389"/>
      <c r="DA761" s="53"/>
      <c r="DB761" s="53"/>
      <c r="DC761" s="721"/>
      <c r="DD761" s="389"/>
      <c r="DE761" s="53"/>
      <c r="DF761" s="53"/>
      <c r="DG761" s="721"/>
      <c r="DH761" s="389"/>
      <c r="DI761" s="53"/>
      <c r="DJ761" s="53"/>
      <c r="DK761" s="721"/>
      <c r="DL761" s="389"/>
      <c r="DM761" s="53"/>
      <c r="DN761" s="53"/>
      <c r="DO761" s="721"/>
      <c r="DP761" s="389"/>
      <c r="DQ761" s="53"/>
      <c r="DR761" s="53"/>
      <c r="DS761" s="721"/>
      <c r="DT761" s="389"/>
      <c r="DU761" s="53"/>
      <c r="DV761" s="53"/>
      <c r="DW761" s="721"/>
      <c r="DX761" s="389"/>
      <c r="DY761" s="53"/>
      <c r="DZ761" s="53"/>
      <c r="EA761" s="721"/>
      <c r="EB761" s="389"/>
      <c r="EC761" s="53"/>
      <c r="ED761" s="53"/>
      <c r="EE761" s="389"/>
      <c r="EF761" s="390"/>
      <c r="EG761" s="389"/>
      <c r="EH761" s="389"/>
      <c r="EI761" s="391"/>
      <c r="EJ761" s="390"/>
      <c r="EK761" s="390"/>
      <c r="EL761" s="734"/>
      <c r="EM761" s="735"/>
      <c r="EN761" s="392"/>
      <c r="EO761" s="736"/>
      <c r="EP761" s="390"/>
      <c r="EQ761" s="736"/>
      <c r="ER761" s="390"/>
      <c r="ES761" s="736"/>
      <c r="ET761" s="390"/>
      <c r="EU761" s="736"/>
      <c r="EV761" s="390"/>
      <c r="EW761" s="736"/>
      <c r="EX761" s="390"/>
      <c r="EY761" s="736"/>
      <c r="EZ761" s="390"/>
      <c r="FA761" s="736"/>
      <c r="FB761" s="390"/>
      <c r="FC761" s="736"/>
      <c r="FD761" s="390"/>
      <c r="FE761" s="736"/>
      <c r="FF761" s="390"/>
      <c r="FG761" s="736"/>
      <c r="FH761" s="390"/>
      <c r="FI761" s="389"/>
      <c r="FJ761" s="390"/>
      <c r="FK761" s="389"/>
      <c r="FL761" s="392"/>
    </row>
    <row r="762" spans="1:168" s="85" customFormat="1">
      <c r="A762" s="394"/>
      <c r="B762" s="395"/>
      <c r="C762" s="394"/>
      <c r="D762" s="388"/>
      <c r="E762" s="726"/>
      <c r="F762" s="390"/>
      <c r="G762" s="726"/>
      <c r="H762" s="390"/>
      <c r="I762" s="389"/>
      <c r="J762" s="390"/>
      <c r="K762" s="727"/>
      <c r="L762" s="728"/>
      <c r="M762" s="389"/>
      <c r="N762" s="729"/>
      <c r="O762" s="729"/>
      <c r="P762" s="729"/>
      <c r="Q762" s="730"/>
      <c r="R762" s="390"/>
      <c r="S762" s="390"/>
      <c r="T762" s="390"/>
      <c r="U762" s="390"/>
      <c r="V762" s="731"/>
      <c r="W762" s="721"/>
      <c r="X762" s="389"/>
      <c r="Y762" s="537"/>
      <c r="Z762" s="53"/>
      <c r="AA762" s="732"/>
      <c r="AB762" s="389"/>
      <c r="AC762" s="537"/>
      <c r="AD762" s="53"/>
      <c r="AE762" s="732"/>
      <c r="AF762" s="389"/>
      <c r="AG762" s="537"/>
      <c r="AH762" s="53"/>
      <c r="AI762" s="732"/>
      <c r="AJ762" s="389"/>
      <c r="AK762" s="537"/>
      <c r="AL762" s="53"/>
      <c r="AM762" s="732"/>
      <c r="AN762" s="389"/>
      <c r="AO762" s="537"/>
      <c r="AP762" s="53"/>
      <c r="AQ762" s="389"/>
      <c r="AR762" s="707"/>
      <c r="AS762" s="53"/>
      <c r="AT762" s="733"/>
      <c r="AU762" s="729"/>
      <c r="AV762" s="390"/>
      <c r="AW762" s="721"/>
      <c r="AX762" s="389"/>
      <c r="AY762" s="53"/>
      <c r="AZ762" s="53"/>
      <c r="BA762" s="721"/>
      <c r="BB762" s="389"/>
      <c r="BC762" s="53"/>
      <c r="BD762" s="53"/>
      <c r="BE762" s="721"/>
      <c r="BF762" s="389"/>
      <c r="BG762" s="53"/>
      <c r="BH762" s="53"/>
      <c r="BI762" s="721"/>
      <c r="BJ762" s="389"/>
      <c r="BK762" s="53"/>
      <c r="BL762" s="53"/>
      <c r="BM762" s="721"/>
      <c r="BN762" s="389"/>
      <c r="BO762" s="53"/>
      <c r="BP762" s="53"/>
      <c r="BQ762" s="721"/>
      <c r="BR762" s="389"/>
      <c r="BS762" s="53"/>
      <c r="BT762" s="53"/>
      <c r="BU762" s="721"/>
      <c r="BV762" s="389"/>
      <c r="BW762" s="53"/>
      <c r="BX762" s="53"/>
      <c r="BY762" s="721"/>
      <c r="BZ762" s="389"/>
      <c r="CA762" s="53"/>
      <c r="CB762" s="53"/>
      <c r="CC762" s="721"/>
      <c r="CD762" s="389"/>
      <c r="CE762" s="53"/>
      <c r="CF762" s="53"/>
      <c r="CG762" s="721"/>
      <c r="CH762" s="389"/>
      <c r="CI762" s="53"/>
      <c r="CJ762" s="53"/>
      <c r="CK762" s="389"/>
      <c r="CL762" s="390"/>
      <c r="CM762" s="389"/>
      <c r="CN762" s="389"/>
      <c r="CO762" s="390"/>
      <c r="CP762" s="390"/>
      <c r="CQ762" s="721"/>
      <c r="CR762" s="389"/>
      <c r="CS762" s="53"/>
      <c r="CT762" s="53"/>
      <c r="CU762" s="721"/>
      <c r="CV762" s="389"/>
      <c r="CW762" s="53"/>
      <c r="CX762" s="53"/>
      <c r="CY762" s="721"/>
      <c r="CZ762" s="389"/>
      <c r="DA762" s="53"/>
      <c r="DB762" s="53"/>
      <c r="DC762" s="721"/>
      <c r="DD762" s="389"/>
      <c r="DE762" s="53"/>
      <c r="DF762" s="53"/>
      <c r="DG762" s="721"/>
      <c r="DH762" s="389"/>
      <c r="DI762" s="53"/>
      <c r="DJ762" s="53"/>
      <c r="DK762" s="721"/>
      <c r="DL762" s="389"/>
      <c r="DM762" s="53"/>
      <c r="DN762" s="53"/>
      <c r="DO762" s="721"/>
      <c r="DP762" s="389"/>
      <c r="DQ762" s="53"/>
      <c r="DR762" s="53"/>
      <c r="DS762" s="721"/>
      <c r="DT762" s="389"/>
      <c r="DU762" s="53"/>
      <c r="DV762" s="53"/>
      <c r="DW762" s="721"/>
      <c r="DX762" s="389"/>
      <c r="DY762" s="53"/>
      <c r="DZ762" s="53"/>
      <c r="EA762" s="721"/>
      <c r="EB762" s="389"/>
      <c r="EC762" s="53"/>
      <c r="ED762" s="53"/>
      <c r="EE762" s="389"/>
      <c r="EF762" s="390"/>
      <c r="EG762" s="389"/>
      <c r="EH762" s="389"/>
      <c r="EI762" s="391"/>
      <c r="EJ762" s="390"/>
      <c r="EK762" s="390"/>
      <c r="EL762" s="734"/>
      <c r="EM762" s="735"/>
      <c r="EN762" s="392"/>
      <c r="EO762" s="736"/>
      <c r="EP762" s="390"/>
      <c r="EQ762" s="736"/>
      <c r="ER762" s="390"/>
      <c r="ES762" s="736"/>
      <c r="ET762" s="390"/>
      <c r="EU762" s="736"/>
      <c r="EV762" s="390"/>
      <c r="EW762" s="736"/>
      <c r="EX762" s="390"/>
      <c r="EY762" s="736"/>
      <c r="EZ762" s="390"/>
      <c r="FA762" s="736"/>
      <c r="FB762" s="390"/>
      <c r="FC762" s="736"/>
      <c r="FD762" s="390"/>
      <c r="FE762" s="736"/>
      <c r="FF762" s="390"/>
      <c r="FG762" s="736"/>
      <c r="FH762" s="390"/>
      <c r="FI762" s="389"/>
      <c r="FJ762" s="390"/>
      <c r="FK762" s="389"/>
      <c r="FL762" s="392"/>
    </row>
    <row r="763" spans="1:168" s="85" customFormat="1">
      <c r="A763" s="394"/>
      <c r="B763" s="395"/>
      <c r="C763" s="394"/>
      <c r="D763" s="388"/>
      <c r="E763" s="726"/>
      <c r="F763" s="390"/>
      <c r="G763" s="726"/>
      <c r="H763" s="390"/>
      <c r="I763" s="389"/>
      <c r="J763" s="390"/>
      <c r="K763" s="727"/>
      <c r="L763" s="728"/>
      <c r="M763" s="389"/>
      <c r="N763" s="729"/>
      <c r="O763" s="729"/>
      <c r="P763" s="729"/>
      <c r="Q763" s="730"/>
      <c r="R763" s="390"/>
      <c r="S763" s="390"/>
      <c r="T763" s="390"/>
      <c r="U763" s="390"/>
      <c r="V763" s="731"/>
      <c r="W763" s="721"/>
      <c r="X763" s="389"/>
      <c r="Y763" s="537"/>
      <c r="Z763" s="53"/>
      <c r="AA763" s="732"/>
      <c r="AB763" s="389"/>
      <c r="AC763" s="537"/>
      <c r="AD763" s="53"/>
      <c r="AE763" s="732"/>
      <c r="AF763" s="389"/>
      <c r="AG763" s="537"/>
      <c r="AH763" s="53"/>
      <c r="AI763" s="732"/>
      <c r="AJ763" s="389"/>
      <c r="AK763" s="537"/>
      <c r="AL763" s="53"/>
      <c r="AM763" s="732"/>
      <c r="AN763" s="389"/>
      <c r="AO763" s="537"/>
      <c r="AP763" s="53"/>
      <c r="AQ763" s="389"/>
      <c r="AR763" s="707"/>
      <c r="AS763" s="53"/>
      <c r="AT763" s="733"/>
      <c r="AU763" s="729"/>
      <c r="AV763" s="390"/>
      <c r="AW763" s="721"/>
      <c r="AX763" s="389"/>
      <c r="AY763" s="53"/>
      <c r="AZ763" s="53"/>
      <c r="BA763" s="721"/>
      <c r="BB763" s="389"/>
      <c r="BC763" s="53"/>
      <c r="BD763" s="53"/>
      <c r="BE763" s="721"/>
      <c r="BF763" s="389"/>
      <c r="BG763" s="53"/>
      <c r="BH763" s="53"/>
      <c r="BI763" s="721"/>
      <c r="BJ763" s="389"/>
      <c r="BK763" s="53"/>
      <c r="BL763" s="53"/>
      <c r="BM763" s="721"/>
      <c r="BN763" s="389"/>
      <c r="BO763" s="53"/>
      <c r="BP763" s="53"/>
      <c r="BQ763" s="721"/>
      <c r="BR763" s="389"/>
      <c r="BS763" s="53"/>
      <c r="BT763" s="53"/>
      <c r="BU763" s="721"/>
      <c r="BV763" s="389"/>
      <c r="BW763" s="53"/>
      <c r="BX763" s="53"/>
      <c r="BY763" s="721"/>
      <c r="BZ763" s="389"/>
      <c r="CA763" s="53"/>
      <c r="CB763" s="53"/>
      <c r="CC763" s="721"/>
      <c r="CD763" s="389"/>
      <c r="CE763" s="53"/>
      <c r="CF763" s="53"/>
      <c r="CG763" s="721"/>
      <c r="CH763" s="389"/>
      <c r="CI763" s="53"/>
      <c r="CJ763" s="53"/>
      <c r="CK763" s="389"/>
      <c r="CL763" s="390"/>
      <c r="CM763" s="389"/>
      <c r="CN763" s="389"/>
      <c r="CO763" s="390"/>
      <c r="CP763" s="390"/>
      <c r="CQ763" s="721"/>
      <c r="CR763" s="389"/>
      <c r="CS763" s="53"/>
      <c r="CT763" s="53"/>
      <c r="CU763" s="721"/>
      <c r="CV763" s="389"/>
      <c r="CW763" s="53"/>
      <c r="CX763" s="53"/>
      <c r="CY763" s="721"/>
      <c r="CZ763" s="389"/>
      <c r="DA763" s="53"/>
      <c r="DB763" s="53"/>
      <c r="DC763" s="721"/>
      <c r="DD763" s="389"/>
      <c r="DE763" s="53"/>
      <c r="DF763" s="53"/>
      <c r="DG763" s="721"/>
      <c r="DH763" s="389"/>
      <c r="DI763" s="53"/>
      <c r="DJ763" s="53"/>
      <c r="DK763" s="721"/>
      <c r="DL763" s="389"/>
      <c r="DM763" s="53"/>
      <c r="DN763" s="53"/>
      <c r="DO763" s="721"/>
      <c r="DP763" s="389"/>
      <c r="DQ763" s="53"/>
      <c r="DR763" s="53"/>
      <c r="DS763" s="721"/>
      <c r="DT763" s="389"/>
      <c r="DU763" s="53"/>
      <c r="DV763" s="53"/>
      <c r="DW763" s="721"/>
      <c r="DX763" s="389"/>
      <c r="DY763" s="53"/>
      <c r="DZ763" s="53"/>
      <c r="EA763" s="721"/>
      <c r="EB763" s="389"/>
      <c r="EC763" s="53"/>
      <c r="ED763" s="53"/>
      <c r="EE763" s="389"/>
      <c r="EF763" s="390"/>
      <c r="EG763" s="389"/>
      <c r="EH763" s="389"/>
      <c r="EI763" s="391"/>
      <c r="EJ763" s="390"/>
      <c r="EK763" s="390"/>
      <c r="EL763" s="734"/>
      <c r="EM763" s="735"/>
      <c r="EN763" s="392"/>
      <c r="EO763" s="736"/>
      <c r="EP763" s="390"/>
      <c r="EQ763" s="736"/>
      <c r="ER763" s="390"/>
      <c r="ES763" s="736"/>
      <c r="ET763" s="390"/>
      <c r="EU763" s="736"/>
      <c r="EV763" s="390"/>
      <c r="EW763" s="736"/>
      <c r="EX763" s="390"/>
      <c r="EY763" s="736"/>
      <c r="EZ763" s="390"/>
      <c r="FA763" s="736"/>
      <c r="FB763" s="390"/>
      <c r="FC763" s="736"/>
      <c r="FD763" s="390"/>
      <c r="FE763" s="736"/>
      <c r="FF763" s="390"/>
      <c r="FG763" s="736"/>
      <c r="FH763" s="390"/>
      <c r="FI763" s="389"/>
      <c r="FJ763" s="390"/>
      <c r="FK763" s="389"/>
      <c r="FL763" s="392"/>
    </row>
    <row r="764" spans="1:168" s="85" customFormat="1">
      <c r="A764" s="394"/>
      <c r="B764" s="397"/>
      <c r="C764" s="394"/>
      <c r="D764" s="388"/>
      <c r="E764" s="726"/>
      <c r="F764" s="390"/>
      <c r="G764" s="726"/>
      <c r="H764" s="390"/>
      <c r="I764" s="389"/>
      <c r="J764" s="390"/>
      <c r="K764" s="727"/>
      <c r="L764" s="728"/>
      <c r="M764" s="389"/>
      <c r="N764" s="729"/>
      <c r="O764" s="729"/>
      <c r="P764" s="729"/>
      <c r="Q764" s="730"/>
      <c r="R764" s="390"/>
      <c r="S764" s="390"/>
      <c r="T764" s="390"/>
      <c r="U764" s="390"/>
      <c r="V764" s="731"/>
      <c r="W764" s="721"/>
      <c r="X764" s="389"/>
      <c r="Y764" s="537"/>
      <c r="Z764" s="53"/>
      <c r="AA764" s="732"/>
      <c r="AB764" s="389"/>
      <c r="AC764" s="537"/>
      <c r="AD764" s="53"/>
      <c r="AE764" s="732"/>
      <c r="AF764" s="389"/>
      <c r="AG764" s="537"/>
      <c r="AH764" s="53"/>
      <c r="AI764" s="732"/>
      <c r="AJ764" s="389"/>
      <c r="AK764" s="537"/>
      <c r="AL764" s="53"/>
      <c r="AM764" s="732"/>
      <c r="AN764" s="389"/>
      <c r="AO764" s="537"/>
      <c r="AP764" s="53"/>
      <c r="AQ764" s="389"/>
      <c r="AR764" s="707"/>
      <c r="AS764" s="53"/>
      <c r="AT764" s="733"/>
      <c r="AU764" s="729"/>
      <c r="AV764" s="390"/>
      <c r="AW764" s="721"/>
      <c r="AX764" s="389"/>
      <c r="AY764" s="53"/>
      <c r="AZ764" s="53"/>
      <c r="BA764" s="721"/>
      <c r="BB764" s="389"/>
      <c r="BC764" s="53"/>
      <c r="BD764" s="53"/>
      <c r="BE764" s="721"/>
      <c r="BF764" s="389"/>
      <c r="BG764" s="53"/>
      <c r="BH764" s="53"/>
      <c r="BI764" s="721"/>
      <c r="BJ764" s="389"/>
      <c r="BK764" s="53"/>
      <c r="BL764" s="53"/>
      <c r="BM764" s="721"/>
      <c r="BN764" s="389"/>
      <c r="BO764" s="53"/>
      <c r="BP764" s="53"/>
      <c r="BQ764" s="721"/>
      <c r="BR764" s="389"/>
      <c r="BS764" s="53"/>
      <c r="BT764" s="53"/>
      <c r="BU764" s="721"/>
      <c r="BV764" s="389"/>
      <c r="BW764" s="53"/>
      <c r="BX764" s="53"/>
      <c r="BY764" s="721"/>
      <c r="BZ764" s="389"/>
      <c r="CA764" s="53"/>
      <c r="CB764" s="53"/>
      <c r="CC764" s="721"/>
      <c r="CD764" s="389"/>
      <c r="CE764" s="53"/>
      <c r="CF764" s="53"/>
      <c r="CG764" s="721"/>
      <c r="CH764" s="389"/>
      <c r="CI764" s="53"/>
      <c r="CJ764" s="53"/>
      <c r="CK764" s="389"/>
      <c r="CL764" s="390"/>
      <c r="CM764" s="389"/>
      <c r="CN764" s="389"/>
      <c r="CO764" s="390"/>
      <c r="CP764" s="390"/>
      <c r="CQ764" s="721"/>
      <c r="CR764" s="389"/>
      <c r="CS764" s="53"/>
      <c r="CT764" s="53"/>
      <c r="CU764" s="721"/>
      <c r="CV764" s="389"/>
      <c r="CW764" s="53"/>
      <c r="CX764" s="53"/>
      <c r="CY764" s="721"/>
      <c r="CZ764" s="389"/>
      <c r="DA764" s="53"/>
      <c r="DB764" s="53"/>
      <c r="DC764" s="721"/>
      <c r="DD764" s="389"/>
      <c r="DE764" s="53"/>
      <c r="DF764" s="53"/>
      <c r="DG764" s="721"/>
      <c r="DH764" s="389"/>
      <c r="DI764" s="53"/>
      <c r="DJ764" s="53"/>
      <c r="DK764" s="721"/>
      <c r="DL764" s="389"/>
      <c r="DM764" s="53"/>
      <c r="DN764" s="53"/>
      <c r="DO764" s="721"/>
      <c r="DP764" s="389"/>
      <c r="DQ764" s="53"/>
      <c r="DR764" s="53"/>
      <c r="DS764" s="721"/>
      <c r="DT764" s="389"/>
      <c r="DU764" s="53"/>
      <c r="DV764" s="53"/>
      <c r="DW764" s="721"/>
      <c r="DX764" s="389"/>
      <c r="DY764" s="53"/>
      <c r="DZ764" s="53"/>
      <c r="EA764" s="721"/>
      <c r="EB764" s="389"/>
      <c r="EC764" s="53"/>
      <c r="ED764" s="53"/>
      <c r="EE764" s="389"/>
      <c r="EF764" s="390"/>
      <c r="EG764" s="389"/>
      <c r="EH764" s="389"/>
      <c r="EI764" s="391"/>
      <c r="EJ764" s="390"/>
      <c r="EK764" s="390"/>
      <c r="EL764" s="734"/>
      <c r="EM764" s="735"/>
      <c r="EN764" s="392"/>
      <c r="EO764" s="736"/>
      <c r="EP764" s="390"/>
      <c r="EQ764" s="736"/>
      <c r="ER764" s="390"/>
      <c r="ES764" s="736"/>
      <c r="ET764" s="390"/>
      <c r="EU764" s="736"/>
      <c r="EV764" s="390"/>
      <c r="EW764" s="736"/>
      <c r="EX764" s="390"/>
      <c r="EY764" s="736"/>
      <c r="EZ764" s="390"/>
      <c r="FA764" s="736"/>
      <c r="FB764" s="390"/>
      <c r="FC764" s="736"/>
      <c r="FD764" s="390"/>
      <c r="FE764" s="736"/>
      <c r="FF764" s="390"/>
      <c r="FG764" s="736"/>
      <c r="FH764" s="390"/>
      <c r="FI764" s="389"/>
      <c r="FJ764" s="390"/>
      <c r="FK764" s="389"/>
      <c r="FL764" s="392"/>
    </row>
    <row r="765" spans="1:168" s="85" customFormat="1">
      <c r="A765" s="394"/>
      <c r="B765" s="395"/>
      <c r="C765" s="394"/>
      <c r="D765" s="388"/>
      <c r="E765" s="726"/>
      <c r="F765" s="390"/>
      <c r="G765" s="726"/>
      <c r="H765" s="390"/>
      <c r="I765" s="389"/>
      <c r="J765" s="390"/>
      <c r="K765" s="727"/>
      <c r="L765" s="728"/>
      <c r="M765" s="389"/>
      <c r="N765" s="729"/>
      <c r="O765" s="729"/>
      <c r="P765" s="729"/>
      <c r="Q765" s="730"/>
      <c r="R765" s="390"/>
      <c r="S765" s="390"/>
      <c r="T765" s="390"/>
      <c r="U765" s="390"/>
      <c r="V765" s="731"/>
      <c r="W765" s="721"/>
      <c r="X765" s="389"/>
      <c r="Y765" s="537"/>
      <c r="Z765" s="53"/>
      <c r="AA765" s="732"/>
      <c r="AB765" s="389"/>
      <c r="AC765" s="537"/>
      <c r="AD765" s="53"/>
      <c r="AE765" s="732"/>
      <c r="AF765" s="389"/>
      <c r="AG765" s="537"/>
      <c r="AH765" s="53"/>
      <c r="AI765" s="732"/>
      <c r="AJ765" s="389"/>
      <c r="AK765" s="537"/>
      <c r="AL765" s="53"/>
      <c r="AM765" s="732"/>
      <c r="AN765" s="389"/>
      <c r="AO765" s="537"/>
      <c r="AP765" s="53"/>
      <c r="AQ765" s="389"/>
      <c r="AR765" s="707"/>
      <c r="AS765" s="53"/>
      <c r="AT765" s="733"/>
      <c r="AU765" s="729"/>
      <c r="AV765" s="390"/>
      <c r="AW765" s="721"/>
      <c r="AX765" s="389"/>
      <c r="AY765" s="53"/>
      <c r="AZ765" s="53"/>
      <c r="BA765" s="721"/>
      <c r="BB765" s="389"/>
      <c r="BC765" s="53"/>
      <c r="BD765" s="53"/>
      <c r="BE765" s="721"/>
      <c r="BF765" s="389"/>
      <c r="BG765" s="53"/>
      <c r="BH765" s="53"/>
      <c r="BI765" s="721"/>
      <c r="BJ765" s="389"/>
      <c r="BK765" s="53"/>
      <c r="BL765" s="53"/>
      <c r="BM765" s="721"/>
      <c r="BN765" s="389"/>
      <c r="BO765" s="53"/>
      <c r="BP765" s="53"/>
      <c r="BQ765" s="721"/>
      <c r="BR765" s="389"/>
      <c r="BS765" s="53"/>
      <c r="BT765" s="53"/>
      <c r="BU765" s="721"/>
      <c r="BV765" s="389"/>
      <c r="BW765" s="53"/>
      <c r="BX765" s="53"/>
      <c r="BY765" s="721"/>
      <c r="BZ765" s="389"/>
      <c r="CA765" s="53"/>
      <c r="CB765" s="53"/>
      <c r="CC765" s="721"/>
      <c r="CD765" s="389"/>
      <c r="CE765" s="53"/>
      <c r="CF765" s="53"/>
      <c r="CG765" s="721"/>
      <c r="CH765" s="389"/>
      <c r="CI765" s="53"/>
      <c r="CJ765" s="53"/>
      <c r="CK765" s="389"/>
      <c r="CL765" s="390"/>
      <c r="CM765" s="389"/>
      <c r="CN765" s="389"/>
      <c r="CO765" s="390"/>
      <c r="CP765" s="390"/>
      <c r="CQ765" s="721"/>
      <c r="CR765" s="389"/>
      <c r="CS765" s="53"/>
      <c r="CT765" s="53"/>
      <c r="CU765" s="721"/>
      <c r="CV765" s="389"/>
      <c r="CW765" s="53"/>
      <c r="CX765" s="53"/>
      <c r="CY765" s="721"/>
      <c r="CZ765" s="389"/>
      <c r="DA765" s="53"/>
      <c r="DB765" s="53"/>
      <c r="DC765" s="721"/>
      <c r="DD765" s="389"/>
      <c r="DE765" s="53"/>
      <c r="DF765" s="53"/>
      <c r="DG765" s="721"/>
      <c r="DH765" s="389"/>
      <c r="DI765" s="53"/>
      <c r="DJ765" s="53"/>
      <c r="DK765" s="721"/>
      <c r="DL765" s="389"/>
      <c r="DM765" s="53"/>
      <c r="DN765" s="53"/>
      <c r="DO765" s="721"/>
      <c r="DP765" s="389"/>
      <c r="DQ765" s="53"/>
      <c r="DR765" s="53"/>
      <c r="DS765" s="721"/>
      <c r="DT765" s="389"/>
      <c r="DU765" s="53"/>
      <c r="DV765" s="53"/>
      <c r="DW765" s="721"/>
      <c r="DX765" s="389"/>
      <c r="DY765" s="53"/>
      <c r="DZ765" s="53"/>
      <c r="EA765" s="721"/>
      <c r="EB765" s="389"/>
      <c r="EC765" s="53"/>
      <c r="ED765" s="53"/>
      <c r="EE765" s="389"/>
      <c r="EF765" s="390"/>
      <c r="EG765" s="389"/>
      <c r="EH765" s="389"/>
      <c r="EI765" s="391"/>
      <c r="EJ765" s="390"/>
      <c r="EK765" s="390"/>
      <c r="EL765" s="734"/>
      <c r="EM765" s="735"/>
      <c r="EN765" s="392"/>
      <c r="EO765" s="736"/>
      <c r="EP765" s="390"/>
      <c r="EQ765" s="736"/>
      <c r="ER765" s="390"/>
      <c r="ES765" s="736"/>
      <c r="ET765" s="390"/>
      <c r="EU765" s="736"/>
      <c r="EV765" s="390"/>
      <c r="EW765" s="736"/>
      <c r="EX765" s="390"/>
      <c r="EY765" s="736"/>
      <c r="EZ765" s="390"/>
      <c r="FA765" s="736"/>
      <c r="FB765" s="390"/>
      <c r="FC765" s="736"/>
      <c r="FD765" s="390"/>
      <c r="FE765" s="736"/>
      <c r="FF765" s="390"/>
      <c r="FG765" s="736"/>
      <c r="FH765" s="390"/>
      <c r="FI765" s="389"/>
      <c r="FJ765" s="390"/>
      <c r="FK765" s="389"/>
      <c r="FL765" s="392"/>
    </row>
    <row r="766" spans="1:168" s="85" customFormat="1">
      <c r="A766" s="394"/>
      <c r="B766" s="395"/>
      <c r="C766" s="394"/>
      <c r="D766" s="388"/>
      <c r="E766" s="726"/>
      <c r="F766" s="390"/>
      <c r="G766" s="726"/>
      <c r="H766" s="390"/>
      <c r="I766" s="389"/>
      <c r="J766" s="390"/>
      <c r="K766" s="727"/>
      <c r="L766" s="728"/>
      <c r="M766" s="389"/>
      <c r="N766" s="729"/>
      <c r="O766" s="729"/>
      <c r="P766" s="729"/>
      <c r="Q766" s="730"/>
      <c r="R766" s="390"/>
      <c r="S766" s="390"/>
      <c r="T766" s="390"/>
      <c r="U766" s="390"/>
      <c r="V766" s="731"/>
      <c r="W766" s="721"/>
      <c r="X766" s="389"/>
      <c r="Y766" s="537"/>
      <c r="Z766" s="53"/>
      <c r="AA766" s="732"/>
      <c r="AB766" s="389"/>
      <c r="AC766" s="537"/>
      <c r="AD766" s="53"/>
      <c r="AE766" s="732"/>
      <c r="AF766" s="389"/>
      <c r="AG766" s="537"/>
      <c r="AH766" s="53"/>
      <c r="AI766" s="732"/>
      <c r="AJ766" s="389"/>
      <c r="AK766" s="537"/>
      <c r="AL766" s="53"/>
      <c r="AM766" s="732"/>
      <c r="AN766" s="389"/>
      <c r="AO766" s="537"/>
      <c r="AP766" s="53"/>
      <c r="AQ766" s="389"/>
      <c r="AR766" s="707"/>
      <c r="AS766" s="53"/>
      <c r="AT766" s="733"/>
      <c r="AU766" s="729"/>
      <c r="AV766" s="390"/>
      <c r="AW766" s="721"/>
      <c r="AX766" s="389"/>
      <c r="AY766" s="53"/>
      <c r="AZ766" s="53"/>
      <c r="BA766" s="721"/>
      <c r="BB766" s="389"/>
      <c r="BC766" s="53"/>
      <c r="BD766" s="53"/>
      <c r="BE766" s="721"/>
      <c r="BF766" s="389"/>
      <c r="BG766" s="53"/>
      <c r="BH766" s="53"/>
      <c r="BI766" s="721"/>
      <c r="BJ766" s="389"/>
      <c r="BK766" s="53"/>
      <c r="BL766" s="53"/>
      <c r="BM766" s="721"/>
      <c r="BN766" s="389"/>
      <c r="BO766" s="53"/>
      <c r="BP766" s="53"/>
      <c r="BQ766" s="721"/>
      <c r="BR766" s="389"/>
      <c r="BS766" s="53"/>
      <c r="BT766" s="53"/>
      <c r="BU766" s="721"/>
      <c r="BV766" s="389"/>
      <c r="BW766" s="53"/>
      <c r="BX766" s="53"/>
      <c r="BY766" s="721"/>
      <c r="BZ766" s="389"/>
      <c r="CA766" s="53"/>
      <c r="CB766" s="53"/>
      <c r="CC766" s="721"/>
      <c r="CD766" s="389"/>
      <c r="CE766" s="53"/>
      <c r="CF766" s="53"/>
      <c r="CG766" s="721"/>
      <c r="CH766" s="389"/>
      <c r="CI766" s="53"/>
      <c r="CJ766" s="53"/>
      <c r="CK766" s="389"/>
      <c r="CL766" s="390"/>
      <c r="CM766" s="389"/>
      <c r="CN766" s="389"/>
      <c r="CO766" s="390"/>
      <c r="CP766" s="390"/>
      <c r="CQ766" s="721"/>
      <c r="CR766" s="389"/>
      <c r="CS766" s="53"/>
      <c r="CT766" s="53"/>
      <c r="CU766" s="721"/>
      <c r="CV766" s="389"/>
      <c r="CW766" s="53"/>
      <c r="CX766" s="53"/>
      <c r="CY766" s="721"/>
      <c r="CZ766" s="389"/>
      <c r="DA766" s="53"/>
      <c r="DB766" s="53"/>
      <c r="DC766" s="721"/>
      <c r="DD766" s="389"/>
      <c r="DE766" s="53"/>
      <c r="DF766" s="53"/>
      <c r="DG766" s="721"/>
      <c r="DH766" s="389"/>
      <c r="DI766" s="53"/>
      <c r="DJ766" s="53"/>
      <c r="DK766" s="721"/>
      <c r="DL766" s="389"/>
      <c r="DM766" s="53"/>
      <c r="DN766" s="53"/>
      <c r="DO766" s="721"/>
      <c r="DP766" s="389"/>
      <c r="DQ766" s="53"/>
      <c r="DR766" s="53"/>
      <c r="DS766" s="721"/>
      <c r="DT766" s="389"/>
      <c r="DU766" s="53"/>
      <c r="DV766" s="53"/>
      <c r="DW766" s="721"/>
      <c r="DX766" s="389"/>
      <c r="DY766" s="53"/>
      <c r="DZ766" s="53"/>
      <c r="EA766" s="721"/>
      <c r="EB766" s="389"/>
      <c r="EC766" s="53"/>
      <c r="ED766" s="53"/>
      <c r="EE766" s="389"/>
      <c r="EF766" s="390"/>
      <c r="EG766" s="389"/>
      <c r="EH766" s="389"/>
      <c r="EI766" s="391"/>
      <c r="EJ766" s="390"/>
      <c r="EK766" s="390"/>
      <c r="EL766" s="734"/>
      <c r="EM766" s="735"/>
      <c r="EN766" s="392"/>
      <c r="EO766" s="736"/>
      <c r="EP766" s="390"/>
      <c r="EQ766" s="736"/>
      <c r="ER766" s="390"/>
      <c r="ES766" s="736"/>
      <c r="ET766" s="390"/>
      <c r="EU766" s="736"/>
      <c r="EV766" s="390"/>
      <c r="EW766" s="736"/>
      <c r="EX766" s="390"/>
      <c r="EY766" s="736"/>
      <c r="EZ766" s="390"/>
      <c r="FA766" s="736"/>
      <c r="FB766" s="390"/>
      <c r="FC766" s="736"/>
      <c r="FD766" s="390"/>
      <c r="FE766" s="736"/>
      <c r="FF766" s="390"/>
      <c r="FG766" s="736"/>
      <c r="FH766" s="390"/>
      <c r="FI766" s="389"/>
      <c r="FJ766" s="390"/>
      <c r="FK766" s="389"/>
      <c r="FL766" s="392"/>
    </row>
    <row r="767" spans="1:168" s="85" customFormat="1">
      <c r="A767" s="394"/>
      <c r="B767" s="395"/>
      <c r="C767" s="394"/>
      <c r="D767" s="388"/>
      <c r="E767" s="726"/>
      <c r="F767" s="390"/>
      <c r="G767" s="726"/>
      <c r="H767" s="390"/>
      <c r="I767" s="389"/>
      <c r="J767" s="390"/>
      <c r="K767" s="727"/>
      <c r="L767" s="728"/>
      <c r="M767" s="389"/>
      <c r="N767" s="729"/>
      <c r="O767" s="729"/>
      <c r="P767" s="729"/>
      <c r="Q767" s="730"/>
      <c r="R767" s="390"/>
      <c r="S767" s="390"/>
      <c r="T767" s="390"/>
      <c r="U767" s="390"/>
      <c r="V767" s="731"/>
      <c r="W767" s="721"/>
      <c r="X767" s="389"/>
      <c r="Y767" s="537"/>
      <c r="Z767" s="53"/>
      <c r="AA767" s="732"/>
      <c r="AB767" s="389"/>
      <c r="AC767" s="537"/>
      <c r="AD767" s="53"/>
      <c r="AE767" s="732"/>
      <c r="AF767" s="389"/>
      <c r="AG767" s="537"/>
      <c r="AH767" s="53"/>
      <c r="AI767" s="732"/>
      <c r="AJ767" s="389"/>
      <c r="AK767" s="537"/>
      <c r="AL767" s="53"/>
      <c r="AM767" s="732"/>
      <c r="AN767" s="389"/>
      <c r="AO767" s="537"/>
      <c r="AP767" s="53"/>
      <c r="AQ767" s="389"/>
      <c r="AR767" s="707"/>
      <c r="AS767" s="53"/>
      <c r="AT767" s="733"/>
      <c r="AU767" s="729"/>
      <c r="AV767" s="390"/>
      <c r="AW767" s="721"/>
      <c r="AX767" s="389"/>
      <c r="AY767" s="53"/>
      <c r="AZ767" s="53"/>
      <c r="BA767" s="721"/>
      <c r="BB767" s="389"/>
      <c r="BC767" s="53"/>
      <c r="BD767" s="53"/>
      <c r="BE767" s="721"/>
      <c r="BF767" s="389"/>
      <c r="BG767" s="53"/>
      <c r="BH767" s="53"/>
      <c r="BI767" s="721"/>
      <c r="BJ767" s="389"/>
      <c r="BK767" s="53"/>
      <c r="BL767" s="53"/>
      <c r="BM767" s="721"/>
      <c r="BN767" s="389"/>
      <c r="BO767" s="53"/>
      <c r="BP767" s="53"/>
      <c r="BQ767" s="721"/>
      <c r="BR767" s="389"/>
      <c r="BS767" s="53"/>
      <c r="BT767" s="53"/>
      <c r="BU767" s="721"/>
      <c r="BV767" s="389"/>
      <c r="BW767" s="53"/>
      <c r="BX767" s="53"/>
      <c r="BY767" s="721"/>
      <c r="BZ767" s="389"/>
      <c r="CA767" s="53"/>
      <c r="CB767" s="53"/>
      <c r="CC767" s="721"/>
      <c r="CD767" s="389"/>
      <c r="CE767" s="53"/>
      <c r="CF767" s="53"/>
      <c r="CG767" s="721"/>
      <c r="CH767" s="389"/>
      <c r="CI767" s="53"/>
      <c r="CJ767" s="53"/>
      <c r="CK767" s="389"/>
      <c r="CL767" s="390"/>
      <c r="CM767" s="389"/>
      <c r="CN767" s="389"/>
      <c r="CO767" s="390"/>
      <c r="CP767" s="390"/>
      <c r="CQ767" s="721"/>
      <c r="CR767" s="389"/>
      <c r="CS767" s="53"/>
      <c r="CT767" s="53"/>
      <c r="CU767" s="721"/>
      <c r="CV767" s="389"/>
      <c r="CW767" s="53"/>
      <c r="CX767" s="53"/>
      <c r="CY767" s="721"/>
      <c r="CZ767" s="389"/>
      <c r="DA767" s="53"/>
      <c r="DB767" s="53"/>
      <c r="DC767" s="721"/>
      <c r="DD767" s="389"/>
      <c r="DE767" s="53"/>
      <c r="DF767" s="53"/>
      <c r="DG767" s="721"/>
      <c r="DH767" s="389"/>
      <c r="DI767" s="53"/>
      <c r="DJ767" s="53"/>
      <c r="DK767" s="721"/>
      <c r="DL767" s="389"/>
      <c r="DM767" s="53"/>
      <c r="DN767" s="53"/>
      <c r="DO767" s="721"/>
      <c r="DP767" s="389"/>
      <c r="DQ767" s="53"/>
      <c r="DR767" s="53"/>
      <c r="DS767" s="721"/>
      <c r="DT767" s="389"/>
      <c r="DU767" s="53"/>
      <c r="DV767" s="53"/>
      <c r="DW767" s="721"/>
      <c r="DX767" s="389"/>
      <c r="DY767" s="53"/>
      <c r="DZ767" s="53"/>
      <c r="EA767" s="721"/>
      <c r="EB767" s="389"/>
      <c r="EC767" s="53"/>
      <c r="ED767" s="53"/>
      <c r="EE767" s="389"/>
      <c r="EF767" s="390"/>
      <c r="EG767" s="389"/>
      <c r="EH767" s="389"/>
      <c r="EI767" s="391"/>
      <c r="EJ767" s="390"/>
      <c r="EK767" s="390"/>
      <c r="EL767" s="734"/>
      <c r="EM767" s="735"/>
      <c r="EN767" s="392"/>
      <c r="EO767" s="736"/>
      <c r="EP767" s="390"/>
      <c r="EQ767" s="736"/>
      <c r="ER767" s="390"/>
      <c r="ES767" s="736"/>
      <c r="ET767" s="390"/>
      <c r="EU767" s="736"/>
      <c r="EV767" s="390"/>
      <c r="EW767" s="736"/>
      <c r="EX767" s="390"/>
      <c r="EY767" s="736"/>
      <c r="EZ767" s="390"/>
      <c r="FA767" s="736"/>
      <c r="FB767" s="390"/>
      <c r="FC767" s="736"/>
      <c r="FD767" s="390"/>
      <c r="FE767" s="736"/>
      <c r="FF767" s="390"/>
      <c r="FG767" s="736"/>
      <c r="FH767" s="390"/>
      <c r="FI767" s="389"/>
      <c r="FJ767" s="390"/>
      <c r="FK767" s="389"/>
      <c r="FL767" s="392"/>
    </row>
    <row r="768" spans="1:168" s="85" customFormat="1">
      <c r="A768" s="394"/>
      <c r="B768" s="395"/>
      <c r="C768" s="394"/>
      <c r="D768" s="388"/>
      <c r="E768" s="726"/>
      <c r="F768" s="390"/>
      <c r="G768" s="726"/>
      <c r="H768" s="390"/>
      <c r="I768" s="389"/>
      <c r="J768" s="390"/>
      <c r="K768" s="727"/>
      <c r="L768" s="728"/>
      <c r="M768" s="389"/>
      <c r="N768" s="729"/>
      <c r="O768" s="729"/>
      <c r="P768" s="729"/>
      <c r="Q768" s="730"/>
      <c r="R768" s="390"/>
      <c r="S768" s="390"/>
      <c r="T768" s="390"/>
      <c r="U768" s="390"/>
      <c r="V768" s="731"/>
      <c r="W768" s="721"/>
      <c r="X768" s="389"/>
      <c r="Y768" s="537"/>
      <c r="Z768" s="53"/>
      <c r="AA768" s="732"/>
      <c r="AB768" s="389"/>
      <c r="AC768" s="537"/>
      <c r="AD768" s="53"/>
      <c r="AE768" s="732"/>
      <c r="AF768" s="389"/>
      <c r="AG768" s="537"/>
      <c r="AH768" s="53"/>
      <c r="AI768" s="732"/>
      <c r="AJ768" s="389"/>
      <c r="AK768" s="537"/>
      <c r="AL768" s="53"/>
      <c r="AM768" s="732"/>
      <c r="AN768" s="389"/>
      <c r="AO768" s="537"/>
      <c r="AP768" s="53"/>
      <c r="AQ768" s="389"/>
      <c r="AR768" s="707"/>
      <c r="AS768" s="53"/>
      <c r="AT768" s="733"/>
      <c r="AU768" s="729"/>
      <c r="AV768" s="390"/>
      <c r="AW768" s="721"/>
      <c r="AX768" s="389"/>
      <c r="AY768" s="53"/>
      <c r="AZ768" s="53"/>
      <c r="BA768" s="721"/>
      <c r="BB768" s="389"/>
      <c r="BC768" s="53"/>
      <c r="BD768" s="53"/>
      <c r="BE768" s="721"/>
      <c r="BF768" s="389"/>
      <c r="BG768" s="53"/>
      <c r="BH768" s="53"/>
      <c r="BI768" s="721"/>
      <c r="BJ768" s="389"/>
      <c r="BK768" s="53"/>
      <c r="BL768" s="53"/>
      <c r="BM768" s="721"/>
      <c r="BN768" s="389"/>
      <c r="BO768" s="53"/>
      <c r="BP768" s="53"/>
      <c r="BQ768" s="721"/>
      <c r="BR768" s="389"/>
      <c r="BS768" s="53"/>
      <c r="BT768" s="53"/>
      <c r="BU768" s="721"/>
      <c r="BV768" s="389"/>
      <c r="BW768" s="53"/>
      <c r="BX768" s="53"/>
      <c r="BY768" s="721"/>
      <c r="BZ768" s="389"/>
      <c r="CA768" s="53"/>
      <c r="CB768" s="53"/>
      <c r="CC768" s="721"/>
      <c r="CD768" s="389"/>
      <c r="CE768" s="53"/>
      <c r="CF768" s="53"/>
      <c r="CG768" s="721"/>
      <c r="CH768" s="389"/>
      <c r="CI768" s="53"/>
      <c r="CJ768" s="53"/>
      <c r="CK768" s="389"/>
      <c r="CL768" s="390"/>
      <c r="CM768" s="389"/>
      <c r="CN768" s="389"/>
      <c r="CO768" s="390"/>
      <c r="CP768" s="390"/>
      <c r="CQ768" s="721"/>
      <c r="CR768" s="389"/>
      <c r="CS768" s="53"/>
      <c r="CT768" s="53"/>
      <c r="CU768" s="721"/>
      <c r="CV768" s="389"/>
      <c r="CW768" s="53"/>
      <c r="CX768" s="53"/>
      <c r="CY768" s="721"/>
      <c r="CZ768" s="389"/>
      <c r="DA768" s="53"/>
      <c r="DB768" s="53"/>
      <c r="DC768" s="721"/>
      <c r="DD768" s="389"/>
      <c r="DE768" s="53"/>
      <c r="DF768" s="53"/>
      <c r="DG768" s="721"/>
      <c r="DH768" s="389"/>
      <c r="DI768" s="53"/>
      <c r="DJ768" s="53"/>
      <c r="DK768" s="721"/>
      <c r="DL768" s="389"/>
      <c r="DM768" s="53"/>
      <c r="DN768" s="53"/>
      <c r="DO768" s="721"/>
      <c r="DP768" s="389"/>
      <c r="DQ768" s="53"/>
      <c r="DR768" s="53"/>
      <c r="DS768" s="721"/>
      <c r="DT768" s="389"/>
      <c r="DU768" s="53"/>
      <c r="DV768" s="53"/>
      <c r="DW768" s="721"/>
      <c r="DX768" s="389"/>
      <c r="DY768" s="53"/>
      <c r="DZ768" s="53"/>
      <c r="EA768" s="721"/>
      <c r="EB768" s="389"/>
      <c r="EC768" s="53"/>
      <c r="ED768" s="53"/>
      <c r="EE768" s="389"/>
      <c r="EF768" s="390"/>
      <c r="EG768" s="389"/>
      <c r="EH768" s="389"/>
      <c r="EI768" s="391"/>
      <c r="EJ768" s="390"/>
      <c r="EK768" s="390"/>
      <c r="EL768" s="734"/>
      <c r="EM768" s="735"/>
      <c r="EN768" s="392"/>
      <c r="EO768" s="736"/>
      <c r="EP768" s="390"/>
      <c r="EQ768" s="736"/>
      <c r="ER768" s="390"/>
      <c r="ES768" s="736"/>
      <c r="ET768" s="390"/>
      <c r="EU768" s="736"/>
      <c r="EV768" s="390"/>
      <c r="EW768" s="736"/>
      <c r="EX768" s="390"/>
      <c r="EY768" s="736"/>
      <c r="EZ768" s="390"/>
      <c r="FA768" s="736"/>
      <c r="FB768" s="390"/>
      <c r="FC768" s="736"/>
      <c r="FD768" s="390"/>
      <c r="FE768" s="736"/>
      <c r="FF768" s="390"/>
      <c r="FG768" s="736"/>
      <c r="FH768" s="390"/>
      <c r="FI768" s="389"/>
      <c r="FJ768" s="390"/>
      <c r="FK768" s="389"/>
      <c r="FL768" s="392"/>
    </row>
    <row r="769" spans="1:164" s="85" customFormat="1">
      <c r="A769" s="231"/>
      <c r="B769" s="334"/>
      <c r="C769" s="231"/>
      <c r="D769" s="231"/>
      <c r="F769" s="175"/>
      <c r="H769" s="175"/>
      <c r="J769" s="175"/>
      <c r="K769" s="172"/>
      <c r="L769" s="172"/>
      <c r="Q769" s="172"/>
      <c r="R769" s="172"/>
      <c r="S769" s="172"/>
      <c r="T769" s="172"/>
      <c r="U769" s="172"/>
      <c r="V769" s="172"/>
      <c r="W769" s="231"/>
      <c r="X769" s="173"/>
      <c r="Y769" s="230"/>
      <c r="Z769" s="174"/>
      <c r="AA769" s="229"/>
      <c r="AB769" s="173"/>
      <c r="AC769" s="230"/>
      <c r="AD769" s="174"/>
      <c r="AE769" s="229"/>
      <c r="AF769" s="173"/>
      <c r="AG769" s="230"/>
      <c r="AH769" s="174"/>
      <c r="AI769" s="229"/>
      <c r="AJ769" s="173"/>
      <c r="AK769" s="230"/>
      <c r="AL769" s="174"/>
      <c r="AM769" s="229"/>
      <c r="AN769" s="173"/>
      <c r="AO769" s="230"/>
      <c r="AP769" s="174"/>
      <c r="AT769" s="172"/>
      <c r="AV769" s="172"/>
      <c r="AW769" s="231"/>
      <c r="AY769" s="232"/>
      <c r="AZ769" s="172"/>
      <c r="BA769" s="231"/>
      <c r="BC769" s="232"/>
      <c r="BD769" s="172"/>
      <c r="BE769" s="231"/>
      <c r="BG769" s="232"/>
      <c r="BH769" s="172"/>
      <c r="BI769" s="231"/>
      <c r="BK769" s="232"/>
      <c r="BL769" s="172"/>
      <c r="BM769" s="231"/>
      <c r="BO769" s="232"/>
      <c r="BP769" s="172"/>
      <c r="BQ769" s="231"/>
      <c r="BS769" s="232"/>
      <c r="BT769" s="172"/>
      <c r="BU769" s="231"/>
      <c r="BW769" s="232"/>
      <c r="BX769" s="172"/>
      <c r="BY769" s="231"/>
      <c r="CA769" s="232"/>
      <c r="CB769" s="172"/>
      <c r="CC769" s="231"/>
      <c r="CE769" s="232"/>
      <c r="CF769" s="172"/>
      <c r="CG769" s="231"/>
      <c r="CI769" s="232"/>
      <c r="CJ769" s="172"/>
      <c r="CL769" s="172"/>
      <c r="CO769" s="172"/>
      <c r="CP769" s="172"/>
      <c r="CQ769" s="231"/>
      <c r="CS769" s="232"/>
      <c r="CT769" s="172"/>
      <c r="CU769" s="231"/>
      <c r="CW769" s="232"/>
      <c r="CX769" s="172"/>
      <c r="CY769" s="231"/>
      <c r="DA769" s="232"/>
      <c r="DB769" s="172"/>
      <c r="DC769" s="231"/>
      <c r="DE769" s="232"/>
      <c r="DF769" s="172"/>
      <c r="DG769" s="231"/>
      <c r="DI769" s="232"/>
      <c r="DJ769" s="172"/>
      <c r="DK769" s="231"/>
      <c r="DM769" s="232"/>
      <c r="DN769" s="172"/>
      <c r="DO769" s="231"/>
      <c r="DQ769" s="232"/>
      <c r="DR769" s="172"/>
      <c r="DS769" s="231"/>
      <c r="DU769" s="232"/>
      <c r="DV769" s="172"/>
      <c r="DW769" s="231"/>
      <c r="DY769" s="232"/>
      <c r="DZ769" s="172"/>
      <c r="EA769" s="231"/>
      <c r="EC769" s="232"/>
      <c r="ED769" s="172"/>
      <c r="EF769" s="172"/>
      <c r="EI769" s="171"/>
      <c r="EJ769" s="172"/>
      <c r="EK769" s="175"/>
      <c r="EL769" s="175"/>
      <c r="EN769" s="172"/>
      <c r="EO769" s="171"/>
      <c r="EP769" s="175"/>
      <c r="EQ769" s="171"/>
      <c r="ER769" s="175"/>
      <c r="ES769" s="171"/>
      <c r="ET769" s="175"/>
      <c r="EU769" s="171"/>
      <c r="EV769" s="175"/>
      <c r="EW769" s="171"/>
      <c r="EX769" s="175"/>
      <c r="EY769" s="171"/>
      <c r="EZ769" s="175"/>
      <c r="FA769" s="171"/>
      <c r="FB769" s="175"/>
      <c r="FC769" s="171"/>
      <c r="FD769" s="175"/>
      <c r="FE769" s="171"/>
      <c r="FF769" s="175"/>
      <c r="FG769" s="171"/>
      <c r="FH769" s="175"/>
    </row>
    <row r="770" spans="1:164" s="85" customFormat="1">
      <c r="A770" s="231"/>
      <c r="B770" s="334"/>
      <c r="C770" s="231"/>
      <c r="D770" s="231"/>
      <c r="F770" s="175"/>
      <c r="H770" s="175"/>
      <c r="J770" s="175"/>
      <c r="K770" s="172"/>
      <c r="L770" s="172"/>
      <c r="Q770" s="172"/>
      <c r="R770" s="172"/>
      <c r="S770" s="172"/>
      <c r="T770" s="172"/>
      <c r="U770" s="172"/>
      <c r="V770" s="172"/>
      <c r="W770" s="231"/>
      <c r="X770" s="173"/>
      <c r="Y770" s="230"/>
      <c r="Z770" s="174"/>
      <c r="AA770" s="229"/>
      <c r="AB770" s="173"/>
      <c r="AC770" s="230"/>
      <c r="AD770" s="174"/>
      <c r="AE770" s="229"/>
      <c r="AF770" s="173"/>
      <c r="AG770" s="230"/>
      <c r="AH770" s="174"/>
      <c r="AI770" s="229"/>
      <c r="AJ770" s="173"/>
      <c r="AK770" s="230"/>
      <c r="AL770" s="174"/>
      <c r="AM770" s="229"/>
      <c r="AN770" s="173"/>
      <c r="AO770" s="230"/>
      <c r="AP770" s="174"/>
      <c r="AT770" s="172"/>
      <c r="AV770" s="172"/>
      <c r="AW770" s="231"/>
      <c r="AY770" s="232"/>
      <c r="AZ770" s="172"/>
      <c r="BA770" s="231"/>
      <c r="BC770" s="232"/>
      <c r="BD770" s="172"/>
      <c r="BE770" s="231"/>
      <c r="BG770" s="232"/>
      <c r="BH770" s="172"/>
      <c r="BI770" s="231"/>
      <c r="BK770" s="232"/>
      <c r="BL770" s="172"/>
      <c r="BM770" s="231"/>
      <c r="BO770" s="232"/>
      <c r="BP770" s="172"/>
      <c r="BQ770" s="231"/>
      <c r="BS770" s="232"/>
      <c r="BT770" s="172"/>
      <c r="BU770" s="231"/>
      <c r="BW770" s="232"/>
      <c r="BX770" s="172"/>
      <c r="BY770" s="231"/>
      <c r="CA770" s="232"/>
      <c r="CB770" s="172"/>
      <c r="CC770" s="231"/>
      <c r="CE770" s="232"/>
      <c r="CF770" s="172"/>
      <c r="CG770" s="231"/>
      <c r="CI770" s="232"/>
      <c r="CJ770" s="172"/>
      <c r="CL770" s="172"/>
      <c r="CO770" s="172"/>
      <c r="CP770" s="172"/>
      <c r="CQ770" s="231"/>
      <c r="CS770" s="232"/>
      <c r="CT770" s="172"/>
      <c r="CU770" s="231"/>
      <c r="CW770" s="232"/>
      <c r="CX770" s="172"/>
      <c r="CY770" s="231"/>
      <c r="DA770" s="232"/>
      <c r="DB770" s="172"/>
      <c r="DC770" s="231"/>
      <c r="DE770" s="232"/>
      <c r="DF770" s="172"/>
      <c r="DG770" s="231"/>
      <c r="DI770" s="232"/>
      <c r="DJ770" s="172"/>
      <c r="DK770" s="231"/>
      <c r="DM770" s="232"/>
      <c r="DN770" s="172"/>
      <c r="DO770" s="231"/>
      <c r="DQ770" s="232"/>
      <c r="DR770" s="172"/>
      <c r="DS770" s="231"/>
      <c r="DU770" s="232"/>
      <c r="DV770" s="172"/>
      <c r="DW770" s="231"/>
      <c r="DY770" s="232"/>
      <c r="DZ770" s="172"/>
      <c r="EA770" s="231"/>
      <c r="EC770" s="232"/>
      <c r="ED770" s="172"/>
      <c r="EF770" s="172"/>
      <c r="EI770" s="171"/>
      <c r="EJ770" s="172"/>
      <c r="EK770" s="175"/>
      <c r="EL770" s="175"/>
      <c r="EN770" s="172"/>
      <c r="EO770" s="171"/>
      <c r="EP770" s="175"/>
      <c r="EQ770" s="171"/>
      <c r="ER770" s="175"/>
      <c r="ES770" s="171"/>
      <c r="ET770" s="175"/>
      <c r="EU770" s="171"/>
      <c r="EV770" s="175"/>
      <c r="EW770" s="171"/>
      <c r="EX770" s="175"/>
      <c r="EY770" s="171"/>
      <c r="EZ770" s="175"/>
      <c r="FA770" s="171"/>
      <c r="FB770" s="175"/>
      <c r="FC770" s="171"/>
      <c r="FD770" s="175"/>
      <c r="FE770" s="171"/>
      <c r="FF770" s="175"/>
      <c r="FG770" s="171"/>
      <c r="FH770" s="175"/>
    </row>
  </sheetData>
  <sortState ref="A679:HC717">
    <sortCondition ref="D679:D717"/>
    <sortCondition ref="B679:B717"/>
  </sortState>
  <mergeCells count="1">
    <mergeCell ref="HB1:HC5"/>
  </mergeCells>
  <phoneticPr fontId="9" type="noConversion"/>
  <conditionalFormatting sqref="U77:U87">
    <cfRule type="expression" dxfId="739" priority="62" stopIfTrue="1">
      <formula>U77&lt;(P77-(P77*0.1))</formula>
    </cfRule>
    <cfRule type="expression" dxfId="738" priority="63" stopIfTrue="1">
      <formula>U77&gt;(P77+(P77*0.1))</formula>
    </cfRule>
  </conditionalFormatting>
  <conditionalFormatting sqref="H74:H76">
    <cfRule type="expression" dxfId="737" priority="56" stopIfTrue="1">
      <formula>H74&lt;(G74-(G74*0.1))</formula>
    </cfRule>
    <cfRule type="expression" dxfId="736" priority="57" stopIfTrue="1">
      <formula>H74&gt;(G74+(G74*0.1))</formula>
    </cfRule>
  </conditionalFormatting>
  <conditionalFormatting sqref="S73">
    <cfRule type="expression" dxfId="735" priority="54" stopIfTrue="1">
      <formula>S73&lt;(N73-(N73*0.1))</formula>
    </cfRule>
    <cfRule type="expression" dxfId="734" priority="55" stopIfTrue="1">
      <formula>S73&gt;(N73+(N73*0.1))</formula>
    </cfRule>
  </conditionalFormatting>
  <conditionalFormatting sqref="R73">
    <cfRule type="expression" dxfId="733" priority="52" stopIfTrue="1">
      <formula>R73&lt;(M73-(M73*0.1))</formula>
    </cfRule>
    <cfRule type="expression" dxfId="732" priority="53" stopIfTrue="1">
      <formula>R73&gt;(M73+(M73*0.1))</formula>
    </cfRule>
  </conditionalFormatting>
  <conditionalFormatting sqref="EF72">
    <cfRule type="expression" dxfId="731" priority="50" stopIfTrue="1">
      <formula>EF72&lt;(EE72-(EE72*0.1))</formula>
    </cfRule>
    <cfRule type="expression" dxfId="730" priority="51" stopIfTrue="1">
      <formula>EF72&gt;(EE72+(EE72*0.1))</formula>
    </cfRule>
  </conditionalFormatting>
  <conditionalFormatting sqref="Z43">
    <cfRule type="expression" dxfId="729" priority="45" stopIfTrue="1">
      <formula>AND((Y43=W43),(Z43&gt;(X43+(X43*0.1))))</formula>
    </cfRule>
  </conditionalFormatting>
  <conditionalFormatting sqref="F88:F98 H88:H98 J88:J98 AV88:AV98 CL88:CL98 CN88:CN98 EH88:EH98 ER88:ER98 ET88:ET98 EV88:EV98 EX88:EX98 EZ88:EZ98 FB88:FB98 FD88:FD98 FF88:FF98 FH88:FH98 FJ88:FJ98 FJ648:FJ739 H648:H739 J648:J739 AV648:AV739 CL648:CL739 EH648:EH739 ER648:ER739 ET648:ET739 EV648:EV739 EX648:EX739 EZ648:EZ739 FB648:FB739 FD648:FD739 FF648:FF739 FH648:FH739 F648:F739 CN648:CN739">
    <cfRule type="cellIs" dxfId="728" priority="43" stopIfTrue="1" operator="greaterThan">
      <formula>E88+(E88*0.1)</formula>
    </cfRule>
    <cfRule type="cellIs" dxfId="727" priority="44" stopIfTrue="1" operator="lessThan">
      <formula>E88-(E88*0.1)</formula>
    </cfRule>
  </conditionalFormatting>
  <conditionalFormatting sqref="R88:U98 R648:U739">
    <cfRule type="cellIs" dxfId="726" priority="41" stopIfTrue="1" operator="greaterThan">
      <formula>M88+(M88*0.1)</formula>
    </cfRule>
    <cfRule type="cellIs" dxfId="725" priority="42" stopIfTrue="1" operator="lessThan">
      <formula>M88-(M88*0.1)</formula>
    </cfRule>
  </conditionalFormatting>
  <conditionalFormatting sqref="FJ406:FJ430 FJ349:FJ350">
    <cfRule type="cellIs" dxfId="724" priority="39" stopIfTrue="1" operator="greaterThan">
      <formula>FH349+(FH349*0.1)</formula>
    </cfRule>
    <cfRule type="cellIs" dxfId="723" priority="40" stopIfTrue="1" operator="lessThan">
      <formula>FH349-(FH349*0.1)</formula>
    </cfRule>
  </conditionalFormatting>
  <conditionalFormatting sqref="AV350">
    <cfRule type="cellIs" dxfId="722" priority="37" stopIfTrue="1" operator="greaterThan">
      <formula>E350+(E350*0.1)</formula>
    </cfRule>
    <cfRule type="cellIs" dxfId="721" priority="38" stopIfTrue="1" operator="lessThan">
      <formula>E350-(E350*0.1)</formula>
    </cfRule>
  </conditionalFormatting>
  <conditionalFormatting sqref="R83:U87">
    <cfRule type="cellIs" dxfId="720" priority="29" stopIfTrue="1" operator="greaterThan">
      <formula>M83+(M83*0.1)</formula>
    </cfRule>
    <cfRule type="cellIs" dxfId="719" priority="30" stopIfTrue="1" operator="lessThan">
      <formula>M83-(M83*0.1)</formula>
    </cfRule>
  </conditionalFormatting>
  <conditionalFormatting sqref="FJ5:FJ7">
    <cfRule type="expression" dxfId="718" priority="27" stopIfTrue="1">
      <formula>FJ5&lt;(FI5-(FI5*0.1))</formula>
    </cfRule>
    <cfRule type="expression" dxfId="717" priority="28" stopIfTrue="1">
      <formula>FJ5&gt;(FI5+(FI5*0.1))</formula>
    </cfRule>
  </conditionalFormatting>
  <conditionalFormatting sqref="F1">
    <cfRule type="expression" dxfId="716" priority="25" stopIfTrue="1">
      <formula>F1&lt;(E1-(E1*0.1))</formula>
    </cfRule>
    <cfRule type="expression" dxfId="715" priority="26" stopIfTrue="1">
      <formula>F1&gt;(E1+(E1*0.1))</formula>
    </cfRule>
  </conditionalFormatting>
  <conditionalFormatting sqref="CL9">
    <cfRule type="expression" dxfId="714" priority="23" stopIfTrue="1">
      <formula>CL9&lt;(CK9-(CK9*0.1))</formula>
    </cfRule>
    <cfRule type="expression" dxfId="713" priority="24" stopIfTrue="1">
      <formula>CL9&gt;(CK9+(CK9*0.1))</formula>
    </cfRule>
  </conditionalFormatting>
  <conditionalFormatting sqref="EL3:EL7">
    <cfRule type="expression" dxfId="712" priority="21" stopIfTrue="1">
      <formula>EL3&lt;(EI3-(EI3*0.1))</formula>
    </cfRule>
    <cfRule type="expression" dxfId="711" priority="22" stopIfTrue="1">
      <formula>EL3&gt;(EI3+(EI3*0.1))</formula>
    </cfRule>
  </conditionalFormatting>
  <conditionalFormatting sqref="CN160">
    <cfRule type="expression" dxfId="710" priority="19" stopIfTrue="1">
      <formula>CN160&lt;(CM160-(CM160*0.1))</formula>
    </cfRule>
    <cfRule type="expression" dxfId="709" priority="20" stopIfTrue="1">
      <formula>CN160&gt;(CM160+(CM160*0.1))</formula>
    </cfRule>
  </conditionalFormatting>
  <conditionalFormatting sqref="CN8">
    <cfRule type="expression" dxfId="708" priority="17" stopIfTrue="1">
      <formula>CN8&lt;(CM8-(CM8*0.1))</formula>
    </cfRule>
    <cfRule type="expression" dxfId="707" priority="18" stopIfTrue="1">
      <formula>CN8&gt;(CM8+(CM8*0.1))</formula>
    </cfRule>
  </conditionalFormatting>
  <conditionalFormatting sqref="CN279">
    <cfRule type="expression" dxfId="706" priority="15" stopIfTrue="1">
      <formula>CN279&lt;(CM279-(CM279*0.1))</formula>
    </cfRule>
    <cfRule type="expression" dxfId="705" priority="16" stopIfTrue="1">
      <formula>CN279&gt;(CM279+(CM279*0.1))</formula>
    </cfRule>
  </conditionalFormatting>
  <conditionalFormatting sqref="CN669">
    <cfRule type="expression" dxfId="704" priority="13" stopIfTrue="1">
      <formula>CN669&lt;(CM669-(CM669*0.1))</formula>
    </cfRule>
    <cfRule type="expression" dxfId="703" priority="14" stopIfTrue="1">
      <formula>CN669&gt;(CM669+(CM669*0.1))</formula>
    </cfRule>
  </conditionalFormatting>
  <conditionalFormatting sqref="CN675">
    <cfRule type="expression" dxfId="702" priority="11" stopIfTrue="1">
      <formula>CN675&lt;(CM675-(CM675*0.1))</formula>
    </cfRule>
    <cfRule type="expression" dxfId="701" priority="12" stopIfTrue="1">
      <formula>CN675&gt;(CM675+(CM675*0.1))</formula>
    </cfRule>
  </conditionalFormatting>
  <conditionalFormatting sqref="CN677:CN717">
    <cfRule type="expression" dxfId="700" priority="9" stopIfTrue="1">
      <formula>CN677&lt;(CM677-(CM677*0.1))</formula>
    </cfRule>
    <cfRule type="expression" dxfId="699" priority="10" stopIfTrue="1">
      <formula>CN677&gt;(CM677+(CM677*0.1))</formula>
    </cfRule>
  </conditionalFormatting>
  <conditionalFormatting sqref="F679:F717 H679:H717 J679:J717 AV679:AV717 CL679:CL717 CN679:CN717 EH679:EH717 ER679:ER717 ET679:ET717 EV679:EV717 EX679:EX717 EZ679:EZ717 FB679:FB717 FD679:FD717 FF679:FF717 FH679:FH717 FJ679:FJ717">
    <cfRule type="cellIs" dxfId="698" priority="7" stopIfTrue="1" operator="greaterThan">
      <formula>E679+(E679*0.1)</formula>
    </cfRule>
    <cfRule type="cellIs" dxfId="697" priority="8" stopIfTrue="1" operator="lessThan">
      <formula>E679-(E679*0.1)</formula>
    </cfRule>
  </conditionalFormatting>
  <conditionalFormatting sqref="R679:U717">
    <cfRule type="cellIs" dxfId="696" priority="5" stopIfTrue="1" operator="greaterThan">
      <formula>M679+(M679*0.1)</formula>
    </cfRule>
    <cfRule type="cellIs" dxfId="695" priority="6" stopIfTrue="1" operator="lessThan">
      <formula>M679-(M679*0.1)</formula>
    </cfRule>
  </conditionalFormatting>
  <conditionalFormatting sqref="F718:F739 H718:H739 J718:J739 AV718:AV739 CL718:CL739 CN718:CN739 EH718:EH739 ER718:ER739 ET718:ET739 EV718:EV739 EX718:EX739 EZ718:EZ739 FB718:FB739 FD718:FD739 FF718:FF739 FH718:FH739 FJ718:FJ739">
    <cfRule type="cellIs" dxfId="694" priority="3" stopIfTrue="1" operator="greaterThan">
      <formula>E718+(E718*0.1)</formula>
    </cfRule>
    <cfRule type="cellIs" dxfId="693" priority="4" stopIfTrue="1" operator="lessThan">
      <formula>E718-(E718*0.1)</formula>
    </cfRule>
  </conditionalFormatting>
  <conditionalFormatting sqref="R718:U739">
    <cfRule type="cellIs" dxfId="692" priority="1" stopIfTrue="1" operator="greaterThan">
      <formula>M718+(M718*0.1)</formula>
    </cfRule>
    <cfRule type="cellIs" dxfId="691" priority="2" stopIfTrue="1" operator="lessThan">
      <formula>M718-(M718*0.1)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3:Y856"/>
  <sheetViews>
    <sheetView zoomScale="80" zoomScaleNormal="80" workbookViewId="0">
      <pane xSplit="2" ySplit="5" topLeftCell="J57" activePane="bottomRight" state="frozen"/>
      <selection pane="topRight" activeCell="C1" sqref="C1"/>
      <selection pane="bottomLeft" activeCell="A6" sqref="A6"/>
      <selection pane="bottomRight" activeCell="Y30" sqref="Y30"/>
    </sheetView>
  </sheetViews>
  <sheetFormatPr defaultColWidth="6" defaultRowHeight="12.75"/>
  <cols>
    <col min="1" max="1" width="6" style="682"/>
    <col min="2" max="2" width="31.375" style="691" customWidth="1"/>
    <col min="3" max="3" width="8.125" style="3" customWidth="1"/>
    <col min="4" max="4" width="8.125" style="167" customWidth="1"/>
    <col min="5" max="21" width="8.125" style="3" customWidth="1"/>
    <col min="22" max="23" width="8.75" style="3" customWidth="1"/>
    <col min="24" max="24" width="12.25" style="3" customWidth="1"/>
    <col min="25" max="25" width="12.25" style="3" bestFit="1" customWidth="1"/>
    <col min="26" max="16384" width="6" style="3"/>
  </cols>
  <sheetData>
    <row r="3" spans="1:25" ht="15.75">
      <c r="B3" s="682"/>
      <c r="C3" s="3" t="s">
        <v>1034</v>
      </c>
      <c r="D3" s="3" t="s">
        <v>341</v>
      </c>
      <c r="V3"/>
      <c r="W3"/>
      <c r="X3"/>
      <c r="Y3"/>
    </row>
    <row r="4" spans="1:25" ht="26.25">
      <c r="B4" s="682"/>
      <c r="C4" s="3" t="s">
        <v>1030</v>
      </c>
      <c r="D4" s="3"/>
      <c r="I4" s="575" t="s">
        <v>1035</v>
      </c>
      <c r="J4" s="3" t="s">
        <v>1031</v>
      </c>
      <c r="N4" s="575" t="s">
        <v>1036</v>
      </c>
      <c r="O4" s="3" t="s">
        <v>1032</v>
      </c>
      <c r="R4" s="575" t="s">
        <v>1037</v>
      </c>
      <c r="S4" s="3" t="s">
        <v>1033</v>
      </c>
      <c r="T4" s="575" t="s">
        <v>1038</v>
      </c>
      <c r="U4" s="3" t="s">
        <v>758</v>
      </c>
      <c r="V4"/>
      <c r="W4"/>
      <c r="X4"/>
      <c r="Y4"/>
    </row>
    <row r="5" spans="1:25" ht="15.75">
      <c r="A5" s="682" t="s">
        <v>342</v>
      </c>
      <c r="B5" s="691" t="s">
        <v>1029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I5" s="575"/>
      <c r="J5" s="3">
        <v>7</v>
      </c>
      <c r="K5" s="3">
        <v>8</v>
      </c>
      <c r="L5" s="3">
        <v>9</v>
      </c>
      <c r="M5" s="3">
        <v>10</v>
      </c>
      <c r="N5" s="575"/>
      <c r="O5" s="3">
        <v>12</v>
      </c>
      <c r="P5" s="3">
        <v>13</v>
      </c>
      <c r="Q5" s="3">
        <v>14</v>
      </c>
      <c r="R5" s="575"/>
      <c r="S5" s="3">
        <v>15</v>
      </c>
      <c r="T5" s="575"/>
      <c r="V5"/>
      <c r="W5"/>
      <c r="X5"/>
      <c r="Y5"/>
    </row>
    <row r="6" spans="1:25" ht="15.75">
      <c r="A6" s="683" t="s">
        <v>30</v>
      </c>
      <c r="B6" s="687" t="s">
        <v>1039</v>
      </c>
      <c r="C6" s="674"/>
      <c r="D6" s="675"/>
      <c r="E6" s="675">
        <v>60</v>
      </c>
      <c r="F6" s="675"/>
      <c r="G6" s="675"/>
      <c r="H6" s="676"/>
      <c r="I6" s="676">
        <v>60</v>
      </c>
      <c r="J6" s="675"/>
      <c r="K6" s="675">
        <v>395</v>
      </c>
      <c r="L6" s="675">
        <v>1946</v>
      </c>
      <c r="M6" s="676">
        <v>950</v>
      </c>
      <c r="N6" s="676">
        <v>3291</v>
      </c>
      <c r="O6" s="675">
        <v>306</v>
      </c>
      <c r="P6" s="675">
        <v>435</v>
      </c>
      <c r="Q6" s="676"/>
      <c r="R6" s="676">
        <v>741</v>
      </c>
      <c r="S6" s="676"/>
      <c r="T6" s="676"/>
      <c r="U6" s="676">
        <v>4092</v>
      </c>
      <c r="V6"/>
      <c r="W6"/>
      <c r="X6"/>
      <c r="Y6"/>
    </row>
    <row r="7" spans="1:25" ht="15.75">
      <c r="A7" s="684"/>
      <c r="B7" s="688" t="s">
        <v>1040</v>
      </c>
      <c r="C7" s="380"/>
      <c r="D7" s="381"/>
      <c r="E7" s="381">
        <v>83</v>
      </c>
      <c r="F7" s="381"/>
      <c r="G7" s="381"/>
      <c r="H7" s="382"/>
      <c r="I7" s="382">
        <v>83</v>
      </c>
      <c r="J7" s="381"/>
      <c r="K7" s="381">
        <v>524</v>
      </c>
      <c r="L7" s="381">
        <v>2013</v>
      </c>
      <c r="M7" s="382">
        <v>999</v>
      </c>
      <c r="N7" s="382">
        <v>3536</v>
      </c>
      <c r="O7" s="381">
        <v>345</v>
      </c>
      <c r="P7" s="381">
        <v>422</v>
      </c>
      <c r="Q7" s="382"/>
      <c r="R7" s="382">
        <v>767</v>
      </c>
      <c r="S7" s="382"/>
      <c r="T7" s="382"/>
      <c r="U7" s="759">
        <v>4386</v>
      </c>
      <c r="V7"/>
      <c r="W7"/>
      <c r="X7"/>
      <c r="Y7"/>
    </row>
    <row r="8" spans="1:25" s="386" customFormat="1" ht="15.75">
      <c r="A8" s="684"/>
      <c r="B8" s="689" t="s">
        <v>1041</v>
      </c>
      <c r="C8" s="383">
        <v>0</v>
      </c>
      <c r="D8" s="384">
        <v>0</v>
      </c>
      <c r="E8" s="384">
        <v>0.38333333333333336</v>
      </c>
      <c r="F8" s="384">
        <v>0</v>
      </c>
      <c r="G8" s="384">
        <v>0</v>
      </c>
      <c r="H8" s="385">
        <v>0</v>
      </c>
      <c r="I8" s="385">
        <v>0.38333333333333336</v>
      </c>
      <c r="J8" s="384">
        <v>0</v>
      </c>
      <c r="K8" s="692">
        <v>0.32658227848101268</v>
      </c>
      <c r="L8" s="384">
        <v>3.442959917780062E-2</v>
      </c>
      <c r="M8" s="385">
        <v>5.1578947368421051E-2</v>
      </c>
      <c r="N8" s="385">
        <v>7.4445457307809174E-2</v>
      </c>
      <c r="O8" s="384">
        <v>0.12745098039215685</v>
      </c>
      <c r="P8" s="384">
        <v>-2.9885057471264367E-2</v>
      </c>
      <c r="Q8" s="385">
        <v>0</v>
      </c>
      <c r="R8" s="385">
        <v>3.5087719298245612E-2</v>
      </c>
      <c r="S8" s="385">
        <v>0</v>
      </c>
      <c r="T8" s="385">
        <v>0</v>
      </c>
      <c r="U8" s="385">
        <v>7.1847507331378305E-2</v>
      </c>
      <c r="V8"/>
      <c r="W8"/>
      <c r="X8"/>
      <c r="Y8"/>
    </row>
    <row r="9" spans="1:25" ht="15.75">
      <c r="A9" s="684"/>
      <c r="B9" s="687" t="s">
        <v>1042</v>
      </c>
      <c r="C9" s="674"/>
      <c r="D9" s="675"/>
      <c r="E9" s="675">
        <v>29</v>
      </c>
      <c r="F9" s="675"/>
      <c r="G9" s="675"/>
      <c r="H9" s="676"/>
      <c r="I9" s="676">
        <v>29</v>
      </c>
      <c r="J9" s="675"/>
      <c r="K9" s="675"/>
      <c r="L9" s="675"/>
      <c r="M9" s="676"/>
      <c r="N9" s="676"/>
      <c r="O9" s="675"/>
      <c r="P9" s="675"/>
      <c r="Q9" s="676"/>
      <c r="R9" s="676"/>
      <c r="S9" s="676"/>
      <c r="T9" s="676"/>
      <c r="U9" s="676">
        <v>29</v>
      </c>
      <c r="V9"/>
      <c r="W9"/>
      <c r="X9"/>
      <c r="Y9"/>
    </row>
    <row r="10" spans="1:25" ht="15.75">
      <c r="A10" s="684"/>
      <c r="B10" s="688" t="s">
        <v>1043</v>
      </c>
      <c r="C10" s="380"/>
      <c r="D10" s="381"/>
      <c r="E10" s="381">
        <v>27</v>
      </c>
      <c r="F10" s="381"/>
      <c r="G10" s="381"/>
      <c r="H10" s="382"/>
      <c r="I10" s="382">
        <v>27</v>
      </c>
      <c r="J10" s="381"/>
      <c r="K10" s="381"/>
      <c r="L10" s="381"/>
      <c r="M10" s="382"/>
      <c r="N10" s="382"/>
      <c r="O10" s="381"/>
      <c r="P10" s="381"/>
      <c r="Q10" s="382"/>
      <c r="R10" s="382"/>
      <c r="S10" s="382"/>
      <c r="T10" s="382"/>
      <c r="U10" s="382">
        <v>27</v>
      </c>
      <c r="V10"/>
      <c r="W10"/>
      <c r="X10"/>
      <c r="Y10"/>
    </row>
    <row r="11" spans="1:25" s="386" customFormat="1" ht="15.75">
      <c r="A11" s="684"/>
      <c r="B11" s="689" t="s">
        <v>1044</v>
      </c>
      <c r="C11" s="383">
        <v>0</v>
      </c>
      <c r="D11" s="384">
        <v>0</v>
      </c>
      <c r="E11" s="384">
        <v>-6.8965517241379309E-2</v>
      </c>
      <c r="F11" s="384">
        <v>0</v>
      </c>
      <c r="G11" s="384">
        <v>0</v>
      </c>
      <c r="H11" s="385">
        <v>0</v>
      </c>
      <c r="I11" s="385">
        <v>-6.8965517241379309E-2</v>
      </c>
      <c r="J11" s="384">
        <v>0</v>
      </c>
      <c r="K11" s="384">
        <v>0</v>
      </c>
      <c r="L11" s="384">
        <v>0</v>
      </c>
      <c r="M11" s="385">
        <v>0</v>
      </c>
      <c r="N11" s="385">
        <v>0</v>
      </c>
      <c r="O11" s="384">
        <v>0</v>
      </c>
      <c r="P11" s="384">
        <v>0</v>
      </c>
      <c r="Q11" s="385">
        <v>0</v>
      </c>
      <c r="R11" s="385">
        <v>0</v>
      </c>
      <c r="S11" s="385">
        <v>0</v>
      </c>
      <c r="T11" s="385">
        <v>0</v>
      </c>
      <c r="U11" s="385">
        <v>-6.8965517241379309E-2</v>
      </c>
      <c r="V11"/>
      <c r="W11"/>
      <c r="X11"/>
      <c r="Y11"/>
    </row>
    <row r="12" spans="1:25" ht="15.75">
      <c r="A12" s="684"/>
      <c r="B12" s="687" t="s">
        <v>1045</v>
      </c>
      <c r="C12" s="674"/>
      <c r="D12" s="675"/>
      <c r="E12" s="675">
        <v>127</v>
      </c>
      <c r="F12" s="675"/>
      <c r="G12" s="675">
        <v>49</v>
      </c>
      <c r="H12" s="676"/>
      <c r="I12" s="676">
        <v>176</v>
      </c>
      <c r="J12" s="675"/>
      <c r="K12" s="675">
        <v>1325</v>
      </c>
      <c r="L12" s="675">
        <v>4150</v>
      </c>
      <c r="M12" s="676">
        <v>1903</v>
      </c>
      <c r="N12" s="676">
        <v>7378</v>
      </c>
      <c r="O12" s="675">
        <v>127</v>
      </c>
      <c r="P12" s="675">
        <v>104</v>
      </c>
      <c r="Q12" s="676"/>
      <c r="R12" s="676">
        <v>231</v>
      </c>
      <c r="S12" s="676">
        <v>86</v>
      </c>
      <c r="T12" s="676">
        <v>86</v>
      </c>
      <c r="U12" s="676">
        <v>7871</v>
      </c>
      <c r="V12"/>
      <c r="W12"/>
      <c r="X12"/>
      <c r="Y12"/>
    </row>
    <row r="13" spans="1:25" ht="15.75">
      <c r="A13" s="684"/>
      <c r="B13" s="688" t="s">
        <v>1046</v>
      </c>
      <c r="C13" s="380"/>
      <c r="D13" s="381"/>
      <c r="E13" s="381">
        <v>145</v>
      </c>
      <c r="F13" s="381"/>
      <c r="G13" s="381">
        <v>39</v>
      </c>
      <c r="H13" s="382"/>
      <c r="I13" s="382">
        <v>184</v>
      </c>
      <c r="J13" s="381"/>
      <c r="K13" s="381">
        <v>1302</v>
      </c>
      <c r="L13" s="381">
        <v>3892</v>
      </c>
      <c r="M13" s="382">
        <v>1997</v>
      </c>
      <c r="N13" s="382">
        <v>7191</v>
      </c>
      <c r="O13" s="381">
        <v>135</v>
      </c>
      <c r="P13" s="381">
        <v>122</v>
      </c>
      <c r="Q13" s="382"/>
      <c r="R13" s="382">
        <v>257</v>
      </c>
      <c r="S13" s="382">
        <v>61</v>
      </c>
      <c r="T13" s="382">
        <v>61</v>
      </c>
      <c r="U13" s="382">
        <v>7693</v>
      </c>
      <c r="V13"/>
      <c r="W13"/>
      <c r="X13"/>
      <c r="Y13"/>
    </row>
    <row r="14" spans="1:25" s="386" customFormat="1" ht="15.75">
      <c r="A14" s="684"/>
      <c r="B14" s="689" t="s">
        <v>1047</v>
      </c>
      <c r="C14" s="383">
        <v>0</v>
      </c>
      <c r="D14" s="384">
        <v>0</v>
      </c>
      <c r="E14" s="384">
        <v>0.14173228346456693</v>
      </c>
      <c r="F14" s="384">
        <v>0</v>
      </c>
      <c r="G14" s="384">
        <v>-0.20408163265306123</v>
      </c>
      <c r="H14" s="385">
        <v>0</v>
      </c>
      <c r="I14" s="385">
        <v>4.5454545454545456E-2</v>
      </c>
      <c r="J14" s="384">
        <v>0</v>
      </c>
      <c r="K14" s="384">
        <v>-1.7358490566037735E-2</v>
      </c>
      <c r="L14" s="384">
        <v>-6.2168674698795182E-2</v>
      </c>
      <c r="M14" s="385">
        <v>4.9395691014188121E-2</v>
      </c>
      <c r="N14" s="385">
        <v>-2.5345622119815669E-2</v>
      </c>
      <c r="O14" s="384">
        <v>6.2992125984251968E-2</v>
      </c>
      <c r="P14" s="384">
        <v>0.17307692307692307</v>
      </c>
      <c r="Q14" s="385">
        <v>0</v>
      </c>
      <c r="R14" s="385">
        <v>0.11255411255411256</v>
      </c>
      <c r="S14" s="385">
        <v>-0.29069767441860467</v>
      </c>
      <c r="T14" s="385">
        <v>-0.29069767441860467</v>
      </c>
      <c r="U14" s="385">
        <v>-2.261466141532207E-2</v>
      </c>
      <c r="V14"/>
      <c r="W14"/>
      <c r="X14"/>
      <c r="Y14"/>
    </row>
    <row r="15" spans="1:25" ht="15.75">
      <c r="A15" s="684"/>
      <c r="B15" s="687" t="s">
        <v>1048</v>
      </c>
      <c r="C15" s="674">
        <v>9068</v>
      </c>
      <c r="D15" s="675">
        <v>889</v>
      </c>
      <c r="E15" s="675">
        <v>4812</v>
      </c>
      <c r="F15" s="675">
        <v>1980</v>
      </c>
      <c r="G15" s="675">
        <v>615</v>
      </c>
      <c r="H15" s="676">
        <v>756</v>
      </c>
      <c r="I15" s="676">
        <v>18120</v>
      </c>
      <c r="J15" s="675"/>
      <c r="K15" s="675"/>
      <c r="L15" s="675"/>
      <c r="M15" s="676"/>
      <c r="N15" s="676"/>
      <c r="O15" s="675"/>
      <c r="P15" s="675"/>
      <c r="Q15" s="676"/>
      <c r="R15" s="676"/>
      <c r="S15" s="676"/>
      <c r="T15" s="676"/>
      <c r="U15" s="676">
        <v>18120</v>
      </c>
      <c r="V15"/>
      <c r="W15"/>
      <c r="X15"/>
      <c r="Y15"/>
    </row>
    <row r="16" spans="1:25" ht="15.75">
      <c r="A16" s="684"/>
      <c r="B16" s="688" t="s">
        <v>1049</v>
      </c>
      <c r="C16" s="380">
        <v>9571</v>
      </c>
      <c r="D16" s="381">
        <v>900</v>
      </c>
      <c r="E16" s="381">
        <v>4987</v>
      </c>
      <c r="F16" s="381">
        <v>2049</v>
      </c>
      <c r="G16" s="381">
        <v>656</v>
      </c>
      <c r="H16" s="382">
        <v>833</v>
      </c>
      <c r="I16" s="382">
        <v>18996</v>
      </c>
      <c r="J16" s="381"/>
      <c r="K16" s="381"/>
      <c r="L16" s="381"/>
      <c r="M16" s="382"/>
      <c r="N16" s="382"/>
      <c r="O16" s="381"/>
      <c r="P16" s="381"/>
      <c r="Q16" s="382"/>
      <c r="R16" s="382"/>
      <c r="S16" s="382"/>
      <c r="T16" s="382"/>
      <c r="U16" s="382">
        <v>18996</v>
      </c>
      <c r="V16"/>
      <c r="W16"/>
      <c r="X16"/>
      <c r="Y16"/>
    </row>
    <row r="17" spans="1:25" s="386" customFormat="1" ht="15.75">
      <c r="A17" s="684"/>
      <c r="B17" s="689" t="s">
        <v>1050</v>
      </c>
      <c r="C17" s="383">
        <v>5.5469783855315397E-2</v>
      </c>
      <c r="D17" s="384">
        <v>1.2373453318335208E-2</v>
      </c>
      <c r="E17" s="384">
        <v>3.6367414796342479E-2</v>
      </c>
      <c r="F17" s="384">
        <v>3.4848484848484851E-2</v>
      </c>
      <c r="G17" s="384">
        <v>6.6666666666666666E-2</v>
      </c>
      <c r="H17" s="385">
        <v>0.10185185185185185</v>
      </c>
      <c r="I17" s="385">
        <v>4.8344370860927154E-2</v>
      </c>
      <c r="J17" s="384">
        <v>0</v>
      </c>
      <c r="K17" s="384">
        <v>0</v>
      </c>
      <c r="L17" s="384">
        <v>0</v>
      </c>
      <c r="M17" s="385">
        <v>0</v>
      </c>
      <c r="N17" s="385">
        <v>0</v>
      </c>
      <c r="O17" s="384">
        <v>0</v>
      </c>
      <c r="P17" s="384">
        <v>0</v>
      </c>
      <c r="Q17" s="385">
        <v>0</v>
      </c>
      <c r="R17" s="385">
        <v>0</v>
      </c>
      <c r="S17" s="385">
        <v>0</v>
      </c>
      <c r="T17" s="385">
        <v>0</v>
      </c>
      <c r="U17" s="385">
        <v>4.8344370860927154E-2</v>
      </c>
      <c r="V17"/>
      <c r="W17"/>
      <c r="X17"/>
      <c r="Y17"/>
    </row>
    <row r="18" spans="1:25" ht="15.75">
      <c r="A18" s="684"/>
      <c r="B18" s="687" t="s">
        <v>1051</v>
      </c>
      <c r="C18" s="674">
        <v>14</v>
      </c>
      <c r="D18" s="675">
        <v>29</v>
      </c>
      <c r="E18" s="675">
        <v>3</v>
      </c>
      <c r="F18" s="675"/>
      <c r="G18" s="675"/>
      <c r="H18" s="676"/>
      <c r="I18" s="676">
        <v>46</v>
      </c>
      <c r="J18" s="675"/>
      <c r="K18" s="675"/>
      <c r="L18" s="675"/>
      <c r="M18" s="676"/>
      <c r="N18" s="676"/>
      <c r="O18" s="675"/>
      <c r="P18" s="675"/>
      <c r="Q18" s="676"/>
      <c r="R18" s="676"/>
      <c r="S18" s="676"/>
      <c r="T18" s="676"/>
      <c r="U18" s="676">
        <v>46</v>
      </c>
      <c r="V18"/>
      <c r="W18"/>
      <c r="X18"/>
      <c r="Y18"/>
    </row>
    <row r="19" spans="1:25" ht="15.75">
      <c r="A19" s="684"/>
      <c r="B19" s="688" t="s">
        <v>1052</v>
      </c>
      <c r="C19" s="380">
        <v>11</v>
      </c>
      <c r="D19" s="381">
        <v>26</v>
      </c>
      <c r="E19" s="381">
        <v>78</v>
      </c>
      <c r="F19" s="381"/>
      <c r="G19" s="381"/>
      <c r="H19" s="382"/>
      <c r="I19" s="382">
        <v>115</v>
      </c>
      <c r="J19" s="381"/>
      <c r="K19" s="381"/>
      <c r="L19" s="381"/>
      <c r="M19" s="382"/>
      <c r="N19" s="382"/>
      <c r="O19" s="381"/>
      <c r="P19" s="381"/>
      <c r="Q19" s="382"/>
      <c r="R19" s="382"/>
      <c r="S19" s="382"/>
      <c r="T19" s="382"/>
      <c r="U19" s="382">
        <v>115</v>
      </c>
      <c r="V19"/>
      <c r="W19"/>
      <c r="X19"/>
      <c r="Y19"/>
    </row>
    <row r="20" spans="1:25" s="386" customFormat="1" ht="15.75">
      <c r="A20" s="684"/>
      <c r="B20" s="689" t="s">
        <v>1053</v>
      </c>
      <c r="C20" s="383">
        <v>-0.21428571428571427</v>
      </c>
      <c r="D20" s="384">
        <v>-0.10344827586206896</v>
      </c>
      <c r="E20" s="692">
        <v>25</v>
      </c>
      <c r="F20" s="384">
        <v>0</v>
      </c>
      <c r="G20" s="384">
        <v>0</v>
      </c>
      <c r="H20" s="385">
        <v>0</v>
      </c>
      <c r="I20" s="385">
        <v>1.5</v>
      </c>
      <c r="J20" s="384">
        <v>0</v>
      </c>
      <c r="K20" s="384">
        <v>0</v>
      </c>
      <c r="L20" s="384">
        <v>0</v>
      </c>
      <c r="M20" s="385">
        <v>0</v>
      </c>
      <c r="N20" s="385">
        <v>0</v>
      </c>
      <c r="O20" s="384">
        <v>0</v>
      </c>
      <c r="P20" s="384">
        <v>0</v>
      </c>
      <c r="Q20" s="385">
        <v>0</v>
      </c>
      <c r="R20" s="385">
        <v>0</v>
      </c>
      <c r="S20" s="385">
        <v>0</v>
      </c>
      <c r="T20" s="385">
        <v>0</v>
      </c>
      <c r="U20" s="385">
        <v>1.5</v>
      </c>
      <c r="V20"/>
      <c r="W20"/>
      <c r="X20"/>
      <c r="Y20"/>
    </row>
    <row r="21" spans="1:25" ht="15.75">
      <c r="A21" s="684"/>
      <c r="B21" s="687" t="s">
        <v>1054</v>
      </c>
      <c r="C21" s="674">
        <v>3304</v>
      </c>
      <c r="D21" s="675">
        <v>323</v>
      </c>
      <c r="E21" s="675">
        <v>2538</v>
      </c>
      <c r="F21" s="675">
        <v>923</v>
      </c>
      <c r="G21" s="675">
        <v>810</v>
      </c>
      <c r="H21" s="676">
        <v>0</v>
      </c>
      <c r="I21" s="676">
        <v>7898</v>
      </c>
      <c r="J21" s="675"/>
      <c r="K21" s="675">
        <v>0</v>
      </c>
      <c r="L21" s="675">
        <v>0</v>
      </c>
      <c r="M21" s="676">
        <v>0</v>
      </c>
      <c r="N21" s="676">
        <v>0</v>
      </c>
      <c r="O21" s="675">
        <v>0</v>
      </c>
      <c r="P21" s="675">
        <v>0</v>
      </c>
      <c r="Q21" s="676"/>
      <c r="R21" s="676">
        <v>0</v>
      </c>
      <c r="S21" s="676">
        <v>0</v>
      </c>
      <c r="T21" s="676">
        <v>0</v>
      </c>
      <c r="U21" s="676">
        <v>7898</v>
      </c>
      <c r="V21"/>
      <c r="W21"/>
      <c r="X21"/>
      <c r="Y21"/>
    </row>
    <row r="22" spans="1:25" ht="15.75">
      <c r="A22" s="684"/>
      <c r="B22" s="688" t="s">
        <v>1055</v>
      </c>
      <c r="C22" s="380">
        <v>3255</v>
      </c>
      <c r="D22" s="381">
        <v>379</v>
      </c>
      <c r="E22" s="381">
        <v>2426</v>
      </c>
      <c r="F22" s="381">
        <v>1087</v>
      </c>
      <c r="G22" s="381">
        <v>1016</v>
      </c>
      <c r="H22" s="382">
        <v>0</v>
      </c>
      <c r="I22" s="382">
        <v>8163</v>
      </c>
      <c r="J22" s="381"/>
      <c r="K22" s="381">
        <v>0</v>
      </c>
      <c r="L22" s="381">
        <v>0</v>
      </c>
      <c r="M22" s="382">
        <v>0</v>
      </c>
      <c r="N22" s="382">
        <v>0</v>
      </c>
      <c r="O22" s="381">
        <v>0</v>
      </c>
      <c r="P22" s="381">
        <v>0</v>
      </c>
      <c r="Q22" s="382"/>
      <c r="R22" s="382">
        <v>0</v>
      </c>
      <c r="S22" s="382">
        <v>0</v>
      </c>
      <c r="T22" s="382">
        <v>0</v>
      </c>
      <c r="U22" s="382">
        <v>8163</v>
      </c>
      <c r="V22"/>
      <c r="W22"/>
      <c r="X22"/>
      <c r="Y22"/>
    </row>
    <row r="23" spans="1:25" s="386" customFormat="1" ht="15.75">
      <c r="A23" s="684"/>
      <c r="B23" s="689" t="s">
        <v>1056</v>
      </c>
      <c r="C23" s="383">
        <v>-1.4830508474576272E-2</v>
      </c>
      <c r="D23" s="384">
        <v>0.17337461300309598</v>
      </c>
      <c r="E23" s="384">
        <v>-4.4129235618597322E-2</v>
      </c>
      <c r="F23" s="384">
        <v>0.17768147345612134</v>
      </c>
      <c r="G23" s="384">
        <v>0.25432098765432098</v>
      </c>
      <c r="H23" s="385">
        <v>0</v>
      </c>
      <c r="I23" s="385">
        <v>3.3552798176753607E-2</v>
      </c>
      <c r="J23" s="384">
        <v>0</v>
      </c>
      <c r="K23" s="384">
        <v>0</v>
      </c>
      <c r="L23" s="384">
        <v>0</v>
      </c>
      <c r="M23" s="385">
        <v>0</v>
      </c>
      <c r="N23" s="385">
        <v>0</v>
      </c>
      <c r="O23" s="384">
        <v>0</v>
      </c>
      <c r="P23" s="384">
        <v>0</v>
      </c>
      <c r="Q23" s="385">
        <v>0</v>
      </c>
      <c r="R23" s="385">
        <v>0</v>
      </c>
      <c r="S23" s="385">
        <v>0</v>
      </c>
      <c r="T23" s="385">
        <v>0</v>
      </c>
      <c r="U23" s="385">
        <v>3.3552798176753607E-2</v>
      </c>
      <c r="V23"/>
      <c r="W23"/>
      <c r="X23"/>
      <c r="Y23"/>
    </row>
    <row r="24" spans="1:25" ht="15.75">
      <c r="A24" s="684"/>
      <c r="B24" s="687" t="s">
        <v>1057</v>
      </c>
      <c r="C24" s="674">
        <v>593</v>
      </c>
      <c r="D24" s="675">
        <v>37</v>
      </c>
      <c r="E24" s="675">
        <v>97</v>
      </c>
      <c r="F24" s="675">
        <v>21</v>
      </c>
      <c r="G24" s="675">
        <v>0</v>
      </c>
      <c r="H24" s="676">
        <v>0</v>
      </c>
      <c r="I24" s="676">
        <v>748</v>
      </c>
      <c r="J24" s="675"/>
      <c r="K24" s="675">
        <v>0</v>
      </c>
      <c r="L24" s="675">
        <v>0</v>
      </c>
      <c r="M24" s="676">
        <v>0</v>
      </c>
      <c r="N24" s="676">
        <v>0</v>
      </c>
      <c r="O24" s="675">
        <v>0</v>
      </c>
      <c r="P24" s="675">
        <v>0</v>
      </c>
      <c r="Q24" s="676"/>
      <c r="R24" s="676">
        <v>0</v>
      </c>
      <c r="S24" s="676">
        <v>0</v>
      </c>
      <c r="T24" s="676">
        <v>0</v>
      </c>
      <c r="U24" s="676">
        <v>748</v>
      </c>
      <c r="V24"/>
      <c r="W24"/>
      <c r="X24"/>
      <c r="Y24"/>
    </row>
    <row r="25" spans="1:25" ht="15.75">
      <c r="A25" s="684"/>
      <c r="B25" s="688" t="s">
        <v>1058</v>
      </c>
      <c r="C25" s="380">
        <v>600</v>
      </c>
      <c r="D25" s="381">
        <v>32</v>
      </c>
      <c r="E25" s="381">
        <v>174</v>
      </c>
      <c r="F25" s="381">
        <v>58</v>
      </c>
      <c r="G25" s="381">
        <v>0</v>
      </c>
      <c r="H25" s="382">
        <v>0</v>
      </c>
      <c r="I25" s="382">
        <v>864</v>
      </c>
      <c r="J25" s="381"/>
      <c r="K25" s="381">
        <v>0</v>
      </c>
      <c r="L25" s="381">
        <v>0</v>
      </c>
      <c r="M25" s="382">
        <v>0</v>
      </c>
      <c r="N25" s="382">
        <v>0</v>
      </c>
      <c r="O25" s="381">
        <v>0</v>
      </c>
      <c r="P25" s="381">
        <v>0</v>
      </c>
      <c r="Q25" s="382"/>
      <c r="R25" s="382">
        <v>0</v>
      </c>
      <c r="S25" s="382">
        <v>0</v>
      </c>
      <c r="T25" s="382">
        <v>0</v>
      </c>
      <c r="U25" s="382">
        <v>864</v>
      </c>
      <c r="V25"/>
      <c r="W25"/>
      <c r="X25"/>
      <c r="Y25"/>
    </row>
    <row r="26" spans="1:25" s="386" customFormat="1" ht="15.75">
      <c r="A26" s="684"/>
      <c r="B26" s="689" t="s">
        <v>1059</v>
      </c>
      <c r="C26" s="383">
        <v>1.1804384485666104E-2</v>
      </c>
      <c r="D26" s="384">
        <v>-0.13513513513513514</v>
      </c>
      <c r="E26" s="692">
        <v>0.79381443298969068</v>
      </c>
      <c r="F26" s="692">
        <v>1.7619047619047619</v>
      </c>
      <c r="G26" s="384">
        <v>0</v>
      </c>
      <c r="H26" s="385">
        <v>0</v>
      </c>
      <c r="I26" s="385">
        <v>0.15508021390374332</v>
      </c>
      <c r="J26" s="384">
        <v>0</v>
      </c>
      <c r="K26" s="384">
        <v>0</v>
      </c>
      <c r="L26" s="384">
        <v>0</v>
      </c>
      <c r="M26" s="385">
        <v>0</v>
      </c>
      <c r="N26" s="385">
        <v>0</v>
      </c>
      <c r="O26" s="384">
        <v>0</v>
      </c>
      <c r="P26" s="384">
        <v>0</v>
      </c>
      <c r="Q26" s="385">
        <v>0</v>
      </c>
      <c r="R26" s="385">
        <v>0</v>
      </c>
      <c r="S26" s="385">
        <v>0</v>
      </c>
      <c r="T26" s="385">
        <v>0</v>
      </c>
      <c r="U26" s="385">
        <v>0.15508021390374332</v>
      </c>
      <c r="V26"/>
      <c r="W26"/>
      <c r="X26"/>
      <c r="Y26"/>
    </row>
    <row r="27" spans="1:25" ht="15.75">
      <c r="A27" s="684"/>
      <c r="B27" s="687" t="s">
        <v>1060</v>
      </c>
      <c r="C27" s="674">
        <v>154</v>
      </c>
      <c r="D27" s="675"/>
      <c r="E27" s="675"/>
      <c r="F27" s="675"/>
      <c r="G27" s="675"/>
      <c r="H27" s="676"/>
      <c r="I27" s="676">
        <v>154</v>
      </c>
      <c r="J27" s="675"/>
      <c r="K27" s="675"/>
      <c r="L27" s="675"/>
      <c r="M27" s="676"/>
      <c r="N27" s="676"/>
      <c r="O27" s="675"/>
      <c r="P27" s="675"/>
      <c r="Q27" s="676"/>
      <c r="R27" s="676"/>
      <c r="S27" s="676"/>
      <c r="T27" s="676"/>
      <c r="U27" s="676">
        <v>154</v>
      </c>
      <c r="V27"/>
      <c r="W27"/>
      <c r="X27"/>
      <c r="Y27"/>
    </row>
    <row r="28" spans="1:25" ht="15.75">
      <c r="A28" s="684"/>
      <c r="B28" s="688" t="s">
        <v>1061</v>
      </c>
      <c r="C28" s="380">
        <v>172</v>
      </c>
      <c r="D28" s="381"/>
      <c r="E28" s="381"/>
      <c r="F28" s="381"/>
      <c r="G28" s="381"/>
      <c r="H28" s="382"/>
      <c r="I28" s="382">
        <v>172</v>
      </c>
      <c r="J28" s="381"/>
      <c r="K28" s="381"/>
      <c r="L28" s="381"/>
      <c r="M28" s="382"/>
      <c r="N28" s="382"/>
      <c r="O28" s="381"/>
      <c r="P28" s="381"/>
      <c r="Q28" s="382"/>
      <c r="R28" s="382"/>
      <c r="S28" s="382"/>
      <c r="T28" s="382"/>
      <c r="U28" s="382">
        <v>172</v>
      </c>
      <c r="V28"/>
      <c r="W28"/>
      <c r="X28"/>
      <c r="Y28"/>
    </row>
    <row r="29" spans="1:25" s="386" customFormat="1" ht="15.75">
      <c r="A29" s="684"/>
      <c r="B29" s="689" t="s">
        <v>1062</v>
      </c>
      <c r="C29" s="383">
        <v>0.11688311688311688</v>
      </c>
      <c r="D29" s="384">
        <v>0</v>
      </c>
      <c r="E29" s="384">
        <v>0</v>
      </c>
      <c r="F29" s="384">
        <v>0</v>
      </c>
      <c r="G29" s="384">
        <v>0</v>
      </c>
      <c r="H29" s="385">
        <v>0</v>
      </c>
      <c r="I29" s="385">
        <v>0.11688311688311688</v>
      </c>
      <c r="J29" s="384">
        <v>0</v>
      </c>
      <c r="K29" s="384">
        <v>0</v>
      </c>
      <c r="L29" s="384">
        <v>0</v>
      </c>
      <c r="M29" s="385">
        <v>0</v>
      </c>
      <c r="N29" s="385">
        <v>0</v>
      </c>
      <c r="O29" s="384">
        <v>0</v>
      </c>
      <c r="P29" s="384">
        <v>0</v>
      </c>
      <c r="Q29" s="385">
        <v>0</v>
      </c>
      <c r="R29" s="385">
        <v>0</v>
      </c>
      <c r="S29" s="385">
        <v>0</v>
      </c>
      <c r="T29" s="385">
        <v>0</v>
      </c>
      <c r="U29" s="385">
        <v>0.11688311688311688</v>
      </c>
      <c r="V29"/>
      <c r="W29"/>
      <c r="X29"/>
      <c r="Y29"/>
    </row>
    <row r="30" spans="1:25" ht="15.75">
      <c r="A30" s="684"/>
      <c r="B30" s="687" t="s">
        <v>1063</v>
      </c>
      <c r="C30" s="674">
        <v>160</v>
      </c>
      <c r="D30" s="675"/>
      <c r="E30" s="675">
        <v>65</v>
      </c>
      <c r="F30" s="675"/>
      <c r="G30" s="675"/>
      <c r="H30" s="676"/>
      <c r="I30" s="676">
        <v>225</v>
      </c>
      <c r="J30" s="675"/>
      <c r="K30" s="675"/>
      <c r="L30" s="675"/>
      <c r="M30" s="676"/>
      <c r="N30" s="676"/>
      <c r="O30" s="675"/>
      <c r="P30" s="675"/>
      <c r="Q30" s="676"/>
      <c r="R30" s="676"/>
      <c r="S30" s="676"/>
      <c r="T30" s="676"/>
      <c r="U30" s="676">
        <v>225</v>
      </c>
      <c r="V30"/>
      <c r="W30"/>
      <c r="X30"/>
      <c r="Y30"/>
    </row>
    <row r="31" spans="1:25" ht="15.75">
      <c r="A31" s="684"/>
      <c r="B31" s="688" t="s">
        <v>1064</v>
      </c>
      <c r="C31" s="380">
        <v>161</v>
      </c>
      <c r="D31" s="381"/>
      <c r="E31" s="381">
        <v>63</v>
      </c>
      <c r="F31" s="381"/>
      <c r="G31" s="381"/>
      <c r="H31" s="382"/>
      <c r="I31" s="382">
        <v>224</v>
      </c>
      <c r="J31" s="381"/>
      <c r="K31" s="381"/>
      <c r="L31" s="381"/>
      <c r="M31" s="382"/>
      <c r="N31" s="382"/>
      <c r="O31" s="381"/>
      <c r="P31" s="381"/>
      <c r="Q31" s="382"/>
      <c r="R31" s="382"/>
      <c r="S31" s="382"/>
      <c r="T31" s="382"/>
      <c r="U31" s="382">
        <v>224</v>
      </c>
      <c r="V31"/>
      <c r="W31"/>
      <c r="X31"/>
      <c r="Y31"/>
    </row>
    <row r="32" spans="1:25" s="386" customFormat="1" ht="15.75">
      <c r="A32" s="684"/>
      <c r="B32" s="689" t="s">
        <v>1065</v>
      </c>
      <c r="C32" s="383">
        <v>6.2500000000000003E-3</v>
      </c>
      <c r="D32" s="384">
        <v>0</v>
      </c>
      <c r="E32" s="384">
        <v>-3.0769230769230771E-2</v>
      </c>
      <c r="F32" s="384">
        <v>0</v>
      </c>
      <c r="G32" s="384">
        <v>0</v>
      </c>
      <c r="H32" s="385">
        <v>0</v>
      </c>
      <c r="I32" s="385">
        <v>-4.4444444444444444E-3</v>
      </c>
      <c r="J32" s="384">
        <v>0</v>
      </c>
      <c r="K32" s="384">
        <v>0</v>
      </c>
      <c r="L32" s="384">
        <v>0</v>
      </c>
      <c r="M32" s="385">
        <v>0</v>
      </c>
      <c r="N32" s="385">
        <v>0</v>
      </c>
      <c r="O32" s="384">
        <v>0</v>
      </c>
      <c r="P32" s="384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-4.4444444444444444E-3</v>
      </c>
      <c r="V32"/>
      <c r="W32"/>
      <c r="X32"/>
      <c r="Y32"/>
    </row>
    <row r="33" spans="1:25" ht="15.75">
      <c r="A33" s="684"/>
      <c r="B33" s="687" t="s">
        <v>1066</v>
      </c>
      <c r="C33" s="674">
        <v>51</v>
      </c>
      <c r="D33" s="675"/>
      <c r="E33" s="675"/>
      <c r="F33" s="675"/>
      <c r="G33" s="675"/>
      <c r="H33" s="676"/>
      <c r="I33" s="676">
        <v>51</v>
      </c>
      <c r="J33" s="675"/>
      <c r="K33" s="675"/>
      <c r="L33" s="675"/>
      <c r="M33" s="676"/>
      <c r="N33" s="676"/>
      <c r="O33" s="675"/>
      <c r="P33" s="675"/>
      <c r="Q33" s="676"/>
      <c r="R33" s="676"/>
      <c r="S33" s="676"/>
      <c r="T33" s="676"/>
      <c r="U33" s="676">
        <v>51</v>
      </c>
      <c r="V33"/>
      <c r="W33"/>
      <c r="X33"/>
      <c r="Y33"/>
    </row>
    <row r="34" spans="1:25" ht="15.75">
      <c r="A34" s="684"/>
      <c r="B34" s="688" t="s">
        <v>1067</v>
      </c>
      <c r="C34" s="380">
        <v>56</v>
      </c>
      <c r="D34" s="381"/>
      <c r="E34" s="381"/>
      <c r="F34" s="381"/>
      <c r="G34" s="381"/>
      <c r="H34" s="382"/>
      <c r="I34" s="382">
        <v>56</v>
      </c>
      <c r="J34" s="381"/>
      <c r="K34" s="381"/>
      <c r="L34" s="381"/>
      <c r="M34" s="382"/>
      <c r="N34" s="382"/>
      <c r="O34" s="381"/>
      <c r="P34" s="381"/>
      <c r="Q34" s="382"/>
      <c r="R34" s="382"/>
      <c r="S34" s="382"/>
      <c r="T34" s="382"/>
      <c r="U34" s="382">
        <v>56</v>
      </c>
      <c r="V34"/>
      <c r="W34"/>
      <c r="X34"/>
      <c r="Y34"/>
    </row>
    <row r="35" spans="1:25" s="386" customFormat="1" ht="15.75">
      <c r="A35" s="684"/>
      <c r="B35" s="689" t="s">
        <v>1068</v>
      </c>
      <c r="C35" s="383">
        <v>9.8039215686274508E-2</v>
      </c>
      <c r="D35" s="384">
        <v>0</v>
      </c>
      <c r="E35" s="384">
        <v>0</v>
      </c>
      <c r="F35" s="384">
        <v>0</v>
      </c>
      <c r="G35" s="384">
        <v>0</v>
      </c>
      <c r="H35" s="385">
        <v>0</v>
      </c>
      <c r="I35" s="385">
        <v>9.8039215686274508E-2</v>
      </c>
      <c r="J35" s="384">
        <v>0</v>
      </c>
      <c r="K35" s="384">
        <v>0</v>
      </c>
      <c r="L35" s="384">
        <v>0</v>
      </c>
      <c r="M35" s="385">
        <v>0</v>
      </c>
      <c r="N35" s="385">
        <v>0</v>
      </c>
      <c r="O35" s="384">
        <v>0</v>
      </c>
      <c r="P35" s="384">
        <v>0</v>
      </c>
      <c r="Q35" s="385">
        <v>0</v>
      </c>
      <c r="R35" s="385">
        <v>0</v>
      </c>
      <c r="S35" s="385">
        <v>0</v>
      </c>
      <c r="T35" s="385">
        <v>0</v>
      </c>
      <c r="U35" s="385">
        <v>9.8039215686274508E-2</v>
      </c>
      <c r="V35"/>
      <c r="W35"/>
      <c r="X35"/>
      <c r="Y35"/>
    </row>
    <row r="36" spans="1:25" ht="15.75">
      <c r="A36" s="684"/>
      <c r="B36" s="687" t="s">
        <v>1069</v>
      </c>
      <c r="C36" s="674">
        <v>126</v>
      </c>
      <c r="D36" s="675"/>
      <c r="E36" s="675"/>
      <c r="F36" s="675"/>
      <c r="G36" s="675"/>
      <c r="H36" s="676"/>
      <c r="I36" s="676">
        <v>126</v>
      </c>
      <c r="J36" s="675"/>
      <c r="K36" s="675"/>
      <c r="L36" s="675"/>
      <c r="M36" s="676"/>
      <c r="N36" s="676"/>
      <c r="O36" s="675"/>
      <c r="P36" s="675"/>
      <c r="Q36" s="676"/>
      <c r="R36" s="676"/>
      <c r="S36" s="676"/>
      <c r="T36" s="676"/>
      <c r="U36" s="676">
        <v>126</v>
      </c>
      <c r="V36"/>
      <c r="W36"/>
      <c r="X36"/>
      <c r="Y36"/>
    </row>
    <row r="37" spans="1:25" ht="15.75">
      <c r="A37" s="684"/>
      <c r="B37" s="688" t="s">
        <v>1070</v>
      </c>
      <c r="C37" s="380">
        <v>119</v>
      </c>
      <c r="D37" s="381"/>
      <c r="E37" s="381"/>
      <c r="F37" s="381"/>
      <c r="G37" s="381"/>
      <c r="H37" s="382"/>
      <c r="I37" s="382">
        <v>119</v>
      </c>
      <c r="J37" s="381"/>
      <c r="K37" s="381"/>
      <c r="L37" s="381"/>
      <c r="M37" s="382"/>
      <c r="N37" s="382"/>
      <c r="O37" s="381"/>
      <c r="P37" s="381"/>
      <c r="Q37" s="382"/>
      <c r="R37" s="382"/>
      <c r="S37" s="382"/>
      <c r="T37" s="382"/>
      <c r="U37" s="382">
        <v>119</v>
      </c>
      <c r="V37"/>
      <c r="W37"/>
      <c r="X37"/>
      <c r="Y37"/>
    </row>
    <row r="38" spans="1:25" s="386" customFormat="1" ht="15.75">
      <c r="A38" s="684"/>
      <c r="B38" s="689" t="s">
        <v>1071</v>
      </c>
      <c r="C38" s="383">
        <v>-5.5555555555555552E-2</v>
      </c>
      <c r="D38" s="384">
        <v>0</v>
      </c>
      <c r="E38" s="384">
        <v>0</v>
      </c>
      <c r="F38" s="384">
        <v>0</v>
      </c>
      <c r="G38" s="384">
        <v>0</v>
      </c>
      <c r="H38" s="385">
        <v>0</v>
      </c>
      <c r="I38" s="385">
        <v>-5.5555555555555552E-2</v>
      </c>
      <c r="J38" s="384">
        <v>0</v>
      </c>
      <c r="K38" s="384">
        <v>0</v>
      </c>
      <c r="L38" s="384">
        <v>0</v>
      </c>
      <c r="M38" s="385">
        <v>0</v>
      </c>
      <c r="N38" s="385">
        <v>0</v>
      </c>
      <c r="O38" s="384">
        <v>0</v>
      </c>
      <c r="P38" s="384">
        <v>0</v>
      </c>
      <c r="Q38" s="385">
        <v>0</v>
      </c>
      <c r="R38" s="385">
        <v>0</v>
      </c>
      <c r="S38" s="385">
        <v>0</v>
      </c>
      <c r="T38" s="385">
        <v>0</v>
      </c>
      <c r="U38" s="385">
        <v>-5.5555555555555552E-2</v>
      </c>
      <c r="V38"/>
      <c r="W38"/>
      <c r="X38"/>
      <c r="Y38"/>
    </row>
    <row r="39" spans="1:25" ht="15.75">
      <c r="A39" s="684"/>
      <c r="B39" s="687" t="s">
        <v>1072</v>
      </c>
      <c r="C39" s="674"/>
      <c r="D39" s="675"/>
      <c r="E39" s="675"/>
      <c r="F39" s="675"/>
      <c r="G39" s="675"/>
      <c r="H39" s="676"/>
      <c r="I39" s="676"/>
      <c r="J39" s="675"/>
      <c r="K39" s="675"/>
      <c r="L39" s="675"/>
      <c r="M39" s="676"/>
      <c r="N39" s="676"/>
      <c r="O39" s="675"/>
      <c r="P39" s="675"/>
      <c r="Q39" s="676"/>
      <c r="R39" s="676"/>
      <c r="S39" s="676"/>
      <c r="T39" s="676"/>
      <c r="U39" s="676"/>
      <c r="V39"/>
      <c r="W39"/>
      <c r="X39"/>
      <c r="Y39"/>
    </row>
    <row r="40" spans="1:25" ht="15.75">
      <c r="A40" s="684"/>
      <c r="B40" s="688" t="s">
        <v>1073</v>
      </c>
      <c r="C40" s="380"/>
      <c r="D40" s="381"/>
      <c r="E40" s="381"/>
      <c r="F40" s="381"/>
      <c r="G40" s="381"/>
      <c r="H40" s="382"/>
      <c r="I40" s="382"/>
      <c r="J40" s="381"/>
      <c r="K40" s="381"/>
      <c r="L40" s="381"/>
      <c r="M40" s="382"/>
      <c r="N40" s="382"/>
      <c r="O40" s="381"/>
      <c r="P40" s="381"/>
      <c r="Q40" s="382"/>
      <c r="R40" s="382"/>
      <c r="S40" s="382"/>
      <c r="T40" s="382"/>
      <c r="U40" s="382"/>
      <c r="V40"/>
      <c r="W40"/>
      <c r="X40"/>
      <c r="Y40"/>
    </row>
    <row r="41" spans="1:25" s="386" customFormat="1" ht="15.75">
      <c r="A41" s="684"/>
      <c r="B41" s="689" t="s">
        <v>1074</v>
      </c>
      <c r="C41" s="383">
        <v>0</v>
      </c>
      <c r="D41" s="384">
        <v>0</v>
      </c>
      <c r="E41" s="384">
        <v>0</v>
      </c>
      <c r="F41" s="384">
        <v>0</v>
      </c>
      <c r="G41" s="384">
        <v>0</v>
      </c>
      <c r="H41" s="385">
        <v>0</v>
      </c>
      <c r="I41" s="385">
        <v>0</v>
      </c>
      <c r="J41" s="384">
        <v>0</v>
      </c>
      <c r="K41" s="384">
        <v>0</v>
      </c>
      <c r="L41" s="384">
        <v>0</v>
      </c>
      <c r="M41" s="385">
        <v>0</v>
      </c>
      <c r="N41" s="385">
        <v>0</v>
      </c>
      <c r="O41" s="384">
        <v>0</v>
      </c>
      <c r="P41" s="384">
        <v>0</v>
      </c>
      <c r="Q41" s="385">
        <v>0</v>
      </c>
      <c r="R41" s="385">
        <v>0</v>
      </c>
      <c r="S41" s="385">
        <v>0</v>
      </c>
      <c r="T41" s="385">
        <v>0</v>
      </c>
      <c r="U41" s="385">
        <v>0</v>
      </c>
      <c r="V41"/>
      <c r="W41"/>
      <c r="X41"/>
      <c r="Y41"/>
    </row>
    <row r="42" spans="1:25" ht="15.75">
      <c r="A42" s="684"/>
      <c r="B42" s="687" t="s">
        <v>1075</v>
      </c>
      <c r="C42" s="674">
        <v>34</v>
      </c>
      <c r="D42" s="675"/>
      <c r="E42" s="675"/>
      <c r="F42" s="675"/>
      <c r="G42" s="675"/>
      <c r="H42" s="676"/>
      <c r="I42" s="676">
        <v>34</v>
      </c>
      <c r="J42" s="675"/>
      <c r="K42" s="675"/>
      <c r="L42" s="675"/>
      <c r="M42" s="676"/>
      <c r="N42" s="676"/>
      <c r="O42" s="675"/>
      <c r="P42" s="675"/>
      <c r="Q42" s="676"/>
      <c r="R42" s="676"/>
      <c r="S42" s="676"/>
      <c r="T42" s="676"/>
      <c r="U42" s="676">
        <v>34</v>
      </c>
      <c r="V42"/>
      <c r="W42"/>
      <c r="X42"/>
      <c r="Y42"/>
    </row>
    <row r="43" spans="1:25" ht="15.75">
      <c r="A43" s="684"/>
      <c r="B43" s="688" t="s">
        <v>1076</v>
      </c>
      <c r="C43" s="380">
        <v>39</v>
      </c>
      <c r="D43" s="381"/>
      <c r="E43" s="381"/>
      <c r="F43" s="381"/>
      <c r="G43" s="381"/>
      <c r="H43" s="382"/>
      <c r="I43" s="382">
        <v>39</v>
      </c>
      <c r="J43" s="381"/>
      <c r="K43" s="381"/>
      <c r="L43" s="381"/>
      <c r="M43" s="382"/>
      <c r="N43" s="382"/>
      <c r="O43" s="381"/>
      <c r="P43" s="381"/>
      <c r="Q43" s="382"/>
      <c r="R43" s="382"/>
      <c r="S43" s="382"/>
      <c r="T43" s="382"/>
      <c r="U43" s="382">
        <v>39</v>
      </c>
      <c r="V43"/>
      <c r="W43"/>
      <c r="X43"/>
      <c r="Y43"/>
    </row>
    <row r="44" spans="1:25" s="386" customFormat="1" ht="15.75">
      <c r="A44" s="684"/>
      <c r="B44" s="689" t="s">
        <v>1077</v>
      </c>
      <c r="C44" s="383">
        <v>0.14705882352941177</v>
      </c>
      <c r="D44" s="384">
        <v>0</v>
      </c>
      <c r="E44" s="384">
        <v>0</v>
      </c>
      <c r="F44" s="384">
        <v>0</v>
      </c>
      <c r="G44" s="384">
        <v>0</v>
      </c>
      <c r="H44" s="385">
        <v>0</v>
      </c>
      <c r="I44" s="385">
        <v>0.14705882352941177</v>
      </c>
      <c r="J44" s="384">
        <v>0</v>
      </c>
      <c r="K44" s="384">
        <v>0</v>
      </c>
      <c r="L44" s="384">
        <v>0</v>
      </c>
      <c r="M44" s="385">
        <v>0</v>
      </c>
      <c r="N44" s="385">
        <v>0</v>
      </c>
      <c r="O44" s="384">
        <v>0</v>
      </c>
      <c r="P44" s="384">
        <v>0</v>
      </c>
      <c r="Q44" s="385">
        <v>0</v>
      </c>
      <c r="R44" s="385">
        <v>0</v>
      </c>
      <c r="S44" s="385">
        <v>0</v>
      </c>
      <c r="T44" s="385">
        <v>0</v>
      </c>
      <c r="U44" s="385">
        <v>0.14705882352941177</v>
      </c>
      <c r="V44"/>
      <c r="W44"/>
      <c r="X44"/>
      <c r="Y44"/>
    </row>
    <row r="45" spans="1:25" ht="15.75">
      <c r="A45" s="684"/>
      <c r="B45" s="687" t="s">
        <v>1078</v>
      </c>
      <c r="C45" s="674"/>
      <c r="D45" s="675"/>
      <c r="E45" s="675"/>
      <c r="F45" s="675"/>
      <c r="G45" s="675"/>
      <c r="H45" s="676"/>
      <c r="I45" s="676"/>
      <c r="J45" s="675"/>
      <c r="K45" s="675"/>
      <c r="L45" s="675"/>
      <c r="M45" s="676"/>
      <c r="N45" s="676"/>
      <c r="O45" s="675"/>
      <c r="P45" s="675"/>
      <c r="Q45" s="676"/>
      <c r="R45" s="676"/>
      <c r="S45" s="676"/>
      <c r="T45" s="676"/>
      <c r="U45" s="676"/>
      <c r="V45"/>
      <c r="W45"/>
      <c r="X45"/>
      <c r="Y45"/>
    </row>
    <row r="46" spans="1:25" ht="15.75">
      <c r="A46" s="684"/>
      <c r="B46" s="688" t="s">
        <v>1079</v>
      </c>
      <c r="C46" s="380"/>
      <c r="D46" s="381"/>
      <c r="E46" s="381"/>
      <c r="F46" s="381"/>
      <c r="G46" s="381"/>
      <c r="H46" s="382"/>
      <c r="I46" s="382"/>
      <c r="J46" s="381"/>
      <c r="K46" s="381"/>
      <c r="L46" s="381"/>
      <c r="M46" s="382"/>
      <c r="N46" s="382"/>
      <c r="O46" s="381"/>
      <c r="P46" s="381"/>
      <c r="Q46" s="382"/>
      <c r="R46" s="382"/>
      <c r="S46" s="382"/>
      <c r="T46" s="382"/>
      <c r="U46" s="382"/>
      <c r="V46"/>
      <c r="W46"/>
      <c r="X46"/>
      <c r="Y46"/>
    </row>
    <row r="47" spans="1:25" s="386" customFormat="1" ht="15.75">
      <c r="A47" s="684"/>
      <c r="B47" s="689" t="s">
        <v>1080</v>
      </c>
      <c r="C47" s="383">
        <v>0</v>
      </c>
      <c r="D47" s="384">
        <v>0</v>
      </c>
      <c r="E47" s="384">
        <v>0</v>
      </c>
      <c r="F47" s="384">
        <v>0</v>
      </c>
      <c r="G47" s="384">
        <v>0</v>
      </c>
      <c r="H47" s="385">
        <v>0</v>
      </c>
      <c r="I47" s="385">
        <v>0</v>
      </c>
      <c r="J47" s="384">
        <v>0</v>
      </c>
      <c r="K47" s="384">
        <v>0</v>
      </c>
      <c r="L47" s="384">
        <v>0</v>
      </c>
      <c r="M47" s="385">
        <v>0</v>
      </c>
      <c r="N47" s="385">
        <v>0</v>
      </c>
      <c r="O47" s="384">
        <v>0</v>
      </c>
      <c r="P47" s="384">
        <v>0</v>
      </c>
      <c r="Q47" s="385">
        <v>0</v>
      </c>
      <c r="R47" s="385">
        <v>0</v>
      </c>
      <c r="S47" s="385">
        <v>0</v>
      </c>
      <c r="T47" s="385">
        <v>0</v>
      </c>
      <c r="U47" s="385">
        <v>0</v>
      </c>
      <c r="V47"/>
      <c r="W47"/>
      <c r="X47"/>
      <c r="Y47"/>
    </row>
    <row r="48" spans="1:25" ht="15.75">
      <c r="A48" s="684"/>
      <c r="B48" s="687" t="s">
        <v>1081</v>
      </c>
      <c r="C48" s="674">
        <v>89</v>
      </c>
      <c r="D48" s="675"/>
      <c r="E48" s="675"/>
      <c r="F48" s="675"/>
      <c r="G48" s="675"/>
      <c r="H48" s="676"/>
      <c r="I48" s="676">
        <v>89</v>
      </c>
      <c r="J48" s="675"/>
      <c r="K48" s="675"/>
      <c r="L48" s="675"/>
      <c r="M48" s="676"/>
      <c r="N48" s="676"/>
      <c r="O48" s="675"/>
      <c r="P48" s="675"/>
      <c r="Q48" s="676"/>
      <c r="R48" s="676"/>
      <c r="S48" s="676"/>
      <c r="T48" s="676"/>
      <c r="U48" s="676">
        <v>89</v>
      </c>
      <c r="V48"/>
      <c r="W48"/>
      <c r="X48"/>
      <c r="Y48"/>
    </row>
    <row r="49" spans="1:25" ht="15.75">
      <c r="A49" s="684"/>
      <c r="B49" s="688" t="s">
        <v>1082</v>
      </c>
      <c r="C49" s="380">
        <v>96</v>
      </c>
      <c r="D49" s="381"/>
      <c r="E49" s="381"/>
      <c r="F49" s="381"/>
      <c r="G49" s="381"/>
      <c r="H49" s="382"/>
      <c r="I49" s="382">
        <v>96</v>
      </c>
      <c r="J49" s="381"/>
      <c r="K49" s="381"/>
      <c r="L49" s="381"/>
      <c r="M49" s="382"/>
      <c r="N49" s="382"/>
      <c r="O49" s="381"/>
      <c r="P49" s="381"/>
      <c r="Q49" s="382"/>
      <c r="R49" s="382"/>
      <c r="S49" s="382"/>
      <c r="T49" s="382"/>
      <c r="U49" s="382">
        <v>96</v>
      </c>
      <c r="V49"/>
      <c r="W49"/>
      <c r="X49"/>
      <c r="Y49"/>
    </row>
    <row r="50" spans="1:25" s="386" customFormat="1" ht="15.75">
      <c r="A50" s="684"/>
      <c r="B50" s="689" t="s">
        <v>1083</v>
      </c>
      <c r="C50" s="383">
        <v>7.8651685393258425E-2</v>
      </c>
      <c r="D50" s="384">
        <v>0</v>
      </c>
      <c r="E50" s="384">
        <v>0</v>
      </c>
      <c r="F50" s="384">
        <v>0</v>
      </c>
      <c r="G50" s="384">
        <v>0</v>
      </c>
      <c r="H50" s="385">
        <v>0</v>
      </c>
      <c r="I50" s="385">
        <v>7.8651685393258425E-2</v>
      </c>
      <c r="J50" s="384">
        <v>0</v>
      </c>
      <c r="K50" s="384">
        <v>0</v>
      </c>
      <c r="L50" s="384">
        <v>0</v>
      </c>
      <c r="M50" s="385">
        <v>0</v>
      </c>
      <c r="N50" s="385">
        <v>0</v>
      </c>
      <c r="O50" s="384">
        <v>0</v>
      </c>
      <c r="P50" s="384">
        <v>0</v>
      </c>
      <c r="Q50" s="385">
        <v>0</v>
      </c>
      <c r="R50" s="385">
        <v>0</v>
      </c>
      <c r="S50" s="385">
        <v>0</v>
      </c>
      <c r="T50" s="385">
        <v>0</v>
      </c>
      <c r="U50" s="385">
        <v>7.8651685393258425E-2</v>
      </c>
      <c r="V50"/>
      <c r="W50"/>
      <c r="X50"/>
      <c r="Y50"/>
    </row>
    <row r="51" spans="1:25" ht="15.75">
      <c r="A51" s="684"/>
      <c r="B51" s="687" t="s">
        <v>1084</v>
      </c>
      <c r="C51" s="674"/>
      <c r="D51" s="675"/>
      <c r="E51" s="675"/>
      <c r="F51" s="675"/>
      <c r="G51" s="675"/>
      <c r="H51" s="676"/>
      <c r="I51" s="676"/>
      <c r="J51" s="675"/>
      <c r="K51" s="675"/>
      <c r="L51" s="675"/>
      <c r="M51" s="676"/>
      <c r="N51" s="676"/>
      <c r="O51" s="675"/>
      <c r="P51" s="675"/>
      <c r="Q51" s="676"/>
      <c r="R51" s="676"/>
      <c r="S51" s="676"/>
      <c r="T51" s="676"/>
      <c r="U51" s="676"/>
      <c r="V51"/>
      <c r="W51"/>
      <c r="X51"/>
      <c r="Y51"/>
    </row>
    <row r="52" spans="1:25" ht="15.75">
      <c r="A52" s="684"/>
      <c r="B52" s="688" t="s">
        <v>1085</v>
      </c>
      <c r="C52" s="380"/>
      <c r="D52" s="381"/>
      <c r="E52" s="381"/>
      <c r="F52" s="381"/>
      <c r="G52" s="381"/>
      <c r="H52" s="382"/>
      <c r="I52" s="382"/>
      <c r="J52" s="381"/>
      <c r="K52" s="381"/>
      <c r="L52" s="381"/>
      <c r="M52" s="382"/>
      <c r="N52" s="382"/>
      <c r="O52" s="381"/>
      <c r="P52" s="381"/>
      <c r="Q52" s="382"/>
      <c r="R52" s="382"/>
      <c r="S52" s="382"/>
      <c r="T52" s="382"/>
      <c r="U52" s="382"/>
      <c r="V52"/>
      <c r="W52"/>
      <c r="X52"/>
      <c r="Y52"/>
    </row>
    <row r="53" spans="1:25" s="386" customFormat="1" ht="15.75">
      <c r="A53" s="684"/>
      <c r="B53" s="689" t="s">
        <v>1086</v>
      </c>
      <c r="C53" s="383">
        <v>0</v>
      </c>
      <c r="D53" s="384">
        <v>0</v>
      </c>
      <c r="E53" s="384">
        <v>0</v>
      </c>
      <c r="F53" s="384">
        <v>0</v>
      </c>
      <c r="G53" s="384">
        <v>0</v>
      </c>
      <c r="H53" s="385">
        <v>0</v>
      </c>
      <c r="I53" s="385">
        <v>0</v>
      </c>
      <c r="J53" s="384">
        <v>0</v>
      </c>
      <c r="K53" s="384">
        <v>0</v>
      </c>
      <c r="L53" s="384">
        <v>0</v>
      </c>
      <c r="M53" s="385">
        <v>0</v>
      </c>
      <c r="N53" s="385">
        <v>0</v>
      </c>
      <c r="O53" s="384">
        <v>0</v>
      </c>
      <c r="P53" s="384">
        <v>0</v>
      </c>
      <c r="Q53" s="385">
        <v>0</v>
      </c>
      <c r="R53" s="385">
        <v>0</v>
      </c>
      <c r="S53" s="385">
        <v>0</v>
      </c>
      <c r="T53" s="385">
        <v>0</v>
      </c>
      <c r="U53" s="385">
        <v>0</v>
      </c>
      <c r="V53"/>
      <c r="W53"/>
      <c r="X53"/>
      <c r="Y53"/>
    </row>
    <row r="54" spans="1:25" ht="15.75">
      <c r="A54" s="684"/>
      <c r="B54" s="687" t="s">
        <v>1248</v>
      </c>
      <c r="C54" s="674"/>
      <c r="D54" s="675"/>
      <c r="E54" s="675"/>
      <c r="F54" s="675"/>
      <c r="G54" s="675"/>
      <c r="H54" s="676"/>
      <c r="I54" s="676"/>
      <c r="J54" s="675"/>
      <c r="K54" s="675"/>
      <c r="L54" s="675"/>
      <c r="M54" s="676"/>
      <c r="N54" s="676"/>
      <c r="O54" s="675"/>
      <c r="P54" s="675"/>
      <c r="Q54" s="676"/>
      <c r="R54" s="676"/>
      <c r="S54" s="676"/>
      <c r="T54" s="676"/>
      <c r="U54" s="676"/>
      <c r="V54"/>
      <c r="W54"/>
      <c r="X54"/>
      <c r="Y54"/>
    </row>
    <row r="55" spans="1:25" ht="15.75">
      <c r="A55" s="685"/>
      <c r="B55" s="690" t="s">
        <v>1250</v>
      </c>
      <c r="C55" s="576"/>
      <c r="D55" s="577"/>
      <c r="E55" s="577"/>
      <c r="F55" s="577">
        <v>50</v>
      </c>
      <c r="G55" s="577"/>
      <c r="H55" s="578"/>
      <c r="I55" s="578">
        <v>50</v>
      </c>
      <c r="J55" s="577"/>
      <c r="K55" s="577"/>
      <c r="L55" s="577"/>
      <c r="M55" s="578"/>
      <c r="N55" s="578"/>
      <c r="O55" s="577"/>
      <c r="P55" s="577"/>
      <c r="Q55" s="578"/>
      <c r="R55" s="578"/>
      <c r="S55" s="578"/>
      <c r="T55" s="578"/>
      <c r="U55" s="578">
        <v>50</v>
      </c>
      <c r="V55"/>
      <c r="W55"/>
      <c r="X55"/>
      <c r="Y55"/>
    </row>
    <row r="56" spans="1:25" s="386" customFormat="1" ht="15.75">
      <c r="A56" s="683" t="s">
        <v>345</v>
      </c>
      <c r="B56" s="687" t="s">
        <v>1039</v>
      </c>
      <c r="C56" s="674"/>
      <c r="D56" s="675"/>
      <c r="E56" s="675">
        <v>58</v>
      </c>
      <c r="F56" s="675">
        <v>186</v>
      </c>
      <c r="G56" s="675">
        <v>199</v>
      </c>
      <c r="H56" s="676">
        <v>301</v>
      </c>
      <c r="I56" s="676">
        <v>744</v>
      </c>
      <c r="J56" s="675"/>
      <c r="K56" s="675">
        <v>665</v>
      </c>
      <c r="L56" s="675">
        <v>669</v>
      </c>
      <c r="M56" s="676">
        <v>4385</v>
      </c>
      <c r="N56" s="676">
        <v>5719</v>
      </c>
      <c r="O56" s="675"/>
      <c r="P56" s="675"/>
      <c r="Q56" s="676"/>
      <c r="R56" s="676"/>
      <c r="S56" s="676">
        <v>19</v>
      </c>
      <c r="T56" s="676">
        <v>19</v>
      </c>
      <c r="U56" s="676">
        <v>6482</v>
      </c>
      <c r="V56"/>
      <c r="W56"/>
      <c r="X56"/>
      <c r="Y56"/>
    </row>
    <row r="57" spans="1:25" ht="15.75">
      <c r="A57" s="684"/>
      <c r="B57" s="688" t="s">
        <v>1040</v>
      </c>
      <c r="C57" s="380"/>
      <c r="D57" s="381"/>
      <c r="E57" s="381"/>
      <c r="F57" s="381">
        <v>247</v>
      </c>
      <c r="G57" s="381">
        <v>233</v>
      </c>
      <c r="H57" s="382">
        <v>324</v>
      </c>
      <c r="I57" s="382">
        <v>804</v>
      </c>
      <c r="J57" s="381"/>
      <c r="K57" s="381">
        <v>725</v>
      </c>
      <c r="L57" s="381">
        <v>770</v>
      </c>
      <c r="M57" s="382">
        <v>5434</v>
      </c>
      <c r="N57" s="382">
        <v>6929</v>
      </c>
      <c r="O57" s="381"/>
      <c r="P57" s="381"/>
      <c r="Q57" s="382"/>
      <c r="R57" s="382"/>
      <c r="S57" s="382">
        <v>9</v>
      </c>
      <c r="T57" s="382">
        <v>9</v>
      </c>
      <c r="U57" s="382">
        <v>7742</v>
      </c>
      <c r="V57"/>
      <c r="W57"/>
      <c r="X57"/>
      <c r="Y57"/>
    </row>
    <row r="58" spans="1:25" ht="15.75">
      <c r="A58" s="684"/>
      <c r="B58" s="689" t="s">
        <v>1041</v>
      </c>
      <c r="C58" s="383">
        <v>0</v>
      </c>
      <c r="D58" s="384">
        <v>0</v>
      </c>
      <c r="E58" s="384">
        <v>-1</v>
      </c>
      <c r="F58" s="692">
        <v>0.32795698924731181</v>
      </c>
      <c r="G58" s="384">
        <v>0.17085427135678391</v>
      </c>
      <c r="H58" s="385">
        <v>7.6411960132890366E-2</v>
      </c>
      <c r="I58" s="385">
        <v>8.0645161290322578E-2</v>
      </c>
      <c r="J58" s="384">
        <v>0</v>
      </c>
      <c r="K58" s="384">
        <v>9.0225563909774431E-2</v>
      </c>
      <c r="L58" s="384">
        <v>0.15097159940209268</v>
      </c>
      <c r="M58" s="692">
        <v>0.23922462941847206</v>
      </c>
      <c r="N58" s="385">
        <v>0.21157545025354083</v>
      </c>
      <c r="O58" s="384">
        <v>0</v>
      </c>
      <c r="P58" s="384">
        <v>0</v>
      </c>
      <c r="Q58" s="385">
        <v>0</v>
      </c>
      <c r="R58" s="385">
        <v>0</v>
      </c>
      <c r="S58" s="385">
        <v>-0.52631578947368418</v>
      </c>
      <c r="T58" s="385">
        <v>-0.52631578947368418</v>
      </c>
      <c r="U58" s="385">
        <v>0.19438444924406048</v>
      </c>
      <c r="V58"/>
      <c r="W58"/>
      <c r="X58"/>
      <c r="Y58"/>
    </row>
    <row r="59" spans="1:25" s="386" customFormat="1" ht="15.75">
      <c r="A59" s="684"/>
      <c r="B59" s="687" t="s">
        <v>1042</v>
      </c>
      <c r="C59" s="674"/>
      <c r="D59" s="675"/>
      <c r="E59" s="675"/>
      <c r="F59" s="675"/>
      <c r="G59" s="675"/>
      <c r="H59" s="676"/>
      <c r="I59" s="676"/>
      <c r="J59" s="675"/>
      <c r="K59" s="675"/>
      <c r="L59" s="675"/>
      <c r="M59" s="676"/>
      <c r="N59" s="676"/>
      <c r="O59" s="675"/>
      <c r="P59" s="675"/>
      <c r="Q59" s="676"/>
      <c r="R59" s="676"/>
      <c r="S59" s="676"/>
      <c r="T59" s="676"/>
      <c r="U59" s="676"/>
      <c r="V59"/>
      <c r="W59"/>
      <c r="X59"/>
      <c r="Y59"/>
    </row>
    <row r="60" spans="1:25" ht="15.75">
      <c r="A60" s="684"/>
      <c r="B60" s="688" t="s">
        <v>1043</v>
      </c>
      <c r="C60" s="380"/>
      <c r="D60" s="381"/>
      <c r="E60" s="381"/>
      <c r="F60" s="381"/>
      <c r="G60" s="381"/>
      <c r="H60" s="382"/>
      <c r="I60" s="382"/>
      <c r="J60" s="381"/>
      <c r="K60" s="381">
        <v>1</v>
      </c>
      <c r="L60" s="381"/>
      <c r="M60" s="382">
        <v>2</v>
      </c>
      <c r="N60" s="382">
        <v>3</v>
      </c>
      <c r="O60" s="381"/>
      <c r="P60" s="381"/>
      <c r="Q60" s="382"/>
      <c r="R60" s="382"/>
      <c r="S60" s="382">
        <v>1</v>
      </c>
      <c r="T60" s="382">
        <v>1</v>
      </c>
      <c r="U60" s="382">
        <v>4</v>
      </c>
      <c r="V60"/>
      <c r="W60"/>
      <c r="X60"/>
      <c r="Y60"/>
    </row>
    <row r="61" spans="1:25" ht="15.75">
      <c r="A61" s="684"/>
      <c r="B61" s="689" t="s">
        <v>1044</v>
      </c>
      <c r="C61" s="383">
        <v>0</v>
      </c>
      <c r="D61" s="384">
        <v>0</v>
      </c>
      <c r="E61" s="384">
        <v>0</v>
      </c>
      <c r="F61" s="384">
        <v>0</v>
      </c>
      <c r="G61" s="384">
        <v>0</v>
      </c>
      <c r="H61" s="385">
        <v>0</v>
      </c>
      <c r="I61" s="385">
        <v>0</v>
      </c>
      <c r="J61" s="384">
        <v>0</v>
      </c>
      <c r="K61" s="384">
        <v>0</v>
      </c>
      <c r="L61" s="384">
        <v>0</v>
      </c>
      <c r="M61" s="385">
        <v>0</v>
      </c>
      <c r="N61" s="385">
        <v>0</v>
      </c>
      <c r="O61" s="384">
        <v>0</v>
      </c>
      <c r="P61" s="384">
        <v>0</v>
      </c>
      <c r="Q61" s="385">
        <v>0</v>
      </c>
      <c r="R61" s="385">
        <v>0</v>
      </c>
      <c r="S61" s="385">
        <v>0</v>
      </c>
      <c r="T61" s="385">
        <v>0</v>
      </c>
      <c r="U61" s="385">
        <v>0</v>
      </c>
      <c r="V61"/>
      <c r="W61"/>
      <c r="X61"/>
      <c r="Y61"/>
    </row>
    <row r="62" spans="1:25" s="386" customFormat="1" ht="15.75">
      <c r="A62" s="684"/>
      <c r="B62" s="687" t="s">
        <v>1045</v>
      </c>
      <c r="C62" s="674"/>
      <c r="D62" s="675"/>
      <c r="E62" s="675">
        <v>400</v>
      </c>
      <c r="F62" s="675">
        <v>100</v>
      </c>
      <c r="G62" s="675">
        <v>356</v>
      </c>
      <c r="H62" s="676">
        <v>310</v>
      </c>
      <c r="I62" s="676">
        <v>1166</v>
      </c>
      <c r="J62" s="675"/>
      <c r="K62" s="675">
        <v>597</v>
      </c>
      <c r="L62" s="675">
        <v>948</v>
      </c>
      <c r="M62" s="676">
        <v>2567</v>
      </c>
      <c r="N62" s="676">
        <v>4112</v>
      </c>
      <c r="O62" s="675"/>
      <c r="P62" s="675"/>
      <c r="Q62" s="676"/>
      <c r="R62" s="676"/>
      <c r="S62" s="676">
        <v>67</v>
      </c>
      <c r="T62" s="676">
        <v>67</v>
      </c>
      <c r="U62" s="676">
        <v>5345</v>
      </c>
      <c r="V62"/>
      <c r="W62"/>
      <c r="X62"/>
      <c r="Y62"/>
    </row>
    <row r="63" spans="1:25" ht="15.75">
      <c r="A63" s="684"/>
      <c r="B63" s="688" t="s">
        <v>1046</v>
      </c>
      <c r="C63" s="380"/>
      <c r="D63" s="381"/>
      <c r="E63" s="381">
        <v>563</v>
      </c>
      <c r="F63" s="381">
        <v>165</v>
      </c>
      <c r="G63" s="381">
        <v>303</v>
      </c>
      <c r="H63" s="382">
        <v>471</v>
      </c>
      <c r="I63" s="382">
        <v>1502</v>
      </c>
      <c r="J63" s="381"/>
      <c r="K63" s="381">
        <v>711</v>
      </c>
      <c r="L63" s="381">
        <v>1079</v>
      </c>
      <c r="M63" s="382">
        <v>2919</v>
      </c>
      <c r="N63" s="382">
        <v>4709</v>
      </c>
      <c r="O63" s="381"/>
      <c r="P63" s="381"/>
      <c r="Q63" s="382"/>
      <c r="R63" s="382"/>
      <c r="S63" s="382">
        <v>53</v>
      </c>
      <c r="T63" s="382">
        <v>53</v>
      </c>
      <c r="U63" s="382">
        <v>6264</v>
      </c>
      <c r="V63"/>
      <c r="W63"/>
      <c r="X63"/>
      <c r="Y63"/>
    </row>
    <row r="64" spans="1:25" ht="15.75">
      <c r="A64" s="684"/>
      <c r="B64" s="689" t="s">
        <v>1047</v>
      </c>
      <c r="C64" s="383">
        <v>0</v>
      </c>
      <c r="D64" s="384">
        <v>0</v>
      </c>
      <c r="E64" s="692">
        <v>0.40749999999999997</v>
      </c>
      <c r="F64" s="692">
        <v>0.65</v>
      </c>
      <c r="G64" s="692">
        <v>-0.14887640449438203</v>
      </c>
      <c r="H64" s="692">
        <v>0.51935483870967747</v>
      </c>
      <c r="I64" s="385">
        <v>0.28816466552315612</v>
      </c>
      <c r="J64" s="384">
        <v>0</v>
      </c>
      <c r="K64" s="384">
        <v>0.19095477386934673</v>
      </c>
      <c r="L64" s="384">
        <v>0.13818565400843882</v>
      </c>
      <c r="M64" s="385">
        <v>0.13712504869497469</v>
      </c>
      <c r="N64" s="385">
        <v>0.14518482490272375</v>
      </c>
      <c r="O64" s="384">
        <v>0</v>
      </c>
      <c r="P64" s="384">
        <v>0</v>
      </c>
      <c r="Q64" s="385">
        <v>0</v>
      </c>
      <c r="R64" s="385">
        <v>0</v>
      </c>
      <c r="S64" s="385">
        <v>-0.20895522388059701</v>
      </c>
      <c r="T64" s="385">
        <v>-0.20895522388059701</v>
      </c>
      <c r="U64" s="385">
        <v>0.17193638914873713</v>
      </c>
      <c r="V64"/>
      <c r="W64"/>
      <c r="X64"/>
      <c r="Y64"/>
    </row>
    <row r="65" spans="1:25" s="386" customFormat="1" ht="15.75">
      <c r="A65" s="684"/>
      <c r="B65" s="687" t="s">
        <v>1048</v>
      </c>
      <c r="C65" s="674">
        <v>2343</v>
      </c>
      <c r="D65" s="675"/>
      <c r="E65" s="675">
        <v>3880</v>
      </c>
      <c r="F65" s="675">
        <v>1281</v>
      </c>
      <c r="G65" s="675">
        <v>721</v>
      </c>
      <c r="H65" s="676">
        <v>768</v>
      </c>
      <c r="I65" s="676">
        <v>8993</v>
      </c>
      <c r="J65" s="675"/>
      <c r="K65" s="675"/>
      <c r="L65" s="675"/>
      <c r="M65" s="676"/>
      <c r="N65" s="676"/>
      <c r="O65" s="675"/>
      <c r="P65" s="675"/>
      <c r="Q65" s="676"/>
      <c r="R65" s="676"/>
      <c r="S65" s="676">
        <v>313</v>
      </c>
      <c r="T65" s="676">
        <v>313</v>
      </c>
      <c r="U65" s="676">
        <v>9306</v>
      </c>
      <c r="V65"/>
      <c r="W65"/>
      <c r="X65"/>
      <c r="Y65"/>
    </row>
    <row r="66" spans="1:25" ht="15.75">
      <c r="A66" s="684"/>
      <c r="B66" s="688" t="s">
        <v>1049</v>
      </c>
      <c r="C66" s="380">
        <v>2494</v>
      </c>
      <c r="D66" s="381"/>
      <c r="E66" s="381">
        <v>4030</v>
      </c>
      <c r="F66" s="381">
        <v>1436</v>
      </c>
      <c r="G66" s="381">
        <v>635</v>
      </c>
      <c r="H66" s="382">
        <v>797</v>
      </c>
      <c r="I66" s="382">
        <v>9392</v>
      </c>
      <c r="J66" s="381"/>
      <c r="K66" s="381"/>
      <c r="L66" s="381"/>
      <c r="M66" s="382"/>
      <c r="N66" s="382"/>
      <c r="O66" s="381"/>
      <c r="P66" s="381"/>
      <c r="Q66" s="382"/>
      <c r="R66" s="382"/>
      <c r="S66" s="382">
        <v>290</v>
      </c>
      <c r="T66" s="382">
        <v>290</v>
      </c>
      <c r="U66" s="382">
        <v>9682</v>
      </c>
      <c r="V66"/>
      <c r="W66"/>
      <c r="X66"/>
      <c r="Y66"/>
    </row>
    <row r="67" spans="1:25" ht="15.75">
      <c r="A67" s="684"/>
      <c r="B67" s="689" t="s">
        <v>1050</v>
      </c>
      <c r="C67" s="383">
        <v>6.444728979940248E-2</v>
      </c>
      <c r="D67" s="384">
        <v>0</v>
      </c>
      <c r="E67" s="384">
        <v>3.8659793814432991E-2</v>
      </c>
      <c r="F67" s="384">
        <v>0.12099921935987509</v>
      </c>
      <c r="G67" s="692">
        <v>-0.11927877947295423</v>
      </c>
      <c r="H67" s="385">
        <v>3.7760416666666664E-2</v>
      </c>
      <c r="I67" s="385">
        <v>4.4367841654620259E-2</v>
      </c>
      <c r="J67" s="384">
        <v>0</v>
      </c>
      <c r="K67" s="384">
        <v>0</v>
      </c>
      <c r="L67" s="384">
        <v>0</v>
      </c>
      <c r="M67" s="385">
        <v>0</v>
      </c>
      <c r="N67" s="385">
        <v>0</v>
      </c>
      <c r="O67" s="384">
        <v>0</v>
      </c>
      <c r="P67" s="384">
        <v>0</v>
      </c>
      <c r="Q67" s="385">
        <v>0</v>
      </c>
      <c r="R67" s="385">
        <v>0</v>
      </c>
      <c r="S67" s="385">
        <v>-7.3482428115015971E-2</v>
      </c>
      <c r="T67" s="385">
        <v>-7.3482428115015971E-2</v>
      </c>
      <c r="U67" s="385">
        <v>4.0404040404040407E-2</v>
      </c>
      <c r="V67"/>
      <c r="W67"/>
      <c r="X67"/>
      <c r="Y67"/>
    </row>
    <row r="68" spans="1:25" s="386" customFormat="1" ht="15.75">
      <c r="A68" s="684"/>
      <c r="B68" s="687" t="s">
        <v>1051</v>
      </c>
      <c r="C68" s="674">
        <v>2</v>
      </c>
      <c r="D68" s="675"/>
      <c r="E68" s="675">
        <v>67</v>
      </c>
      <c r="F68" s="675"/>
      <c r="G68" s="675"/>
      <c r="H68" s="676"/>
      <c r="I68" s="676">
        <v>69</v>
      </c>
      <c r="J68" s="675"/>
      <c r="K68" s="675"/>
      <c r="L68" s="675"/>
      <c r="M68" s="676"/>
      <c r="N68" s="676"/>
      <c r="O68" s="675"/>
      <c r="P68" s="675"/>
      <c r="Q68" s="676"/>
      <c r="R68" s="676"/>
      <c r="S68" s="676">
        <v>20</v>
      </c>
      <c r="T68" s="676">
        <v>20</v>
      </c>
      <c r="U68" s="676">
        <v>89</v>
      </c>
      <c r="V68"/>
      <c r="W68"/>
      <c r="X68"/>
      <c r="Y68"/>
    </row>
    <row r="69" spans="1:25" ht="15.75">
      <c r="A69" s="684"/>
      <c r="B69" s="688" t="s">
        <v>1052</v>
      </c>
      <c r="C69" s="380">
        <v>4</v>
      </c>
      <c r="D69" s="381"/>
      <c r="E69" s="381">
        <v>101</v>
      </c>
      <c r="F69" s="381"/>
      <c r="G69" s="381"/>
      <c r="H69" s="382"/>
      <c r="I69" s="382">
        <v>105</v>
      </c>
      <c r="J69" s="381"/>
      <c r="K69" s="381"/>
      <c r="L69" s="381"/>
      <c r="M69" s="382"/>
      <c r="N69" s="382"/>
      <c r="O69" s="381"/>
      <c r="P69" s="381"/>
      <c r="Q69" s="382"/>
      <c r="R69" s="382"/>
      <c r="S69" s="382">
        <v>19</v>
      </c>
      <c r="T69" s="382">
        <v>19</v>
      </c>
      <c r="U69" s="382">
        <v>124</v>
      </c>
      <c r="V69"/>
      <c r="W69"/>
      <c r="X69"/>
      <c r="Y69"/>
    </row>
    <row r="70" spans="1:25" ht="15.75">
      <c r="A70" s="684"/>
      <c r="B70" s="689" t="s">
        <v>1053</v>
      </c>
      <c r="C70" s="383">
        <v>1</v>
      </c>
      <c r="D70" s="384">
        <v>0</v>
      </c>
      <c r="E70" s="384">
        <v>0.5074626865671642</v>
      </c>
      <c r="F70" s="384">
        <v>0</v>
      </c>
      <c r="G70" s="384">
        <v>0</v>
      </c>
      <c r="H70" s="385">
        <v>0</v>
      </c>
      <c r="I70" s="385">
        <v>0.52173913043478259</v>
      </c>
      <c r="J70" s="384">
        <v>0</v>
      </c>
      <c r="K70" s="384">
        <v>0</v>
      </c>
      <c r="L70" s="384">
        <v>0</v>
      </c>
      <c r="M70" s="385">
        <v>0</v>
      </c>
      <c r="N70" s="385">
        <v>0</v>
      </c>
      <c r="O70" s="384">
        <v>0</v>
      </c>
      <c r="P70" s="384">
        <v>0</v>
      </c>
      <c r="Q70" s="385">
        <v>0</v>
      </c>
      <c r="R70" s="385">
        <v>0</v>
      </c>
      <c r="S70" s="385">
        <v>-0.05</v>
      </c>
      <c r="T70" s="385">
        <v>-0.05</v>
      </c>
      <c r="U70" s="385">
        <v>0.39325842696629215</v>
      </c>
      <c r="V70"/>
      <c r="W70"/>
      <c r="X70"/>
      <c r="Y70"/>
    </row>
    <row r="71" spans="1:25" s="386" customFormat="1" ht="15.75">
      <c r="A71" s="684"/>
      <c r="B71" s="687" t="s">
        <v>1054</v>
      </c>
      <c r="C71" s="674">
        <v>967</v>
      </c>
      <c r="D71" s="675"/>
      <c r="E71" s="675">
        <v>1392</v>
      </c>
      <c r="F71" s="675">
        <v>366</v>
      </c>
      <c r="G71" s="675">
        <v>133</v>
      </c>
      <c r="H71" s="676">
        <v>21</v>
      </c>
      <c r="I71" s="676">
        <v>2879</v>
      </c>
      <c r="J71" s="675"/>
      <c r="K71" s="675">
        <v>0</v>
      </c>
      <c r="L71" s="675">
        <v>0</v>
      </c>
      <c r="M71" s="676">
        <v>0</v>
      </c>
      <c r="N71" s="676">
        <v>0</v>
      </c>
      <c r="O71" s="675"/>
      <c r="P71" s="675"/>
      <c r="Q71" s="676"/>
      <c r="R71" s="676"/>
      <c r="S71" s="676">
        <v>137</v>
      </c>
      <c r="T71" s="676">
        <v>137</v>
      </c>
      <c r="U71" s="676">
        <v>3016</v>
      </c>
      <c r="V71"/>
      <c r="W71"/>
      <c r="X71"/>
      <c r="Y71"/>
    </row>
    <row r="72" spans="1:25" ht="15.75">
      <c r="A72" s="684"/>
      <c r="B72" s="688" t="s">
        <v>1055</v>
      </c>
      <c r="C72" s="380">
        <v>959</v>
      </c>
      <c r="D72" s="381"/>
      <c r="E72" s="381">
        <v>1542</v>
      </c>
      <c r="F72" s="381">
        <v>384</v>
      </c>
      <c r="G72" s="381">
        <v>181</v>
      </c>
      <c r="H72" s="382">
        <v>24</v>
      </c>
      <c r="I72" s="382">
        <v>3090</v>
      </c>
      <c r="J72" s="381"/>
      <c r="K72" s="381">
        <v>0</v>
      </c>
      <c r="L72" s="381">
        <v>0</v>
      </c>
      <c r="M72" s="382">
        <v>0</v>
      </c>
      <c r="N72" s="382">
        <v>0</v>
      </c>
      <c r="O72" s="381"/>
      <c r="P72" s="381"/>
      <c r="Q72" s="382"/>
      <c r="R72" s="382"/>
      <c r="S72" s="382">
        <v>133</v>
      </c>
      <c r="T72" s="382">
        <v>133</v>
      </c>
      <c r="U72" s="382">
        <v>3223</v>
      </c>
      <c r="V72"/>
      <c r="W72"/>
      <c r="X72"/>
      <c r="Y72"/>
    </row>
    <row r="73" spans="1:25" ht="15.75">
      <c r="A73" s="684"/>
      <c r="B73" s="689" t="s">
        <v>1056</v>
      </c>
      <c r="C73" s="383">
        <v>-8.2730093071354711E-3</v>
      </c>
      <c r="D73" s="384">
        <v>0</v>
      </c>
      <c r="E73" s="384">
        <v>0.10775862068965517</v>
      </c>
      <c r="F73" s="384">
        <v>4.9180327868852458E-2</v>
      </c>
      <c r="G73" s="692">
        <v>0.36090225563909772</v>
      </c>
      <c r="H73" s="385">
        <v>0.14285714285714285</v>
      </c>
      <c r="I73" s="385">
        <v>7.3289336575199718E-2</v>
      </c>
      <c r="J73" s="384">
        <v>0</v>
      </c>
      <c r="K73" s="384">
        <v>0</v>
      </c>
      <c r="L73" s="384">
        <v>0</v>
      </c>
      <c r="M73" s="385">
        <v>0</v>
      </c>
      <c r="N73" s="385">
        <v>0</v>
      </c>
      <c r="O73" s="384">
        <v>0</v>
      </c>
      <c r="P73" s="384">
        <v>0</v>
      </c>
      <c r="Q73" s="385">
        <v>0</v>
      </c>
      <c r="R73" s="385">
        <v>0</v>
      </c>
      <c r="S73" s="385">
        <v>-2.9197080291970802E-2</v>
      </c>
      <c r="T73" s="385">
        <v>-2.9197080291970802E-2</v>
      </c>
      <c r="U73" s="385">
        <v>6.8633952254641917E-2</v>
      </c>
      <c r="V73"/>
      <c r="W73"/>
      <c r="X73"/>
      <c r="Y73"/>
    </row>
    <row r="74" spans="1:25" s="386" customFormat="1" ht="15.75">
      <c r="A74" s="684"/>
      <c r="B74" s="687" t="s">
        <v>1057</v>
      </c>
      <c r="C74" s="674">
        <v>144</v>
      </c>
      <c r="D74" s="675"/>
      <c r="E74" s="675">
        <v>67</v>
      </c>
      <c r="F74" s="675">
        <v>0</v>
      </c>
      <c r="G74" s="675">
        <v>0</v>
      </c>
      <c r="H74" s="676">
        <v>0</v>
      </c>
      <c r="I74" s="676">
        <v>211</v>
      </c>
      <c r="J74" s="675"/>
      <c r="K74" s="675">
        <v>0</v>
      </c>
      <c r="L74" s="675">
        <v>0</v>
      </c>
      <c r="M74" s="676">
        <v>0</v>
      </c>
      <c r="N74" s="676">
        <v>0</v>
      </c>
      <c r="O74" s="675"/>
      <c r="P74" s="675"/>
      <c r="Q74" s="676"/>
      <c r="R74" s="676"/>
      <c r="S74" s="676">
        <v>23</v>
      </c>
      <c r="T74" s="676">
        <v>23</v>
      </c>
      <c r="U74" s="676">
        <v>234</v>
      </c>
      <c r="V74"/>
      <c r="W74"/>
      <c r="X74"/>
      <c r="Y74"/>
    </row>
    <row r="75" spans="1:25" ht="15.75">
      <c r="A75" s="684"/>
      <c r="B75" s="688" t="s">
        <v>1058</v>
      </c>
      <c r="C75" s="380">
        <v>160</v>
      </c>
      <c r="D75" s="381"/>
      <c r="E75" s="381">
        <v>90</v>
      </c>
      <c r="F75" s="381">
        <v>0</v>
      </c>
      <c r="G75" s="381">
        <v>0</v>
      </c>
      <c r="H75" s="382">
        <v>0</v>
      </c>
      <c r="I75" s="382">
        <v>250</v>
      </c>
      <c r="J75" s="381"/>
      <c r="K75" s="381">
        <v>0</v>
      </c>
      <c r="L75" s="381">
        <v>0</v>
      </c>
      <c r="M75" s="382">
        <v>0</v>
      </c>
      <c r="N75" s="382">
        <v>0</v>
      </c>
      <c r="O75" s="381"/>
      <c r="P75" s="381"/>
      <c r="Q75" s="382"/>
      <c r="R75" s="382"/>
      <c r="S75" s="382">
        <v>38</v>
      </c>
      <c r="T75" s="382">
        <v>38</v>
      </c>
      <c r="U75" s="382">
        <v>288</v>
      </c>
      <c r="V75"/>
      <c r="W75"/>
      <c r="X75"/>
      <c r="Y75"/>
    </row>
    <row r="76" spans="1:25" ht="15.75">
      <c r="A76" s="684"/>
      <c r="B76" s="689" t="s">
        <v>1059</v>
      </c>
      <c r="C76" s="383">
        <v>0.1111111111111111</v>
      </c>
      <c r="D76" s="384">
        <v>0</v>
      </c>
      <c r="E76" s="384">
        <v>0.34328358208955223</v>
      </c>
      <c r="F76" s="384">
        <v>0</v>
      </c>
      <c r="G76" s="384">
        <v>0</v>
      </c>
      <c r="H76" s="385">
        <v>0</v>
      </c>
      <c r="I76" s="385">
        <v>0.18483412322274881</v>
      </c>
      <c r="J76" s="384">
        <v>0</v>
      </c>
      <c r="K76" s="384">
        <v>0</v>
      </c>
      <c r="L76" s="384">
        <v>0</v>
      </c>
      <c r="M76" s="385">
        <v>0</v>
      </c>
      <c r="N76" s="385">
        <v>0</v>
      </c>
      <c r="O76" s="384">
        <v>0</v>
      </c>
      <c r="P76" s="384">
        <v>0</v>
      </c>
      <c r="Q76" s="385">
        <v>0</v>
      </c>
      <c r="R76" s="385">
        <v>0</v>
      </c>
      <c r="S76" s="385">
        <v>0.65217391304347827</v>
      </c>
      <c r="T76" s="692">
        <v>0.65217391304347827</v>
      </c>
      <c r="U76" s="385">
        <v>0.23076923076923078</v>
      </c>
      <c r="V76"/>
      <c r="W76"/>
      <c r="X76"/>
      <c r="Y76"/>
    </row>
    <row r="77" spans="1:25" s="386" customFormat="1" ht="15.75">
      <c r="A77" s="684"/>
      <c r="B77" s="687" t="s">
        <v>1060</v>
      </c>
      <c r="C77" s="674">
        <v>130</v>
      </c>
      <c r="D77" s="675"/>
      <c r="E77" s="675">
        <v>123</v>
      </c>
      <c r="F77" s="675"/>
      <c r="G77" s="675"/>
      <c r="H77" s="676"/>
      <c r="I77" s="676">
        <v>253</v>
      </c>
      <c r="J77" s="675"/>
      <c r="K77" s="675"/>
      <c r="L77" s="675"/>
      <c r="M77" s="676"/>
      <c r="N77" s="676"/>
      <c r="O77" s="675"/>
      <c r="P77" s="675"/>
      <c r="Q77" s="676"/>
      <c r="R77" s="676"/>
      <c r="S77" s="676"/>
      <c r="T77" s="676"/>
      <c r="U77" s="676">
        <v>253</v>
      </c>
      <c r="V77"/>
      <c r="W77"/>
      <c r="X77"/>
      <c r="Y77"/>
    </row>
    <row r="78" spans="1:25" ht="15.75">
      <c r="A78" s="684"/>
      <c r="B78" s="688" t="s">
        <v>1061</v>
      </c>
      <c r="C78" s="380">
        <v>122</v>
      </c>
      <c r="D78" s="381"/>
      <c r="E78" s="381">
        <v>121</v>
      </c>
      <c r="F78" s="381"/>
      <c r="G78" s="381"/>
      <c r="H78" s="382"/>
      <c r="I78" s="382">
        <v>243</v>
      </c>
      <c r="J78" s="381"/>
      <c r="K78" s="381"/>
      <c r="L78" s="381"/>
      <c r="M78" s="382"/>
      <c r="N78" s="382"/>
      <c r="O78" s="381"/>
      <c r="P78" s="381"/>
      <c r="Q78" s="382"/>
      <c r="R78" s="382"/>
      <c r="S78" s="382"/>
      <c r="T78" s="382"/>
      <c r="U78" s="382">
        <v>243</v>
      </c>
      <c r="V78"/>
      <c r="W78"/>
      <c r="X78"/>
      <c r="Y78"/>
    </row>
    <row r="79" spans="1:25" ht="15.75">
      <c r="A79" s="684"/>
      <c r="B79" s="689" t="s">
        <v>1062</v>
      </c>
      <c r="C79" s="383">
        <v>-6.1538461538461542E-2</v>
      </c>
      <c r="D79" s="384">
        <v>0</v>
      </c>
      <c r="E79" s="384">
        <v>-1.6260162601626018E-2</v>
      </c>
      <c r="F79" s="384">
        <v>0</v>
      </c>
      <c r="G79" s="384">
        <v>0</v>
      </c>
      <c r="H79" s="385">
        <v>0</v>
      </c>
      <c r="I79" s="385">
        <v>-3.9525691699604744E-2</v>
      </c>
      <c r="J79" s="384">
        <v>0</v>
      </c>
      <c r="K79" s="384">
        <v>0</v>
      </c>
      <c r="L79" s="384">
        <v>0</v>
      </c>
      <c r="M79" s="385">
        <v>0</v>
      </c>
      <c r="N79" s="385">
        <v>0</v>
      </c>
      <c r="O79" s="384">
        <v>0</v>
      </c>
      <c r="P79" s="384">
        <v>0</v>
      </c>
      <c r="Q79" s="385">
        <v>0</v>
      </c>
      <c r="R79" s="385">
        <v>0</v>
      </c>
      <c r="S79" s="385">
        <v>0</v>
      </c>
      <c r="T79" s="385">
        <v>0</v>
      </c>
      <c r="U79" s="385">
        <v>-3.9525691699604744E-2</v>
      </c>
      <c r="V79"/>
      <c r="W79"/>
      <c r="X79"/>
      <c r="Y79"/>
    </row>
    <row r="80" spans="1:25" s="386" customFormat="1" ht="15.75">
      <c r="A80" s="684"/>
      <c r="B80" s="687" t="s">
        <v>1063</v>
      </c>
      <c r="C80" s="674"/>
      <c r="D80" s="675"/>
      <c r="E80" s="675"/>
      <c r="F80" s="675"/>
      <c r="G80" s="675"/>
      <c r="H80" s="676"/>
      <c r="I80" s="676"/>
      <c r="J80" s="675"/>
      <c r="K80" s="675"/>
      <c r="L80" s="675"/>
      <c r="M80" s="676"/>
      <c r="N80" s="676"/>
      <c r="O80" s="675"/>
      <c r="P80" s="675"/>
      <c r="Q80" s="676"/>
      <c r="R80" s="676"/>
      <c r="S80" s="676">
        <v>140</v>
      </c>
      <c r="T80" s="676">
        <v>140</v>
      </c>
      <c r="U80" s="676">
        <v>140</v>
      </c>
      <c r="V80"/>
      <c r="W80"/>
      <c r="X80"/>
      <c r="Y80"/>
    </row>
    <row r="81" spans="1:25" ht="15.75">
      <c r="A81" s="684"/>
      <c r="B81" s="688" t="s">
        <v>1064</v>
      </c>
      <c r="C81" s="380"/>
      <c r="D81" s="381"/>
      <c r="E81" s="381"/>
      <c r="F81" s="381"/>
      <c r="G81" s="381"/>
      <c r="H81" s="382"/>
      <c r="I81" s="382"/>
      <c r="J81" s="381"/>
      <c r="K81" s="381"/>
      <c r="L81" s="381"/>
      <c r="M81" s="382"/>
      <c r="N81" s="382"/>
      <c r="O81" s="381"/>
      <c r="P81" s="381"/>
      <c r="Q81" s="382"/>
      <c r="R81" s="382"/>
      <c r="S81" s="382">
        <v>142</v>
      </c>
      <c r="T81" s="382">
        <v>142</v>
      </c>
      <c r="U81" s="382">
        <v>142</v>
      </c>
      <c r="V81"/>
      <c r="W81"/>
      <c r="X81"/>
      <c r="Y81"/>
    </row>
    <row r="82" spans="1:25" ht="15.75">
      <c r="A82" s="684"/>
      <c r="B82" s="689" t="s">
        <v>1065</v>
      </c>
      <c r="C82" s="383">
        <v>0</v>
      </c>
      <c r="D82" s="384">
        <v>0</v>
      </c>
      <c r="E82" s="384">
        <v>0</v>
      </c>
      <c r="F82" s="384">
        <v>0</v>
      </c>
      <c r="G82" s="384">
        <v>0</v>
      </c>
      <c r="H82" s="385">
        <v>0</v>
      </c>
      <c r="I82" s="385">
        <v>0</v>
      </c>
      <c r="J82" s="384">
        <v>0</v>
      </c>
      <c r="K82" s="384">
        <v>0</v>
      </c>
      <c r="L82" s="384">
        <v>0</v>
      </c>
      <c r="M82" s="385">
        <v>0</v>
      </c>
      <c r="N82" s="385">
        <v>0</v>
      </c>
      <c r="O82" s="384">
        <v>0</v>
      </c>
      <c r="P82" s="384">
        <v>0</v>
      </c>
      <c r="Q82" s="385">
        <v>0</v>
      </c>
      <c r="R82" s="385">
        <v>0</v>
      </c>
      <c r="S82" s="385">
        <v>1.4285714285714285E-2</v>
      </c>
      <c r="T82" s="385">
        <v>1.4285714285714285E-2</v>
      </c>
      <c r="U82" s="385">
        <v>1.4285714285714285E-2</v>
      </c>
      <c r="V82"/>
      <c r="W82"/>
      <c r="X82"/>
      <c r="Y82"/>
    </row>
    <row r="83" spans="1:25" s="386" customFormat="1" ht="15.75">
      <c r="A83" s="684"/>
      <c r="B83" s="687" t="s">
        <v>1066</v>
      </c>
      <c r="C83" s="674"/>
      <c r="D83" s="675"/>
      <c r="E83" s="675"/>
      <c r="F83" s="675"/>
      <c r="G83" s="675"/>
      <c r="H83" s="676"/>
      <c r="I83" s="676"/>
      <c r="J83" s="675"/>
      <c r="K83" s="675"/>
      <c r="L83" s="675"/>
      <c r="M83" s="676"/>
      <c r="N83" s="676"/>
      <c r="O83" s="675"/>
      <c r="P83" s="675"/>
      <c r="Q83" s="676"/>
      <c r="R83" s="676"/>
      <c r="S83" s="676"/>
      <c r="T83" s="676"/>
      <c r="U83" s="676"/>
      <c r="V83"/>
      <c r="W83"/>
      <c r="X83"/>
      <c r="Y83"/>
    </row>
    <row r="84" spans="1:25" ht="15.75">
      <c r="A84" s="684"/>
      <c r="B84" s="688" t="s">
        <v>1067</v>
      </c>
      <c r="C84" s="380"/>
      <c r="D84" s="381"/>
      <c r="E84" s="381"/>
      <c r="F84" s="381"/>
      <c r="G84" s="381"/>
      <c r="H84" s="382"/>
      <c r="I84" s="382"/>
      <c r="J84" s="381"/>
      <c r="K84" s="381"/>
      <c r="L84" s="381"/>
      <c r="M84" s="382"/>
      <c r="N84" s="382"/>
      <c r="O84" s="381"/>
      <c r="P84" s="381"/>
      <c r="Q84" s="382"/>
      <c r="R84" s="382"/>
      <c r="S84" s="382"/>
      <c r="T84" s="382"/>
      <c r="U84" s="382"/>
      <c r="V84"/>
      <c r="W84"/>
      <c r="X84"/>
      <c r="Y84"/>
    </row>
    <row r="85" spans="1:25" ht="15.75">
      <c r="A85" s="684"/>
      <c r="B85" s="689" t="s">
        <v>1068</v>
      </c>
      <c r="C85" s="383">
        <v>0</v>
      </c>
      <c r="D85" s="384">
        <v>0</v>
      </c>
      <c r="E85" s="384">
        <v>0</v>
      </c>
      <c r="F85" s="384">
        <v>0</v>
      </c>
      <c r="G85" s="384">
        <v>0</v>
      </c>
      <c r="H85" s="385">
        <v>0</v>
      </c>
      <c r="I85" s="385">
        <v>0</v>
      </c>
      <c r="J85" s="384">
        <v>0</v>
      </c>
      <c r="K85" s="384">
        <v>0</v>
      </c>
      <c r="L85" s="384">
        <v>0</v>
      </c>
      <c r="M85" s="385">
        <v>0</v>
      </c>
      <c r="N85" s="385">
        <v>0</v>
      </c>
      <c r="O85" s="384">
        <v>0</v>
      </c>
      <c r="P85" s="384">
        <v>0</v>
      </c>
      <c r="Q85" s="385">
        <v>0</v>
      </c>
      <c r="R85" s="385">
        <v>0</v>
      </c>
      <c r="S85" s="385">
        <v>0</v>
      </c>
      <c r="T85" s="385">
        <v>0</v>
      </c>
      <c r="U85" s="385">
        <v>0</v>
      </c>
      <c r="V85"/>
      <c r="W85"/>
      <c r="X85"/>
      <c r="Y85"/>
    </row>
    <row r="86" spans="1:25" s="386" customFormat="1" ht="15.75">
      <c r="A86" s="684"/>
      <c r="B86" s="687" t="s">
        <v>1069</v>
      </c>
      <c r="C86" s="674"/>
      <c r="D86" s="675"/>
      <c r="E86" s="675"/>
      <c r="F86" s="675"/>
      <c r="G86" s="675"/>
      <c r="H86" s="676"/>
      <c r="I86" s="676"/>
      <c r="J86" s="675"/>
      <c r="K86" s="675"/>
      <c r="L86" s="675"/>
      <c r="M86" s="676"/>
      <c r="N86" s="676"/>
      <c r="O86" s="675"/>
      <c r="P86" s="675"/>
      <c r="Q86" s="676"/>
      <c r="R86" s="676"/>
      <c r="S86" s="676">
        <v>114</v>
      </c>
      <c r="T86" s="676">
        <v>114</v>
      </c>
      <c r="U86" s="676">
        <v>114</v>
      </c>
      <c r="V86"/>
      <c r="W86"/>
      <c r="X86"/>
      <c r="Y86"/>
    </row>
    <row r="87" spans="1:25" ht="15.75">
      <c r="A87" s="684"/>
      <c r="B87" s="688" t="s">
        <v>1070</v>
      </c>
      <c r="C87" s="380"/>
      <c r="D87" s="381"/>
      <c r="E87" s="381"/>
      <c r="F87" s="381"/>
      <c r="G87" s="381"/>
      <c r="H87" s="382"/>
      <c r="I87" s="382"/>
      <c r="J87" s="381"/>
      <c r="K87" s="381"/>
      <c r="L87" s="381"/>
      <c r="M87" s="382"/>
      <c r="N87" s="382"/>
      <c r="O87" s="381"/>
      <c r="P87" s="381"/>
      <c r="Q87" s="382"/>
      <c r="R87" s="382"/>
      <c r="S87" s="382">
        <v>121</v>
      </c>
      <c r="T87" s="382">
        <v>121</v>
      </c>
      <c r="U87" s="382">
        <v>121</v>
      </c>
      <c r="V87"/>
      <c r="W87"/>
      <c r="X87"/>
      <c r="Y87"/>
    </row>
    <row r="88" spans="1:25" ht="15.75">
      <c r="A88" s="684"/>
      <c r="B88" s="689" t="s">
        <v>1071</v>
      </c>
      <c r="C88" s="383">
        <v>0</v>
      </c>
      <c r="D88" s="384">
        <v>0</v>
      </c>
      <c r="E88" s="384">
        <v>0</v>
      </c>
      <c r="F88" s="384">
        <v>0</v>
      </c>
      <c r="G88" s="384">
        <v>0</v>
      </c>
      <c r="H88" s="385">
        <v>0</v>
      </c>
      <c r="I88" s="385">
        <v>0</v>
      </c>
      <c r="J88" s="384">
        <v>0</v>
      </c>
      <c r="K88" s="384">
        <v>0</v>
      </c>
      <c r="L88" s="384">
        <v>0</v>
      </c>
      <c r="M88" s="385">
        <v>0</v>
      </c>
      <c r="N88" s="385">
        <v>0</v>
      </c>
      <c r="O88" s="384">
        <v>0</v>
      </c>
      <c r="P88" s="384">
        <v>0</v>
      </c>
      <c r="Q88" s="385">
        <v>0</v>
      </c>
      <c r="R88" s="385">
        <v>0</v>
      </c>
      <c r="S88" s="385">
        <v>6.1403508771929821E-2</v>
      </c>
      <c r="T88" s="385">
        <v>6.1403508771929821E-2</v>
      </c>
      <c r="U88" s="385">
        <v>6.1403508771929821E-2</v>
      </c>
      <c r="V88"/>
      <c r="W88"/>
      <c r="X88"/>
      <c r="Y88"/>
    </row>
    <row r="89" spans="1:25" s="386" customFormat="1" ht="15.75">
      <c r="A89" s="684"/>
      <c r="B89" s="687" t="s">
        <v>1072</v>
      </c>
      <c r="C89" s="674"/>
      <c r="D89" s="675"/>
      <c r="E89" s="675"/>
      <c r="F89" s="675"/>
      <c r="G89" s="675"/>
      <c r="H89" s="676"/>
      <c r="I89" s="676"/>
      <c r="J89" s="675"/>
      <c r="K89" s="675"/>
      <c r="L89" s="675"/>
      <c r="M89" s="676"/>
      <c r="N89" s="676"/>
      <c r="O89" s="675"/>
      <c r="P89" s="675"/>
      <c r="Q89" s="676"/>
      <c r="R89" s="676"/>
      <c r="S89" s="676"/>
      <c r="T89" s="676"/>
      <c r="U89" s="676"/>
      <c r="V89"/>
      <c r="W89"/>
      <c r="X89"/>
      <c r="Y89"/>
    </row>
    <row r="90" spans="1:25" ht="15.75">
      <c r="A90" s="684"/>
      <c r="B90" s="688" t="s">
        <v>1073</v>
      </c>
      <c r="C90" s="380"/>
      <c r="D90" s="381"/>
      <c r="E90" s="381"/>
      <c r="F90" s="381"/>
      <c r="G90" s="381"/>
      <c r="H90" s="382"/>
      <c r="I90" s="382"/>
      <c r="J90" s="381"/>
      <c r="K90" s="381"/>
      <c r="L90" s="381"/>
      <c r="M90" s="382"/>
      <c r="N90" s="382"/>
      <c r="O90" s="381"/>
      <c r="P90" s="381"/>
      <c r="Q90" s="382"/>
      <c r="R90" s="382"/>
      <c r="S90" s="382"/>
      <c r="T90" s="382"/>
      <c r="U90" s="382"/>
      <c r="V90"/>
      <c r="W90"/>
      <c r="X90"/>
      <c r="Y90"/>
    </row>
    <row r="91" spans="1:25" ht="15.75">
      <c r="A91" s="684"/>
      <c r="B91" s="689" t="s">
        <v>1074</v>
      </c>
      <c r="C91" s="383">
        <v>0</v>
      </c>
      <c r="D91" s="384">
        <v>0</v>
      </c>
      <c r="E91" s="384">
        <v>0</v>
      </c>
      <c r="F91" s="384">
        <v>0</v>
      </c>
      <c r="G91" s="384">
        <v>0</v>
      </c>
      <c r="H91" s="385">
        <v>0</v>
      </c>
      <c r="I91" s="385">
        <v>0</v>
      </c>
      <c r="J91" s="384">
        <v>0</v>
      </c>
      <c r="K91" s="384">
        <v>0</v>
      </c>
      <c r="L91" s="384">
        <v>0</v>
      </c>
      <c r="M91" s="385">
        <v>0</v>
      </c>
      <c r="N91" s="385">
        <v>0</v>
      </c>
      <c r="O91" s="384">
        <v>0</v>
      </c>
      <c r="P91" s="384">
        <v>0</v>
      </c>
      <c r="Q91" s="385">
        <v>0</v>
      </c>
      <c r="R91" s="385">
        <v>0</v>
      </c>
      <c r="S91" s="385">
        <v>0</v>
      </c>
      <c r="T91" s="385">
        <v>0</v>
      </c>
      <c r="U91" s="385">
        <v>0</v>
      </c>
      <c r="V91"/>
      <c r="W91"/>
      <c r="X91"/>
      <c r="Y91"/>
    </row>
    <row r="92" spans="1:25" s="386" customFormat="1" ht="15.75">
      <c r="A92" s="684"/>
      <c r="B92" s="687" t="s">
        <v>1075</v>
      </c>
      <c r="C92" s="674"/>
      <c r="D92" s="675"/>
      <c r="E92" s="675"/>
      <c r="F92" s="675"/>
      <c r="G92" s="675"/>
      <c r="H92" s="676"/>
      <c r="I92" s="676"/>
      <c r="J92" s="675"/>
      <c r="K92" s="675"/>
      <c r="L92" s="675"/>
      <c r="M92" s="676"/>
      <c r="N92" s="676"/>
      <c r="O92" s="675"/>
      <c r="P92" s="675"/>
      <c r="Q92" s="676"/>
      <c r="R92" s="676"/>
      <c r="S92" s="676"/>
      <c r="T92" s="676"/>
      <c r="U92" s="676"/>
      <c r="V92"/>
      <c r="W92"/>
      <c r="X92"/>
      <c r="Y92"/>
    </row>
    <row r="93" spans="1:25" ht="15.75">
      <c r="A93" s="684"/>
      <c r="B93" s="688" t="s">
        <v>1076</v>
      </c>
      <c r="C93" s="380"/>
      <c r="D93" s="381"/>
      <c r="E93" s="381"/>
      <c r="F93" s="381"/>
      <c r="G93" s="381"/>
      <c r="H93" s="382"/>
      <c r="I93" s="382"/>
      <c r="J93" s="381"/>
      <c r="K93" s="381"/>
      <c r="L93" s="381"/>
      <c r="M93" s="382"/>
      <c r="N93" s="382"/>
      <c r="O93" s="381"/>
      <c r="P93" s="381"/>
      <c r="Q93" s="382"/>
      <c r="R93" s="382"/>
      <c r="S93" s="382"/>
      <c r="T93" s="382"/>
      <c r="U93" s="382"/>
      <c r="V93"/>
      <c r="W93"/>
      <c r="X93"/>
      <c r="Y93"/>
    </row>
    <row r="94" spans="1:25" ht="15.75">
      <c r="A94" s="684"/>
      <c r="B94" s="689" t="s">
        <v>1077</v>
      </c>
      <c r="C94" s="383">
        <v>0</v>
      </c>
      <c r="D94" s="384">
        <v>0</v>
      </c>
      <c r="E94" s="384">
        <v>0</v>
      </c>
      <c r="F94" s="384">
        <v>0</v>
      </c>
      <c r="G94" s="384">
        <v>0</v>
      </c>
      <c r="H94" s="385">
        <v>0</v>
      </c>
      <c r="I94" s="385">
        <v>0</v>
      </c>
      <c r="J94" s="384">
        <v>0</v>
      </c>
      <c r="K94" s="384">
        <v>0</v>
      </c>
      <c r="L94" s="384">
        <v>0</v>
      </c>
      <c r="M94" s="385">
        <v>0</v>
      </c>
      <c r="N94" s="385">
        <v>0</v>
      </c>
      <c r="O94" s="384">
        <v>0</v>
      </c>
      <c r="P94" s="384">
        <v>0</v>
      </c>
      <c r="Q94" s="385">
        <v>0</v>
      </c>
      <c r="R94" s="385">
        <v>0</v>
      </c>
      <c r="S94" s="385">
        <v>0</v>
      </c>
      <c r="T94" s="385">
        <v>0</v>
      </c>
      <c r="U94" s="385">
        <v>0</v>
      </c>
      <c r="V94"/>
      <c r="W94"/>
      <c r="X94"/>
      <c r="Y94"/>
    </row>
    <row r="95" spans="1:25" s="386" customFormat="1" ht="15.75">
      <c r="A95" s="684"/>
      <c r="B95" s="687" t="s">
        <v>1078</v>
      </c>
      <c r="C95" s="674"/>
      <c r="D95" s="675"/>
      <c r="E95" s="675"/>
      <c r="F95" s="675"/>
      <c r="G95" s="675"/>
      <c r="H95" s="676"/>
      <c r="I95" s="676"/>
      <c r="J95" s="675"/>
      <c r="K95" s="675"/>
      <c r="L95" s="675"/>
      <c r="M95" s="676"/>
      <c r="N95" s="676"/>
      <c r="O95" s="675"/>
      <c r="P95" s="675"/>
      <c r="Q95" s="676"/>
      <c r="R95" s="676"/>
      <c r="S95" s="676"/>
      <c r="T95" s="676"/>
      <c r="U95" s="676"/>
      <c r="V95"/>
      <c r="W95"/>
      <c r="X95"/>
      <c r="Y95"/>
    </row>
    <row r="96" spans="1:25" ht="15.75">
      <c r="A96" s="684"/>
      <c r="B96" s="688" t="s">
        <v>1079</v>
      </c>
      <c r="C96" s="380"/>
      <c r="D96" s="381"/>
      <c r="E96" s="381"/>
      <c r="F96" s="381"/>
      <c r="G96" s="381"/>
      <c r="H96" s="382"/>
      <c r="I96" s="382"/>
      <c r="J96" s="381"/>
      <c r="K96" s="381"/>
      <c r="L96" s="381"/>
      <c r="M96" s="382"/>
      <c r="N96" s="382"/>
      <c r="O96" s="381"/>
      <c r="P96" s="381"/>
      <c r="Q96" s="382"/>
      <c r="R96" s="382"/>
      <c r="S96" s="382"/>
      <c r="T96" s="382"/>
      <c r="U96" s="382"/>
      <c r="V96"/>
      <c r="W96"/>
      <c r="X96"/>
      <c r="Y96"/>
    </row>
    <row r="97" spans="1:25" ht="15.75">
      <c r="A97" s="684"/>
      <c r="B97" s="689" t="s">
        <v>1080</v>
      </c>
      <c r="C97" s="383">
        <v>0</v>
      </c>
      <c r="D97" s="384">
        <v>0</v>
      </c>
      <c r="E97" s="384">
        <v>0</v>
      </c>
      <c r="F97" s="384">
        <v>0</v>
      </c>
      <c r="G97" s="384">
        <v>0</v>
      </c>
      <c r="H97" s="385">
        <v>0</v>
      </c>
      <c r="I97" s="385">
        <v>0</v>
      </c>
      <c r="J97" s="384">
        <v>0</v>
      </c>
      <c r="K97" s="384">
        <v>0</v>
      </c>
      <c r="L97" s="384">
        <v>0</v>
      </c>
      <c r="M97" s="385">
        <v>0</v>
      </c>
      <c r="N97" s="385">
        <v>0</v>
      </c>
      <c r="O97" s="384">
        <v>0</v>
      </c>
      <c r="P97" s="384">
        <v>0</v>
      </c>
      <c r="Q97" s="385">
        <v>0</v>
      </c>
      <c r="R97" s="385">
        <v>0</v>
      </c>
      <c r="S97" s="385">
        <v>0</v>
      </c>
      <c r="T97" s="385">
        <v>0</v>
      </c>
      <c r="U97" s="385">
        <v>0</v>
      </c>
      <c r="V97"/>
      <c r="W97"/>
      <c r="X97"/>
      <c r="Y97"/>
    </row>
    <row r="98" spans="1:25" s="386" customFormat="1" ht="15.75">
      <c r="A98" s="684"/>
      <c r="B98" s="687" t="s">
        <v>1081</v>
      </c>
      <c r="C98" s="674"/>
      <c r="D98" s="675"/>
      <c r="E98" s="675"/>
      <c r="F98" s="675"/>
      <c r="G98" s="675"/>
      <c r="H98" s="676"/>
      <c r="I98" s="676"/>
      <c r="J98" s="675"/>
      <c r="K98" s="675"/>
      <c r="L98" s="675"/>
      <c r="M98" s="676"/>
      <c r="N98" s="676"/>
      <c r="O98" s="675"/>
      <c r="P98" s="675"/>
      <c r="Q98" s="676"/>
      <c r="R98" s="676"/>
      <c r="S98" s="676"/>
      <c r="T98" s="676"/>
      <c r="U98" s="676"/>
      <c r="V98"/>
      <c r="W98"/>
      <c r="X98"/>
      <c r="Y98"/>
    </row>
    <row r="99" spans="1:25" ht="15.75">
      <c r="A99" s="684"/>
      <c r="B99" s="688" t="s">
        <v>1082</v>
      </c>
      <c r="C99" s="380"/>
      <c r="D99" s="381"/>
      <c r="E99" s="381"/>
      <c r="F99" s="381"/>
      <c r="G99" s="381"/>
      <c r="H99" s="382"/>
      <c r="I99" s="382"/>
      <c r="J99" s="381"/>
      <c r="K99" s="381"/>
      <c r="L99" s="381"/>
      <c r="M99" s="382"/>
      <c r="N99" s="382"/>
      <c r="O99" s="381"/>
      <c r="P99" s="381"/>
      <c r="Q99" s="382"/>
      <c r="R99" s="382"/>
      <c r="S99" s="382"/>
      <c r="T99" s="382"/>
      <c r="U99" s="382"/>
      <c r="V99"/>
      <c r="W99"/>
      <c r="X99"/>
      <c r="Y99"/>
    </row>
    <row r="100" spans="1:25" ht="15.75">
      <c r="A100" s="684"/>
      <c r="B100" s="689" t="s">
        <v>1083</v>
      </c>
      <c r="C100" s="383">
        <v>0</v>
      </c>
      <c r="D100" s="384">
        <v>0</v>
      </c>
      <c r="E100" s="384">
        <v>0</v>
      </c>
      <c r="F100" s="384">
        <v>0</v>
      </c>
      <c r="G100" s="384">
        <v>0</v>
      </c>
      <c r="H100" s="385">
        <v>0</v>
      </c>
      <c r="I100" s="385">
        <v>0</v>
      </c>
      <c r="J100" s="384">
        <v>0</v>
      </c>
      <c r="K100" s="384">
        <v>0</v>
      </c>
      <c r="L100" s="384">
        <v>0</v>
      </c>
      <c r="M100" s="385">
        <v>0</v>
      </c>
      <c r="N100" s="385">
        <v>0</v>
      </c>
      <c r="O100" s="384">
        <v>0</v>
      </c>
      <c r="P100" s="384">
        <v>0</v>
      </c>
      <c r="Q100" s="385">
        <v>0</v>
      </c>
      <c r="R100" s="385">
        <v>0</v>
      </c>
      <c r="S100" s="385">
        <v>0</v>
      </c>
      <c r="T100" s="385">
        <v>0</v>
      </c>
      <c r="U100" s="385">
        <v>0</v>
      </c>
      <c r="V100"/>
      <c r="W100"/>
      <c r="X100"/>
      <c r="Y100"/>
    </row>
    <row r="101" spans="1:25" s="386" customFormat="1" ht="15.75">
      <c r="A101" s="684"/>
      <c r="B101" s="687" t="s">
        <v>1084</v>
      </c>
      <c r="C101" s="674"/>
      <c r="D101" s="675"/>
      <c r="E101" s="675"/>
      <c r="F101" s="675"/>
      <c r="G101" s="675"/>
      <c r="H101" s="676"/>
      <c r="I101" s="676"/>
      <c r="J101" s="675"/>
      <c r="K101" s="675"/>
      <c r="L101" s="675"/>
      <c r="M101" s="676"/>
      <c r="N101" s="676"/>
      <c r="O101" s="675"/>
      <c r="P101" s="675"/>
      <c r="Q101" s="676"/>
      <c r="R101" s="676"/>
      <c r="S101" s="676"/>
      <c r="T101" s="676"/>
      <c r="U101" s="676"/>
      <c r="V101"/>
      <c r="W101"/>
      <c r="X101"/>
      <c r="Y101"/>
    </row>
    <row r="102" spans="1:25" ht="15.75">
      <c r="A102" s="684"/>
      <c r="B102" s="688" t="s">
        <v>1085</v>
      </c>
      <c r="C102" s="380"/>
      <c r="D102" s="381"/>
      <c r="E102" s="381"/>
      <c r="F102" s="381"/>
      <c r="G102" s="381"/>
      <c r="H102" s="382"/>
      <c r="I102" s="382"/>
      <c r="J102" s="381"/>
      <c r="K102" s="381"/>
      <c r="L102" s="381"/>
      <c r="M102" s="382"/>
      <c r="N102" s="382"/>
      <c r="O102" s="381"/>
      <c r="P102" s="381"/>
      <c r="Q102" s="382"/>
      <c r="R102" s="382"/>
      <c r="S102" s="382"/>
      <c r="T102" s="382"/>
      <c r="U102" s="382"/>
      <c r="V102"/>
      <c r="W102"/>
      <c r="X102"/>
      <c r="Y102"/>
    </row>
    <row r="103" spans="1:25" ht="15.75">
      <c r="A103" s="684"/>
      <c r="B103" s="689" t="s">
        <v>1086</v>
      </c>
      <c r="C103" s="383">
        <v>0</v>
      </c>
      <c r="D103" s="384">
        <v>0</v>
      </c>
      <c r="E103" s="384">
        <v>0</v>
      </c>
      <c r="F103" s="384">
        <v>0</v>
      </c>
      <c r="G103" s="384">
        <v>0</v>
      </c>
      <c r="H103" s="385">
        <v>0</v>
      </c>
      <c r="I103" s="385">
        <v>0</v>
      </c>
      <c r="J103" s="384">
        <v>0</v>
      </c>
      <c r="K103" s="384">
        <v>0</v>
      </c>
      <c r="L103" s="384">
        <v>0</v>
      </c>
      <c r="M103" s="385">
        <v>0</v>
      </c>
      <c r="N103" s="385">
        <v>0</v>
      </c>
      <c r="O103" s="384">
        <v>0</v>
      </c>
      <c r="P103" s="384">
        <v>0</v>
      </c>
      <c r="Q103" s="385">
        <v>0</v>
      </c>
      <c r="R103" s="385">
        <v>0</v>
      </c>
      <c r="S103" s="385">
        <v>0</v>
      </c>
      <c r="T103" s="385">
        <v>0</v>
      </c>
      <c r="U103" s="385">
        <v>0</v>
      </c>
      <c r="V103"/>
      <c r="W103"/>
      <c r="X103"/>
      <c r="Y103"/>
    </row>
    <row r="104" spans="1:25" s="386" customFormat="1" ht="15.75">
      <c r="A104" s="684"/>
      <c r="B104" s="687" t="s">
        <v>1248</v>
      </c>
      <c r="C104" s="674"/>
      <c r="D104" s="675"/>
      <c r="E104" s="675"/>
      <c r="F104" s="675"/>
      <c r="G104" s="675"/>
      <c r="H104" s="676"/>
      <c r="I104" s="676"/>
      <c r="J104" s="675"/>
      <c r="K104" s="675"/>
      <c r="L104" s="675"/>
      <c r="M104" s="676"/>
      <c r="N104" s="676"/>
      <c r="O104" s="675"/>
      <c r="P104" s="675"/>
      <c r="Q104" s="676"/>
      <c r="R104" s="676"/>
      <c r="S104" s="676"/>
      <c r="T104" s="676"/>
      <c r="U104" s="676"/>
      <c r="V104"/>
      <c r="W104"/>
      <c r="X104"/>
      <c r="Y104"/>
    </row>
    <row r="105" spans="1:25" ht="15.75">
      <c r="A105" s="685"/>
      <c r="B105" s="690" t="s">
        <v>1250</v>
      </c>
      <c r="C105" s="576"/>
      <c r="D105" s="577"/>
      <c r="E105" s="577"/>
      <c r="F105" s="577"/>
      <c r="G105" s="577"/>
      <c r="H105" s="578"/>
      <c r="I105" s="578"/>
      <c r="J105" s="577"/>
      <c r="K105" s="577"/>
      <c r="L105" s="577"/>
      <c r="M105" s="578"/>
      <c r="N105" s="578"/>
      <c r="O105" s="577"/>
      <c r="P105" s="577"/>
      <c r="Q105" s="578"/>
      <c r="R105" s="578"/>
      <c r="S105" s="578"/>
      <c r="T105" s="578"/>
      <c r="U105" s="578"/>
      <c r="V105"/>
      <c r="W105"/>
      <c r="X105"/>
      <c r="Y105"/>
    </row>
    <row r="106" spans="1:25" ht="15.75">
      <c r="A106" s="683" t="s">
        <v>950</v>
      </c>
      <c r="B106" s="687" t="s">
        <v>1039</v>
      </c>
      <c r="C106" s="674"/>
      <c r="D106" s="675"/>
      <c r="E106" s="675"/>
      <c r="F106" s="675"/>
      <c r="G106" s="675"/>
      <c r="H106" s="676"/>
      <c r="I106" s="676"/>
      <c r="J106" s="675"/>
      <c r="K106" s="675"/>
      <c r="L106" s="675">
        <v>883</v>
      </c>
      <c r="M106" s="676"/>
      <c r="N106" s="676">
        <v>883</v>
      </c>
      <c r="O106" s="675"/>
      <c r="P106" s="675"/>
      <c r="Q106" s="676"/>
      <c r="R106" s="676"/>
      <c r="S106" s="676"/>
      <c r="T106" s="676"/>
      <c r="U106" s="676">
        <v>883</v>
      </c>
      <c r="V106"/>
      <c r="W106"/>
      <c r="X106"/>
      <c r="Y106"/>
    </row>
    <row r="107" spans="1:25" s="386" customFormat="1" ht="15.75">
      <c r="A107" s="684"/>
      <c r="B107" s="688" t="s">
        <v>1040</v>
      </c>
      <c r="C107" s="380"/>
      <c r="D107" s="381"/>
      <c r="E107" s="381"/>
      <c r="F107" s="381"/>
      <c r="G107" s="381"/>
      <c r="H107" s="382"/>
      <c r="I107" s="382"/>
      <c r="J107" s="381"/>
      <c r="K107" s="381"/>
      <c r="L107" s="381">
        <v>748</v>
      </c>
      <c r="M107" s="382"/>
      <c r="N107" s="382">
        <v>748</v>
      </c>
      <c r="O107" s="381"/>
      <c r="P107" s="381"/>
      <c r="Q107" s="382"/>
      <c r="R107" s="382"/>
      <c r="S107" s="382"/>
      <c r="T107" s="382"/>
      <c r="U107" s="382">
        <v>748</v>
      </c>
      <c r="V107"/>
      <c r="W107"/>
      <c r="X107"/>
      <c r="Y107"/>
    </row>
    <row r="108" spans="1:25" ht="15.75">
      <c r="A108" s="684"/>
      <c r="B108" s="689" t="s">
        <v>1041</v>
      </c>
      <c r="C108" s="383">
        <v>0</v>
      </c>
      <c r="D108" s="384">
        <v>0</v>
      </c>
      <c r="E108" s="384">
        <v>0</v>
      </c>
      <c r="F108" s="384">
        <v>0</v>
      </c>
      <c r="G108" s="384">
        <v>0</v>
      </c>
      <c r="H108" s="385">
        <v>0</v>
      </c>
      <c r="I108" s="385">
        <v>0</v>
      </c>
      <c r="J108" s="384">
        <v>0</v>
      </c>
      <c r="K108" s="384">
        <v>0</v>
      </c>
      <c r="L108" s="384">
        <v>-0.15288788221970556</v>
      </c>
      <c r="M108" s="385">
        <v>0</v>
      </c>
      <c r="N108" s="385">
        <v>-0.15288788221970556</v>
      </c>
      <c r="O108" s="384">
        <v>0</v>
      </c>
      <c r="P108" s="384">
        <v>0</v>
      </c>
      <c r="Q108" s="385">
        <v>0</v>
      </c>
      <c r="R108" s="385">
        <v>0</v>
      </c>
      <c r="S108" s="385">
        <v>0</v>
      </c>
      <c r="T108" s="385">
        <v>0</v>
      </c>
      <c r="U108" s="385">
        <v>-0.15288788221970556</v>
      </c>
      <c r="V108"/>
      <c r="W108"/>
      <c r="X108"/>
      <c r="Y108"/>
    </row>
    <row r="109" spans="1:25" ht="15.75">
      <c r="A109" s="684"/>
      <c r="B109" s="687" t="s">
        <v>1042</v>
      </c>
      <c r="C109" s="674"/>
      <c r="D109" s="675"/>
      <c r="E109" s="675"/>
      <c r="F109" s="675"/>
      <c r="G109" s="675"/>
      <c r="H109" s="676"/>
      <c r="I109" s="676"/>
      <c r="J109" s="675"/>
      <c r="K109" s="675"/>
      <c r="L109" s="675"/>
      <c r="M109" s="676"/>
      <c r="N109" s="676"/>
      <c r="O109" s="675"/>
      <c r="P109" s="675"/>
      <c r="Q109" s="676"/>
      <c r="R109" s="676"/>
      <c r="S109" s="676"/>
      <c r="T109" s="676"/>
      <c r="U109" s="676"/>
      <c r="V109"/>
      <c r="W109"/>
      <c r="X109"/>
      <c r="Y109"/>
    </row>
    <row r="110" spans="1:25" s="386" customFormat="1" ht="15.75">
      <c r="A110" s="684"/>
      <c r="B110" s="688" t="s">
        <v>1043</v>
      </c>
      <c r="C110" s="380"/>
      <c r="D110" s="381"/>
      <c r="E110" s="381"/>
      <c r="F110" s="381"/>
      <c r="G110" s="381"/>
      <c r="H110" s="382"/>
      <c r="I110" s="382"/>
      <c r="J110" s="381"/>
      <c r="K110" s="381"/>
      <c r="L110" s="381"/>
      <c r="M110" s="382"/>
      <c r="N110" s="382"/>
      <c r="O110" s="381"/>
      <c r="P110" s="381"/>
      <c r="Q110" s="382"/>
      <c r="R110" s="382"/>
      <c r="S110" s="382"/>
      <c r="T110" s="382"/>
      <c r="U110" s="382"/>
      <c r="V110"/>
      <c r="W110"/>
      <c r="X110"/>
      <c r="Y110"/>
    </row>
    <row r="111" spans="1:25" ht="15.75">
      <c r="A111" s="684"/>
      <c r="B111" s="689" t="s">
        <v>1044</v>
      </c>
      <c r="C111" s="383">
        <v>0</v>
      </c>
      <c r="D111" s="384">
        <v>0</v>
      </c>
      <c r="E111" s="384">
        <v>0</v>
      </c>
      <c r="F111" s="384">
        <v>0</v>
      </c>
      <c r="G111" s="384">
        <v>0</v>
      </c>
      <c r="H111" s="385">
        <v>0</v>
      </c>
      <c r="I111" s="385">
        <v>0</v>
      </c>
      <c r="J111" s="384">
        <v>0</v>
      </c>
      <c r="K111" s="384">
        <v>0</v>
      </c>
      <c r="L111" s="384">
        <v>0</v>
      </c>
      <c r="M111" s="385">
        <v>0</v>
      </c>
      <c r="N111" s="385">
        <v>0</v>
      </c>
      <c r="O111" s="384">
        <v>0</v>
      </c>
      <c r="P111" s="384">
        <v>0</v>
      </c>
      <c r="Q111" s="385">
        <v>0</v>
      </c>
      <c r="R111" s="385">
        <v>0</v>
      </c>
      <c r="S111" s="385">
        <v>0</v>
      </c>
      <c r="T111" s="385">
        <v>0</v>
      </c>
      <c r="U111" s="385">
        <v>0</v>
      </c>
      <c r="V111"/>
      <c r="W111"/>
      <c r="X111"/>
      <c r="Y111"/>
    </row>
    <row r="112" spans="1:25" ht="15.75">
      <c r="A112" s="684"/>
      <c r="B112" s="687" t="s">
        <v>1045</v>
      </c>
      <c r="C112" s="674">
        <v>188</v>
      </c>
      <c r="D112" s="675"/>
      <c r="E112" s="675"/>
      <c r="F112" s="675"/>
      <c r="G112" s="675"/>
      <c r="H112" s="676"/>
      <c r="I112" s="676">
        <v>188</v>
      </c>
      <c r="J112" s="675"/>
      <c r="K112" s="675"/>
      <c r="L112" s="675">
        <v>1126</v>
      </c>
      <c r="M112" s="676"/>
      <c r="N112" s="676">
        <v>1126</v>
      </c>
      <c r="O112" s="675"/>
      <c r="P112" s="675"/>
      <c r="Q112" s="676"/>
      <c r="R112" s="676"/>
      <c r="S112" s="676"/>
      <c r="T112" s="676"/>
      <c r="U112" s="676">
        <v>1314</v>
      </c>
      <c r="V112"/>
      <c r="W112"/>
      <c r="X112"/>
      <c r="Y112"/>
    </row>
    <row r="113" spans="1:25" s="386" customFormat="1" ht="15.75">
      <c r="A113" s="684"/>
      <c r="B113" s="688" t="s">
        <v>1046</v>
      </c>
      <c r="C113" s="380">
        <v>195</v>
      </c>
      <c r="D113" s="381"/>
      <c r="E113" s="381"/>
      <c r="F113" s="381"/>
      <c r="G113" s="381"/>
      <c r="H113" s="382"/>
      <c r="I113" s="382">
        <v>195</v>
      </c>
      <c r="J113" s="381"/>
      <c r="K113" s="381"/>
      <c r="L113" s="381">
        <v>1243</v>
      </c>
      <c r="M113" s="382"/>
      <c r="N113" s="382">
        <v>1243</v>
      </c>
      <c r="O113" s="381"/>
      <c r="P113" s="381"/>
      <c r="Q113" s="382"/>
      <c r="R113" s="382"/>
      <c r="S113" s="382"/>
      <c r="T113" s="382"/>
      <c r="U113" s="382">
        <v>1438</v>
      </c>
      <c r="V113"/>
      <c r="W113"/>
      <c r="X113"/>
      <c r="Y113"/>
    </row>
    <row r="114" spans="1:25" ht="15.75">
      <c r="A114" s="684"/>
      <c r="B114" s="689" t="s">
        <v>1047</v>
      </c>
      <c r="C114" s="383">
        <v>3.7234042553191488E-2</v>
      </c>
      <c r="D114" s="384">
        <v>0</v>
      </c>
      <c r="E114" s="384">
        <v>0</v>
      </c>
      <c r="F114" s="384">
        <v>0</v>
      </c>
      <c r="G114" s="384">
        <v>0</v>
      </c>
      <c r="H114" s="385">
        <v>0</v>
      </c>
      <c r="I114" s="385">
        <v>3.7234042553191488E-2</v>
      </c>
      <c r="J114" s="384">
        <v>0</v>
      </c>
      <c r="K114" s="384">
        <v>0</v>
      </c>
      <c r="L114" s="384">
        <v>0.10390763765541741</v>
      </c>
      <c r="M114" s="385">
        <v>0</v>
      </c>
      <c r="N114" s="385">
        <v>0.10390763765541741</v>
      </c>
      <c r="O114" s="384">
        <v>0</v>
      </c>
      <c r="P114" s="384">
        <v>0</v>
      </c>
      <c r="Q114" s="385">
        <v>0</v>
      </c>
      <c r="R114" s="385">
        <v>0</v>
      </c>
      <c r="S114" s="385">
        <v>0</v>
      </c>
      <c r="T114" s="385">
        <v>0</v>
      </c>
      <c r="U114" s="385">
        <v>9.4368340943683404E-2</v>
      </c>
      <c r="V114"/>
      <c r="W114"/>
      <c r="X114"/>
      <c r="Y114"/>
    </row>
    <row r="115" spans="1:25" ht="15.75">
      <c r="A115" s="684"/>
      <c r="B115" s="687" t="s">
        <v>1048</v>
      </c>
      <c r="C115" s="674">
        <v>3500</v>
      </c>
      <c r="D115" s="675"/>
      <c r="E115" s="675"/>
      <c r="F115" s="675">
        <v>455</v>
      </c>
      <c r="G115" s="675"/>
      <c r="H115" s="676"/>
      <c r="I115" s="676">
        <v>3955</v>
      </c>
      <c r="J115" s="675"/>
      <c r="K115" s="675"/>
      <c r="L115" s="675"/>
      <c r="M115" s="676"/>
      <c r="N115" s="676"/>
      <c r="O115" s="675"/>
      <c r="P115" s="675"/>
      <c r="Q115" s="676"/>
      <c r="R115" s="676"/>
      <c r="S115" s="676"/>
      <c r="T115" s="676"/>
      <c r="U115" s="676">
        <v>3955</v>
      </c>
      <c r="V115"/>
      <c r="W115"/>
      <c r="X115"/>
      <c r="Y115"/>
    </row>
    <row r="116" spans="1:25" s="386" customFormat="1" ht="15.75">
      <c r="A116" s="684"/>
      <c r="B116" s="688" t="s">
        <v>1049</v>
      </c>
      <c r="C116" s="380">
        <v>3569</v>
      </c>
      <c r="D116" s="381"/>
      <c r="E116" s="381"/>
      <c r="F116" s="381">
        <v>506</v>
      </c>
      <c r="G116" s="381"/>
      <c r="H116" s="382"/>
      <c r="I116" s="382">
        <v>4075</v>
      </c>
      <c r="J116" s="381"/>
      <c r="K116" s="381"/>
      <c r="L116" s="381"/>
      <c r="M116" s="382"/>
      <c r="N116" s="382"/>
      <c r="O116" s="381"/>
      <c r="P116" s="381"/>
      <c r="Q116" s="382"/>
      <c r="R116" s="382"/>
      <c r="S116" s="382"/>
      <c r="T116" s="382"/>
      <c r="U116" s="382">
        <v>4075</v>
      </c>
      <c r="V116"/>
      <c r="W116"/>
      <c r="X116"/>
      <c r="Y116"/>
    </row>
    <row r="117" spans="1:25" ht="15.75">
      <c r="A117" s="684"/>
      <c r="B117" s="689" t="s">
        <v>1050</v>
      </c>
      <c r="C117" s="383">
        <v>1.9714285714285715E-2</v>
      </c>
      <c r="D117" s="384">
        <v>0</v>
      </c>
      <c r="E117" s="384">
        <v>0</v>
      </c>
      <c r="F117" s="692">
        <v>0.11208791208791209</v>
      </c>
      <c r="G117" s="384">
        <v>0</v>
      </c>
      <c r="H117" s="385">
        <v>0</v>
      </c>
      <c r="I117" s="385">
        <v>3.0341340075853349E-2</v>
      </c>
      <c r="J117" s="384">
        <v>0</v>
      </c>
      <c r="K117" s="384">
        <v>0</v>
      </c>
      <c r="L117" s="384">
        <v>0</v>
      </c>
      <c r="M117" s="385">
        <v>0</v>
      </c>
      <c r="N117" s="385">
        <v>0</v>
      </c>
      <c r="O117" s="384">
        <v>0</v>
      </c>
      <c r="P117" s="384">
        <v>0</v>
      </c>
      <c r="Q117" s="385">
        <v>0</v>
      </c>
      <c r="R117" s="385">
        <v>0</v>
      </c>
      <c r="S117" s="385">
        <v>0</v>
      </c>
      <c r="T117" s="385">
        <v>0</v>
      </c>
      <c r="U117" s="385">
        <v>3.0341340075853349E-2</v>
      </c>
      <c r="V117"/>
      <c r="W117"/>
      <c r="X117"/>
      <c r="Y117"/>
    </row>
    <row r="118" spans="1:25" ht="15.75">
      <c r="A118" s="684"/>
      <c r="B118" s="687" t="s">
        <v>1051</v>
      </c>
      <c r="C118" s="674"/>
      <c r="D118" s="675"/>
      <c r="E118" s="675"/>
      <c r="F118" s="675"/>
      <c r="G118" s="675"/>
      <c r="H118" s="676"/>
      <c r="I118" s="676"/>
      <c r="J118" s="675"/>
      <c r="K118" s="675"/>
      <c r="L118" s="675"/>
      <c r="M118" s="676"/>
      <c r="N118" s="676"/>
      <c r="O118" s="675"/>
      <c r="P118" s="675"/>
      <c r="Q118" s="676"/>
      <c r="R118" s="676"/>
      <c r="S118" s="676"/>
      <c r="T118" s="676"/>
      <c r="U118" s="676"/>
      <c r="V118"/>
      <c r="W118"/>
      <c r="X118"/>
      <c r="Y118"/>
    </row>
    <row r="119" spans="1:25" s="386" customFormat="1" ht="15.75">
      <c r="A119" s="684"/>
      <c r="B119" s="688" t="s">
        <v>1052</v>
      </c>
      <c r="C119" s="380"/>
      <c r="D119" s="381"/>
      <c r="E119" s="381"/>
      <c r="F119" s="381"/>
      <c r="G119" s="381"/>
      <c r="H119" s="382"/>
      <c r="I119" s="382"/>
      <c r="J119" s="381"/>
      <c r="K119" s="381"/>
      <c r="L119" s="381"/>
      <c r="M119" s="382"/>
      <c r="N119" s="382"/>
      <c r="O119" s="381"/>
      <c r="P119" s="381"/>
      <c r="Q119" s="382"/>
      <c r="R119" s="382"/>
      <c r="S119" s="382"/>
      <c r="T119" s="382"/>
      <c r="U119" s="382"/>
      <c r="V119"/>
      <c r="W119"/>
      <c r="X119"/>
      <c r="Y119"/>
    </row>
    <row r="120" spans="1:25" ht="15.75">
      <c r="A120" s="684"/>
      <c r="B120" s="689" t="s">
        <v>1053</v>
      </c>
      <c r="C120" s="383">
        <v>0</v>
      </c>
      <c r="D120" s="384">
        <v>0</v>
      </c>
      <c r="E120" s="384">
        <v>0</v>
      </c>
      <c r="F120" s="384">
        <v>0</v>
      </c>
      <c r="G120" s="384">
        <v>0</v>
      </c>
      <c r="H120" s="385">
        <v>0</v>
      </c>
      <c r="I120" s="385">
        <v>0</v>
      </c>
      <c r="J120" s="384">
        <v>0</v>
      </c>
      <c r="K120" s="384">
        <v>0</v>
      </c>
      <c r="L120" s="384">
        <v>0</v>
      </c>
      <c r="M120" s="385">
        <v>0</v>
      </c>
      <c r="N120" s="385">
        <v>0</v>
      </c>
      <c r="O120" s="384">
        <v>0</v>
      </c>
      <c r="P120" s="384">
        <v>0</v>
      </c>
      <c r="Q120" s="385">
        <v>0</v>
      </c>
      <c r="R120" s="385">
        <v>0</v>
      </c>
      <c r="S120" s="385">
        <v>0</v>
      </c>
      <c r="T120" s="385">
        <v>0</v>
      </c>
      <c r="U120" s="385">
        <v>0</v>
      </c>
      <c r="V120"/>
      <c r="W120"/>
      <c r="X120"/>
      <c r="Y120"/>
    </row>
    <row r="121" spans="1:25" ht="15.75">
      <c r="A121" s="684"/>
      <c r="B121" s="687" t="s">
        <v>1054</v>
      </c>
      <c r="C121" s="674">
        <v>695</v>
      </c>
      <c r="D121" s="675"/>
      <c r="E121" s="675"/>
      <c r="F121" s="675">
        <v>139</v>
      </c>
      <c r="G121" s="675"/>
      <c r="H121" s="676"/>
      <c r="I121" s="676">
        <v>834</v>
      </c>
      <c r="J121" s="675"/>
      <c r="K121" s="675"/>
      <c r="L121" s="675">
        <v>0</v>
      </c>
      <c r="M121" s="676"/>
      <c r="N121" s="676">
        <v>0</v>
      </c>
      <c r="O121" s="675"/>
      <c r="P121" s="675"/>
      <c r="Q121" s="676"/>
      <c r="R121" s="676"/>
      <c r="S121" s="676"/>
      <c r="T121" s="676"/>
      <c r="U121" s="676">
        <v>834</v>
      </c>
      <c r="V121"/>
      <c r="W121"/>
      <c r="X121"/>
      <c r="Y121"/>
    </row>
    <row r="122" spans="1:25" s="386" customFormat="1" ht="15.75">
      <c r="A122" s="684"/>
      <c r="B122" s="688" t="s">
        <v>1055</v>
      </c>
      <c r="C122" s="380">
        <v>674</v>
      </c>
      <c r="D122" s="381"/>
      <c r="E122" s="381"/>
      <c r="F122" s="381">
        <v>124</v>
      </c>
      <c r="G122" s="381"/>
      <c r="H122" s="382"/>
      <c r="I122" s="382">
        <v>798</v>
      </c>
      <c r="J122" s="381"/>
      <c r="K122" s="381"/>
      <c r="L122" s="381">
        <v>0</v>
      </c>
      <c r="M122" s="382"/>
      <c r="N122" s="382">
        <v>0</v>
      </c>
      <c r="O122" s="381"/>
      <c r="P122" s="381"/>
      <c r="Q122" s="382"/>
      <c r="R122" s="382"/>
      <c r="S122" s="382"/>
      <c r="T122" s="382"/>
      <c r="U122" s="382">
        <v>798</v>
      </c>
      <c r="V122"/>
      <c r="W122"/>
      <c r="X122"/>
      <c r="Y122"/>
    </row>
    <row r="123" spans="1:25" ht="15.75">
      <c r="A123" s="684"/>
      <c r="B123" s="689" t="s">
        <v>1056</v>
      </c>
      <c r="C123" s="692">
        <v>-3.0215827338129497E-2</v>
      </c>
      <c r="D123" s="384">
        <v>0</v>
      </c>
      <c r="E123" s="384">
        <v>0</v>
      </c>
      <c r="F123" s="384">
        <v>-0.1079136690647482</v>
      </c>
      <c r="G123" s="384">
        <v>0</v>
      </c>
      <c r="H123" s="385">
        <v>0</v>
      </c>
      <c r="I123" s="385">
        <v>-4.3165467625899283E-2</v>
      </c>
      <c r="J123" s="384">
        <v>0</v>
      </c>
      <c r="K123" s="384">
        <v>0</v>
      </c>
      <c r="L123" s="384">
        <v>0</v>
      </c>
      <c r="M123" s="385">
        <v>0</v>
      </c>
      <c r="N123" s="385">
        <v>0</v>
      </c>
      <c r="O123" s="384">
        <v>0</v>
      </c>
      <c r="P123" s="384">
        <v>0</v>
      </c>
      <c r="Q123" s="385">
        <v>0</v>
      </c>
      <c r="R123" s="385">
        <v>0</v>
      </c>
      <c r="S123" s="385">
        <v>0</v>
      </c>
      <c r="T123" s="385">
        <v>0</v>
      </c>
      <c r="U123" s="385">
        <v>-4.3165467625899283E-2</v>
      </c>
      <c r="V123"/>
      <c r="W123"/>
      <c r="X123"/>
      <c r="Y123"/>
    </row>
    <row r="124" spans="1:25" ht="15.75">
      <c r="A124" s="684"/>
      <c r="B124" s="687" t="s">
        <v>1057</v>
      </c>
      <c r="C124" s="674">
        <v>208</v>
      </c>
      <c r="D124" s="675"/>
      <c r="E124" s="675"/>
      <c r="F124" s="675">
        <v>2</v>
      </c>
      <c r="G124" s="675"/>
      <c r="H124" s="676"/>
      <c r="I124" s="676">
        <v>210</v>
      </c>
      <c r="J124" s="675"/>
      <c r="K124" s="675"/>
      <c r="L124" s="675">
        <v>0</v>
      </c>
      <c r="M124" s="676"/>
      <c r="N124" s="676">
        <v>0</v>
      </c>
      <c r="O124" s="675"/>
      <c r="P124" s="675"/>
      <c r="Q124" s="676"/>
      <c r="R124" s="676"/>
      <c r="S124" s="676"/>
      <c r="T124" s="676"/>
      <c r="U124" s="676">
        <v>210</v>
      </c>
      <c r="V124"/>
      <c r="W124"/>
      <c r="X124"/>
      <c r="Y124"/>
    </row>
    <row r="125" spans="1:25" s="386" customFormat="1" ht="15.75">
      <c r="A125" s="684"/>
      <c r="B125" s="688" t="s">
        <v>1058</v>
      </c>
      <c r="C125" s="380">
        <v>224</v>
      </c>
      <c r="D125" s="381"/>
      <c r="E125" s="381"/>
      <c r="F125" s="381">
        <v>14</v>
      </c>
      <c r="G125" s="381"/>
      <c r="H125" s="382"/>
      <c r="I125" s="382">
        <v>238</v>
      </c>
      <c r="J125" s="381"/>
      <c r="K125" s="381"/>
      <c r="L125" s="381">
        <v>0</v>
      </c>
      <c r="M125" s="382"/>
      <c r="N125" s="382">
        <v>0</v>
      </c>
      <c r="O125" s="381"/>
      <c r="P125" s="381"/>
      <c r="Q125" s="382"/>
      <c r="R125" s="382"/>
      <c r="S125" s="382"/>
      <c r="T125" s="382"/>
      <c r="U125" s="382">
        <v>238</v>
      </c>
      <c r="V125"/>
      <c r="W125"/>
      <c r="X125"/>
      <c r="Y125"/>
    </row>
    <row r="126" spans="1:25" ht="15.75">
      <c r="A126" s="684"/>
      <c r="B126" s="689" t="s">
        <v>1059</v>
      </c>
      <c r="C126" s="383">
        <v>7.6923076923076927E-2</v>
      </c>
      <c r="D126" s="384">
        <v>0</v>
      </c>
      <c r="E126" s="384">
        <v>0</v>
      </c>
      <c r="F126" s="384">
        <v>6</v>
      </c>
      <c r="G126" s="384">
        <v>0</v>
      </c>
      <c r="H126" s="385">
        <v>0</v>
      </c>
      <c r="I126" s="385">
        <v>0.13333333333333333</v>
      </c>
      <c r="J126" s="384">
        <v>0</v>
      </c>
      <c r="K126" s="384">
        <v>0</v>
      </c>
      <c r="L126" s="384">
        <v>0</v>
      </c>
      <c r="M126" s="385">
        <v>0</v>
      </c>
      <c r="N126" s="385">
        <v>0</v>
      </c>
      <c r="O126" s="384">
        <v>0</v>
      </c>
      <c r="P126" s="384">
        <v>0</v>
      </c>
      <c r="Q126" s="385">
        <v>0</v>
      </c>
      <c r="R126" s="385">
        <v>0</v>
      </c>
      <c r="S126" s="385">
        <v>0</v>
      </c>
      <c r="T126" s="385">
        <v>0</v>
      </c>
      <c r="U126" s="385">
        <v>0.13333333333333333</v>
      </c>
      <c r="V126"/>
      <c r="W126"/>
      <c r="X126"/>
      <c r="Y126"/>
    </row>
    <row r="127" spans="1:25" ht="15.75">
      <c r="A127" s="684"/>
      <c r="B127" s="687" t="s">
        <v>1060</v>
      </c>
      <c r="C127" s="674"/>
      <c r="D127" s="675"/>
      <c r="E127" s="675"/>
      <c r="F127" s="675"/>
      <c r="G127" s="675"/>
      <c r="H127" s="676"/>
      <c r="I127" s="676"/>
      <c r="J127" s="675"/>
      <c r="K127" s="675"/>
      <c r="L127" s="675"/>
      <c r="M127" s="676"/>
      <c r="N127" s="676"/>
      <c r="O127" s="675"/>
      <c r="P127" s="675"/>
      <c r="Q127" s="676"/>
      <c r="R127" s="676"/>
      <c r="S127" s="676"/>
      <c r="T127" s="676"/>
      <c r="U127" s="676"/>
      <c r="V127"/>
      <c r="W127"/>
      <c r="X127"/>
      <c r="Y127"/>
    </row>
    <row r="128" spans="1:25" s="386" customFormat="1" ht="15.75">
      <c r="A128" s="684"/>
      <c r="B128" s="688" t="s">
        <v>1061</v>
      </c>
      <c r="C128" s="380"/>
      <c r="D128" s="381"/>
      <c r="E128" s="381"/>
      <c r="F128" s="381"/>
      <c r="G128" s="381"/>
      <c r="H128" s="382"/>
      <c r="I128" s="382"/>
      <c r="J128" s="381"/>
      <c r="K128" s="381"/>
      <c r="L128" s="381"/>
      <c r="M128" s="382"/>
      <c r="N128" s="382"/>
      <c r="O128" s="381"/>
      <c r="P128" s="381"/>
      <c r="Q128" s="382"/>
      <c r="R128" s="382"/>
      <c r="S128" s="382"/>
      <c r="T128" s="382"/>
      <c r="U128" s="382"/>
      <c r="V128"/>
      <c r="W128"/>
      <c r="X128"/>
      <c r="Y128"/>
    </row>
    <row r="129" spans="1:25" ht="15.75">
      <c r="A129" s="684"/>
      <c r="B129" s="689" t="s">
        <v>1062</v>
      </c>
      <c r="C129" s="383">
        <v>0</v>
      </c>
      <c r="D129" s="384">
        <v>0</v>
      </c>
      <c r="E129" s="384">
        <v>0</v>
      </c>
      <c r="F129" s="384">
        <v>0</v>
      </c>
      <c r="G129" s="384">
        <v>0</v>
      </c>
      <c r="H129" s="385">
        <v>0</v>
      </c>
      <c r="I129" s="385">
        <v>0</v>
      </c>
      <c r="J129" s="384">
        <v>0</v>
      </c>
      <c r="K129" s="384">
        <v>0</v>
      </c>
      <c r="L129" s="384">
        <v>0</v>
      </c>
      <c r="M129" s="385">
        <v>0</v>
      </c>
      <c r="N129" s="385">
        <v>0</v>
      </c>
      <c r="O129" s="384">
        <v>0</v>
      </c>
      <c r="P129" s="384">
        <v>0</v>
      </c>
      <c r="Q129" s="385">
        <v>0</v>
      </c>
      <c r="R129" s="385">
        <v>0</v>
      </c>
      <c r="S129" s="385">
        <v>0</v>
      </c>
      <c r="T129" s="385">
        <v>0</v>
      </c>
      <c r="U129" s="385">
        <v>0</v>
      </c>
      <c r="V129"/>
      <c r="W129"/>
      <c r="X129"/>
      <c r="Y129"/>
    </row>
    <row r="130" spans="1:25" ht="15.75">
      <c r="A130" s="684"/>
      <c r="B130" s="687" t="s">
        <v>1063</v>
      </c>
      <c r="C130" s="674"/>
      <c r="D130" s="675"/>
      <c r="E130" s="675"/>
      <c r="F130" s="675"/>
      <c r="G130" s="675"/>
      <c r="H130" s="676"/>
      <c r="I130" s="676"/>
      <c r="J130" s="675"/>
      <c r="K130" s="675"/>
      <c r="L130" s="675"/>
      <c r="M130" s="676"/>
      <c r="N130" s="676"/>
      <c r="O130" s="675"/>
      <c r="P130" s="675"/>
      <c r="Q130" s="676"/>
      <c r="R130" s="676"/>
      <c r="S130" s="676"/>
      <c r="T130" s="676"/>
      <c r="U130" s="676"/>
      <c r="V130"/>
      <c r="W130"/>
      <c r="X130"/>
      <c r="Y130"/>
    </row>
    <row r="131" spans="1:25" s="386" customFormat="1" ht="15.75">
      <c r="A131" s="684"/>
      <c r="B131" s="688" t="s">
        <v>1064</v>
      </c>
      <c r="C131" s="380"/>
      <c r="D131" s="381"/>
      <c r="E131" s="381"/>
      <c r="F131" s="381"/>
      <c r="G131" s="381"/>
      <c r="H131" s="382"/>
      <c r="I131" s="382"/>
      <c r="J131" s="381"/>
      <c r="K131" s="381"/>
      <c r="L131" s="381"/>
      <c r="M131" s="382"/>
      <c r="N131" s="382"/>
      <c r="O131" s="381"/>
      <c r="P131" s="381"/>
      <c r="Q131" s="382"/>
      <c r="R131" s="382"/>
      <c r="S131" s="382"/>
      <c r="T131" s="382"/>
      <c r="U131" s="382"/>
      <c r="V131"/>
      <c r="W131"/>
      <c r="X131"/>
      <c r="Y131"/>
    </row>
    <row r="132" spans="1:25" ht="15.75">
      <c r="A132" s="684"/>
      <c r="B132" s="689" t="s">
        <v>1065</v>
      </c>
      <c r="C132" s="383">
        <v>0</v>
      </c>
      <c r="D132" s="384">
        <v>0</v>
      </c>
      <c r="E132" s="384">
        <v>0</v>
      </c>
      <c r="F132" s="384">
        <v>0</v>
      </c>
      <c r="G132" s="384">
        <v>0</v>
      </c>
      <c r="H132" s="385">
        <v>0</v>
      </c>
      <c r="I132" s="385">
        <v>0</v>
      </c>
      <c r="J132" s="384">
        <v>0</v>
      </c>
      <c r="K132" s="384">
        <v>0</v>
      </c>
      <c r="L132" s="384">
        <v>0</v>
      </c>
      <c r="M132" s="385">
        <v>0</v>
      </c>
      <c r="N132" s="385">
        <v>0</v>
      </c>
      <c r="O132" s="384">
        <v>0</v>
      </c>
      <c r="P132" s="384">
        <v>0</v>
      </c>
      <c r="Q132" s="385">
        <v>0</v>
      </c>
      <c r="R132" s="385">
        <v>0</v>
      </c>
      <c r="S132" s="385">
        <v>0</v>
      </c>
      <c r="T132" s="385">
        <v>0</v>
      </c>
      <c r="U132" s="385">
        <v>0</v>
      </c>
      <c r="V132"/>
      <c r="W132"/>
      <c r="X132"/>
      <c r="Y132"/>
    </row>
    <row r="133" spans="1:25" ht="15.75">
      <c r="A133" s="684"/>
      <c r="B133" s="687" t="s">
        <v>1066</v>
      </c>
      <c r="C133" s="674"/>
      <c r="D133" s="675"/>
      <c r="E133" s="675"/>
      <c r="F133" s="675"/>
      <c r="G133" s="675"/>
      <c r="H133" s="676"/>
      <c r="I133" s="676"/>
      <c r="J133" s="675"/>
      <c r="K133" s="675"/>
      <c r="L133" s="675"/>
      <c r="M133" s="676"/>
      <c r="N133" s="676"/>
      <c r="O133" s="675"/>
      <c r="P133" s="675"/>
      <c r="Q133" s="676"/>
      <c r="R133" s="676"/>
      <c r="S133" s="676"/>
      <c r="T133" s="676"/>
      <c r="U133" s="676"/>
      <c r="V133"/>
      <c r="W133"/>
      <c r="X133"/>
      <c r="Y133"/>
    </row>
    <row r="134" spans="1:25" s="386" customFormat="1" ht="15.75">
      <c r="A134" s="684"/>
      <c r="B134" s="688" t="s">
        <v>1067</v>
      </c>
      <c r="C134" s="380"/>
      <c r="D134" s="381"/>
      <c r="E134" s="381"/>
      <c r="F134" s="381"/>
      <c r="G134" s="381"/>
      <c r="H134" s="382"/>
      <c r="I134" s="382"/>
      <c r="J134" s="381"/>
      <c r="K134" s="381"/>
      <c r="L134" s="381"/>
      <c r="M134" s="382"/>
      <c r="N134" s="382"/>
      <c r="O134" s="381"/>
      <c r="P134" s="381"/>
      <c r="Q134" s="382"/>
      <c r="R134" s="382"/>
      <c r="S134" s="382"/>
      <c r="T134" s="382"/>
      <c r="U134" s="382"/>
      <c r="V134"/>
      <c r="W134"/>
      <c r="X134"/>
      <c r="Y134"/>
    </row>
    <row r="135" spans="1:25" ht="15.75">
      <c r="A135" s="684"/>
      <c r="B135" s="689" t="s">
        <v>1068</v>
      </c>
      <c r="C135" s="383">
        <v>0</v>
      </c>
      <c r="D135" s="384">
        <v>0</v>
      </c>
      <c r="E135" s="384">
        <v>0</v>
      </c>
      <c r="F135" s="384">
        <v>0</v>
      </c>
      <c r="G135" s="384">
        <v>0</v>
      </c>
      <c r="H135" s="385">
        <v>0</v>
      </c>
      <c r="I135" s="385">
        <v>0</v>
      </c>
      <c r="J135" s="384">
        <v>0</v>
      </c>
      <c r="K135" s="384">
        <v>0</v>
      </c>
      <c r="L135" s="384">
        <v>0</v>
      </c>
      <c r="M135" s="385">
        <v>0</v>
      </c>
      <c r="N135" s="385">
        <v>0</v>
      </c>
      <c r="O135" s="384">
        <v>0</v>
      </c>
      <c r="P135" s="384">
        <v>0</v>
      </c>
      <c r="Q135" s="385">
        <v>0</v>
      </c>
      <c r="R135" s="385">
        <v>0</v>
      </c>
      <c r="S135" s="385">
        <v>0</v>
      </c>
      <c r="T135" s="385">
        <v>0</v>
      </c>
      <c r="U135" s="385">
        <v>0</v>
      </c>
      <c r="V135"/>
      <c r="W135"/>
      <c r="X135"/>
      <c r="Y135"/>
    </row>
    <row r="136" spans="1:25" ht="15.75">
      <c r="A136" s="684"/>
      <c r="B136" s="687" t="s">
        <v>1069</v>
      </c>
      <c r="C136" s="674"/>
      <c r="D136" s="675"/>
      <c r="E136" s="675"/>
      <c r="F136" s="675"/>
      <c r="G136" s="675"/>
      <c r="H136" s="676"/>
      <c r="I136" s="676"/>
      <c r="J136" s="675"/>
      <c r="K136" s="675"/>
      <c r="L136" s="675"/>
      <c r="M136" s="676"/>
      <c r="N136" s="676"/>
      <c r="O136" s="675"/>
      <c r="P136" s="675"/>
      <c r="Q136" s="676"/>
      <c r="R136" s="676"/>
      <c r="S136" s="676"/>
      <c r="T136" s="676"/>
      <c r="U136" s="676"/>
      <c r="V136"/>
      <c r="W136"/>
      <c r="X136"/>
      <c r="Y136"/>
    </row>
    <row r="137" spans="1:25" s="386" customFormat="1" ht="15.75">
      <c r="A137" s="684"/>
      <c r="B137" s="688" t="s">
        <v>1070</v>
      </c>
      <c r="C137" s="380"/>
      <c r="D137" s="381"/>
      <c r="E137" s="381"/>
      <c r="F137" s="381"/>
      <c r="G137" s="381"/>
      <c r="H137" s="382"/>
      <c r="I137" s="382"/>
      <c r="J137" s="381"/>
      <c r="K137" s="381"/>
      <c r="L137" s="381"/>
      <c r="M137" s="382"/>
      <c r="N137" s="382"/>
      <c r="O137" s="381"/>
      <c r="P137" s="381"/>
      <c r="Q137" s="382"/>
      <c r="R137" s="382"/>
      <c r="S137" s="382"/>
      <c r="T137" s="382"/>
      <c r="U137" s="382"/>
      <c r="V137"/>
      <c r="W137"/>
      <c r="X137"/>
      <c r="Y137"/>
    </row>
    <row r="138" spans="1:25" ht="15.75">
      <c r="A138" s="684"/>
      <c r="B138" s="689" t="s">
        <v>1071</v>
      </c>
      <c r="C138" s="383">
        <v>0</v>
      </c>
      <c r="D138" s="384">
        <v>0</v>
      </c>
      <c r="E138" s="384">
        <v>0</v>
      </c>
      <c r="F138" s="384">
        <v>0</v>
      </c>
      <c r="G138" s="384">
        <v>0</v>
      </c>
      <c r="H138" s="385">
        <v>0</v>
      </c>
      <c r="I138" s="385">
        <v>0</v>
      </c>
      <c r="J138" s="384">
        <v>0</v>
      </c>
      <c r="K138" s="384">
        <v>0</v>
      </c>
      <c r="L138" s="384">
        <v>0</v>
      </c>
      <c r="M138" s="385">
        <v>0</v>
      </c>
      <c r="N138" s="385">
        <v>0</v>
      </c>
      <c r="O138" s="384">
        <v>0</v>
      </c>
      <c r="P138" s="384">
        <v>0</v>
      </c>
      <c r="Q138" s="385">
        <v>0</v>
      </c>
      <c r="R138" s="385">
        <v>0</v>
      </c>
      <c r="S138" s="385">
        <v>0</v>
      </c>
      <c r="T138" s="385">
        <v>0</v>
      </c>
      <c r="U138" s="385">
        <v>0</v>
      </c>
      <c r="V138"/>
      <c r="W138"/>
      <c r="X138"/>
      <c r="Y138"/>
    </row>
    <row r="139" spans="1:25" ht="15.75">
      <c r="A139" s="684"/>
      <c r="B139" s="687" t="s">
        <v>1072</v>
      </c>
      <c r="C139" s="674"/>
      <c r="D139" s="675"/>
      <c r="E139" s="675"/>
      <c r="F139" s="675"/>
      <c r="G139" s="675"/>
      <c r="H139" s="676"/>
      <c r="I139" s="676"/>
      <c r="J139" s="675"/>
      <c r="K139" s="675"/>
      <c r="L139" s="675"/>
      <c r="M139" s="676"/>
      <c r="N139" s="676"/>
      <c r="O139" s="675"/>
      <c r="P139" s="675"/>
      <c r="Q139" s="676"/>
      <c r="R139" s="676"/>
      <c r="S139" s="676"/>
      <c r="T139" s="676"/>
      <c r="U139" s="676"/>
      <c r="V139"/>
      <c r="W139"/>
      <c r="X139"/>
      <c r="Y139"/>
    </row>
    <row r="140" spans="1:25" s="386" customFormat="1" ht="15.75">
      <c r="A140" s="684"/>
      <c r="B140" s="688" t="s">
        <v>1073</v>
      </c>
      <c r="C140" s="380"/>
      <c r="D140" s="381"/>
      <c r="E140" s="381"/>
      <c r="F140" s="381"/>
      <c r="G140" s="381"/>
      <c r="H140" s="382"/>
      <c r="I140" s="382"/>
      <c r="J140" s="381"/>
      <c r="K140" s="381"/>
      <c r="L140" s="381"/>
      <c r="M140" s="382"/>
      <c r="N140" s="382"/>
      <c r="O140" s="381"/>
      <c r="P140" s="381"/>
      <c r="Q140" s="382"/>
      <c r="R140" s="382"/>
      <c r="S140" s="382"/>
      <c r="T140" s="382"/>
      <c r="U140" s="382"/>
      <c r="V140"/>
      <c r="W140"/>
      <c r="X140"/>
      <c r="Y140"/>
    </row>
    <row r="141" spans="1:25" ht="15.75">
      <c r="A141" s="684"/>
      <c r="B141" s="689" t="s">
        <v>1074</v>
      </c>
      <c r="C141" s="383">
        <v>0</v>
      </c>
      <c r="D141" s="384">
        <v>0</v>
      </c>
      <c r="E141" s="384">
        <v>0</v>
      </c>
      <c r="F141" s="384">
        <v>0</v>
      </c>
      <c r="G141" s="384">
        <v>0</v>
      </c>
      <c r="H141" s="385">
        <v>0</v>
      </c>
      <c r="I141" s="385">
        <v>0</v>
      </c>
      <c r="J141" s="384">
        <v>0</v>
      </c>
      <c r="K141" s="384">
        <v>0</v>
      </c>
      <c r="L141" s="384">
        <v>0</v>
      </c>
      <c r="M141" s="385">
        <v>0</v>
      </c>
      <c r="N141" s="385">
        <v>0</v>
      </c>
      <c r="O141" s="384">
        <v>0</v>
      </c>
      <c r="P141" s="384">
        <v>0</v>
      </c>
      <c r="Q141" s="385">
        <v>0</v>
      </c>
      <c r="R141" s="385">
        <v>0</v>
      </c>
      <c r="S141" s="385">
        <v>0</v>
      </c>
      <c r="T141" s="385">
        <v>0</v>
      </c>
      <c r="U141" s="385">
        <v>0</v>
      </c>
      <c r="V141"/>
      <c r="W141"/>
      <c r="X141"/>
      <c r="Y141"/>
    </row>
    <row r="142" spans="1:25" ht="15.75">
      <c r="A142" s="684"/>
      <c r="B142" s="687" t="s">
        <v>1075</v>
      </c>
      <c r="C142" s="674"/>
      <c r="D142" s="675"/>
      <c r="E142" s="675"/>
      <c r="F142" s="675"/>
      <c r="G142" s="675"/>
      <c r="H142" s="676"/>
      <c r="I142" s="676"/>
      <c r="J142" s="675"/>
      <c r="K142" s="675"/>
      <c r="L142" s="675"/>
      <c r="M142" s="676"/>
      <c r="N142" s="676"/>
      <c r="O142" s="675"/>
      <c r="P142" s="675"/>
      <c r="Q142" s="676"/>
      <c r="R142" s="676"/>
      <c r="S142" s="676"/>
      <c r="T142" s="676"/>
      <c r="U142" s="676"/>
      <c r="V142"/>
      <c r="W142"/>
      <c r="X142"/>
      <c r="Y142"/>
    </row>
    <row r="143" spans="1:25" s="386" customFormat="1" ht="15.75">
      <c r="A143" s="684"/>
      <c r="B143" s="688" t="s">
        <v>1076</v>
      </c>
      <c r="C143" s="380"/>
      <c r="D143" s="381"/>
      <c r="E143" s="381"/>
      <c r="F143" s="381"/>
      <c r="G143" s="381"/>
      <c r="H143" s="382"/>
      <c r="I143" s="382"/>
      <c r="J143" s="381"/>
      <c r="K143" s="381"/>
      <c r="L143" s="381"/>
      <c r="M143" s="382"/>
      <c r="N143" s="382"/>
      <c r="O143" s="381"/>
      <c r="P143" s="381"/>
      <c r="Q143" s="382"/>
      <c r="R143" s="382"/>
      <c r="S143" s="382"/>
      <c r="T143" s="382"/>
      <c r="U143" s="382"/>
      <c r="V143"/>
      <c r="W143"/>
      <c r="X143"/>
      <c r="Y143"/>
    </row>
    <row r="144" spans="1:25" ht="15.75">
      <c r="A144" s="684"/>
      <c r="B144" s="689" t="s">
        <v>1077</v>
      </c>
      <c r="C144" s="383">
        <v>0</v>
      </c>
      <c r="D144" s="384">
        <v>0</v>
      </c>
      <c r="E144" s="384">
        <v>0</v>
      </c>
      <c r="F144" s="384">
        <v>0</v>
      </c>
      <c r="G144" s="384">
        <v>0</v>
      </c>
      <c r="H144" s="385">
        <v>0</v>
      </c>
      <c r="I144" s="385">
        <v>0</v>
      </c>
      <c r="J144" s="384">
        <v>0</v>
      </c>
      <c r="K144" s="384">
        <v>0</v>
      </c>
      <c r="L144" s="384">
        <v>0</v>
      </c>
      <c r="M144" s="385">
        <v>0</v>
      </c>
      <c r="N144" s="385">
        <v>0</v>
      </c>
      <c r="O144" s="384">
        <v>0</v>
      </c>
      <c r="P144" s="384">
        <v>0</v>
      </c>
      <c r="Q144" s="385">
        <v>0</v>
      </c>
      <c r="R144" s="385">
        <v>0</v>
      </c>
      <c r="S144" s="385">
        <v>0</v>
      </c>
      <c r="T144" s="385">
        <v>0</v>
      </c>
      <c r="U144" s="385">
        <v>0</v>
      </c>
      <c r="V144"/>
      <c r="W144"/>
      <c r="X144"/>
      <c r="Y144"/>
    </row>
    <row r="145" spans="1:25" ht="15.75">
      <c r="A145" s="684"/>
      <c r="B145" s="687" t="s">
        <v>1078</v>
      </c>
      <c r="C145" s="674"/>
      <c r="D145" s="675"/>
      <c r="E145" s="675"/>
      <c r="F145" s="675"/>
      <c r="G145" s="675"/>
      <c r="H145" s="676"/>
      <c r="I145" s="676"/>
      <c r="J145" s="675"/>
      <c r="K145" s="675"/>
      <c r="L145" s="675"/>
      <c r="M145" s="676"/>
      <c r="N145" s="676"/>
      <c r="O145" s="675"/>
      <c r="P145" s="675"/>
      <c r="Q145" s="676"/>
      <c r="R145" s="676"/>
      <c r="S145" s="676"/>
      <c r="T145" s="676"/>
      <c r="U145" s="676"/>
      <c r="V145"/>
      <c r="W145"/>
      <c r="X145"/>
      <c r="Y145"/>
    </row>
    <row r="146" spans="1:25" s="386" customFormat="1" ht="15.75">
      <c r="A146" s="684"/>
      <c r="B146" s="688" t="s">
        <v>1079</v>
      </c>
      <c r="C146" s="380"/>
      <c r="D146" s="381"/>
      <c r="E146" s="381"/>
      <c r="F146" s="381"/>
      <c r="G146" s="381"/>
      <c r="H146" s="382"/>
      <c r="I146" s="382"/>
      <c r="J146" s="381"/>
      <c r="K146" s="381"/>
      <c r="L146" s="381"/>
      <c r="M146" s="382"/>
      <c r="N146" s="382"/>
      <c r="O146" s="381"/>
      <c r="P146" s="381"/>
      <c r="Q146" s="382"/>
      <c r="R146" s="382"/>
      <c r="S146" s="382"/>
      <c r="T146" s="382"/>
      <c r="U146" s="382"/>
      <c r="V146"/>
      <c r="W146"/>
      <c r="X146"/>
      <c r="Y146"/>
    </row>
    <row r="147" spans="1:25" ht="15.75">
      <c r="A147" s="684"/>
      <c r="B147" s="689" t="s">
        <v>1080</v>
      </c>
      <c r="C147" s="383">
        <v>0</v>
      </c>
      <c r="D147" s="384">
        <v>0</v>
      </c>
      <c r="E147" s="384">
        <v>0</v>
      </c>
      <c r="F147" s="384">
        <v>0</v>
      </c>
      <c r="G147" s="384">
        <v>0</v>
      </c>
      <c r="H147" s="385">
        <v>0</v>
      </c>
      <c r="I147" s="385">
        <v>0</v>
      </c>
      <c r="J147" s="384">
        <v>0</v>
      </c>
      <c r="K147" s="384">
        <v>0</v>
      </c>
      <c r="L147" s="384">
        <v>0</v>
      </c>
      <c r="M147" s="385">
        <v>0</v>
      </c>
      <c r="N147" s="385">
        <v>0</v>
      </c>
      <c r="O147" s="384">
        <v>0</v>
      </c>
      <c r="P147" s="384">
        <v>0</v>
      </c>
      <c r="Q147" s="385">
        <v>0</v>
      </c>
      <c r="R147" s="385">
        <v>0</v>
      </c>
      <c r="S147" s="385">
        <v>0</v>
      </c>
      <c r="T147" s="385">
        <v>0</v>
      </c>
      <c r="U147" s="385">
        <v>0</v>
      </c>
      <c r="V147"/>
      <c r="W147"/>
      <c r="X147"/>
      <c r="Y147"/>
    </row>
    <row r="148" spans="1:25" ht="15.75">
      <c r="A148" s="684"/>
      <c r="B148" s="687" t="s">
        <v>1081</v>
      </c>
      <c r="C148" s="674"/>
      <c r="D148" s="675"/>
      <c r="E148" s="675"/>
      <c r="F148" s="675"/>
      <c r="G148" s="675"/>
      <c r="H148" s="676"/>
      <c r="I148" s="676"/>
      <c r="J148" s="675"/>
      <c r="K148" s="675"/>
      <c r="L148" s="675"/>
      <c r="M148" s="676"/>
      <c r="N148" s="676"/>
      <c r="O148" s="675"/>
      <c r="P148" s="675"/>
      <c r="Q148" s="676"/>
      <c r="R148" s="676"/>
      <c r="S148" s="676"/>
      <c r="T148" s="676"/>
      <c r="U148" s="676"/>
      <c r="V148"/>
      <c r="W148"/>
      <c r="X148"/>
      <c r="Y148"/>
    </row>
    <row r="149" spans="1:25" s="386" customFormat="1" ht="15.75">
      <c r="A149" s="684"/>
      <c r="B149" s="688" t="s">
        <v>1082</v>
      </c>
      <c r="C149" s="380"/>
      <c r="D149" s="381"/>
      <c r="E149" s="381"/>
      <c r="F149" s="381"/>
      <c r="G149" s="381"/>
      <c r="H149" s="382"/>
      <c r="I149" s="382"/>
      <c r="J149" s="381"/>
      <c r="K149" s="381"/>
      <c r="L149" s="381"/>
      <c r="M149" s="382"/>
      <c r="N149" s="382"/>
      <c r="O149" s="381"/>
      <c r="P149" s="381"/>
      <c r="Q149" s="382"/>
      <c r="R149" s="382"/>
      <c r="S149" s="382"/>
      <c r="T149" s="382"/>
      <c r="U149" s="382"/>
      <c r="V149"/>
      <c r="W149"/>
      <c r="X149"/>
      <c r="Y149"/>
    </row>
    <row r="150" spans="1:25" ht="15.75">
      <c r="A150" s="684"/>
      <c r="B150" s="689" t="s">
        <v>1083</v>
      </c>
      <c r="C150" s="383">
        <v>0</v>
      </c>
      <c r="D150" s="384">
        <v>0</v>
      </c>
      <c r="E150" s="384">
        <v>0</v>
      </c>
      <c r="F150" s="384">
        <v>0</v>
      </c>
      <c r="G150" s="384">
        <v>0</v>
      </c>
      <c r="H150" s="385">
        <v>0</v>
      </c>
      <c r="I150" s="385">
        <v>0</v>
      </c>
      <c r="J150" s="384">
        <v>0</v>
      </c>
      <c r="K150" s="384">
        <v>0</v>
      </c>
      <c r="L150" s="384">
        <v>0</v>
      </c>
      <c r="M150" s="385">
        <v>0</v>
      </c>
      <c r="N150" s="385">
        <v>0</v>
      </c>
      <c r="O150" s="384">
        <v>0</v>
      </c>
      <c r="P150" s="384">
        <v>0</v>
      </c>
      <c r="Q150" s="385">
        <v>0</v>
      </c>
      <c r="R150" s="385">
        <v>0</v>
      </c>
      <c r="S150" s="385">
        <v>0</v>
      </c>
      <c r="T150" s="385">
        <v>0</v>
      </c>
      <c r="U150" s="385">
        <v>0</v>
      </c>
      <c r="V150"/>
      <c r="W150"/>
      <c r="X150"/>
      <c r="Y150"/>
    </row>
    <row r="151" spans="1:25" ht="15.75">
      <c r="A151" s="684"/>
      <c r="B151" s="687" t="s">
        <v>1084</v>
      </c>
      <c r="C151" s="674"/>
      <c r="D151" s="675"/>
      <c r="E151" s="675"/>
      <c r="F151" s="675"/>
      <c r="G151" s="675"/>
      <c r="H151" s="676"/>
      <c r="I151" s="676"/>
      <c r="J151" s="675"/>
      <c r="K151" s="675"/>
      <c r="L151" s="675"/>
      <c r="M151" s="676"/>
      <c r="N151" s="676"/>
      <c r="O151" s="675"/>
      <c r="P151" s="675"/>
      <c r="Q151" s="676"/>
      <c r="R151" s="676"/>
      <c r="S151" s="676"/>
      <c r="T151" s="676"/>
      <c r="U151" s="676"/>
      <c r="V151"/>
      <c r="W151"/>
      <c r="X151"/>
      <c r="Y151"/>
    </row>
    <row r="152" spans="1:25" s="386" customFormat="1" ht="15.75">
      <c r="A152" s="684"/>
      <c r="B152" s="688" t="s">
        <v>1085</v>
      </c>
      <c r="C152" s="380"/>
      <c r="D152" s="381"/>
      <c r="E152" s="381"/>
      <c r="F152" s="381"/>
      <c r="G152" s="381"/>
      <c r="H152" s="382"/>
      <c r="I152" s="382"/>
      <c r="J152" s="381"/>
      <c r="K152" s="381"/>
      <c r="L152" s="381"/>
      <c r="M152" s="382"/>
      <c r="N152" s="382"/>
      <c r="O152" s="381"/>
      <c r="P152" s="381"/>
      <c r="Q152" s="382"/>
      <c r="R152" s="382"/>
      <c r="S152" s="382"/>
      <c r="T152" s="382"/>
      <c r="U152" s="382"/>
      <c r="V152"/>
      <c r="W152"/>
      <c r="X152"/>
      <c r="Y152"/>
    </row>
    <row r="153" spans="1:25" ht="15.75">
      <c r="A153" s="684"/>
      <c r="B153" s="689" t="s">
        <v>1086</v>
      </c>
      <c r="C153" s="383">
        <v>0</v>
      </c>
      <c r="D153" s="384">
        <v>0</v>
      </c>
      <c r="E153" s="384">
        <v>0</v>
      </c>
      <c r="F153" s="384">
        <v>0</v>
      </c>
      <c r="G153" s="384">
        <v>0</v>
      </c>
      <c r="H153" s="385">
        <v>0</v>
      </c>
      <c r="I153" s="385">
        <v>0</v>
      </c>
      <c r="J153" s="384">
        <v>0</v>
      </c>
      <c r="K153" s="384">
        <v>0</v>
      </c>
      <c r="L153" s="384">
        <v>0</v>
      </c>
      <c r="M153" s="385">
        <v>0</v>
      </c>
      <c r="N153" s="385">
        <v>0</v>
      </c>
      <c r="O153" s="384">
        <v>0</v>
      </c>
      <c r="P153" s="384">
        <v>0</v>
      </c>
      <c r="Q153" s="385">
        <v>0</v>
      </c>
      <c r="R153" s="385">
        <v>0</v>
      </c>
      <c r="S153" s="385">
        <v>0</v>
      </c>
      <c r="T153" s="385">
        <v>0</v>
      </c>
      <c r="U153" s="385">
        <v>0</v>
      </c>
      <c r="V153"/>
      <c r="W153"/>
      <c r="X153"/>
      <c r="Y153"/>
    </row>
    <row r="154" spans="1:25" ht="15.75">
      <c r="A154" s="684"/>
      <c r="B154" s="687" t="s">
        <v>1248</v>
      </c>
      <c r="C154" s="674"/>
      <c r="D154" s="675"/>
      <c r="E154" s="675"/>
      <c r="F154" s="675"/>
      <c r="G154" s="675"/>
      <c r="H154" s="676"/>
      <c r="I154" s="676"/>
      <c r="J154" s="675"/>
      <c r="K154" s="675"/>
      <c r="L154" s="675"/>
      <c r="M154" s="676"/>
      <c r="N154" s="676"/>
      <c r="O154" s="675"/>
      <c r="P154" s="675"/>
      <c r="Q154" s="676"/>
      <c r="R154" s="676"/>
      <c r="S154" s="676"/>
      <c r="T154" s="676"/>
      <c r="U154" s="676"/>
      <c r="V154"/>
      <c r="W154"/>
      <c r="X154"/>
      <c r="Y154"/>
    </row>
    <row r="155" spans="1:25" s="386" customFormat="1" ht="15.75">
      <c r="A155" s="685"/>
      <c r="B155" s="690" t="s">
        <v>1250</v>
      </c>
      <c r="C155" s="576"/>
      <c r="D155" s="577"/>
      <c r="E155" s="577"/>
      <c r="F155" s="577"/>
      <c r="G155" s="577"/>
      <c r="H155" s="578"/>
      <c r="I155" s="578"/>
      <c r="J155" s="577"/>
      <c r="K155" s="577"/>
      <c r="L155" s="577"/>
      <c r="M155" s="578"/>
      <c r="N155" s="578"/>
      <c r="O155" s="577"/>
      <c r="P155" s="577"/>
      <c r="Q155" s="578"/>
      <c r="R155" s="578"/>
      <c r="S155" s="578"/>
      <c r="T155" s="578"/>
      <c r="U155" s="578"/>
      <c r="V155"/>
      <c r="W155"/>
      <c r="X155"/>
      <c r="Y155"/>
    </row>
    <row r="156" spans="1:25" ht="15.75">
      <c r="A156" s="683" t="s">
        <v>346</v>
      </c>
      <c r="B156" s="687" t="s">
        <v>1039</v>
      </c>
      <c r="C156" s="674"/>
      <c r="D156" s="675"/>
      <c r="E156" s="675"/>
      <c r="F156" s="675"/>
      <c r="G156" s="675"/>
      <c r="H156" s="676"/>
      <c r="I156" s="676"/>
      <c r="J156" s="675">
        <v>4506</v>
      </c>
      <c r="K156" s="675">
        <v>14293</v>
      </c>
      <c r="L156" s="675">
        <v>1932</v>
      </c>
      <c r="M156" s="676">
        <v>233</v>
      </c>
      <c r="N156" s="676">
        <v>20964</v>
      </c>
      <c r="O156" s="675"/>
      <c r="P156" s="675"/>
      <c r="Q156" s="676"/>
      <c r="R156" s="676"/>
      <c r="S156" s="676"/>
      <c r="T156" s="676"/>
      <c r="U156" s="676">
        <v>20964</v>
      </c>
      <c r="V156"/>
      <c r="W156"/>
      <c r="X156"/>
      <c r="Y156"/>
    </row>
    <row r="157" spans="1:25" ht="15.75">
      <c r="A157" s="684"/>
      <c r="B157" s="688" t="s">
        <v>1040</v>
      </c>
      <c r="C157" s="380"/>
      <c r="D157" s="381"/>
      <c r="E157" s="381"/>
      <c r="F157" s="381"/>
      <c r="G157" s="381"/>
      <c r="H157" s="382"/>
      <c r="I157" s="382"/>
      <c r="J157" s="381">
        <v>3958</v>
      </c>
      <c r="K157" s="381">
        <v>14675</v>
      </c>
      <c r="L157" s="381">
        <v>1694</v>
      </c>
      <c r="M157" s="382">
        <v>227</v>
      </c>
      <c r="N157" s="382">
        <v>20554</v>
      </c>
      <c r="O157" s="381"/>
      <c r="P157" s="381"/>
      <c r="Q157" s="382"/>
      <c r="R157" s="382"/>
      <c r="S157" s="382"/>
      <c r="T157" s="382"/>
      <c r="U157" s="382">
        <v>20554</v>
      </c>
      <c r="V157"/>
      <c r="W157"/>
      <c r="X157"/>
      <c r="Y157"/>
    </row>
    <row r="158" spans="1:25" s="386" customFormat="1" ht="15.75">
      <c r="A158" s="684"/>
      <c r="B158" s="689" t="s">
        <v>1041</v>
      </c>
      <c r="C158" s="383">
        <v>0</v>
      </c>
      <c r="D158" s="384">
        <v>0</v>
      </c>
      <c r="E158" s="384">
        <v>0</v>
      </c>
      <c r="F158" s="384">
        <v>0</v>
      </c>
      <c r="G158" s="384">
        <v>0</v>
      </c>
      <c r="H158" s="385">
        <v>0</v>
      </c>
      <c r="I158" s="385">
        <v>0</v>
      </c>
      <c r="J158" s="384">
        <v>-0.12161562361296049</v>
      </c>
      <c r="K158" s="384">
        <v>2.6726369551528722E-2</v>
      </c>
      <c r="L158" s="384">
        <v>-0.12318840579710146</v>
      </c>
      <c r="M158" s="385">
        <v>-2.575107296137339E-2</v>
      </c>
      <c r="N158" s="385">
        <v>-1.9557336386185842E-2</v>
      </c>
      <c r="O158" s="384">
        <v>0</v>
      </c>
      <c r="P158" s="384">
        <v>0</v>
      </c>
      <c r="Q158" s="385">
        <v>0</v>
      </c>
      <c r="R158" s="385">
        <v>0</v>
      </c>
      <c r="S158" s="385">
        <v>0</v>
      </c>
      <c r="T158" s="385">
        <v>0</v>
      </c>
      <c r="U158" s="385">
        <v>-1.9557336386185842E-2</v>
      </c>
      <c r="V158"/>
      <c r="W158"/>
      <c r="X158"/>
      <c r="Y158"/>
    </row>
    <row r="159" spans="1:25" ht="15.75">
      <c r="A159" s="684"/>
      <c r="B159" s="687" t="s">
        <v>1042</v>
      </c>
      <c r="C159" s="674"/>
      <c r="D159" s="675"/>
      <c r="E159" s="675"/>
      <c r="F159" s="675"/>
      <c r="G159" s="675"/>
      <c r="H159" s="676"/>
      <c r="I159" s="676"/>
      <c r="J159" s="675">
        <v>53</v>
      </c>
      <c r="K159" s="675">
        <v>233</v>
      </c>
      <c r="L159" s="675">
        <v>40</v>
      </c>
      <c r="M159" s="676">
        <v>1</v>
      </c>
      <c r="N159" s="676">
        <v>327</v>
      </c>
      <c r="O159" s="675"/>
      <c r="P159" s="675"/>
      <c r="Q159" s="676"/>
      <c r="R159" s="676"/>
      <c r="S159" s="676"/>
      <c r="T159" s="676"/>
      <c r="U159" s="676">
        <v>327</v>
      </c>
      <c r="V159"/>
      <c r="W159"/>
      <c r="X159"/>
      <c r="Y159"/>
    </row>
    <row r="160" spans="1:25" ht="15.75">
      <c r="A160" s="684"/>
      <c r="B160" s="688" t="s">
        <v>1043</v>
      </c>
      <c r="C160" s="380"/>
      <c r="D160" s="381"/>
      <c r="E160" s="381"/>
      <c r="F160" s="381"/>
      <c r="G160" s="381"/>
      <c r="H160" s="382"/>
      <c r="I160" s="382"/>
      <c r="J160" s="381">
        <v>72</v>
      </c>
      <c r="K160" s="381">
        <v>442</v>
      </c>
      <c r="L160" s="381">
        <v>34</v>
      </c>
      <c r="M160" s="382">
        <v>9</v>
      </c>
      <c r="N160" s="382">
        <v>557</v>
      </c>
      <c r="O160" s="381"/>
      <c r="P160" s="381"/>
      <c r="Q160" s="382"/>
      <c r="R160" s="382"/>
      <c r="S160" s="382"/>
      <c r="T160" s="382"/>
      <c r="U160" s="382">
        <v>557</v>
      </c>
      <c r="V160"/>
      <c r="W160"/>
      <c r="X160"/>
      <c r="Y160"/>
    </row>
    <row r="161" spans="1:25" s="386" customFormat="1" ht="15.75">
      <c r="A161" s="684"/>
      <c r="B161" s="689" t="s">
        <v>1044</v>
      </c>
      <c r="C161" s="383">
        <v>0</v>
      </c>
      <c r="D161" s="384">
        <v>0</v>
      </c>
      <c r="E161" s="384">
        <v>0</v>
      </c>
      <c r="F161" s="384">
        <v>0</v>
      </c>
      <c r="G161" s="384">
        <v>0</v>
      </c>
      <c r="H161" s="385">
        <v>0</v>
      </c>
      <c r="I161" s="385">
        <v>0</v>
      </c>
      <c r="J161" s="384">
        <v>0.35849056603773582</v>
      </c>
      <c r="K161" s="692">
        <v>0.89699570815450647</v>
      </c>
      <c r="L161" s="384">
        <v>-0.15</v>
      </c>
      <c r="M161" s="385">
        <v>8</v>
      </c>
      <c r="N161" s="385">
        <v>0.70336391437308865</v>
      </c>
      <c r="O161" s="384">
        <v>0</v>
      </c>
      <c r="P161" s="384">
        <v>0</v>
      </c>
      <c r="Q161" s="385">
        <v>0</v>
      </c>
      <c r="R161" s="385">
        <v>0</v>
      </c>
      <c r="S161" s="385">
        <v>0</v>
      </c>
      <c r="T161" s="385">
        <v>0</v>
      </c>
      <c r="U161" s="385">
        <v>0.70336391437308865</v>
      </c>
      <c r="V161"/>
      <c r="W161"/>
      <c r="X161"/>
      <c r="Y161"/>
    </row>
    <row r="162" spans="1:25" ht="15.75">
      <c r="A162" s="684"/>
      <c r="B162" s="687" t="s">
        <v>1045</v>
      </c>
      <c r="C162" s="674">
        <v>1078</v>
      </c>
      <c r="D162" s="675">
        <v>159</v>
      </c>
      <c r="E162" s="675">
        <v>647</v>
      </c>
      <c r="F162" s="675">
        <v>184</v>
      </c>
      <c r="G162" s="675"/>
      <c r="H162" s="676"/>
      <c r="I162" s="676">
        <v>2068</v>
      </c>
      <c r="J162" s="675">
        <v>12908</v>
      </c>
      <c r="K162" s="675">
        <v>32804</v>
      </c>
      <c r="L162" s="675">
        <v>3221</v>
      </c>
      <c r="M162" s="676">
        <v>309</v>
      </c>
      <c r="N162" s="676">
        <v>49242</v>
      </c>
      <c r="O162" s="675"/>
      <c r="P162" s="675"/>
      <c r="Q162" s="676"/>
      <c r="R162" s="676"/>
      <c r="S162" s="676"/>
      <c r="T162" s="676"/>
      <c r="U162" s="676">
        <v>51310</v>
      </c>
      <c r="V162"/>
      <c r="W162"/>
      <c r="X162"/>
      <c r="Y162"/>
    </row>
    <row r="163" spans="1:25" ht="15.75">
      <c r="A163" s="684"/>
      <c r="B163" s="688" t="s">
        <v>1046</v>
      </c>
      <c r="C163" s="380">
        <v>873</v>
      </c>
      <c r="D163" s="381">
        <v>157</v>
      </c>
      <c r="E163" s="381">
        <v>645</v>
      </c>
      <c r="F163" s="381">
        <v>227</v>
      </c>
      <c r="G163" s="381"/>
      <c r="H163" s="382">
        <v>0</v>
      </c>
      <c r="I163" s="382">
        <v>1902</v>
      </c>
      <c r="J163" s="381">
        <v>13963</v>
      </c>
      <c r="K163" s="381">
        <v>34516</v>
      </c>
      <c r="L163" s="381">
        <v>3494</v>
      </c>
      <c r="M163" s="382">
        <v>279</v>
      </c>
      <c r="N163" s="382">
        <v>52252</v>
      </c>
      <c r="O163" s="381"/>
      <c r="P163" s="381"/>
      <c r="Q163" s="382"/>
      <c r="R163" s="382"/>
      <c r="S163" s="382"/>
      <c r="T163" s="382"/>
      <c r="U163" s="382">
        <v>54154</v>
      </c>
      <c r="V163"/>
      <c r="W163"/>
      <c r="X163"/>
      <c r="Y163"/>
    </row>
    <row r="164" spans="1:25" s="386" customFormat="1" ht="15.75">
      <c r="A164" s="684"/>
      <c r="B164" s="689" t="s">
        <v>1047</v>
      </c>
      <c r="C164" s="692">
        <v>-0.19016697588126161</v>
      </c>
      <c r="D164" s="384">
        <v>-1.2578616352201259E-2</v>
      </c>
      <c r="E164" s="384">
        <v>-3.0911901081916537E-3</v>
      </c>
      <c r="F164" s="384">
        <v>0.23369565217391305</v>
      </c>
      <c r="G164" s="384">
        <v>0</v>
      </c>
      <c r="H164" s="385">
        <v>0</v>
      </c>
      <c r="I164" s="385">
        <v>-8.0270793036750485E-2</v>
      </c>
      <c r="J164" s="384">
        <v>8.1732259064146259E-2</v>
      </c>
      <c r="K164" s="384">
        <v>5.2188757468601389E-2</v>
      </c>
      <c r="L164" s="384">
        <v>8.4756286867432473E-2</v>
      </c>
      <c r="M164" s="385">
        <v>-9.7087378640776698E-2</v>
      </c>
      <c r="N164" s="385">
        <v>6.112668047601641E-2</v>
      </c>
      <c r="O164" s="384">
        <v>0</v>
      </c>
      <c r="P164" s="384">
        <v>0</v>
      </c>
      <c r="Q164" s="385">
        <v>0</v>
      </c>
      <c r="R164" s="385">
        <v>0</v>
      </c>
      <c r="S164" s="385">
        <v>0</v>
      </c>
      <c r="T164" s="385">
        <v>0</v>
      </c>
      <c r="U164" s="385">
        <v>5.5427791853439878E-2</v>
      </c>
      <c r="V164"/>
      <c r="W164"/>
      <c r="X164"/>
      <c r="Y164"/>
    </row>
    <row r="165" spans="1:25" ht="15.75">
      <c r="A165" s="684"/>
      <c r="B165" s="687" t="s">
        <v>1048</v>
      </c>
      <c r="C165" s="674">
        <v>37942</v>
      </c>
      <c r="D165" s="675">
        <v>4481</v>
      </c>
      <c r="E165" s="675">
        <v>5971</v>
      </c>
      <c r="F165" s="675">
        <v>1214</v>
      </c>
      <c r="G165" s="675"/>
      <c r="H165" s="676">
        <v>168</v>
      </c>
      <c r="I165" s="676">
        <v>49776</v>
      </c>
      <c r="J165" s="675">
        <v>684</v>
      </c>
      <c r="K165" s="675">
        <v>5</v>
      </c>
      <c r="L165" s="675"/>
      <c r="M165" s="676"/>
      <c r="N165" s="676">
        <v>689</v>
      </c>
      <c r="O165" s="675"/>
      <c r="P165" s="675"/>
      <c r="Q165" s="676"/>
      <c r="R165" s="676"/>
      <c r="S165" s="676"/>
      <c r="T165" s="676"/>
      <c r="U165" s="676">
        <v>50465</v>
      </c>
      <c r="V165"/>
      <c r="W165"/>
      <c r="X165"/>
      <c r="Y165"/>
    </row>
    <row r="166" spans="1:25" ht="15.75">
      <c r="A166" s="684"/>
      <c r="B166" s="688" t="s">
        <v>1049</v>
      </c>
      <c r="C166" s="380">
        <v>39352</v>
      </c>
      <c r="D166" s="381">
        <v>4467</v>
      </c>
      <c r="E166" s="381">
        <v>6126</v>
      </c>
      <c r="F166" s="381">
        <v>1346</v>
      </c>
      <c r="G166" s="381"/>
      <c r="H166" s="382">
        <v>158</v>
      </c>
      <c r="I166" s="382">
        <v>51449</v>
      </c>
      <c r="J166" s="381">
        <v>988</v>
      </c>
      <c r="K166" s="381">
        <v>50</v>
      </c>
      <c r="L166" s="381">
        <v>0</v>
      </c>
      <c r="M166" s="382">
        <v>0</v>
      </c>
      <c r="N166" s="382">
        <v>1038</v>
      </c>
      <c r="O166" s="381"/>
      <c r="P166" s="381"/>
      <c r="Q166" s="382"/>
      <c r="R166" s="382"/>
      <c r="S166" s="382"/>
      <c r="T166" s="382"/>
      <c r="U166" s="382">
        <v>52487</v>
      </c>
      <c r="V166"/>
      <c r="W166"/>
      <c r="X166"/>
      <c r="Y166"/>
    </row>
    <row r="167" spans="1:25" s="386" customFormat="1" ht="15.75">
      <c r="A167" s="684"/>
      <c r="B167" s="689" t="s">
        <v>1050</v>
      </c>
      <c r="C167" s="383">
        <v>3.7161984080965688E-2</v>
      </c>
      <c r="D167" s="384">
        <v>-3.1243026110243251E-3</v>
      </c>
      <c r="E167" s="384">
        <v>2.59588008708759E-2</v>
      </c>
      <c r="F167" s="384">
        <v>0.10873146622734761</v>
      </c>
      <c r="G167" s="384">
        <v>0</v>
      </c>
      <c r="H167" s="385">
        <v>-5.9523809523809521E-2</v>
      </c>
      <c r="I167" s="385">
        <v>3.3610575377692062E-2</v>
      </c>
      <c r="J167" s="384">
        <v>0.44444444444444442</v>
      </c>
      <c r="K167" s="384">
        <v>9</v>
      </c>
      <c r="L167" s="384">
        <v>0</v>
      </c>
      <c r="M167" s="385">
        <v>0</v>
      </c>
      <c r="N167" s="385">
        <v>0.50653120464441215</v>
      </c>
      <c r="O167" s="384">
        <v>0</v>
      </c>
      <c r="P167" s="384">
        <v>0</v>
      </c>
      <c r="Q167" s="385">
        <v>0</v>
      </c>
      <c r="R167" s="385">
        <v>0</v>
      </c>
      <c r="S167" s="385">
        <v>0</v>
      </c>
      <c r="T167" s="385">
        <v>0</v>
      </c>
      <c r="U167" s="385">
        <v>4.0067373427127712E-2</v>
      </c>
      <c r="V167"/>
      <c r="W167"/>
      <c r="X167"/>
      <c r="Y167"/>
    </row>
    <row r="168" spans="1:25" ht="15.75">
      <c r="A168" s="684"/>
      <c r="B168" s="687" t="s">
        <v>1051</v>
      </c>
      <c r="C168" s="674"/>
      <c r="D168" s="675"/>
      <c r="E168" s="675"/>
      <c r="F168" s="675"/>
      <c r="G168" s="675"/>
      <c r="H168" s="676"/>
      <c r="I168" s="676"/>
      <c r="J168" s="675"/>
      <c r="K168" s="675"/>
      <c r="L168" s="675"/>
      <c r="M168" s="676"/>
      <c r="N168" s="676"/>
      <c r="O168" s="675"/>
      <c r="P168" s="675"/>
      <c r="Q168" s="676"/>
      <c r="R168" s="676"/>
      <c r="S168" s="676"/>
      <c r="T168" s="676"/>
      <c r="U168" s="676"/>
      <c r="V168"/>
      <c r="W168"/>
      <c r="X168"/>
      <c r="Y168"/>
    </row>
    <row r="169" spans="1:25" ht="15.75">
      <c r="A169" s="684"/>
      <c r="B169" s="688" t="s">
        <v>1052</v>
      </c>
      <c r="C169" s="380"/>
      <c r="D169" s="381"/>
      <c r="E169" s="381"/>
      <c r="F169" s="381"/>
      <c r="G169" s="381"/>
      <c r="H169" s="382"/>
      <c r="I169" s="382"/>
      <c r="J169" s="381"/>
      <c r="K169" s="381"/>
      <c r="L169" s="381"/>
      <c r="M169" s="382"/>
      <c r="N169" s="382"/>
      <c r="O169" s="381"/>
      <c r="P169" s="381"/>
      <c r="Q169" s="382"/>
      <c r="R169" s="382"/>
      <c r="S169" s="382"/>
      <c r="T169" s="382"/>
      <c r="U169" s="382"/>
      <c r="V169"/>
      <c r="W169"/>
      <c r="X169"/>
      <c r="Y169"/>
    </row>
    <row r="170" spans="1:25" s="386" customFormat="1" ht="15.75">
      <c r="A170" s="684"/>
      <c r="B170" s="689" t="s">
        <v>1053</v>
      </c>
      <c r="C170" s="383">
        <v>0</v>
      </c>
      <c r="D170" s="384">
        <v>0</v>
      </c>
      <c r="E170" s="384">
        <v>0</v>
      </c>
      <c r="F170" s="384">
        <v>0</v>
      </c>
      <c r="G170" s="384">
        <v>0</v>
      </c>
      <c r="H170" s="385">
        <v>0</v>
      </c>
      <c r="I170" s="385">
        <v>0</v>
      </c>
      <c r="J170" s="384">
        <v>0</v>
      </c>
      <c r="K170" s="384">
        <v>0</v>
      </c>
      <c r="L170" s="384">
        <v>0</v>
      </c>
      <c r="M170" s="385">
        <v>0</v>
      </c>
      <c r="N170" s="385">
        <v>0</v>
      </c>
      <c r="O170" s="384">
        <v>0</v>
      </c>
      <c r="P170" s="384">
        <v>0</v>
      </c>
      <c r="Q170" s="385">
        <v>0</v>
      </c>
      <c r="R170" s="385">
        <v>0</v>
      </c>
      <c r="S170" s="385">
        <v>0</v>
      </c>
      <c r="T170" s="385">
        <v>0</v>
      </c>
      <c r="U170" s="385">
        <v>0</v>
      </c>
      <c r="V170"/>
      <c r="W170"/>
      <c r="X170"/>
      <c r="Y170"/>
    </row>
    <row r="171" spans="1:25" ht="15.75">
      <c r="A171" s="684"/>
      <c r="B171" s="687" t="s">
        <v>1054</v>
      </c>
      <c r="C171" s="674">
        <v>11988</v>
      </c>
      <c r="D171" s="675">
        <v>1138</v>
      </c>
      <c r="E171" s="675">
        <v>1261</v>
      </c>
      <c r="F171" s="675">
        <v>267</v>
      </c>
      <c r="G171" s="675"/>
      <c r="H171" s="676">
        <v>0</v>
      </c>
      <c r="I171" s="676">
        <v>14654</v>
      </c>
      <c r="J171" s="675">
        <v>0</v>
      </c>
      <c r="K171" s="675">
        <v>0</v>
      </c>
      <c r="L171" s="675">
        <v>0</v>
      </c>
      <c r="M171" s="676">
        <v>0</v>
      </c>
      <c r="N171" s="676">
        <v>0</v>
      </c>
      <c r="O171" s="675"/>
      <c r="P171" s="675"/>
      <c r="Q171" s="676"/>
      <c r="R171" s="676"/>
      <c r="S171" s="676"/>
      <c r="T171" s="676"/>
      <c r="U171" s="676">
        <v>14654</v>
      </c>
      <c r="V171"/>
      <c r="W171"/>
      <c r="X171"/>
      <c r="Y171"/>
    </row>
    <row r="172" spans="1:25" ht="15.75">
      <c r="A172" s="684"/>
      <c r="B172" s="688" t="s">
        <v>1055</v>
      </c>
      <c r="C172" s="380">
        <v>12402</v>
      </c>
      <c r="D172" s="381">
        <v>1146</v>
      </c>
      <c r="E172" s="381">
        <v>1312</v>
      </c>
      <c r="F172" s="381">
        <v>302</v>
      </c>
      <c r="G172" s="381"/>
      <c r="H172" s="382">
        <v>0</v>
      </c>
      <c r="I172" s="382">
        <v>15162</v>
      </c>
      <c r="J172" s="381">
        <v>0</v>
      </c>
      <c r="K172" s="381">
        <v>0</v>
      </c>
      <c r="L172" s="381">
        <v>0</v>
      </c>
      <c r="M172" s="382">
        <v>0</v>
      </c>
      <c r="N172" s="382">
        <v>0</v>
      </c>
      <c r="O172" s="381"/>
      <c r="P172" s="381"/>
      <c r="Q172" s="382"/>
      <c r="R172" s="382"/>
      <c r="S172" s="382"/>
      <c r="T172" s="382"/>
      <c r="U172" s="382">
        <v>15162</v>
      </c>
      <c r="V172"/>
      <c r="W172"/>
      <c r="X172"/>
      <c r="Y172"/>
    </row>
    <row r="173" spans="1:25" s="386" customFormat="1" ht="15.75">
      <c r="A173" s="684"/>
      <c r="B173" s="689" t="s">
        <v>1056</v>
      </c>
      <c r="C173" s="383">
        <v>3.4534534534534533E-2</v>
      </c>
      <c r="D173" s="384">
        <v>7.0298769771528994E-3</v>
      </c>
      <c r="E173" s="384">
        <v>4.0444091990483745E-2</v>
      </c>
      <c r="F173" s="384">
        <v>0.13108614232209737</v>
      </c>
      <c r="G173" s="384">
        <v>0</v>
      </c>
      <c r="H173" s="385">
        <v>0</v>
      </c>
      <c r="I173" s="385">
        <v>3.4666302715981985E-2</v>
      </c>
      <c r="J173" s="384">
        <v>0</v>
      </c>
      <c r="K173" s="384">
        <v>0</v>
      </c>
      <c r="L173" s="384">
        <v>0</v>
      </c>
      <c r="M173" s="385">
        <v>0</v>
      </c>
      <c r="N173" s="385">
        <v>0</v>
      </c>
      <c r="O173" s="384">
        <v>0</v>
      </c>
      <c r="P173" s="384">
        <v>0</v>
      </c>
      <c r="Q173" s="385">
        <v>0</v>
      </c>
      <c r="R173" s="385">
        <v>0</v>
      </c>
      <c r="S173" s="385">
        <v>0</v>
      </c>
      <c r="T173" s="385">
        <v>0</v>
      </c>
      <c r="U173" s="385">
        <v>3.4666302715981985E-2</v>
      </c>
      <c r="V173"/>
      <c r="W173"/>
      <c r="X173"/>
      <c r="Y173"/>
    </row>
    <row r="174" spans="1:25" ht="15.75">
      <c r="A174" s="684"/>
      <c r="B174" s="687" t="s">
        <v>1057</v>
      </c>
      <c r="C174" s="674">
        <v>1810</v>
      </c>
      <c r="D174" s="675">
        <v>83</v>
      </c>
      <c r="E174" s="675">
        <v>52</v>
      </c>
      <c r="F174" s="675">
        <v>0</v>
      </c>
      <c r="G174" s="675"/>
      <c r="H174" s="676">
        <v>0</v>
      </c>
      <c r="I174" s="676">
        <v>1945</v>
      </c>
      <c r="J174" s="675">
        <v>0</v>
      </c>
      <c r="K174" s="675">
        <v>0</v>
      </c>
      <c r="L174" s="675">
        <v>0</v>
      </c>
      <c r="M174" s="676">
        <v>0</v>
      </c>
      <c r="N174" s="676">
        <v>0</v>
      </c>
      <c r="O174" s="675"/>
      <c r="P174" s="675"/>
      <c r="Q174" s="676"/>
      <c r="R174" s="676"/>
      <c r="S174" s="676"/>
      <c r="T174" s="676"/>
      <c r="U174" s="676">
        <v>1945</v>
      </c>
      <c r="V174"/>
      <c r="W174"/>
      <c r="X174"/>
      <c r="Y174"/>
    </row>
    <row r="175" spans="1:25" ht="15.75">
      <c r="A175" s="684"/>
      <c r="B175" s="688" t="s">
        <v>1058</v>
      </c>
      <c r="C175" s="380">
        <v>1791</v>
      </c>
      <c r="D175" s="381">
        <v>90</v>
      </c>
      <c r="E175" s="381">
        <v>87</v>
      </c>
      <c r="F175" s="381">
        <v>0</v>
      </c>
      <c r="G175" s="381"/>
      <c r="H175" s="382">
        <v>0</v>
      </c>
      <c r="I175" s="382">
        <v>1968</v>
      </c>
      <c r="J175" s="381">
        <v>0</v>
      </c>
      <c r="K175" s="381">
        <v>0</v>
      </c>
      <c r="L175" s="381">
        <v>0</v>
      </c>
      <c r="M175" s="382">
        <v>0</v>
      </c>
      <c r="N175" s="382">
        <v>0</v>
      </c>
      <c r="O175" s="381"/>
      <c r="P175" s="381"/>
      <c r="Q175" s="382"/>
      <c r="R175" s="382"/>
      <c r="S175" s="382"/>
      <c r="T175" s="382"/>
      <c r="U175" s="382">
        <v>1968</v>
      </c>
      <c r="V175"/>
      <c r="W175"/>
      <c r="X175"/>
      <c r="Y175"/>
    </row>
    <row r="176" spans="1:25" s="386" customFormat="1" ht="15.75">
      <c r="A176" s="684"/>
      <c r="B176" s="689" t="s">
        <v>1059</v>
      </c>
      <c r="C176" s="383">
        <v>-1.0497237569060774E-2</v>
      </c>
      <c r="D176" s="384">
        <v>8.4337349397590355E-2</v>
      </c>
      <c r="E176" s="692">
        <v>0.67307692307692313</v>
      </c>
      <c r="F176" s="384">
        <v>0</v>
      </c>
      <c r="G176" s="384">
        <v>0</v>
      </c>
      <c r="H176" s="385">
        <v>0</v>
      </c>
      <c r="I176" s="385">
        <v>1.1825192802056555E-2</v>
      </c>
      <c r="J176" s="384">
        <v>0</v>
      </c>
      <c r="K176" s="384">
        <v>0</v>
      </c>
      <c r="L176" s="384">
        <v>0</v>
      </c>
      <c r="M176" s="385">
        <v>0</v>
      </c>
      <c r="N176" s="385">
        <v>0</v>
      </c>
      <c r="O176" s="384">
        <v>0</v>
      </c>
      <c r="P176" s="384">
        <v>0</v>
      </c>
      <c r="Q176" s="385">
        <v>0</v>
      </c>
      <c r="R176" s="385">
        <v>0</v>
      </c>
      <c r="S176" s="385">
        <v>0</v>
      </c>
      <c r="T176" s="385">
        <v>0</v>
      </c>
      <c r="U176" s="385">
        <v>1.1825192802056555E-2</v>
      </c>
      <c r="V176"/>
      <c r="W176"/>
      <c r="X176"/>
      <c r="Y176"/>
    </row>
    <row r="177" spans="1:25" ht="15.75">
      <c r="A177" s="684"/>
      <c r="B177" s="687" t="s">
        <v>1060</v>
      </c>
      <c r="C177" s="674">
        <v>883</v>
      </c>
      <c r="D177" s="675"/>
      <c r="E177" s="675">
        <v>122</v>
      </c>
      <c r="F177" s="675"/>
      <c r="G177" s="675"/>
      <c r="H177" s="676"/>
      <c r="I177" s="676">
        <v>1005</v>
      </c>
      <c r="J177" s="675"/>
      <c r="K177" s="675"/>
      <c r="L177" s="675"/>
      <c r="M177" s="676"/>
      <c r="N177" s="676"/>
      <c r="O177" s="675"/>
      <c r="P177" s="675"/>
      <c r="Q177" s="676"/>
      <c r="R177" s="676"/>
      <c r="S177" s="676"/>
      <c r="T177" s="676"/>
      <c r="U177" s="676">
        <v>1005</v>
      </c>
      <c r="V177"/>
      <c r="W177"/>
      <c r="X177"/>
      <c r="Y177"/>
    </row>
    <row r="178" spans="1:25" ht="15.75">
      <c r="A178" s="684"/>
      <c r="B178" s="688" t="s">
        <v>1061</v>
      </c>
      <c r="C178" s="380">
        <v>810</v>
      </c>
      <c r="D178" s="381"/>
      <c r="E178" s="381">
        <v>160</v>
      </c>
      <c r="F178" s="381"/>
      <c r="G178" s="381"/>
      <c r="H178" s="382"/>
      <c r="I178" s="382">
        <v>970</v>
      </c>
      <c r="J178" s="381"/>
      <c r="K178" s="381"/>
      <c r="L178" s="381"/>
      <c r="M178" s="382"/>
      <c r="N178" s="382"/>
      <c r="O178" s="381"/>
      <c r="P178" s="381"/>
      <c r="Q178" s="382"/>
      <c r="R178" s="382"/>
      <c r="S178" s="382"/>
      <c r="T178" s="382"/>
      <c r="U178" s="382">
        <v>970</v>
      </c>
      <c r="V178"/>
      <c r="W178"/>
      <c r="X178"/>
      <c r="Y178"/>
    </row>
    <row r="179" spans="1:25" s="386" customFormat="1" ht="15.75">
      <c r="A179" s="684"/>
      <c r="B179" s="689" t="s">
        <v>1062</v>
      </c>
      <c r="C179" s="383">
        <v>-8.2672706681766711E-2</v>
      </c>
      <c r="D179" s="384">
        <v>0</v>
      </c>
      <c r="E179" s="384">
        <v>0.31147540983606559</v>
      </c>
      <c r="F179" s="384">
        <v>0</v>
      </c>
      <c r="G179" s="384">
        <v>0</v>
      </c>
      <c r="H179" s="385">
        <v>0</v>
      </c>
      <c r="I179" s="385">
        <v>-3.482587064676617E-2</v>
      </c>
      <c r="J179" s="384">
        <v>0</v>
      </c>
      <c r="K179" s="384">
        <v>0</v>
      </c>
      <c r="L179" s="384">
        <v>0</v>
      </c>
      <c r="M179" s="385">
        <v>0</v>
      </c>
      <c r="N179" s="385">
        <v>0</v>
      </c>
      <c r="O179" s="384">
        <v>0</v>
      </c>
      <c r="P179" s="384">
        <v>0</v>
      </c>
      <c r="Q179" s="385">
        <v>0</v>
      </c>
      <c r="R179" s="385">
        <v>0</v>
      </c>
      <c r="S179" s="385">
        <v>0</v>
      </c>
      <c r="T179" s="385">
        <v>0</v>
      </c>
      <c r="U179" s="385">
        <v>-3.482587064676617E-2</v>
      </c>
      <c r="V179"/>
      <c r="W179"/>
      <c r="X179"/>
      <c r="Y179"/>
    </row>
    <row r="180" spans="1:25" ht="15.75">
      <c r="A180" s="684"/>
      <c r="B180" s="687" t="s">
        <v>1063</v>
      </c>
      <c r="C180" s="674">
        <v>287</v>
      </c>
      <c r="D180" s="675"/>
      <c r="E180" s="675"/>
      <c r="F180" s="675"/>
      <c r="G180" s="675"/>
      <c r="H180" s="676"/>
      <c r="I180" s="676">
        <v>287</v>
      </c>
      <c r="J180" s="675"/>
      <c r="K180" s="675"/>
      <c r="L180" s="675"/>
      <c r="M180" s="676"/>
      <c r="N180" s="676"/>
      <c r="O180" s="675"/>
      <c r="P180" s="675"/>
      <c r="Q180" s="676"/>
      <c r="R180" s="676"/>
      <c r="S180" s="676"/>
      <c r="T180" s="676"/>
      <c r="U180" s="676">
        <v>287</v>
      </c>
      <c r="V180"/>
      <c r="W180"/>
      <c r="X180"/>
      <c r="Y180"/>
    </row>
    <row r="181" spans="1:25" ht="15.75">
      <c r="A181" s="684"/>
      <c r="B181" s="688" t="s">
        <v>1064</v>
      </c>
      <c r="C181" s="380">
        <v>312</v>
      </c>
      <c r="D181" s="381"/>
      <c r="E181" s="381"/>
      <c r="F181" s="381"/>
      <c r="G181" s="381"/>
      <c r="H181" s="382"/>
      <c r="I181" s="382">
        <v>312</v>
      </c>
      <c r="J181" s="381"/>
      <c r="K181" s="381"/>
      <c r="L181" s="381"/>
      <c r="M181" s="382"/>
      <c r="N181" s="382"/>
      <c r="O181" s="381"/>
      <c r="P181" s="381"/>
      <c r="Q181" s="382"/>
      <c r="R181" s="382"/>
      <c r="S181" s="382"/>
      <c r="T181" s="382"/>
      <c r="U181" s="382">
        <v>312</v>
      </c>
      <c r="V181"/>
      <c r="W181"/>
      <c r="X181"/>
      <c r="Y181"/>
    </row>
    <row r="182" spans="1:25" s="386" customFormat="1" ht="15.75">
      <c r="A182" s="684"/>
      <c r="B182" s="689" t="s">
        <v>1065</v>
      </c>
      <c r="C182" s="383">
        <v>8.7108013937282236E-2</v>
      </c>
      <c r="D182" s="384">
        <v>0</v>
      </c>
      <c r="E182" s="384">
        <v>0</v>
      </c>
      <c r="F182" s="384">
        <v>0</v>
      </c>
      <c r="G182" s="384">
        <v>0</v>
      </c>
      <c r="H182" s="385">
        <v>0</v>
      </c>
      <c r="I182" s="385">
        <v>8.7108013937282236E-2</v>
      </c>
      <c r="J182" s="384">
        <v>0</v>
      </c>
      <c r="K182" s="384">
        <v>0</v>
      </c>
      <c r="L182" s="384">
        <v>0</v>
      </c>
      <c r="M182" s="385">
        <v>0</v>
      </c>
      <c r="N182" s="385">
        <v>0</v>
      </c>
      <c r="O182" s="384">
        <v>0</v>
      </c>
      <c r="P182" s="384">
        <v>0</v>
      </c>
      <c r="Q182" s="385">
        <v>0</v>
      </c>
      <c r="R182" s="385">
        <v>0</v>
      </c>
      <c r="S182" s="385">
        <v>0</v>
      </c>
      <c r="T182" s="385">
        <v>0</v>
      </c>
      <c r="U182" s="385">
        <v>8.7108013937282236E-2</v>
      </c>
      <c r="V182"/>
      <c r="W182"/>
      <c r="X182"/>
      <c r="Y182"/>
    </row>
    <row r="183" spans="1:25" ht="15.75">
      <c r="A183" s="684"/>
      <c r="B183" s="687" t="s">
        <v>1066</v>
      </c>
      <c r="C183" s="674">
        <v>72</v>
      </c>
      <c r="D183" s="675"/>
      <c r="E183" s="675"/>
      <c r="F183" s="675"/>
      <c r="G183" s="675"/>
      <c r="H183" s="676"/>
      <c r="I183" s="676">
        <v>72</v>
      </c>
      <c r="J183" s="675"/>
      <c r="K183" s="675"/>
      <c r="L183" s="675"/>
      <c r="M183" s="676"/>
      <c r="N183" s="676"/>
      <c r="O183" s="675"/>
      <c r="P183" s="675"/>
      <c r="Q183" s="676"/>
      <c r="R183" s="676"/>
      <c r="S183" s="676"/>
      <c r="T183" s="676"/>
      <c r="U183" s="676">
        <v>72</v>
      </c>
      <c r="V183"/>
      <c r="W183"/>
      <c r="X183"/>
      <c r="Y183"/>
    </row>
    <row r="184" spans="1:25" ht="15.75">
      <c r="A184" s="684"/>
      <c r="B184" s="688" t="s">
        <v>1067</v>
      </c>
      <c r="C184" s="380">
        <v>81</v>
      </c>
      <c r="D184" s="381"/>
      <c r="E184" s="381"/>
      <c r="F184" s="381"/>
      <c r="G184" s="381"/>
      <c r="H184" s="382"/>
      <c r="I184" s="382">
        <v>81</v>
      </c>
      <c r="J184" s="381"/>
      <c r="K184" s="381"/>
      <c r="L184" s="381"/>
      <c r="M184" s="382"/>
      <c r="N184" s="382"/>
      <c r="O184" s="381"/>
      <c r="P184" s="381"/>
      <c r="Q184" s="382"/>
      <c r="R184" s="382"/>
      <c r="S184" s="382"/>
      <c r="T184" s="382"/>
      <c r="U184" s="382">
        <v>81</v>
      </c>
      <c r="V184"/>
      <c r="W184"/>
      <c r="X184"/>
      <c r="Y184"/>
    </row>
    <row r="185" spans="1:25" s="386" customFormat="1" ht="15.75">
      <c r="A185" s="684"/>
      <c r="B185" s="689" t="s">
        <v>1068</v>
      </c>
      <c r="C185" s="383">
        <v>0.125</v>
      </c>
      <c r="D185" s="384">
        <v>0</v>
      </c>
      <c r="E185" s="384">
        <v>0</v>
      </c>
      <c r="F185" s="384">
        <v>0</v>
      </c>
      <c r="G185" s="384">
        <v>0</v>
      </c>
      <c r="H185" s="385">
        <v>0</v>
      </c>
      <c r="I185" s="385">
        <v>0.125</v>
      </c>
      <c r="J185" s="384">
        <v>0</v>
      </c>
      <c r="K185" s="384">
        <v>0</v>
      </c>
      <c r="L185" s="384">
        <v>0</v>
      </c>
      <c r="M185" s="385">
        <v>0</v>
      </c>
      <c r="N185" s="385">
        <v>0</v>
      </c>
      <c r="O185" s="384">
        <v>0</v>
      </c>
      <c r="P185" s="384">
        <v>0</v>
      </c>
      <c r="Q185" s="385">
        <v>0</v>
      </c>
      <c r="R185" s="385">
        <v>0</v>
      </c>
      <c r="S185" s="385">
        <v>0</v>
      </c>
      <c r="T185" s="385">
        <v>0</v>
      </c>
      <c r="U185" s="385">
        <v>0.125</v>
      </c>
      <c r="V185"/>
      <c r="W185"/>
      <c r="X185"/>
      <c r="Y185"/>
    </row>
    <row r="186" spans="1:25" ht="15.75">
      <c r="A186" s="684"/>
      <c r="B186" s="687" t="s">
        <v>1069</v>
      </c>
      <c r="C186" s="674">
        <v>492</v>
      </c>
      <c r="D186" s="675"/>
      <c r="E186" s="675">
        <v>150</v>
      </c>
      <c r="F186" s="675"/>
      <c r="G186" s="675"/>
      <c r="H186" s="676"/>
      <c r="I186" s="676">
        <v>642</v>
      </c>
      <c r="J186" s="675"/>
      <c r="K186" s="675"/>
      <c r="L186" s="675"/>
      <c r="M186" s="676"/>
      <c r="N186" s="676"/>
      <c r="O186" s="675"/>
      <c r="P186" s="675"/>
      <c r="Q186" s="676"/>
      <c r="R186" s="676"/>
      <c r="S186" s="676"/>
      <c r="T186" s="676"/>
      <c r="U186" s="676">
        <v>642</v>
      </c>
      <c r="V186"/>
      <c r="W186"/>
      <c r="X186"/>
      <c r="Y186"/>
    </row>
    <row r="187" spans="1:25" ht="15.75">
      <c r="A187" s="684"/>
      <c r="B187" s="688" t="s">
        <v>1070</v>
      </c>
      <c r="C187" s="380">
        <v>474</v>
      </c>
      <c r="D187" s="381"/>
      <c r="E187" s="381">
        <v>116</v>
      </c>
      <c r="F187" s="381"/>
      <c r="G187" s="381"/>
      <c r="H187" s="382"/>
      <c r="I187" s="382">
        <v>590</v>
      </c>
      <c r="J187" s="381"/>
      <c r="K187" s="381"/>
      <c r="L187" s="381"/>
      <c r="M187" s="382"/>
      <c r="N187" s="382"/>
      <c r="O187" s="381"/>
      <c r="P187" s="381"/>
      <c r="Q187" s="382"/>
      <c r="R187" s="382"/>
      <c r="S187" s="382"/>
      <c r="T187" s="382"/>
      <c r="U187" s="382">
        <v>590</v>
      </c>
      <c r="V187"/>
      <c r="W187"/>
      <c r="X187"/>
      <c r="Y187"/>
    </row>
    <row r="188" spans="1:25" s="386" customFormat="1" ht="15.75">
      <c r="A188" s="684"/>
      <c r="B188" s="689" t="s">
        <v>1071</v>
      </c>
      <c r="C188" s="383">
        <v>-3.6585365853658534E-2</v>
      </c>
      <c r="D188" s="384">
        <v>0</v>
      </c>
      <c r="E188" s="692">
        <v>-0.22666666666666666</v>
      </c>
      <c r="F188" s="384">
        <v>0</v>
      </c>
      <c r="G188" s="384">
        <v>0</v>
      </c>
      <c r="H188" s="385">
        <v>0</v>
      </c>
      <c r="I188" s="385">
        <v>-8.0996884735202487E-2</v>
      </c>
      <c r="J188" s="384">
        <v>0</v>
      </c>
      <c r="K188" s="384">
        <v>0</v>
      </c>
      <c r="L188" s="384">
        <v>0</v>
      </c>
      <c r="M188" s="385">
        <v>0</v>
      </c>
      <c r="N188" s="385">
        <v>0</v>
      </c>
      <c r="O188" s="384">
        <v>0</v>
      </c>
      <c r="P188" s="384">
        <v>0</v>
      </c>
      <c r="Q188" s="385">
        <v>0</v>
      </c>
      <c r="R188" s="385">
        <v>0</v>
      </c>
      <c r="S188" s="385">
        <v>0</v>
      </c>
      <c r="T188" s="385">
        <v>0</v>
      </c>
      <c r="U188" s="385">
        <v>-8.0996884735202487E-2</v>
      </c>
      <c r="V188"/>
      <c r="W188"/>
      <c r="X188"/>
      <c r="Y188"/>
    </row>
    <row r="189" spans="1:25" ht="15.75">
      <c r="A189" s="684"/>
      <c r="B189" s="687" t="s">
        <v>1072</v>
      </c>
      <c r="C189" s="674"/>
      <c r="D189" s="675"/>
      <c r="E189" s="675"/>
      <c r="F189" s="675"/>
      <c r="G189" s="675"/>
      <c r="H189" s="676"/>
      <c r="I189" s="676"/>
      <c r="J189" s="675"/>
      <c r="K189" s="675"/>
      <c r="L189" s="675"/>
      <c r="M189" s="676"/>
      <c r="N189" s="676"/>
      <c r="O189" s="675"/>
      <c r="P189" s="675"/>
      <c r="Q189" s="676"/>
      <c r="R189" s="676"/>
      <c r="S189" s="676"/>
      <c r="T189" s="676"/>
      <c r="U189" s="676"/>
      <c r="V189"/>
      <c r="W189"/>
      <c r="X189"/>
      <c r="Y189"/>
    </row>
    <row r="190" spans="1:25" ht="15.75">
      <c r="A190" s="684"/>
      <c r="B190" s="688" t="s">
        <v>1073</v>
      </c>
      <c r="C190" s="380"/>
      <c r="D190" s="381"/>
      <c r="E190" s="381"/>
      <c r="F190" s="381"/>
      <c r="G190" s="381"/>
      <c r="H190" s="382"/>
      <c r="I190" s="382"/>
      <c r="J190" s="381"/>
      <c r="K190" s="381"/>
      <c r="L190" s="381"/>
      <c r="M190" s="382"/>
      <c r="N190" s="382"/>
      <c r="O190" s="381"/>
      <c r="P190" s="381"/>
      <c r="Q190" s="382"/>
      <c r="R190" s="382"/>
      <c r="S190" s="382"/>
      <c r="T190" s="382"/>
      <c r="U190" s="382"/>
      <c r="V190"/>
      <c r="W190"/>
      <c r="X190"/>
      <c r="Y190"/>
    </row>
    <row r="191" spans="1:25" s="386" customFormat="1" ht="15.75">
      <c r="A191" s="684"/>
      <c r="B191" s="689" t="s">
        <v>1074</v>
      </c>
      <c r="C191" s="383">
        <v>0</v>
      </c>
      <c r="D191" s="384">
        <v>0</v>
      </c>
      <c r="E191" s="384">
        <v>0</v>
      </c>
      <c r="F191" s="384">
        <v>0</v>
      </c>
      <c r="G191" s="384">
        <v>0</v>
      </c>
      <c r="H191" s="385">
        <v>0</v>
      </c>
      <c r="I191" s="385">
        <v>0</v>
      </c>
      <c r="J191" s="384">
        <v>0</v>
      </c>
      <c r="K191" s="384">
        <v>0</v>
      </c>
      <c r="L191" s="384">
        <v>0</v>
      </c>
      <c r="M191" s="385">
        <v>0</v>
      </c>
      <c r="N191" s="385">
        <v>0</v>
      </c>
      <c r="O191" s="384">
        <v>0</v>
      </c>
      <c r="P191" s="384">
        <v>0</v>
      </c>
      <c r="Q191" s="385">
        <v>0</v>
      </c>
      <c r="R191" s="385">
        <v>0</v>
      </c>
      <c r="S191" s="385">
        <v>0</v>
      </c>
      <c r="T191" s="385">
        <v>0</v>
      </c>
      <c r="U191" s="385">
        <v>0</v>
      </c>
      <c r="V191"/>
      <c r="W191"/>
      <c r="X191"/>
      <c r="Y191"/>
    </row>
    <row r="192" spans="1:25" ht="15.75">
      <c r="A192" s="684"/>
      <c r="B192" s="687" t="s">
        <v>1075</v>
      </c>
      <c r="C192" s="674"/>
      <c r="D192" s="675"/>
      <c r="E192" s="675"/>
      <c r="F192" s="675"/>
      <c r="G192" s="675"/>
      <c r="H192" s="676"/>
      <c r="I192" s="676"/>
      <c r="J192" s="675"/>
      <c r="K192" s="675"/>
      <c r="L192" s="675"/>
      <c r="M192" s="676"/>
      <c r="N192" s="676"/>
      <c r="O192" s="675"/>
      <c r="P192" s="675"/>
      <c r="Q192" s="676"/>
      <c r="R192" s="676"/>
      <c r="S192" s="676"/>
      <c r="T192" s="676"/>
      <c r="U192" s="676"/>
      <c r="V192"/>
      <c r="W192"/>
      <c r="X192"/>
      <c r="Y192"/>
    </row>
    <row r="193" spans="1:25" ht="15.75">
      <c r="A193" s="684"/>
      <c r="B193" s="688" t="s">
        <v>1076</v>
      </c>
      <c r="C193" s="380"/>
      <c r="D193" s="381"/>
      <c r="E193" s="381"/>
      <c r="F193" s="381"/>
      <c r="G193" s="381"/>
      <c r="H193" s="382"/>
      <c r="I193" s="382"/>
      <c r="J193" s="381"/>
      <c r="K193" s="381"/>
      <c r="L193" s="381"/>
      <c r="M193" s="382"/>
      <c r="N193" s="382"/>
      <c r="O193" s="381"/>
      <c r="P193" s="381"/>
      <c r="Q193" s="382"/>
      <c r="R193" s="382"/>
      <c r="S193" s="382"/>
      <c r="T193" s="382"/>
      <c r="U193" s="382"/>
      <c r="V193"/>
      <c r="W193"/>
      <c r="X193"/>
      <c r="Y193"/>
    </row>
    <row r="194" spans="1:25" s="386" customFormat="1" ht="15.75">
      <c r="A194" s="684"/>
      <c r="B194" s="689" t="s">
        <v>1077</v>
      </c>
      <c r="C194" s="383">
        <v>0</v>
      </c>
      <c r="D194" s="384">
        <v>0</v>
      </c>
      <c r="E194" s="384">
        <v>0</v>
      </c>
      <c r="F194" s="384">
        <v>0</v>
      </c>
      <c r="G194" s="384">
        <v>0</v>
      </c>
      <c r="H194" s="385">
        <v>0</v>
      </c>
      <c r="I194" s="385">
        <v>0</v>
      </c>
      <c r="J194" s="384">
        <v>0</v>
      </c>
      <c r="K194" s="384">
        <v>0</v>
      </c>
      <c r="L194" s="384">
        <v>0</v>
      </c>
      <c r="M194" s="385">
        <v>0</v>
      </c>
      <c r="N194" s="385">
        <v>0</v>
      </c>
      <c r="O194" s="384">
        <v>0</v>
      </c>
      <c r="P194" s="384">
        <v>0</v>
      </c>
      <c r="Q194" s="385">
        <v>0</v>
      </c>
      <c r="R194" s="385">
        <v>0</v>
      </c>
      <c r="S194" s="385">
        <v>0</v>
      </c>
      <c r="T194" s="385">
        <v>0</v>
      </c>
      <c r="U194" s="385">
        <v>0</v>
      </c>
      <c r="V194"/>
      <c r="W194"/>
      <c r="X194"/>
      <c r="Y194"/>
    </row>
    <row r="195" spans="1:25" ht="15.75">
      <c r="A195" s="684"/>
      <c r="B195" s="687" t="s">
        <v>1078</v>
      </c>
      <c r="C195" s="674"/>
      <c r="D195" s="675"/>
      <c r="E195" s="675"/>
      <c r="F195" s="675"/>
      <c r="G195" s="675"/>
      <c r="H195" s="676"/>
      <c r="I195" s="676"/>
      <c r="J195" s="675"/>
      <c r="K195" s="675"/>
      <c r="L195" s="675"/>
      <c r="M195" s="676"/>
      <c r="N195" s="676"/>
      <c r="O195" s="675"/>
      <c r="P195" s="675"/>
      <c r="Q195" s="676"/>
      <c r="R195" s="676"/>
      <c r="S195" s="676"/>
      <c r="T195" s="676"/>
      <c r="U195" s="676"/>
      <c r="V195"/>
      <c r="W195"/>
      <c r="X195"/>
      <c r="Y195"/>
    </row>
    <row r="196" spans="1:25" ht="15.75">
      <c r="A196" s="684"/>
      <c r="B196" s="688" t="s">
        <v>1079</v>
      </c>
      <c r="C196" s="380"/>
      <c r="D196" s="381"/>
      <c r="E196" s="381"/>
      <c r="F196" s="381"/>
      <c r="G196" s="381"/>
      <c r="H196" s="382"/>
      <c r="I196" s="382"/>
      <c r="J196" s="381"/>
      <c r="K196" s="381"/>
      <c r="L196" s="381"/>
      <c r="M196" s="382"/>
      <c r="N196" s="382"/>
      <c r="O196" s="381"/>
      <c r="P196" s="381"/>
      <c r="Q196" s="382"/>
      <c r="R196" s="382"/>
      <c r="S196" s="382"/>
      <c r="T196" s="382"/>
      <c r="U196" s="382"/>
      <c r="V196"/>
      <c r="W196"/>
      <c r="X196"/>
      <c r="Y196"/>
    </row>
    <row r="197" spans="1:25" s="386" customFormat="1" ht="15.75">
      <c r="A197" s="684"/>
      <c r="B197" s="689" t="s">
        <v>1080</v>
      </c>
      <c r="C197" s="383">
        <v>0</v>
      </c>
      <c r="D197" s="384">
        <v>0</v>
      </c>
      <c r="E197" s="384">
        <v>0</v>
      </c>
      <c r="F197" s="384">
        <v>0</v>
      </c>
      <c r="G197" s="384">
        <v>0</v>
      </c>
      <c r="H197" s="385">
        <v>0</v>
      </c>
      <c r="I197" s="385">
        <v>0</v>
      </c>
      <c r="J197" s="384">
        <v>0</v>
      </c>
      <c r="K197" s="384">
        <v>0</v>
      </c>
      <c r="L197" s="384">
        <v>0</v>
      </c>
      <c r="M197" s="385">
        <v>0</v>
      </c>
      <c r="N197" s="385">
        <v>0</v>
      </c>
      <c r="O197" s="384">
        <v>0</v>
      </c>
      <c r="P197" s="384">
        <v>0</v>
      </c>
      <c r="Q197" s="385">
        <v>0</v>
      </c>
      <c r="R197" s="385">
        <v>0</v>
      </c>
      <c r="S197" s="385">
        <v>0</v>
      </c>
      <c r="T197" s="385">
        <v>0</v>
      </c>
      <c r="U197" s="385">
        <v>0</v>
      </c>
      <c r="V197"/>
      <c r="W197"/>
      <c r="X197"/>
      <c r="Y197"/>
    </row>
    <row r="198" spans="1:25" ht="15.75">
      <c r="A198" s="684"/>
      <c r="B198" s="687" t="s">
        <v>1081</v>
      </c>
      <c r="C198" s="674">
        <v>83</v>
      </c>
      <c r="D198" s="675"/>
      <c r="E198" s="675"/>
      <c r="F198" s="675"/>
      <c r="G198" s="675"/>
      <c r="H198" s="676"/>
      <c r="I198" s="676">
        <v>83</v>
      </c>
      <c r="J198" s="675"/>
      <c r="K198" s="675"/>
      <c r="L198" s="675"/>
      <c r="M198" s="676"/>
      <c r="N198" s="676"/>
      <c r="O198" s="675"/>
      <c r="P198" s="675"/>
      <c r="Q198" s="676"/>
      <c r="R198" s="676"/>
      <c r="S198" s="676"/>
      <c r="T198" s="676"/>
      <c r="U198" s="676">
        <v>83</v>
      </c>
      <c r="V198"/>
      <c r="W198"/>
      <c r="X198"/>
      <c r="Y198"/>
    </row>
    <row r="199" spans="1:25" ht="15.75">
      <c r="A199" s="684"/>
      <c r="B199" s="688" t="s">
        <v>1082</v>
      </c>
      <c r="C199" s="380">
        <v>84</v>
      </c>
      <c r="D199" s="381"/>
      <c r="E199" s="381"/>
      <c r="F199" s="381"/>
      <c r="G199" s="381"/>
      <c r="H199" s="382"/>
      <c r="I199" s="382">
        <v>84</v>
      </c>
      <c r="J199" s="381"/>
      <c r="K199" s="381"/>
      <c r="L199" s="381"/>
      <c r="M199" s="382"/>
      <c r="N199" s="382"/>
      <c r="O199" s="381"/>
      <c r="P199" s="381"/>
      <c r="Q199" s="382"/>
      <c r="R199" s="382"/>
      <c r="S199" s="382"/>
      <c r="T199" s="382"/>
      <c r="U199" s="382">
        <v>84</v>
      </c>
      <c r="V199"/>
      <c r="W199"/>
      <c r="X199"/>
      <c r="Y199"/>
    </row>
    <row r="200" spans="1:25" s="386" customFormat="1" ht="15.75">
      <c r="A200" s="684"/>
      <c r="B200" s="689" t="s">
        <v>1083</v>
      </c>
      <c r="C200" s="383">
        <v>1.2048192771084338E-2</v>
      </c>
      <c r="D200" s="384">
        <v>0</v>
      </c>
      <c r="E200" s="384">
        <v>0</v>
      </c>
      <c r="F200" s="384">
        <v>0</v>
      </c>
      <c r="G200" s="384">
        <v>0</v>
      </c>
      <c r="H200" s="385">
        <v>0</v>
      </c>
      <c r="I200" s="385">
        <v>1.2048192771084338E-2</v>
      </c>
      <c r="J200" s="384">
        <v>0</v>
      </c>
      <c r="K200" s="384">
        <v>0</v>
      </c>
      <c r="L200" s="384">
        <v>0</v>
      </c>
      <c r="M200" s="385">
        <v>0</v>
      </c>
      <c r="N200" s="385">
        <v>0</v>
      </c>
      <c r="O200" s="384">
        <v>0</v>
      </c>
      <c r="P200" s="384">
        <v>0</v>
      </c>
      <c r="Q200" s="385">
        <v>0</v>
      </c>
      <c r="R200" s="385">
        <v>0</v>
      </c>
      <c r="S200" s="385">
        <v>0</v>
      </c>
      <c r="T200" s="385">
        <v>0</v>
      </c>
      <c r="U200" s="385">
        <v>1.2048192771084338E-2</v>
      </c>
      <c r="V200"/>
      <c r="W200"/>
      <c r="X200"/>
      <c r="Y200"/>
    </row>
    <row r="201" spans="1:25" ht="15.75">
      <c r="A201" s="684"/>
      <c r="B201" s="687" t="s">
        <v>1084</v>
      </c>
      <c r="C201" s="674"/>
      <c r="D201" s="675"/>
      <c r="E201" s="675"/>
      <c r="F201" s="675"/>
      <c r="G201" s="675"/>
      <c r="H201" s="676"/>
      <c r="I201" s="676"/>
      <c r="J201" s="675"/>
      <c r="K201" s="675"/>
      <c r="L201" s="675"/>
      <c r="M201" s="676"/>
      <c r="N201" s="676"/>
      <c r="O201" s="675"/>
      <c r="P201" s="675"/>
      <c r="Q201" s="676"/>
      <c r="R201" s="676"/>
      <c r="S201" s="676"/>
      <c r="T201" s="676"/>
      <c r="U201" s="676"/>
      <c r="V201"/>
      <c r="W201"/>
      <c r="X201"/>
      <c r="Y201"/>
    </row>
    <row r="202" spans="1:25" ht="15.75">
      <c r="A202" s="684"/>
      <c r="B202" s="688" t="s">
        <v>1085</v>
      </c>
      <c r="C202" s="380"/>
      <c r="D202" s="381"/>
      <c r="E202" s="381"/>
      <c r="F202" s="381"/>
      <c r="G202" s="381"/>
      <c r="H202" s="382"/>
      <c r="I202" s="382"/>
      <c r="J202" s="381"/>
      <c r="K202" s="381"/>
      <c r="L202" s="381"/>
      <c r="M202" s="382"/>
      <c r="N202" s="382"/>
      <c r="O202" s="381"/>
      <c r="P202" s="381"/>
      <c r="Q202" s="382"/>
      <c r="R202" s="382"/>
      <c r="S202" s="382"/>
      <c r="T202" s="382"/>
      <c r="U202" s="382"/>
      <c r="V202"/>
      <c r="W202"/>
      <c r="X202"/>
      <c r="Y202"/>
    </row>
    <row r="203" spans="1:25" s="386" customFormat="1" ht="15.75">
      <c r="A203" s="684"/>
      <c r="B203" s="689" t="s">
        <v>1086</v>
      </c>
      <c r="C203" s="383">
        <v>0</v>
      </c>
      <c r="D203" s="384">
        <v>0</v>
      </c>
      <c r="E203" s="384">
        <v>0</v>
      </c>
      <c r="F203" s="384">
        <v>0</v>
      </c>
      <c r="G203" s="384">
        <v>0</v>
      </c>
      <c r="H203" s="385">
        <v>0</v>
      </c>
      <c r="I203" s="385">
        <v>0</v>
      </c>
      <c r="J203" s="384">
        <v>0</v>
      </c>
      <c r="K203" s="384">
        <v>0</v>
      </c>
      <c r="L203" s="384">
        <v>0</v>
      </c>
      <c r="M203" s="385">
        <v>0</v>
      </c>
      <c r="N203" s="385">
        <v>0</v>
      </c>
      <c r="O203" s="384">
        <v>0</v>
      </c>
      <c r="P203" s="384">
        <v>0</v>
      </c>
      <c r="Q203" s="385">
        <v>0</v>
      </c>
      <c r="R203" s="385">
        <v>0</v>
      </c>
      <c r="S203" s="385">
        <v>0</v>
      </c>
      <c r="T203" s="385">
        <v>0</v>
      </c>
      <c r="U203" s="385">
        <v>0</v>
      </c>
      <c r="V203"/>
      <c r="W203"/>
      <c r="X203"/>
      <c r="Y203"/>
    </row>
    <row r="204" spans="1:25" ht="15.75">
      <c r="A204" s="684"/>
      <c r="B204" s="687" t="s">
        <v>1248</v>
      </c>
      <c r="C204" s="674"/>
      <c r="D204" s="675"/>
      <c r="E204" s="675"/>
      <c r="F204" s="675"/>
      <c r="G204" s="675"/>
      <c r="H204" s="676"/>
      <c r="I204" s="676"/>
      <c r="J204" s="675"/>
      <c r="K204" s="675"/>
      <c r="L204" s="675"/>
      <c r="M204" s="676"/>
      <c r="N204" s="676"/>
      <c r="O204" s="675"/>
      <c r="P204" s="675"/>
      <c r="Q204" s="676"/>
      <c r="R204" s="676"/>
      <c r="S204" s="676"/>
      <c r="T204" s="676"/>
      <c r="U204" s="676"/>
      <c r="V204"/>
      <c r="W204"/>
      <c r="X204"/>
      <c r="Y204"/>
    </row>
    <row r="205" spans="1:25" ht="15.75">
      <c r="A205" s="685"/>
      <c r="B205" s="690" t="s">
        <v>1250</v>
      </c>
      <c r="C205" s="576"/>
      <c r="D205" s="577"/>
      <c r="E205" s="577"/>
      <c r="F205" s="577"/>
      <c r="G205" s="577"/>
      <c r="H205" s="578"/>
      <c r="I205" s="578"/>
      <c r="J205" s="577"/>
      <c r="K205" s="577"/>
      <c r="L205" s="577"/>
      <c r="M205" s="578"/>
      <c r="N205" s="578"/>
      <c r="O205" s="577"/>
      <c r="P205" s="577"/>
      <c r="Q205" s="578"/>
      <c r="R205" s="578"/>
      <c r="S205" s="578"/>
      <c r="T205" s="578"/>
      <c r="U205" s="578"/>
      <c r="V205"/>
      <c r="W205"/>
      <c r="X205"/>
      <c r="Y205"/>
    </row>
    <row r="206" spans="1:25" s="386" customFormat="1" ht="15.75">
      <c r="A206" s="683" t="s">
        <v>955</v>
      </c>
      <c r="B206" s="687" t="s">
        <v>1039</v>
      </c>
      <c r="C206" s="674"/>
      <c r="D206" s="675"/>
      <c r="E206" s="675"/>
      <c r="F206" s="675">
        <v>105</v>
      </c>
      <c r="G206" s="675">
        <v>3</v>
      </c>
      <c r="H206" s="676">
        <v>109</v>
      </c>
      <c r="I206" s="676">
        <v>217</v>
      </c>
      <c r="J206" s="675">
        <v>108</v>
      </c>
      <c r="K206" s="675">
        <v>4</v>
      </c>
      <c r="L206" s="675">
        <v>775</v>
      </c>
      <c r="M206" s="676">
        <v>1</v>
      </c>
      <c r="N206" s="676">
        <v>888</v>
      </c>
      <c r="O206" s="675">
        <v>27574</v>
      </c>
      <c r="P206" s="675">
        <v>1704</v>
      </c>
      <c r="Q206" s="676"/>
      <c r="R206" s="676">
        <v>29278</v>
      </c>
      <c r="S206" s="676">
        <v>27</v>
      </c>
      <c r="T206" s="676">
        <v>27</v>
      </c>
      <c r="U206" s="676">
        <v>30410</v>
      </c>
      <c r="V206"/>
      <c r="W206"/>
      <c r="X206"/>
      <c r="Y206"/>
    </row>
    <row r="207" spans="1:25" ht="15.75">
      <c r="A207" s="684"/>
      <c r="B207" s="688" t="s">
        <v>1040</v>
      </c>
      <c r="C207" s="380">
        <v>2</v>
      </c>
      <c r="D207" s="381"/>
      <c r="E207" s="381"/>
      <c r="F207" s="381">
        <v>156</v>
      </c>
      <c r="G207" s="381">
        <v>1</v>
      </c>
      <c r="H207" s="382">
        <v>113</v>
      </c>
      <c r="I207" s="382">
        <v>272</v>
      </c>
      <c r="J207" s="381">
        <v>85</v>
      </c>
      <c r="K207" s="381">
        <v>8</v>
      </c>
      <c r="L207" s="381">
        <v>693</v>
      </c>
      <c r="M207" s="382"/>
      <c r="N207" s="382">
        <v>786</v>
      </c>
      <c r="O207" s="381">
        <v>30103</v>
      </c>
      <c r="P207" s="381">
        <v>1688</v>
      </c>
      <c r="Q207" s="382"/>
      <c r="R207" s="382">
        <v>31791</v>
      </c>
      <c r="S207" s="382">
        <v>18</v>
      </c>
      <c r="T207" s="382">
        <v>18</v>
      </c>
      <c r="U207" s="382">
        <v>32867</v>
      </c>
      <c r="V207"/>
      <c r="W207"/>
      <c r="X207"/>
      <c r="Y207"/>
    </row>
    <row r="208" spans="1:25" ht="15.75">
      <c r="A208" s="684"/>
      <c r="B208" s="689" t="s">
        <v>1041</v>
      </c>
      <c r="C208" s="383">
        <v>0</v>
      </c>
      <c r="D208" s="384">
        <v>0</v>
      </c>
      <c r="E208" s="384">
        <v>0</v>
      </c>
      <c r="F208" s="384">
        <v>0.48571428571428571</v>
      </c>
      <c r="G208" s="384">
        <v>-0.66666666666666663</v>
      </c>
      <c r="H208" s="385">
        <v>3.669724770642202E-2</v>
      </c>
      <c r="I208" s="385">
        <v>0.25345622119815669</v>
      </c>
      <c r="J208" s="384">
        <v>-0.21296296296296297</v>
      </c>
      <c r="K208" s="384">
        <v>1</v>
      </c>
      <c r="L208" s="384">
        <v>-0.10580645161290322</v>
      </c>
      <c r="M208" s="385">
        <v>-1</v>
      </c>
      <c r="N208" s="385">
        <v>-0.11486486486486487</v>
      </c>
      <c r="O208" s="384">
        <v>9.171683469935446E-2</v>
      </c>
      <c r="P208" s="384">
        <v>-9.3896713615023476E-3</v>
      </c>
      <c r="Q208" s="385">
        <v>0</v>
      </c>
      <c r="R208" s="385">
        <v>8.5832365598743077E-2</v>
      </c>
      <c r="S208" s="385">
        <v>-0.33333333333333331</v>
      </c>
      <c r="T208" s="385">
        <v>-0.33333333333333331</v>
      </c>
      <c r="U208" s="385">
        <v>8.0795790858270308E-2</v>
      </c>
      <c r="V208"/>
      <c r="W208"/>
      <c r="X208"/>
      <c r="Y208"/>
    </row>
    <row r="209" spans="1:25" s="386" customFormat="1" ht="15.75">
      <c r="A209" s="684"/>
      <c r="B209" s="687" t="s">
        <v>1042</v>
      </c>
      <c r="C209" s="674"/>
      <c r="D209" s="675"/>
      <c r="E209" s="675"/>
      <c r="F209" s="675"/>
      <c r="G209" s="675"/>
      <c r="H209" s="676"/>
      <c r="I209" s="676"/>
      <c r="J209" s="675"/>
      <c r="K209" s="675"/>
      <c r="L209" s="675"/>
      <c r="M209" s="676"/>
      <c r="N209" s="676"/>
      <c r="O209" s="675">
        <v>2302</v>
      </c>
      <c r="P209" s="675">
        <v>114</v>
      </c>
      <c r="Q209" s="676"/>
      <c r="R209" s="676">
        <v>2416</v>
      </c>
      <c r="S209" s="676"/>
      <c r="T209" s="676"/>
      <c r="U209" s="676">
        <v>2416</v>
      </c>
      <c r="V209"/>
      <c r="W209"/>
      <c r="X209"/>
      <c r="Y209"/>
    </row>
    <row r="210" spans="1:25" ht="15.75">
      <c r="A210" s="684"/>
      <c r="B210" s="688" t="s">
        <v>1043</v>
      </c>
      <c r="C210" s="380"/>
      <c r="D210" s="381"/>
      <c r="E210" s="381"/>
      <c r="F210" s="381"/>
      <c r="G210" s="381"/>
      <c r="H210" s="382"/>
      <c r="I210" s="382"/>
      <c r="J210" s="381"/>
      <c r="K210" s="381"/>
      <c r="L210" s="381"/>
      <c r="M210" s="382"/>
      <c r="N210" s="382"/>
      <c r="O210" s="381">
        <v>2274</v>
      </c>
      <c r="P210" s="381">
        <v>114</v>
      </c>
      <c r="Q210" s="382"/>
      <c r="R210" s="382">
        <v>2388</v>
      </c>
      <c r="S210" s="382"/>
      <c r="T210" s="382"/>
      <c r="U210" s="382">
        <v>2388</v>
      </c>
      <c r="V210"/>
      <c r="W210"/>
      <c r="X210"/>
      <c r="Y210"/>
    </row>
    <row r="211" spans="1:25" ht="15.75">
      <c r="A211" s="684"/>
      <c r="B211" s="689" t="s">
        <v>1044</v>
      </c>
      <c r="C211" s="383">
        <v>0</v>
      </c>
      <c r="D211" s="384">
        <v>0</v>
      </c>
      <c r="E211" s="384">
        <v>0</v>
      </c>
      <c r="F211" s="384">
        <v>0</v>
      </c>
      <c r="G211" s="384">
        <v>0</v>
      </c>
      <c r="H211" s="385">
        <v>0</v>
      </c>
      <c r="I211" s="385">
        <v>0</v>
      </c>
      <c r="J211" s="384">
        <v>0</v>
      </c>
      <c r="K211" s="384">
        <v>0</v>
      </c>
      <c r="L211" s="384">
        <v>0</v>
      </c>
      <c r="M211" s="385">
        <v>0</v>
      </c>
      <c r="N211" s="385">
        <v>0</v>
      </c>
      <c r="O211" s="384">
        <v>-1.216333622936577E-2</v>
      </c>
      <c r="P211" s="384">
        <v>0</v>
      </c>
      <c r="Q211" s="385">
        <v>0</v>
      </c>
      <c r="R211" s="385">
        <v>-1.1589403973509934E-2</v>
      </c>
      <c r="S211" s="385">
        <v>0</v>
      </c>
      <c r="T211" s="385">
        <v>0</v>
      </c>
      <c r="U211" s="385">
        <v>-1.1589403973509934E-2</v>
      </c>
      <c r="V211"/>
      <c r="W211"/>
      <c r="X211"/>
      <c r="Y211"/>
    </row>
    <row r="212" spans="1:25" s="386" customFormat="1" ht="15.75">
      <c r="A212" s="684"/>
      <c r="B212" s="687" t="s">
        <v>1045</v>
      </c>
      <c r="C212" s="674"/>
      <c r="D212" s="675"/>
      <c r="E212" s="675">
        <v>52</v>
      </c>
      <c r="F212" s="675">
        <v>107</v>
      </c>
      <c r="G212" s="675">
        <v>216</v>
      </c>
      <c r="H212" s="676">
        <v>467</v>
      </c>
      <c r="I212" s="676">
        <v>842</v>
      </c>
      <c r="J212" s="675">
        <v>412</v>
      </c>
      <c r="K212" s="675">
        <v>1623</v>
      </c>
      <c r="L212" s="675">
        <v>3227</v>
      </c>
      <c r="M212" s="676">
        <v>555</v>
      </c>
      <c r="N212" s="676">
        <v>5817</v>
      </c>
      <c r="O212" s="675">
        <v>3811</v>
      </c>
      <c r="P212" s="675">
        <v>55</v>
      </c>
      <c r="Q212" s="676"/>
      <c r="R212" s="676">
        <v>3866</v>
      </c>
      <c r="S212" s="676">
        <v>3</v>
      </c>
      <c r="T212" s="676">
        <v>3</v>
      </c>
      <c r="U212" s="676">
        <v>10528</v>
      </c>
      <c r="V212"/>
      <c r="W212"/>
      <c r="X212"/>
      <c r="Y212"/>
    </row>
    <row r="213" spans="1:25" ht="15.75">
      <c r="A213" s="684"/>
      <c r="B213" s="688" t="s">
        <v>1046</v>
      </c>
      <c r="C213" s="380"/>
      <c r="D213" s="381"/>
      <c r="E213" s="381">
        <v>57</v>
      </c>
      <c r="F213" s="381">
        <v>129</v>
      </c>
      <c r="G213" s="381">
        <v>241</v>
      </c>
      <c r="H213" s="382">
        <v>464</v>
      </c>
      <c r="I213" s="382">
        <v>891</v>
      </c>
      <c r="J213" s="381">
        <v>339</v>
      </c>
      <c r="K213" s="381">
        <v>1506</v>
      </c>
      <c r="L213" s="381">
        <v>3154</v>
      </c>
      <c r="M213" s="382">
        <v>672</v>
      </c>
      <c r="N213" s="382">
        <v>5671</v>
      </c>
      <c r="O213" s="381">
        <v>4288</v>
      </c>
      <c r="P213" s="381">
        <v>65</v>
      </c>
      <c r="Q213" s="382"/>
      <c r="R213" s="382">
        <v>4353</v>
      </c>
      <c r="S213" s="382">
        <v>2</v>
      </c>
      <c r="T213" s="382">
        <v>2</v>
      </c>
      <c r="U213" s="382">
        <v>10917</v>
      </c>
      <c r="V213"/>
      <c r="W213"/>
      <c r="X213"/>
      <c r="Y213"/>
    </row>
    <row r="214" spans="1:25" ht="15.75">
      <c r="A214" s="684"/>
      <c r="B214" s="689" t="s">
        <v>1047</v>
      </c>
      <c r="C214" s="383">
        <v>0</v>
      </c>
      <c r="D214" s="384">
        <v>0</v>
      </c>
      <c r="E214" s="384">
        <v>9.6153846153846159E-2</v>
      </c>
      <c r="F214" s="384">
        <v>0.20560747663551401</v>
      </c>
      <c r="G214" s="384">
        <v>0.11574074074074074</v>
      </c>
      <c r="H214" s="385">
        <v>-6.4239828693790149E-3</v>
      </c>
      <c r="I214" s="385">
        <v>5.8194774346793349E-2</v>
      </c>
      <c r="J214" s="384">
        <v>-0.17718446601941748</v>
      </c>
      <c r="K214" s="384">
        <v>-7.2088724584103508E-2</v>
      </c>
      <c r="L214" s="384">
        <v>-2.2621629996901146E-2</v>
      </c>
      <c r="M214" s="385">
        <v>0.21081081081081082</v>
      </c>
      <c r="N214" s="385">
        <v>-2.5098848203541343E-2</v>
      </c>
      <c r="O214" s="384">
        <v>0.12516399895040672</v>
      </c>
      <c r="P214" s="384">
        <v>0.18181818181818182</v>
      </c>
      <c r="Q214" s="385">
        <v>0</v>
      </c>
      <c r="R214" s="385">
        <v>0.12596999482669427</v>
      </c>
      <c r="S214" s="385">
        <v>-0.33333333333333331</v>
      </c>
      <c r="T214" s="385">
        <v>-0.33333333333333331</v>
      </c>
      <c r="U214" s="385">
        <v>3.6949088145896654E-2</v>
      </c>
      <c r="V214"/>
      <c r="W214"/>
      <c r="X214"/>
      <c r="Y214"/>
    </row>
    <row r="215" spans="1:25" s="386" customFormat="1" ht="15.75">
      <c r="A215" s="684"/>
      <c r="B215" s="687" t="s">
        <v>1048</v>
      </c>
      <c r="C215" s="674">
        <v>10008</v>
      </c>
      <c r="D215" s="675">
        <v>2583</v>
      </c>
      <c r="E215" s="675">
        <v>5226</v>
      </c>
      <c r="F215" s="675">
        <v>5946</v>
      </c>
      <c r="G215" s="675">
        <v>2269</v>
      </c>
      <c r="H215" s="676">
        <v>1195</v>
      </c>
      <c r="I215" s="676">
        <v>27227</v>
      </c>
      <c r="J215" s="675">
        <v>162</v>
      </c>
      <c r="K215" s="675"/>
      <c r="L215" s="675">
        <v>25</v>
      </c>
      <c r="M215" s="676"/>
      <c r="N215" s="676">
        <v>187</v>
      </c>
      <c r="O215" s="675">
        <v>0</v>
      </c>
      <c r="P215" s="675"/>
      <c r="Q215" s="676"/>
      <c r="R215" s="676">
        <v>0</v>
      </c>
      <c r="S215" s="676">
        <v>833</v>
      </c>
      <c r="T215" s="676">
        <v>833</v>
      </c>
      <c r="U215" s="676">
        <v>28247</v>
      </c>
      <c r="V215"/>
      <c r="W215"/>
      <c r="X215"/>
      <c r="Y215"/>
    </row>
    <row r="216" spans="1:25" ht="15.75">
      <c r="A216" s="684"/>
      <c r="B216" s="688" t="s">
        <v>1049</v>
      </c>
      <c r="C216" s="380">
        <v>10091</v>
      </c>
      <c r="D216" s="381">
        <v>2696</v>
      </c>
      <c r="E216" s="381">
        <v>5346</v>
      </c>
      <c r="F216" s="381">
        <v>6266</v>
      </c>
      <c r="G216" s="381">
        <v>2330</v>
      </c>
      <c r="H216" s="382">
        <v>1312</v>
      </c>
      <c r="I216" s="382">
        <v>28041</v>
      </c>
      <c r="J216" s="381">
        <v>164</v>
      </c>
      <c r="K216" s="381"/>
      <c r="L216" s="381">
        <v>93</v>
      </c>
      <c r="M216" s="382"/>
      <c r="N216" s="382">
        <v>257</v>
      </c>
      <c r="O216" s="381">
        <v>0</v>
      </c>
      <c r="P216" s="381"/>
      <c r="Q216" s="382"/>
      <c r="R216" s="382">
        <v>0</v>
      </c>
      <c r="S216" s="382">
        <v>878</v>
      </c>
      <c r="T216" s="382">
        <v>878</v>
      </c>
      <c r="U216" s="382">
        <v>29176</v>
      </c>
      <c r="V216"/>
      <c r="W216"/>
      <c r="X216"/>
      <c r="Y216"/>
    </row>
    <row r="217" spans="1:25" ht="15.75">
      <c r="A217" s="684"/>
      <c r="B217" s="689" t="s">
        <v>1050</v>
      </c>
      <c r="C217" s="383">
        <v>8.2933653077537969E-3</v>
      </c>
      <c r="D217" s="384">
        <v>4.3747580332946186E-2</v>
      </c>
      <c r="E217" s="384">
        <v>2.2962112514351322E-2</v>
      </c>
      <c r="F217" s="384">
        <v>5.3817692566431215E-2</v>
      </c>
      <c r="G217" s="384">
        <v>2.6884089907448214E-2</v>
      </c>
      <c r="H217" s="385">
        <v>9.7907949790794979E-2</v>
      </c>
      <c r="I217" s="385">
        <v>2.9896793623976198E-2</v>
      </c>
      <c r="J217" s="384">
        <v>1.2345679012345678E-2</v>
      </c>
      <c r="K217" s="384">
        <v>0</v>
      </c>
      <c r="L217" s="692">
        <v>2.72</v>
      </c>
      <c r="M217" s="385">
        <v>0</v>
      </c>
      <c r="N217" s="385">
        <v>0.37433155080213903</v>
      </c>
      <c r="O217" s="384">
        <v>0</v>
      </c>
      <c r="P217" s="384">
        <v>0</v>
      </c>
      <c r="Q217" s="385">
        <v>0</v>
      </c>
      <c r="R217" s="385">
        <v>0</v>
      </c>
      <c r="S217" s="385">
        <v>5.4021608643457383E-2</v>
      </c>
      <c r="T217" s="385">
        <v>5.4021608643457383E-2</v>
      </c>
      <c r="U217" s="385">
        <v>3.288844833079619E-2</v>
      </c>
      <c r="V217"/>
      <c r="W217"/>
      <c r="X217"/>
      <c r="Y217"/>
    </row>
    <row r="218" spans="1:25" s="386" customFormat="1" ht="15.75">
      <c r="A218" s="684"/>
      <c r="B218" s="687" t="s">
        <v>1051</v>
      </c>
      <c r="C218" s="674">
        <v>28</v>
      </c>
      <c r="D218" s="675"/>
      <c r="E218" s="675">
        <v>8</v>
      </c>
      <c r="F218" s="675"/>
      <c r="G218" s="675">
        <v>1</v>
      </c>
      <c r="H218" s="676"/>
      <c r="I218" s="676">
        <v>37</v>
      </c>
      <c r="J218" s="675"/>
      <c r="K218" s="675"/>
      <c r="L218" s="675"/>
      <c r="M218" s="676"/>
      <c r="N218" s="676"/>
      <c r="O218" s="675">
        <v>0</v>
      </c>
      <c r="P218" s="675"/>
      <c r="Q218" s="676"/>
      <c r="R218" s="676">
        <v>0</v>
      </c>
      <c r="S218" s="676">
        <v>43</v>
      </c>
      <c r="T218" s="676">
        <v>43</v>
      </c>
      <c r="U218" s="676">
        <v>80</v>
      </c>
      <c r="V218"/>
      <c r="W218"/>
      <c r="X218"/>
      <c r="Y218"/>
    </row>
    <row r="219" spans="1:25" ht="15.75">
      <c r="A219" s="684"/>
      <c r="B219" s="688" t="s">
        <v>1052</v>
      </c>
      <c r="C219" s="380">
        <v>31</v>
      </c>
      <c r="D219" s="381"/>
      <c r="E219" s="381">
        <v>11</v>
      </c>
      <c r="F219" s="381"/>
      <c r="G219" s="381"/>
      <c r="H219" s="382"/>
      <c r="I219" s="382">
        <v>42</v>
      </c>
      <c r="J219" s="381"/>
      <c r="K219" s="381"/>
      <c r="L219" s="381"/>
      <c r="M219" s="382"/>
      <c r="N219" s="382"/>
      <c r="O219" s="381">
        <v>0</v>
      </c>
      <c r="P219" s="381"/>
      <c r="Q219" s="382"/>
      <c r="R219" s="382">
        <v>0</v>
      </c>
      <c r="S219" s="382">
        <v>10</v>
      </c>
      <c r="T219" s="382">
        <v>10</v>
      </c>
      <c r="U219" s="382">
        <v>52</v>
      </c>
      <c r="V219"/>
      <c r="W219"/>
      <c r="X219"/>
      <c r="Y219"/>
    </row>
    <row r="220" spans="1:25" ht="15.75">
      <c r="A220" s="684"/>
      <c r="B220" s="689" t="s">
        <v>1053</v>
      </c>
      <c r="C220" s="383">
        <v>0.10714285714285714</v>
      </c>
      <c r="D220" s="384">
        <v>0</v>
      </c>
      <c r="E220" s="384">
        <v>0.375</v>
      </c>
      <c r="F220" s="384">
        <v>0</v>
      </c>
      <c r="G220" s="384">
        <v>-1</v>
      </c>
      <c r="H220" s="385">
        <v>0</v>
      </c>
      <c r="I220" s="385">
        <v>0.13513513513513514</v>
      </c>
      <c r="J220" s="384">
        <v>0</v>
      </c>
      <c r="K220" s="384">
        <v>0</v>
      </c>
      <c r="L220" s="384">
        <v>0</v>
      </c>
      <c r="M220" s="385">
        <v>0</v>
      </c>
      <c r="N220" s="385">
        <v>0</v>
      </c>
      <c r="O220" s="384">
        <v>0</v>
      </c>
      <c r="P220" s="384">
        <v>0</v>
      </c>
      <c r="Q220" s="385">
        <v>0</v>
      </c>
      <c r="R220" s="385">
        <v>0</v>
      </c>
      <c r="S220" s="385">
        <v>-0.76744186046511631</v>
      </c>
      <c r="T220" s="385">
        <v>-0.76744186046511631</v>
      </c>
      <c r="U220" s="385">
        <v>-0.35</v>
      </c>
      <c r="V220"/>
      <c r="W220"/>
      <c r="X220"/>
      <c r="Y220"/>
    </row>
    <row r="221" spans="1:25" s="386" customFormat="1" ht="15.75">
      <c r="A221" s="684"/>
      <c r="B221" s="687" t="s">
        <v>1054</v>
      </c>
      <c r="C221" s="674">
        <v>3426</v>
      </c>
      <c r="D221" s="675">
        <v>1432</v>
      </c>
      <c r="E221" s="675">
        <v>1464</v>
      </c>
      <c r="F221" s="675">
        <v>2056</v>
      </c>
      <c r="G221" s="675">
        <v>771</v>
      </c>
      <c r="H221" s="676">
        <v>0</v>
      </c>
      <c r="I221" s="676">
        <v>9149</v>
      </c>
      <c r="J221" s="675">
        <v>0</v>
      </c>
      <c r="K221" s="675">
        <v>0</v>
      </c>
      <c r="L221" s="675">
        <v>0</v>
      </c>
      <c r="M221" s="676">
        <v>0</v>
      </c>
      <c r="N221" s="676">
        <v>0</v>
      </c>
      <c r="O221" s="675">
        <v>0</v>
      </c>
      <c r="P221" s="675">
        <v>0</v>
      </c>
      <c r="Q221" s="676"/>
      <c r="R221" s="676">
        <v>0</v>
      </c>
      <c r="S221" s="676">
        <v>250</v>
      </c>
      <c r="T221" s="676">
        <v>250</v>
      </c>
      <c r="U221" s="676">
        <v>9399</v>
      </c>
      <c r="V221"/>
      <c r="W221"/>
      <c r="X221"/>
      <c r="Y221"/>
    </row>
    <row r="222" spans="1:25" ht="15.75">
      <c r="A222" s="684"/>
      <c r="B222" s="688" t="s">
        <v>1055</v>
      </c>
      <c r="C222" s="380">
        <v>4091</v>
      </c>
      <c r="D222" s="381">
        <v>1879</v>
      </c>
      <c r="E222" s="381">
        <v>1650</v>
      </c>
      <c r="F222" s="381">
        <v>2308</v>
      </c>
      <c r="G222" s="381">
        <v>840</v>
      </c>
      <c r="H222" s="382">
        <v>33</v>
      </c>
      <c r="I222" s="382">
        <v>10801</v>
      </c>
      <c r="J222" s="381">
        <v>0</v>
      </c>
      <c r="K222" s="381">
        <v>0</v>
      </c>
      <c r="L222" s="381">
        <v>0</v>
      </c>
      <c r="M222" s="382">
        <v>0</v>
      </c>
      <c r="N222" s="382">
        <v>0</v>
      </c>
      <c r="O222" s="381">
        <v>0</v>
      </c>
      <c r="P222" s="381">
        <v>0</v>
      </c>
      <c r="Q222" s="382"/>
      <c r="R222" s="382">
        <v>0</v>
      </c>
      <c r="S222" s="382">
        <v>338</v>
      </c>
      <c r="T222" s="382">
        <v>338</v>
      </c>
      <c r="U222" s="382">
        <v>11139</v>
      </c>
      <c r="V222"/>
      <c r="W222"/>
      <c r="X222"/>
      <c r="Y222"/>
    </row>
    <row r="223" spans="1:25" ht="15.75">
      <c r="A223" s="684"/>
      <c r="B223" s="689" t="s">
        <v>1056</v>
      </c>
      <c r="C223" s="383">
        <v>0.19410391126678342</v>
      </c>
      <c r="D223" s="692">
        <v>0.31215083798882681</v>
      </c>
      <c r="E223" s="384">
        <v>0.12704918032786885</v>
      </c>
      <c r="F223" s="384">
        <v>0.122568093385214</v>
      </c>
      <c r="G223" s="384">
        <v>8.9494163424124515E-2</v>
      </c>
      <c r="H223" s="385">
        <v>0</v>
      </c>
      <c r="I223" s="385">
        <v>0.18056618209640399</v>
      </c>
      <c r="J223" s="384">
        <v>0</v>
      </c>
      <c r="K223" s="384">
        <v>0</v>
      </c>
      <c r="L223" s="384">
        <v>0</v>
      </c>
      <c r="M223" s="385">
        <v>0</v>
      </c>
      <c r="N223" s="385">
        <v>0</v>
      </c>
      <c r="O223" s="384">
        <v>0</v>
      </c>
      <c r="P223" s="384">
        <v>0</v>
      </c>
      <c r="Q223" s="385">
        <v>0</v>
      </c>
      <c r="R223" s="385">
        <v>0</v>
      </c>
      <c r="S223" s="385">
        <v>0.35199999999999998</v>
      </c>
      <c r="T223" s="385">
        <v>0.35199999999999998</v>
      </c>
      <c r="U223" s="385">
        <v>0.18512607724225982</v>
      </c>
      <c r="V223"/>
      <c r="W223"/>
      <c r="X223"/>
      <c r="Y223"/>
    </row>
    <row r="224" spans="1:25" s="386" customFormat="1" ht="15.75">
      <c r="A224" s="684"/>
      <c r="B224" s="687" t="s">
        <v>1057</v>
      </c>
      <c r="C224" s="674">
        <v>591</v>
      </c>
      <c r="D224" s="675">
        <v>467</v>
      </c>
      <c r="E224" s="675">
        <v>92</v>
      </c>
      <c r="F224" s="675">
        <v>0</v>
      </c>
      <c r="G224" s="675">
        <v>0</v>
      </c>
      <c r="H224" s="676">
        <v>0</v>
      </c>
      <c r="I224" s="676">
        <v>1150</v>
      </c>
      <c r="J224" s="675">
        <v>0</v>
      </c>
      <c r="K224" s="675">
        <v>0</v>
      </c>
      <c r="L224" s="675">
        <v>0</v>
      </c>
      <c r="M224" s="676">
        <v>0</v>
      </c>
      <c r="N224" s="676">
        <v>0</v>
      </c>
      <c r="O224" s="675">
        <v>0</v>
      </c>
      <c r="P224" s="675">
        <v>0</v>
      </c>
      <c r="Q224" s="676"/>
      <c r="R224" s="676">
        <v>0</v>
      </c>
      <c r="S224" s="676">
        <v>93</v>
      </c>
      <c r="T224" s="676">
        <v>93</v>
      </c>
      <c r="U224" s="676">
        <v>1243</v>
      </c>
      <c r="V224"/>
      <c r="W224"/>
      <c r="X224"/>
      <c r="Y224"/>
    </row>
    <row r="225" spans="1:25" ht="15.75">
      <c r="A225" s="684"/>
      <c r="B225" s="688" t="s">
        <v>1058</v>
      </c>
      <c r="C225" s="380">
        <v>674</v>
      </c>
      <c r="D225" s="381">
        <v>490</v>
      </c>
      <c r="E225" s="381">
        <v>68</v>
      </c>
      <c r="F225" s="381">
        <v>0</v>
      </c>
      <c r="G225" s="381">
        <v>0</v>
      </c>
      <c r="H225" s="382">
        <v>0</v>
      </c>
      <c r="I225" s="382">
        <v>1232</v>
      </c>
      <c r="J225" s="381">
        <v>0</v>
      </c>
      <c r="K225" s="381">
        <v>0</v>
      </c>
      <c r="L225" s="381">
        <v>0</v>
      </c>
      <c r="M225" s="382">
        <v>0</v>
      </c>
      <c r="N225" s="382">
        <v>0</v>
      </c>
      <c r="O225" s="381">
        <v>0</v>
      </c>
      <c r="P225" s="381">
        <v>0</v>
      </c>
      <c r="Q225" s="382"/>
      <c r="R225" s="382">
        <v>0</v>
      </c>
      <c r="S225" s="382">
        <v>136</v>
      </c>
      <c r="T225" s="382">
        <v>136</v>
      </c>
      <c r="U225" s="382">
        <v>1368</v>
      </c>
      <c r="V225"/>
      <c r="W225"/>
      <c r="X225"/>
      <c r="Y225"/>
    </row>
    <row r="226" spans="1:25" ht="15.75">
      <c r="A226" s="684"/>
      <c r="B226" s="689" t="s">
        <v>1059</v>
      </c>
      <c r="C226" s="383">
        <v>0.14043993231810489</v>
      </c>
      <c r="D226" s="384">
        <v>4.9250535331905779E-2</v>
      </c>
      <c r="E226" s="692">
        <v>-0.2608695652173913</v>
      </c>
      <c r="F226" s="384">
        <v>0</v>
      </c>
      <c r="G226" s="384">
        <v>0</v>
      </c>
      <c r="H226" s="385">
        <v>0</v>
      </c>
      <c r="I226" s="385">
        <v>7.1304347826086953E-2</v>
      </c>
      <c r="J226" s="384">
        <v>0</v>
      </c>
      <c r="K226" s="384">
        <v>0</v>
      </c>
      <c r="L226" s="384">
        <v>0</v>
      </c>
      <c r="M226" s="385">
        <v>0</v>
      </c>
      <c r="N226" s="385">
        <v>0</v>
      </c>
      <c r="O226" s="384">
        <v>0</v>
      </c>
      <c r="P226" s="384">
        <v>0</v>
      </c>
      <c r="Q226" s="385">
        <v>0</v>
      </c>
      <c r="R226" s="385">
        <v>0</v>
      </c>
      <c r="S226" s="385">
        <v>0.46236559139784944</v>
      </c>
      <c r="T226" s="385">
        <v>0.46236559139784944</v>
      </c>
      <c r="U226" s="385">
        <v>0.1005631536604988</v>
      </c>
      <c r="V226"/>
      <c r="W226"/>
      <c r="X226"/>
      <c r="Y226"/>
    </row>
    <row r="227" spans="1:25" s="386" customFormat="1" ht="15.75">
      <c r="A227" s="684"/>
      <c r="B227" s="687" t="s">
        <v>1060</v>
      </c>
      <c r="C227" s="674">
        <v>387</v>
      </c>
      <c r="D227" s="675"/>
      <c r="E227" s="675"/>
      <c r="F227" s="675"/>
      <c r="G227" s="675"/>
      <c r="H227" s="676"/>
      <c r="I227" s="676">
        <v>387</v>
      </c>
      <c r="J227" s="675"/>
      <c r="K227" s="675"/>
      <c r="L227" s="675"/>
      <c r="M227" s="676"/>
      <c r="N227" s="676"/>
      <c r="O227" s="675"/>
      <c r="P227" s="675"/>
      <c r="Q227" s="676"/>
      <c r="R227" s="676"/>
      <c r="S227" s="676"/>
      <c r="T227" s="676"/>
      <c r="U227" s="676">
        <v>387</v>
      </c>
      <c r="V227"/>
      <c r="W227"/>
      <c r="X227"/>
      <c r="Y227"/>
    </row>
    <row r="228" spans="1:25" ht="15.75">
      <c r="A228" s="684"/>
      <c r="B228" s="688" t="s">
        <v>1061</v>
      </c>
      <c r="C228" s="380">
        <v>391</v>
      </c>
      <c r="D228" s="381"/>
      <c r="E228" s="381"/>
      <c r="F228" s="381"/>
      <c r="G228" s="381"/>
      <c r="H228" s="382"/>
      <c r="I228" s="382">
        <v>391</v>
      </c>
      <c r="J228" s="381"/>
      <c r="K228" s="381"/>
      <c r="L228" s="381"/>
      <c r="M228" s="382"/>
      <c r="N228" s="382"/>
      <c r="O228" s="381"/>
      <c r="P228" s="381"/>
      <c r="Q228" s="382"/>
      <c r="R228" s="382"/>
      <c r="S228" s="382"/>
      <c r="T228" s="382"/>
      <c r="U228" s="382">
        <v>391</v>
      </c>
      <c r="V228"/>
      <c r="W228"/>
      <c r="X228"/>
      <c r="Y228"/>
    </row>
    <row r="229" spans="1:25" ht="15.75">
      <c r="A229" s="684"/>
      <c r="B229" s="689" t="s">
        <v>1062</v>
      </c>
      <c r="C229" s="383">
        <v>1.0335917312661499E-2</v>
      </c>
      <c r="D229" s="384">
        <v>0</v>
      </c>
      <c r="E229" s="384">
        <v>0</v>
      </c>
      <c r="F229" s="384">
        <v>0</v>
      </c>
      <c r="G229" s="384">
        <v>0</v>
      </c>
      <c r="H229" s="385">
        <v>0</v>
      </c>
      <c r="I229" s="385">
        <v>1.0335917312661499E-2</v>
      </c>
      <c r="J229" s="384">
        <v>0</v>
      </c>
      <c r="K229" s="384">
        <v>0</v>
      </c>
      <c r="L229" s="384">
        <v>0</v>
      </c>
      <c r="M229" s="385">
        <v>0</v>
      </c>
      <c r="N229" s="385">
        <v>0</v>
      </c>
      <c r="O229" s="384">
        <v>0</v>
      </c>
      <c r="P229" s="384">
        <v>0</v>
      </c>
      <c r="Q229" s="385">
        <v>0</v>
      </c>
      <c r="R229" s="385">
        <v>0</v>
      </c>
      <c r="S229" s="385">
        <v>0</v>
      </c>
      <c r="T229" s="385">
        <v>0</v>
      </c>
      <c r="U229" s="385">
        <v>1.0335917312661499E-2</v>
      </c>
      <c r="V229"/>
      <c r="W229"/>
      <c r="X229"/>
      <c r="Y229"/>
    </row>
    <row r="230" spans="1:25" s="386" customFormat="1" ht="15.75">
      <c r="A230" s="684"/>
      <c r="B230" s="687" t="s">
        <v>1063</v>
      </c>
      <c r="C230" s="674"/>
      <c r="D230" s="675"/>
      <c r="E230" s="675"/>
      <c r="F230" s="675"/>
      <c r="G230" s="675"/>
      <c r="H230" s="676"/>
      <c r="I230" s="676"/>
      <c r="J230" s="675"/>
      <c r="K230" s="675"/>
      <c r="L230" s="675"/>
      <c r="M230" s="676"/>
      <c r="N230" s="676"/>
      <c r="O230" s="675"/>
      <c r="P230" s="675"/>
      <c r="Q230" s="676"/>
      <c r="R230" s="676"/>
      <c r="S230" s="676">
        <v>175</v>
      </c>
      <c r="T230" s="676">
        <v>175</v>
      </c>
      <c r="U230" s="676">
        <v>175</v>
      </c>
      <c r="V230"/>
      <c r="W230"/>
      <c r="X230"/>
      <c r="Y230"/>
    </row>
    <row r="231" spans="1:25" ht="15.75">
      <c r="A231" s="684"/>
      <c r="B231" s="688" t="s">
        <v>1064</v>
      </c>
      <c r="C231" s="380"/>
      <c r="D231" s="381"/>
      <c r="E231" s="381"/>
      <c r="F231" s="381"/>
      <c r="G231" s="381"/>
      <c r="H231" s="382"/>
      <c r="I231" s="382"/>
      <c r="J231" s="381"/>
      <c r="K231" s="381"/>
      <c r="L231" s="381"/>
      <c r="M231" s="382"/>
      <c r="N231" s="382"/>
      <c r="O231" s="381"/>
      <c r="P231" s="381"/>
      <c r="Q231" s="382"/>
      <c r="R231" s="382"/>
      <c r="S231" s="382">
        <v>182</v>
      </c>
      <c r="T231" s="382">
        <v>182</v>
      </c>
      <c r="U231" s="382">
        <v>182</v>
      </c>
      <c r="V231"/>
      <c r="W231"/>
      <c r="X231"/>
      <c r="Y231"/>
    </row>
    <row r="232" spans="1:25" ht="15.75">
      <c r="A232" s="684"/>
      <c r="B232" s="689" t="s">
        <v>1065</v>
      </c>
      <c r="C232" s="383">
        <v>0</v>
      </c>
      <c r="D232" s="384">
        <v>0</v>
      </c>
      <c r="E232" s="384">
        <v>0</v>
      </c>
      <c r="F232" s="384">
        <v>0</v>
      </c>
      <c r="G232" s="384">
        <v>0</v>
      </c>
      <c r="H232" s="385">
        <v>0</v>
      </c>
      <c r="I232" s="385">
        <v>0</v>
      </c>
      <c r="J232" s="384">
        <v>0</v>
      </c>
      <c r="K232" s="384">
        <v>0</v>
      </c>
      <c r="L232" s="384">
        <v>0</v>
      </c>
      <c r="M232" s="385">
        <v>0</v>
      </c>
      <c r="N232" s="385">
        <v>0</v>
      </c>
      <c r="O232" s="384">
        <v>0</v>
      </c>
      <c r="P232" s="384">
        <v>0</v>
      </c>
      <c r="Q232" s="385">
        <v>0</v>
      </c>
      <c r="R232" s="385">
        <v>0</v>
      </c>
      <c r="S232" s="385">
        <v>0.04</v>
      </c>
      <c r="T232" s="385">
        <v>0.04</v>
      </c>
      <c r="U232" s="385">
        <v>0.04</v>
      </c>
      <c r="V232"/>
      <c r="W232"/>
      <c r="X232"/>
      <c r="Y232"/>
    </row>
    <row r="233" spans="1:25" s="386" customFormat="1" ht="15.75">
      <c r="A233" s="684"/>
      <c r="B233" s="687" t="s">
        <v>1066</v>
      </c>
      <c r="C233" s="674"/>
      <c r="D233" s="675"/>
      <c r="E233" s="675"/>
      <c r="F233" s="675"/>
      <c r="G233" s="675"/>
      <c r="H233" s="676"/>
      <c r="I233" s="676"/>
      <c r="J233" s="675"/>
      <c r="K233" s="675"/>
      <c r="L233" s="675"/>
      <c r="M233" s="676"/>
      <c r="N233" s="676"/>
      <c r="O233" s="675"/>
      <c r="P233" s="675"/>
      <c r="Q233" s="676"/>
      <c r="R233" s="676"/>
      <c r="S233" s="676">
        <v>56</v>
      </c>
      <c r="T233" s="676">
        <v>56</v>
      </c>
      <c r="U233" s="676">
        <v>56</v>
      </c>
      <c r="V233"/>
      <c r="W233"/>
      <c r="X233"/>
      <c r="Y233"/>
    </row>
    <row r="234" spans="1:25" ht="15.75">
      <c r="A234" s="684"/>
      <c r="B234" s="688" t="s">
        <v>1067</v>
      </c>
      <c r="C234" s="380"/>
      <c r="D234" s="381"/>
      <c r="E234" s="381"/>
      <c r="F234" s="381"/>
      <c r="G234" s="381"/>
      <c r="H234" s="382"/>
      <c r="I234" s="382"/>
      <c r="J234" s="381"/>
      <c r="K234" s="381"/>
      <c r="L234" s="381"/>
      <c r="M234" s="382"/>
      <c r="N234" s="382"/>
      <c r="O234" s="381"/>
      <c r="P234" s="381"/>
      <c r="Q234" s="382"/>
      <c r="R234" s="382"/>
      <c r="S234" s="382">
        <v>59</v>
      </c>
      <c r="T234" s="382">
        <v>59</v>
      </c>
      <c r="U234" s="382">
        <v>59</v>
      </c>
      <c r="V234"/>
      <c r="W234"/>
      <c r="X234"/>
      <c r="Y234"/>
    </row>
    <row r="235" spans="1:25" ht="15.75">
      <c r="A235" s="684"/>
      <c r="B235" s="689" t="s">
        <v>1068</v>
      </c>
      <c r="C235" s="383">
        <v>0</v>
      </c>
      <c r="D235" s="384">
        <v>0</v>
      </c>
      <c r="E235" s="384">
        <v>0</v>
      </c>
      <c r="F235" s="384">
        <v>0</v>
      </c>
      <c r="G235" s="384">
        <v>0</v>
      </c>
      <c r="H235" s="385">
        <v>0</v>
      </c>
      <c r="I235" s="385">
        <v>0</v>
      </c>
      <c r="J235" s="384">
        <v>0</v>
      </c>
      <c r="K235" s="384">
        <v>0</v>
      </c>
      <c r="L235" s="384">
        <v>0</v>
      </c>
      <c r="M235" s="385">
        <v>0</v>
      </c>
      <c r="N235" s="385">
        <v>0</v>
      </c>
      <c r="O235" s="384">
        <v>0</v>
      </c>
      <c r="P235" s="384">
        <v>0</v>
      </c>
      <c r="Q235" s="385">
        <v>0</v>
      </c>
      <c r="R235" s="385">
        <v>0</v>
      </c>
      <c r="S235" s="385">
        <v>5.3571428571428568E-2</v>
      </c>
      <c r="T235" s="385">
        <v>5.3571428571428568E-2</v>
      </c>
      <c r="U235" s="385">
        <v>5.3571428571428568E-2</v>
      </c>
      <c r="V235"/>
      <c r="W235"/>
      <c r="X235"/>
      <c r="Y235"/>
    </row>
    <row r="236" spans="1:25" s="386" customFormat="1" ht="15.75">
      <c r="A236" s="684"/>
      <c r="B236" s="687" t="s">
        <v>1069</v>
      </c>
      <c r="C236" s="674">
        <v>138</v>
      </c>
      <c r="D236" s="675"/>
      <c r="E236" s="675"/>
      <c r="F236" s="675"/>
      <c r="G236" s="675"/>
      <c r="H236" s="676"/>
      <c r="I236" s="676">
        <v>138</v>
      </c>
      <c r="J236" s="675"/>
      <c r="K236" s="675"/>
      <c r="L236" s="675"/>
      <c r="M236" s="676"/>
      <c r="N236" s="676"/>
      <c r="O236" s="675"/>
      <c r="P236" s="675"/>
      <c r="Q236" s="676"/>
      <c r="R236" s="676"/>
      <c r="S236" s="676"/>
      <c r="T236" s="676"/>
      <c r="U236" s="676">
        <v>138</v>
      </c>
      <c r="V236"/>
      <c r="W236"/>
      <c r="X236"/>
      <c r="Y236"/>
    </row>
    <row r="237" spans="1:25" ht="15.75">
      <c r="A237" s="684"/>
      <c r="B237" s="688" t="s">
        <v>1070</v>
      </c>
      <c r="C237" s="380">
        <v>122</v>
      </c>
      <c r="D237" s="381"/>
      <c r="E237" s="381"/>
      <c r="F237" s="381"/>
      <c r="G237" s="381"/>
      <c r="H237" s="382"/>
      <c r="I237" s="382">
        <v>122</v>
      </c>
      <c r="J237" s="381"/>
      <c r="K237" s="381"/>
      <c r="L237" s="381"/>
      <c r="M237" s="382"/>
      <c r="N237" s="382"/>
      <c r="O237" s="381"/>
      <c r="P237" s="381"/>
      <c r="Q237" s="382"/>
      <c r="R237" s="382"/>
      <c r="S237" s="382"/>
      <c r="T237" s="382"/>
      <c r="U237" s="382">
        <v>122</v>
      </c>
      <c r="V237"/>
      <c r="W237"/>
      <c r="X237"/>
      <c r="Y237"/>
    </row>
    <row r="238" spans="1:25" ht="15.75">
      <c r="A238" s="684"/>
      <c r="B238" s="689" t="s">
        <v>1071</v>
      </c>
      <c r="C238" s="383">
        <v>-0.11594202898550725</v>
      </c>
      <c r="D238" s="384">
        <v>0</v>
      </c>
      <c r="E238" s="384">
        <v>0</v>
      </c>
      <c r="F238" s="384">
        <v>0</v>
      </c>
      <c r="G238" s="384">
        <v>0</v>
      </c>
      <c r="H238" s="385">
        <v>0</v>
      </c>
      <c r="I238" s="385">
        <v>-0.11594202898550725</v>
      </c>
      <c r="J238" s="384">
        <v>0</v>
      </c>
      <c r="K238" s="384">
        <v>0</v>
      </c>
      <c r="L238" s="384">
        <v>0</v>
      </c>
      <c r="M238" s="385">
        <v>0</v>
      </c>
      <c r="N238" s="385">
        <v>0</v>
      </c>
      <c r="O238" s="384">
        <v>0</v>
      </c>
      <c r="P238" s="384">
        <v>0</v>
      </c>
      <c r="Q238" s="385">
        <v>0</v>
      </c>
      <c r="R238" s="385">
        <v>0</v>
      </c>
      <c r="S238" s="385">
        <v>0</v>
      </c>
      <c r="T238" s="385">
        <v>0</v>
      </c>
      <c r="U238" s="385">
        <v>-0.11594202898550725</v>
      </c>
      <c r="V238"/>
      <c r="W238"/>
      <c r="X238"/>
      <c r="Y238"/>
    </row>
    <row r="239" spans="1:25" s="386" customFormat="1" ht="15.75">
      <c r="A239" s="684"/>
      <c r="B239" s="687" t="s">
        <v>1072</v>
      </c>
      <c r="C239" s="674"/>
      <c r="D239" s="675"/>
      <c r="E239" s="675"/>
      <c r="F239" s="675"/>
      <c r="G239" s="675"/>
      <c r="H239" s="676"/>
      <c r="I239" s="676"/>
      <c r="J239" s="675"/>
      <c r="K239" s="675"/>
      <c r="L239" s="675"/>
      <c r="M239" s="676"/>
      <c r="N239" s="676"/>
      <c r="O239" s="675"/>
      <c r="P239" s="675"/>
      <c r="Q239" s="676"/>
      <c r="R239" s="676"/>
      <c r="S239" s="676"/>
      <c r="T239" s="676"/>
      <c r="U239" s="676"/>
      <c r="V239"/>
      <c r="W239"/>
      <c r="X239"/>
      <c r="Y239"/>
    </row>
    <row r="240" spans="1:25" ht="15.75">
      <c r="A240" s="684"/>
      <c r="B240" s="688" t="s">
        <v>1073</v>
      </c>
      <c r="C240" s="380"/>
      <c r="D240" s="381"/>
      <c r="E240" s="381"/>
      <c r="F240" s="381"/>
      <c r="G240" s="381"/>
      <c r="H240" s="382"/>
      <c r="I240" s="382"/>
      <c r="J240" s="381"/>
      <c r="K240" s="381"/>
      <c r="L240" s="381"/>
      <c r="M240" s="382"/>
      <c r="N240" s="382"/>
      <c r="O240" s="381"/>
      <c r="P240" s="381"/>
      <c r="Q240" s="382"/>
      <c r="R240" s="382"/>
      <c r="S240" s="382"/>
      <c r="T240" s="382"/>
      <c r="U240" s="382"/>
      <c r="V240"/>
      <c r="W240"/>
      <c r="X240"/>
      <c r="Y240"/>
    </row>
    <row r="241" spans="1:25" ht="15.75">
      <c r="A241" s="684"/>
      <c r="B241" s="689" t="s">
        <v>1074</v>
      </c>
      <c r="C241" s="383">
        <v>0</v>
      </c>
      <c r="D241" s="384">
        <v>0</v>
      </c>
      <c r="E241" s="384">
        <v>0</v>
      </c>
      <c r="F241" s="384">
        <v>0</v>
      </c>
      <c r="G241" s="384">
        <v>0</v>
      </c>
      <c r="H241" s="385">
        <v>0</v>
      </c>
      <c r="I241" s="385">
        <v>0</v>
      </c>
      <c r="J241" s="384">
        <v>0</v>
      </c>
      <c r="K241" s="384">
        <v>0</v>
      </c>
      <c r="L241" s="384">
        <v>0</v>
      </c>
      <c r="M241" s="385">
        <v>0</v>
      </c>
      <c r="N241" s="385">
        <v>0</v>
      </c>
      <c r="O241" s="384">
        <v>0</v>
      </c>
      <c r="P241" s="384">
        <v>0</v>
      </c>
      <c r="Q241" s="385">
        <v>0</v>
      </c>
      <c r="R241" s="385">
        <v>0</v>
      </c>
      <c r="S241" s="385">
        <v>0</v>
      </c>
      <c r="T241" s="385">
        <v>0</v>
      </c>
      <c r="U241" s="385">
        <v>0</v>
      </c>
      <c r="V241"/>
      <c r="W241"/>
      <c r="X241"/>
      <c r="Y241"/>
    </row>
    <row r="242" spans="1:25" s="386" customFormat="1" ht="15.75">
      <c r="A242" s="684"/>
      <c r="B242" s="687" t="s">
        <v>1075</v>
      </c>
      <c r="C242" s="674"/>
      <c r="D242" s="675"/>
      <c r="E242" s="675"/>
      <c r="F242" s="675"/>
      <c r="G242" s="675"/>
      <c r="H242" s="676"/>
      <c r="I242" s="676"/>
      <c r="J242" s="675"/>
      <c r="K242" s="675"/>
      <c r="L242" s="675"/>
      <c r="M242" s="676"/>
      <c r="N242" s="676"/>
      <c r="O242" s="675"/>
      <c r="P242" s="675"/>
      <c r="Q242" s="676"/>
      <c r="R242" s="676"/>
      <c r="S242" s="676"/>
      <c r="T242" s="676"/>
      <c r="U242" s="676"/>
      <c r="V242"/>
      <c r="W242"/>
      <c r="X242"/>
      <c r="Y242"/>
    </row>
    <row r="243" spans="1:25" ht="15.75">
      <c r="A243" s="684"/>
      <c r="B243" s="688" t="s">
        <v>1076</v>
      </c>
      <c r="C243" s="380"/>
      <c r="D243" s="381"/>
      <c r="E243" s="381"/>
      <c r="F243" s="381"/>
      <c r="G243" s="381"/>
      <c r="H243" s="382"/>
      <c r="I243" s="382"/>
      <c r="J243" s="381"/>
      <c r="K243" s="381"/>
      <c r="L243" s="381"/>
      <c r="M243" s="382"/>
      <c r="N243" s="382"/>
      <c r="O243" s="381"/>
      <c r="P243" s="381"/>
      <c r="Q243" s="382"/>
      <c r="R243" s="382"/>
      <c r="S243" s="382"/>
      <c r="T243" s="382"/>
      <c r="U243" s="382"/>
      <c r="V243"/>
      <c r="W243"/>
      <c r="X243"/>
      <c r="Y243"/>
    </row>
    <row r="244" spans="1:25" ht="15.75">
      <c r="A244" s="684"/>
      <c r="B244" s="689" t="s">
        <v>1077</v>
      </c>
      <c r="C244" s="383">
        <v>0</v>
      </c>
      <c r="D244" s="384">
        <v>0</v>
      </c>
      <c r="E244" s="384">
        <v>0</v>
      </c>
      <c r="F244" s="384">
        <v>0</v>
      </c>
      <c r="G244" s="384">
        <v>0</v>
      </c>
      <c r="H244" s="385">
        <v>0</v>
      </c>
      <c r="I244" s="385">
        <v>0</v>
      </c>
      <c r="J244" s="384">
        <v>0</v>
      </c>
      <c r="K244" s="384">
        <v>0</v>
      </c>
      <c r="L244" s="384">
        <v>0</v>
      </c>
      <c r="M244" s="385">
        <v>0</v>
      </c>
      <c r="N244" s="385">
        <v>0</v>
      </c>
      <c r="O244" s="384">
        <v>0</v>
      </c>
      <c r="P244" s="384">
        <v>0</v>
      </c>
      <c r="Q244" s="385">
        <v>0</v>
      </c>
      <c r="R244" s="385">
        <v>0</v>
      </c>
      <c r="S244" s="385">
        <v>0</v>
      </c>
      <c r="T244" s="385">
        <v>0</v>
      </c>
      <c r="U244" s="385">
        <v>0</v>
      </c>
      <c r="V244"/>
      <c r="W244"/>
      <c r="X244"/>
      <c r="Y244"/>
    </row>
    <row r="245" spans="1:25" s="386" customFormat="1" ht="15.75">
      <c r="A245" s="684"/>
      <c r="B245" s="687" t="s">
        <v>1078</v>
      </c>
      <c r="C245" s="674"/>
      <c r="D245" s="675"/>
      <c r="E245" s="675"/>
      <c r="F245" s="675"/>
      <c r="G245" s="675"/>
      <c r="H245" s="676"/>
      <c r="I245" s="676"/>
      <c r="J245" s="675"/>
      <c r="K245" s="675"/>
      <c r="L245" s="675"/>
      <c r="M245" s="676"/>
      <c r="N245" s="676"/>
      <c r="O245" s="675"/>
      <c r="P245" s="675"/>
      <c r="Q245" s="676"/>
      <c r="R245" s="676"/>
      <c r="S245" s="676"/>
      <c r="T245" s="676"/>
      <c r="U245" s="676"/>
      <c r="V245"/>
      <c r="W245"/>
      <c r="X245"/>
      <c r="Y245"/>
    </row>
    <row r="246" spans="1:25" ht="15.75">
      <c r="A246" s="684"/>
      <c r="B246" s="688" t="s">
        <v>1079</v>
      </c>
      <c r="C246" s="380"/>
      <c r="D246" s="381"/>
      <c r="E246" s="381"/>
      <c r="F246" s="381"/>
      <c r="G246" s="381"/>
      <c r="H246" s="382"/>
      <c r="I246" s="382"/>
      <c r="J246" s="381"/>
      <c r="K246" s="381"/>
      <c r="L246" s="381"/>
      <c r="M246" s="382"/>
      <c r="N246" s="382"/>
      <c r="O246" s="381"/>
      <c r="P246" s="381"/>
      <c r="Q246" s="382"/>
      <c r="R246" s="382"/>
      <c r="S246" s="382"/>
      <c r="T246" s="382"/>
      <c r="U246" s="382"/>
      <c r="V246"/>
      <c r="W246"/>
      <c r="X246"/>
      <c r="Y246"/>
    </row>
    <row r="247" spans="1:25" ht="15.75">
      <c r="A247" s="684"/>
      <c r="B247" s="689" t="s">
        <v>1080</v>
      </c>
      <c r="C247" s="383">
        <v>0</v>
      </c>
      <c r="D247" s="384">
        <v>0</v>
      </c>
      <c r="E247" s="384">
        <v>0</v>
      </c>
      <c r="F247" s="384">
        <v>0</v>
      </c>
      <c r="G247" s="384">
        <v>0</v>
      </c>
      <c r="H247" s="385">
        <v>0</v>
      </c>
      <c r="I247" s="385">
        <v>0</v>
      </c>
      <c r="J247" s="384">
        <v>0</v>
      </c>
      <c r="K247" s="384">
        <v>0</v>
      </c>
      <c r="L247" s="384">
        <v>0</v>
      </c>
      <c r="M247" s="385">
        <v>0</v>
      </c>
      <c r="N247" s="385">
        <v>0</v>
      </c>
      <c r="O247" s="384">
        <v>0</v>
      </c>
      <c r="P247" s="384">
        <v>0</v>
      </c>
      <c r="Q247" s="385">
        <v>0</v>
      </c>
      <c r="R247" s="385">
        <v>0</v>
      </c>
      <c r="S247" s="385">
        <v>0</v>
      </c>
      <c r="T247" s="385">
        <v>0</v>
      </c>
      <c r="U247" s="385">
        <v>0</v>
      </c>
      <c r="V247"/>
      <c r="W247"/>
      <c r="X247"/>
      <c r="Y247"/>
    </row>
    <row r="248" spans="1:25" s="386" customFormat="1" ht="15.75">
      <c r="A248" s="684"/>
      <c r="B248" s="687" t="s">
        <v>1081</v>
      </c>
      <c r="C248" s="674">
        <v>96</v>
      </c>
      <c r="D248" s="675"/>
      <c r="E248" s="675"/>
      <c r="F248" s="675"/>
      <c r="G248" s="675"/>
      <c r="H248" s="676"/>
      <c r="I248" s="676">
        <v>96</v>
      </c>
      <c r="J248" s="675"/>
      <c r="K248" s="675"/>
      <c r="L248" s="675"/>
      <c r="M248" s="676"/>
      <c r="N248" s="676"/>
      <c r="O248" s="675"/>
      <c r="P248" s="675"/>
      <c r="Q248" s="676"/>
      <c r="R248" s="676"/>
      <c r="S248" s="676"/>
      <c r="T248" s="676"/>
      <c r="U248" s="676">
        <v>96</v>
      </c>
      <c r="V248"/>
      <c r="W248"/>
      <c r="X248"/>
      <c r="Y248"/>
    </row>
    <row r="249" spans="1:25" ht="15.75">
      <c r="A249" s="684"/>
      <c r="B249" s="688" t="s">
        <v>1082</v>
      </c>
      <c r="C249" s="380">
        <v>95</v>
      </c>
      <c r="D249" s="381"/>
      <c r="E249" s="381"/>
      <c r="F249" s="381"/>
      <c r="G249" s="381"/>
      <c r="H249" s="382"/>
      <c r="I249" s="382">
        <v>95</v>
      </c>
      <c r="J249" s="381"/>
      <c r="K249" s="381"/>
      <c r="L249" s="381"/>
      <c r="M249" s="382"/>
      <c r="N249" s="382"/>
      <c r="O249" s="381"/>
      <c r="P249" s="381"/>
      <c r="Q249" s="382"/>
      <c r="R249" s="382"/>
      <c r="S249" s="382"/>
      <c r="T249" s="382"/>
      <c r="U249" s="382">
        <v>95</v>
      </c>
      <c r="V249"/>
      <c r="W249"/>
      <c r="X249"/>
      <c r="Y249"/>
    </row>
    <row r="250" spans="1:25" ht="15.75">
      <c r="A250" s="684"/>
      <c r="B250" s="689" t="s">
        <v>1083</v>
      </c>
      <c r="C250" s="383">
        <v>-1.0416666666666666E-2</v>
      </c>
      <c r="D250" s="384">
        <v>0</v>
      </c>
      <c r="E250" s="384">
        <v>0</v>
      </c>
      <c r="F250" s="384">
        <v>0</v>
      </c>
      <c r="G250" s="384">
        <v>0</v>
      </c>
      <c r="H250" s="385">
        <v>0</v>
      </c>
      <c r="I250" s="385">
        <v>-1.0416666666666666E-2</v>
      </c>
      <c r="J250" s="384">
        <v>0</v>
      </c>
      <c r="K250" s="384">
        <v>0</v>
      </c>
      <c r="L250" s="384">
        <v>0</v>
      </c>
      <c r="M250" s="385">
        <v>0</v>
      </c>
      <c r="N250" s="385">
        <v>0</v>
      </c>
      <c r="O250" s="384">
        <v>0</v>
      </c>
      <c r="P250" s="384">
        <v>0</v>
      </c>
      <c r="Q250" s="385">
        <v>0</v>
      </c>
      <c r="R250" s="385">
        <v>0</v>
      </c>
      <c r="S250" s="385">
        <v>0</v>
      </c>
      <c r="T250" s="385">
        <v>0</v>
      </c>
      <c r="U250" s="385">
        <v>-1.0416666666666666E-2</v>
      </c>
      <c r="V250"/>
      <c r="W250"/>
      <c r="X250"/>
      <c r="Y250"/>
    </row>
    <row r="251" spans="1:25" s="386" customFormat="1" ht="15.75">
      <c r="A251" s="684"/>
      <c r="B251" s="687" t="s">
        <v>1084</v>
      </c>
      <c r="C251" s="674"/>
      <c r="D251" s="675"/>
      <c r="E251" s="675"/>
      <c r="F251" s="675"/>
      <c r="G251" s="675"/>
      <c r="H251" s="676"/>
      <c r="I251" s="676"/>
      <c r="J251" s="675"/>
      <c r="K251" s="675"/>
      <c r="L251" s="675"/>
      <c r="M251" s="676"/>
      <c r="N251" s="676"/>
      <c r="O251" s="675"/>
      <c r="P251" s="675"/>
      <c r="Q251" s="676"/>
      <c r="R251" s="676"/>
      <c r="S251" s="676"/>
      <c r="T251" s="676"/>
      <c r="U251" s="676"/>
      <c r="V251"/>
      <c r="W251"/>
      <c r="X251"/>
      <c r="Y251"/>
    </row>
    <row r="252" spans="1:25" ht="15.75">
      <c r="A252" s="684"/>
      <c r="B252" s="688" t="s">
        <v>1085</v>
      </c>
      <c r="C252" s="380"/>
      <c r="D252" s="381"/>
      <c r="E252" s="381"/>
      <c r="F252" s="381"/>
      <c r="G252" s="381"/>
      <c r="H252" s="382"/>
      <c r="I252" s="382"/>
      <c r="J252" s="381"/>
      <c r="K252" s="381"/>
      <c r="L252" s="381"/>
      <c r="M252" s="382"/>
      <c r="N252" s="382"/>
      <c r="O252" s="381"/>
      <c r="P252" s="381"/>
      <c r="Q252" s="382"/>
      <c r="R252" s="382"/>
      <c r="S252" s="382"/>
      <c r="T252" s="382"/>
      <c r="U252" s="382"/>
      <c r="V252"/>
      <c r="W252"/>
      <c r="X252"/>
      <c r="Y252"/>
    </row>
    <row r="253" spans="1:25" ht="15.75">
      <c r="A253" s="684"/>
      <c r="B253" s="689" t="s">
        <v>1086</v>
      </c>
      <c r="C253" s="383">
        <v>0</v>
      </c>
      <c r="D253" s="384">
        <v>0</v>
      </c>
      <c r="E253" s="384">
        <v>0</v>
      </c>
      <c r="F253" s="384">
        <v>0</v>
      </c>
      <c r="G253" s="384">
        <v>0</v>
      </c>
      <c r="H253" s="385">
        <v>0</v>
      </c>
      <c r="I253" s="385">
        <v>0</v>
      </c>
      <c r="J253" s="384">
        <v>0</v>
      </c>
      <c r="K253" s="384">
        <v>0</v>
      </c>
      <c r="L253" s="384">
        <v>0</v>
      </c>
      <c r="M253" s="385">
        <v>0</v>
      </c>
      <c r="N253" s="385">
        <v>0</v>
      </c>
      <c r="O253" s="384">
        <v>0</v>
      </c>
      <c r="P253" s="384">
        <v>0</v>
      </c>
      <c r="Q253" s="385">
        <v>0</v>
      </c>
      <c r="R253" s="385">
        <v>0</v>
      </c>
      <c r="S253" s="385">
        <v>0</v>
      </c>
      <c r="T253" s="385">
        <v>0</v>
      </c>
      <c r="U253" s="385">
        <v>0</v>
      </c>
      <c r="V253"/>
      <c r="W253"/>
      <c r="X253"/>
      <c r="Y253"/>
    </row>
    <row r="254" spans="1:25" s="386" customFormat="1" ht="15.75">
      <c r="A254" s="684"/>
      <c r="B254" s="687" t="s">
        <v>1248</v>
      </c>
      <c r="C254" s="674"/>
      <c r="D254" s="675"/>
      <c r="E254" s="675"/>
      <c r="F254" s="675"/>
      <c r="G254" s="675"/>
      <c r="H254" s="676"/>
      <c r="I254" s="676"/>
      <c r="J254" s="675"/>
      <c r="K254" s="675"/>
      <c r="L254" s="675"/>
      <c r="M254" s="676"/>
      <c r="N254" s="676"/>
      <c r="O254" s="675"/>
      <c r="P254" s="675"/>
      <c r="Q254" s="676"/>
      <c r="R254" s="676"/>
      <c r="S254" s="676"/>
      <c r="T254" s="676"/>
      <c r="U254" s="676"/>
      <c r="V254"/>
      <c r="W254"/>
      <c r="X254"/>
      <c r="Y254"/>
    </row>
    <row r="255" spans="1:25" ht="15.75">
      <c r="A255" s="685"/>
      <c r="B255" s="690" t="s">
        <v>1250</v>
      </c>
      <c r="C255" s="576"/>
      <c r="D255" s="577"/>
      <c r="E255" s="577"/>
      <c r="F255" s="577"/>
      <c r="G255" s="577"/>
      <c r="H255" s="578"/>
      <c r="I255" s="578"/>
      <c r="J255" s="577"/>
      <c r="K255" s="577"/>
      <c r="L255" s="577"/>
      <c r="M255" s="578"/>
      <c r="N255" s="578"/>
      <c r="O255" s="577"/>
      <c r="P255" s="577"/>
      <c r="Q255" s="578"/>
      <c r="R255" s="578"/>
      <c r="S255" s="578"/>
      <c r="T255" s="578"/>
      <c r="U255" s="578"/>
      <c r="V255"/>
      <c r="W255"/>
      <c r="X255"/>
      <c r="Y255"/>
    </row>
    <row r="256" spans="1:25" ht="15.75">
      <c r="A256" s="683" t="s">
        <v>29</v>
      </c>
      <c r="B256" s="687" t="s">
        <v>1039</v>
      </c>
      <c r="C256" s="674">
        <v>31</v>
      </c>
      <c r="D256" s="675"/>
      <c r="E256" s="675">
        <v>69</v>
      </c>
      <c r="F256" s="675"/>
      <c r="G256" s="675"/>
      <c r="H256" s="676"/>
      <c r="I256" s="676">
        <v>100</v>
      </c>
      <c r="J256" s="675"/>
      <c r="K256" s="675">
        <v>4178</v>
      </c>
      <c r="L256" s="675">
        <v>9275</v>
      </c>
      <c r="M256" s="676">
        <v>1233</v>
      </c>
      <c r="N256" s="676">
        <v>14686</v>
      </c>
      <c r="O256" s="675">
        <v>1611</v>
      </c>
      <c r="P256" s="675"/>
      <c r="Q256" s="676"/>
      <c r="R256" s="676">
        <v>1611</v>
      </c>
      <c r="S256" s="676"/>
      <c r="T256" s="676"/>
      <c r="U256" s="676">
        <v>16397</v>
      </c>
      <c r="V256"/>
      <c r="W256"/>
      <c r="X256"/>
      <c r="Y256"/>
    </row>
    <row r="257" spans="1:25" s="386" customFormat="1" ht="15.75">
      <c r="A257" s="684"/>
      <c r="B257" s="688" t="s">
        <v>1040</v>
      </c>
      <c r="C257" s="380">
        <v>31</v>
      </c>
      <c r="D257" s="381"/>
      <c r="E257" s="381">
        <v>64</v>
      </c>
      <c r="F257" s="381"/>
      <c r="G257" s="381"/>
      <c r="H257" s="382"/>
      <c r="I257" s="382">
        <v>95</v>
      </c>
      <c r="J257" s="381"/>
      <c r="K257" s="381">
        <v>3990</v>
      </c>
      <c r="L257" s="381">
        <v>8932</v>
      </c>
      <c r="M257" s="382">
        <v>1293</v>
      </c>
      <c r="N257" s="382">
        <v>14215</v>
      </c>
      <c r="O257" s="381">
        <v>1668</v>
      </c>
      <c r="P257" s="381"/>
      <c r="Q257" s="382"/>
      <c r="R257" s="382">
        <v>1668</v>
      </c>
      <c r="S257" s="382"/>
      <c r="T257" s="382"/>
      <c r="U257" s="382">
        <v>15978</v>
      </c>
      <c r="V257"/>
      <c r="W257"/>
      <c r="X257"/>
      <c r="Y257"/>
    </row>
    <row r="258" spans="1:25" ht="15.75">
      <c r="A258" s="684"/>
      <c r="B258" s="689" t="s">
        <v>1041</v>
      </c>
      <c r="C258" s="383">
        <v>0</v>
      </c>
      <c r="D258" s="384">
        <v>0</v>
      </c>
      <c r="E258" s="384">
        <v>-7.2463768115942032E-2</v>
      </c>
      <c r="F258" s="384">
        <v>0</v>
      </c>
      <c r="G258" s="384">
        <v>0</v>
      </c>
      <c r="H258" s="385">
        <v>0</v>
      </c>
      <c r="I258" s="385">
        <v>-0.05</v>
      </c>
      <c r="J258" s="384">
        <v>0</v>
      </c>
      <c r="K258" s="384">
        <v>-4.4997606510292006E-2</v>
      </c>
      <c r="L258" s="384">
        <v>-3.6981132075471698E-2</v>
      </c>
      <c r="M258" s="385">
        <v>4.8661800486618008E-2</v>
      </c>
      <c r="N258" s="385">
        <v>-3.2071360479368108E-2</v>
      </c>
      <c r="O258" s="384">
        <v>3.5381750465549346E-2</v>
      </c>
      <c r="P258" s="384">
        <v>0</v>
      </c>
      <c r="Q258" s="385">
        <v>0</v>
      </c>
      <c r="R258" s="385">
        <v>3.5381750465549346E-2</v>
      </c>
      <c r="S258" s="385">
        <v>0</v>
      </c>
      <c r="T258" s="385">
        <v>0</v>
      </c>
      <c r="U258" s="385">
        <v>-2.5553454900286637E-2</v>
      </c>
      <c r="V258"/>
      <c r="W258"/>
      <c r="X258"/>
      <c r="Y258"/>
    </row>
    <row r="259" spans="1:25" ht="15.75">
      <c r="A259" s="684"/>
      <c r="B259" s="687" t="s">
        <v>1042</v>
      </c>
      <c r="C259" s="674"/>
      <c r="D259" s="675"/>
      <c r="E259" s="675"/>
      <c r="F259" s="675">
        <v>4</v>
      </c>
      <c r="G259" s="675"/>
      <c r="H259" s="676"/>
      <c r="I259" s="676">
        <v>4</v>
      </c>
      <c r="J259" s="675"/>
      <c r="K259" s="675"/>
      <c r="L259" s="675"/>
      <c r="M259" s="676"/>
      <c r="N259" s="676"/>
      <c r="O259" s="675"/>
      <c r="P259" s="675"/>
      <c r="Q259" s="676"/>
      <c r="R259" s="676"/>
      <c r="S259" s="676"/>
      <c r="T259" s="676"/>
      <c r="U259" s="676">
        <v>4</v>
      </c>
      <c r="V259"/>
      <c r="W259"/>
      <c r="X259"/>
      <c r="Y259"/>
    </row>
    <row r="260" spans="1:25" s="386" customFormat="1" ht="15.75">
      <c r="A260" s="684"/>
      <c r="B260" s="688" t="s">
        <v>1043</v>
      </c>
      <c r="C260" s="380"/>
      <c r="D260" s="381"/>
      <c r="E260" s="381"/>
      <c r="F260" s="381">
        <v>5</v>
      </c>
      <c r="G260" s="381"/>
      <c r="H260" s="382"/>
      <c r="I260" s="382">
        <v>5</v>
      </c>
      <c r="J260" s="381"/>
      <c r="K260" s="381"/>
      <c r="L260" s="381"/>
      <c r="M260" s="382"/>
      <c r="N260" s="382"/>
      <c r="O260" s="381"/>
      <c r="P260" s="381"/>
      <c r="Q260" s="382"/>
      <c r="R260" s="382"/>
      <c r="S260" s="382"/>
      <c r="T260" s="382"/>
      <c r="U260" s="382">
        <v>5</v>
      </c>
      <c r="V260"/>
      <c r="W260"/>
      <c r="X260"/>
      <c r="Y260"/>
    </row>
    <row r="261" spans="1:25" ht="15.75">
      <c r="A261" s="684"/>
      <c r="B261" s="689" t="s">
        <v>1044</v>
      </c>
      <c r="C261" s="383">
        <v>0</v>
      </c>
      <c r="D261" s="384">
        <v>0</v>
      </c>
      <c r="E261" s="384">
        <v>0</v>
      </c>
      <c r="F261" s="384">
        <v>0.25</v>
      </c>
      <c r="G261" s="384">
        <v>0</v>
      </c>
      <c r="H261" s="385">
        <v>0</v>
      </c>
      <c r="I261" s="385">
        <v>0.25</v>
      </c>
      <c r="J261" s="384">
        <v>0</v>
      </c>
      <c r="K261" s="384">
        <v>0</v>
      </c>
      <c r="L261" s="384">
        <v>0</v>
      </c>
      <c r="M261" s="385">
        <v>0</v>
      </c>
      <c r="N261" s="385">
        <v>0</v>
      </c>
      <c r="O261" s="384">
        <v>0</v>
      </c>
      <c r="P261" s="384">
        <v>0</v>
      </c>
      <c r="Q261" s="385">
        <v>0</v>
      </c>
      <c r="R261" s="385">
        <v>0</v>
      </c>
      <c r="S261" s="385">
        <v>0</v>
      </c>
      <c r="T261" s="385">
        <v>0</v>
      </c>
      <c r="U261" s="385">
        <v>0.25</v>
      </c>
      <c r="V261"/>
      <c r="W261"/>
      <c r="X261"/>
      <c r="Y261"/>
    </row>
    <row r="262" spans="1:25" ht="15.75">
      <c r="A262" s="684"/>
      <c r="B262" s="687" t="s">
        <v>1045</v>
      </c>
      <c r="C262" s="674">
        <v>19</v>
      </c>
      <c r="D262" s="675"/>
      <c r="E262" s="675">
        <v>446</v>
      </c>
      <c r="F262" s="675">
        <v>375</v>
      </c>
      <c r="G262" s="675">
        <v>37</v>
      </c>
      <c r="H262" s="676"/>
      <c r="I262" s="676">
        <v>877</v>
      </c>
      <c r="J262" s="675"/>
      <c r="K262" s="675">
        <v>1768</v>
      </c>
      <c r="L262" s="675">
        <v>3482</v>
      </c>
      <c r="M262" s="676">
        <v>905</v>
      </c>
      <c r="N262" s="676">
        <v>6155</v>
      </c>
      <c r="O262" s="675">
        <v>330</v>
      </c>
      <c r="P262" s="675"/>
      <c r="Q262" s="676"/>
      <c r="R262" s="676">
        <v>330</v>
      </c>
      <c r="S262" s="676"/>
      <c r="T262" s="676"/>
      <c r="U262" s="676">
        <v>7362</v>
      </c>
      <c r="V262"/>
      <c r="W262"/>
      <c r="X262"/>
      <c r="Y262"/>
    </row>
    <row r="263" spans="1:25" s="386" customFormat="1" ht="15.75">
      <c r="A263" s="684"/>
      <c r="B263" s="688" t="s">
        <v>1046</v>
      </c>
      <c r="C263" s="380">
        <v>20</v>
      </c>
      <c r="D263" s="381"/>
      <c r="E263" s="381">
        <v>422</v>
      </c>
      <c r="F263" s="381">
        <v>274</v>
      </c>
      <c r="G263" s="381">
        <v>39</v>
      </c>
      <c r="H263" s="382"/>
      <c r="I263" s="382">
        <v>755</v>
      </c>
      <c r="J263" s="381"/>
      <c r="K263" s="381">
        <v>1988</v>
      </c>
      <c r="L263" s="381">
        <v>3627</v>
      </c>
      <c r="M263" s="382">
        <v>835</v>
      </c>
      <c r="N263" s="382">
        <v>6450</v>
      </c>
      <c r="O263" s="381">
        <v>411</v>
      </c>
      <c r="P263" s="381"/>
      <c r="Q263" s="382"/>
      <c r="R263" s="382">
        <v>411</v>
      </c>
      <c r="S263" s="382"/>
      <c r="T263" s="382"/>
      <c r="U263" s="382">
        <v>7616</v>
      </c>
      <c r="V263"/>
      <c r="W263"/>
      <c r="X263"/>
      <c r="Y263"/>
    </row>
    <row r="264" spans="1:25" ht="15.75">
      <c r="A264" s="684"/>
      <c r="B264" s="689" t="s">
        <v>1047</v>
      </c>
      <c r="C264" s="383">
        <v>5.2631578947368418E-2</v>
      </c>
      <c r="D264" s="384">
        <v>0</v>
      </c>
      <c r="E264" s="384">
        <v>-5.3811659192825115E-2</v>
      </c>
      <c r="F264" s="692">
        <v>-0.26933333333333331</v>
      </c>
      <c r="G264" s="384">
        <v>5.4054054054054057E-2</v>
      </c>
      <c r="H264" s="385">
        <v>0</v>
      </c>
      <c r="I264" s="385">
        <v>-0.13911060433295325</v>
      </c>
      <c r="J264" s="384">
        <v>0</v>
      </c>
      <c r="K264" s="384">
        <v>0.1244343891402715</v>
      </c>
      <c r="L264" s="384">
        <v>4.1642734060884548E-2</v>
      </c>
      <c r="M264" s="385">
        <v>-7.7348066298342538E-2</v>
      </c>
      <c r="N264" s="385">
        <v>4.79285134037368E-2</v>
      </c>
      <c r="O264" s="692">
        <v>0.24545454545454545</v>
      </c>
      <c r="P264" s="384">
        <v>0</v>
      </c>
      <c r="Q264" s="385">
        <v>0</v>
      </c>
      <c r="R264" s="385">
        <v>0.24545454545454545</v>
      </c>
      <c r="S264" s="385">
        <v>0</v>
      </c>
      <c r="T264" s="385">
        <v>0</v>
      </c>
      <c r="U264" s="385">
        <v>3.4501494159195872E-2</v>
      </c>
      <c r="V264"/>
      <c r="W264"/>
      <c r="X264"/>
      <c r="Y264"/>
    </row>
    <row r="265" spans="1:25" ht="15.75">
      <c r="A265" s="684"/>
      <c r="B265" s="687" t="s">
        <v>1048</v>
      </c>
      <c r="C265" s="674">
        <v>6073</v>
      </c>
      <c r="D265" s="675"/>
      <c r="E265" s="675">
        <v>6053</v>
      </c>
      <c r="F265" s="675">
        <v>2679</v>
      </c>
      <c r="G265" s="675">
        <v>231</v>
      </c>
      <c r="H265" s="676"/>
      <c r="I265" s="676">
        <v>15036</v>
      </c>
      <c r="J265" s="675"/>
      <c r="K265" s="675"/>
      <c r="L265" s="675"/>
      <c r="M265" s="676"/>
      <c r="N265" s="676"/>
      <c r="O265" s="675"/>
      <c r="P265" s="675"/>
      <c r="Q265" s="676"/>
      <c r="R265" s="676"/>
      <c r="S265" s="676"/>
      <c r="T265" s="676"/>
      <c r="U265" s="676">
        <v>15036</v>
      </c>
      <c r="V265"/>
      <c r="W265"/>
      <c r="X265"/>
      <c r="Y265"/>
    </row>
    <row r="266" spans="1:25" s="386" customFormat="1" ht="15.75">
      <c r="A266" s="684"/>
      <c r="B266" s="688" t="s">
        <v>1049</v>
      </c>
      <c r="C266" s="380">
        <v>6132</v>
      </c>
      <c r="D266" s="381"/>
      <c r="E266" s="381">
        <v>6052</v>
      </c>
      <c r="F266" s="381">
        <v>2766</v>
      </c>
      <c r="G266" s="381">
        <v>184</v>
      </c>
      <c r="H266" s="382"/>
      <c r="I266" s="382">
        <v>15134</v>
      </c>
      <c r="J266" s="381"/>
      <c r="K266" s="381"/>
      <c r="L266" s="381"/>
      <c r="M266" s="382"/>
      <c r="N266" s="382"/>
      <c r="O266" s="381"/>
      <c r="P266" s="381"/>
      <c r="Q266" s="382"/>
      <c r="R266" s="382"/>
      <c r="S266" s="382"/>
      <c r="T266" s="382"/>
      <c r="U266" s="382">
        <v>15134</v>
      </c>
      <c r="V266"/>
      <c r="W266"/>
      <c r="X266"/>
      <c r="Y266"/>
    </row>
    <row r="267" spans="1:25" ht="15.75">
      <c r="A267" s="684"/>
      <c r="B267" s="689" t="s">
        <v>1050</v>
      </c>
      <c r="C267" s="383">
        <v>9.7151325539272197E-3</v>
      </c>
      <c r="D267" s="384">
        <v>0</v>
      </c>
      <c r="E267" s="384">
        <v>-1.6520733520568312E-4</v>
      </c>
      <c r="F267" s="384">
        <v>3.2474804031354984E-2</v>
      </c>
      <c r="G267" s="692">
        <v>-0.20346320346320346</v>
      </c>
      <c r="H267" s="385">
        <v>0</v>
      </c>
      <c r="I267" s="385">
        <v>6.5176908752327747E-3</v>
      </c>
      <c r="J267" s="384">
        <v>0</v>
      </c>
      <c r="K267" s="384">
        <v>0</v>
      </c>
      <c r="L267" s="384">
        <v>0</v>
      </c>
      <c r="M267" s="385">
        <v>0</v>
      </c>
      <c r="N267" s="385">
        <v>0</v>
      </c>
      <c r="O267" s="384">
        <v>0</v>
      </c>
      <c r="P267" s="384">
        <v>0</v>
      </c>
      <c r="Q267" s="385">
        <v>0</v>
      </c>
      <c r="R267" s="385">
        <v>0</v>
      </c>
      <c r="S267" s="385">
        <v>0</v>
      </c>
      <c r="T267" s="385">
        <v>0</v>
      </c>
      <c r="U267" s="385">
        <v>6.5176908752327747E-3</v>
      </c>
      <c r="V267"/>
      <c r="W267"/>
      <c r="X267"/>
      <c r="Y267"/>
    </row>
    <row r="268" spans="1:25" ht="15.75">
      <c r="A268" s="684"/>
      <c r="B268" s="687" t="s">
        <v>1051</v>
      </c>
      <c r="C268" s="674">
        <v>109</v>
      </c>
      <c r="D268" s="675"/>
      <c r="E268" s="675">
        <v>44</v>
      </c>
      <c r="F268" s="675">
        <v>3</v>
      </c>
      <c r="G268" s="675"/>
      <c r="H268" s="676"/>
      <c r="I268" s="676">
        <v>156</v>
      </c>
      <c r="J268" s="675"/>
      <c r="K268" s="675"/>
      <c r="L268" s="675"/>
      <c r="M268" s="676"/>
      <c r="N268" s="676"/>
      <c r="O268" s="675"/>
      <c r="P268" s="675"/>
      <c r="Q268" s="676"/>
      <c r="R268" s="676"/>
      <c r="S268" s="676"/>
      <c r="T268" s="676"/>
      <c r="U268" s="676">
        <v>156</v>
      </c>
      <c r="V268"/>
      <c r="W268"/>
      <c r="X268"/>
      <c r="Y268"/>
    </row>
    <row r="269" spans="1:25" s="386" customFormat="1" ht="15.75">
      <c r="A269" s="684"/>
      <c r="B269" s="688" t="s">
        <v>1052</v>
      </c>
      <c r="C269" s="380">
        <v>100</v>
      </c>
      <c r="D269" s="381"/>
      <c r="E269" s="381">
        <v>43</v>
      </c>
      <c r="F269" s="381">
        <v>32</v>
      </c>
      <c r="G269" s="381"/>
      <c r="H269" s="382"/>
      <c r="I269" s="382">
        <v>175</v>
      </c>
      <c r="J269" s="381"/>
      <c r="K269" s="381"/>
      <c r="L269" s="381"/>
      <c r="M269" s="382"/>
      <c r="N269" s="382"/>
      <c r="O269" s="381"/>
      <c r="P269" s="381"/>
      <c r="Q269" s="382"/>
      <c r="R269" s="382"/>
      <c r="S269" s="382"/>
      <c r="T269" s="382"/>
      <c r="U269" s="382">
        <v>175</v>
      </c>
      <c r="V269"/>
      <c r="W269"/>
      <c r="X269"/>
      <c r="Y269"/>
    </row>
    <row r="270" spans="1:25" ht="15.75">
      <c r="A270" s="684"/>
      <c r="B270" s="689" t="s">
        <v>1053</v>
      </c>
      <c r="C270" s="383">
        <v>-8.2568807339449546E-2</v>
      </c>
      <c r="D270" s="384">
        <v>0</v>
      </c>
      <c r="E270" s="384">
        <v>-2.2727272727272728E-2</v>
      </c>
      <c r="F270" s="384">
        <v>9.6666666666666661</v>
      </c>
      <c r="G270" s="384">
        <v>0</v>
      </c>
      <c r="H270" s="385">
        <v>0</v>
      </c>
      <c r="I270" s="385">
        <v>0.12179487179487179</v>
      </c>
      <c r="J270" s="384">
        <v>0</v>
      </c>
      <c r="K270" s="384">
        <v>0</v>
      </c>
      <c r="L270" s="384">
        <v>0</v>
      </c>
      <c r="M270" s="385">
        <v>0</v>
      </c>
      <c r="N270" s="385">
        <v>0</v>
      </c>
      <c r="O270" s="384">
        <v>0</v>
      </c>
      <c r="P270" s="384">
        <v>0</v>
      </c>
      <c r="Q270" s="385">
        <v>0</v>
      </c>
      <c r="R270" s="385">
        <v>0</v>
      </c>
      <c r="S270" s="385">
        <v>0</v>
      </c>
      <c r="T270" s="385">
        <v>0</v>
      </c>
      <c r="U270" s="385">
        <v>0.12179487179487179</v>
      </c>
      <c r="V270"/>
      <c r="W270"/>
      <c r="X270"/>
      <c r="Y270"/>
    </row>
    <row r="271" spans="1:25" ht="15.75">
      <c r="A271" s="684"/>
      <c r="B271" s="687" t="s">
        <v>1054</v>
      </c>
      <c r="C271" s="674">
        <v>2684</v>
      </c>
      <c r="D271" s="675"/>
      <c r="E271" s="675">
        <v>1996</v>
      </c>
      <c r="F271" s="675">
        <v>861</v>
      </c>
      <c r="G271" s="675">
        <v>47</v>
      </c>
      <c r="H271" s="676"/>
      <c r="I271" s="676">
        <v>5588</v>
      </c>
      <c r="J271" s="675"/>
      <c r="K271" s="675">
        <v>0</v>
      </c>
      <c r="L271" s="675">
        <v>0</v>
      </c>
      <c r="M271" s="676">
        <v>0</v>
      </c>
      <c r="N271" s="676">
        <v>0</v>
      </c>
      <c r="O271" s="675">
        <v>0</v>
      </c>
      <c r="P271" s="675"/>
      <c r="Q271" s="676"/>
      <c r="R271" s="676">
        <v>0</v>
      </c>
      <c r="S271" s="676"/>
      <c r="T271" s="676"/>
      <c r="U271" s="676">
        <v>5588</v>
      </c>
      <c r="V271"/>
      <c r="W271"/>
      <c r="X271"/>
      <c r="Y271"/>
    </row>
    <row r="272" spans="1:25" s="386" customFormat="1" ht="15.75">
      <c r="A272" s="684"/>
      <c r="B272" s="688" t="s">
        <v>1055</v>
      </c>
      <c r="C272" s="380">
        <v>2728</v>
      </c>
      <c r="D272" s="381"/>
      <c r="E272" s="381">
        <v>2129</v>
      </c>
      <c r="F272" s="381">
        <v>918</v>
      </c>
      <c r="G272" s="381">
        <v>40</v>
      </c>
      <c r="H272" s="382"/>
      <c r="I272" s="382">
        <v>5815</v>
      </c>
      <c r="J272" s="381"/>
      <c r="K272" s="381">
        <v>0</v>
      </c>
      <c r="L272" s="381">
        <v>0</v>
      </c>
      <c r="M272" s="382">
        <v>0</v>
      </c>
      <c r="N272" s="382">
        <v>0</v>
      </c>
      <c r="O272" s="381">
        <v>0</v>
      </c>
      <c r="P272" s="381"/>
      <c r="Q272" s="382"/>
      <c r="R272" s="382">
        <v>0</v>
      </c>
      <c r="S272" s="382"/>
      <c r="T272" s="382"/>
      <c r="U272" s="382">
        <v>5815</v>
      </c>
      <c r="V272"/>
      <c r="W272"/>
      <c r="X272"/>
      <c r="Y272"/>
    </row>
    <row r="273" spans="1:25" ht="15.75">
      <c r="A273" s="684"/>
      <c r="B273" s="689" t="s">
        <v>1056</v>
      </c>
      <c r="C273" s="383">
        <v>1.6393442622950821E-2</v>
      </c>
      <c r="D273" s="384">
        <v>0</v>
      </c>
      <c r="E273" s="384">
        <v>6.6633266533066129E-2</v>
      </c>
      <c r="F273" s="384">
        <v>6.6202090592334492E-2</v>
      </c>
      <c r="G273" s="384">
        <v>-0.14893617021276595</v>
      </c>
      <c r="H273" s="385">
        <v>0</v>
      </c>
      <c r="I273" s="385">
        <v>4.0622763063707948E-2</v>
      </c>
      <c r="J273" s="384">
        <v>0</v>
      </c>
      <c r="K273" s="384">
        <v>0</v>
      </c>
      <c r="L273" s="384">
        <v>0</v>
      </c>
      <c r="M273" s="385">
        <v>0</v>
      </c>
      <c r="N273" s="385">
        <v>0</v>
      </c>
      <c r="O273" s="384">
        <v>0</v>
      </c>
      <c r="P273" s="384">
        <v>0</v>
      </c>
      <c r="Q273" s="385">
        <v>0</v>
      </c>
      <c r="R273" s="385">
        <v>0</v>
      </c>
      <c r="S273" s="385">
        <v>0</v>
      </c>
      <c r="T273" s="385">
        <v>0</v>
      </c>
      <c r="U273" s="385">
        <v>4.0622763063707948E-2</v>
      </c>
      <c r="V273"/>
      <c r="W273"/>
      <c r="X273"/>
      <c r="Y273"/>
    </row>
    <row r="274" spans="1:25" ht="15.75">
      <c r="A274" s="684"/>
      <c r="B274" s="687" t="s">
        <v>1057</v>
      </c>
      <c r="C274" s="674">
        <v>459</v>
      </c>
      <c r="D274" s="675"/>
      <c r="E274" s="675">
        <v>0</v>
      </c>
      <c r="F274" s="675">
        <v>0</v>
      </c>
      <c r="G274" s="675">
        <v>0</v>
      </c>
      <c r="H274" s="676"/>
      <c r="I274" s="676">
        <v>459</v>
      </c>
      <c r="J274" s="675"/>
      <c r="K274" s="675">
        <v>0</v>
      </c>
      <c r="L274" s="675">
        <v>0</v>
      </c>
      <c r="M274" s="676">
        <v>0</v>
      </c>
      <c r="N274" s="676">
        <v>0</v>
      </c>
      <c r="O274" s="675">
        <v>0</v>
      </c>
      <c r="P274" s="675"/>
      <c r="Q274" s="676"/>
      <c r="R274" s="676">
        <v>0</v>
      </c>
      <c r="S274" s="676"/>
      <c r="T274" s="676"/>
      <c r="U274" s="676">
        <v>459</v>
      </c>
      <c r="V274"/>
      <c r="W274"/>
      <c r="X274"/>
      <c r="Y274"/>
    </row>
    <row r="275" spans="1:25" s="386" customFormat="1" ht="15.75">
      <c r="A275" s="684"/>
      <c r="B275" s="688" t="s">
        <v>1058</v>
      </c>
      <c r="C275" s="380">
        <v>454</v>
      </c>
      <c r="D275" s="381"/>
      <c r="E275" s="381">
        <v>0</v>
      </c>
      <c r="F275" s="381">
        <v>0</v>
      </c>
      <c r="G275" s="381">
        <v>0</v>
      </c>
      <c r="H275" s="382"/>
      <c r="I275" s="382">
        <v>454</v>
      </c>
      <c r="J275" s="381"/>
      <c r="K275" s="381">
        <v>0</v>
      </c>
      <c r="L275" s="381">
        <v>0</v>
      </c>
      <c r="M275" s="382">
        <v>0</v>
      </c>
      <c r="N275" s="382">
        <v>0</v>
      </c>
      <c r="O275" s="381">
        <v>0</v>
      </c>
      <c r="P275" s="381"/>
      <c r="Q275" s="382"/>
      <c r="R275" s="382">
        <v>0</v>
      </c>
      <c r="S275" s="382"/>
      <c r="T275" s="382"/>
      <c r="U275" s="382">
        <v>454</v>
      </c>
      <c r="V275"/>
      <c r="W275"/>
      <c r="X275"/>
      <c r="Y275"/>
    </row>
    <row r="276" spans="1:25" ht="15.75">
      <c r="A276" s="684"/>
      <c r="B276" s="689" t="s">
        <v>1059</v>
      </c>
      <c r="C276" s="383">
        <v>-1.0893246187363835E-2</v>
      </c>
      <c r="D276" s="384">
        <v>0</v>
      </c>
      <c r="E276" s="384">
        <v>0</v>
      </c>
      <c r="F276" s="384">
        <v>0</v>
      </c>
      <c r="G276" s="384">
        <v>0</v>
      </c>
      <c r="H276" s="385">
        <v>0</v>
      </c>
      <c r="I276" s="385">
        <v>-1.0893246187363835E-2</v>
      </c>
      <c r="J276" s="384">
        <v>0</v>
      </c>
      <c r="K276" s="384">
        <v>0</v>
      </c>
      <c r="L276" s="384">
        <v>0</v>
      </c>
      <c r="M276" s="385">
        <v>0</v>
      </c>
      <c r="N276" s="385">
        <v>0</v>
      </c>
      <c r="O276" s="384">
        <v>0</v>
      </c>
      <c r="P276" s="384">
        <v>0</v>
      </c>
      <c r="Q276" s="385">
        <v>0</v>
      </c>
      <c r="R276" s="385">
        <v>0</v>
      </c>
      <c r="S276" s="385">
        <v>0</v>
      </c>
      <c r="T276" s="385">
        <v>0</v>
      </c>
      <c r="U276" s="385">
        <v>-1.0893246187363835E-2</v>
      </c>
      <c r="V276"/>
      <c r="W276"/>
      <c r="X276"/>
      <c r="Y276"/>
    </row>
    <row r="277" spans="1:25" ht="15.75">
      <c r="A277" s="684"/>
      <c r="B277" s="687" t="s">
        <v>1060</v>
      </c>
      <c r="C277" s="674">
        <v>287</v>
      </c>
      <c r="D277" s="675"/>
      <c r="E277" s="675"/>
      <c r="F277" s="675">
        <v>150</v>
      </c>
      <c r="G277" s="675"/>
      <c r="H277" s="676"/>
      <c r="I277" s="676">
        <v>437</v>
      </c>
      <c r="J277" s="675"/>
      <c r="K277" s="675"/>
      <c r="L277" s="675"/>
      <c r="M277" s="676"/>
      <c r="N277" s="676"/>
      <c r="O277" s="675"/>
      <c r="P277" s="675"/>
      <c r="Q277" s="676"/>
      <c r="R277" s="676"/>
      <c r="S277" s="676"/>
      <c r="T277" s="676"/>
      <c r="U277" s="676">
        <v>437</v>
      </c>
      <c r="V277"/>
      <c r="W277"/>
      <c r="X277"/>
      <c r="Y277"/>
    </row>
    <row r="278" spans="1:25" s="386" customFormat="1" ht="15.75">
      <c r="A278" s="684"/>
      <c r="B278" s="688" t="s">
        <v>1061</v>
      </c>
      <c r="C278" s="380">
        <v>252</v>
      </c>
      <c r="D278" s="381"/>
      <c r="E278" s="381"/>
      <c r="F278" s="381">
        <v>137</v>
      </c>
      <c r="G278" s="381"/>
      <c r="H278" s="382"/>
      <c r="I278" s="382">
        <v>389</v>
      </c>
      <c r="J278" s="381"/>
      <c r="K278" s="381"/>
      <c r="L278" s="381"/>
      <c r="M278" s="382"/>
      <c r="N278" s="382"/>
      <c r="O278" s="381"/>
      <c r="P278" s="381"/>
      <c r="Q278" s="382"/>
      <c r="R278" s="382"/>
      <c r="S278" s="382"/>
      <c r="T278" s="382"/>
      <c r="U278" s="382">
        <v>389</v>
      </c>
      <c r="V278"/>
      <c r="W278"/>
      <c r="X278"/>
      <c r="Y278"/>
    </row>
    <row r="279" spans="1:25" ht="15.75">
      <c r="A279" s="684"/>
      <c r="B279" s="689" t="s">
        <v>1062</v>
      </c>
      <c r="C279" s="383">
        <v>-0.12195121951219512</v>
      </c>
      <c r="D279" s="384">
        <v>0</v>
      </c>
      <c r="E279" s="384">
        <v>0</v>
      </c>
      <c r="F279" s="384">
        <v>-8.666666666666667E-2</v>
      </c>
      <c r="G279" s="384">
        <v>0</v>
      </c>
      <c r="H279" s="385">
        <v>0</v>
      </c>
      <c r="I279" s="385">
        <v>-0.10983981693363844</v>
      </c>
      <c r="J279" s="384">
        <v>0</v>
      </c>
      <c r="K279" s="384">
        <v>0</v>
      </c>
      <c r="L279" s="384">
        <v>0</v>
      </c>
      <c r="M279" s="385">
        <v>0</v>
      </c>
      <c r="N279" s="385">
        <v>0</v>
      </c>
      <c r="O279" s="384">
        <v>0</v>
      </c>
      <c r="P279" s="384">
        <v>0</v>
      </c>
      <c r="Q279" s="385">
        <v>0</v>
      </c>
      <c r="R279" s="385">
        <v>0</v>
      </c>
      <c r="S279" s="385">
        <v>0</v>
      </c>
      <c r="T279" s="385">
        <v>0</v>
      </c>
      <c r="U279" s="385">
        <v>-0.10983981693363844</v>
      </c>
      <c r="V279"/>
      <c r="W279"/>
      <c r="X279"/>
      <c r="Y279"/>
    </row>
    <row r="280" spans="1:25" ht="15.75">
      <c r="A280" s="684"/>
      <c r="B280" s="687" t="s">
        <v>1063</v>
      </c>
      <c r="C280" s="674">
        <v>240</v>
      </c>
      <c r="D280" s="675"/>
      <c r="E280" s="675"/>
      <c r="F280" s="675"/>
      <c r="G280" s="675"/>
      <c r="H280" s="676"/>
      <c r="I280" s="676">
        <v>240</v>
      </c>
      <c r="J280" s="675"/>
      <c r="K280" s="675"/>
      <c r="L280" s="675"/>
      <c r="M280" s="676"/>
      <c r="N280" s="676"/>
      <c r="O280" s="675"/>
      <c r="P280" s="675"/>
      <c r="Q280" s="676"/>
      <c r="R280" s="676"/>
      <c r="S280" s="676"/>
      <c r="T280" s="676"/>
      <c r="U280" s="676">
        <v>240</v>
      </c>
      <c r="V280"/>
      <c r="W280"/>
      <c r="X280"/>
      <c r="Y280"/>
    </row>
    <row r="281" spans="1:25" s="386" customFormat="1" ht="15.75">
      <c r="A281" s="684"/>
      <c r="B281" s="688" t="s">
        <v>1064</v>
      </c>
      <c r="C281" s="380">
        <v>230</v>
      </c>
      <c r="D281" s="381"/>
      <c r="E281" s="381"/>
      <c r="F281" s="381"/>
      <c r="G281" s="381"/>
      <c r="H281" s="382"/>
      <c r="I281" s="382">
        <v>230</v>
      </c>
      <c r="J281" s="381"/>
      <c r="K281" s="381"/>
      <c r="L281" s="381"/>
      <c r="M281" s="382"/>
      <c r="N281" s="382"/>
      <c r="O281" s="381"/>
      <c r="P281" s="381"/>
      <c r="Q281" s="382"/>
      <c r="R281" s="382"/>
      <c r="S281" s="382"/>
      <c r="T281" s="382"/>
      <c r="U281" s="382">
        <v>230</v>
      </c>
      <c r="V281"/>
      <c r="W281"/>
      <c r="X281"/>
      <c r="Y281"/>
    </row>
    <row r="282" spans="1:25" ht="15.75">
      <c r="A282" s="684"/>
      <c r="B282" s="689" t="s">
        <v>1065</v>
      </c>
      <c r="C282" s="383">
        <v>-4.1666666666666664E-2</v>
      </c>
      <c r="D282" s="384">
        <v>0</v>
      </c>
      <c r="E282" s="384">
        <v>0</v>
      </c>
      <c r="F282" s="384">
        <v>0</v>
      </c>
      <c r="G282" s="384">
        <v>0</v>
      </c>
      <c r="H282" s="385">
        <v>0</v>
      </c>
      <c r="I282" s="385">
        <v>-4.1666666666666664E-2</v>
      </c>
      <c r="J282" s="384">
        <v>0</v>
      </c>
      <c r="K282" s="384">
        <v>0</v>
      </c>
      <c r="L282" s="384">
        <v>0</v>
      </c>
      <c r="M282" s="385">
        <v>0</v>
      </c>
      <c r="N282" s="385">
        <v>0</v>
      </c>
      <c r="O282" s="384">
        <v>0</v>
      </c>
      <c r="P282" s="384">
        <v>0</v>
      </c>
      <c r="Q282" s="385">
        <v>0</v>
      </c>
      <c r="R282" s="385">
        <v>0</v>
      </c>
      <c r="S282" s="385">
        <v>0</v>
      </c>
      <c r="T282" s="385">
        <v>0</v>
      </c>
      <c r="U282" s="385">
        <v>-4.1666666666666664E-2</v>
      </c>
      <c r="V282"/>
      <c r="W282"/>
      <c r="X282"/>
      <c r="Y282"/>
    </row>
    <row r="283" spans="1:25" ht="15.75">
      <c r="A283" s="684"/>
      <c r="B283" s="687" t="s">
        <v>1066</v>
      </c>
      <c r="C283" s="674">
        <v>122</v>
      </c>
      <c r="D283" s="675"/>
      <c r="E283" s="675"/>
      <c r="F283" s="675"/>
      <c r="G283" s="675"/>
      <c r="H283" s="676"/>
      <c r="I283" s="676">
        <v>122</v>
      </c>
      <c r="J283" s="675"/>
      <c r="K283" s="675"/>
      <c r="L283" s="675"/>
      <c r="M283" s="676"/>
      <c r="N283" s="676"/>
      <c r="O283" s="675"/>
      <c r="P283" s="675"/>
      <c r="Q283" s="676"/>
      <c r="R283" s="676"/>
      <c r="S283" s="676"/>
      <c r="T283" s="676"/>
      <c r="U283" s="676">
        <v>122</v>
      </c>
      <c r="V283"/>
      <c r="W283"/>
      <c r="X283"/>
      <c r="Y283"/>
    </row>
    <row r="284" spans="1:25" s="386" customFormat="1" ht="15.75">
      <c r="A284" s="684"/>
      <c r="B284" s="688" t="s">
        <v>1067</v>
      </c>
      <c r="C284" s="380">
        <v>136</v>
      </c>
      <c r="D284" s="381"/>
      <c r="E284" s="381"/>
      <c r="F284" s="381"/>
      <c r="G284" s="381"/>
      <c r="H284" s="382"/>
      <c r="I284" s="382">
        <v>136</v>
      </c>
      <c r="J284" s="381"/>
      <c r="K284" s="381"/>
      <c r="L284" s="381"/>
      <c r="M284" s="382"/>
      <c r="N284" s="382"/>
      <c r="O284" s="381"/>
      <c r="P284" s="381"/>
      <c r="Q284" s="382"/>
      <c r="R284" s="382"/>
      <c r="S284" s="382"/>
      <c r="T284" s="382"/>
      <c r="U284" s="382">
        <v>136</v>
      </c>
      <c r="V284"/>
      <c r="W284"/>
      <c r="X284"/>
      <c r="Y284"/>
    </row>
    <row r="285" spans="1:25" ht="15.75">
      <c r="A285" s="684"/>
      <c r="B285" s="689" t="s">
        <v>1068</v>
      </c>
      <c r="C285" s="383">
        <v>0.11475409836065574</v>
      </c>
      <c r="D285" s="384">
        <v>0</v>
      </c>
      <c r="E285" s="384">
        <v>0</v>
      </c>
      <c r="F285" s="384">
        <v>0</v>
      </c>
      <c r="G285" s="384">
        <v>0</v>
      </c>
      <c r="H285" s="385">
        <v>0</v>
      </c>
      <c r="I285" s="385">
        <v>0.11475409836065574</v>
      </c>
      <c r="J285" s="384">
        <v>0</v>
      </c>
      <c r="K285" s="384">
        <v>0</v>
      </c>
      <c r="L285" s="384">
        <v>0</v>
      </c>
      <c r="M285" s="385">
        <v>0</v>
      </c>
      <c r="N285" s="385">
        <v>0</v>
      </c>
      <c r="O285" s="384">
        <v>0</v>
      </c>
      <c r="P285" s="384">
        <v>0</v>
      </c>
      <c r="Q285" s="385">
        <v>0</v>
      </c>
      <c r="R285" s="385">
        <v>0</v>
      </c>
      <c r="S285" s="385">
        <v>0</v>
      </c>
      <c r="T285" s="385">
        <v>0</v>
      </c>
      <c r="U285" s="385">
        <v>0.11475409836065574</v>
      </c>
      <c r="V285"/>
      <c r="W285"/>
      <c r="X285"/>
      <c r="Y285"/>
    </row>
    <row r="286" spans="1:25" ht="15.75">
      <c r="A286" s="684"/>
      <c r="B286" s="687" t="s">
        <v>1069</v>
      </c>
      <c r="C286" s="674">
        <v>103</v>
      </c>
      <c r="D286" s="675"/>
      <c r="E286" s="675"/>
      <c r="F286" s="675"/>
      <c r="G286" s="675"/>
      <c r="H286" s="676"/>
      <c r="I286" s="676">
        <v>103</v>
      </c>
      <c r="J286" s="675"/>
      <c r="K286" s="675"/>
      <c r="L286" s="675"/>
      <c r="M286" s="676"/>
      <c r="N286" s="676"/>
      <c r="O286" s="675"/>
      <c r="P286" s="675"/>
      <c r="Q286" s="676"/>
      <c r="R286" s="676"/>
      <c r="S286" s="676"/>
      <c r="T286" s="676"/>
      <c r="U286" s="676">
        <v>103</v>
      </c>
      <c r="V286"/>
      <c r="W286"/>
      <c r="X286"/>
      <c r="Y286"/>
    </row>
    <row r="287" spans="1:25" s="386" customFormat="1" ht="15.75">
      <c r="A287" s="684"/>
      <c r="B287" s="688" t="s">
        <v>1070</v>
      </c>
      <c r="C287" s="380">
        <v>121</v>
      </c>
      <c r="D287" s="381"/>
      <c r="E287" s="381"/>
      <c r="F287" s="381"/>
      <c r="G287" s="381"/>
      <c r="H287" s="382"/>
      <c r="I287" s="382">
        <v>121</v>
      </c>
      <c r="J287" s="381"/>
      <c r="K287" s="381"/>
      <c r="L287" s="381"/>
      <c r="M287" s="382"/>
      <c r="N287" s="382"/>
      <c r="O287" s="381"/>
      <c r="P287" s="381"/>
      <c r="Q287" s="382"/>
      <c r="R287" s="382"/>
      <c r="S287" s="382"/>
      <c r="T287" s="382"/>
      <c r="U287" s="382">
        <v>121</v>
      </c>
      <c r="V287"/>
      <c r="W287"/>
      <c r="X287"/>
      <c r="Y287"/>
    </row>
    <row r="288" spans="1:25" ht="15.75">
      <c r="A288" s="684"/>
      <c r="B288" s="689" t="s">
        <v>1071</v>
      </c>
      <c r="C288" s="692">
        <v>0.17475728155339806</v>
      </c>
      <c r="D288" s="384">
        <v>0</v>
      </c>
      <c r="E288" s="384">
        <v>0</v>
      </c>
      <c r="F288" s="384">
        <v>0</v>
      </c>
      <c r="G288" s="384">
        <v>0</v>
      </c>
      <c r="H288" s="385">
        <v>0</v>
      </c>
      <c r="I288" s="385">
        <v>0.17475728155339806</v>
      </c>
      <c r="J288" s="384">
        <v>0</v>
      </c>
      <c r="K288" s="384">
        <v>0</v>
      </c>
      <c r="L288" s="384">
        <v>0</v>
      </c>
      <c r="M288" s="385">
        <v>0</v>
      </c>
      <c r="N288" s="385">
        <v>0</v>
      </c>
      <c r="O288" s="384">
        <v>0</v>
      </c>
      <c r="P288" s="384">
        <v>0</v>
      </c>
      <c r="Q288" s="385">
        <v>0</v>
      </c>
      <c r="R288" s="385">
        <v>0</v>
      </c>
      <c r="S288" s="385">
        <v>0</v>
      </c>
      <c r="T288" s="385">
        <v>0</v>
      </c>
      <c r="U288" s="385">
        <v>0.17475728155339806</v>
      </c>
      <c r="V288"/>
      <c r="W288"/>
      <c r="X288"/>
      <c r="Y288"/>
    </row>
    <row r="289" spans="1:25" ht="15.75">
      <c r="A289" s="684"/>
      <c r="B289" s="687" t="s">
        <v>1072</v>
      </c>
      <c r="C289" s="674"/>
      <c r="D289" s="675"/>
      <c r="E289" s="675"/>
      <c r="F289" s="675"/>
      <c r="G289" s="675"/>
      <c r="H289" s="676"/>
      <c r="I289" s="676"/>
      <c r="J289" s="675"/>
      <c r="K289" s="675"/>
      <c r="L289" s="675"/>
      <c r="M289" s="676"/>
      <c r="N289" s="676"/>
      <c r="O289" s="675"/>
      <c r="P289" s="675"/>
      <c r="Q289" s="676"/>
      <c r="R289" s="676"/>
      <c r="S289" s="676"/>
      <c r="T289" s="676"/>
      <c r="U289" s="676"/>
      <c r="V289"/>
      <c r="W289"/>
      <c r="X289"/>
      <c r="Y289"/>
    </row>
    <row r="290" spans="1:25" s="386" customFormat="1" ht="15.75">
      <c r="A290" s="684"/>
      <c r="B290" s="688" t="s">
        <v>1073</v>
      </c>
      <c r="C290" s="380"/>
      <c r="D290" s="381"/>
      <c r="E290" s="381"/>
      <c r="F290" s="381"/>
      <c r="G290" s="381"/>
      <c r="H290" s="382"/>
      <c r="I290" s="382"/>
      <c r="J290" s="381"/>
      <c r="K290" s="381"/>
      <c r="L290" s="381"/>
      <c r="M290" s="382"/>
      <c r="N290" s="382"/>
      <c r="O290" s="381"/>
      <c r="P290" s="381"/>
      <c r="Q290" s="382"/>
      <c r="R290" s="382"/>
      <c r="S290" s="382"/>
      <c r="T290" s="382"/>
      <c r="U290" s="382"/>
      <c r="V290"/>
      <c r="W290"/>
      <c r="X290"/>
      <c r="Y290"/>
    </row>
    <row r="291" spans="1:25" ht="15.75">
      <c r="A291" s="684"/>
      <c r="B291" s="689" t="s">
        <v>1074</v>
      </c>
      <c r="C291" s="383">
        <v>0</v>
      </c>
      <c r="D291" s="384">
        <v>0</v>
      </c>
      <c r="E291" s="384">
        <v>0</v>
      </c>
      <c r="F291" s="384">
        <v>0</v>
      </c>
      <c r="G291" s="384">
        <v>0</v>
      </c>
      <c r="H291" s="385">
        <v>0</v>
      </c>
      <c r="I291" s="385">
        <v>0</v>
      </c>
      <c r="J291" s="384">
        <v>0</v>
      </c>
      <c r="K291" s="384">
        <v>0</v>
      </c>
      <c r="L291" s="384">
        <v>0</v>
      </c>
      <c r="M291" s="385">
        <v>0</v>
      </c>
      <c r="N291" s="385">
        <v>0</v>
      </c>
      <c r="O291" s="384">
        <v>0</v>
      </c>
      <c r="P291" s="384">
        <v>0</v>
      </c>
      <c r="Q291" s="385">
        <v>0</v>
      </c>
      <c r="R291" s="385">
        <v>0</v>
      </c>
      <c r="S291" s="385">
        <v>0</v>
      </c>
      <c r="T291" s="385">
        <v>0</v>
      </c>
      <c r="U291" s="385">
        <v>0</v>
      </c>
      <c r="V291"/>
      <c r="W291"/>
      <c r="X291"/>
      <c r="Y291"/>
    </row>
    <row r="292" spans="1:25" ht="15.75">
      <c r="A292" s="684"/>
      <c r="B292" s="687" t="s">
        <v>1075</v>
      </c>
      <c r="C292" s="674"/>
      <c r="D292" s="675"/>
      <c r="E292" s="675"/>
      <c r="F292" s="675"/>
      <c r="G292" s="675"/>
      <c r="H292" s="676"/>
      <c r="I292" s="676"/>
      <c r="J292" s="675"/>
      <c r="K292" s="675"/>
      <c r="L292" s="675"/>
      <c r="M292" s="676"/>
      <c r="N292" s="676"/>
      <c r="O292" s="675"/>
      <c r="P292" s="675"/>
      <c r="Q292" s="676"/>
      <c r="R292" s="676"/>
      <c r="S292" s="676"/>
      <c r="T292" s="676"/>
      <c r="U292" s="676"/>
      <c r="V292"/>
      <c r="W292"/>
      <c r="X292"/>
      <c r="Y292"/>
    </row>
    <row r="293" spans="1:25" s="386" customFormat="1" ht="15.75">
      <c r="A293" s="684"/>
      <c r="B293" s="688" t="s">
        <v>1076</v>
      </c>
      <c r="C293" s="380"/>
      <c r="D293" s="381"/>
      <c r="E293" s="381"/>
      <c r="F293" s="381"/>
      <c r="G293" s="381"/>
      <c r="H293" s="382"/>
      <c r="I293" s="382"/>
      <c r="J293" s="381"/>
      <c r="K293" s="381"/>
      <c r="L293" s="381"/>
      <c r="M293" s="382"/>
      <c r="N293" s="382"/>
      <c r="O293" s="381"/>
      <c r="P293" s="381"/>
      <c r="Q293" s="382"/>
      <c r="R293" s="382"/>
      <c r="S293" s="382"/>
      <c r="T293" s="382"/>
      <c r="U293" s="382"/>
      <c r="V293"/>
      <c r="W293"/>
      <c r="X293"/>
      <c r="Y293"/>
    </row>
    <row r="294" spans="1:25" ht="15.75">
      <c r="A294" s="684"/>
      <c r="B294" s="689" t="s">
        <v>1077</v>
      </c>
      <c r="C294" s="383">
        <v>0</v>
      </c>
      <c r="D294" s="384">
        <v>0</v>
      </c>
      <c r="E294" s="384">
        <v>0</v>
      </c>
      <c r="F294" s="384">
        <v>0</v>
      </c>
      <c r="G294" s="384">
        <v>0</v>
      </c>
      <c r="H294" s="385">
        <v>0</v>
      </c>
      <c r="I294" s="385">
        <v>0</v>
      </c>
      <c r="J294" s="384">
        <v>0</v>
      </c>
      <c r="K294" s="384">
        <v>0</v>
      </c>
      <c r="L294" s="384">
        <v>0</v>
      </c>
      <c r="M294" s="385">
        <v>0</v>
      </c>
      <c r="N294" s="385">
        <v>0</v>
      </c>
      <c r="O294" s="384">
        <v>0</v>
      </c>
      <c r="P294" s="384">
        <v>0</v>
      </c>
      <c r="Q294" s="385">
        <v>0</v>
      </c>
      <c r="R294" s="385">
        <v>0</v>
      </c>
      <c r="S294" s="385">
        <v>0</v>
      </c>
      <c r="T294" s="385">
        <v>0</v>
      </c>
      <c r="U294" s="385">
        <v>0</v>
      </c>
      <c r="V294"/>
      <c r="W294"/>
      <c r="X294"/>
      <c r="Y294"/>
    </row>
    <row r="295" spans="1:25" ht="15.75">
      <c r="A295" s="684"/>
      <c r="B295" s="687" t="s">
        <v>1078</v>
      </c>
      <c r="C295" s="674"/>
      <c r="D295" s="675"/>
      <c r="E295" s="675"/>
      <c r="F295" s="675"/>
      <c r="G295" s="675"/>
      <c r="H295" s="676"/>
      <c r="I295" s="676"/>
      <c r="J295" s="675"/>
      <c r="K295" s="675"/>
      <c r="L295" s="675"/>
      <c r="M295" s="676"/>
      <c r="N295" s="676"/>
      <c r="O295" s="675"/>
      <c r="P295" s="675"/>
      <c r="Q295" s="676"/>
      <c r="R295" s="676"/>
      <c r="S295" s="676"/>
      <c r="T295" s="676"/>
      <c r="U295" s="676"/>
      <c r="V295"/>
      <c r="W295"/>
      <c r="X295"/>
      <c r="Y295"/>
    </row>
    <row r="296" spans="1:25" s="386" customFormat="1" ht="15.75">
      <c r="A296" s="684"/>
      <c r="B296" s="688" t="s">
        <v>1079</v>
      </c>
      <c r="C296" s="380"/>
      <c r="D296" s="381"/>
      <c r="E296" s="381"/>
      <c r="F296" s="381"/>
      <c r="G296" s="381"/>
      <c r="H296" s="382"/>
      <c r="I296" s="382"/>
      <c r="J296" s="381"/>
      <c r="K296" s="381"/>
      <c r="L296" s="381"/>
      <c r="M296" s="382"/>
      <c r="N296" s="382"/>
      <c r="O296" s="381"/>
      <c r="P296" s="381"/>
      <c r="Q296" s="382"/>
      <c r="R296" s="382"/>
      <c r="S296" s="382"/>
      <c r="T296" s="382"/>
      <c r="U296" s="382"/>
      <c r="V296"/>
      <c r="W296"/>
      <c r="X296"/>
      <c r="Y296"/>
    </row>
    <row r="297" spans="1:25" ht="15.75">
      <c r="A297" s="684"/>
      <c r="B297" s="689" t="s">
        <v>1080</v>
      </c>
      <c r="C297" s="383">
        <v>0</v>
      </c>
      <c r="D297" s="384">
        <v>0</v>
      </c>
      <c r="E297" s="384">
        <v>0</v>
      </c>
      <c r="F297" s="384">
        <v>0</v>
      </c>
      <c r="G297" s="384">
        <v>0</v>
      </c>
      <c r="H297" s="385">
        <v>0</v>
      </c>
      <c r="I297" s="385">
        <v>0</v>
      </c>
      <c r="J297" s="384">
        <v>0</v>
      </c>
      <c r="K297" s="384">
        <v>0</v>
      </c>
      <c r="L297" s="384">
        <v>0</v>
      </c>
      <c r="M297" s="385">
        <v>0</v>
      </c>
      <c r="N297" s="385">
        <v>0</v>
      </c>
      <c r="O297" s="384">
        <v>0</v>
      </c>
      <c r="P297" s="384">
        <v>0</v>
      </c>
      <c r="Q297" s="385">
        <v>0</v>
      </c>
      <c r="R297" s="385">
        <v>0</v>
      </c>
      <c r="S297" s="385">
        <v>0</v>
      </c>
      <c r="T297" s="385">
        <v>0</v>
      </c>
      <c r="U297" s="385">
        <v>0</v>
      </c>
      <c r="V297"/>
      <c r="W297"/>
      <c r="X297"/>
      <c r="Y297"/>
    </row>
    <row r="298" spans="1:25" ht="15.75">
      <c r="A298" s="684"/>
      <c r="B298" s="687" t="s">
        <v>1081</v>
      </c>
      <c r="C298" s="674"/>
      <c r="D298" s="675"/>
      <c r="E298" s="675"/>
      <c r="F298" s="675"/>
      <c r="G298" s="675"/>
      <c r="H298" s="676"/>
      <c r="I298" s="676"/>
      <c r="J298" s="675"/>
      <c r="K298" s="675"/>
      <c r="L298" s="675"/>
      <c r="M298" s="676"/>
      <c r="N298" s="676"/>
      <c r="O298" s="675"/>
      <c r="P298" s="675"/>
      <c r="Q298" s="676"/>
      <c r="R298" s="676"/>
      <c r="S298" s="676"/>
      <c r="T298" s="676"/>
      <c r="U298" s="676"/>
      <c r="V298"/>
      <c r="W298"/>
      <c r="X298"/>
      <c r="Y298"/>
    </row>
    <row r="299" spans="1:25" s="386" customFormat="1" ht="15.75">
      <c r="A299" s="684"/>
      <c r="B299" s="688" t="s">
        <v>1082</v>
      </c>
      <c r="C299" s="380"/>
      <c r="D299" s="381"/>
      <c r="E299" s="381"/>
      <c r="F299" s="381"/>
      <c r="G299" s="381"/>
      <c r="H299" s="382"/>
      <c r="I299" s="382"/>
      <c r="J299" s="381"/>
      <c r="K299" s="381"/>
      <c r="L299" s="381"/>
      <c r="M299" s="382"/>
      <c r="N299" s="382"/>
      <c r="O299" s="381"/>
      <c r="P299" s="381"/>
      <c r="Q299" s="382"/>
      <c r="R299" s="382"/>
      <c r="S299" s="382"/>
      <c r="T299" s="382"/>
      <c r="U299" s="382"/>
      <c r="V299"/>
      <c r="W299"/>
      <c r="X299"/>
      <c r="Y299"/>
    </row>
    <row r="300" spans="1:25" ht="15.75">
      <c r="A300" s="684"/>
      <c r="B300" s="689" t="s">
        <v>1083</v>
      </c>
      <c r="C300" s="383">
        <v>0</v>
      </c>
      <c r="D300" s="384">
        <v>0</v>
      </c>
      <c r="E300" s="384">
        <v>0</v>
      </c>
      <c r="F300" s="384">
        <v>0</v>
      </c>
      <c r="G300" s="384">
        <v>0</v>
      </c>
      <c r="H300" s="385">
        <v>0</v>
      </c>
      <c r="I300" s="385">
        <v>0</v>
      </c>
      <c r="J300" s="384">
        <v>0</v>
      </c>
      <c r="K300" s="384">
        <v>0</v>
      </c>
      <c r="L300" s="384">
        <v>0</v>
      </c>
      <c r="M300" s="385">
        <v>0</v>
      </c>
      <c r="N300" s="385">
        <v>0</v>
      </c>
      <c r="O300" s="384">
        <v>0</v>
      </c>
      <c r="P300" s="384">
        <v>0</v>
      </c>
      <c r="Q300" s="385">
        <v>0</v>
      </c>
      <c r="R300" s="385">
        <v>0</v>
      </c>
      <c r="S300" s="385">
        <v>0</v>
      </c>
      <c r="T300" s="385">
        <v>0</v>
      </c>
      <c r="U300" s="385">
        <v>0</v>
      </c>
      <c r="V300"/>
      <c r="W300"/>
      <c r="X300"/>
      <c r="Y300"/>
    </row>
    <row r="301" spans="1:25" ht="15.75">
      <c r="A301" s="684"/>
      <c r="B301" s="687" t="s">
        <v>1084</v>
      </c>
      <c r="C301" s="674"/>
      <c r="D301" s="675"/>
      <c r="E301" s="675"/>
      <c r="F301" s="675"/>
      <c r="G301" s="675"/>
      <c r="H301" s="676"/>
      <c r="I301" s="676"/>
      <c r="J301" s="675"/>
      <c r="K301" s="675"/>
      <c r="L301" s="675"/>
      <c r="M301" s="676"/>
      <c r="N301" s="676"/>
      <c r="O301" s="675"/>
      <c r="P301" s="675"/>
      <c r="Q301" s="676"/>
      <c r="R301" s="676"/>
      <c r="S301" s="676"/>
      <c r="T301" s="676"/>
      <c r="U301" s="676"/>
      <c r="V301"/>
      <c r="W301"/>
      <c r="X301"/>
      <c r="Y301"/>
    </row>
    <row r="302" spans="1:25" s="386" customFormat="1" ht="15.75">
      <c r="A302" s="684"/>
      <c r="B302" s="688" t="s">
        <v>1085</v>
      </c>
      <c r="C302" s="380"/>
      <c r="D302" s="381"/>
      <c r="E302" s="381"/>
      <c r="F302" s="381"/>
      <c r="G302" s="381"/>
      <c r="H302" s="382"/>
      <c r="I302" s="382"/>
      <c r="J302" s="381"/>
      <c r="K302" s="381"/>
      <c r="L302" s="381"/>
      <c r="M302" s="382"/>
      <c r="N302" s="382"/>
      <c r="O302" s="381"/>
      <c r="P302" s="381"/>
      <c r="Q302" s="382"/>
      <c r="R302" s="382"/>
      <c r="S302" s="382"/>
      <c r="T302" s="382"/>
      <c r="U302" s="382"/>
      <c r="V302"/>
      <c r="W302"/>
      <c r="X302"/>
      <c r="Y302"/>
    </row>
    <row r="303" spans="1:25" ht="15.75">
      <c r="A303" s="684"/>
      <c r="B303" s="689" t="s">
        <v>1086</v>
      </c>
      <c r="C303" s="383">
        <v>0</v>
      </c>
      <c r="D303" s="384">
        <v>0</v>
      </c>
      <c r="E303" s="384">
        <v>0</v>
      </c>
      <c r="F303" s="384">
        <v>0</v>
      </c>
      <c r="G303" s="384">
        <v>0</v>
      </c>
      <c r="H303" s="385">
        <v>0</v>
      </c>
      <c r="I303" s="385">
        <v>0</v>
      </c>
      <c r="J303" s="384">
        <v>0</v>
      </c>
      <c r="K303" s="384">
        <v>0</v>
      </c>
      <c r="L303" s="384">
        <v>0</v>
      </c>
      <c r="M303" s="385">
        <v>0</v>
      </c>
      <c r="N303" s="385">
        <v>0</v>
      </c>
      <c r="O303" s="384">
        <v>0</v>
      </c>
      <c r="P303" s="384">
        <v>0</v>
      </c>
      <c r="Q303" s="385">
        <v>0</v>
      </c>
      <c r="R303" s="385">
        <v>0</v>
      </c>
      <c r="S303" s="385">
        <v>0</v>
      </c>
      <c r="T303" s="385">
        <v>0</v>
      </c>
      <c r="U303" s="385">
        <v>0</v>
      </c>
      <c r="V303"/>
      <c r="W303"/>
      <c r="X303"/>
      <c r="Y303"/>
    </row>
    <row r="304" spans="1:25" ht="15.75">
      <c r="A304" s="684"/>
      <c r="B304" s="687" t="s">
        <v>1248</v>
      </c>
      <c r="C304" s="674"/>
      <c r="D304" s="675"/>
      <c r="E304" s="675"/>
      <c r="F304" s="675"/>
      <c r="G304" s="675"/>
      <c r="H304" s="676"/>
      <c r="I304" s="676"/>
      <c r="J304" s="675"/>
      <c r="K304" s="675"/>
      <c r="L304" s="675"/>
      <c r="M304" s="676"/>
      <c r="N304" s="676"/>
      <c r="O304" s="675"/>
      <c r="P304" s="675"/>
      <c r="Q304" s="676"/>
      <c r="R304" s="676"/>
      <c r="S304" s="676"/>
      <c r="T304" s="676"/>
      <c r="U304" s="676"/>
      <c r="V304"/>
      <c r="W304"/>
      <c r="X304"/>
      <c r="Y304"/>
    </row>
    <row r="305" spans="1:25" s="386" customFormat="1" ht="15.75">
      <c r="A305" s="685"/>
      <c r="B305" s="690" t="s">
        <v>1250</v>
      </c>
      <c r="C305" s="576"/>
      <c r="D305" s="577"/>
      <c r="E305" s="577"/>
      <c r="F305" s="577"/>
      <c r="G305" s="577"/>
      <c r="H305" s="578"/>
      <c r="I305" s="578"/>
      <c r="J305" s="577"/>
      <c r="K305" s="577"/>
      <c r="L305" s="577"/>
      <c r="M305" s="578"/>
      <c r="N305" s="578"/>
      <c r="O305" s="577"/>
      <c r="P305" s="577"/>
      <c r="Q305" s="578"/>
      <c r="R305" s="578"/>
      <c r="S305" s="578"/>
      <c r="T305" s="578"/>
      <c r="U305" s="578"/>
      <c r="V305"/>
      <c r="W305"/>
      <c r="X305"/>
      <c r="Y305"/>
    </row>
    <row r="306" spans="1:25" ht="15.75">
      <c r="A306" s="683" t="s">
        <v>759</v>
      </c>
      <c r="B306" s="687" t="s">
        <v>1039</v>
      </c>
      <c r="C306" s="674"/>
      <c r="D306" s="675"/>
      <c r="E306" s="675"/>
      <c r="F306" s="675"/>
      <c r="G306" s="675"/>
      <c r="H306" s="676"/>
      <c r="I306" s="676"/>
      <c r="J306" s="675">
        <v>8</v>
      </c>
      <c r="K306" s="675">
        <v>222</v>
      </c>
      <c r="L306" s="675">
        <v>112</v>
      </c>
      <c r="M306" s="676">
        <v>189</v>
      </c>
      <c r="N306" s="676">
        <v>531</v>
      </c>
      <c r="O306" s="675">
        <v>137</v>
      </c>
      <c r="P306" s="675">
        <v>53</v>
      </c>
      <c r="Q306" s="676">
        <v>2675</v>
      </c>
      <c r="R306" s="676">
        <v>2865</v>
      </c>
      <c r="S306" s="676"/>
      <c r="T306" s="676"/>
      <c r="U306" s="676">
        <v>3396</v>
      </c>
      <c r="V306"/>
      <c r="W306"/>
      <c r="X306"/>
      <c r="Y306"/>
    </row>
    <row r="307" spans="1:25" ht="15.75">
      <c r="A307" s="684"/>
      <c r="B307" s="688" t="s">
        <v>1040</v>
      </c>
      <c r="C307" s="380"/>
      <c r="D307" s="381"/>
      <c r="E307" s="381"/>
      <c r="F307" s="381"/>
      <c r="G307" s="381"/>
      <c r="H307" s="382"/>
      <c r="I307" s="382"/>
      <c r="J307" s="381">
        <v>11</v>
      </c>
      <c r="K307" s="381">
        <v>251</v>
      </c>
      <c r="L307" s="381">
        <v>133</v>
      </c>
      <c r="M307" s="382">
        <v>436</v>
      </c>
      <c r="N307" s="382">
        <v>831</v>
      </c>
      <c r="O307" s="381">
        <v>143</v>
      </c>
      <c r="P307" s="381">
        <v>84</v>
      </c>
      <c r="Q307" s="382">
        <v>4503</v>
      </c>
      <c r="R307" s="382">
        <v>4730</v>
      </c>
      <c r="S307" s="382"/>
      <c r="T307" s="382"/>
      <c r="U307" s="382">
        <v>5561</v>
      </c>
      <c r="V307"/>
      <c r="W307"/>
      <c r="X307"/>
      <c r="Y307"/>
    </row>
    <row r="308" spans="1:25" s="386" customFormat="1" ht="15.75">
      <c r="A308" s="684"/>
      <c r="B308" s="689" t="s">
        <v>1041</v>
      </c>
      <c r="C308" s="383">
        <v>0</v>
      </c>
      <c r="D308" s="384">
        <v>0</v>
      </c>
      <c r="E308" s="384">
        <v>0</v>
      </c>
      <c r="F308" s="384">
        <v>0</v>
      </c>
      <c r="G308" s="384">
        <v>0</v>
      </c>
      <c r="H308" s="385">
        <v>0</v>
      </c>
      <c r="I308" s="385">
        <v>0</v>
      </c>
      <c r="J308" s="384">
        <v>0.375</v>
      </c>
      <c r="K308" s="384">
        <v>0.13063063063063063</v>
      </c>
      <c r="L308" s="384">
        <v>0.1875</v>
      </c>
      <c r="M308" s="692">
        <v>1.306878306878307</v>
      </c>
      <c r="N308" s="385">
        <v>0.56497175141242939</v>
      </c>
      <c r="O308" s="384">
        <v>4.3795620437956206E-2</v>
      </c>
      <c r="P308" s="384">
        <v>0.58490566037735847</v>
      </c>
      <c r="Q308" s="692">
        <v>0.68336448598130839</v>
      </c>
      <c r="R308" s="385">
        <v>0.65095986038394416</v>
      </c>
      <c r="S308" s="385">
        <v>0</v>
      </c>
      <c r="T308" s="385">
        <v>0</v>
      </c>
      <c r="U308" s="385">
        <v>0.63751472320376912</v>
      </c>
      <c r="V308"/>
      <c r="W308"/>
      <c r="X308"/>
      <c r="Y308"/>
    </row>
    <row r="309" spans="1:25" ht="15.75">
      <c r="A309" s="684"/>
      <c r="B309" s="687" t="s">
        <v>1042</v>
      </c>
      <c r="C309" s="674"/>
      <c r="D309" s="675"/>
      <c r="E309" s="675"/>
      <c r="F309" s="675"/>
      <c r="G309" s="675"/>
      <c r="H309" s="676"/>
      <c r="I309" s="676"/>
      <c r="J309" s="675"/>
      <c r="K309" s="675"/>
      <c r="L309" s="675"/>
      <c r="M309" s="676"/>
      <c r="N309" s="676"/>
      <c r="O309" s="675"/>
      <c r="P309" s="675"/>
      <c r="Q309" s="676"/>
      <c r="R309" s="676"/>
      <c r="S309" s="676"/>
      <c r="T309" s="676"/>
      <c r="U309" s="676"/>
      <c r="V309"/>
      <c r="W309"/>
      <c r="X309"/>
      <c r="Y309"/>
    </row>
    <row r="310" spans="1:25" ht="15.75">
      <c r="A310" s="684"/>
      <c r="B310" s="688" t="s">
        <v>1043</v>
      </c>
      <c r="C310" s="380"/>
      <c r="D310" s="381"/>
      <c r="E310" s="381"/>
      <c r="F310" s="381"/>
      <c r="G310" s="381"/>
      <c r="H310" s="382"/>
      <c r="I310" s="382"/>
      <c r="J310" s="381"/>
      <c r="K310" s="381"/>
      <c r="L310" s="381"/>
      <c r="M310" s="382"/>
      <c r="N310" s="382"/>
      <c r="O310" s="381"/>
      <c r="P310" s="381"/>
      <c r="Q310" s="382"/>
      <c r="R310" s="382"/>
      <c r="S310" s="382"/>
      <c r="T310" s="382"/>
      <c r="U310" s="382"/>
      <c r="V310"/>
      <c r="W310"/>
      <c r="X310"/>
      <c r="Y310"/>
    </row>
    <row r="311" spans="1:25" s="386" customFormat="1" ht="15.75">
      <c r="A311" s="684"/>
      <c r="B311" s="689" t="s">
        <v>1044</v>
      </c>
      <c r="C311" s="383">
        <v>0</v>
      </c>
      <c r="D311" s="384">
        <v>0</v>
      </c>
      <c r="E311" s="384">
        <v>0</v>
      </c>
      <c r="F311" s="384">
        <v>0</v>
      </c>
      <c r="G311" s="384">
        <v>0</v>
      </c>
      <c r="H311" s="385">
        <v>0</v>
      </c>
      <c r="I311" s="385">
        <v>0</v>
      </c>
      <c r="J311" s="384">
        <v>0</v>
      </c>
      <c r="K311" s="384">
        <v>0</v>
      </c>
      <c r="L311" s="384">
        <v>0</v>
      </c>
      <c r="M311" s="385">
        <v>0</v>
      </c>
      <c r="N311" s="385">
        <v>0</v>
      </c>
      <c r="O311" s="384">
        <v>0</v>
      </c>
      <c r="P311" s="384">
        <v>0</v>
      </c>
      <c r="Q311" s="385">
        <v>0</v>
      </c>
      <c r="R311" s="385">
        <v>0</v>
      </c>
      <c r="S311" s="385">
        <v>0</v>
      </c>
      <c r="T311" s="385">
        <v>0</v>
      </c>
      <c r="U311" s="385">
        <v>0</v>
      </c>
      <c r="V311"/>
      <c r="W311"/>
      <c r="X311"/>
      <c r="Y311"/>
    </row>
    <row r="312" spans="1:25" ht="15.75">
      <c r="A312" s="684"/>
      <c r="B312" s="687" t="s">
        <v>1045</v>
      </c>
      <c r="C312" s="674"/>
      <c r="D312" s="675">
        <v>92</v>
      </c>
      <c r="E312" s="675">
        <v>130</v>
      </c>
      <c r="F312" s="675">
        <v>584</v>
      </c>
      <c r="G312" s="675"/>
      <c r="H312" s="676"/>
      <c r="I312" s="676">
        <v>806</v>
      </c>
      <c r="J312" s="675">
        <v>156</v>
      </c>
      <c r="K312" s="675">
        <v>841</v>
      </c>
      <c r="L312" s="675">
        <v>859</v>
      </c>
      <c r="M312" s="676">
        <v>576</v>
      </c>
      <c r="N312" s="676">
        <v>2432</v>
      </c>
      <c r="O312" s="675">
        <v>192</v>
      </c>
      <c r="P312" s="675">
        <v>33</v>
      </c>
      <c r="Q312" s="676">
        <v>275</v>
      </c>
      <c r="R312" s="676">
        <v>500</v>
      </c>
      <c r="S312" s="676">
        <v>5</v>
      </c>
      <c r="T312" s="676">
        <v>5</v>
      </c>
      <c r="U312" s="676">
        <v>3743</v>
      </c>
      <c r="V312"/>
      <c r="W312"/>
      <c r="X312"/>
      <c r="Y312"/>
    </row>
    <row r="313" spans="1:25" ht="15.75">
      <c r="A313" s="684"/>
      <c r="B313" s="688" t="s">
        <v>1046</v>
      </c>
      <c r="C313" s="380"/>
      <c r="D313" s="381">
        <v>94</v>
      </c>
      <c r="E313" s="381">
        <v>102</v>
      </c>
      <c r="F313" s="381">
        <v>630</v>
      </c>
      <c r="G313" s="381"/>
      <c r="H313" s="382"/>
      <c r="I313" s="382">
        <v>826</v>
      </c>
      <c r="J313" s="381">
        <v>151</v>
      </c>
      <c r="K313" s="381">
        <v>881</v>
      </c>
      <c r="L313" s="381">
        <v>1008</v>
      </c>
      <c r="M313" s="382">
        <v>657</v>
      </c>
      <c r="N313" s="382">
        <v>2697</v>
      </c>
      <c r="O313" s="381">
        <v>214</v>
      </c>
      <c r="P313" s="381">
        <v>38</v>
      </c>
      <c r="Q313" s="382">
        <v>292</v>
      </c>
      <c r="R313" s="382">
        <v>544</v>
      </c>
      <c r="S313" s="382">
        <v>6</v>
      </c>
      <c r="T313" s="382">
        <v>6</v>
      </c>
      <c r="U313" s="382">
        <v>4073</v>
      </c>
      <c r="V313"/>
      <c r="W313"/>
      <c r="X313"/>
      <c r="Y313"/>
    </row>
    <row r="314" spans="1:25" s="386" customFormat="1" ht="15.75">
      <c r="A314" s="684"/>
      <c r="B314" s="689" t="s">
        <v>1047</v>
      </c>
      <c r="C314" s="383">
        <v>0</v>
      </c>
      <c r="D314" s="384">
        <v>2.1739130434782608E-2</v>
      </c>
      <c r="E314" s="692">
        <v>-0.2153846153846154</v>
      </c>
      <c r="F314" s="384">
        <v>7.8767123287671229E-2</v>
      </c>
      <c r="G314" s="384">
        <v>0</v>
      </c>
      <c r="H314" s="385">
        <v>0</v>
      </c>
      <c r="I314" s="385">
        <v>2.4813895781637719E-2</v>
      </c>
      <c r="J314" s="384">
        <v>-3.2051282051282048E-2</v>
      </c>
      <c r="K314" s="384">
        <v>4.7562425683709872E-2</v>
      </c>
      <c r="L314" s="692">
        <v>0.17345750873108265</v>
      </c>
      <c r="M314" s="385">
        <v>0.140625</v>
      </c>
      <c r="N314" s="385">
        <v>0.10896381578947369</v>
      </c>
      <c r="O314" s="384">
        <v>0.11458333333333333</v>
      </c>
      <c r="P314" s="384">
        <v>0.15151515151515152</v>
      </c>
      <c r="Q314" s="385">
        <v>6.1818181818181821E-2</v>
      </c>
      <c r="R314" s="385">
        <v>8.7999999999999995E-2</v>
      </c>
      <c r="S314" s="385">
        <v>0.2</v>
      </c>
      <c r="T314" s="385">
        <v>0.2</v>
      </c>
      <c r="U314" s="385">
        <v>8.8164573871226296E-2</v>
      </c>
      <c r="V314"/>
      <c r="W314"/>
      <c r="X314"/>
      <c r="Y314"/>
    </row>
    <row r="315" spans="1:25" ht="15.75">
      <c r="A315" s="684"/>
      <c r="B315" s="687" t="s">
        <v>1048</v>
      </c>
      <c r="C315" s="674">
        <v>4600</v>
      </c>
      <c r="D315" s="675">
        <v>4784</v>
      </c>
      <c r="E315" s="675">
        <v>3636</v>
      </c>
      <c r="F315" s="675">
        <v>4178</v>
      </c>
      <c r="G315" s="675"/>
      <c r="H315" s="676"/>
      <c r="I315" s="676">
        <v>17198</v>
      </c>
      <c r="J315" s="675">
        <v>131</v>
      </c>
      <c r="K315" s="675"/>
      <c r="L315" s="675"/>
      <c r="M315" s="676"/>
      <c r="N315" s="676">
        <v>131</v>
      </c>
      <c r="O315" s="675"/>
      <c r="P315" s="675"/>
      <c r="Q315" s="676"/>
      <c r="R315" s="676"/>
      <c r="S315" s="676">
        <v>302</v>
      </c>
      <c r="T315" s="676">
        <v>302</v>
      </c>
      <c r="U315" s="676">
        <v>17631</v>
      </c>
      <c r="V315"/>
      <c r="W315"/>
      <c r="X315"/>
      <c r="Y315"/>
    </row>
    <row r="316" spans="1:25" ht="15.75">
      <c r="A316" s="684"/>
      <c r="B316" s="688" t="s">
        <v>1049</v>
      </c>
      <c r="C316" s="380">
        <v>4734</v>
      </c>
      <c r="D316" s="381">
        <v>4802</v>
      </c>
      <c r="E316" s="381">
        <v>3666</v>
      </c>
      <c r="F316" s="381">
        <v>4295</v>
      </c>
      <c r="G316" s="381"/>
      <c r="H316" s="382"/>
      <c r="I316" s="382">
        <v>17497</v>
      </c>
      <c r="J316" s="381">
        <v>166</v>
      </c>
      <c r="K316" s="381"/>
      <c r="L316" s="381"/>
      <c r="M316" s="382"/>
      <c r="N316" s="382">
        <v>166</v>
      </c>
      <c r="O316" s="381"/>
      <c r="P316" s="381"/>
      <c r="Q316" s="382"/>
      <c r="R316" s="382"/>
      <c r="S316" s="382">
        <v>317</v>
      </c>
      <c r="T316" s="382">
        <v>317</v>
      </c>
      <c r="U316" s="382">
        <v>17980</v>
      </c>
      <c r="V316"/>
      <c r="W316"/>
      <c r="X316"/>
      <c r="Y316"/>
    </row>
    <row r="317" spans="1:25" s="386" customFormat="1" ht="15.75">
      <c r="A317" s="684"/>
      <c r="B317" s="689" t="s">
        <v>1050</v>
      </c>
      <c r="C317" s="383">
        <v>2.9130434782608697E-2</v>
      </c>
      <c r="D317" s="384">
        <v>3.762541806020067E-3</v>
      </c>
      <c r="E317" s="384">
        <v>8.2508250825082501E-3</v>
      </c>
      <c r="F317" s="384">
        <v>2.8003829583532792E-2</v>
      </c>
      <c r="G317" s="384">
        <v>0</v>
      </c>
      <c r="H317" s="385">
        <v>0</v>
      </c>
      <c r="I317" s="385">
        <v>1.7385742528200954E-2</v>
      </c>
      <c r="J317" s="692">
        <v>0.26717557251908397</v>
      </c>
      <c r="K317" s="384">
        <v>0</v>
      </c>
      <c r="L317" s="384">
        <v>0</v>
      </c>
      <c r="M317" s="385">
        <v>0</v>
      </c>
      <c r="N317" s="385">
        <v>0.26717557251908397</v>
      </c>
      <c r="O317" s="384">
        <v>0</v>
      </c>
      <c r="P317" s="384">
        <v>0</v>
      </c>
      <c r="Q317" s="385">
        <v>0</v>
      </c>
      <c r="R317" s="385">
        <v>0</v>
      </c>
      <c r="S317" s="385">
        <v>4.9668874172185427E-2</v>
      </c>
      <c r="T317" s="385">
        <v>4.9668874172185427E-2</v>
      </c>
      <c r="U317" s="385">
        <v>1.9794679825307696E-2</v>
      </c>
      <c r="V317"/>
      <c r="W317"/>
      <c r="X317"/>
      <c r="Y317"/>
    </row>
    <row r="318" spans="1:25" ht="15.75">
      <c r="A318" s="684"/>
      <c r="B318" s="687" t="s">
        <v>1051</v>
      </c>
      <c r="C318" s="674"/>
      <c r="D318" s="675">
        <v>11</v>
      </c>
      <c r="E318" s="675"/>
      <c r="F318" s="675"/>
      <c r="G318" s="675"/>
      <c r="H318" s="676"/>
      <c r="I318" s="676">
        <v>11</v>
      </c>
      <c r="J318" s="675"/>
      <c r="K318" s="675"/>
      <c r="L318" s="675"/>
      <c r="M318" s="676"/>
      <c r="N318" s="676"/>
      <c r="O318" s="675"/>
      <c r="P318" s="675"/>
      <c r="Q318" s="676"/>
      <c r="R318" s="676"/>
      <c r="S318" s="676"/>
      <c r="T318" s="676"/>
      <c r="U318" s="676">
        <v>11</v>
      </c>
      <c r="V318"/>
      <c r="W318"/>
      <c r="X318"/>
      <c r="Y318"/>
    </row>
    <row r="319" spans="1:25" ht="15.75">
      <c r="A319" s="684"/>
      <c r="B319" s="688" t="s">
        <v>1052</v>
      </c>
      <c r="C319" s="380"/>
      <c r="D319" s="381">
        <v>20</v>
      </c>
      <c r="E319" s="381">
        <v>1</v>
      </c>
      <c r="F319" s="381"/>
      <c r="G319" s="381"/>
      <c r="H319" s="382"/>
      <c r="I319" s="382">
        <v>21</v>
      </c>
      <c r="J319" s="381"/>
      <c r="K319" s="381"/>
      <c r="L319" s="381"/>
      <c r="M319" s="382"/>
      <c r="N319" s="382"/>
      <c r="O319" s="381"/>
      <c r="P319" s="381"/>
      <c r="Q319" s="382"/>
      <c r="R319" s="382"/>
      <c r="S319" s="382"/>
      <c r="T319" s="382"/>
      <c r="U319" s="382">
        <v>21</v>
      </c>
      <c r="V319"/>
      <c r="W319"/>
      <c r="X319"/>
      <c r="Y319"/>
    </row>
    <row r="320" spans="1:25" s="386" customFormat="1" ht="15.75">
      <c r="A320" s="684"/>
      <c r="B320" s="689" t="s">
        <v>1053</v>
      </c>
      <c r="C320" s="383">
        <v>0</v>
      </c>
      <c r="D320" s="384">
        <v>0.81818181818181823</v>
      </c>
      <c r="E320" s="384">
        <v>0</v>
      </c>
      <c r="F320" s="384">
        <v>0</v>
      </c>
      <c r="G320" s="384">
        <v>0</v>
      </c>
      <c r="H320" s="385">
        <v>0</v>
      </c>
      <c r="I320" s="385">
        <v>0.90909090909090906</v>
      </c>
      <c r="J320" s="384">
        <v>0</v>
      </c>
      <c r="K320" s="384">
        <v>0</v>
      </c>
      <c r="L320" s="384">
        <v>0</v>
      </c>
      <c r="M320" s="385">
        <v>0</v>
      </c>
      <c r="N320" s="385">
        <v>0</v>
      </c>
      <c r="O320" s="384">
        <v>0</v>
      </c>
      <c r="P320" s="384">
        <v>0</v>
      </c>
      <c r="Q320" s="385">
        <v>0</v>
      </c>
      <c r="R320" s="385">
        <v>0</v>
      </c>
      <c r="S320" s="385">
        <v>0</v>
      </c>
      <c r="T320" s="385">
        <v>0</v>
      </c>
      <c r="U320" s="385">
        <v>0.90909090909090906</v>
      </c>
      <c r="V320"/>
      <c r="W320"/>
      <c r="X320"/>
      <c r="Y320"/>
    </row>
    <row r="321" spans="1:25" ht="15.75">
      <c r="A321" s="684"/>
      <c r="B321" s="687" t="s">
        <v>1054</v>
      </c>
      <c r="C321" s="674">
        <v>1003</v>
      </c>
      <c r="D321" s="675">
        <v>1297</v>
      </c>
      <c r="E321" s="675">
        <v>900</v>
      </c>
      <c r="F321" s="675">
        <v>1061</v>
      </c>
      <c r="G321" s="675"/>
      <c r="H321" s="676"/>
      <c r="I321" s="676">
        <v>4261</v>
      </c>
      <c r="J321" s="675">
        <v>0</v>
      </c>
      <c r="K321" s="675">
        <v>0</v>
      </c>
      <c r="L321" s="675">
        <v>0</v>
      </c>
      <c r="M321" s="676">
        <v>0</v>
      </c>
      <c r="N321" s="676">
        <v>0</v>
      </c>
      <c r="O321" s="675">
        <v>0</v>
      </c>
      <c r="P321" s="675">
        <v>0</v>
      </c>
      <c r="Q321" s="676">
        <v>0</v>
      </c>
      <c r="R321" s="676">
        <v>0</v>
      </c>
      <c r="S321" s="676">
        <v>246</v>
      </c>
      <c r="T321" s="676">
        <v>246</v>
      </c>
      <c r="U321" s="676">
        <v>4507</v>
      </c>
      <c r="V321"/>
      <c r="W321"/>
      <c r="X321"/>
      <c r="Y321"/>
    </row>
    <row r="322" spans="1:25" ht="15.75">
      <c r="A322" s="684"/>
      <c r="B322" s="688" t="s">
        <v>1055</v>
      </c>
      <c r="C322" s="380">
        <v>989</v>
      </c>
      <c r="D322" s="381">
        <v>1294</v>
      </c>
      <c r="E322" s="381">
        <v>901</v>
      </c>
      <c r="F322" s="381">
        <v>1028</v>
      </c>
      <c r="G322" s="381"/>
      <c r="H322" s="382"/>
      <c r="I322" s="382">
        <v>4212</v>
      </c>
      <c r="J322" s="381">
        <v>0</v>
      </c>
      <c r="K322" s="381">
        <v>0</v>
      </c>
      <c r="L322" s="381">
        <v>0</v>
      </c>
      <c r="M322" s="382">
        <v>0</v>
      </c>
      <c r="N322" s="382">
        <v>0</v>
      </c>
      <c r="O322" s="381">
        <v>0</v>
      </c>
      <c r="P322" s="381">
        <v>0</v>
      </c>
      <c r="Q322" s="382">
        <v>0</v>
      </c>
      <c r="R322" s="382">
        <v>0</v>
      </c>
      <c r="S322" s="382">
        <v>173</v>
      </c>
      <c r="T322" s="382">
        <v>173</v>
      </c>
      <c r="U322" s="382">
        <v>4385</v>
      </c>
      <c r="V322"/>
      <c r="W322"/>
      <c r="X322"/>
      <c r="Y322"/>
    </row>
    <row r="323" spans="1:25" s="386" customFormat="1" ht="15.75">
      <c r="A323" s="684"/>
      <c r="B323" s="689" t="s">
        <v>1056</v>
      </c>
      <c r="C323" s="383">
        <v>-1.3958125623130608E-2</v>
      </c>
      <c r="D323" s="384">
        <v>-2.3130300693909021E-3</v>
      </c>
      <c r="E323" s="384">
        <v>1.1111111111111111E-3</v>
      </c>
      <c r="F323" s="384">
        <v>-3.1102733270499529E-2</v>
      </c>
      <c r="G323" s="384">
        <v>0</v>
      </c>
      <c r="H323" s="385">
        <v>0</v>
      </c>
      <c r="I323" s="385">
        <v>-1.1499647969960104E-2</v>
      </c>
      <c r="J323" s="384">
        <v>0</v>
      </c>
      <c r="K323" s="384">
        <v>0</v>
      </c>
      <c r="L323" s="384">
        <v>0</v>
      </c>
      <c r="M323" s="385">
        <v>0</v>
      </c>
      <c r="N323" s="385">
        <v>0</v>
      </c>
      <c r="O323" s="384">
        <v>0</v>
      </c>
      <c r="P323" s="384">
        <v>0</v>
      </c>
      <c r="Q323" s="385">
        <v>0</v>
      </c>
      <c r="R323" s="385">
        <v>0</v>
      </c>
      <c r="S323" s="385">
        <v>-0.2967479674796748</v>
      </c>
      <c r="T323" s="692">
        <v>-0.2967479674796748</v>
      </c>
      <c r="U323" s="385">
        <v>-2.7069003771910363E-2</v>
      </c>
      <c r="V323"/>
      <c r="W323"/>
      <c r="X323"/>
      <c r="Y323"/>
    </row>
    <row r="324" spans="1:25" ht="15.75">
      <c r="A324" s="684"/>
      <c r="B324" s="687" t="s">
        <v>1057</v>
      </c>
      <c r="C324" s="674">
        <v>231</v>
      </c>
      <c r="D324" s="675">
        <v>136</v>
      </c>
      <c r="E324" s="675">
        <v>24</v>
      </c>
      <c r="F324" s="675">
        <v>3</v>
      </c>
      <c r="G324" s="675"/>
      <c r="H324" s="676"/>
      <c r="I324" s="676">
        <v>394</v>
      </c>
      <c r="J324" s="675">
        <v>0</v>
      </c>
      <c r="K324" s="675">
        <v>0</v>
      </c>
      <c r="L324" s="675">
        <v>0</v>
      </c>
      <c r="M324" s="676">
        <v>0</v>
      </c>
      <c r="N324" s="676">
        <v>0</v>
      </c>
      <c r="O324" s="675">
        <v>0</v>
      </c>
      <c r="P324" s="675">
        <v>0</v>
      </c>
      <c r="Q324" s="676">
        <v>0</v>
      </c>
      <c r="R324" s="676">
        <v>0</v>
      </c>
      <c r="S324" s="676">
        <v>41</v>
      </c>
      <c r="T324" s="676">
        <v>41</v>
      </c>
      <c r="U324" s="676">
        <v>435</v>
      </c>
      <c r="V324"/>
      <c r="W324"/>
      <c r="X324"/>
      <c r="Y324"/>
    </row>
    <row r="325" spans="1:25" ht="15.75">
      <c r="A325" s="684"/>
      <c r="B325" s="688" t="s">
        <v>1058</v>
      </c>
      <c r="C325" s="380">
        <v>240</v>
      </c>
      <c r="D325" s="381">
        <v>114</v>
      </c>
      <c r="E325" s="381">
        <v>31</v>
      </c>
      <c r="F325" s="381">
        <v>9</v>
      </c>
      <c r="G325" s="381"/>
      <c r="H325" s="382"/>
      <c r="I325" s="382">
        <v>394</v>
      </c>
      <c r="J325" s="381">
        <v>0</v>
      </c>
      <c r="K325" s="381">
        <v>0</v>
      </c>
      <c r="L325" s="381">
        <v>0</v>
      </c>
      <c r="M325" s="382">
        <v>0</v>
      </c>
      <c r="N325" s="382">
        <v>0</v>
      </c>
      <c r="O325" s="381">
        <v>0</v>
      </c>
      <c r="P325" s="381">
        <v>0</v>
      </c>
      <c r="Q325" s="382">
        <v>0</v>
      </c>
      <c r="R325" s="382">
        <v>0</v>
      </c>
      <c r="S325" s="382">
        <v>114</v>
      </c>
      <c r="T325" s="382">
        <v>114</v>
      </c>
      <c r="U325" s="382">
        <v>508</v>
      </c>
      <c r="V325"/>
      <c r="W325"/>
      <c r="X325"/>
      <c r="Y325"/>
    </row>
    <row r="326" spans="1:25" s="386" customFormat="1" ht="15.75">
      <c r="A326" s="684"/>
      <c r="B326" s="689" t="s">
        <v>1059</v>
      </c>
      <c r="C326" s="383">
        <v>3.896103896103896E-2</v>
      </c>
      <c r="D326" s="692">
        <v>-0.16176470588235295</v>
      </c>
      <c r="E326" s="384">
        <v>0.29166666666666669</v>
      </c>
      <c r="F326" s="384">
        <v>2</v>
      </c>
      <c r="G326" s="384">
        <v>0</v>
      </c>
      <c r="H326" s="385">
        <v>0</v>
      </c>
      <c r="I326" s="385">
        <v>0</v>
      </c>
      <c r="J326" s="384">
        <v>0</v>
      </c>
      <c r="K326" s="384">
        <v>0</v>
      </c>
      <c r="L326" s="384">
        <v>0</v>
      </c>
      <c r="M326" s="385">
        <v>0</v>
      </c>
      <c r="N326" s="385">
        <v>0</v>
      </c>
      <c r="O326" s="384">
        <v>0</v>
      </c>
      <c r="P326" s="384">
        <v>0</v>
      </c>
      <c r="Q326" s="385">
        <v>0</v>
      </c>
      <c r="R326" s="385">
        <v>0</v>
      </c>
      <c r="S326" s="385">
        <v>1.7804878048780488</v>
      </c>
      <c r="T326" s="692">
        <v>1.7804878048780488</v>
      </c>
      <c r="U326" s="385">
        <v>0.167816091954023</v>
      </c>
      <c r="V326"/>
      <c r="W326"/>
      <c r="X326"/>
      <c r="Y326"/>
    </row>
    <row r="327" spans="1:25" ht="15.75">
      <c r="A327" s="684"/>
      <c r="B327" s="687" t="s">
        <v>1060</v>
      </c>
      <c r="C327" s="674">
        <v>191</v>
      </c>
      <c r="D327" s="675"/>
      <c r="E327" s="675">
        <v>124</v>
      </c>
      <c r="F327" s="675"/>
      <c r="G327" s="675"/>
      <c r="H327" s="676"/>
      <c r="I327" s="676">
        <v>315</v>
      </c>
      <c r="J327" s="675"/>
      <c r="K327" s="675"/>
      <c r="L327" s="675"/>
      <c r="M327" s="676"/>
      <c r="N327" s="676"/>
      <c r="O327" s="675"/>
      <c r="P327" s="675"/>
      <c r="Q327" s="676"/>
      <c r="R327" s="676"/>
      <c r="S327" s="676"/>
      <c r="T327" s="676"/>
      <c r="U327" s="676">
        <v>315</v>
      </c>
      <c r="V327"/>
      <c r="W327"/>
      <c r="X327"/>
      <c r="Y327"/>
    </row>
    <row r="328" spans="1:25" ht="15.75">
      <c r="A328" s="684"/>
      <c r="B328" s="688" t="s">
        <v>1061</v>
      </c>
      <c r="C328" s="380">
        <v>179</v>
      </c>
      <c r="D328" s="381"/>
      <c r="E328" s="381">
        <v>128</v>
      </c>
      <c r="F328" s="381"/>
      <c r="G328" s="381"/>
      <c r="H328" s="382"/>
      <c r="I328" s="382">
        <v>307</v>
      </c>
      <c r="J328" s="381"/>
      <c r="K328" s="381"/>
      <c r="L328" s="381"/>
      <c r="M328" s="382"/>
      <c r="N328" s="382"/>
      <c r="O328" s="381"/>
      <c r="P328" s="381"/>
      <c r="Q328" s="382"/>
      <c r="R328" s="382"/>
      <c r="S328" s="382"/>
      <c r="T328" s="382"/>
      <c r="U328" s="382">
        <v>307</v>
      </c>
      <c r="V328"/>
      <c r="W328"/>
      <c r="X328"/>
      <c r="Y328"/>
    </row>
    <row r="329" spans="1:25" s="386" customFormat="1" ht="15.75">
      <c r="A329" s="684"/>
      <c r="B329" s="689" t="s">
        <v>1062</v>
      </c>
      <c r="C329" s="383">
        <v>-6.2827225130890049E-2</v>
      </c>
      <c r="D329" s="384">
        <v>0</v>
      </c>
      <c r="E329" s="384">
        <v>3.2258064516129031E-2</v>
      </c>
      <c r="F329" s="384">
        <v>0</v>
      </c>
      <c r="G329" s="384">
        <v>0</v>
      </c>
      <c r="H329" s="385">
        <v>0</v>
      </c>
      <c r="I329" s="385">
        <v>-2.5396825396825397E-2</v>
      </c>
      <c r="J329" s="384">
        <v>0</v>
      </c>
      <c r="K329" s="384">
        <v>0</v>
      </c>
      <c r="L329" s="384">
        <v>0</v>
      </c>
      <c r="M329" s="385">
        <v>0</v>
      </c>
      <c r="N329" s="385">
        <v>0</v>
      </c>
      <c r="O329" s="384">
        <v>0</v>
      </c>
      <c r="P329" s="384">
        <v>0</v>
      </c>
      <c r="Q329" s="385">
        <v>0</v>
      </c>
      <c r="R329" s="385">
        <v>0</v>
      </c>
      <c r="S329" s="385">
        <v>0</v>
      </c>
      <c r="T329" s="385">
        <v>0</v>
      </c>
      <c r="U329" s="385">
        <v>-2.5396825396825397E-2</v>
      </c>
      <c r="V329"/>
      <c r="W329"/>
      <c r="X329"/>
      <c r="Y329"/>
    </row>
    <row r="330" spans="1:25" ht="15.75">
      <c r="A330" s="684"/>
      <c r="B330" s="687" t="s">
        <v>1063</v>
      </c>
      <c r="C330" s="674"/>
      <c r="D330" s="675"/>
      <c r="E330" s="675"/>
      <c r="F330" s="675"/>
      <c r="G330" s="675"/>
      <c r="H330" s="676"/>
      <c r="I330" s="676"/>
      <c r="J330" s="675"/>
      <c r="K330" s="675"/>
      <c r="L330" s="675"/>
      <c r="M330" s="676"/>
      <c r="N330" s="676"/>
      <c r="O330" s="675"/>
      <c r="P330" s="675"/>
      <c r="Q330" s="676"/>
      <c r="R330" s="676"/>
      <c r="S330" s="676">
        <v>252</v>
      </c>
      <c r="T330" s="676">
        <v>252</v>
      </c>
      <c r="U330" s="676">
        <v>252</v>
      </c>
      <c r="V330"/>
      <c r="W330"/>
      <c r="X330"/>
      <c r="Y330"/>
    </row>
    <row r="331" spans="1:25" ht="15.75">
      <c r="A331" s="684"/>
      <c r="B331" s="688" t="s">
        <v>1064</v>
      </c>
      <c r="C331" s="380"/>
      <c r="D331" s="381"/>
      <c r="E331" s="381"/>
      <c r="F331" s="381"/>
      <c r="G331" s="381"/>
      <c r="H331" s="382"/>
      <c r="I331" s="382"/>
      <c r="J331" s="381"/>
      <c r="K331" s="381"/>
      <c r="L331" s="381"/>
      <c r="M331" s="382"/>
      <c r="N331" s="382"/>
      <c r="O331" s="381"/>
      <c r="P331" s="381"/>
      <c r="Q331" s="382"/>
      <c r="R331" s="382"/>
      <c r="S331" s="382">
        <v>280</v>
      </c>
      <c r="T331" s="382">
        <v>280</v>
      </c>
      <c r="U331" s="382">
        <v>280</v>
      </c>
      <c r="V331"/>
      <c r="W331"/>
      <c r="X331"/>
      <c r="Y331"/>
    </row>
    <row r="332" spans="1:25" s="386" customFormat="1" ht="15.75">
      <c r="A332" s="684"/>
      <c r="B332" s="689" t="s">
        <v>1065</v>
      </c>
      <c r="C332" s="383">
        <v>0</v>
      </c>
      <c r="D332" s="384">
        <v>0</v>
      </c>
      <c r="E332" s="384">
        <v>0</v>
      </c>
      <c r="F332" s="384">
        <v>0</v>
      </c>
      <c r="G332" s="384">
        <v>0</v>
      </c>
      <c r="H332" s="385">
        <v>0</v>
      </c>
      <c r="I332" s="385">
        <v>0</v>
      </c>
      <c r="J332" s="384">
        <v>0</v>
      </c>
      <c r="K332" s="384">
        <v>0</v>
      </c>
      <c r="L332" s="384">
        <v>0</v>
      </c>
      <c r="M332" s="385">
        <v>0</v>
      </c>
      <c r="N332" s="385">
        <v>0</v>
      </c>
      <c r="O332" s="384">
        <v>0</v>
      </c>
      <c r="P332" s="384">
        <v>0</v>
      </c>
      <c r="Q332" s="385">
        <v>0</v>
      </c>
      <c r="R332" s="385">
        <v>0</v>
      </c>
      <c r="S332" s="385">
        <v>0.1111111111111111</v>
      </c>
      <c r="T332" s="385">
        <v>0.1111111111111111</v>
      </c>
      <c r="U332" s="385">
        <v>0.1111111111111111</v>
      </c>
      <c r="V332"/>
      <c r="W332"/>
      <c r="X332"/>
      <c r="Y332"/>
    </row>
    <row r="333" spans="1:25" ht="15.75">
      <c r="A333" s="684"/>
      <c r="B333" s="687" t="s">
        <v>1066</v>
      </c>
      <c r="C333" s="674"/>
      <c r="D333" s="675"/>
      <c r="E333" s="675"/>
      <c r="F333" s="675"/>
      <c r="G333" s="675"/>
      <c r="H333" s="676"/>
      <c r="I333" s="676"/>
      <c r="J333" s="675"/>
      <c r="K333" s="675"/>
      <c r="L333" s="675"/>
      <c r="M333" s="676"/>
      <c r="N333" s="676"/>
      <c r="O333" s="675"/>
      <c r="P333" s="675"/>
      <c r="Q333" s="676"/>
      <c r="R333" s="676"/>
      <c r="S333" s="676">
        <v>58</v>
      </c>
      <c r="T333" s="676">
        <v>58</v>
      </c>
      <c r="U333" s="676">
        <v>58</v>
      </c>
      <c r="V333"/>
      <c r="W333"/>
      <c r="X333"/>
      <c r="Y333"/>
    </row>
    <row r="334" spans="1:25" ht="15.75">
      <c r="A334" s="684"/>
      <c r="B334" s="688" t="s">
        <v>1067</v>
      </c>
      <c r="C334" s="380"/>
      <c r="D334" s="381"/>
      <c r="E334" s="381"/>
      <c r="F334" s="381"/>
      <c r="G334" s="381"/>
      <c r="H334" s="382"/>
      <c r="I334" s="382"/>
      <c r="J334" s="381"/>
      <c r="K334" s="381"/>
      <c r="L334" s="381"/>
      <c r="M334" s="382"/>
      <c r="N334" s="382"/>
      <c r="O334" s="381"/>
      <c r="P334" s="381"/>
      <c r="Q334" s="382"/>
      <c r="R334" s="382"/>
      <c r="S334" s="382">
        <v>60</v>
      </c>
      <c r="T334" s="382">
        <v>60</v>
      </c>
      <c r="U334" s="382">
        <v>60</v>
      </c>
      <c r="V334"/>
      <c r="W334"/>
      <c r="X334"/>
      <c r="Y334"/>
    </row>
    <row r="335" spans="1:25" s="386" customFormat="1" ht="15.75">
      <c r="A335" s="684"/>
      <c r="B335" s="689" t="s">
        <v>1068</v>
      </c>
      <c r="C335" s="383">
        <v>0</v>
      </c>
      <c r="D335" s="384">
        <v>0</v>
      </c>
      <c r="E335" s="384">
        <v>0</v>
      </c>
      <c r="F335" s="384">
        <v>0</v>
      </c>
      <c r="G335" s="384">
        <v>0</v>
      </c>
      <c r="H335" s="385">
        <v>0</v>
      </c>
      <c r="I335" s="385">
        <v>0</v>
      </c>
      <c r="J335" s="384">
        <v>0</v>
      </c>
      <c r="K335" s="384">
        <v>0</v>
      </c>
      <c r="L335" s="384">
        <v>0</v>
      </c>
      <c r="M335" s="385">
        <v>0</v>
      </c>
      <c r="N335" s="385">
        <v>0</v>
      </c>
      <c r="O335" s="384">
        <v>0</v>
      </c>
      <c r="P335" s="384">
        <v>0</v>
      </c>
      <c r="Q335" s="385">
        <v>0</v>
      </c>
      <c r="R335" s="385">
        <v>0</v>
      </c>
      <c r="S335" s="385">
        <v>3.4482758620689655E-2</v>
      </c>
      <c r="T335" s="385">
        <v>3.4482758620689655E-2</v>
      </c>
      <c r="U335" s="385">
        <v>3.4482758620689655E-2</v>
      </c>
      <c r="V335"/>
      <c r="W335"/>
      <c r="X335"/>
      <c r="Y335"/>
    </row>
    <row r="336" spans="1:25" ht="15.75">
      <c r="A336" s="684"/>
      <c r="B336" s="687" t="s">
        <v>1069</v>
      </c>
      <c r="C336" s="674"/>
      <c r="D336" s="675"/>
      <c r="E336" s="675">
        <v>107</v>
      </c>
      <c r="F336" s="675"/>
      <c r="G336" s="675"/>
      <c r="H336" s="676"/>
      <c r="I336" s="676">
        <v>107</v>
      </c>
      <c r="J336" s="675"/>
      <c r="K336" s="675"/>
      <c r="L336" s="675"/>
      <c r="M336" s="676"/>
      <c r="N336" s="676"/>
      <c r="O336" s="675"/>
      <c r="P336" s="675"/>
      <c r="Q336" s="676"/>
      <c r="R336" s="676"/>
      <c r="S336" s="676"/>
      <c r="T336" s="676"/>
      <c r="U336" s="676">
        <v>107</v>
      </c>
      <c r="V336"/>
      <c r="W336"/>
      <c r="X336"/>
      <c r="Y336"/>
    </row>
    <row r="337" spans="1:25" ht="15.75">
      <c r="A337" s="684"/>
      <c r="B337" s="688" t="s">
        <v>1070</v>
      </c>
      <c r="C337" s="380"/>
      <c r="D337" s="381"/>
      <c r="E337" s="381">
        <v>91</v>
      </c>
      <c r="F337" s="381"/>
      <c r="G337" s="381"/>
      <c r="H337" s="382"/>
      <c r="I337" s="382">
        <v>91</v>
      </c>
      <c r="J337" s="381"/>
      <c r="K337" s="381"/>
      <c r="L337" s="381"/>
      <c r="M337" s="382"/>
      <c r="N337" s="382"/>
      <c r="O337" s="381"/>
      <c r="P337" s="381"/>
      <c r="Q337" s="382"/>
      <c r="R337" s="382"/>
      <c r="S337" s="382"/>
      <c r="T337" s="382"/>
      <c r="U337" s="382">
        <v>91</v>
      </c>
      <c r="V337"/>
      <c r="W337"/>
      <c r="X337"/>
      <c r="Y337"/>
    </row>
    <row r="338" spans="1:25" s="386" customFormat="1" ht="15.75">
      <c r="A338" s="684"/>
      <c r="B338" s="689" t="s">
        <v>1071</v>
      </c>
      <c r="C338" s="383">
        <v>0</v>
      </c>
      <c r="D338" s="384">
        <v>0</v>
      </c>
      <c r="E338" s="384">
        <v>-0.14953271028037382</v>
      </c>
      <c r="F338" s="384">
        <v>0</v>
      </c>
      <c r="G338" s="384">
        <v>0</v>
      </c>
      <c r="H338" s="385">
        <v>0</v>
      </c>
      <c r="I338" s="385">
        <v>-0.14953271028037382</v>
      </c>
      <c r="J338" s="384">
        <v>0</v>
      </c>
      <c r="K338" s="384">
        <v>0</v>
      </c>
      <c r="L338" s="384">
        <v>0</v>
      </c>
      <c r="M338" s="385">
        <v>0</v>
      </c>
      <c r="N338" s="385">
        <v>0</v>
      </c>
      <c r="O338" s="384">
        <v>0</v>
      </c>
      <c r="P338" s="384">
        <v>0</v>
      </c>
      <c r="Q338" s="385">
        <v>0</v>
      </c>
      <c r="R338" s="385">
        <v>0</v>
      </c>
      <c r="S338" s="385">
        <v>0</v>
      </c>
      <c r="T338" s="385">
        <v>0</v>
      </c>
      <c r="U338" s="385">
        <v>-0.14953271028037382</v>
      </c>
      <c r="V338"/>
      <c r="W338"/>
      <c r="X338"/>
      <c r="Y338"/>
    </row>
    <row r="339" spans="1:25" ht="15.75">
      <c r="A339" s="684"/>
      <c r="B339" s="687" t="s">
        <v>1072</v>
      </c>
      <c r="C339" s="674"/>
      <c r="D339" s="675"/>
      <c r="E339" s="675"/>
      <c r="F339" s="675"/>
      <c r="G339" s="675"/>
      <c r="H339" s="676"/>
      <c r="I339" s="676"/>
      <c r="J339" s="675"/>
      <c r="K339" s="675"/>
      <c r="L339" s="675"/>
      <c r="M339" s="676"/>
      <c r="N339" s="676"/>
      <c r="O339" s="675"/>
      <c r="P339" s="675"/>
      <c r="Q339" s="676"/>
      <c r="R339" s="676"/>
      <c r="S339" s="676"/>
      <c r="T339" s="676"/>
      <c r="U339" s="676"/>
      <c r="V339"/>
      <c r="W339"/>
      <c r="X339"/>
      <c r="Y339"/>
    </row>
    <row r="340" spans="1:25" ht="15.75">
      <c r="A340" s="684"/>
      <c r="B340" s="688" t="s">
        <v>1073</v>
      </c>
      <c r="C340" s="380"/>
      <c r="D340" s="381"/>
      <c r="E340" s="381"/>
      <c r="F340" s="381"/>
      <c r="G340" s="381"/>
      <c r="H340" s="382"/>
      <c r="I340" s="382"/>
      <c r="J340" s="381"/>
      <c r="K340" s="381"/>
      <c r="L340" s="381"/>
      <c r="M340" s="382"/>
      <c r="N340" s="382"/>
      <c r="O340" s="381"/>
      <c r="P340" s="381"/>
      <c r="Q340" s="382"/>
      <c r="R340" s="382"/>
      <c r="S340" s="382"/>
      <c r="T340" s="382"/>
      <c r="U340" s="382"/>
      <c r="V340"/>
      <c r="W340"/>
      <c r="X340"/>
      <c r="Y340"/>
    </row>
    <row r="341" spans="1:25" s="386" customFormat="1" ht="15.75">
      <c r="A341" s="684"/>
      <c r="B341" s="689" t="s">
        <v>1074</v>
      </c>
      <c r="C341" s="383">
        <v>0</v>
      </c>
      <c r="D341" s="384">
        <v>0</v>
      </c>
      <c r="E341" s="384">
        <v>0</v>
      </c>
      <c r="F341" s="384">
        <v>0</v>
      </c>
      <c r="G341" s="384">
        <v>0</v>
      </c>
      <c r="H341" s="385">
        <v>0</v>
      </c>
      <c r="I341" s="385">
        <v>0</v>
      </c>
      <c r="J341" s="384">
        <v>0</v>
      </c>
      <c r="K341" s="384">
        <v>0</v>
      </c>
      <c r="L341" s="384">
        <v>0</v>
      </c>
      <c r="M341" s="385">
        <v>0</v>
      </c>
      <c r="N341" s="385">
        <v>0</v>
      </c>
      <c r="O341" s="384">
        <v>0</v>
      </c>
      <c r="P341" s="384">
        <v>0</v>
      </c>
      <c r="Q341" s="385">
        <v>0</v>
      </c>
      <c r="R341" s="385">
        <v>0</v>
      </c>
      <c r="S341" s="385">
        <v>0</v>
      </c>
      <c r="T341" s="385">
        <v>0</v>
      </c>
      <c r="U341" s="385">
        <v>0</v>
      </c>
      <c r="V341"/>
      <c r="W341"/>
      <c r="X341"/>
      <c r="Y341"/>
    </row>
    <row r="342" spans="1:25" ht="15.75">
      <c r="A342" s="684"/>
      <c r="B342" s="687" t="s">
        <v>1075</v>
      </c>
      <c r="C342" s="674"/>
      <c r="D342" s="675"/>
      <c r="E342" s="675"/>
      <c r="F342" s="675"/>
      <c r="G342" s="675"/>
      <c r="H342" s="676"/>
      <c r="I342" s="676"/>
      <c r="J342" s="675"/>
      <c r="K342" s="675"/>
      <c r="L342" s="675"/>
      <c r="M342" s="676"/>
      <c r="N342" s="676"/>
      <c r="O342" s="675"/>
      <c r="P342" s="675"/>
      <c r="Q342" s="676"/>
      <c r="R342" s="676"/>
      <c r="S342" s="676"/>
      <c r="T342" s="676"/>
      <c r="U342" s="676"/>
      <c r="V342"/>
      <c r="W342"/>
      <c r="X342"/>
      <c r="Y342"/>
    </row>
    <row r="343" spans="1:25" ht="15.75">
      <c r="A343" s="684"/>
      <c r="B343" s="688" t="s">
        <v>1076</v>
      </c>
      <c r="C343" s="380"/>
      <c r="D343" s="381"/>
      <c r="E343" s="381"/>
      <c r="F343" s="381"/>
      <c r="G343" s="381"/>
      <c r="H343" s="382"/>
      <c r="I343" s="382"/>
      <c r="J343" s="381"/>
      <c r="K343" s="381"/>
      <c r="L343" s="381"/>
      <c r="M343" s="382"/>
      <c r="N343" s="382"/>
      <c r="O343" s="381"/>
      <c r="P343" s="381"/>
      <c r="Q343" s="382"/>
      <c r="R343" s="382"/>
      <c r="S343" s="382"/>
      <c r="T343" s="382"/>
      <c r="U343" s="382"/>
      <c r="V343"/>
      <c r="W343"/>
      <c r="X343"/>
      <c r="Y343"/>
    </row>
    <row r="344" spans="1:25" s="386" customFormat="1" ht="15.75">
      <c r="A344" s="684"/>
      <c r="B344" s="689" t="s">
        <v>1077</v>
      </c>
      <c r="C344" s="383">
        <v>0</v>
      </c>
      <c r="D344" s="384">
        <v>0</v>
      </c>
      <c r="E344" s="384">
        <v>0</v>
      </c>
      <c r="F344" s="384">
        <v>0</v>
      </c>
      <c r="G344" s="384">
        <v>0</v>
      </c>
      <c r="H344" s="385">
        <v>0</v>
      </c>
      <c r="I344" s="385">
        <v>0</v>
      </c>
      <c r="J344" s="384">
        <v>0</v>
      </c>
      <c r="K344" s="384">
        <v>0</v>
      </c>
      <c r="L344" s="384">
        <v>0</v>
      </c>
      <c r="M344" s="385">
        <v>0</v>
      </c>
      <c r="N344" s="385">
        <v>0</v>
      </c>
      <c r="O344" s="384">
        <v>0</v>
      </c>
      <c r="P344" s="384">
        <v>0</v>
      </c>
      <c r="Q344" s="385">
        <v>0</v>
      </c>
      <c r="R344" s="385">
        <v>0</v>
      </c>
      <c r="S344" s="385">
        <v>0</v>
      </c>
      <c r="T344" s="385">
        <v>0</v>
      </c>
      <c r="U344" s="385">
        <v>0</v>
      </c>
      <c r="V344"/>
      <c r="W344"/>
      <c r="X344"/>
      <c r="Y344"/>
    </row>
    <row r="345" spans="1:25" ht="15.75">
      <c r="A345" s="684"/>
      <c r="B345" s="687" t="s">
        <v>1078</v>
      </c>
      <c r="C345" s="674"/>
      <c r="D345" s="675"/>
      <c r="E345" s="675"/>
      <c r="F345" s="675"/>
      <c r="G345" s="675"/>
      <c r="H345" s="676"/>
      <c r="I345" s="676"/>
      <c r="J345" s="675"/>
      <c r="K345" s="675"/>
      <c r="L345" s="675"/>
      <c r="M345" s="676"/>
      <c r="N345" s="676"/>
      <c r="O345" s="675"/>
      <c r="P345" s="675"/>
      <c r="Q345" s="676"/>
      <c r="R345" s="676"/>
      <c r="S345" s="676"/>
      <c r="T345" s="676"/>
      <c r="U345" s="676"/>
      <c r="V345"/>
      <c r="W345"/>
      <c r="X345"/>
      <c r="Y345"/>
    </row>
    <row r="346" spans="1:25" ht="15.75">
      <c r="A346" s="684"/>
      <c r="B346" s="688" t="s">
        <v>1079</v>
      </c>
      <c r="C346" s="380"/>
      <c r="D346" s="381"/>
      <c r="E346" s="381"/>
      <c r="F346" s="381"/>
      <c r="G346" s="381"/>
      <c r="H346" s="382"/>
      <c r="I346" s="382"/>
      <c r="J346" s="381"/>
      <c r="K346" s="381"/>
      <c r="L346" s="381"/>
      <c r="M346" s="382"/>
      <c r="N346" s="382"/>
      <c r="O346" s="381"/>
      <c r="P346" s="381"/>
      <c r="Q346" s="382"/>
      <c r="R346" s="382"/>
      <c r="S346" s="382"/>
      <c r="T346" s="382"/>
      <c r="U346" s="382"/>
      <c r="V346"/>
      <c r="W346"/>
      <c r="X346"/>
      <c r="Y346"/>
    </row>
    <row r="347" spans="1:25" s="386" customFormat="1" ht="15.75">
      <c r="A347" s="684"/>
      <c r="B347" s="689" t="s">
        <v>1080</v>
      </c>
      <c r="C347" s="383">
        <v>0</v>
      </c>
      <c r="D347" s="384">
        <v>0</v>
      </c>
      <c r="E347" s="384">
        <v>0</v>
      </c>
      <c r="F347" s="384">
        <v>0</v>
      </c>
      <c r="G347" s="384">
        <v>0</v>
      </c>
      <c r="H347" s="385">
        <v>0</v>
      </c>
      <c r="I347" s="385">
        <v>0</v>
      </c>
      <c r="J347" s="384">
        <v>0</v>
      </c>
      <c r="K347" s="384">
        <v>0</v>
      </c>
      <c r="L347" s="384">
        <v>0</v>
      </c>
      <c r="M347" s="385">
        <v>0</v>
      </c>
      <c r="N347" s="385">
        <v>0</v>
      </c>
      <c r="O347" s="384">
        <v>0</v>
      </c>
      <c r="P347" s="384">
        <v>0</v>
      </c>
      <c r="Q347" s="385">
        <v>0</v>
      </c>
      <c r="R347" s="385">
        <v>0</v>
      </c>
      <c r="S347" s="385">
        <v>0</v>
      </c>
      <c r="T347" s="385">
        <v>0</v>
      </c>
      <c r="U347" s="385">
        <v>0</v>
      </c>
      <c r="V347"/>
      <c r="W347"/>
      <c r="X347"/>
      <c r="Y347"/>
    </row>
    <row r="348" spans="1:25" ht="15.75">
      <c r="A348" s="684"/>
      <c r="B348" s="687" t="s">
        <v>1081</v>
      </c>
      <c r="C348" s="674">
        <v>83</v>
      </c>
      <c r="D348" s="675"/>
      <c r="E348" s="675"/>
      <c r="F348" s="675"/>
      <c r="G348" s="675"/>
      <c r="H348" s="676"/>
      <c r="I348" s="676">
        <v>83</v>
      </c>
      <c r="J348" s="675"/>
      <c r="K348" s="675"/>
      <c r="L348" s="675"/>
      <c r="M348" s="676"/>
      <c r="N348" s="676"/>
      <c r="O348" s="675"/>
      <c r="P348" s="675"/>
      <c r="Q348" s="676"/>
      <c r="R348" s="676"/>
      <c r="S348" s="676"/>
      <c r="T348" s="676"/>
      <c r="U348" s="676">
        <v>83</v>
      </c>
      <c r="V348"/>
      <c r="W348"/>
      <c r="X348"/>
      <c r="Y348"/>
    </row>
    <row r="349" spans="1:25" ht="15.75">
      <c r="A349" s="684"/>
      <c r="B349" s="688" t="s">
        <v>1082</v>
      </c>
      <c r="C349" s="380">
        <v>81</v>
      </c>
      <c r="D349" s="381"/>
      <c r="E349" s="381"/>
      <c r="F349" s="381"/>
      <c r="G349" s="381"/>
      <c r="H349" s="382"/>
      <c r="I349" s="382">
        <v>81</v>
      </c>
      <c r="J349" s="381"/>
      <c r="K349" s="381"/>
      <c r="L349" s="381"/>
      <c r="M349" s="382"/>
      <c r="N349" s="382"/>
      <c r="O349" s="381"/>
      <c r="P349" s="381"/>
      <c r="Q349" s="382"/>
      <c r="R349" s="382"/>
      <c r="S349" s="382"/>
      <c r="T349" s="382"/>
      <c r="U349" s="382">
        <v>81</v>
      </c>
      <c r="V349"/>
      <c r="W349"/>
      <c r="X349"/>
      <c r="Y349"/>
    </row>
    <row r="350" spans="1:25" s="386" customFormat="1" ht="15.75">
      <c r="A350" s="684"/>
      <c r="B350" s="689" t="s">
        <v>1083</v>
      </c>
      <c r="C350" s="383">
        <v>-2.4096385542168676E-2</v>
      </c>
      <c r="D350" s="384">
        <v>0</v>
      </c>
      <c r="E350" s="384">
        <v>0</v>
      </c>
      <c r="F350" s="384">
        <v>0</v>
      </c>
      <c r="G350" s="384">
        <v>0</v>
      </c>
      <c r="H350" s="385">
        <v>0</v>
      </c>
      <c r="I350" s="385">
        <v>-2.4096385542168676E-2</v>
      </c>
      <c r="J350" s="384">
        <v>0</v>
      </c>
      <c r="K350" s="384">
        <v>0</v>
      </c>
      <c r="L350" s="384">
        <v>0</v>
      </c>
      <c r="M350" s="385">
        <v>0</v>
      </c>
      <c r="N350" s="385">
        <v>0</v>
      </c>
      <c r="O350" s="384">
        <v>0</v>
      </c>
      <c r="P350" s="384">
        <v>0</v>
      </c>
      <c r="Q350" s="385">
        <v>0</v>
      </c>
      <c r="R350" s="385">
        <v>0</v>
      </c>
      <c r="S350" s="385">
        <v>0</v>
      </c>
      <c r="T350" s="385">
        <v>0</v>
      </c>
      <c r="U350" s="385">
        <v>-2.4096385542168676E-2</v>
      </c>
      <c r="V350"/>
      <c r="W350"/>
      <c r="X350"/>
      <c r="Y350"/>
    </row>
    <row r="351" spans="1:25" ht="15.75">
      <c r="A351" s="684"/>
      <c r="B351" s="687" t="s">
        <v>1084</v>
      </c>
      <c r="C351" s="674"/>
      <c r="D351" s="675"/>
      <c r="E351" s="675"/>
      <c r="F351" s="675"/>
      <c r="G351" s="675"/>
      <c r="H351" s="676"/>
      <c r="I351" s="676"/>
      <c r="J351" s="675"/>
      <c r="K351" s="675"/>
      <c r="L351" s="675"/>
      <c r="M351" s="676"/>
      <c r="N351" s="676"/>
      <c r="O351" s="675"/>
      <c r="P351" s="675"/>
      <c r="Q351" s="676"/>
      <c r="R351" s="676"/>
      <c r="S351" s="676"/>
      <c r="T351" s="676"/>
      <c r="U351" s="676"/>
      <c r="V351"/>
      <c r="W351"/>
      <c r="X351"/>
      <c r="Y351"/>
    </row>
    <row r="352" spans="1:25" ht="15.75">
      <c r="A352" s="684"/>
      <c r="B352" s="688" t="s">
        <v>1085</v>
      </c>
      <c r="C352" s="380"/>
      <c r="D352" s="381"/>
      <c r="E352" s="381"/>
      <c r="F352" s="381"/>
      <c r="G352" s="381"/>
      <c r="H352" s="382"/>
      <c r="I352" s="382"/>
      <c r="J352" s="381"/>
      <c r="K352" s="381"/>
      <c r="L352" s="381"/>
      <c r="M352" s="382"/>
      <c r="N352" s="382"/>
      <c r="O352" s="381"/>
      <c r="P352" s="381"/>
      <c r="Q352" s="382"/>
      <c r="R352" s="382"/>
      <c r="S352" s="382"/>
      <c r="T352" s="382"/>
      <c r="U352" s="382"/>
      <c r="V352"/>
      <c r="W352"/>
      <c r="X352"/>
      <c r="Y352"/>
    </row>
    <row r="353" spans="1:25" s="386" customFormat="1" ht="15.75">
      <c r="A353" s="684"/>
      <c r="B353" s="689" t="s">
        <v>1086</v>
      </c>
      <c r="C353" s="383">
        <v>0</v>
      </c>
      <c r="D353" s="384">
        <v>0</v>
      </c>
      <c r="E353" s="384">
        <v>0</v>
      </c>
      <c r="F353" s="384">
        <v>0</v>
      </c>
      <c r="G353" s="384">
        <v>0</v>
      </c>
      <c r="H353" s="385">
        <v>0</v>
      </c>
      <c r="I353" s="385">
        <v>0</v>
      </c>
      <c r="J353" s="384">
        <v>0</v>
      </c>
      <c r="K353" s="384">
        <v>0</v>
      </c>
      <c r="L353" s="384">
        <v>0</v>
      </c>
      <c r="M353" s="385">
        <v>0</v>
      </c>
      <c r="N353" s="385">
        <v>0</v>
      </c>
      <c r="O353" s="384">
        <v>0</v>
      </c>
      <c r="P353" s="384">
        <v>0</v>
      </c>
      <c r="Q353" s="385">
        <v>0</v>
      </c>
      <c r="R353" s="385">
        <v>0</v>
      </c>
      <c r="S353" s="385">
        <v>0</v>
      </c>
      <c r="T353" s="385">
        <v>0</v>
      </c>
      <c r="U353" s="385">
        <v>0</v>
      </c>
      <c r="V353"/>
      <c r="W353"/>
      <c r="X353"/>
      <c r="Y353"/>
    </row>
    <row r="354" spans="1:25" ht="15.75">
      <c r="A354" s="684"/>
      <c r="B354" s="687" t="s">
        <v>1248</v>
      </c>
      <c r="C354" s="674"/>
      <c r="D354" s="675"/>
      <c r="E354" s="675"/>
      <c r="F354" s="675"/>
      <c r="G354" s="675"/>
      <c r="H354" s="676"/>
      <c r="I354" s="676"/>
      <c r="J354" s="675"/>
      <c r="K354" s="675"/>
      <c r="L354" s="675"/>
      <c r="M354" s="676"/>
      <c r="N354" s="676"/>
      <c r="O354" s="675"/>
      <c r="P354" s="675"/>
      <c r="Q354" s="676"/>
      <c r="R354" s="676"/>
      <c r="S354" s="676"/>
      <c r="T354" s="676"/>
      <c r="U354" s="676"/>
      <c r="V354"/>
      <c r="W354"/>
      <c r="X354"/>
      <c r="Y354"/>
    </row>
    <row r="355" spans="1:25" ht="15.75">
      <c r="A355" s="685"/>
      <c r="B355" s="690" t="s">
        <v>1250</v>
      </c>
      <c r="C355" s="576"/>
      <c r="D355" s="577"/>
      <c r="E355" s="577"/>
      <c r="F355" s="577"/>
      <c r="G355" s="577"/>
      <c r="H355" s="578"/>
      <c r="I355" s="578"/>
      <c r="J355" s="577"/>
      <c r="K355" s="577"/>
      <c r="L355" s="577"/>
      <c r="M355" s="578"/>
      <c r="N355" s="578"/>
      <c r="O355" s="577"/>
      <c r="P355" s="577"/>
      <c r="Q355" s="578"/>
      <c r="R355" s="578"/>
      <c r="S355" s="578"/>
      <c r="T355" s="578"/>
      <c r="U355" s="578"/>
      <c r="V355"/>
      <c r="W355"/>
      <c r="X355"/>
      <c r="Y355"/>
    </row>
    <row r="356" spans="1:25" s="386" customFormat="1" ht="15.75">
      <c r="A356" s="683" t="s">
        <v>954</v>
      </c>
      <c r="B356" s="687" t="s">
        <v>1039</v>
      </c>
      <c r="C356" s="674">
        <v>14</v>
      </c>
      <c r="D356" s="675"/>
      <c r="E356" s="675"/>
      <c r="F356" s="675"/>
      <c r="G356" s="675"/>
      <c r="H356" s="676"/>
      <c r="I356" s="676">
        <v>14</v>
      </c>
      <c r="J356" s="675"/>
      <c r="K356" s="675">
        <v>1230</v>
      </c>
      <c r="L356" s="675">
        <v>910</v>
      </c>
      <c r="M356" s="676">
        <v>318</v>
      </c>
      <c r="N356" s="676">
        <v>2458</v>
      </c>
      <c r="O356" s="675"/>
      <c r="P356" s="675"/>
      <c r="Q356" s="676"/>
      <c r="R356" s="676"/>
      <c r="S356" s="676"/>
      <c r="T356" s="676"/>
      <c r="U356" s="676">
        <v>2472</v>
      </c>
      <c r="V356"/>
      <c r="W356"/>
      <c r="X356"/>
      <c r="Y356"/>
    </row>
    <row r="357" spans="1:25" ht="15.75">
      <c r="A357" s="684"/>
      <c r="B357" s="688" t="s">
        <v>1040</v>
      </c>
      <c r="C357" s="380">
        <v>10</v>
      </c>
      <c r="D357" s="381"/>
      <c r="E357" s="381"/>
      <c r="F357" s="381"/>
      <c r="G357" s="381"/>
      <c r="H357" s="382"/>
      <c r="I357" s="382">
        <v>10</v>
      </c>
      <c r="J357" s="381"/>
      <c r="K357" s="381">
        <v>1182</v>
      </c>
      <c r="L357" s="381">
        <v>1082</v>
      </c>
      <c r="M357" s="382">
        <v>286</v>
      </c>
      <c r="N357" s="382">
        <v>2550</v>
      </c>
      <c r="O357" s="381"/>
      <c r="P357" s="381"/>
      <c r="Q357" s="382"/>
      <c r="R357" s="382"/>
      <c r="S357" s="382"/>
      <c r="T357" s="382"/>
      <c r="U357" s="382">
        <v>2560</v>
      </c>
      <c r="V357"/>
      <c r="W357"/>
      <c r="X357"/>
      <c r="Y357"/>
    </row>
    <row r="358" spans="1:25" ht="15.75">
      <c r="A358" s="684"/>
      <c r="B358" s="689" t="s">
        <v>1041</v>
      </c>
      <c r="C358" s="383">
        <v>-0.2857142857142857</v>
      </c>
      <c r="D358" s="384">
        <v>0</v>
      </c>
      <c r="E358" s="384">
        <v>0</v>
      </c>
      <c r="F358" s="384">
        <v>0</v>
      </c>
      <c r="G358" s="384">
        <v>0</v>
      </c>
      <c r="H358" s="385">
        <v>0</v>
      </c>
      <c r="I358" s="385">
        <v>-0.2857142857142857</v>
      </c>
      <c r="J358" s="384">
        <v>0</v>
      </c>
      <c r="K358" s="384">
        <v>-3.9024390243902439E-2</v>
      </c>
      <c r="L358" s="384">
        <v>0.18901098901098901</v>
      </c>
      <c r="M358" s="385">
        <v>-0.10062893081761007</v>
      </c>
      <c r="N358" s="385">
        <v>3.7428803905614323E-2</v>
      </c>
      <c r="O358" s="384">
        <v>0</v>
      </c>
      <c r="P358" s="384">
        <v>0</v>
      </c>
      <c r="Q358" s="385">
        <v>0</v>
      </c>
      <c r="R358" s="385">
        <v>0</v>
      </c>
      <c r="S358" s="385">
        <v>0</v>
      </c>
      <c r="T358" s="385">
        <v>0</v>
      </c>
      <c r="U358" s="385">
        <v>3.5598705501618123E-2</v>
      </c>
      <c r="V358"/>
      <c r="W358"/>
      <c r="X358"/>
      <c r="Y358"/>
    </row>
    <row r="359" spans="1:25" s="386" customFormat="1" ht="15.75">
      <c r="A359" s="684"/>
      <c r="B359" s="687" t="s">
        <v>1042</v>
      </c>
      <c r="C359" s="674">
        <v>55</v>
      </c>
      <c r="D359" s="675">
        <v>121</v>
      </c>
      <c r="E359" s="675"/>
      <c r="F359" s="675">
        <v>39</v>
      </c>
      <c r="G359" s="675"/>
      <c r="H359" s="676"/>
      <c r="I359" s="676">
        <v>215</v>
      </c>
      <c r="J359" s="675"/>
      <c r="K359" s="675"/>
      <c r="L359" s="675"/>
      <c r="M359" s="676"/>
      <c r="N359" s="676"/>
      <c r="O359" s="675"/>
      <c r="P359" s="675"/>
      <c r="Q359" s="676"/>
      <c r="R359" s="676"/>
      <c r="S359" s="676">
        <v>415</v>
      </c>
      <c r="T359" s="676">
        <v>415</v>
      </c>
      <c r="U359" s="676">
        <v>630</v>
      </c>
      <c r="V359"/>
      <c r="W359"/>
      <c r="X359"/>
      <c r="Y359"/>
    </row>
    <row r="360" spans="1:25" ht="15.75">
      <c r="A360" s="684"/>
      <c r="B360" s="688" t="s">
        <v>1043</v>
      </c>
      <c r="C360" s="380">
        <v>49</v>
      </c>
      <c r="D360" s="381">
        <v>110</v>
      </c>
      <c r="E360" s="381"/>
      <c r="F360" s="381">
        <v>30</v>
      </c>
      <c r="G360" s="381"/>
      <c r="H360" s="382"/>
      <c r="I360" s="382">
        <v>189</v>
      </c>
      <c r="J360" s="381"/>
      <c r="K360" s="381"/>
      <c r="L360" s="381"/>
      <c r="M360" s="382"/>
      <c r="N360" s="382"/>
      <c r="O360" s="381"/>
      <c r="P360" s="381"/>
      <c r="Q360" s="382"/>
      <c r="R360" s="382"/>
      <c r="S360" s="382">
        <v>449</v>
      </c>
      <c r="T360" s="382">
        <v>449</v>
      </c>
      <c r="U360" s="382">
        <v>638</v>
      </c>
      <c r="V360"/>
      <c r="W360"/>
      <c r="X360"/>
      <c r="Y360"/>
    </row>
    <row r="361" spans="1:25" ht="15.75">
      <c r="A361" s="684"/>
      <c r="B361" s="689" t="s">
        <v>1044</v>
      </c>
      <c r="C361" s="383">
        <v>-0.10909090909090909</v>
      </c>
      <c r="D361" s="384">
        <v>-9.0909090909090912E-2</v>
      </c>
      <c r="E361" s="384">
        <v>0</v>
      </c>
      <c r="F361" s="384">
        <v>-0.23076923076923078</v>
      </c>
      <c r="G361" s="384">
        <v>0</v>
      </c>
      <c r="H361" s="385">
        <v>0</v>
      </c>
      <c r="I361" s="385">
        <v>-0.12093023255813953</v>
      </c>
      <c r="J361" s="384">
        <v>0</v>
      </c>
      <c r="K361" s="384">
        <v>0</v>
      </c>
      <c r="L361" s="384">
        <v>0</v>
      </c>
      <c r="M361" s="385">
        <v>0</v>
      </c>
      <c r="N361" s="385">
        <v>0</v>
      </c>
      <c r="O361" s="384">
        <v>0</v>
      </c>
      <c r="P361" s="384">
        <v>0</v>
      </c>
      <c r="Q361" s="385">
        <v>0</v>
      </c>
      <c r="R361" s="385">
        <v>0</v>
      </c>
      <c r="S361" s="385">
        <v>8.1927710843373497E-2</v>
      </c>
      <c r="T361" s="385">
        <v>8.1927710843373497E-2</v>
      </c>
      <c r="U361" s="385">
        <v>1.2698412698412698E-2</v>
      </c>
      <c r="V361"/>
      <c r="W361"/>
      <c r="X361"/>
      <c r="Y361"/>
    </row>
    <row r="362" spans="1:25" s="386" customFormat="1" ht="15.75">
      <c r="A362" s="684"/>
      <c r="B362" s="687" t="s">
        <v>1045</v>
      </c>
      <c r="C362" s="674"/>
      <c r="D362" s="675"/>
      <c r="E362" s="675"/>
      <c r="F362" s="675"/>
      <c r="G362" s="675"/>
      <c r="H362" s="676"/>
      <c r="I362" s="676"/>
      <c r="J362" s="675"/>
      <c r="K362" s="675">
        <v>5344</v>
      </c>
      <c r="L362" s="675">
        <v>3828</v>
      </c>
      <c r="M362" s="676">
        <v>1082</v>
      </c>
      <c r="N362" s="676">
        <v>10254</v>
      </c>
      <c r="O362" s="675"/>
      <c r="P362" s="675"/>
      <c r="Q362" s="676"/>
      <c r="R362" s="676"/>
      <c r="S362" s="676">
        <v>191</v>
      </c>
      <c r="T362" s="676">
        <v>191</v>
      </c>
      <c r="U362" s="676">
        <v>10445</v>
      </c>
      <c r="V362"/>
      <c r="W362"/>
      <c r="X362"/>
      <c r="Y362"/>
    </row>
    <row r="363" spans="1:25" ht="15.75">
      <c r="A363" s="684"/>
      <c r="B363" s="688" t="s">
        <v>1046</v>
      </c>
      <c r="C363" s="380"/>
      <c r="D363" s="381"/>
      <c r="E363" s="381"/>
      <c r="F363" s="381"/>
      <c r="G363" s="381"/>
      <c r="H363" s="382"/>
      <c r="I363" s="382"/>
      <c r="J363" s="381"/>
      <c r="K363" s="381">
        <v>5226</v>
      </c>
      <c r="L363" s="381">
        <v>3961</v>
      </c>
      <c r="M363" s="382">
        <v>1184</v>
      </c>
      <c r="N363" s="382">
        <v>10371</v>
      </c>
      <c r="O363" s="381"/>
      <c r="P363" s="381"/>
      <c r="Q363" s="382"/>
      <c r="R363" s="382"/>
      <c r="S363" s="382">
        <v>248</v>
      </c>
      <c r="T363" s="382">
        <v>248</v>
      </c>
      <c r="U363" s="382">
        <v>10619</v>
      </c>
      <c r="V363"/>
      <c r="W363"/>
      <c r="X363"/>
      <c r="Y363"/>
    </row>
    <row r="364" spans="1:25" ht="15.75">
      <c r="A364" s="684"/>
      <c r="B364" s="689" t="s">
        <v>1047</v>
      </c>
      <c r="C364" s="383">
        <v>0</v>
      </c>
      <c r="D364" s="384">
        <v>0</v>
      </c>
      <c r="E364" s="384">
        <v>0</v>
      </c>
      <c r="F364" s="384">
        <v>0</v>
      </c>
      <c r="G364" s="384">
        <v>0</v>
      </c>
      <c r="H364" s="385">
        <v>0</v>
      </c>
      <c r="I364" s="385">
        <v>0</v>
      </c>
      <c r="J364" s="384">
        <v>0</v>
      </c>
      <c r="K364" s="384">
        <v>-2.2080838323353294E-2</v>
      </c>
      <c r="L364" s="384">
        <v>3.4743991640543363E-2</v>
      </c>
      <c r="M364" s="385">
        <v>9.4269870609981515E-2</v>
      </c>
      <c r="N364" s="385">
        <v>1.1410181392627268E-2</v>
      </c>
      <c r="O364" s="384">
        <v>0</v>
      </c>
      <c r="P364" s="384">
        <v>0</v>
      </c>
      <c r="Q364" s="385">
        <v>0</v>
      </c>
      <c r="R364" s="385">
        <v>0</v>
      </c>
      <c r="S364" s="385">
        <v>0.29842931937172773</v>
      </c>
      <c r="T364" s="692">
        <v>0.29842931937172773</v>
      </c>
      <c r="U364" s="385">
        <v>1.665868836764002E-2</v>
      </c>
      <c r="V364"/>
      <c r="W364"/>
      <c r="X364"/>
      <c r="Y364"/>
    </row>
    <row r="365" spans="1:25" s="386" customFormat="1" ht="15.75">
      <c r="A365" s="684"/>
      <c r="B365" s="687" t="s">
        <v>1048</v>
      </c>
      <c r="C365" s="674">
        <v>6311</v>
      </c>
      <c r="D365" s="675">
        <v>1844</v>
      </c>
      <c r="E365" s="675">
        <v>4017</v>
      </c>
      <c r="F365" s="675">
        <v>4217</v>
      </c>
      <c r="G365" s="675"/>
      <c r="H365" s="676">
        <v>426</v>
      </c>
      <c r="I365" s="676">
        <v>16815</v>
      </c>
      <c r="J365" s="675"/>
      <c r="K365" s="675"/>
      <c r="L365" s="675"/>
      <c r="M365" s="676"/>
      <c r="N365" s="676"/>
      <c r="O365" s="675"/>
      <c r="P365" s="675"/>
      <c r="Q365" s="676"/>
      <c r="R365" s="676"/>
      <c r="S365" s="676">
        <v>3143</v>
      </c>
      <c r="T365" s="676">
        <v>3143</v>
      </c>
      <c r="U365" s="676">
        <v>19958</v>
      </c>
      <c r="V365"/>
      <c r="W365"/>
      <c r="X365"/>
      <c r="Y365"/>
    </row>
    <row r="366" spans="1:25" ht="15.75">
      <c r="A366" s="684"/>
      <c r="B366" s="688" t="s">
        <v>1049</v>
      </c>
      <c r="C366" s="380">
        <v>6704</v>
      </c>
      <c r="D366" s="381">
        <v>1798</v>
      </c>
      <c r="E366" s="381">
        <v>4223</v>
      </c>
      <c r="F366" s="381">
        <v>4264</v>
      </c>
      <c r="G366" s="381"/>
      <c r="H366" s="382">
        <v>488</v>
      </c>
      <c r="I366" s="382">
        <v>17477</v>
      </c>
      <c r="J366" s="381"/>
      <c r="K366" s="381"/>
      <c r="L366" s="381"/>
      <c r="M366" s="382"/>
      <c r="N366" s="382"/>
      <c r="O366" s="381"/>
      <c r="P366" s="381"/>
      <c r="Q366" s="382"/>
      <c r="R366" s="382"/>
      <c r="S366" s="382">
        <v>3047</v>
      </c>
      <c r="T366" s="382">
        <v>3047</v>
      </c>
      <c r="U366" s="382">
        <v>20524</v>
      </c>
      <c r="V366"/>
      <c r="W366"/>
      <c r="X366"/>
      <c r="Y366"/>
    </row>
    <row r="367" spans="1:25" ht="15.75">
      <c r="A367" s="684"/>
      <c r="B367" s="689" t="s">
        <v>1050</v>
      </c>
      <c r="C367" s="383">
        <v>6.2272223102519411E-2</v>
      </c>
      <c r="D367" s="384">
        <v>-2.4945770065075923E-2</v>
      </c>
      <c r="E367" s="384">
        <v>5.128205128205128E-2</v>
      </c>
      <c r="F367" s="384">
        <v>1.1145364002845624E-2</v>
      </c>
      <c r="G367" s="384">
        <v>0</v>
      </c>
      <c r="H367" s="385">
        <v>0.14553990610328638</v>
      </c>
      <c r="I367" s="385">
        <v>3.9369610466845076E-2</v>
      </c>
      <c r="J367" s="384">
        <v>0</v>
      </c>
      <c r="K367" s="384">
        <v>0</v>
      </c>
      <c r="L367" s="384">
        <v>0</v>
      </c>
      <c r="M367" s="385">
        <v>0</v>
      </c>
      <c r="N367" s="385">
        <v>0</v>
      </c>
      <c r="O367" s="384">
        <v>0</v>
      </c>
      <c r="P367" s="384">
        <v>0</v>
      </c>
      <c r="Q367" s="385">
        <v>0</v>
      </c>
      <c r="R367" s="385">
        <v>0</v>
      </c>
      <c r="S367" s="385">
        <v>-3.0544066178810055E-2</v>
      </c>
      <c r="T367" s="385">
        <v>-3.0544066178810055E-2</v>
      </c>
      <c r="U367" s="385">
        <v>2.835955506563784E-2</v>
      </c>
      <c r="V367"/>
      <c r="W367"/>
      <c r="X367"/>
      <c r="Y367"/>
    </row>
    <row r="368" spans="1:25" s="386" customFormat="1" ht="15.75">
      <c r="A368" s="684"/>
      <c r="B368" s="687" t="s">
        <v>1051</v>
      </c>
      <c r="C368" s="674">
        <v>127</v>
      </c>
      <c r="D368" s="675">
        <v>92</v>
      </c>
      <c r="E368" s="675">
        <v>93</v>
      </c>
      <c r="F368" s="675">
        <v>17</v>
      </c>
      <c r="G368" s="675"/>
      <c r="H368" s="676"/>
      <c r="I368" s="676">
        <v>329</v>
      </c>
      <c r="J368" s="675"/>
      <c r="K368" s="675"/>
      <c r="L368" s="675"/>
      <c r="M368" s="676"/>
      <c r="N368" s="676"/>
      <c r="O368" s="675"/>
      <c r="P368" s="675"/>
      <c r="Q368" s="676"/>
      <c r="R368" s="676"/>
      <c r="S368" s="676">
        <v>386</v>
      </c>
      <c r="T368" s="676">
        <v>386</v>
      </c>
      <c r="U368" s="676">
        <v>715</v>
      </c>
      <c r="V368"/>
      <c r="W368"/>
      <c r="X368"/>
      <c r="Y368"/>
    </row>
    <row r="369" spans="1:25" ht="15.75">
      <c r="A369" s="684"/>
      <c r="B369" s="688" t="s">
        <v>1052</v>
      </c>
      <c r="C369" s="380"/>
      <c r="D369" s="381"/>
      <c r="E369" s="381"/>
      <c r="F369" s="381"/>
      <c r="G369" s="381"/>
      <c r="H369" s="382"/>
      <c r="I369" s="382"/>
      <c r="J369" s="381"/>
      <c r="K369" s="381"/>
      <c r="L369" s="381"/>
      <c r="M369" s="382"/>
      <c r="N369" s="382"/>
      <c r="O369" s="381"/>
      <c r="P369" s="381"/>
      <c r="Q369" s="382"/>
      <c r="R369" s="382"/>
      <c r="S369" s="382"/>
      <c r="T369" s="382"/>
      <c r="U369" s="382"/>
      <c r="V369"/>
      <c r="W369"/>
      <c r="X369"/>
      <c r="Y369"/>
    </row>
    <row r="370" spans="1:25" ht="15.75">
      <c r="A370" s="684"/>
      <c r="B370" s="689" t="s">
        <v>1053</v>
      </c>
      <c r="C370" s="692">
        <v>-1</v>
      </c>
      <c r="D370" s="692">
        <v>-1</v>
      </c>
      <c r="E370" s="692">
        <v>-1</v>
      </c>
      <c r="F370" s="692">
        <v>-1</v>
      </c>
      <c r="G370" s="384">
        <v>0</v>
      </c>
      <c r="H370" s="385">
        <v>0</v>
      </c>
      <c r="I370" s="385">
        <v>-1</v>
      </c>
      <c r="J370" s="384">
        <v>0</v>
      </c>
      <c r="K370" s="384">
        <v>0</v>
      </c>
      <c r="L370" s="384">
        <v>0</v>
      </c>
      <c r="M370" s="385">
        <v>0</v>
      </c>
      <c r="N370" s="385">
        <v>0</v>
      </c>
      <c r="O370" s="384">
        <v>0</v>
      </c>
      <c r="P370" s="384">
        <v>0</v>
      </c>
      <c r="Q370" s="385">
        <v>0</v>
      </c>
      <c r="R370" s="385">
        <v>0</v>
      </c>
      <c r="S370" s="385">
        <v>-1</v>
      </c>
      <c r="T370" s="692">
        <v>-1</v>
      </c>
      <c r="U370" s="385">
        <v>-1</v>
      </c>
      <c r="V370"/>
      <c r="W370"/>
      <c r="X370"/>
      <c r="Y370"/>
    </row>
    <row r="371" spans="1:25" s="386" customFormat="1" ht="15.75">
      <c r="A371" s="684"/>
      <c r="B371" s="687" t="s">
        <v>1054</v>
      </c>
      <c r="C371" s="674">
        <v>2089</v>
      </c>
      <c r="D371" s="675">
        <v>449</v>
      </c>
      <c r="E371" s="675">
        <v>1071</v>
      </c>
      <c r="F371" s="675">
        <v>1393</v>
      </c>
      <c r="G371" s="675"/>
      <c r="H371" s="676">
        <v>23</v>
      </c>
      <c r="I371" s="676">
        <v>5025</v>
      </c>
      <c r="J371" s="675"/>
      <c r="K371" s="675">
        <v>0</v>
      </c>
      <c r="L371" s="675">
        <v>0</v>
      </c>
      <c r="M371" s="676">
        <v>0</v>
      </c>
      <c r="N371" s="676">
        <v>0</v>
      </c>
      <c r="O371" s="675"/>
      <c r="P371" s="675"/>
      <c r="Q371" s="676"/>
      <c r="R371" s="676"/>
      <c r="S371" s="676">
        <v>2818</v>
      </c>
      <c r="T371" s="676">
        <v>2818</v>
      </c>
      <c r="U371" s="676">
        <v>7843</v>
      </c>
      <c r="V371"/>
      <c r="W371"/>
      <c r="X371"/>
      <c r="Y371"/>
    </row>
    <row r="372" spans="1:25" ht="15.75">
      <c r="A372" s="684"/>
      <c r="B372" s="688" t="s">
        <v>1055</v>
      </c>
      <c r="C372" s="380">
        <v>2163</v>
      </c>
      <c r="D372" s="381">
        <v>476</v>
      </c>
      <c r="E372" s="381">
        <v>1177</v>
      </c>
      <c r="F372" s="381">
        <v>1307</v>
      </c>
      <c r="G372" s="381"/>
      <c r="H372" s="382">
        <v>28</v>
      </c>
      <c r="I372" s="382">
        <v>5151</v>
      </c>
      <c r="J372" s="381"/>
      <c r="K372" s="381">
        <v>0</v>
      </c>
      <c r="L372" s="381">
        <v>0</v>
      </c>
      <c r="M372" s="382">
        <v>0</v>
      </c>
      <c r="N372" s="382">
        <v>0</v>
      </c>
      <c r="O372" s="381"/>
      <c r="P372" s="381"/>
      <c r="Q372" s="382"/>
      <c r="R372" s="382"/>
      <c r="S372" s="382">
        <v>3017</v>
      </c>
      <c r="T372" s="382">
        <v>3017</v>
      </c>
      <c r="U372" s="382">
        <v>8168</v>
      </c>
      <c r="V372"/>
      <c r="W372"/>
      <c r="X372"/>
      <c r="Y372"/>
    </row>
    <row r="373" spans="1:25" ht="15.75">
      <c r="A373" s="684"/>
      <c r="B373" s="689" t="s">
        <v>1056</v>
      </c>
      <c r="C373" s="383">
        <v>3.5423647678314983E-2</v>
      </c>
      <c r="D373" s="384">
        <v>6.0133630289532294E-2</v>
      </c>
      <c r="E373" s="384">
        <v>9.8972922502334262E-2</v>
      </c>
      <c r="F373" s="384">
        <v>-6.1737257717157212E-2</v>
      </c>
      <c r="G373" s="384">
        <v>0</v>
      </c>
      <c r="H373" s="385">
        <v>0.21739130434782608</v>
      </c>
      <c r="I373" s="385">
        <v>2.5074626865671641E-2</v>
      </c>
      <c r="J373" s="384">
        <v>0</v>
      </c>
      <c r="K373" s="384">
        <v>0</v>
      </c>
      <c r="L373" s="384">
        <v>0</v>
      </c>
      <c r="M373" s="385">
        <v>0</v>
      </c>
      <c r="N373" s="385">
        <v>0</v>
      </c>
      <c r="O373" s="384">
        <v>0</v>
      </c>
      <c r="P373" s="384">
        <v>0</v>
      </c>
      <c r="Q373" s="385">
        <v>0</v>
      </c>
      <c r="R373" s="385">
        <v>0</v>
      </c>
      <c r="S373" s="385">
        <v>7.0617459190915541E-2</v>
      </c>
      <c r="T373" s="385">
        <v>7.0617459190915541E-2</v>
      </c>
      <c r="U373" s="385">
        <v>4.1438225168940454E-2</v>
      </c>
      <c r="V373"/>
      <c r="W373"/>
      <c r="X373"/>
      <c r="Y373"/>
    </row>
    <row r="374" spans="1:25" s="386" customFormat="1" ht="15.75">
      <c r="A374" s="684"/>
      <c r="B374" s="687" t="s">
        <v>1057</v>
      </c>
      <c r="C374" s="674">
        <v>655</v>
      </c>
      <c r="D374" s="675">
        <v>93</v>
      </c>
      <c r="E374" s="675">
        <v>56</v>
      </c>
      <c r="F374" s="675">
        <v>24</v>
      </c>
      <c r="G374" s="675"/>
      <c r="H374" s="676">
        <v>0</v>
      </c>
      <c r="I374" s="676">
        <v>828</v>
      </c>
      <c r="J374" s="675"/>
      <c r="K374" s="675">
        <v>0</v>
      </c>
      <c r="L374" s="675">
        <v>0</v>
      </c>
      <c r="M374" s="676">
        <v>0</v>
      </c>
      <c r="N374" s="676">
        <v>0</v>
      </c>
      <c r="O374" s="675"/>
      <c r="P374" s="675"/>
      <c r="Q374" s="676"/>
      <c r="R374" s="676"/>
      <c r="S374" s="676">
        <v>161</v>
      </c>
      <c r="T374" s="676">
        <v>161</v>
      </c>
      <c r="U374" s="676">
        <v>989</v>
      </c>
      <c r="V374"/>
      <c r="W374"/>
      <c r="X374"/>
      <c r="Y374"/>
    </row>
    <row r="375" spans="1:25" ht="15.75">
      <c r="A375" s="684"/>
      <c r="B375" s="688" t="s">
        <v>1058</v>
      </c>
      <c r="C375" s="380">
        <v>577</v>
      </c>
      <c r="D375" s="381">
        <v>86</v>
      </c>
      <c r="E375" s="381">
        <v>41</v>
      </c>
      <c r="F375" s="381">
        <v>31</v>
      </c>
      <c r="G375" s="381"/>
      <c r="H375" s="382">
        <v>0</v>
      </c>
      <c r="I375" s="382">
        <v>735</v>
      </c>
      <c r="J375" s="381"/>
      <c r="K375" s="381">
        <v>0</v>
      </c>
      <c r="L375" s="381">
        <v>0</v>
      </c>
      <c r="M375" s="382">
        <v>0</v>
      </c>
      <c r="N375" s="382">
        <v>0</v>
      </c>
      <c r="O375" s="381"/>
      <c r="P375" s="381"/>
      <c r="Q375" s="382"/>
      <c r="R375" s="382"/>
      <c r="S375" s="382">
        <v>86</v>
      </c>
      <c r="T375" s="382">
        <v>86</v>
      </c>
      <c r="U375" s="382">
        <v>821</v>
      </c>
      <c r="V375"/>
      <c r="W375"/>
      <c r="X375"/>
      <c r="Y375"/>
    </row>
    <row r="376" spans="1:25" ht="15.75">
      <c r="A376" s="684"/>
      <c r="B376" s="689" t="s">
        <v>1059</v>
      </c>
      <c r="C376" s="692">
        <v>-0.11908396946564885</v>
      </c>
      <c r="D376" s="384">
        <v>-7.5268817204301078E-2</v>
      </c>
      <c r="E376" s="384">
        <v>-0.26785714285714285</v>
      </c>
      <c r="F376" s="384">
        <v>0.29166666666666669</v>
      </c>
      <c r="G376" s="384">
        <v>0</v>
      </c>
      <c r="H376" s="385">
        <v>0</v>
      </c>
      <c r="I376" s="385">
        <v>-0.11231884057971014</v>
      </c>
      <c r="J376" s="384">
        <v>0</v>
      </c>
      <c r="K376" s="384">
        <v>0</v>
      </c>
      <c r="L376" s="384">
        <v>0</v>
      </c>
      <c r="M376" s="385">
        <v>0</v>
      </c>
      <c r="N376" s="385">
        <v>0</v>
      </c>
      <c r="O376" s="384">
        <v>0</v>
      </c>
      <c r="P376" s="384">
        <v>0</v>
      </c>
      <c r="Q376" s="385">
        <v>0</v>
      </c>
      <c r="R376" s="385">
        <v>0</v>
      </c>
      <c r="S376" s="385">
        <v>-0.46583850931677018</v>
      </c>
      <c r="T376" s="692">
        <v>-0.46583850931677018</v>
      </c>
      <c r="U376" s="385">
        <v>-0.1698685540950455</v>
      </c>
      <c r="V376"/>
      <c r="W376"/>
      <c r="X376"/>
      <c r="Y376"/>
    </row>
    <row r="377" spans="1:25" s="386" customFormat="1" ht="15.75">
      <c r="A377" s="684"/>
      <c r="B377" s="687" t="s">
        <v>1060</v>
      </c>
      <c r="C377" s="674"/>
      <c r="D377" s="675"/>
      <c r="E377" s="675"/>
      <c r="F377" s="675">
        <v>292</v>
      </c>
      <c r="G377" s="675"/>
      <c r="H377" s="676"/>
      <c r="I377" s="676">
        <v>292</v>
      </c>
      <c r="J377" s="675"/>
      <c r="K377" s="675"/>
      <c r="L377" s="675"/>
      <c r="M377" s="676"/>
      <c r="N377" s="676"/>
      <c r="O377" s="675"/>
      <c r="P377" s="675"/>
      <c r="Q377" s="676"/>
      <c r="R377" s="676"/>
      <c r="S377" s="676">
        <v>268</v>
      </c>
      <c r="T377" s="676">
        <v>268</v>
      </c>
      <c r="U377" s="676">
        <v>560</v>
      </c>
      <c r="V377"/>
      <c r="W377"/>
      <c r="X377"/>
      <c r="Y377"/>
    </row>
    <row r="378" spans="1:25" ht="15.75">
      <c r="A378" s="684"/>
      <c r="B378" s="688" t="s">
        <v>1061</v>
      </c>
      <c r="C378" s="380"/>
      <c r="D378" s="381"/>
      <c r="E378" s="381"/>
      <c r="F378" s="381">
        <v>306</v>
      </c>
      <c r="G378" s="381"/>
      <c r="H378" s="382"/>
      <c r="I378" s="382">
        <v>306</v>
      </c>
      <c r="J378" s="381"/>
      <c r="K378" s="381"/>
      <c r="L378" s="381"/>
      <c r="M378" s="382"/>
      <c r="N378" s="382"/>
      <c r="O378" s="381"/>
      <c r="P378" s="381"/>
      <c r="Q378" s="382"/>
      <c r="R378" s="382"/>
      <c r="S378" s="382">
        <v>242</v>
      </c>
      <c r="T378" s="382">
        <v>242</v>
      </c>
      <c r="U378" s="382">
        <v>548</v>
      </c>
      <c r="V378"/>
      <c r="W378"/>
      <c r="X378"/>
      <c r="Y378"/>
    </row>
    <row r="379" spans="1:25" ht="15.75">
      <c r="A379" s="684"/>
      <c r="B379" s="689" t="s">
        <v>1062</v>
      </c>
      <c r="C379" s="383">
        <v>0</v>
      </c>
      <c r="D379" s="384">
        <v>0</v>
      </c>
      <c r="E379" s="384">
        <v>0</v>
      </c>
      <c r="F379" s="384">
        <v>4.7945205479452052E-2</v>
      </c>
      <c r="G379" s="384">
        <v>0</v>
      </c>
      <c r="H379" s="385">
        <v>0</v>
      </c>
      <c r="I379" s="385">
        <v>4.7945205479452052E-2</v>
      </c>
      <c r="J379" s="384">
        <v>0</v>
      </c>
      <c r="K379" s="384">
        <v>0</v>
      </c>
      <c r="L379" s="384">
        <v>0</v>
      </c>
      <c r="M379" s="385">
        <v>0</v>
      </c>
      <c r="N379" s="385">
        <v>0</v>
      </c>
      <c r="O379" s="384">
        <v>0</v>
      </c>
      <c r="P379" s="384">
        <v>0</v>
      </c>
      <c r="Q379" s="385">
        <v>0</v>
      </c>
      <c r="R379" s="385">
        <v>0</v>
      </c>
      <c r="S379" s="385">
        <v>-9.7014925373134331E-2</v>
      </c>
      <c r="T379" s="385">
        <v>-9.7014925373134331E-2</v>
      </c>
      <c r="U379" s="385">
        <v>-2.1428571428571429E-2</v>
      </c>
      <c r="V379"/>
      <c r="W379"/>
      <c r="X379"/>
      <c r="Y379"/>
    </row>
    <row r="380" spans="1:25" s="386" customFormat="1" ht="15.75">
      <c r="A380" s="684"/>
      <c r="B380" s="687" t="s">
        <v>1063</v>
      </c>
      <c r="C380" s="674"/>
      <c r="D380" s="675"/>
      <c r="E380" s="675"/>
      <c r="F380" s="675"/>
      <c r="G380" s="675"/>
      <c r="H380" s="676"/>
      <c r="I380" s="676"/>
      <c r="J380" s="675"/>
      <c r="K380" s="675"/>
      <c r="L380" s="675"/>
      <c r="M380" s="676"/>
      <c r="N380" s="676"/>
      <c r="O380" s="675"/>
      <c r="P380" s="675"/>
      <c r="Q380" s="676"/>
      <c r="R380" s="676"/>
      <c r="S380" s="676">
        <v>146</v>
      </c>
      <c r="T380" s="676">
        <v>146</v>
      </c>
      <c r="U380" s="676">
        <v>146</v>
      </c>
      <c r="V380"/>
      <c r="W380"/>
      <c r="X380"/>
      <c r="Y380"/>
    </row>
    <row r="381" spans="1:25" ht="15.75">
      <c r="A381" s="684"/>
      <c r="B381" s="688" t="s">
        <v>1064</v>
      </c>
      <c r="C381" s="380"/>
      <c r="D381" s="381"/>
      <c r="E381" s="381"/>
      <c r="F381" s="381"/>
      <c r="G381" s="381"/>
      <c r="H381" s="382"/>
      <c r="I381" s="382"/>
      <c r="J381" s="381"/>
      <c r="K381" s="381"/>
      <c r="L381" s="381"/>
      <c r="M381" s="382"/>
      <c r="N381" s="382"/>
      <c r="O381" s="381"/>
      <c r="P381" s="381"/>
      <c r="Q381" s="382"/>
      <c r="R381" s="382"/>
      <c r="S381" s="382">
        <v>140</v>
      </c>
      <c r="T381" s="382">
        <v>140</v>
      </c>
      <c r="U381" s="382">
        <v>140</v>
      </c>
      <c r="V381"/>
      <c r="W381"/>
      <c r="X381"/>
      <c r="Y381"/>
    </row>
    <row r="382" spans="1:25" ht="15.75">
      <c r="A382" s="684"/>
      <c r="B382" s="689" t="s">
        <v>1065</v>
      </c>
      <c r="C382" s="383">
        <v>0</v>
      </c>
      <c r="D382" s="384">
        <v>0</v>
      </c>
      <c r="E382" s="384">
        <v>0</v>
      </c>
      <c r="F382" s="384">
        <v>0</v>
      </c>
      <c r="G382" s="384">
        <v>0</v>
      </c>
      <c r="H382" s="385">
        <v>0</v>
      </c>
      <c r="I382" s="385">
        <v>0</v>
      </c>
      <c r="J382" s="384">
        <v>0</v>
      </c>
      <c r="K382" s="384">
        <v>0</v>
      </c>
      <c r="L382" s="384">
        <v>0</v>
      </c>
      <c r="M382" s="385">
        <v>0</v>
      </c>
      <c r="N382" s="385">
        <v>0</v>
      </c>
      <c r="O382" s="384">
        <v>0</v>
      </c>
      <c r="P382" s="384">
        <v>0</v>
      </c>
      <c r="Q382" s="385">
        <v>0</v>
      </c>
      <c r="R382" s="385">
        <v>0</v>
      </c>
      <c r="S382" s="385">
        <v>-4.1095890410958902E-2</v>
      </c>
      <c r="T382" s="385">
        <v>-4.1095890410958902E-2</v>
      </c>
      <c r="U382" s="385">
        <v>-4.1095890410958902E-2</v>
      </c>
      <c r="V382"/>
      <c r="W382"/>
      <c r="X382"/>
      <c r="Y382"/>
    </row>
    <row r="383" spans="1:25" s="386" customFormat="1" ht="15.75">
      <c r="A383" s="684"/>
      <c r="B383" s="687" t="s">
        <v>1066</v>
      </c>
      <c r="C383" s="674"/>
      <c r="D383" s="675"/>
      <c r="E383" s="675"/>
      <c r="F383" s="675"/>
      <c r="G383" s="675"/>
      <c r="H383" s="676"/>
      <c r="I383" s="676"/>
      <c r="J383" s="675"/>
      <c r="K383" s="675"/>
      <c r="L383" s="675"/>
      <c r="M383" s="676"/>
      <c r="N383" s="676"/>
      <c r="O383" s="675"/>
      <c r="P383" s="675"/>
      <c r="Q383" s="676"/>
      <c r="R383" s="676"/>
      <c r="S383" s="676">
        <v>100</v>
      </c>
      <c r="T383" s="676">
        <v>100</v>
      </c>
      <c r="U383" s="676">
        <v>100</v>
      </c>
      <c r="V383"/>
      <c r="W383"/>
      <c r="X383"/>
      <c r="Y383"/>
    </row>
    <row r="384" spans="1:25" ht="15.75">
      <c r="A384" s="684"/>
      <c r="B384" s="688" t="s">
        <v>1067</v>
      </c>
      <c r="C384" s="380"/>
      <c r="D384" s="381"/>
      <c r="E384" s="381"/>
      <c r="F384" s="381"/>
      <c r="G384" s="381"/>
      <c r="H384" s="382"/>
      <c r="I384" s="382"/>
      <c r="J384" s="381"/>
      <c r="K384" s="381"/>
      <c r="L384" s="381"/>
      <c r="M384" s="382"/>
      <c r="N384" s="382"/>
      <c r="O384" s="381"/>
      <c r="P384" s="381"/>
      <c r="Q384" s="382"/>
      <c r="R384" s="382"/>
      <c r="S384" s="382">
        <v>115</v>
      </c>
      <c r="T384" s="382">
        <v>115</v>
      </c>
      <c r="U384" s="382">
        <v>115</v>
      </c>
      <c r="V384"/>
      <c r="W384"/>
      <c r="X384"/>
      <c r="Y384"/>
    </row>
    <row r="385" spans="1:25" ht="15.75">
      <c r="A385" s="684"/>
      <c r="B385" s="689" t="s">
        <v>1068</v>
      </c>
      <c r="C385" s="383">
        <v>0</v>
      </c>
      <c r="D385" s="384">
        <v>0</v>
      </c>
      <c r="E385" s="384">
        <v>0</v>
      </c>
      <c r="F385" s="384">
        <v>0</v>
      </c>
      <c r="G385" s="384">
        <v>0</v>
      </c>
      <c r="H385" s="385">
        <v>0</v>
      </c>
      <c r="I385" s="385">
        <v>0</v>
      </c>
      <c r="J385" s="384">
        <v>0</v>
      </c>
      <c r="K385" s="384">
        <v>0</v>
      </c>
      <c r="L385" s="384">
        <v>0</v>
      </c>
      <c r="M385" s="385">
        <v>0</v>
      </c>
      <c r="N385" s="385">
        <v>0</v>
      </c>
      <c r="O385" s="384">
        <v>0</v>
      </c>
      <c r="P385" s="384">
        <v>0</v>
      </c>
      <c r="Q385" s="385">
        <v>0</v>
      </c>
      <c r="R385" s="385">
        <v>0</v>
      </c>
      <c r="S385" s="385">
        <v>0.15</v>
      </c>
      <c r="T385" s="385">
        <v>0.15</v>
      </c>
      <c r="U385" s="385">
        <v>0.15</v>
      </c>
      <c r="V385"/>
      <c r="W385"/>
      <c r="X385"/>
      <c r="Y385"/>
    </row>
    <row r="386" spans="1:25" s="386" customFormat="1" ht="15.75">
      <c r="A386" s="684"/>
      <c r="B386" s="687" t="s">
        <v>1069</v>
      </c>
      <c r="C386" s="674"/>
      <c r="D386" s="675"/>
      <c r="E386" s="675"/>
      <c r="F386" s="675"/>
      <c r="G386" s="675"/>
      <c r="H386" s="676"/>
      <c r="I386" s="676"/>
      <c r="J386" s="675"/>
      <c r="K386" s="675"/>
      <c r="L386" s="675"/>
      <c r="M386" s="676"/>
      <c r="N386" s="676"/>
      <c r="O386" s="675"/>
      <c r="P386" s="675"/>
      <c r="Q386" s="676"/>
      <c r="R386" s="676"/>
      <c r="S386" s="676">
        <v>114</v>
      </c>
      <c r="T386" s="676">
        <v>114</v>
      </c>
      <c r="U386" s="676">
        <v>114</v>
      </c>
      <c r="V386"/>
      <c r="W386"/>
      <c r="X386"/>
      <c r="Y386"/>
    </row>
    <row r="387" spans="1:25" ht="15.75">
      <c r="A387" s="684"/>
      <c r="B387" s="688" t="s">
        <v>1070</v>
      </c>
      <c r="C387" s="380"/>
      <c r="D387" s="381"/>
      <c r="E387" s="381"/>
      <c r="F387" s="381"/>
      <c r="G387" s="381"/>
      <c r="H387" s="382"/>
      <c r="I387" s="382"/>
      <c r="J387" s="381"/>
      <c r="K387" s="381"/>
      <c r="L387" s="381"/>
      <c r="M387" s="382"/>
      <c r="N387" s="382"/>
      <c r="O387" s="381"/>
      <c r="P387" s="381"/>
      <c r="Q387" s="382"/>
      <c r="R387" s="382"/>
      <c r="S387" s="382">
        <v>121</v>
      </c>
      <c r="T387" s="382">
        <v>121</v>
      </c>
      <c r="U387" s="382">
        <v>121</v>
      </c>
      <c r="V387"/>
      <c r="W387"/>
      <c r="X387"/>
      <c r="Y387"/>
    </row>
    <row r="388" spans="1:25" ht="15.75">
      <c r="A388" s="684"/>
      <c r="B388" s="689" t="s">
        <v>1071</v>
      </c>
      <c r="C388" s="383">
        <v>0</v>
      </c>
      <c r="D388" s="384">
        <v>0</v>
      </c>
      <c r="E388" s="384">
        <v>0</v>
      </c>
      <c r="F388" s="384">
        <v>0</v>
      </c>
      <c r="G388" s="384">
        <v>0</v>
      </c>
      <c r="H388" s="385">
        <v>0</v>
      </c>
      <c r="I388" s="385">
        <v>0</v>
      </c>
      <c r="J388" s="384">
        <v>0</v>
      </c>
      <c r="K388" s="384">
        <v>0</v>
      </c>
      <c r="L388" s="384">
        <v>0</v>
      </c>
      <c r="M388" s="385">
        <v>0</v>
      </c>
      <c r="N388" s="385">
        <v>0</v>
      </c>
      <c r="O388" s="384">
        <v>0</v>
      </c>
      <c r="P388" s="384">
        <v>0</v>
      </c>
      <c r="Q388" s="385">
        <v>0</v>
      </c>
      <c r="R388" s="385">
        <v>0</v>
      </c>
      <c r="S388" s="385">
        <v>6.1403508771929821E-2</v>
      </c>
      <c r="T388" s="385">
        <v>6.1403508771929821E-2</v>
      </c>
      <c r="U388" s="385">
        <v>6.1403508771929821E-2</v>
      </c>
      <c r="V388"/>
      <c r="W388"/>
      <c r="X388"/>
      <c r="Y388"/>
    </row>
    <row r="389" spans="1:25" s="386" customFormat="1" ht="15.75">
      <c r="A389" s="684"/>
      <c r="B389" s="687" t="s">
        <v>1072</v>
      </c>
      <c r="C389" s="674"/>
      <c r="D389" s="675"/>
      <c r="E389" s="675"/>
      <c r="F389" s="675"/>
      <c r="G389" s="675"/>
      <c r="H389" s="676"/>
      <c r="I389" s="676"/>
      <c r="J389" s="675"/>
      <c r="K389" s="675"/>
      <c r="L389" s="675"/>
      <c r="M389" s="676"/>
      <c r="N389" s="676"/>
      <c r="O389" s="675"/>
      <c r="P389" s="675"/>
      <c r="Q389" s="676"/>
      <c r="R389" s="676"/>
      <c r="S389" s="676"/>
      <c r="T389" s="676"/>
      <c r="U389" s="676"/>
      <c r="V389"/>
      <c r="W389"/>
      <c r="X389"/>
      <c r="Y389"/>
    </row>
    <row r="390" spans="1:25" ht="15.75">
      <c r="A390" s="684"/>
      <c r="B390" s="688" t="s">
        <v>1073</v>
      </c>
      <c r="C390" s="380"/>
      <c r="D390" s="381"/>
      <c r="E390" s="381"/>
      <c r="F390" s="381"/>
      <c r="G390" s="381"/>
      <c r="H390" s="382"/>
      <c r="I390" s="382"/>
      <c r="J390" s="381"/>
      <c r="K390" s="381"/>
      <c r="L390" s="381"/>
      <c r="M390" s="382"/>
      <c r="N390" s="382"/>
      <c r="O390" s="381"/>
      <c r="P390" s="381"/>
      <c r="Q390" s="382"/>
      <c r="R390" s="382"/>
      <c r="S390" s="382"/>
      <c r="T390" s="382"/>
      <c r="U390" s="382"/>
      <c r="V390"/>
      <c r="W390"/>
      <c r="X390"/>
      <c r="Y390"/>
    </row>
    <row r="391" spans="1:25" ht="15.75">
      <c r="A391" s="684"/>
      <c r="B391" s="689" t="s">
        <v>1074</v>
      </c>
      <c r="C391" s="383">
        <v>0</v>
      </c>
      <c r="D391" s="384">
        <v>0</v>
      </c>
      <c r="E391" s="384">
        <v>0</v>
      </c>
      <c r="F391" s="384">
        <v>0</v>
      </c>
      <c r="G391" s="384">
        <v>0</v>
      </c>
      <c r="H391" s="385">
        <v>0</v>
      </c>
      <c r="I391" s="385">
        <v>0</v>
      </c>
      <c r="J391" s="384">
        <v>0</v>
      </c>
      <c r="K391" s="384">
        <v>0</v>
      </c>
      <c r="L391" s="384">
        <v>0</v>
      </c>
      <c r="M391" s="385">
        <v>0</v>
      </c>
      <c r="N391" s="385">
        <v>0</v>
      </c>
      <c r="O391" s="384">
        <v>0</v>
      </c>
      <c r="P391" s="384">
        <v>0</v>
      </c>
      <c r="Q391" s="385">
        <v>0</v>
      </c>
      <c r="R391" s="385">
        <v>0</v>
      </c>
      <c r="S391" s="385">
        <v>0</v>
      </c>
      <c r="T391" s="385">
        <v>0</v>
      </c>
      <c r="U391" s="385">
        <v>0</v>
      </c>
      <c r="V391"/>
      <c r="W391"/>
      <c r="X391"/>
      <c r="Y391"/>
    </row>
    <row r="392" spans="1:25" s="386" customFormat="1" ht="15.75">
      <c r="A392" s="684"/>
      <c r="B392" s="687" t="s">
        <v>1075</v>
      </c>
      <c r="C392" s="674"/>
      <c r="D392" s="675"/>
      <c r="E392" s="675"/>
      <c r="F392" s="675"/>
      <c r="G392" s="675"/>
      <c r="H392" s="676"/>
      <c r="I392" s="676"/>
      <c r="J392" s="675"/>
      <c r="K392" s="675"/>
      <c r="L392" s="675"/>
      <c r="M392" s="676"/>
      <c r="N392" s="676"/>
      <c r="O392" s="675"/>
      <c r="P392" s="675"/>
      <c r="Q392" s="676"/>
      <c r="R392" s="676"/>
      <c r="S392" s="676"/>
      <c r="T392" s="676"/>
      <c r="U392" s="676"/>
      <c r="V392"/>
      <c r="W392"/>
      <c r="X392"/>
      <c r="Y392"/>
    </row>
    <row r="393" spans="1:25" ht="15.75">
      <c r="A393" s="684"/>
      <c r="B393" s="688" t="s">
        <v>1076</v>
      </c>
      <c r="C393" s="380"/>
      <c r="D393" s="381"/>
      <c r="E393" s="381"/>
      <c r="F393" s="381"/>
      <c r="G393" s="381"/>
      <c r="H393" s="382"/>
      <c r="I393" s="382"/>
      <c r="J393" s="381"/>
      <c r="K393" s="381"/>
      <c r="L393" s="381"/>
      <c r="M393" s="382"/>
      <c r="N393" s="382"/>
      <c r="O393" s="381"/>
      <c r="P393" s="381"/>
      <c r="Q393" s="382"/>
      <c r="R393" s="382"/>
      <c r="S393" s="382"/>
      <c r="T393" s="382"/>
      <c r="U393" s="382"/>
      <c r="V393"/>
      <c r="W393"/>
      <c r="X393"/>
      <c r="Y393"/>
    </row>
    <row r="394" spans="1:25" ht="15.75">
      <c r="A394" s="684"/>
      <c r="B394" s="689" t="s">
        <v>1077</v>
      </c>
      <c r="C394" s="383">
        <v>0</v>
      </c>
      <c r="D394" s="384">
        <v>0</v>
      </c>
      <c r="E394" s="384">
        <v>0</v>
      </c>
      <c r="F394" s="384">
        <v>0</v>
      </c>
      <c r="G394" s="384">
        <v>0</v>
      </c>
      <c r="H394" s="385">
        <v>0</v>
      </c>
      <c r="I394" s="385">
        <v>0</v>
      </c>
      <c r="J394" s="384">
        <v>0</v>
      </c>
      <c r="K394" s="384">
        <v>0</v>
      </c>
      <c r="L394" s="384">
        <v>0</v>
      </c>
      <c r="M394" s="385">
        <v>0</v>
      </c>
      <c r="N394" s="385">
        <v>0</v>
      </c>
      <c r="O394" s="384">
        <v>0</v>
      </c>
      <c r="P394" s="384">
        <v>0</v>
      </c>
      <c r="Q394" s="385">
        <v>0</v>
      </c>
      <c r="R394" s="385">
        <v>0</v>
      </c>
      <c r="S394" s="385">
        <v>0</v>
      </c>
      <c r="T394" s="385">
        <v>0</v>
      </c>
      <c r="U394" s="385">
        <v>0</v>
      </c>
      <c r="V394"/>
      <c r="W394"/>
      <c r="X394"/>
      <c r="Y394"/>
    </row>
    <row r="395" spans="1:25" s="386" customFormat="1" ht="15.75">
      <c r="A395" s="684"/>
      <c r="B395" s="687" t="s">
        <v>1078</v>
      </c>
      <c r="C395" s="674"/>
      <c r="D395" s="675"/>
      <c r="E395" s="675"/>
      <c r="F395" s="675"/>
      <c r="G395" s="675"/>
      <c r="H395" s="676"/>
      <c r="I395" s="676"/>
      <c r="J395" s="675"/>
      <c r="K395" s="675"/>
      <c r="L395" s="675"/>
      <c r="M395" s="676"/>
      <c r="N395" s="676"/>
      <c r="O395" s="675"/>
      <c r="P395" s="675"/>
      <c r="Q395" s="676"/>
      <c r="R395" s="676"/>
      <c r="S395" s="676"/>
      <c r="T395" s="676"/>
      <c r="U395" s="676"/>
      <c r="V395"/>
      <c r="W395"/>
      <c r="X395"/>
      <c r="Y395"/>
    </row>
    <row r="396" spans="1:25" ht="15.75">
      <c r="A396" s="684"/>
      <c r="B396" s="688" t="s">
        <v>1079</v>
      </c>
      <c r="C396" s="380"/>
      <c r="D396" s="381"/>
      <c r="E396" s="381"/>
      <c r="F396" s="381"/>
      <c r="G396" s="381"/>
      <c r="H396" s="382"/>
      <c r="I396" s="382"/>
      <c r="J396" s="381"/>
      <c r="K396" s="381"/>
      <c r="L396" s="381"/>
      <c r="M396" s="382"/>
      <c r="N396" s="382"/>
      <c r="O396" s="381"/>
      <c r="P396" s="381"/>
      <c r="Q396" s="382"/>
      <c r="R396" s="382"/>
      <c r="S396" s="382"/>
      <c r="T396" s="382"/>
      <c r="U396" s="382"/>
      <c r="V396"/>
      <c r="W396"/>
      <c r="X396"/>
      <c r="Y396"/>
    </row>
    <row r="397" spans="1:25" ht="15.75">
      <c r="A397" s="684"/>
      <c r="B397" s="689" t="s">
        <v>1080</v>
      </c>
      <c r="C397" s="383">
        <v>0</v>
      </c>
      <c r="D397" s="384">
        <v>0</v>
      </c>
      <c r="E397" s="384">
        <v>0</v>
      </c>
      <c r="F397" s="384">
        <v>0</v>
      </c>
      <c r="G397" s="384">
        <v>0</v>
      </c>
      <c r="H397" s="385">
        <v>0</v>
      </c>
      <c r="I397" s="385">
        <v>0</v>
      </c>
      <c r="J397" s="384">
        <v>0</v>
      </c>
      <c r="K397" s="384">
        <v>0</v>
      </c>
      <c r="L397" s="384">
        <v>0</v>
      </c>
      <c r="M397" s="385">
        <v>0</v>
      </c>
      <c r="N397" s="385">
        <v>0</v>
      </c>
      <c r="O397" s="384">
        <v>0</v>
      </c>
      <c r="P397" s="384">
        <v>0</v>
      </c>
      <c r="Q397" s="385">
        <v>0</v>
      </c>
      <c r="R397" s="385">
        <v>0</v>
      </c>
      <c r="S397" s="385">
        <v>0</v>
      </c>
      <c r="T397" s="385">
        <v>0</v>
      </c>
      <c r="U397" s="385">
        <v>0</v>
      </c>
      <c r="V397"/>
      <c r="W397"/>
      <c r="X397"/>
      <c r="Y397"/>
    </row>
    <row r="398" spans="1:25" s="386" customFormat="1" ht="15.75">
      <c r="A398" s="684"/>
      <c r="B398" s="687" t="s">
        <v>1081</v>
      </c>
      <c r="C398" s="674"/>
      <c r="D398" s="675"/>
      <c r="E398" s="675"/>
      <c r="F398" s="675"/>
      <c r="G398" s="675"/>
      <c r="H398" s="676"/>
      <c r="I398" s="676"/>
      <c r="J398" s="675"/>
      <c r="K398" s="675"/>
      <c r="L398" s="675"/>
      <c r="M398" s="676"/>
      <c r="N398" s="676"/>
      <c r="O398" s="675"/>
      <c r="P398" s="675"/>
      <c r="Q398" s="676"/>
      <c r="R398" s="676"/>
      <c r="S398" s="676"/>
      <c r="T398" s="676"/>
      <c r="U398" s="676"/>
      <c r="V398"/>
      <c r="W398"/>
      <c r="X398"/>
      <c r="Y398"/>
    </row>
    <row r="399" spans="1:25" ht="15.75">
      <c r="A399" s="684"/>
      <c r="B399" s="688" t="s">
        <v>1082</v>
      </c>
      <c r="C399" s="380"/>
      <c r="D399" s="381"/>
      <c r="E399" s="381"/>
      <c r="F399" s="381"/>
      <c r="G399" s="381"/>
      <c r="H399" s="382"/>
      <c r="I399" s="382"/>
      <c r="J399" s="381"/>
      <c r="K399" s="381"/>
      <c r="L399" s="381"/>
      <c r="M399" s="382"/>
      <c r="N399" s="382"/>
      <c r="O399" s="381"/>
      <c r="P399" s="381"/>
      <c r="Q399" s="382"/>
      <c r="R399" s="382"/>
      <c r="S399" s="382"/>
      <c r="T399" s="382"/>
      <c r="U399" s="382"/>
      <c r="V399"/>
      <c r="W399"/>
      <c r="X399"/>
      <c r="Y399"/>
    </row>
    <row r="400" spans="1:25" ht="15.75">
      <c r="A400" s="684"/>
      <c r="B400" s="689" t="s">
        <v>1083</v>
      </c>
      <c r="C400" s="383">
        <v>0</v>
      </c>
      <c r="D400" s="384">
        <v>0</v>
      </c>
      <c r="E400" s="384">
        <v>0</v>
      </c>
      <c r="F400" s="384">
        <v>0</v>
      </c>
      <c r="G400" s="384">
        <v>0</v>
      </c>
      <c r="H400" s="385">
        <v>0</v>
      </c>
      <c r="I400" s="385">
        <v>0</v>
      </c>
      <c r="J400" s="384">
        <v>0</v>
      </c>
      <c r="K400" s="384">
        <v>0</v>
      </c>
      <c r="L400" s="384">
        <v>0</v>
      </c>
      <c r="M400" s="385">
        <v>0</v>
      </c>
      <c r="N400" s="385">
        <v>0</v>
      </c>
      <c r="O400" s="384">
        <v>0</v>
      </c>
      <c r="P400" s="384">
        <v>0</v>
      </c>
      <c r="Q400" s="385">
        <v>0</v>
      </c>
      <c r="R400" s="385">
        <v>0</v>
      </c>
      <c r="S400" s="385">
        <v>0</v>
      </c>
      <c r="T400" s="385">
        <v>0</v>
      </c>
      <c r="U400" s="385">
        <v>0</v>
      </c>
      <c r="V400"/>
      <c r="W400"/>
      <c r="X400"/>
      <c r="Y400"/>
    </row>
    <row r="401" spans="1:25" s="386" customFormat="1" ht="15.75">
      <c r="A401" s="684"/>
      <c r="B401" s="687" t="s">
        <v>1084</v>
      </c>
      <c r="C401" s="674"/>
      <c r="D401" s="675"/>
      <c r="E401" s="675"/>
      <c r="F401" s="675"/>
      <c r="G401" s="675"/>
      <c r="H401" s="676"/>
      <c r="I401" s="676"/>
      <c r="J401" s="675"/>
      <c r="K401" s="675"/>
      <c r="L401" s="675"/>
      <c r="M401" s="676"/>
      <c r="N401" s="676"/>
      <c r="O401" s="675"/>
      <c r="P401" s="675"/>
      <c r="Q401" s="676"/>
      <c r="R401" s="676"/>
      <c r="S401" s="676"/>
      <c r="T401" s="676"/>
      <c r="U401" s="676"/>
      <c r="V401"/>
      <c r="W401"/>
      <c r="X401"/>
      <c r="Y401"/>
    </row>
    <row r="402" spans="1:25" ht="15.75">
      <c r="A402" s="684"/>
      <c r="B402" s="688" t="s">
        <v>1085</v>
      </c>
      <c r="C402" s="380"/>
      <c r="D402" s="381"/>
      <c r="E402" s="381"/>
      <c r="F402" s="381"/>
      <c r="G402" s="381"/>
      <c r="H402" s="382"/>
      <c r="I402" s="382"/>
      <c r="J402" s="381"/>
      <c r="K402" s="381"/>
      <c r="L402" s="381"/>
      <c r="M402" s="382"/>
      <c r="N402" s="382"/>
      <c r="O402" s="381"/>
      <c r="P402" s="381"/>
      <c r="Q402" s="382"/>
      <c r="R402" s="382"/>
      <c r="S402" s="382"/>
      <c r="T402" s="382"/>
      <c r="U402" s="382"/>
      <c r="V402"/>
      <c r="W402"/>
      <c r="X402"/>
      <c r="Y402"/>
    </row>
    <row r="403" spans="1:25" ht="15.75">
      <c r="A403" s="684"/>
      <c r="B403" s="689" t="s">
        <v>1086</v>
      </c>
      <c r="C403" s="383">
        <v>0</v>
      </c>
      <c r="D403" s="384">
        <v>0</v>
      </c>
      <c r="E403" s="384">
        <v>0</v>
      </c>
      <c r="F403" s="384">
        <v>0</v>
      </c>
      <c r="G403" s="384">
        <v>0</v>
      </c>
      <c r="H403" s="385">
        <v>0</v>
      </c>
      <c r="I403" s="385">
        <v>0</v>
      </c>
      <c r="J403" s="384">
        <v>0</v>
      </c>
      <c r="K403" s="384">
        <v>0</v>
      </c>
      <c r="L403" s="384">
        <v>0</v>
      </c>
      <c r="M403" s="385">
        <v>0</v>
      </c>
      <c r="N403" s="385">
        <v>0</v>
      </c>
      <c r="O403" s="384">
        <v>0</v>
      </c>
      <c r="P403" s="384">
        <v>0</v>
      </c>
      <c r="Q403" s="385">
        <v>0</v>
      </c>
      <c r="R403" s="385">
        <v>0</v>
      </c>
      <c r="S403" s="385">
        <v>0</v>
      </c>
      <c r="T403" s="385">
        <v>0</v>
      </c>
      <c r="U403" s="385">
        <v>0</v>
      </c>
      <c r="V403"/>
      <c r="W403"/>
      <c r="X403"/>
      <c r="Y403"/>
    </row>
    <row r="404" spans="1:25" s="386" customFormat="1" ht="15.75">
      <c r="A404" s="684"/>
      <c r="B404" s="687" t="s">
        <v>1248</v>
      </c>
      <c r="C404" s="674"/>
      <c r="D404" s="675"/>
      <c r="E404" s="675"/>
      <c r="F404" s="675"/>
      <c r="G404" s="675"/>
      <c r="H404" s="676"/>
      <c r="I404" s="676"/>
      <c r="J404" s="675"/>
      <c r="K404" s="675"/>
      <c r="L404" s="675"/>
      <c r="M404" s="676"/>
      <c r="N404" s="676"/>
      <c r="O404" s="675"/>
      <c r="P404" s="675"/>
      <c r="Q404" s="676"/>
      <c r="R404" s="676"/>
      <c r="S404" s="676"/>
      <c r="T404" s="676"/>
      <c r="U404" s="676"/>
      <c r="V404"/>
      <c r="W404"/>
      <c r="X404"/>
      <c r="Y404"/>
    </row>
    <row r="405" spans="1:25" ht="15.75">
      <c r="A405" s="685"/>
      <c r="B405" s="690" t="s">
        <v>1250</v>
      </c>
      <c r="C405" s="576">
        <v>40</v>
      </c>
      <c r="D405" s="577"/>
      <c r="E405" s="577">
        <v>10</v>
      </c>
      <c r="F405" s="577">
        <v>21</v>
      </c>
      <c r="G405" s="577"/>
      <c r="H405" s="578"/>
      <c r="I405" s="578">
        <v>71</v>
      </c>
      <c r="J405" s="577"/>
      <c r="K405" s="577"/>
      <c r="L405" s="577"/>
      <c r="M405" s="578"/>
      <c r="N405" s="578"/>
      <c r="O405" s="577"/>
      <c r="P405" s="577"/>
      <c r="Q405" s="578"/>
      <c r="R405" s="578"/>
      <c r="S405" s="578">
        <v>101</v>
      </c>
      <c r="T405" s="578">
        <v>101</v>
      </c>
      <c r="U405" s="578">
        <v>172</v>
      </c>
      <c r="V405"/>
      <c r="W405"/>
      <c r="X405"/>
      <c r="Y405"/>
    </row>
    <row r="406" spans="1:25" ht="15.75">
      <c r="A406" s="683" t="s">
        <v>983</v>
      </c>
      <c r="B406" s="687" t="s">
        <v>1039</v>
      </c>
      <c r="C406" s="674"/>
      <c r="D406" s="675"/>
      <c r="E406" s="675"/>
      <c r="F406" s="675"/>
      <c r="G406" s="675"/>
      <c r="H406" s="676"/>
      <c r="I406" s="676"/>
      <c r="J406" s="675"/>
      <c r="K406" s="675">
        <v>803</v>
      </c>
      <c r="L406" s="675">
        <v>1194</v>
      </c>
      <c r="M406" s="676">
        <v>161</v>
      </c>
      <c r="N406" s="676">
        <v>2158</v>
      </c>
      <c r="O406" s="675"/>
      <c r="P406" s="675"/>
      <c r="Q406" s="676"/>
      <c r="R406" s="676"/>
      <c r="S406" s="676">
        <v>21</v>
      </c>
      <c r="T406" s="676">
        <v>21</v>
      </c>
      <c r="U406" s="676">
        <v>2179</v>
      </c>
      <c r="V406"/>
      <c r="W406"/>
      <c r="X406"/>
      <c r="Y406"/>
    </row>
    <row r="407" spans="1:25" s="386" customFormat="1" ht="15.75">
      <c r="A407" s="684"/>
      <c r="B407" s="688" t="s">
        <v>1040</v>
      </c>
      <c r="C407" s="380"/>
      <c r="D407" s="381"/>
      <c r="E407" s="381"/>
      <c r="F407" s="381"/>
      <c r="G407" s="381"/>
      <c r="H407" s="382"/>
      <c r="I407" s="382"/>
      <c r="J407" s="381"/>
      <c r="K407" s="381">
        <v>892</v>
      </c>
      <c r="L407" s="381">
        <v>1343</v>
      </c>
      <c r="M407" s="382">
        <v>210</v>
      </c>
      <c r="N407" s="382">
        <v>2445</v>
      </c>
      <c r="O407" s="381"/>
      <c r="P407" s="381"/>
      <c r="Q407" s="382"/>
      <c r="R407" s="382"/>
      <c r="S407" s="382">
        <v>12</v>
      </c>
      <c r="T407" s="382">
        <v>12</v>
      </c>
      <c r="U407" s="382">
        <v>2457</v>
      </c>
      <c r="V407"/>
      <c r="W407"/>
      <c r="X407"/>
      <c r="Y407"/>
    </row>
    <row r="408" spans="1:25" ht="15.75">
      <c r="A408" s="684"/>
      <c r="B408" s="689" t="s">
        <v>1041</v>
      </c>
      <c r="C408" s="383">
        <v>0</v>
      </c>
      <c r="D408" s="384">
        <v>0</v>
      </c>
      <c r="E408" s="384">
        <v>0</v>
      </c>
      <c r="F408" s="384">
        <v>0</v>
      </c>
      <c r="G408" s="384">
        <v>0</v>
      </c>
      <c r="H408" s="385">
        <v>0</v>
      </c>
      <c r="I408" s="385">
        <v>0</v>
      </c>
      <c r="J408" s="384">
        <v>0</v>
      </c>
      <c r="K408" s="384">
        <v>0.11083437110834371</v>
      </c>
      <c r="L408" s="384">
        <v>0.12479061976549413</v>
      </c>
      <c r="M408" s="385">
        <v>0.30434782608695654</v>
      </c>
      <c r="N408" s="385">
        <v>0.13299351251158481</v>
      </c>
      <c r="O408" s="384">
        <v>0</v>
      </c>
      <c r="P408" s="384">
        <v>0</v>
      </c>
      <c r="Q408" s="385">
        <v>0</v>
      </c>
      <c r="R408" s="385">
        <v>0</v>
      </c>
      <c r="S408" s="385">
        <v>-0.42857142857142855</v>
      </c>
      <c r="T408" s="385">
        <v>-0.42857142857142855</v>
      </c>
      <c r="U408" s="385">
        <v>0.12758145938503901</v>
      </c>
      <c r="V408"/>
      <c r="W408"/>
      <c r="X408"/>
      <c r="Y408"/>
    </row>
    <row r="409" spans="1:25" ht="15.75">
      <c r="A409" s="684"/>
      <c r="B409" s="687" t="s">
        <v>1042</v>
      </c>
      <c r="C409" s="674"/>
      <c r="D409" s="675"/>
      <c r="E409" s="675"/>
      <c r="F409" s="675"/>
      <c r="G409" s="675"/>
      <c r="H409" s="676"/>
      <c r="I409" s="676"/>
      <c r="J409" s="675"/>
      <c r="K409" s="675"/>
      <c r="L409" s="675"/>
      <c r="M409" s="676"/>
      <c r="N409" s="676"/>
      <c r="O409" s="675"/>
      <c r="P409" s="675"/>
      <c r="Q409" s="676"/>
      <c r="R409" s="676"/>
      <c r="S409" s="676">
        <v>26</v>
      </c>
      <c r="T409" s="676">
        <v>26</v>
      </c>
      <c r="U409" s="676">
        <v>26</v>
      </c>
      <c r="V409"/>
      <c r="W409"/>
      <c r="X409"/>
      <c r="Y409"/>
    </row>
    <row r="410" spans="1:25" s="386" customFormat="1" ht="15.75">
      <c r="A410" s="684"/>
      <c r="B410" s="688" t="s">
        <v>1043</v>
      </c>
      <c r="C410" s="380"/>
      <c r="D410" s="381"/>
      <c r="E410" s="381"/>
      <c r="F410" s="381"/>
      <c r="G410" s="381"/>
      <c r="H410" s="382"/>
      <c r="I410" s="382"/>
      <c r="J410" s="381"/>
      <c r="K410" s="381"/>
      <c r="L410" s="381"/>
      <c r="M410" s="382"/>
      <c r="N410" s="382"/>
      <c r="O410" s="381"/>
      <c r="P410" s="381"/>
      <c r="Q410" s="382"/>
      <c r="R410" s="382"/>
      <c r="S410" s="382">
        <v>28</v>
      </c>
      <c r="T410" s="382">
        <v>28</v>
      </c>
      <c r="U410" s="382">
        <v>28</v>
      </c>
      <c r="V410"/>
      <c r="W410"/>
      <c r="X410"/>
      <c r="Y410"/>
    </row>
    <row r="411" spans="1:25" ht="15.75">
      <c r="A411" s="684"/>
      <c r="B411" s="689" t="s">
        <v>1044</v>
      </c>
      <c r="C411" s="383">
        <v>0</v>
      </c>
      <c r="D411" s="384">
        <v>0</v>
      </c>
      <c r="E411" s="384">
        <v>0</v>
      </c>
      <c r="F411" s="384">
        <v>0</v>
      </c>
      <c r="G411" s="384">
        <v>0</v>
      </c>
      <c r="H411" s="385">
        <v>0</v>
      </c>
      <c r="I411" s="385">
        <v>0</v>
      </c>
      <c r="J411" s="384">
        <v>0</v>
      </c>
      <c r="K411" s="384">
        <v>0</v>
      </c>
      <c r="L411" s="384">
        <v>0</v>
      </c>
      <c r="M411" s="385">
        <v>0</v>
      </c>
      <c r="N411" s="385">
        <v>0</v>
      </c>
      <c r="O411" s="384">
        <v>0</v>
      </c>
      <c r="P411" s="384">
        <v>0</v>
      </c>
      <c r="Q411" s="385">
        <v>0</v>
      </c>
      <c r="R411" s="385">
        <v>0</v>
      </c>
      <c r="S411" s="385">
        <v>7.6923076923076927E-2</v>
      </c>
      <c r="T411" s="385">
        <v>7.6923076923076927E-2</v>
      </c>
      <c r="U411" s="385">
        <v>7.6923076923076927E-2</v>
      </c>
      <c r="V411"/>
      <c r="W411"/>
      <c r="X411"/>
      <c r="Y411"/>
    </row>
    <row r="412" spans="1:25" ht="15.75">
      <c r="A412" s="684"/>
      <c r="B412" s="687" t="s">
        <v>1045</v>
      </c>
      <c r="C412" s="674"/>
      <c r="D412" s="675"/>
      <c r="E412" s="675"/>
      <c r="F412" s="675">
        <v>40</v>
      </c>
      <c r="G412" s="675">
        <v>40</v>
      </c>
      <c r="H412" s="676"/>
      <c r="I412" s="676">
        <v>80</v>
      </c>
      <c r="J412" s="675"/>
      <c r="K412" s="675">
        <v>3038</v>
      </c>
      <c r="L412" s="675">
        <v>4551</v>
      </c>
      <c r="M412" s="676">
        <v>422</v>
      </c>
      <c r="N412" s="676">
        <v>8011</v>
      </c>
      <c r="O412" s="675"/>
      <c r="P412" s="675"/>
      <c r="Q412" s="676"/>
      <c r="R412" s="676"/>
      <c r="S412" s="676"/>
      <c r="T412" s="676"/>
      <c r="U412" s="676">
        <v>8091</v>
      </c>
      <c r="V412"/>
      <c r="W412"/>
      <c r="X412"/>
      <c r="Y412"/>
    </row>
    <row r="413" spans="1:25" s="386" customFormat="1" ht="15.75">
      <c r="A413" s="684"/>
      <c r="B413" s="688" t="s">
        <v>1046</v>
      </c>
      <c r="C413" s="380"/>
      <c r="D413" s="381"/>
      <c r="E413" s="381"/>
      <c r="F413" s="381">
        <v>27</v>
      </c>
      <c r="G413" s="381">
        <v>33</v>
      </c>
      <c r="H413" s="382"/>
      <c r="I413" s="382">
        <v>60</v>
      </c>
      <c r="J413" s="381"/>
      <c r="K413" s="381">
        <v>3095</v>
      </c>
      <c r="L413" s="381">
        <v>4796</v>
      </c>
      <c r="M413" s="382">
        <v>463</v>
      </c>
      <c r="N413" s="382">
        <v>8354</v>
      </c>
      <c r="O413" s="381"/>
      <c r="P413" s="381"/>
      <c r="Q413" s="382"/>
      <c r="R413" s="382"/>
      <c r="S413" s="382"/>
      <c r="T413" s="382"/>
      <c r="U413" s="382">
        <v>8414</v>
      </c>
      <c r="V413"/>
      <c r="W413"/>
      <c r="X413"/>
      <c r="Y413"/>
    </row>
    <row r="414" spans="1:25" ht="15.75">
      <c r="A414" s="684"/>
      <c r="B414" s="689" t="s">
        <v>1047</v>
      </c>
      <c r="C414" s="383">
        <v>0</v>
      </c>
      <c r="D414" s="384">
        <v>0</v>
      </c>
      <c r="E414" s="384">
        <v>0</v>
      </c>
      <c r="F414" s="384">
        <v>-0.32500000000000001</v>
      </c>
      <c r="G414" s="384">
        <v>-0.17499999999999999</v>
      </c>
      <c r="H414" s="385">
        <v>0</v>
      </c>
      <c r="I414" s="385">
        <v>-0.25</v>
      </c>
      <c r="J414" s="384">
        <v>0</v>
      </c>
      <c r="K414" s="384">
        <v>1.8762343647136272E-2</v>
      </c>
      <c r="L414" s="384">
        <v>5.3834322127005056E-2</v>
      </c>
      <c r="M414" s="385">
        <v>9.7156398104265407E-2</v>
      </c>
      <c r="N414" s="385">
        <v>4.281612782424167E-2</v>
      </c>
      <c r="O414" s="384">
        <v>0</v>
      </c>
      <c r="P414" s="384">
        <v>0</v>
      </c>
      <c r="Q414" s="385">
        <v>0</v>
      </c>
      <c r="R414" s="385">
        <v>0</v>
      </c>
      <c r="S414" s="385">
        <v>0</v>
      </c>
      <c r="T414" s="385">
        <v>0</v>
      </c>
      <c r="U414" s="385">
        <v>3.9920899765171179E-2</v>
      </c>
      <c r="V414"/>
      <c r="W414"/>
      <c r="X414"/>
      <c r="Y414"/>
    </row>
    <row r="415" spans="1:25" ht="15.75">
      <c r="A415" s="684"/>
      <c r="B415" s="687" t="s">
        <v>1048</v>
      </c>
      <c r="C415" s="674">
        <v>4816</v>
      </c>
      <c r="D415" s="675">
        <v>3365</v>
      </c>
      <c r="E415" s="675"/>
      <c r="F415" s="675">
        <v>1453</v>
      </c>
      <c r="G415" s="675">
        <v>356</v>
      </c>
      <c r="H415" s="676"/>
      <c r="I415" s="676">
        <v>9990</v>
      </c>
      <c r="J415" s="675"/>
      <c r="K415" s="675"/>
      <c r="L415" s="675"/>
      <c r="M415" s="676"/>
      <c r="N415" s="676"/>
      <c r="O415" s="675"/>
      <c r="P415" s="675"/>
      <c r="Q415" s="676"/>
      <c r="R415" s="676"/>
      <c r="S415" s="676">
        <v>201</v>
      </c>
      <c r="T415" s="676">
        <v>201</v>
      </c>
      <c r="U415" s="676">
        <v>10191</v>
      </c>
      <c r="V415"/>
      <c r="W415"/>
      <c r="X415"/>
      <c r="Y415"/>
    </row>
    <row r="416" spans="1:25" s="386" customFormat="1" ht="15.75">
      <c r="A416" s="684"/>
      <c r="B416" s="688" t="s">
        <v>1049</v>
      </c>
      <c r="C416" s="380">
        <v>5031</v>
      </c>
      <c r="D416" s="381">
        <v>3411</v>
      </c>
      <c r="E416" s="381"/>
      <c r="F416" s="381">
        <v>1345</v>
      </c>
      <c r="G416" s="381">
        <v>406</v>
      </c>
      <c r="H416" s="382"/>
      <c r="I416" s="382">
        <v>10193</v>
      </c>
      <c r="J416" s="381"/>
      <c r="K416" s="381"/>
      <c r="L416" s="381"/>
      <c r="M416" s="382"/>
      <c r="N416" s="382"/>
      <c r="O416" s="381"/>
      <c r="P416" s="381"/>
      <c r="Q416" s="382"/>
      <c r="R416" s="382"/>
      <c r="S416" s="382">
        <v>211</v>
      </c>
      <c r="T416" s="382">
        <v>211</v>
      </c>
      <c r="U416" s="382">
        <v>10404</v>
      </c>
      <c r="V416"/>
      <c r="W416"/>
      <c r="X416"/>
      <c r="Y416"/>
    </row>
    <row r="417" spans="1:25" ht="15.75">
      <c r="A417" s="684"/>
      <c r="B417" s="689" t="s">
        <v>1050</v>
      </c>
      <c r="C417" s="383">
        <v>4.4642857142857144E-2</v>
      </c>
      <c r="D417" s="384">
        <v>1.3670133729569094E-2</v>
      </c>
      <c r="E417" s="384">
        <v>0</v>
      </c>
      <c r="F417" s="384">
        <v>-7.4328974535443904E-2</v>
      </c>
      <c r="G417" s="692">
        <v>0.1404494382022472</v>
      </c>
      <c r="H417" s="385">
        <v>0</v>
      </c>
      <c r="I417" s="385">
        <v>2.0320320320320322E-2</v>
      </c>
      <c r="J417" s="384">
        <v>0</v>
      </c>
      <c r="K417" s="384">
        <v>0</v>
      </c>
      <c r="L417" s="384">
        <v>0</v>
      </c>
      <c r="M417" s="385">
        <v>0</v>
      </c>
      <c r="N417" s="385">
        <v>0</v>
      </c>
      <c r="O417" s="384">
        <v>0</v>
      </c>
      <c r="P417" s="384">
        <v>0</v>
      </c>
      <c r="Q417" s="385">
        <v>0</v>
      </c>
      <c r="R417" s="385">
        <v>0</v>
      </c>
      <c r="S417" s="385">
        <v>4.975124378109453E-2</v>
      </c>
      <c r="T417" s="385">
        <v>4.975124378109453E-2</v>
      </c>
      <c r="U417" s="385">
        <v>2.0900794818957905E-2</v>
      </c>
      <c r="V417"/>
      <c r="W417"/>
      <c r="X417"/>
      <c r="Y417"/>
    </row>
    <row r="418" spans="1:25" ht="15.75">
      <c r="A418" s="684"/>
      <c r="B418" s="687" t="s">
        <v>1051</v>
      </c>
      <c r="C418" s="674"/>
      <c r="D418" s="675"/>
      <c r="E418" s="675"/>
      <c r="F418" s="675"/>
      <c r="G418" s="675"/>
      <c r="H418" s="676"/>
      <c r="I418" s="676"/>
      <c r="J418" s="675"/>
      <c r="K418" s="675"/>
      <c r="L418" s="675"/>
      <c r="M418" s="676"/>
      <c r="N418" s="676"/>
      <c r="O418" s="675"/>
      <c r="P418" s="675"/>
      <c r="Q418" s="676"/>
      <c r="R418" s="676"/>
      <c r="S418" s="676"/>
      <c r="T418" s="676"/>
      <c r="U418" s="676"/>
      <c r="V418"/>
      <c r="W418"/>
      <c r="X418"/>
      <c r="Y418"/>
    </row>
    <row r="419" spans="1:25" s="386" customFormat="1" ht="15.75">
      <c r="A419" s="684"/>
      <c r="B419" s="688" t="s">
        <v>1052</v>
      </c>
      <c r="C419" s="380"/>
      <c r="D419" s="381"/>
      <c r="E419" s="381"/>
      <c r="F419" s="381"/>
      <c r="G419" s="381"/>
      <c r="H419" s="382"/>
      <c r="I419" s="382"/>
      <c r="J419" s="381"/>
      <c r="K419" s="381"/>
      <c r="L419" s="381"/>
      <c r="M419" s="382"/>
      <c r="N419" s="382"/>
      <c r="O419" s="381"/>
      <c r="P419" s="381"/>
      <c r="Q419" s="382"/>
      <c r="R419" s="382"/>
      <c r="S419" s="382"/>
      <c r="T419" s="382"/>
      <c r="U419" s="382"/>
      <c r="V419"/>
      <c r="W419"/>
      <c r="X419"/>
      <c r="Y419"/>
    </row>
    <row r="420" spans="1:25" ht="15.75">
      <c r="A420" s="684"/>
      <c r="B420" s="689" t="s">
        <v>1053</v>
      </c>
      <c r="C420" s="383">
        <v>0</v>
      </c>
      <c r="D420" s="384">
        <v>0</v>
      </c>
      <c r="E420" s="384">
        <v>0</v>
      </c>
      <c r="F420" s="384">
        <v>0</v>
      </c>
      <c r="G420" s="384">
        <v>0</v>
      </c>
      <c r="H420" s="385">
        <v>0</v>
      </c>
      <c r="I420" s="385">
        <v>0</v>
      </c>
      <c r="J420" s="384">
        <v>0</v>
      </c>
      <c r="K420" s="384">
        <v>0</v>
      </c>
      <c r="L420" s="384">
        <v>0</v>
      </c>
      <c r="M420" s="385">
        <v>0</v>
      </c>
      <c r="N420" s="385">
        <v>0</v>
      </c>
      <c r="O420" s="384">
        <v>0</v>
      </c>
      <c r="P420" s="384">
        <v>0</v>
      </c>
      <c r="Q420" s="385">
        <v>0</v>
      </c>
      <c r="R420" s="385">
        <v>0</v>
      </c>
      <c r="S420" s="385">
        <v>0</v>
      </c>
      <c r="T420" s="385">
        <v>0</v>
      </c>
      <c r="U420" s="385">
        <v>0</v>
      </c>
      <c r="V420"/>
      <c r="W420"/>
      <c r="X420"/>
      <c r="Y420"/>
    </row>
    <row r="421" spans="1:25" ht="15.75">
      <c r="A421" s="684"/>
      <c r="B421" s="687" t="s">
        <v>1054</v>
      </c>
      <c r="C421" s="674">
        <v>1528</v>
      </c>
      <c r="D421" s="675">
        <v>969</v>
      </c>
      <c r="E421" s="675"/>
      <c r="F421" s="675">
        <v>483</v>
      </c>
      <c r="G421" s="675">
        <v>73</v>
      </c>
      <c r="H421" s="676"/>
      <c r="I421" s="676">
        <v>3053</v>
      </c>
      <c r="J421" s="675"/>
      <c r="K421" s="675">
        <v>0</v>
      </c>
      <c r="L421" s="675">
        <v>0</v>
      </c>
      <c r="M421" s="676">
        <v>0</v>
      </c>
      <c r="N421" s="676">
        <v>0</v>
      </c>
      <c r="O421" s="675"/>
      <c r="P421" s="675"/>
      <c r="Q421" s="676"/>
      <c r="R421" s="676"/>
      <c r="S421" s="676">
        <v>87</v>
      </c>
      <c r="T421" s="676">
        <v>87</v>
      </c>
      <c r="U421" s="676">
        <v>3140</v>
      </c>
      <c r="V421"/>
      <c r="W421"/>
      <c r="X421"/>
      <c r="Y421"/>
    </row>
    <row r="422" spans="1:25" s="386" customFormat="1" ht="15.75">
      <c r="A422" s="684"/>
      <c r="B422" s="688" t="s">
        <v>1055</v>
      </c>
      <c r="C422" s="380">
        <v>1626</v>
      </c>
      <c r="D422" s="381">
        <v>863</v>
      </c>
      <c r="E422" s="381"/>
      <c r="F422" s="381">
        <v>566</v>
      </c>
      <c r="G422" s="381">
        <v>69</v>
      </c>
      <c r="H422" s="382"/>
      <c r="I422" s="382">
        <v>3124</v>
      </c>
      <c r="J422" s="381"/>
      <c r="K422" s="381">
        <v>0</v>
      </c>
      <c r="L422" s="381">
        <v>0</v>
      </c>
      <c r="M422" s="382">
        <v>0</v>
      </c>
      <c r="N422" s="382">
        <v>0</v>
      </c>
      <c r="O422" s="381"/>
      <c r="P422" s="381"/>
      <c r="Q422" s="382"/>
      <c r="R422" s="382"/>
      <c r="S422" s="382">
        <v>98</v>
      </c>
      <c r="T422" s="382">
        <v>98</v>
      </c>
      <c r="U422" s="382">
        <v>3222</v>
      </c>
      <c r="V422"/>
      <c r="W422"/>
      <c r="X422"/>
      <c r="Y422"/>
    </row>
    <row r="423" spans="1:25" ht="15.75">
      <c r="A423" s="684"/>
      <c r="B423" s="689" t="s">
        <v>1056</v>
      </c>
      <c r="C423" s="383">
        <v>6.413612565445026E-2</v>
      </c>
      <c r="D423" s="692">
        <v>-0.10939112487100103</v>
      </c>
      <c r="E423" s="384">
        <v>0</v>
      </c>
      <c r="F423" s="692">
        <v>0.17184265010351968</v>
      </c>
      <c r="G423" s="384">
        <v>-5.4794520547945202E-2</v>
      </c>
      <c r="H423" s="385">
        <v>0</v>
      </c>
      <c r="I423" s="385">
        <v>2.3255813953488372E-2</v>
      </c>
      <c r="J423" s="384">
        <v>0</v>
      </c>
      <c r="K423" s="384">
        <v>0</v>
      </c>
      <c r="L423" s="384">
        <v>0</v>
      </c>
      <c r="M423" s="385">
        <v>0</v>
      </c>
      <c r="N423" s="385">
        <v>0</v>
      </c>
      <c r="O423" s="384">
        <v>0</v>
      </c>
      <c r="P423" s="384">
        <v>0</v>
      </c>
      <c r="Q423" s="385">
        <v>0</v>
      </c>
      <c r="R423" s="385">
        <v>0</v>
      </c>
      <c r="S423" s="385">
        <v>0.12643678160919541</v>
      </c>
      <c r="T423" s="385">
        <v>0.12643678160919541</v>
      </c>
      <c r="U423" s="385">
        <v>2.6114649681528664E-2</v>
      </c>
      <c r="V423"/>
      <c r="W423"/>
      <c r="X423"/>
      <c r="Y423"/>
    </row>
    <row r="424" spans="1:25" ht="15.75">
      <c r="A424" s="684"/>
      <c r="B424" s="687" t="s">
        <v>1057</v>
      </c>
      <c r="C424" s="674">
        <v>252</v>
      </c>
      <c r="D424" s="675">
        <v>139</v>
      </c>
      <c r="E424" s="675"/>
      <c r="F424" s="675">
        <v>5</v>
      </c>
      <c r="G424" s="675">
        <v>0</v>
      </c>
      <c r="H424" s="676"/>
      <c r="I424" s="676">
        <v>396</v>
      </c>
      <c r="J424" s="675"/>
      <c r="K424" s="675">
        <v>0</v>
      </c>
      <c r="L424" s="675">
        <v>0</v>
      </c>
      <c r="M424" s="676">
        <v>0</v>
      </c>
      <c r="N424" s="676">
        <v>0</v>
      </c>
      <c r="O424" s="675"/>
      <c r="P424" s="675"/>
      <c r="Q424" s="676"/>
      <c r="R424" s="676"/>
      <c r="S424" s="676">
        <v>75</v>
      </c>
      <c r="T424" s="676">
        <v>75</v>
      </c>
      <c r="U424" s="676">
        <v>471</v>
      </c>
      <c r="V424"/>
      <c r="W424"/>
      <c r="X424"/>
      <c r="Y424"/>
    </row>
    <row r="425" spans="1:25" s="386" customFormat="1" ht="15.75">
      <c r="A425" s="684"/>
      <c r="B425" s="688" t="s">
        <v>1058</v>
      </c>
      <c r="C425" s="380">
        <v>242</v>
      </c>
      <c r="D425" s="381">
        <v>166</v>
      </c>
      <c r="E425" s="381"/>
      <c r="F425" s="381">
        <v>5</v>
      </c>
      <c r="G425" s="381">
        <v>0</v>
      </c>
      <c r="H425" s="382"/>
      <c r="I425" s="382">
        <v>413</v>
      </c>
      <c r="J425" s="381"/>
      <c r="K425" s="381">
        <v>0</v>
      </c>
      <c r="L425" s="381">
        <v>0</v>
      </c>
      <c r="M425" s="382">
        <v>0</v>
      </c>
      <c r="N425" s="382">
        <v>0</v>
      </c>
      <c r="O425" s="381"/>
      <c r="P425" s="381"/>
      <c r="Q425" s="382"/>
      <c r="R425" s="382"/>
      <c r="S425" s="382">
        <v>86</v>
      </c>
      <c r="T425" s="382">
        <v>86</v>
      </c>
      <c r="U425" s="382">
        <v>499</v>
      </c>
      <c r="V425"/>
      <c r="W425"/>
      <c r="X425"/>
      <c r="Y425"/>
    </row>
    <row r="426" spans="1:25" ht="15.75">
      <c r="A426" s="684"/>
      <c r="B426" s="689" t="s">
        <v>1059</v>
      </c>
      <c r="C426" s="383">
        <v>-3.968253968253968E-2</v>
      </c>
      <c r="D426" s="692">
        <v>0.19424460431654678</v>
      </c>
      <c r="E426" s="384">
        <v>0</v>
      </c>
      <c r="F426" s="384">
        <v>0</v>
      </c>
      <c r="G426" s="384">
        <v>0</v>
      </c>
      <c r="H426" s="385">
        <v>0</v>
      </c>
      <c r="I426" s="385">
        <v>4.2929292929292928E-2</v>
      </c>
      <c r="J426" s="384">
        <v>0</v>
      </c>
      <c r="K426" s="384">
        <v>0</v>
      </c>
      <c r="L426" s="384">
        <v>0</v>
      </c>
      <c r="M426" s="385">
        <v>0</v>
      </c>
      <c r="N426" s="385">
        <v>0</v>
      </c>
      <c r="O426" s="384">
        <v>0</v>
      </c>
      <c r="P426" s="384">
        <v>0</v>
      </c>
      <c r="Q426" s="385">
        <v>0</v>
      </c>
      <c r="R426" s="385">
        <v>0</v>
      </c>
      <c r="S426" s="385">
        <v>0.14666666666666667</v>
      </c>
      <c r="T426" s="385">
        <v>0.14666666666666667</v>
      </c>
      <c r="U426" s="385">
        <v>5.9447983014861996E-2</v>
      </c>
      <c r="V426"/>
      <c r="W426"/>
      <c r="X426"/>
      <c r="Y426"/>
    </row>
    <row r="427" spans="1:25" ht="15.75">
      <c r="A427" s="684"/>
      <c r="B427" s="687" t="s">
        <v>1060</v>
      </c>
      <c r="C427" s="674"/>
      <c r="D427" s="675">
        <v>175</v>
      </c>
      <c r="E427" s="675"/>
      <c r="F427" s="675"/>
      <c r="G427" s="675"/>
      <c r="H427" s="676"/>
      <c r="I427" s="676">
        <v>175</v>
      </c>
      <c r="J427" s="675"/>
      <c r="K427" s="675"/>
      <c r="L427" s="675"/>
      <c r="M427" s="676"/>
      <c r="N427" s="676"/>
      <c r="O427" s="675"/>
      <c r="P427" s="675"/>
      <c r="Q427" s="676"/>
      <c r="R427" s="676"/>
      <c r="S427" s="676"/>
      <c r="T427" s="676"/>
      <c r="U427" s="676">
        <v>175</v>
      </c>
      <c r="V427"/>
      <c r="W427"/>
      <c r="X427"/>
      <c r="Y427"/>
    </row>
    <row r="428" spans="1:25" s="386" customFormat="1" ht="15.75">
      <c r="A428" s="684"/>
      <c r="B428" s="688" t="s">
        <v>1061</v>
      </c>
      <c r="C428" s="380"/>
      <c r="D428" s="381">
        <v>163</v>
      </c>
      <c r="E428" s="381"/>
      <c r="F428" s="381"/>
      <c r="G428" s="381"/>
      <c r="H428" s="382"/>
      <c r="I428" s="382">
        <v>163</v>
      </c>
      <c r="J428" s="381"/>
      <c r="K428" s="381"/>
      <c r="L428" s="381"/>
      <c r="M428" s="382"/>
      <c r="N428" s="382"/>
      <c r="O428" s="381"/>
      <c r="P428" s="381"/>
      <c r="Q428" s="382"/>
      <c r="R428" s="382"/>
      <c r="S428" s="382"/>
      <c r="T428" s="382"/>
      <c r="U428" s="382">
        <v>163</v>
      </c>
      <c r="V428"/>
      <c r="W428"/>
      <c r="X428"/>
      <c r="Y428"/>
    </row>
    <row r="429" spans="1:25" ht="15.75">
      <c r="A429" s="684"/>
      <c r="B429" s="689" t="s">
        <v>1062</v>
      </c>
      <c r="C429" s="383">
        <v>0</v>
      </c>
      <c r="D429" s="384">
        <v>-6.8571428571428575E-2</v>
      </c>
      <c r="E429" s="384">
        <v>0</v>
      </c>
      <c r="F429" s="384">
        <v>0</v>
      </c>
      <c r="G429" s="384">
        <v>0</v>
      </c>
      <c r="H429" s="385">
        <v>0</v>
      </c>
      <c r="I429" s="385">
        <v>-6.8571428571428575E-2</v>
      </c>
      <c r="J429" s="384">
        <v>0</v>
      </c>
      <c r="K429" s="384">
        <v>0</v>
      </c>
      <c r="L429" s="384">
        <v>0</v>
      </c>
      <c r="M429" s="385">
        <v>0</v>
      </c>
      <c r="N429" s="385">
        <v>0</v>
      </c>
      <c r="O429" s="384">
        <v>0</v>
      </c>
      <c r="P429" s="384">
        <v>0</v>
      </c>
      <c r="Q429" s="385">
        <v>0</v>
      </c>
      <c r="R429" s="385">
        <v>0</v>
      </c>
      <c r="S429" s="385">
        <v>0</v>
      </c>
      <c r="T429" s="385">
        <v>0</v>
      </c>
      <c r="U429" s="385">
        <v>-6.8571428571428575E-2</v>
      </c>
      <c r="V429"/>
      <c r="W429"/>
      <c r="X429"/>
      <c r="Y429"/>
    </row>
    <row r="430" spans="1:25" ht="15.75">
      <c r="A430" s="684"/>
      <c r="B430" s="687" t="s">
        <v>1063</v>
      </c>
      <c r="C430" s="674"/>
      <c r="D430" s="675"/>
      <c r="E430" s="675"/>
      <c r="F430" s="675"/>
      <c r="G430" s="675"/>
      <c r="H430" s="676"/>
      <c r="I430" s="676"/>
      <c r="J430" s="675"/>
      <c r="K430" s="675"/>
      <c r="L430" s="675"/>
      <c r="M430" s="676"/>
      <c r="N430" s="676"/>
      <c r="O430" s="675"/>
      <c r="P430" s="675"/>
      <c r="Q430" s="676"/>
      <c r="R430" s="676"/>
      <c r="S430" s="676">
        <v>98</v>
      </c>
      <c r="T430" s="676">
        <v>98</v>
      </c>
      <c r="U430" s="676">
        <v>98</v>
      </c>
      <c r="V430"/>
      <c r="W430"/>
      <c r="X430"/>
      <c r="Y430"/>
    </row>
    <row r="431" spans="1:25" s="386" customFormat="1" ht="15.75">
      <c r="A431" s="684"/>
      <c r="B431" s="688" t="s">
        <v>1064</v>
      </c>
      <c r="C431" s="380"/>
      <c r="D431" s="381"/>
      <c r="E431" s="381"/>
      <c r="F431" s="381"/>
      <c r="G431" s="381"/>
      <c r="H431" s="382"/>
      <c r="I431" s="382"/>
      <c r="J431" s="381"/>
      <c r="K431" s="381"/>
      <c r="L431" s="381"/>
      <c r="M431" s="382"/>
      <c r="N431" s="382"/>
      <c r="O431" s="381"/>
      <c r="P431" s="381"/>
      <c r="Q431" s="382"/>
      <c r="R431" s="382"/>
      <c r="S431" s="382">
        <v>94</v>
      </c>
      <c r="T431" s="382">
        <v>94</v>
      </c>
      <c r="U431" s="382">
        <v>94</v>
      </c>
      <c r="V431"/>
      <c r="W431"/>
      <c r="X431"/>
      <c r="Y431"/>
    </row>
    <row r="432" spans="1:25" ht="15.75">
      <c r="A432" s="684"/>
      <c r="B432" s="689" t="s">
        <v>1065</v>
      </c>
      <c r="C432" s="383">
        <v>0</v>
      </c>
      <c r="D432" s="384">
        <v>0</v>
      </c>
      <c r="E432" s="384">
        <v>0</v>
      </c>
      <c r="F432" s="384">
        <v>0</v>
      </c>
      <c r="G432" s="384">
        <v>0</v>
      </c>
      <c r="H432" s="385">
        <v>0</v>
      </c>
      <c r="I432" s="385">
        <v>0</v>
      </c>
      <c r="J432" s="384">
        <v>0</v>
      </c>
      <c r="K432" s="384">
        <v>0</v>
      </c>
      <c r="L432" s="384">
        <v>0</v>
      </c>
      <c r="M432" s="385">
        <v>0</v>
      </c>
      <c r="N432" s="385">
        <v>0</v>
      </c>
      <c r="O432" s="384">
        <v>0</v>
      </c>
      <c r="P432" s="384">
        <v>0</v>
      </c>
      <c r="Q432" s="385">
        <v>0</v>
      </c>
      <c r="R432" s="385">
        <v>0</v>
      </c>
      <c r="S432" s="385">
        <v>-4.0816326530612242E-2</v>
      </c>
      <c r="T432" s="385">
        <v>-4.0816326530612242E-2</v>
      </c>
      <c r="U432" s="385">
        <v>-4.0816326530612242E-2</v>
      </c>
      <c r="V432"/>
      <c r="W432"/>
      <c r="X432"/>
      <c r="Y432"/>
    </row>
    <row r="433" spans="1:25" ht="15.75">
      <c r="A433" s="684"/>
      <c r="B433" s="687" t="s">
        <v>1066</v>
      </c>
      <c r="C433" s="674"/>
      <c r="D433" s="675"/>
      <c r="E433" s="675"/>
      <c r="F433" s="675"/>
      <c r="G433" s="675"/>
      <c r="H433" s="676"/>
      <c r="I433" s="676"/>
      <c r="J433" s="675"/>
      <c r="K433" s="675"/>
      <c r="L433" s="675"/>
      <c r="M433" s="676"/>
      <c r="N433" s="676"/>
      <c r="O433" s="675"/>
      <c r="P433" s="675"/>
      <c r="Q433" s="676"/>
      <c r="R433" s="676"/>
      <c r="S433" s="676">
        <v>29</v>
      </c>
      <c r="T433" s="676">
        <v>29</v>
      </c>
      <c r="U433" s="676">
        <v>29</v>
      </c>
      <c r="V433"/>
      <c r="W433"/>
      <c r="X433"/>
      <c r="Y433"/>
    </row>
    <row r="434" spans="1:25" s="386" customFormat="1" ht="15.75">
      <c r="A434" s="684"/>
      <c r="B434" s="688" t="s">
        <v>1067</v>
      </c>
      <c r="C434" s="380"/>
      <c r="D434" s="381"/>
      <c r="E434" s="381"/>
      <c r="F434" s="381"/>
      <c r="G434" s="381"/>
      <c r="H434" s="382"/>
      <c r="I434" s="382"/>
      <c r="J434" s="381"/>
      <c r="K434" s="381"/>
      <c r="L434" s="381"/>
      <c r="M434" s="382"/>
      <c r="N434" s="382"/>
      <c r="O434" s="381"/>
      <c r="P434" s="381"/>
      <c r="Q434" s="382"/>
      <c r="R434" s="382"/>
      <c r="S434" s="382">
        <v>31</v>
      </c>
      <c r="T434" s="382">
        <v>31</v>
      </c>
      <c r="U434" s="382">
        <v>31</v>
      </c>
      <c r="V434"/>
      <c r="W434"/>
      <c r="X434"/>
      <c r="Y434"/>
    </row>
    <row r="435" spans="1:25" ht="15.75">
      <c r="A435" s="684"/>
      <c r="B435" s="689" t="s">
        <v>1068</v>
      </c>
      <c r="C435" s="383">
        <v>0</v>
      </c>
      <c r="D435" s="384">
        <v>0</v>
      </c>
      <c r="E435" s="384">
        <v>0</v>
      </c>
      <c r="F435" s="384">
        <v>0</v>
      </c>
      <c r="G435" s="384">
        <v>0</v>
      </c>
      <c r="H435" s="385">
        <v>0</v>
      </c>
      <c r="I435" s="385">
        <v>0</v>
      </c>
      <c r="J435" s="384">
        <v>0</v>
      </c>
      <c r="K435" s="384">
        <v>0</v>
      </c>
      <c r="L435" s="384">
        <v>0</v>
      </c>
      <c r="M435" s="385">
        <v>0</v>
      </c>
      <c r="N435" s="385">
        <v>0</v>
      </c>
      <c r="O435" s="384">
        <v>0</v>
      </c>
      <c r="P435" s="384">
        <v>0</v>
      </c>
      <c r="Q435" s="385">
        <v>0</v>
      </c>
      <c r="R435" s="385">
        <v>0</v>
      </c>
      <c r="S435" s="385">
        <v>6.8965517241379309E-2</v>
      </c>
      <c r="T435" s="385">
        <v>6.8965517241379309E-2</v>
      </c>
      <c r="U435" s="385">
        <v>6.8965517241379309E-2</v>
      </c>
      <c r="V435"/>
      <c r="W435"/>
      <c r="X435"/>
      <c r="Y435"/>
    </row>
    <row r="436" spans="1:25" ht="15.75">
      <c r="A436" s="684"/>
      <c r="B436" s="687" t="s">
        <v>1069</v>
      </c>
      <c r="C436" s="674"/>
      <c r="D436" s="675">
        <v>70</v>
      </c>
      <c r="E436" s="675"/>
      <c r="F436" s="675"/>
      <c r="G436" s="675"/>
      <c r="H436" s="676"/>
      <c r="I436" s="676">
        <v>70</v>
      </c>
      <c r="J436" s="675"/>
      <c r="K436" s="675"/>
      <c r="L436" s="675"/>
      <c r="M436" s="676"/>
      <c r="N436" s="676"/>
      <c r="O436" s="675"/>
      <c r="P436" s="675"/>
      <c r="Q436" s="676"/>
      <c r="R436" s="676"/>
      <c r="S436" s="676"/>
      <c r="T436" s="676"/>
      <c r="U436" s="676">
        <v>70</v>
      </c>
      <c r="V436"/>
      <c r="W436"/>
      <c r="X436"/>
      <c r="Y436"/>
    </row>
    <row r="437" spans="1:25" s="386" customFormat="1" ht="15.75">
      <c r="A437" s="684"/>
      <c r="B437" s="688" t="s">
        <v>1070</v>
      </c>
      <c r="C437" s="380"/>
      <c r="D437" s="381">
        <v>75</v>
      </c>
      <c r="E437" s="381"/>
      <c r="F437" s="381"/>
      <c r="G437" s="381"/>
      <c r="H437" s="382"/>
      <c r="I437" s="382">
        <v>75</v>
      </c>
      <c r="J437" s="381"/>
      <c r="K437" s="381"/>
      <c r="L437" s="381"/>
      <c r="M437" s="382"/>
      <c r="N437" s="382"/>
      <c r="O437" s="381"/>
      <c r="P437" s="381"/>
      <c r="Q437" s="382"/>
      <c r="R437" s="382"/>
      <c r="S437" s="382"/>
      <c r="T437" s="382"/>
      <c r="U437" s="382">
        <v>75</v>
      </c>
      <c r="V437"/>
      <c r="W437"/>
      <c r="X437"/>
      <c r="Y437"/>
    </row>
    <row r="438" spans="1:25" ht="15.75">
      <c r="A438" s="684"/>
      <c r="B438" s="689" t="s">
        <v>1071</v>
      </c>
      <c r="C438" s="383">
        <v>0</v>
      </c>
      <c r="D438" s="384">
        <v>7.1428571428571425E-2</v>
      </c>
      <c r="E438" s="384">
        <v>0</v>
      </c>
      <c r="F438" s="384">
        <v>0</v>
      </c>
      <c r="G438" s="384">
        <v>0</v>
      </c>
      <c r="H438" s="385">
        <v>0</v>
      </c>
      <c r="I438" s="385">
        <v>7.1428571428571425E-2</v>
      </c>
      <c r="J438" s="384">
        <v>0</v>
      </c>
      <c r="K438" s="384">
        <v>0</v>
      </c>
      <c r="L438" s="384">
        <v>0</v>
      </c>
      <c r="M438" s="385">
        <v>0</v>
      </c>
      <c r="N438" s="385">
        <v>0</v>
      </c>
      <c r="O438" s="384">
        <v>0</v>
      </c>
      <c r="P438" s="384">
        <v>0</v>
      </c>
      <c r="Q438" s="385">
        <v>0</v>
      </c>
      <c r="R438" s="385">
        <v>0</v>
      </c>
      <c r="S438" s="385">
        <v>0</v>
      </c>
      <c r="T438" s="385">
        <v>0</v>
      </c>
      <c r="U438" s="385">
        <v>7.1428571428571425E-2</v>
      </c>
      <c r="V438"/>
      <c r="W438"/>
      <c r="X438"/>
      <c r="Y438"/>
    </row>
    <row r="439" spans="1:25" ht="15.75">
      <c r="A439" s="684"/>
      <c r="B439" s="687" t="s">
        <v>1072</v>
      </c>
      <c r="C439" s="674"/>
      <c r="D439" s="675"/>
      <c r="E439" s="675"/>
      <c r="F439" s="675"/>
      <c r="G439" s="675"/>
      <c r="H439" s="676"/>
      <c r="I439" s="676"/>
      <c r="J439" s="675"/>
      <c r="K439" s="675"/>
      <c r="L439" s="675"/>
      <c r="M439" s="676"/>
      <c r="N439" s="676"/>
      <c r="O439" s="675"/>
      <c r="P439" s="675"/>
      <c r="Q439" s="676"/>
      <c r="R439" s="676"/>
      <c r="S439" s="676"/>
      <c r="T439" s="676"/>
      <c r="U439" s="676"/>
      <c r="V439"/>
      <c r="W439"/>
      <c r="X439"/>
      <c r="Y439"/>
    </row>
    <row r="440" spans="1:25" s="386" customFormat="1" ht="15.75">
      <c r="A440" s="684"/>
      <c r="B440" s="688" t="s">
        <v>1073</v>
      </c>
      <c r="C440" s="380"/>
      <c r="D440" s="381"/>
      <c r="E440" s="381"/>
      <c r="F440" s="381"/>
      <c r="G440" s="381"/>
      <c r="H440" s="382"/>
      <c r="I440" s="382"/>
      <c r="J440" s="381"/>
      <c r="K440" s="381"/>
      <c r="L440" s="381"/>
      <c r="M440" s="382"/>
      <c r="N440" s="382"/>
      <c r="O440" s="381"/>
      <c r="P440" s="381"/>
      <c r="Q440" s="382"/>
      <c r="R440" s="382"/>
      <c r="S440" s="382"/>
      <c r="T440" s="382"/>
      <c r="U440" s="382"/>
      <c r="V440"/>
      <c r="W440"/>
      <c r="X440"/>
      <c r="Y440"/>
    </row>
    <row r="441" spans="1:25" ht="15.75">
      <c r="A441" s="684"/>
      <c r="B441" s="689" t="s">
        <v>1074</v>
      </c>
      <c r="C441" s="383">
        <v>0</v>
      </c>
      <c r="D441" s="384">
        <v>0</v>
      </c>
      <c r="E441" s="384">
        <v>0</v>
      </c>
      <c r="F441" s="384">
        <v>0</v>
      </c>
      <c r="G441" s="384">
        <v>0</v>
      </c>
      <c r="H441" s="385">
        <v>0</v>
      </c>
      <c r="I441" s="385">
        <v>0</v>
      </c>
      <c r="J441" s="384">
        <v>0</v>
      </c>
      <c r="K441" s="384">
        <v>0</v>
      </c>
      <c r="L441" s="384">
        <v>0</v>
      </c>
      <c r="M441" s="385">
        <v>0</v>
      </c>
      <c r="N441" s="385">
        <v>0</v>
      </c>
      <c r="O441" s="384">
        <v>0</v>
      </c>
      <c r="P441" s="384">
        <v>0</v>
      </c>
      <c r="Q441" s="385">
        <v>0</v>
      </c>
      <c r="R441" s="385">
        <v>0</v>
      </c>
      <c r="S441" s="385">
        <v>0</v>
      </c>
      <c r="T441" s="385">
        <v>0</v>
      </c>
      <c r="U441" s="385">
        <v>0</v>
      </c>
      <c r="V441"/>
      <c r="W441"/>
      <c r="X441"/>
      <c r="Y441"/>
    </row>
    <row r="442" spans="1:25" ht="15.75">
      <c r="A442" s="684"/>
      <c r="B442" s="687" t="s">
        <v>1075</v>
      </c>
      <c r="C442" s="674"/>
      <c r="D442" s="675"/>
      <c r="E442" s="675"/>
      <c r="F442" s="675"/>
      <c r="G442" s="675"/>
      <c r="H442" s="676"/>
      <c r="I442" s="676"/>
      <c r="J442" s="675"/>
      <c r="K442" s="675"/>
      <c r="L442" s="675"/>
      <c r="M442" s="676"/>
      <c r="N442" s="676"/>
      <c r="O442" s="675"/>
      <c r="P442" s="675"/>
      <c r="Q442" s="676"/>
      <c r="R442" s="676"/>
      <c r="S442" s="676"/>
      <c r="T442" s="676"/>
      <c r="U442" s="676"/>
      <c r="V442"/>
      <c r="W442"/>
      <c r="X442"/>
      <c r="Y442"/>
    </row>
    <row r="443" spans="1:25" s="386" customFormat="1" ht="15.75">
      <c r="A443" s="684"/>
      <c r="B443" s="688" t="s">
        <v>1076</v>
      </c>
      <c r="C443" s="380"/>
      <c r="D443" s="381"/>
      <c r="E443" s="381"/>
      <c r="F443" s="381"/>
      <c r="G443" s="381"/>
      <c r="H443" s="382"/>
      <c r="I443" s="382"/>
      <c r="J443" s="381"/>
      <c r="K443" s="381"/>
      <c r="L443" s="381"/>
      <c r="M443" s="382"/>
      <c r="N443" s="382"/>
      <c r="O443" s="381"/>
      <c r="P443" s="381"/>
      <c r="Q443" s="382"/>
      <c r="R443" s="382"/>
      <c r="S443" s="382"/>
      <c r="T443" s="382"/>
      <c r="U443" s="382"/>
      <c r="V443"/>
      <c r="W443"/>
      <c r="X443"/>
      <c r="Y443"/>
    </row>
    <row r="444" spans="1:25" ht="15.75">
      <c r="A444" s="684"/>
      <c r="B444" s="689" t="s">
        <v>1077</v>
      </c>
      <c r="C444" s="383">
        <v>0</v>
      </c>
      <c r="D444" s="384">
        <v>0</v>
      </c>
      <c r="E444" s="384">
        <v>0</v>
      </c>
      <c r="F444" s="384">
        <v>0</v>
      </c>
      <c r="G444" s="384">
        <v>0</v>
      </c>
      <c r="H444" s="385">
        <v>0</v>
      </c>
      <c r="I444" s="385">
        <v>0</v>
      </c>
      <c r="J444" s="384">
        <v>0</v>
      </c>
      <c r="K444" s="384">
        <v>0</v>
      </c>
      <c r="L444" s="384">
        <v>0</v>
      </c>
      <c r="M444" s="385">
        <v>0</v>
      </c>
      <c r="N444" s="385">
        <v>0</v>
      </c>
      <c r="O444" s="384">
        <v>0</v>
      </c>
      <c r="P444" s="384">
        <v>0</v>
      </c>
      <c r="Q444" s="385">
        <v>0</v>
      </c>
      <c r="R444" s="385">
        <v>0</v>
      </c>
      <c r="S444" s="385">
        <v>0</v>
      </c>
      <c r="T444" s="385">
        <v>0</v>
      </c>
      <c r="U444" s="385">
        <v>0</v>
      </c>
      <c r="V444"/>
      <c r="W444"/>
      <c r="X444"/>
      <c r="Y444"/>
    </row>
    <row r="445" spans="1:25" ht="15.75">
      <c r="A445" s="684"/>
      <c r="B445" s="687" t="s">
        <v>1078</v>
      </c>
      <c r="C445" s="674"/>
      <c r="D445" s="675"/>
      <c r="E445" s="675"/>
      <c r="F445" s="675"/>
      <c r="G445" s="675"/>
      <c r="H445" s="676"/>
      <c r="I445" s="676"/>
      <c r="J445" s="675"/>
      <c r="K445" s="675"/>
      <c r="L445" s="675"/>
      <c r="M445" s="676"/>
      <c r="N445" s="676"/>
      <c r="O445" s="675"/>
      <c r="P445" s="675"/>
      <c r="Q445" s="676"/>
      <c r="R445" s="676"/>
      <c r="S445" s="676"/>
      <c r="T445" s="676"/>
      <c r="U445" s="676"/>
      <c r="V445"/>
      <c r="W445"/>
      <c r="X445"/>
      <c r="Y445"/>
    </row>
    <row r="446" spans="1:25" s="386" customFormat="1" ht="15.75">
      <c r="A446" s="684"/>
      <c r="B446" s="688" t="s">
        <v>1079</v>
      </c>
      <c r="C446" s="380"/>
      <c r="D446" s="381"/>
      <c r="E446" s="381"/>
      <c r="F446" s="381"/>
      <c r="G446" s="381"/>
      <c r="H446" s="382"/>
      <c r="I446" s="382"/>
      <c r="J446" s="381"/>
      <c r="K446" s="381"/>
      <c r="L446" s="381"/>
      <c r="M446" s="382"/>
      <c r="N446" s="382"/>
      <c r="O446" s="381"/>
      <c r="P446" s="381"/>
      <c r="Q446" s="382"/>
      <c r="R446" s="382"/>
      <c r="S446" s="382"/>
      <c r="T446" s="382"/>
      <c r="U446" s="382"/>
      <c r="V446"/>
      <c r="W446"/>
      <c r="X446"/>
      <c r="Y446"/>
    </row>
    <row r="447" spans="1:25" ht="15.75">
      <c r="A447" s="684"/>
      <c r="B447" s="689" t="s">
        <v>1080</v>
      </c>
      <c r="C447" s="383">
        <v>0</v>
      </c>
      <c r="D447" s="384">
        <v>0</v>
      </c>
      <c r="E447" s="384">
        <v>0</v>
      </c>
      <c r="F447" s="384">
        <v>0</v>
      </c>
      <c r="G447" s="384">
        <v>0</v>
      </c>
      <c r="H447" s="385">
        <v>0</v>
      </c>
      <c r="I447" s="385">
        <v>0</v>
      </c>
      <c r="J447" s="384">
        <v>0</v>
      </c>
      <c r="K447" s="384">
        <v>0</v>
      </c>
      <c r="L447" s="384">
        <v>0</v>
      </c>
      <c r="M447" s="385">
        <v>0</v>
      </c>
      <c r="N447" s="385">
        <v>0</v>
      </c>
      <c r="O447" s="384">
        <v>0</v>
      </c>
      <c r="P447" s="384">
        <v>0</v>
      </c>
      <c r="Q447" s="385">
        <v>0</v>
      </c>
      <c r="R447" s="385">
        <v>0</v>
      </c>
      <c r="S447" s="385">
        <v>0</v>
      </c>
      <c r="T447" s="385">
        <v>0</v>
      </c>
      <c r="U447" s="385">
        <v>0</v>
      </c>
      <c r="V447"/>
      <c r="W447"/>
      <c r="X447"/>
      <c r="Y447"/>
    </row>
    <row r="448" spans="1:25" ht="15.75">
      <c r="A448" s="684"/>
      <c r="B448" s="687" t="s">
        <v>1081</v>
      </c>
      <c r="C448" s="674">
        <v>65</v>
      </c>
      <c r="D448" s="675"/>
      <c r="E448" s="675"/>
      <c r="F448" s="675"/>
      <c r="G448" s="675"/>
      <c r="H448" s="676"/>
      <c r="I448" s="676">
        <v>65</v>
      </c>
      <c r="J448" s="675"/>
      <c r="K448" s="675"/>
      <c r="L448" s="675"/>
      <c r="M448" s="676"/>
      <c r="N448" s="676"/>
      <c r="O448" s="675"/>
      <c r="P448" s="675"/>
      <c r="Q448" s="676"/>
      <c r="R448" s="676"/>
      <c r="S448" s="676"/>
      <c r="T448" s="676"/>
      <c r="U448" s="676">
        <v>65</v>
      </c>
      <c r="V448"/>
      <c r="W448"/>
      <c r="X448"/>
      <c r="Y448"/>
    </row>
    <row r="449" spans="1:25" s="386" customFormat="1" ht="15.75">
      <c r="A449" s="684"/>
      <c r="B449" s="688" t="s">
        <v>1082</v>
      </c>
      <c r="C449" s="380">
        <v>67</v>
      </c>
      <c r="D449" s="381"/>
      <c r="E449" s="381"/>
      <c r="F449" s="381"/>
      <c r="G449" s="381"/>
      <c r="H449" s="382"/>
      <c r="I449" s="382">
        <v>67</v>
      </c>
      <c r="J449" s="381"/>
      <c r="K449" s="381"/>
      <c r="L449" s="381"/>
      <c r="M449" s="382"/>
      <c r="N449" s="382"/>
      <c r="O449" s="381"/>
      <c r="P449" s="381"/>
      <c r="Q449" s="382"/>
      <c r="R449" s="382"/>
      <c r="S449" s="382"/>
      <c r="T449" s="382"/>
      <c r="U449" s="382">
        <v>67</v>
      </c>
      <c r="V449"/>
      <c r="W449"/>
      <c r="X449"/>
      <c r="Y449"/>
    </row>
    <row r="450" spans="1:25" ht="15.75">
      <c r="A450" s="684"/>
      <c r="B450" s="689" t="s">
        <v>1083</v>
      </c>
      <c r="C450" s="383">
        <v>3.0769230769230771E-2</v>
      </c>
      <c r="D450" s="384">
        <v>0</v>
      </c>
      <c r="E450" s="384">
        <v>0</v>
      </c>
      <c r="F450" s="384">
        <v>0</v>
      </c>
      <c r="G450" s="384">
        <v>0</v>
      </c>
      <c r="H450" s="385">
        <v>0</v>
      </c>
      <c r="I450" s="385">
        <v>3.0769230769230771E-2</v>
      </c>
      <c r="J450" s="384">
        <v>0</v>
      </c>
      <c r="K450" s="384">
        <v>0</v>
      </c>
      <c r="L450" s="384">
        <v>0</v>
      </c>
      <c r="M450" s="385">
        <v>0</v>
      </c>
      <c r="N450" s="385">
        <v>0</v>
      </c>
      <c r="O450" s="384">
        <v>0</v>
      </c>
      <c r="P450" s="384">
        <v>0</v>
      </c>
      <c r="Q450" s="385">
        <v>0</v>
      </c>
      <c r="R450" s="385">
        <v>0</v>
      </c>
      <c r="S450" s="385">
        <v>0</v>
      </c>
      <c r="T450" s="385">
        <v>0</v>
      </c>
      <c r="U450" s="385">
        <v>3.0769230769230771E-2</v>
      </c>
      <c r="V450"/>
      <c r="W450"/>
      <c r="X450"/>
      <c r="Y450"/>
    </row>
    <row r="451" spans="1:25" ht="15.75">
      <c r="A451" s="684"/>
      <c r="B451" s="687" t="s">
        <v>1084</v>
      </c>
      <c r="C451" s="674"/>
      <c r="D451" s="675"/>
      <c r="E451" s="675"/>
      <c r="F451" s="675"/>
      <c r="G451" s="675"/>
      <c r="H451" s="676"/>
      <c r="I451" s="676"/>
      <c r="J451" s="675"/>
      <c r="K451" s="675"/>
      <c r="L451" s="675"/>
      <c r="M451" s="676"/>
      <c r="N451" s="676"/>
      <c r="O451" s="675"/>
      <c r="P451" s="675"/>
      <c r="Q451" s="676"/>
      <c r="R451" s="676"/>
      <c r="S451" s="676"/>
      <c r="T451" s="676"/>
      <c r="U451" s="676"/>
      <c r="V451"/>
      <c r="W451"/>
      <c r="X451"/>
      <c r="Y451"/>
    </row>
    <row r="452" spans="1:25" s="386" customFormat="1" ht="15.75">
      <c r="A452" s="684"/>
      <c r="B452" s="688" t="s">
        <v>1085</v>
      </c>
      <c r="C452" s="380"/>
      <c r="D452" s="381"/>
      <c r="E452" s="381"/>
      <c r="F452" s="381"/>
      <c r="G452" s="381"/>
      <c r="H452" s="382"/>
      <c r="I452" s="382"/>
      <c r="J452" s="381"/>
      <c r="K452" s="381"/>
      <c r="L452" s="381"/>
      <c r="M452" s="382"/>
      <c r="N452" s="382"/>
      <c r="O452" s="381"/>
      <c r="P452" s="381"/>
      <c r="Q452" s="382"/>
      <c r="R452" s="382"/>
      <c r="S452" s="382"/>
      <c r="T452" s="382"/>
      <c r="U452" s="382"/>
      <c r="V452"/>
      <c r="W452"/>
      <c r="X452"/>
      <c r="Y452"/>
    </row>
    <row r="453" spans="1:25" ht="15.75">
      <c r="A453" s="684"/>
      <c r="B453" s="689" t="s">
        <v>1086</v>
      </c>
      <c r="C453" s="383">
        <v>0</v>
      </c>
      <c r="D453" s="384">
        <v>0</v>
      </c>
      <c r="E453" s="384">
        <v>0</v>
      </c>
      <c r="F453" s="384">
        <v>0</v>
      </c>
      <c r="G453" s="384">
        <v>0</v>
      </c>
      <c r="H453" s="385">
        <v>0</v>
      </c>
      <c r="I453" s="385">
        <v>0</v>
      </c>
      <c r="J453" s="384">
        <v>0</v>
      </c>
      <c r="K453" s="384">
        <v>0</v>
      </c>
      <c r="L453" s="384">
        <v>0</v>
      </c>
      <c r="M453" s="385">
        <v>0</v>
      </c>
      <c r="N453" s="385">
        <v>0</v>
      </c>
      <c r="O453" s="384">
        <v>0</v>
      </c>
      <c r="P453" s="384">
        <v>0</v>
      </c>
      <c r="Q453" s="385">
        <v>0</v>
      </c>
      <c r="R453" s="385">
        <v>0</v>
      </c>
      <c r="S453" s="385">
        <v>0</v>
      </c>
      <c r="T453" s="385">
        <v>0</v>
      </c>
      <c r="U453" s="385">
        <v>0</v>
      </c>
      <c r="V453"/>
      <c r="W453"/>
      <c r="X453"/>
      <c r="Y453"/>
    </row>
    <row r="454" spans="1:25" ht="15.75">
      <c r="A454" s="684"/>
      <c r="B454" s="687" t="s">
        <v>1248</v>
      </c>
      <c r="C454" s="674"/>
      <c r="D454" s="675"/>
      <c r="E454" s="675"/>
      <c r="F454" s="675"/>
      <c r="G454" s="675"/>
      <c r="H454" s="676"/>
      <c r="I454" s="676"/>
      <c r="J454" s="675"/>
      <c r="K454" s="675"/>
      <c r="L454" s="675"/>
      <c r="M454" s="676"/>
      <c r="N454" s="676"/>
      <c r="O454" s="675"/>
      <c r="P454" s="675"/>
      <c r="Q454" s="676"/>
      <c r="R454" s="676"/>
      <c r="S454" s="676"/>
      <c r="T454" s="676"/>
      <c r="U454" s="676"/>
      <c r="V454"/>
      <c r="W454"/>
      <c r="X454"/>
      <c r="Y454"/>
    </row>
    <row r="455" spans="1:25" s="386" customFormat="1" ht="15.75">
      <c r="A455" s="685"/>
      <c r="B455" s="690" t="s">
        <v>1250</v>
      </c>
      <c r="C455" s="576"/>
      <c r="D455" s="577"/>
      <c r="E455" s="577"/>
      <c r="F455" s="577"/>
      <c r="G455" s="577"/>
      <c r="H455" s="578"/>
      <c r="I455" s="578"/>
      <c r="J455" s="577"/>
      <c r="K455" s="577"/>
      <c r="L455" s="577"/>
      <c r="M455" s="578"/>
      <c r="N455" s="578"/>
      <c r="O455" s="577"/>
      <c r="P455" s="577"/>
      <c r="Q455" s="578"/>
      <c r="R455" s="578"/>
      <c r="S455" s="578"/>
      <c r="T455" s="578"/>
      <c r="U455" s="578"/>
      <c r="V455"/>
      <c r="W455"/>
      <c r="X455"/>
      <c r="Y455"/>
    </row>
    <row r="456" spans="1:25" ht="15.75">
      <c r="A456" s="683" t="s">
        <v>984</v>
      </c>
      <c r="B456" s="687" t="s">
        <v>1039</v>
      </c>
      <c r="C456" s="674">
        <v>19</v>
      </c>
      <c r="D456" s="675"/>
      <c r="E456" s="675"/>
      <c r="F456" s="675"/>
      <c r="G456" s="675"/>
      <c r="H456" s="676"/>
      <c r="I456" s="676">
        <v>19</v>
      </c>
      <c r="J456" s="675"/>
      <c r="K456" s="675">
        <v>5282</v>
      </c>
      <c r="L456" s="675">
        <v>8243</v>
      </c>
      <c r="M456" s="676">
        <v>2002</v>
      </c>
      <c r="N456" s="676">
        <v>15527</v>
      </c>
      <c r="O456" s="675"/>
      <c r="P456" s="675"/>
      <c r="Q456" s="676"/>
      <c r="R456" s="676"/>
      <c r="S456" s="676"/>
      <c r="T456" s="676"/>
      <c r="U456" s="676">
        <v>15546</v>
      </c>
      <c r="V456"/>
      <c r="W456"/>
      <c r="X456"/>
      <c r="Y456"/>
    </row>
    <row r="457" spans="1:25" ht="15.75">
      <c r="A457" s="684"/>
      <c r="B457" s="688" t="s">
        <v>1040</v>
      </c>
      <c r="C457" s="380">
        <v>20</v>
      </c>
      <c r="D457" s="381"/>
      <c r="E457" s="381"/>
      <c r="F457" s="381"/>
      <c r="G457" s="381"/>
      <c r="H457" s="382"/>
      <c r="I457" s="382">
        <v>20</v>
      </c>
      <c r="J457" s="381"/>
      <c r="K457" s="381">
        <v>4962</v>
      </c>
      <c r="L457" s="381">
        <v>7360</v>
      </c>
      <c r="M457" s="382">
        <v>1993</v>
      </c>
      <c r="N457" s="382">
        <v>14315</v>
      </c>
      <c r="O457" s="381"/>
      <c r="P457" s="381"/>
      <c r="Q457" s="382"/>
      <c r="R457" s="382"/>
      <c r="S457" s="382"/>
      <c r="T457" s="382"/>
      <c r="U457" s="382">
        <v>14335</v>
      </c>
      <c r="V457"/>
      <c r="W457"/>
      <c r="X457"/>
      <c r="Y457"/>
    </row>
    <row r="458" spans="1:25" s="386" customFormat="1" ht="15.75">
      <c r="A458" s="684"/>
      <c r="B458" s="689" t="s">
        <v>1041</v>
      </c>
      <c r="C458" s="383">
        <v>5.2631578947368418E-2</v>
      </c>
      <c r="D458" s="384">
        <v>0</v>
      </c>
      <c r="E458" s="384">
        <v>0</v>
      </c>
      <c r="F458" s="384">
        <v>0</v>
      </c>
      <c r="G458" s="384">
        <v>0</v>
      </c>
      <c r="H458" s="385">
        <v>0</v>
      </c>
      <c r="I458" s="385">
        <v>5.2631578947368418E-2</v>
      </c>
      <c r="J458" s="384">
        <v>0</v>
      </c>
      <c r="K458" s="384">
        <v>-6.0583112457402499E-2</v>
      </c>
      <c r="L458" s="692">
        <v>-0.10712119374014316</v>
      </c>
      <c r="M458" s="385">
        <v>-4.4955044955044959E-3</v>
      </c>
      <c r="N458" s="385">
        <v>-7.8057577123719968E-2</v>
      </c>
      <c r="O458" s="384">
        <v>0</v>
      </c>
      <c r="P458" s="384">
        <v>0</v>
      </c>
      <c r="Q458" s="385">
        <v>0</v>
      </c>
      <c r="R458" s="385">
        <v>0</v>
      </c>
      <c r="S458" s="385">
        <v>0</v>
      </c>
      <c r="T458" s="385">
        <v>0</v>
      </c>
      <c r="U458" s="385">
        <v>-7.7897851537372956E-2</v>
      </c>
      <c r="V458"/>
      <c r="W458"/>
      <c r="X458"/>
      <c r="Y458"/>
    </row>
    <row r="459" spans="1:25" ht="15.75">
      <c r="A459" s="684"/>
      <c r="B459" s="687" t="s">
        <v>1042</v>
      </c>
      <c r="C459" s="674"/>
      <c r="D459" s="675"/>
      <c r="E459" s="675"/>
      <c r="F459" s="675"/>
      <c r="G459" s="675"/>
      <c r="H459" s="676"/>
      <c r="I459" s="676"/>
      <c r="J459" s="675"/>
      <c r="K459" s="675"/>
      <c r="L459" s="675"/>
      <c r="M459" s="676"/>
      <c r="N459" s="676"/>
      <c r="O459" s="675"/>
      <c r="P459" s="675"/>
      <c r="Q459" s="676"/>
      <c r="R459" s="676"/>
      <c r="S459" s="676">
        <v>24</v>
      </c>
      <c r="T459" s="676">
        <v>24</v>
      </c>
      <c r="U459" s="676">
        <v>24</v>
      </c>
      <c r="V459"/>
      <c r="W459"/>
      <c r="X459"/>
      <c r="Y459"/>
    </row>
    <row r="460" spans="1:25" ht="15.75">
      <c r="A460" s="684"/>
      <c r="B460" s="688" t="s">
        <v>1043</v>
      </c>
      <c r="C460" s="380"/>
      <c r="D460" s="381"/>
      <c r="E460" s="381"/>
      <c r="F460" s="381"/>
      <c r="G460" s="381"/>
      <c r="H460" s="382"/>
      <c r="I460" s="382"/>
      <c r="J460" s="381"/>
      <c r="K460" s="381"/>
      <c r="L460" s="381"/>
      <c r="M460" s="382"/>
      <c r="N460" s="382"/>
      <c r="O460" s="381"/>
      <c r="P460" s="381"/>
      <c r="Q460" s="382"/>
      <c r="R460" s="382"/>
      <c r="S460" s="382">
        <v>25</v>
      </c>
      <c r="T460" s="382">
        <v>25</v>
      </c>
      <c r="U460" s="382">
        <v>25</v>
      </c>
      <c r="V460"/>
      <c r="W460"/>
      <c r="X460"/>
      <c r="Y460"/>
    </row>
    <row r="461" spans="1:25" s="386" customFormat="1" ht="15.75">
      <c r="A461" s="684"/>
      <c r="B461" s="689" t="s">
        <v>1044</v>
      </c>
      <c r="C461" s="383">
        <v>0</v>
      </c>
      <c r="D461" s="384">
        <v>0</v>
      </c>
      <c r="E461" s="384">
        <v>0</v>
      </c>
      <c r="F461" s="384">
        <v>0</v>
      </c>
      <c r="G461" s="384">
        <v>0</v>
      </c>
      <c r="H461" s="385">
        <v>0</v>
      </c>
      <c r="I461" s="385">
        <v>0</v>
      </c>
      <c r="J461" s="384">
        <v>0</v>
      </c>
      <c r="K461" s="384">
        <v>0</v>
      </c>
      <c r="L461" s="384">
        <v>0</v>
      </c>
      <c r="M461" s="385">
        <v>0</v>
      </c>
      <c r="N461" s="385">
        <v>0</v>
      </c>
      <c r="O461" s="384">
        <v>0</v>
      </c>
      <c r="P461" s="384">
        <v>0</v>
      </c>
      <c r="Q461" s="385">
        <v>0</v>
      </c>
      <c r="R461" s="385">
        <v>0</v>
      </c>
      <c r="S461" s="385">
        <v>4.1666666666666664E-2</v>
      </c>
      <c r="T461" s="385">
        <v>4.1666666666666664E-2</v>
      </c>
      <c r="U461" s="385">
        <v>4.1666666666666664E-2</v>
      </c>
      <c r="V461"/>
      <c r="W461"/>
      <c r="X461"/>
      <c r="Y461"/>
    </row>
    <row r="462" spans="1:25" ht="15.75">
      <c r="A462" s="684"/>
      <c r="B462" s="687" t="s">
        <v>1045</v>
      </c>
      <c r="C462" s="674">
        <v>132</v>
      </c>
      <c r="D462" s="675"/>
      <c r="E462" s="675"/>
      <c r="F462" s="675"/>
      <c r="G462" s="675"/>
      <c r="H462" s="676"/>
      <c r="I462" s="676">
        <v>132</v>
      </c>
      <c r="J462" s="675"/>
      <c r="K462" s="675">
        <v>7493</v>
      </c>
      <c r="L462" s="675">
        <v>8686</v>
      </c>
      <c r="M462" s="676">
        <v>1367</v>
      </c>
      <c r="N462" s="676">
        <v>17546</v>
      </c>
      <c r="O462" s="675"/>
      <c r="P462" s="675"/>
      <c r="Q462" s="676"/>
      <c r="R462" s="676"/>
      <c r="S462" s="676"/>
      <c r="T462" s="676"/>
      <c r="U462" s="676">
        <v>17678</v>
      </c>
      <c r="V462"/>
      <c r="W462"/>
      <c r="X462"/>
      <c r="Y462"/>
    </row>
    <row r="463" spans="1:25" ht="15.75">
      <c r="A463" s="684"/>
      <c r="B463" s="688" t="s">
        <v>1046</v>
      </c>
      <c r="C463" s="380">
        <v>182</v>
      </c>
      <c r="D463" s="381"/>
      <c r="E463" s="381"/>
      <c r="F463" s="381"/>
      <c r="G463" s="381"/>
      <c r="H463" s="382"/>
      <c r="I463" s="382">
        <v>182</v>
      </c>
      <c r="J463" s="381"/>
      <c r="K463" s="381">
        <v>8357</v>
      </c>
      <c r="L463" s="381">
        <v>8561</v>
      </c>
      <c r="M463" s="382">
        <v>1263</v>
      </c>
      <c r="N463" s="382">
        <v>18181</v>
      </c>
      <c r="O463" s="381"/>
      <c r="P463" s="381"/>
      <c r="Q463" s="382"/>
      <c r="R463" s="382"/>
      <c r="S463" s="382"/>
      <c r="T463" s="382"/>
      <c r="U463" s="382">
        <v>18363</v>
      </c>
      <c r="V463"/>
      <c r="W463"/>
      <c r="X463"/>
      <c r="Y463"/>
    </row>
    <row r="464" spans="1:25" s="386" customFormat="1" ht="15.75">
      <c r="A464" s="684"/>
      <c r="B464" s="689" t="s">
        <v>1047</v>
      </c>
      <c r="C464" s="383">
        <v>0.37878787878787878</v>
      </c>
      <c r="D464" s="384">
        <v>0</v>
      </c>
      <c r="E464" s="384">
        <v>0</v>
      </c>
      <c r="F464" s="384">
        <v>0</v>
      </c>
      <c r="G464" s="384">
        <v>0</v>
      </c>
      <c r="H464" s="385">
        <v>0</v>
      </c>
      <c r="I464" s="385">
        <v>0.37878787878787878</v>
      </c>
      <c r="J464" s="384">
        <v>0</v>
      </c>
      <c r="K464" s="384">
        <v>0.11530762044574937</v>
      </c>
      <c r="L464" s="384">
        <v>-1.4390973981119042E-2</v>
      </c>
      <c r="M464" s="385">
        <v>-7.6079005120702273E-2</v>
      </c>
      <c r="N464" s="385">
        <v>3.6190584748660666E-2</v>
      </c>
      <c r="O464" s="384">
        <v>0</v>
      </c>
      <c r="P464" s="384">
        <v>0</v>
      </c>
      <c r="Q464" s="385">
        <v>0</v>
      </c>
      <c r="R464" s="385">
        <v>0</v>
      </c>
      <c r="S464" s="385">
        <v>0</v>
      </c>
      <c r="T464" s="385">
        <v>0</v>
      </c>
      <c r="U464" s="385">
        <v>3.8748727231587281E-2</v>
      </c>
      <c r="V464"/>
      <c r="W464"/>
      <c r="X464"/>
      <c r="Y464"/>
    </row>
    <row r="465" spans="1:25" ht="15.75">
      <c r="A465" s="684"/>
      <c r="B465" s="687" t="s">
        <v>1048</v>
      </c>
      <c r="C465" s="674">
        <v>8666</v>
      </c>
      <c r="D465" s="675">
        <v>5763</v>
      </c>
      <c r="E465" s="675">
        <v>12114</v>
      </c>
      <c r="F465" s="675">
        <v>775</v>
      </c>
      <c r="G465" s="675">
        <v>1554</v>
      </c>
      <c r="H465" s="676">
        <v>1093</v>
      </c>
      <c r="I465" s="676">
        <v>29965</v>
      </c>
      <c r="J465" s="675"/>
      <c r="K465" s="675"/>
      <c r="L465" s="675"/>
      <c r="M465" s="676"/>
      <c r="N465" s="676"/>
      <c r="O465" s="675"/>
      <c r="P465" s="675"/>
      <c r="Q465" s="676"/>
      <c r="R465" s="676"/>
      <c r="S465" s="676">
        <v>119</v>
      </c>
      <c r="T465" s="676">
        <v>119</v>
      </c>
      <c r="U465" s="676">
        <v>30084</v>
      </c>
      <c r="V465"/>
      <c r="W465"/>
      <c r="X465"/>
      <c r="Y465"/>
    </row>
    <row r="466" spans="1:25" ht="15.75">
      <c r="A466" s="684"/>
      <c r="B466" s="688" t="s">
        <v>1049</v>
      </c>
      <c r="C466" s="380">
        <v>8859</v>
      </c>
      <c r="D466" s="381">
        <v>5896</v>
      </c>
      <c r="E466" s="381">
        <v>12626</v>
      </c>
      <c r="F466" s="381">
        <v>773</v>
      </c>
      <c r="G466" s="381">
        <v>1751</v>
      </c>
      <c r="H466" s="382">
        <v>1000</v>
      </c>
      <c r="I466" s="382">
        <v>30905</v>
      </c>
      <c r="J466" s="381"/>
      <c r="K466" s="381"/>
      <c r="L466" s="381"/>
      <c r="M466" s="382"/>
      <c r="N466" s="382"/>
      <c r="O466" s="381"/>
      <c r="P466" s="381"/>
      <c r="Q466" s="382"/>
      <c r="R466" s="382"/>
      <c r="S466" s="382">
        <v>150</v>
      </c>
      <c r="T466" s="382">
        <v>150</v>
      </c>
      <c r="U466" s="382">
        <v>31055</v>
      </c>
      <c r="V466"/>
      <c r="W466"/>
      <c r="X466"/>
      <c r="Y466"/>
    </row>
    <row r="467" spans="1:25" s="386" customFormat="1" ht="15.75">
      <c r="A467" s="684"/>
      <c r="B467" s="689" t="s">
        <v>1050</v>
      </c>
      <c r="C467" s="383">
        <v>2.227094391876298E-2</v>
      </c>
      <c r="D467" s="384">
        <v>2.3078257851813291E-2</v>
      </c>
      <c r="E467" s="384">
        <v>4.2265147762918939E-2</v>
      </c>
      <c r="F467" s="384">
        <v>-2.5806451612903226E-3</v>
      </c>
      <c r="G467" s="384">
        <v>0.12676962676962678</v>
      </c>
      <c r="H467" s="385">
        <v>-8.5086916742909427E-2</v>
      </c>
      <c r="I467" s="385">
        <v>3.1369931586851328E-2</v>
      </c>
      <c r="J467" s="384">
        <v>0</v>
      </c>
      <c r="K467" s="384">
        <v>0</v>
      </c>
      <c r="L467" s="384">
        <v>0</v>
      </c>
      <c r="M467" s="385">
        <v>0</v>
      </c>
      <c r="N467" s="385">
        <v>0</v>
      </c>
      <c r="O467" s="384">
        <v>0</v>
      </c>
      <c r="P467" s="384">
        <v>0</v>
      </c>
      <c r="Q467" s="385">
        <v>0</v>
      </c>
      <c r="R467" s="385">
        <v>0</v>
      </c>
      <c r="S467" s="385">
        <v>0.26050420168067229</v>
      </c>
      <c r="T467" s="385">
        <v>0.26050420168067229</v>
      </c>
      <c r="U467" s="385">
        <v>3.227629304613748E-2</v>
      </c>
      <c r="V467"/>
      <c r="W467"/>
      <c r="X467"/>
      <c r="Y467"/>
    </row>
    <row r="468" spans="1:25" ht="15.75">
      <c r="A468" s="684"/>
      <c r="B468" s="687" t="s">
        <v>1051</v>
      </c>
      <c r="C468" s="674"/>
      <c r="D468" s="675">
        <v>17</v>
      </c>
      <c r="E468" s="675">
        <v>4</v>
      </c>
      <c r="F468" s="675"/>
      <c r="G468" s="675"/>
      <c r="H468" s="676"/>
      <c r="I468" s="676">
        <v>21</v>
      </c>
      <c r="J468" s="675"/>
      <c r="K468" s="675"/>
      <c r="L468" s="675"/>
      <c r="M468" s="676"/>
      <c r="N468" s="676"/>
      <c r="O468" s="675"/>
      <c r="P468" s="675"/>
      <c r="Q468" s="676"/>
      <c r="R468" s="676"/>
      <c r="S468" s="676"/>
      <c r="T468" s="676"/>
      <c r="U468" s="676">
        <v>21</v>
      </c>
      <c r="V468"/>
      <c r="W468"/>
      <c r="X468"/>
      <c r="Y468"/>
    </row>
    <row r="469" spans="1:25" ht="15.75">
      <c r="A469" s="684"/>
      <c r="B469" s="688" t="s">
        <v>1052</v>
      </c>
      <c r="C469" s="380"/>
      <c r="D469" s="381">
        <v>34</v>
      </c>
      <c r="E469" s="381">
        <v>34</v>
      </c>
      <c r="F469" s="381"/>
      <c r="G469" s="381"/>
      <c r="H469" s="382"/>
      <c r="I469" s="382">
        <v>68</v>
      </c>
      <c r="J469" s="381"/>
      <c r="K469" s="381"/>
      <c r="L469" s="381"/>
      <c r="M469" s="382"/>
      <c r="N469" s="382"/>
      <c r="O469" s="381"/>
      <c r="P469" s="381"/>
      <c r="Q469" s="382"/>
      <c r="R469" s="382"/>
      <c r="S469" s="382"/>
      <c r="T469" s="382"/>
      <c r="U469" s="382">
        <v>68</v>
      </c>
      <c r="V469"/>
      <c r="W469"/>
      <c r="X469"/>
      <c r="Y469"/>
    </row>
    <row r="470" spans="1:25" s="386" customFormat="1" ht="15.75">
      <c r="A470" s="684"/>
      <c r="B470" s="689" t="s">
        <v>1053</v>
      </c>
      <c r="C470" s="383">
        <v>0</v>
      </c>
      <c r="D470" s="384">
        <v>1</v>
      </c>
      <c r="E470" s="384">
        <v>7.5</v>
      </c>
      <c r="F470" s="384">
        <v>0</v>
      </c>
      <c r="G470" s="384">
        <v>0</v>
      </c>
      <c r="H470" s="385">
        <v>0</v>
      </c>
      <c r="I470" s="385">
        <v>2.2380952380952381</v>
      </c>
      <c r="J470" s="384">
        <v>0</v>
      </c>
      <c r="K470" s="384">
        <v>0</v>
      </c>
      <c r="L470" s="384">
        <v>0</v>
      </c>
      <c r="M470" s="385">
        <v>0</v>
      </c>
      <c r="N470" s="385">
        <v>0</v>
      </c>
      <c r="O470" s="384">
        <v>0</v>
      </c>
      <c r="P470" s="384">
        <v>0</v>
      </c>
      <c r="Q470" s="385">
        <v>0</v>
      </c>
      <c r="R470" s="385">
        <v>0</v>
      </c>
      <c r="S470" s="385">
        <v>0</v>
      </c>
      <c r="T470" s="385">
        <v>0</v>
      </c>
      <c r="U470" s="385">
        <v>2.2380952380952381</v>
      </c>
      <c r="V470"/>
      <c r="W470"/>
      <c r="X470"/>
      <c r="Y470"/>
    </row>
    <row r="471" spans="1:25" ht="15.75">
      <c r="A471" s="684"/>
      <c r="B471" s="687" t="s">
        <v>1054</v>
      </c>
      <c r="C471" s="674">
        <v>3344</v>
      </c>
      <c r="D471" s="675">
        <v>2049</v>
      </c>
      <c r="E471" s="675">
        <v>3791</v>
      </c>
      <c r="F471" s="675">
        <v>160</v>
      </c>
      <c r="G471" s="675">
        <v>310</v>
      </c>
      <c r="H471" s="676">
        <v>33</v>
      </c>
      <c r="I471" s="676">
        <v>9687</v>
      </c>
      <c r="J471" s="675"/>
      <c r="K471" s="675">
        <v>0</v>
      </c>
      <c r="L471" s="675">
        <v>0</v>
      </c>
      <c r="M471" s="676">
        <v>0</v>
      </c>
      <c r="N471" s="676">
        <v>0</v>
      </c>
      <c r="O471" s="675"/>
      <c r="P471" s="675"/>
      <c r="Q471" s="676"/>
      <c r="R471" s="676"/>
      <c r="S471" s="676">
        <v>42</v>
      </c>
      <c r="T471" s="676">
        <v>42</v>
      </c>
      <c r="U471" s="676">
        <v>9729</v>
      </c>
      <c r="V471"/>
      <c r="W471"/>
      <c r="X471"/>
      <c r="Y471"/>
    </row>
    <row r="472" spans="1:25" ht="15.75">
      <c r="A472" s="684"/>
      <c r="B472" s="688" t="s">
        <v>1055</v>
      </c>
      <c r="C472" s="380">
        <v>3490</v>
      </c>
      <c r="D472" s="381">
        <v>2043</v>
      </c>
      <c r="E472" s="381">
        <v>4083</v>
      </c>
      <c r="F472" s="381">
        <v>145</v>
      </c>
      <c r="G472" s="381">
        <v>321</v>
      </c>
      <c r="H472" s="382">
        <v>28</v>
      </c>
      <c r="I472" s="382">
        <v>10110</v>
      </c>
      <c r="J472" s="381"/>
      <c r="K472" s="381">
        <v>0</v>
      </c>
      <c r="L472" s="381">
        <v>0</v>
      </c>
      <c r="M472" s="382">
        <v>0</v>
      </c>
      <c r="N472" s="382">
        <v>0</v>
      </c>
      <c r="O472" s="381"/>
      <c r="P472" s="381"/>
      <c r="Q472" s="382"/>
      <c r="R472" s="382"/>
      <c r="S472" s="382">
        <v>37</v>
      </c>
      <c r="T472" s="382">
        <v>37</v>
      </c>
      <c r="U472" s="382">
        <v>10147</v>
      </c>
      <c r="V472"/>
      <c r="W472"/>
      <c r="X472"/>
      <c r="Y472"/>
    </row>
    <row r="473" spans="1:25" s="386" customFormat="1" ht="15.75">
      <c r="A473" s="684"/>
      <c r="B473" s="689" t="s">
        <v>1056</v>
      </c>
      <c r="C473" s="383">
        <v>4.3660287081339712E-2</v>
      </c>
      <c r="D473" s="384">
        <v>-2.9282576866764276E-3</v>
      </c>
      <c r="E473" s="384">
        <v>7.7024531785808495E-2</v>
      </c>
      <c r="F473" s="384">
        <v>-9.375E-2</v>
      </c>
      <c r="G473" s="384">
        <v>3.5483870967741936E-2</v>
      </c>
      <c r="H473" s="385">
        <v>-0.15151515151515152</v>
      </c>
      <c r="I473" s="385">
        <v>4.3666769897801175E-2</v>
      </c>
      <c r="J473" s="384">
        <v>0</v>
      </c>
      <c r="K473" s="384">
        <v>0</v>
      </c>
      <c r="L473" s="384">
        <v>0</v>
      </c>
      <c r="M473" s="385">
        <v>0</v>
      </c>
      <c r="N473" s="385">
        <v>0</v>
      </c>
      <c r="O473" s="384">
        <v>0</v>
      </c>
      <c r="P473" s="384">
        <v>0</v>
      </c>
      <c r="Q473" s="385">
        <v>0</v>
      </c>
      <c r="R473" s="385">
        <v>0</v>
      </c>
      <c r="S473" s="385">
        <v>-0.11904761904761904</v>
      </c>
      <c r="T473" s="385">
        <v>-0.11904761904761904</v>
      </c>
      <c r="U473" s="385">
        <v>4.2964333436118822E-2</v>
      </c>
      <c r="V473"/>
      <c r="W473"/>
      <c r="X473"/>
      <c r="Y473"/>
    </row>
    <row r="474" spans="1:25" ht="15.75">
      <c r="A474" s="684"/>
      <c r="B474" s="687" t="s">
        <v>1057</v>
      </c>
      <c r="C474" s="674">
        <v>928</v>
      </c>
      <c r="D474" s="675">
        <v>138</v>
      </c>
      <c r="E474" s="675">
        <v>120</v>
      </c>
      <c r="F474" s="675">
        <v>13</v>
      </c>
      <c r="G474" s="675">
        <v>0</v>
      </c>
      <c r="H474" s="676">
        <v>0</v>
      </c>
      <c r="I474" s="676">
        <v>1199</v>
      </c>
      <c r="J474" s="675"/>
      <c r="K474" s="675">
        <v>0</v>
      </c>
      <c r="L474" s="675">
        <v>0</v>
      </c>
      <c r="M474" s="676">
        <v>0</v>
      </c>
      <c r="N474" s="676">
        <v>0</v>
      </c>
      <c r="O474" s="675"/>
      <c r="P474" s="675"/>
      <c r="Q474" s="676"/>
      <c r="R474" s="676"/>
      <c r="S474" s="676">
        <v>0</v>
      </c>
      <c r="T474" s="676">
        <v>0</v>
      </c>
      <c r="U474" s="676">
        <v>1199</v>
      </c>
      <c r="V474"/>
      <c r="W474"/>
      <c r="X474"/>
      <c r="Y474"/>
    </row>
    <row r="475" spans="1:25" ht="15.75">
      <c r="A475" s="684"/>
      <c r="B475" s="688" t="s">
        <v>1058</v>
      </c>
      <c r="C475" s="380">
        <v>940</v>
      </c>
      <c r="D475" s="381">
        <v>175</v>
      </c>
      <c r="E475" s="381">
        <v>125</v>
      </c>
      <c r="F475" s="381">
        <v>9</v>
      </c>
      <c r="G475" s="381">
        <v>0</v>
      </c>
      <c r="H475" s="382">
        <v>0</v>
      </c>
      <c r="I475" s="382">
        <v>1249</v>
      </c>
      <c r="J475" s="381"/>
      <c r="K475" s="381">
        <v>0</v>
      </c>
      <c r="L475" s="381">
        <v>0</v>
      </c>
      <c r="M475" s="382">
        <v>0</v>
      </c>
      <c r="N475" s="382">
        <v>0</v>
      </c>
      <c r="O475" s="381"/>
      <c r="P475" s="381"/>
      <c r="Q475" s="382"/>
      <c r="R475" s="382"/>
      <c r="S475" s="382">
        <v>0</v>
      </c>
      <c r="T475" s="382">
        <v>0</v>
      </c>
      <c r="U475" s="382">
        <v>1249</v>
      </c>
      <c r="V475"/>
      <c r="W475"/>
      <c r="X475"/>
      <c r="Y475"/>
    </row>
    <row r="476" spans="1:25" s="386" customFormat="1" ht="15.75">
      <c r="A476" s="684"/>
      <c r="B476" s="689" t="s">
        <v>1059</v>
      </c>
      <c r="C476" s="383">
        <v>1.2931034482758621E-2</v>
      </c>
      <c r="D476" s="692">
        <v>0.26811594202898553</v>
      </c>
      <c r="E476" s="384">
        <v>4.1666666666666664E-2</v>
      </c>
      <c r="F476" s="384">
        <v>-0.30769230769230771</v>
      </c>
      <c r="G476" s="384">
        <v>0</v>
      </c>
      <c r="H476" s="385">
        <v>0</v>
      </c>
      <c r="I476" s="385">
        <v>4.1701417848206836E-2</v>
      </c>
      <c r="J476" s="384">
        <v>0</v>
      </c>
      <c r="K476" s="384">
        <v>0</v>
      </c>
      <c r="L476" s="384">
        <v>0</v>
      </c>
      <c r="M476" s="385">
        <v>0</v>
      </c>
      <c r="N476" s="385">
        <v>0</v>
      </c>
      <c r="O476" s="384">
        <v>0</v>
      </c>
      <c r="P476" s="384">
        <v>0</v>
      </c>
      <c r="Q476" s="385">
        <v>0</v>
      </c>
      <c r="R476" s="385">
        <v>0</v>
      </c>
      <c r="S476" s="385">
        <v>0</v>
      </c>
      <c r="T476" s="385">
        <v>0</v>
      </c>
      <c r="U476" s="385">
        <v>4.1701417848206836E-2</v>
      </c>
      <c r="V476"/>
      <c r="W476"/>
      <c r="X476"/>
      <c r="Y476"/>
    </row>
    <row r="477" spans="1:25" ht="15.75">
      <c r="A477" s="684"/>
      <c r="B477" s="687" t="s">
        <v>1060</v>
      </c>
      <c r="C477" s="674">
        <v>221</v>
      </c>
      <c r="D477" s="675"/>
      <c r="E477" s="675">
        <v>141</v>
      </c>
      <c r="F477" s="675"/>
      <c r="G477" s="675"/>
      <c r="H477" s="676"/>
      <c r="I477" s="676">
        <v>362</v>
      </c>
      <c r="J477" s="675"/>
      <c r="K477" s="675"/>
      <c r="L477" s="675"/>
      <c r="M477" s="676"/>
      <c r="N477" s="676"/>
      <c r="O477" s="675"/>
      <c r="P477" s="675"/>
      <c r="Q477" s="676"/>
      <c r="R477" s="676"/>
      <c r="S477" s="676"/>
      <c r="T477" s="676"/>
      <c r="U477" s="676">
        <v>362</v>
      </c>
      <c r="V477"/>
      <c r="W477"/>
      <c r="X477"/>
      <c r="Y477"/>
    </row>
    <row r="478" spans="1:25" ht="15.75">
      <c r="A478" s="684"/>
      <c r="B478" s="688" t="s">
        <v>1061</v>
      </c>
      <c r="C478" s="380">
        <v>228</v>
      </c>
      <c r="D478" s="381"/>
      <c r="E478" s="381">
        <v>191</v>
      </c>
      <c r="F478" s="381"/>
      <c r="G478" s="381"/>
      <c r="H478" s="382"/>
      <c r="I478" s="382">
        <v>419</v>
      </c>
      <c r="J478" s="381"/>
      <c r="K478" s="381"/>
      <c r="L478" s="381"/>
      <c r="M478" s="382"/>
      <c r="N478" s="382"/>
      <c r="O478" s="381"/>
      <c r="P478" s="381"/>
      <c r="Q478" s="382"/>
      <c r="R478" s="382"/>
      <c r="S478" s="382"/>
      <c r="T478" s="382"/>
      <c r="U478" s="382">
        <v>419</v>
      </c>
      <c r="V478"/>
      <c r="W478"/>
      <c r="X478"/>
      <c r="Y478"/>
    </row>
    <row r="479" spans="1:25" s="386" customFormat="1" ht="15.75">
      <c r="A479" s="684"/>
      <c r="B479" s="689" t="s">
        <v>1062</v>
      </c>
      <c r="C479" s="383">
        <v>3.1674208144796379E-2</v>
      </c>
      <c r="D479" s="384">
        <v>0</v>
      </c>
      <c r="E479" s="692">
        <v>0.3546099290780142</v>
      </c>
      <c r="F479" s="384">
        <v>0</v>
      </c>
      <c r="G479" s="384">
        <v>0</v>
      </c>
      <c r="H479" s="385">
        <v>0</v>
      </c>
      <c r="I479" s="385">
        <v>0.15745856353591159</v>
      </c>
      <c r="J479" s="384">
        <v>0</v>
      </c>
      <c r="K479" s="384">
        <v>0</v>
      </c>
      <c r="L479" s="384">
        <v>0</v>
      </c>
      <c r="M479" s="385">
        <v>0</v>
      </c>
      <c r="N479" s="385">
        <v>0</v>
      </c>
      <c r="O479" s="384">
        <v>0</v>
      </c>
      <c r="P479" s="384">
        <v>0</v>
      </c>
      <c r="Q479" s="385">
        <v>0</v>
      </c>
      <c r="R479" s="385">
        <v>0</v>
      </c>
      <c r="S479" s="385">
        <v>0</v>
      </c>
      <c r="T479" s="385">
        <v>0</v>
      </c>
      <c r="U479" s="385">
        <v>0.15745856353591159</v>
      </c>
      <c r="V479"/>
      <c r="W479"/>
      <c r="X479"/>
      <c r="Y479"/>
    </row>
    <row r="480" spans="1:25" ht="15.75">
      <c r="A480" s="684"/>
      <c r="B480" s="687" t="s">
        <v>1063</v>
      </c>
      <c r="C480" s="674">
        <v>165</v>
      </c>
      <c r="D480" s="675"/>
      <c r="E480" s="675">
        <v>72</v>
      </c>
      <c r="F480" s="675"/>
      <c r="G480" s="675"/>
      <c r="H480" s="676"/>
      <c r="I480" s="676">
        <v>237</v>
      </c>
      <c r="J480" s="675"/>
      <c r="K480" s="675"/>
      <c r="L480" s="675"/>
      <c r="M480" s="676"/>
      <c r="N480" s="676"/>
      <c r="O480" s="675"/>
      <c r="P480" s="675"/>
      <c r="Q480" s="676"/>
      <c r="R480" s="676"/>
      <c r="S480" s="676"/>
      <c r="T480" s="676"/>
      <c r="U480" s="676">
        <v>237</v>
      </c>
      <c r="V480"/>
      <c r="W480"/>
      <c r="X480"/>
      <c r="Y480"/>
    </row>
    <row r="481" spans="1:25" ht="15.75">
      <c r="A481" s="684"/>
      <c r="B481" s="688" t="s">
        <v>1064</v>
      </c>
      <c r="C481" s="380">
        <v>157</v>
      </c>
      <c r="D481" s="381"/>
      <c r="E481" s="381">
        <v>65</v>
      </c>
      <c r="F481" s="381"/>
      <c r="G481" s="381"/>
      <c r="H481" s="382"/>
      <c r="I481" s="382">
        <v>222</v>
      </c>
      <c r="J481" s="381"/>
      <c r="K481" s="381"/>
      <c r="L481" s="381"/>
      <c r="M481" s="382"/>
      <c r="N481" s="382"/>
      <c r="O481" s="381"/>
      <c r="P481" s="381"/>
      <c r="Q481" s="382"/>
      <c r="R481" s="382"/>
      <c r="S481" s="382"/>
      <c r="T481" s="382"/>
      <c r="U481" s="382">
        <v>222</v>
      </c>
      <c r="V481"/>
      <c r="W481"/>
      <c r="X481"/>
      <c r="Y481"/>
    </row>
    <row r="482" spans="1:25" s="386" customFormat="1" ht="15.75">
      <c r="A482" s="684"/>
      <c r="B482" s="689" t="s">
        <v>1065</v>
      </c>
      <c r="C482" s="383">
        <v>-4.8484848484848485E-2</v>
      </c>
      <c r="D482" s="384">
        <v>0</v>
      </c>
      <c r="E482" s="384">
        <v>-9.7222222222222224E-2</v>
      </c>
      <c r="F482" s="384">
        <v>0</v>
      </c>
      <c r="G482" s="384">
        <v>0</v>
      </c>
      <c r="H482" s="385">
        <v>0</v>
      </c>
      <c r="I482" s="385">
        <v>-6.3291139240506333E-2</v>
      </c>
      <c r="J482" s="384">
        <v>0</v>
      </c>
      <c r="K482" s="384">
        <v>0</v>
      </c>
      <c r="L482" s="384">
        <v>0</v>
      </c>
      <c r="M482" s="385">
        <v>0</v>
      </c>
      <c r="N482" s="385">
        <v>0</v>
      </c>
      <c r="O482" s="384">
        <v>0</v>
      </c>
      <c r="P482" s="384">
        <v>0</v>
      </c>
      <c r="Q482" s="385">
        <v>0</v>
      </c>
      <c r="R482" s="385">
        <v>0</v>
      </c>
      <c r="S482" s="385">
        <v>0</v>
      </c>
      <c r="T482" s="385">
        <v>0</v>
      </c>
      <c r="U482" s="385">
        <v>-6.3291139240506333E-2</v>
      </c>
      <c r="V482"/>
      <c r="W482"/>
      <c r="X482"/>
      <c r="Y482"/>
    </row>
    <row r="483" spans="1:25" ht="15.75">
      <c r="A483" s="684"/>
      <c r="B483" s="687" t="s">
        <v>1066</v>
      </c>
      <c r="C483" s="674">
        <v>83</v>
      </c>
      <c r="D483" s="675"/>
      <c r="E483" s="675"/>
      <c r="F483" s="675"/>
      <c r="G483" s="675"/>
      <c r="H483" s="676"/>
      <c r="I483" s="676">
        <v>83</v>
      </c>
      <c r="J483" s="675"/>
      <c r="K483" s="675"/>
      <c r="L483" s="675"/>
      <c r="M483" s="676"/>
      <c r="N483" s="676"/>
      <c r="O483" s="675"/>
      <c r="P483" s="675"/>
      <c r="Q483" s="676"/>
      <c r="R483" s="676"/>
      <c r="S483" s="676"/>
      <c r="T483" s="676"/>
      <c r="U483" s="676">
        <v>83</v>
      </c>
      <c r="V483"/>
      <c r="W483"/>
      <c r="X483"/>
      <c r="Y483"/>
    </row>
    <row r="484" spans="1:25" ht="15.75">
      <c r="A484" s="684"/>
      <c r="B484" s="688" t="s">
        <v>1067</v>
      </c>
      <c r="C484" s="380">
        <v>82</v>
      </c>
      <c r="D484" s="381"/>
      <c r="E484" s="381"/>
      <c r="F484" s="381"/>
      <c r="G484" s="381"/>
      <c r="H484" s="382"/>
      <c r="I484" s="382">
        <v>82</v>
      </c>
      <c r="J484" s="381"/>
      <c r="K484" s="381"/>
      <c r="L484" s="381"/>
      <c r="M484" s="382"/>
      <c r="N484" s="382"/>
      <c r="O484" s="381"/>
      <c r="P484" s="381"/>
      <c r="Q484" s="382"/>
      <c r="R484" s="382"/>
      <c r="S484" s="382"/>
      <c r="T484" s="382"/>
      <c r="U484" s="382">
        <v>82</v>
      </c>
      <c r="V484"/>
      <c r="W484"/>
      <c r="X484"/>
      <c r="Y484"/>
    </row>
    <row r="485" spans="1:25" s="386" customFormat="1" ht="15.75">
      <c r="A485" s="684"/>
      <c r="B485" s="689" t="s">
        <v>1068</v>
      </c>
      <c r="C485" s="383">
        <v>-1.2048192771084338E-2</v>
      </c>
      <c r="D485" s="384">
        <v>0</v>
      </c>
      <c r="E485" s="384">
        <v>0</v>
      </c>
      <c r="F485" s="384">
        <v>0</v>
      </c>
      <c r="G485" s="384">
        <v>0</v>
      </c>
      <c r="H485" s="385">
        <v>0</v>
      </c>
      <c r="I485" s="385">
        <v>-1.2048192771084338E-2</v>
      </c>
      <c r="J485" s="384">
        <v>0</v>
      </c>
      <c r="K485" s="384">
        <v>0</v>
      </c>
      <c r="L485" s="384">
        <v>0</v>
      </c>
      <c r="M485" s="385">
        <v>0</v>
      </c>
      <c r="N485" s="385">
        <v>0</v>
      </c>
      <c r="O485" s="384">
        <v>0</v>
      </c>
      <c r="P485" s="384">
        <v>0</v>
      </c>
      <c r="Q485" s="385">
        <v>0</v>
      </c>
      <c r="R485" s="385">
        <v>0</v>
      </c>
      <c r="S485" s="385">
        <v>0</v>
      </c>
      <c r="T485" s="385">
        <v>0</v>
      </c>
      <c r="U485" s="385">
        <v>-1.2048192771084338E-2</v>
      </c>
      <c r="V485"/>
      <c r="W485"/>
      <c r="X485"/>
      <c r="Y485"/>
    </row>
    <row r="486" spans="1:25" ht="15.75">
      <c r="A486" s="684"/>
      <c r="B486" s="687" t="s">
        <v>1069</v>
      </c>
      <c r="C486" s="674">
        <v>135</v>
      </c>
      <c r="D486" s="675"/>
      <c r="E486" s="675"/>
      <c r="F486" s="675"/>
      <c r="G486" s="675"/>
      <c r="H486" s="676"/>
      <c r="I486" s="676">
        <v>135</v>
      </c>
      <c r="J486" s="675"/>
      <c r="K486" s="675"/>
      <c r="L486" s="675"/>
      <c r="M486" s="676"/>
      <c r="N486" s="676"/>
      <c r="O486" s="675"/>
      <c r="P486" s="675"/>
      <c r="Q486" s="676"/>
      <c r="R486" s="676"/>
      <c r="S486" s="676"/>
      <c r="T486" s="676"/>
      <c r="U486" s="676">
        <v>135</v>
      </c>
      <c r="V486"/>
      <c r="W486"/>
      <c r="X486"/>
      <c r="Y486"/>
    </row>
    <row r="487" spans="1:25" ht="15.75">
      <c r="A487" s="684"/>
      <c r="B487" s="688" t="s">
        <v>1070</v>
      </c>
      <c r="C487" s="380">
        <v>151</v>
      </c>
      <c r="D487" s="381"/>
      <c r="E487" s="381"/>
      <c r="F487" s="381"/>
      <c r="G487" s="381"/>
      <c r="H487" s="382"/>
      <c r="I487" s="382">
        <v>151</v>
      </c>
      <c r="J487" s="381"/>
      <c r="K487" s="381"/>
      <c r="L487" s="381"/>
      <c r="M487" s="382"/>
      <c r="N487" s="382"/>
      <c r="O487" s="381"/>
      <c r="P487" s="381"/>
      <c r="Q487" s="382"/>
      <c r="R487" s="382"/>
      <c r="S487" s="382"/>
      <c r="T487" s="382"/>
      <c r="U487" s="382">
        <v>151</v>
      </c>
      <c r="V487"/>
      <c r="W487"/>
      <c r="X487"/>
      <c r="Y487"/>
    </row>
    <row r="488" spans="1:25" s="386" customFormat="1" ht="15.75">
      <c r="A488" s="684"/>
      <c r="B488" s="689" t="s">
        <v>1071</v>
      </c>
      <c r="C488" s="383">
        <v>0.11851851851851852</v>
      </c>
      <c r="D488" s="384">
        <v>0</v>
      </c>
      <c r="E488" s="384">
        <v>0</v>
      </c>
      <c r="F488" s="384">
        <v>0</v>
      </c>
      <c r="G488" s="384">
        <v>0</v>
      </c>
      <c r="H488" s="385">
        <v>0</v>
      </c>
      <c r="I488" s="385">
        <v>0.11851851851851852</v>
      </c>
      <c r="J488" s="384">
        <v>0</v>
      </c>
      <c r="K488" s="384">
        <v>0</v>
      </c>
      <c r="L488" s="384">
        <v>0</v>
      </c>
      <c r="M488" s="385">
        <v>0</v>
      </c>
      <c r="N488" s="385">
        <v>0</v>
      </c>
      <c r="O488" s="384">
        <v>0</v>
      </c>
      <c r="P488" s="384">
        <v>0</v>
      </c>
      <c r="Q488" s="385">
        <v>0</v>
      </c>
      <c r="R488" s="385">
        <v>0</v>
      </c>
      <c r="S488" s="385">
        <v>0</v>
      </c>
      <c r="T488" s="385">
        <v>0</v>
      </c>
      <c r="U488" s="385">
        <v>0.11851851851851852</v>
      </c>
      <c r="V488"/>
      <c r="W488"/>
      <c r="X488"/>
      <c r="Y488"/>
    </row>
    <row r="489" spans="1:25" ht="15.75">
      <c r="A489" s="684"/>
      <c r="B489" s="687" t="s">
        <v>1072</v>
      </c>
      <c r="C489" s="674"/>
      <c r="D489" s="675"/>
      <c r="E489" s="675"/>
      <c r="F489" s="675"/>
      <c r="G489" s="675"/>
      <c r="H489" s="676"/>
      <c r="I489" s="676"/>
      <c r="J489" s="675"/>
      <c r="K489" s="675"/>
      <c r="L489" s="675"/>
      <c r="M489" s="676"/>
      <c r="N489" s="676"/>
      <c r="O489" s="675"/>
      <c r="P489" s="675"/>
      <c r="Q489" s="676"/>
      <c r="R489" s="676"/>
      <c r="S489" s="676"/>
      <c r="T489" s="676"/>
      <c r="U489" s="676"/>
      <c r="V489"/>
      <c r="W489"/>
      <c r="X489"/>
      <c r="Y489"/>
    </row>
    <row r="490" spans="1:25" ht="15.75">
      <c r="A490" s="684"/>
      <c r="B490" s="688" t="s">
        <v>1073</v>
      </c>
      <c r="C490" s="380"/>
      <c r="D490" s="381"/>
      <c r="E490" s="381"/>
      <c r="F490" s="381"/>
      <c r="G490" s="381"/>
      <c r="H490" s="382"/>
      <c r="I490" s="382"/>
      <c r="J490" s="381"/>
      <c r="K490" s="381"/>
      <c r="L490" s="381"/>
      <c r="M490" s="382"/>
      <c r="N490" s="382"/>
      <c r="O490" s="381"/>
      <c r="P490" s="381"/>
      <c r="Q490" s="382"/>
      <c r="R490" s="382"/>
      <c r="S490" s="382"/>
      <c r="T490" s="382"/>
      <c r="U490" s="382"/>
      <c r="V490"/>
      <c r="W490"/>
      <c r="X490"/>
      <c r="Y490"/>
    </row>
    <row r="491" spans="1:25" s="386" customFormat="1" ht="15.75">
      <c r="A491" s="684"/>
      <c r="B491" s="689" t="s">
        <v>1074</v>
      </c>
      <c r="C491" s="383">
        <v>0</v>
      </c>
      <c r="D491" s="384">
        <v>0</v>
      </c>
      <c r="E491" s="384">
        <v>0</v>
      </c>
      <c r="F491" s="384">
        <v>0</v>
      </c>
      <c r="G491" s="384">
        <v>0</v>
      </c>
      <c r="H491" s="385">
        <v>0</v>
      </c>
      <c r="I491" s="385">
        <v>0</v>
      </c>
      <c r="J491" s="384">
        <v>0</v>
      </c>
      <c r="K491" s="384">
        <v>0</v>
      </c>
      <c r="L491" s="384">
        <v>0</v>
      </c>
      <c r="M491" s="385">
        <v>0</v>
      </c>
      <c r="N491" s="385">
        <v>0</v>
      </c>
      <c r="O491" s="384">
        <v>0</v>
      </c>
      <c r="P491" s="384">
        <v>0</v>
      </c>
      <c r="Q491" s="385">
        <v>0</v>
      </c>
      <c r="R491" s="385">
        <v>0</v>
      </c>
      <c r="S491" s="385">
        <v>0</v>
      </c>
      <c r="T491" s="385">
        <v>0</v>
      </c>
      <c r="U491" s="385">
        <v>0</v>
      </c>
      <c r="V491"/>
      <c r="W491"/>
      <c r="X491"/>
      <c r="Y491"/>
    </row>
    <row r="492" spans="1:25" ht="15.75">
      <c r="A492" s="684"/>
      <c r="B492" s="687" t="s">
        <v>1075</v>
      </c>
      <c r="C492" s="674"/>
      <c r="D492" s="675"/>
      <c r="E492" s="675"/>
      <c r="F492" s="675"/>
      <c r="G492" s="675"/>
      <c r="H492" s="676"/>
      <c r="I492" s="676"/>
      <c r="J492" s="675"/>
      <c r="K492" s="675"/>
      <c r="L492" s="675"/>
      <c r="M492" s="676"/>
      <c r="N492" s="676"/>
      <c r="O492" s="675"/>
      <c r="P492" s="675"/>
      <c r="Q492" s="676"/>
      <c r="R492" s="676"/>
      <c r="S492" s="676"/>
      <c r="T492" s="676"/>
      <c r="U492" s="676"/>
      <c r="V492"/>
      <c r="W492"/>
      <c r="X492"/>
      <c r="Y492"/>
    </row>
    <row r="493" spans="1:25" ht="15.75">
      <c r="A493" s="684"/>
      <c r="B493" s="688" t="s">
        <v>1076</v>
      </c>
      <c r="C493" s="380"/>
      <c r="D493" s="381"/>
      <c r="E493" s="381"/>
      <c r="F493" s="381"/>
      <c r="G493" s="381"/>
      <c r="H493" s="382"/>
      <c r="I493" s="382"/>
      <c r="J493" s="381"/>
      <c r="K493" s="381"/>
      <c r="L493" s="381"/>
      <c r="M493" s="382"/>
      <c r="N493" s="382"/>
      <c r="O493" s="381"/>
      <c r="P493" s="381"/>
      <c r="Q493" s="382"/>
      <c r="R493" s="382"/>
      <c r="S493" s="382"/>
      <c r="T493" s="382"/>
      <c r="U493" s="382"/>
      <c r="V493"/>
      <c r="W493"/>
      <c r="X493"/>
      <c r="Y493"/>
    </row>
    <row r="494" spans="1:25" s="386" customFormat="1" ht="15.75">
      <c r="A494" s="684"/>
      <c r="B494" s="689" t="s">
        <v>1077</v>
      </c>
      <c r="C494" s="383">
        <v>0</v>
      </c>
      <c r="D494" s="384">
        <v>0</v>
      </c>
      <c r="E494" s="384">
        <v>0</v>
      </c>
      <c r="F494" s="384">
        <v>0</v>
      </c>
      <c r="G494" s="384">
        <v>0</v>
      </c>
      <c r="H494" s="385">
        <v>0</v>
      </c>
      <c r="I494" s="385">
        <v>0</v>
      </c>
      <c r="J494" s="384">
        <v>0</v>
      </c>
      <c r="K494" s="384">
        <v>0</v>
      </c>
      <c r="L494" s="384">
        <v>0</v>
      </c>
      <c r="M494" s="385">
        <v>0</v>
      </c>
      <c r="N494" s="385">
        <v>0</v>
      </c>
      <c r="O494" s="384">
        <v>0</v>
      </c>
      <c r="P494" s="384">
        <v>0</v>
      </c>
      <c r="Q494" s="385">
        <v>0</v>
      </c>
      <c r="R494" s="385">
        <v>0</v>
      </c>
      <c r="S494" s="385">
        <v>0</v>
      </c>
      <c r="T494" s="385">
        <v>0</v>
      </c>
      <c r="U494" s="385">
        <v>0</v>
      </c>
      <c r="V494"/>
      <c r="W494"/>
      <c r="X494"/>
      <c r="Y494"/>
    </row>
    <row r="495" spans="1:25" ht="15.75">
      <c r="A495" s="684"/>
      <c r="B495" s="687" t="s">
        <v>1078</v>
      </c>
      <c r="C495" s="674"/>
      <c r="D495" s="675"/>
      <c r="E495" s="675"/>
      <c r="F495" s="675"/>
      <c r="G495" s="675"/>
      <c r="H495" s="676"/>
      <c r="I495" s="676"/>
      <c r="J495" s="675"/>
      <c r="K495" s="675"/>
      <c r="L495" s="675"/>
      <c r="M495" s="676"/>
      <c r="N495" s="676"/>
      <c r="O495" s="675"/>
      <c r="P495" s="675"/>
      <c r="Q495" s="676"/>
      <c r="R495" s="676"/>
      <c r="S495" s="676"/>
      <c r="T495" s="676"/>
      <c r="U495" s="676"/>
      <c r="V495"/>
      <c r="W495"/>
      <c r="X495"/>
      <c r="Y495"/>
    </row>
    <row r="496" spans="1:25" ht="15.75">
      <c r="A496" s="684"/>
      <c r="B496" s="688" t="s">
        <v>1079</v>
      </c>
      <c r="C496" s="380"/>
      <c r="D496" s="381"/>
      <c r="E496" s="381"/>
      <c r="F496" s="381"/>
      <c r="G496" s="381"/>
      <c r="H496" s="382"/>
      <c r="I496" s="382"/>
      <c r="J496" s="381"/>
      <c r="K496" s="381"/>
      <c r="L496" s="381"/>
      <c r="M496" s="382"/>
      <c r="N496" s="382"/>
      <c r="O496" s="381"/>
      <c r="P496" s="381"/>
      <c r="Q496" s="382"/>
      <c r="R496" s="382"/>
      <c r="S496" s="382"/>
      <c r="T496" s="382"/>
      <c r="U496" s="382"/>
      <c r="V496"/>
      <c r="W496"/>
      <c r="X496"/>
      <c r="Y496"/>
    </row>
    <row r="497" spans="1:25" s="386" customFormat="1" ht="15.75">
      <c r="A497" s="684"/>
      <c r="B497" s="689" t="s">
        <v>1080</v>
      </c>
      <c r="C497" s="383">
        <v>0</v>
      </c>
      <c r="D497" s="384">
        <v>0</v>
      </c>
      <c r="E497" s="384">
        <v>0</v>
      </c>
      <c r="F497" s="384">
        <v>0</v>
      </c>
      <c r="G497" s="384">
        <v>0</v>
      </c>
      <c r="H497" s="385">
        <v>0</v>
      </c>
      <c r="I497" s="385">
        <v>0</v>
      </c>
      <c r="J497" s="384">
        <v>0</v>
      </c>
      <c r="K497" s="384">
        <v>0</v>
      </c>
      <c r="L497" s="384">
        <v>0</v>
      </c>
      <c r="M497" s="385">
        <v>0</v>
      </c>
      <c r="N497" s="385">
        <v>0</v>
      </c>
      <c r="O497" s="384">
        <v>0</v>
      </c>
      <c r="P497" s="384">
        <v>0</v>
      </c>
      <c r="Q497" s="385">
        <v>0</v>
      </c>
      <c r="R497" s="385">
        <v>0</v>
      </c>
      <c r="S497" s="385">
        <v>0</v>
      </c>
      <c r="T497" s="385">
        <v>0</v>
      </c>
      <c r="U497" s="385">
        <v>0</v>
      </c>
      <c r="V497"/>
      <c r="W497"/>
      <c r="X497"/>
      <c r="Y497"/>
    </row>
    <row r="498" spans="1:25" ht="15.75">
      <c r="A498" s="684"/>
      <c r="B498" s="687" t="s">
        <v>1081</v>
      </c>
      <c r="C498" s="674">
        <v>74</v>
      </c>
      <c r="D498" s="675"/>
      <c r="E498" s="675"/>
      <c r="F498" s="675"/>
      <c r="G498" s="675"/>
      <c r="H498" s="676"/>
      <c r="I498" s="676">
        <v>74</v>
      </c>
      <c r="J498" s="675"/>
      <c r="K498" s="675"/>
      <c r="L498" s="675"/>
      <c r="M498" s="676"/>
      <c r="N498" s="676"/>
      <c r="O498" s="675"/>
      <c r="P498" s="675"/>
      <c r="Q498" s="676"/>
      <c r="R498" s="676"/>
      <c r="S498" s="676"/>
      <c r="T498" s="676"/>
      <c r="U498" s="676">
        <v>74</v>
      </c>
      <c r="V498"/>
      <c r="W498"/>
      <c r="X498"/>
      <c r="Y498"/>
    </row>
    <row r="499" spans="1:25" ht="15.75">
      <c r="A499" s="684"/>
      <c r="B499" s="688" t="s">
        <v>1082</v>
      </c>
      <c r="C499" s="380">
        <v>73</v>
      </c>
      <c r="D499" s="381"/>
      <c r="E499" s="381"/>
      <c r="F499" s="381"/>
      <c r="G499" s="381"/>
      <c r="H499" s="382"/>
      <c r="I499" s="382">
        <v>73</v>
      </c>
      <c r="J499" s="381"/>
      <c r="K499" s="381"/>
      <c r="L499" s="381"/>
      <c r="M499" s="382"/>
      <c r="N499" s="382"/>
      <c r="O499" s="381"/>
      <c r="P499" s="381"/>
      <c r="Q499" s="382"/>
      <c r="R499" s="382"/>
      <c r="S499" s="382"/>
      <c r="T499" s="382"/>
      <c r="U499" s="382">
        <v>73</v>
      </c>
      <c r="V499"/>
      <c r="W499"/>
      <c r="X499"/>
      <c r="Y499"/>
    </row>
    <row r="500" spans="1:25" s="386" customFormat="1" ht="15.75">
      <c r="A500" s="684"/>
      <c r="B500" s="689" t="s">
        <v>1083</v>
      </c>
      <c r="C500" s="383">
        <v>-1.3513513513513514E-2</v>
      </c>
      <c r="D500" s="384">
        <v>0</v>
      </c>
      <c r="E500" s="384">
        <v>0</v>
      </c>
      <c r="F500" s="384">
        <v>0</v>
      </c>
      <c r="G500" s="384">
        <v>0</v>
      </c>
      <c r="H500" s="385">
        <v>0</v>
      </c>
      <c r="I500" s="385">
        <v>-1.3513513513513514E-2</v>
      </c>
      <c r="J500" s="384">
        <v>0</v>
      </c>
      <c r="K500" s="384">
        <v>0</v>
      </c>
      <c r="L500" s="384">
        <v>0</v>
      </c>
      <c r="M500" s="385">
        <v>0</v>
      </c>
      <c r="N500" s="385">
        <v>0</v>
      </c>
      <c r="O500" s="384">
        <v>0</v>
      </c>
      <c r="P500" s="384">
        <v>0</v>
      </c>
      <c r="Q500" s="385">
        <v>0</v>
      </c>
      <c r="R500" s="385">
        <v>0</v>
      </c>
      <c r="S500" s="385">
        <v>0</v>
      </c>
      <c r="T500" s="385">
        <v>0</v>
      </c>
      <c r="U500" s="385">
        <v>-1.3513513513513514E-2</v>
      </c>
      <c r="V500"/>
      <c r="W500"/>
      <c r="X500"/>
      <c r="Y500"/>
    </row>
    <row r="501" spans="1:25" ht="15.75">
      <c r="A501" s="684"/>
      <c r="B501" s="687" t="s">
        <v>1084</v>
      </c>
      <c r="C501" s="674"/>
      <c r="D501" s="675"/>
      <c r="E501" s="675"/>
      <c r="F501" s="675"/>
      <c r="G501" s="675"/>
      <c r="H501" s="676"/>
      <c r="I501" s="676"/>
      <c r="J501" s="675"/>
      <c r="K501" s="675"/>
      <c r="L501" s="675"/>
      <c r="M501" s="676"/>
      <c r="N501" s="676"/>
      <c r="O501" s="675"/>
      <c r="P501" s="675"/>
      <c r="Q501" s="676"/>
      <c r="R501" s="676"/>
      <c r="S501" s="676"/>
      <c r="T501" s="676"/>
      <c r="U501" s="676"/>
      <c r="V501"/>
      <c r="W501"/>
      <c r="X501"/>
      <c r="Y501"/>
    </row>
    <row r="502" spans="1:25" ht="15.75">
      <c r="A502" s="684"/>
      <c r="B502" s="688" t="s">
        <v>1085</v>
      </c>
      <c r="C502" s="380"/>
      <c r="D502" s="381"/>
      <c r="E502" s="381"/>
      <c r="F502" s="381"/>
      <c r="G502" s="381"/>
      <c r="H502" s="382"/>
      <c r="I502" s="382"/>
      <c r="J502" s="381"/>
      <c r="K502" s="381"/>
      <c r="L502" s="381"/>
      <c r="M502" s="382"/>
      <c r="N502" s="382"/>
      <c r="O502" s="381"/>
      <c r="P502" s="381"/>
      <c r="Q502" s="382"/>
      <c r="R502" s="382"/>
      <c r="S502" s="382"/>
      <c r="T502" s="382"/>
      <c r="U502" s="382"/>
      <c r="V502"/>
      <c r="W502"/>
      <c r="X502"/>
      <c r="Y502"/>
    </row>
    <row r="503" spans="1:25" s="386" customFormat="1" ht="15.75">
      <c r="A503" s="684"/>
      <c r="B503" s="689" t="s">
        <v>1086</v>
      </c>
      <c r="C503" s="383">
        <v>0</v>
      </c>
      <c r="D503" s="384">
        <v>0</v>
      </c>
      <c r="E503" s="384">
        <v>0</v>
      </c>
      <c r="F503" s="384">
        <v>0</v>
      </c>
      <c r="G503" s="384">
        <v>0</v>
      </c>
      <c r="H503" s="385">
        <v>0</v>
      </c>
      <c r="I503" s="385">
        <v>0</v>
      </c>
      <c r="J503" s="384">
        <v>0</v>
      </c>
      <c r="K503" s="384">
        <v>0</v>
      </c>
      <c r="L503" s="384">
        <v>0</v>
      </c>
      <c r="M503" s="385">
        <v>0</v>
      </c>
      <c r="N503" s="385">
        <v>0</v>
      </c>
      <c r="O503" s="384">
        <v>0</v>
      </c>
      <c r="P503" s="384">
        <v>0</v>
      </c>
      <c r="Q503" s="385">
        <v>0</v>
      </c>
      <c r="R503" s="385">
        <v>0</v>
      </c>
      <c r="S503" s="385">
        <v>0</v>
      </c>
      <c r="T503" s="385">
        <v>0</v>
      </c>
      <c r="U503" s="385">
        <v>0</v>
      </c>
      <c r="V503"/>
      <c r="W503"/>
      <c r="X503"/>
      <c r="Y503"/>
    </row>
    <row r="504" spans="1:25" ht="15.75">
      <c r="A504" s="684"/>
      <c r="B504" s="687" t="s">
        <v>1248</v>
      </c>
      <c r="C504" s="674"/>
      <c r="D504" s="675"/>
      <c r="E504" s="675"/>
      <c r="F504" s="675"/>
      <c r="G504" s="675"/>
      <c r="H504" s="676"/>
      <c r="I504" s="676"/>
      <c r="J504" s="675"/>
      <c r="K504" s="675"/>
      <c r="L504" s="675"/>
      <c r="M504" s="676"/>
      <c r="N504" s="676"/>
      <c r="O504" s="675"/>
      <c r="P504" s="675"/>
      <c r="Q504" s="676"/>
      <c r="R504" s="676"/>
      <c r="S504" s="676"/>
      <c r="T504" s="676"/>
      <c r="U504" s="676"/>
      <c r="V504"/>
      <c r="W504"/>
      <c r="X504"/>
      <c r="Y504"/>
    </row>
    <row r="505" spans="1:25" ht="15.75">
      <c r="A505" s="685"/>
      <c r="B505" s="690" t="s">
        <v>1250</v>
      </c>
      <c r="C505" s="576"/>
      <c r="D505" s="577"/>
      <c r="E505" s="577"/>
      <c r="F505" s="577"/>
      <c r="G505" s="577"/>
      <c r="H505" s="578"/>
      <c r="I505" s="578"/>
      <c r="J505" s="577"/>
      <c r="K505" s="577"/>
      <c r="L505" s="577"/>
      <c r="M505" s="578"/>
      <c r="N505" s="578"/>
      <c r="O505" s="577"/>
      <c r="P505" s="577"/>
      <c r="Q505" s="578"/>
      <c r="R505" s="578"/>
      <c r="S505" s="578"/>
      <c r="T505" s="578"/>
      <c r="U505" s="578"/>
      <c r="V505"/>
      <c r="W505"/>
      <c r="X505"/>
      <c r="Y505"/>
    </row>
    <row r="506" spans="1:25" s="386" customFormat="1" ht="15.75">
      <c r="A506" s="683" t="s">
        <v>31</v>
      </c>
      <c r="B506" s="687" t="s">
        <v>1039</v>
      </c>
      <c r="C506" s="674"/>
      <c r="D506" s="675"/>
      <c r="E506" s="675"/>
      <c r="F506" s="675"/>
      <c r="G506" s="675"/>
      <c r="H506" s="676"/>
      <c r="I506" s="676"/>
      <c r="J506" s="675"/>
      <c r="K506" s="675">
        <v>350</v>
      </c>
      <c r="L506" s="675">
        <v>33</v>
      </c>
      <c r="M506" s="676">
        <v>161</v>
      </c>
      <c r="N506" s="676">
        <v>544</v>
      </c>
      <c r="O506" s="675">
        <v>1447</v>
      </c>
      <c r="P506" s="675">
        <v>5099</v>
      </c>
      <c r="Q506" s="676"/>
      <c r="R506" s="676">
        <v>6546</v>
      </c>
      <c r="S506" s="676"/>
      <c r="T506" s="676"/>
      <c r="U506" s="676">
        <v>7090</v>
      </c>
      <c r="V506"/>
      <c r="W506"/>
      <c r="X506"/>
      <c r="Y506"/>
    </row>
    <row r="507" spans="1:25" ht="15.75">
      <c r="A507" s="684"/>
      <c r="B507" s="688" t="s">
        <v>1040</v>
      </c>
      <c r="C507" s="380"/>
      <c r="D507" s="381"/>
      <c r="E507" s="381"/>
      <c r="F507" s="381"/>
      <c r="G507" s="381"/>
      <c r="H507" s="382"/>
      <c r="I507" s="382"/>
      <c r="J507" s="381"/>
      <c r="K507" s="381">
        <v>378</v>
      </c>
      <c r="L507" s="381">
        <v>32</v>
      </c>
      <c r="M507" s="382">
        <v>188</v>
      </c>
      <c r="N507" s="382">
        <v>598</v>
      </c>
      <c r="O507" s="381">
        <v>2568</v>
      </c>
      <c r="P507" s="381">
        <v>8602</v>
      </c>
      <c r="Q507" s="382"/>
      <c r="R507" s="382">
        <v>11170</v>
      </c>
      <c r="S507" s="382"/>
      <c r="T507" s="382"/>
      <c r="U507" s="382">
        <v>11768</v>
      </c>
      <c r="V507"/>
      <c r="W507"/>
      <c r="X507"/>
      <c r="Y507"/>
    </row>
    <row r="508" spans="1:25" ht="15.75">
      <c r="A508" s="684"/>
      <c r="B508" s="689" t="s">
        <v>1041</v>
      </c>
      <c r="C508" s="383">
        <v>0</v>
      </c>
      <c r="D508" s="384">
        <v>0</v>
      </c>
      <c r="E508" s="384">
        <v>0</v>
      </c>
      <c r="F508" s="384">
        <v>0</v>
      </c>
      <c r="G508" s="384">
        <v>0</v>
      </c>
      <c r="H508" s="385">
        <v>0</v>
      </c>
      <c r="I508" s="385">
        <v>0</v>
      </c>
      <c r="J508" s="384">
        <v>0</v>
      </c>
      <c r="K508" s="384">
        <v>0.08</v>
      </c>
      <c r="L508" s="384">
        <v>-3.0303030303030304E-2</v>
      </c>
      <c r="M508" s="385">
        <v>0.16770186335403728</v>
      </c>
      <c r="N508" s="385">
        <v>9.9264705882352935E-2</v>
      </c>
      <c r="O508" s="692">
        <v>0.77470628887353143</v>
      </c>
      <c r="P508" s="692">
        <v>0.68699745048048633</v>
      </c>
      <c r="Q508" s="385">
        <v>0</v>
      </c>
      <c r="R508" s="385">
        <v>0.70638557897952947</v>
      </c>
      <c r="S508" s="385">
        <v>0</v>
      </c>
      <c r="T508" s="385">
        <v>0</v>
      </c>
      <c r="U508" s="385">
        <v>0.659802538787024</v>
      </c>
      <c r="V508"/>
      <c r="W508"/>
      <c r="X508"/>
      <c r="Y508"/>
    </row>
    <row r="509" spans="1:25" s="386" customFormat="1" ht="15.75">
      <c r="A509" s="684"/>
      <c r="B509" s="687" t="s">
        <v>1042</v>
      </c>
      <c r="C509" s="674"/>
      <c r="D509" s="675"/>
      <c r="E509" s="675"/>
      <c r="F509" s="675"/>
      <c r="G509" s="675"/>
      <c r="H509" s="676"/>
      <c r="I509" s="676"/>
      <c r="J509" s="675"/>
      <c r="K509" s="675"/>
      <c r="L509" s="675"/>
      <c r="M509" s="676"/>
      <c r="N509" s="676"/>
      <c r="O509" s="675">
        <v>184</v>
      </c>
      <c r="P509" s="675">
        <v>369</v>
      </c>
      <c r="Q509" s="676"/>
      <c r="R509" s="676">
        <v>553</v>
      </c>
      <c r="S509" s="676"/>
      <c r="T509" s="676"/>
      <c r="U509" s="676">
        <v>553</v>
      </c>
      <c r="V509"/>
      <c r="W509"/>
      <c r="X509"/>
      <c r="Y509"/>
    </row>
    <row r="510" spans="1:25" ht="15.75">
      <c r="A510" s="684"/>
      <c r="B510" s="688" t="s">
        <v>1043</v>
      </c>
      <c r="C510" s="380"/>
      <c r="D510" s="381"/>
      <c r="E510" s="381"/>
      <c r="F510" s="381"/>
      <c r="G510" s="381"/>
      <c r="H510" s="382"/>
      <c r="I510" s="382"/>
      <c r="J510" s="381"/>
      <c r="K510" s="381"/>
      <c r="L510" s="381"/>
      <c r="M510" s="382"/>
      <c r="N510" s="382"/>
      <c r="O510" s="381">
        <v>131</v>
      </c>
      <c r="P510" s="381">
        <v>392</v>
      </c>
      <c r="Q510" s="382"/>
      <c r="R510" s="382">
        <v>523</v>
      </c>
      <c r="S510" s="382"/>
      <c r="T510" s="382"/>
      <c r="U510" s="382">
        <v>523</v>
      </c>
      <c r="V510"/>
      <c r="W510"/>
      <c r="X510"/>
      <c r="Y510"/>
    </row>
    <row r="511" spans="1:25" ht="15.75">
      <c r="A511" s="684"/>
      <c r="B511" s="689" t="s">
        <v>1044</v>
      </c>
      <c r="C511" s="383">
        <v>0</v>
      </c>
      <c r="D511" s="384">
        <v>0</v>
      </c>
      <c r="E511" s="384">
        <v>0</v>
      </c>
      <c r="F511" s="384">
        <v>0</v>
      </c>
      <c r="G511" s="384">
        <v>0</v>
      </c>
      <c r="H511" s="385">
        <v>0</v>
      </c>
      <c r="I511" s="385">
        <v>0</v>
      </c>
      <c r="J511" s="384">
        <v>0</v>
      </c>
      <c r="K511" s="384">
        <v>0</v>
      </c>
      <c r="L511" s="384">
        <v>0</v>
      </c>
      <c r="M511" s="385">
        <v>0</v>
      </c>
      <c r="N511" s="385">
        <v>0</v>
      </c>
      <c r="O511" s="384">
        <v>-0.28804347826086957</v>
      </c>
      <c r="P511" s="384">
        <v>6.2330623306233061E-2</v>
      </c>
      <c r="Q511" s="385">
        <v>0</v>
      </c>
      <c r="R511" s="385">
        <v>-5.4249547920433995E-2</v>
      </c>
      <c r="S511" s="385">
        <v>0</v>
      </c>
      <c r="T511" s="385">
        <v>0</v>
      </c>
      <c r="U511" s="385">
        <v>-5.4249547920433995E-2</v>
      </c>
      <c r="V511"/>
      <c r="W511"/>
      <c r="X511"/>
      <c r="Y511"/>
    </row>
    <row r="512" spans="1:25" s="386" customFormat="1" ht="15.75">
      <c r="A512" s="684"/>
      <c r="B512" s="687" t="s">
        <v>1045</v>
      </c>
      <c r="C512" s="674"/>
      <c r="D512" s="675"/>
      <c r="E512" s="675"/>
      <c r="F512" s="675"/>
      <c r="G512" s="675">
        <v>301</v>
      </c>
      <c r="H512" s="676">
        <v>223</v>
      </c>
      <c r="I512" s="676">
        <v>524</v>
      </c>
      <c r="J512" s="675">
        <v>488</v>
      </c>
      <c r="K512" s="675">
        <v>3023</v>
      </c>
      <c r="L512" s="675">
        <v>1789</v>
      </c>
      <c r="M512" s="676">
        <v>2410</v>
      </c>
      <c r="N512" s="676">
        <v>7710</v>
      </c>
      <c r="O512" s="675"/>
      <c r="P512" s="675"/>
      <c r="Q512" s="676"/>
      <c r="R512" s="676"/>
      <c r="S512" s="676"/>
      <c r="T512" s="676"/>
      <c r="U512" s="676">
        <v>8234</v>
      </c>
      <c r="V512"/>
      <c r="W512"/>
      <c r="X512"/>
      <c r="Y512"/>
    </row>
    <row r="513" spans="1:25" ht="15.75">
      <c r="A513" s="684"/>
      <c r="B513" s="688" t="s">
        <v>1046</v>
      </c>
      <c r="C513" s="380"/>
      <c r="D513" s="381"/>
      <c r="E513" s="381"/>
      <c r="F513" s="381"/>
      <c r="G513" s="381">
        <v>307</v>
      </c>
      <c r="H513" s="382">
        <v>252</v>
      </c>
      <c r="I513" s="382">
        <v>559</v>
      </c>
      <c r="J513" s="381">
        <v>516</v>
      </c>
      <c r="K513" s="381">
        <v>2899</v>
      </c>
      <c r="L513" s="381">
        <v>1927</v>
      </c>
      <c r="M513" s="382">
        <v>2390</v>
      </c>
      <c r="N513" s="382">
        <v>7732</v>
      </c>
      <c r="O513" s="381"/>
      <c r="P513" s="381"/>
      <c r="Q513" s="382"/>
      <c r="R513" s="382"/>
      <c r="S513" s="382"/>
      <c r="T513" s="382"/>
      <c r="U513" s="382">
        <v>8291</v>
      </c>
      <c r="V513"/>
      <c r="W513"/>
      <c r="X513"/>
      <c r="Y513"/>
    </row>
    <row r="514" spans="1:25" ht="15.75">
      <c r="A514" s="684"/>
      <c r="B514" s="689" t="s">
        <v>1047</v>
      </c>
      <c r="C514" s="383">
        <v>0</v>
      </c>
      <c r="D514" s="384">
        <v>0</v>
      </c>
      <c r="E514" s="384">
        <v>0</v>
      </c>
      <c r="F514" s="384">
        <v>0</v>
      </c>
      <c r="G514" s="384">
        <v>1.9933554817275746E-2</v>
      </c>
      <c r="H514" s="385">
        <v>0.13004484304932734</v>
      </c>
      <c r="I514" s="385">
        <v>6.6793893129770993E-2</v>
      </c>
      <c r="J514" s="384">
        <v>5.737704918032787E-2</v>
      </c>
      <c r="K514" s="384">
        <v>-4.1018855441614294E-2</v>
      </c>
      <c r="L514" s="384">
        <v>7.7138065958636107E-2</v>
      </c>
      <c r="M514" s="385">
        <v>-8.2987551867219917E-3</v>
      </c>
      <c r="N514" s="385">
        <v>2.8534370946822307E-3</v>
      </c>
      <c r="O514" s="384">
        <v>0</v>
      </c>
      <c r="P514" s="384">
        <v>0</v>
      </c>
      <c r="Q514" s="385">
        <v>0</v>
      </c>
      <c r="R514" s="385">
        <v>0</v>
      </c>
      <c r="S514" s="385">
        <v>0</v>
      </c>
      <c r="T514" s="385">
        <v>0</v>
      </c>
      <c r="U514" s="385">
        <v>6.9225163954335679E-3</v>
      </c>
      <c r="V514"/>
      <c r="W514"/>
      <c r="X514"/>
      <c r="Y514"/>
    </row>
    <row r="515" spans="1:25" s="386" customFormat="1" ht="15.75">
      <c r="A515" s="684"/>
      <c r="B515" s="687" t="s">
        <v>1048</v>
      </c>
      <c r="C515" s="674">
        <v>8237</v>
      </c>
      <c r="D515" s="675"/>
      <c r="E515" s="675">
        <v>3725</v>
      </c>
      <c r="F515" s="675"/>
      <c r="G515" s="675">
        <v>3031</v>
      </c>
      <c r="H515" s="676">
        <v>560</v>
      </c>
      <c r="I515" s="676">
        <v>15553</v>
      </c>
      <c r="J515" s="675">
        <v>57</v>
      </c>
      <c r="K515" s="675"/>
      <c r="L515" s="675"/>
      <c r="M515" s="676"/>
      <c r="N515" s="676">
        <v>57</v>
      </c>
      <c r="O515" s="675"/>
      <c r="P515" s="675"/>
      <c r="Q515" s="676"/>
      <c r="R515" s="676"/>
      <c r="S515" s="676"/>
      <c r="T515" s="676"/>
      <c r="U515" s="676">
        <v>15610</v>
      </c>
      <c r="V515"/>
      <c r="W515"/>
      <c r="X515"/>
      <c r="Y515"/>
    </row>
    <row r="516" spans="1:25" ht="15.75">
      <c r="A516" s="684"/>
      <c r="B516" s="688" t="s">
        <v>1049</v>
      </c>
      <c r="C516" s="380">
        <v>8309</v>
      </c>
      <c r="D516" s="381"/>
      <c r="E516" s="381">
        <v>3856</v>
      </c>
      <c r="F516" s="381"/>
      <c r="G516" s="381">
        <v>3121</v>
      </c>
      <c r="H516" s="382">
        <v>588</v>
      </c>
      <c r="I516" s="382">
        <v>15874</v>
      </c>
      <c r="J516" s="381">
        <v>43</v>
      </c>
      <c r="K516" s="381"/>
      <c r="L516" s="381">
        <v>3</v>
      </c>
      <c r="M516" s="382"/>
      <c r="N516" s="382">
        <v>46</v>
      </c>
      <c r="O516" s="381"/>
      <c r="P516" s="381"/>
      <c r="Q516" s="382"/>
      <c r="R516" s="382"/>
      <c r="S516" s="382"/>
      <c r="T516" s="382"/>
      <c r="U516" s="382">
        <v>15920</v>
      </c>
      <c r="V516"/>
      <c r="W516"/>
      <c r="X516"/>
      <c r="Y516"/>
    </row>
    <row r="517" spans="1:25" ht="15.75">
      <c r="A517" s="684"/>
      <c r="B517" s="689" t="s">
        <v>1050</v>
      </c>
      <c r="C517" s="383">
        <v>8.741046497511229E-3</v>
      </c>
      <c r="D517" s="384">
        <v>0</v>
      </c>
      <c r="E517" s="384">
        <v>3.5167785234899329E-2</v>
      </c>
      <c r="F517" s="384">
        <v>0</v>
      </c>
      <c r="G517" s="384">
        <v>2.9693170570768722E-2</v>
      </c>
      <c r="H517" s="385">
        <v>0.05</v>
      </c>
      <c r="I517" s="385">
        <v>2.0639104995820744E-2</v>
      </c>
      <c r="J517" s="384">
        <v>-0.24561403508771928</v>
      </c>
      <c r="K517" s="384">
        <v>0</v>
      </c>
      <c r="L517" s="384">
        <v>0</v>
      </c>
      <c r="M517" s="385">
        <v>0</v>
      </c>
      <c r="N517" s="385">
        <v>-0.19298245614035087</v>
      </c>
      <c r="O517" s="384">
        <v>0</v>
      </c>
      <c r="P517" s="384">
        <v>0</v>
      </c>
      <c r="Q517" s="385">
        <v>0</v>
      </c>
      <c r="R517" s="385">
        <v>0</v>
      </c>
      <c r="S517" s="385">
        <v>0</v>
      </c>
      <c r="T517" s="385">
        <v>0</v>
      </c>
      <c r="U517" s="385">
        <v>1.9859064702114029E-2</v>
      </c>
      <c r="V517"/>
      <c r="W517"/>
      <c r="X517"/>
      <c r="Y517"/>
    </row>
    <row r="518" spans="1:25" s="386" customFormat="1" ht="15.75">
      <c r="A518" s="684"/>
      <c r="B518" s="687" t="s">
        <v>1051</v>
      </c>
      <c r="C518" s="674">
        <v>34</v>
      </c>
      <c r="D518" s="675"/>
      <c r="E518" s="675">
        <v>1</v>
      </c>
      <c r="F518" s="675"/>
      <c r="G518" s="675"/>
      <c r="H518" s="676"/>
      <c r="I518" s="676">
        <v>35</v>
      </c>
      <c r="J518" s="675"/>
      <c r="K518" s="675"/>
      <c r="L518" s="675"/>
      <c r="M518" s="676"/>
      <c r="N518" s="676"/>
      <c r="O518" s="675"/>
      <c r="P518" s="675"/>
      <c r="Q518" s="676"/>
      <c r="R518" s="676"/>
      <c r="S518" s="676"/>
      <c r="T518" s="676"/>
      <c r="U518" s="676">
        <v>35</v>
      </c>
      <c r="V518"/>
      <c r="W518"/>
      <c r="X518"/>
      <c r="Y518"/>
    </row>
    <row r="519" spans="1:25" ht="15.75">
      <c r="A519" s="684"/>
      <c r="B519" s="688" t="s">
        <v>1052</v>
      </c>
      <c r="C519" s="380">
        <v>86</v>
      </c>
      <c r="D519" s="381"/>
      <c r="E519" s="381">
        <v>1</v>
      </c>
      <c r="F519" s="381"/>
      <c r="G519" s="381"/>
      <c r="H519" s="382"/>
      <c r="I519" s="382">
        <v>87</v>
      </c>
      <c r="J519" s="381"/>
      <c r="K519" s="381"/>
      <c r="L519" s="381"/>
      <c r="M519" s="382"/>
      <c r="N519" s="382"/>
      <c r="O519" s="381"/>
      <c r="P519" s="381"/>
      <c r="Q519" s="382"/>
      <c r="R519" s="382"/>
      <c r="S519" s="382"/>
      <c r="T519" s="382"/>
      <c r="U519" s="382">
        <v>87</v>
      </c>
      <c r="V519"/>
      <c r="W519"/>
      <c r="X519"/>
      <c r="Y519"/>
    </row>
    <row r="520" spans="1:25" ht="15.75">
      <c r="A520" s="684"/>
      <c r="B520" s="689" t="s">
        <v>1053</v>
      </c>
      <c r="C520" s="692">
        <v>1.5294117647058822</v>
      </c>
      <c r="D520" s="384">
        <v>0</v>
      </c>
      <c r="E520" s="384">
        <v>0</v>
      </c>
      <c r="F520" s="384">
        <v>0</v>
      </c>
      <c r="G520" s="384">
        <v>0</v>
      </c>
      <c r="H520" s="385">
        <v>0</v>
      </c>
      <c r="I520" s="385">
        <v>1.4857142857142858</v>
      </c>
      <c r="J520" s="384">
        <v>0</v>
      </c>
      <c r="K520" s="384">
        <v>0</v>
      </c>
      <c r="L520" s="384">
        <v>0</v>
      </c>
      <c r="M520" s="385">
        <v>0</v>
      </c>
      <c r="N520" s="385">
        <v>0</v>
      </c>
      <c r="O520" s="384">
        <v>0</v>
      </c>
      <c r="P520" s="384">
        <v>0</v>
      </c>
      <c r="Q520" s="385">
        <v>0</v>
      </c>
      <c r="R520" s="385">
        <v>0</v>
      </c>
      <c r="S520" s="385">
        <v>0</v>
      </c>
      <c r="T520" s="385">
        <v>0</v>
      </c>
      <c r="U520" s="385">
        <v>1.4857142857142858</v>
      </c>
      <c r="V520"/>
      <c r="W520"/>
      <c r="X520"/>
      <c r="Y520"/>
    </row>
    <row r="521" spans="1:25" s="386" customFormat="1" ht="15.75">
      <c r="A521" s="684"/>
      <c r="B521" s="687" t="s">
        <v>1054</v>
      </c>
      <c r="C521" s="674">
        <v>2537</v>
      </c>
      <c r="D521" s="675"/>
      <c r="E521" s="675">
        <v>663</v>
      </c>
      <c r="F521" s="675"/>
      <c r="G521" s="675">
        <v>788</v>
      </c>
      <c r="H521" s="676">
        <v>0</v>
      </c>
      <c r="I521" s="676">
        <v>3988</v>
      </c>
      <c r="J521" s="675">
        <v>0</v>
      </c>
      <c r="K521" s="675">
        <v>0</v>
      </c>
      <c r="L521" s="675">
        <v>0</v>
      </c>
      <c r="M521" s="676">
        <v>0</v>
      </c>
      <c r="N521" s="676">
        <v>0</v>
      </c>
      <c r="O521" s="675">
        <v>0</v>
      </c>
      <c r="P521" s="675">
        <v>0</v>
      </c>
      <c r="Q521" s="676">
        <v>0</v>
      </c>
      <c r="R521" s="676">
        <v>0</v>
      </c>
      <c r="S521" s="676"/>
      <c r="T521" s="676"/>
      <c r="U521" s="676">
        <v>3988</v>
      </c>
      <c r="V521"/>
      <c r="W521"/>
      <c r="X521"/>
      <c r="Y521"/>
    </row>
    <row r="522" spans="1:25" ht="15.75">
      <c r="A522" s="684"/>
      <c r="B522" s="688" t="s">
        <v>1055</v>
      </c>
      <c r="C522" s="380">
        <v>3020</v>
      </c>
      <c r="D522" s="381"/>
      <c r="E522" s="381">
        <v>701</v>
      </c>
      <c r="F522" s="381"/>
      <c r="G522" s="381">
        <v>848</v>
      </c>
      <c r="H522" s="382">
        <v>0</v>
      </c>
      <c r="I522" s="382">
        <v>4569</v>
      </c>
      <c r="J522" s="381">
        <v>0</v>
      </c>
      <c r="K522" s="381">
        <v>0</v>
      </c>
      <c r="L522" s="381">
        <v>0</v>
      </c>
      <c r="M522" s="382">
        <v>0</v>
      </c>
      <c r="N522" s="382">
        <v>0</v>
      </c>
      <c r="O522" s="381">
        <v>0</v>
      </c>
      <c r="P522" s="381">
        <v>0</v>
      </c>
      <c r="Q522" s="382">
        <v>0</v>
      </c>
      <c r="R522" s="382">
        <v>0</v>
      </c>
      <c r="S522" s="382"/>
      <c r="T522" s="382"/>
      <c r="U522" s="382">
        <v>4569</v>
      </c>
      <c r="V522"/>
      <c r="W522"/>
      <c r="X522"/>
      <c r="Y522"/>
    </row>
    <row r="523" spans="1:25" ht="15.75">
      <c r="A523" s="684"/>
      <c r="B523" s="689" t="s">
        <v>1056</v>
      </c>
      <c r="C523" s="692">
        <v>0.19038234134804888</v>
      </c>
      <c r="D523" s="384">
        <v>0</v>
      </c>
      <c r="E523" s="384">
        <v>5.7315233785822019E-2</v>
      </c>
      <c r="F523" s="384">
        <v>0</v>
      </c>
      <c r="G523" s="384">
        <v>7.6142131979695438E-2</v>
      </c>
      <c r="H523" s="385">
        <v>0</v>
      </c>
      <c r="I523" s="385">
        <v>0.14568706118355065</v>
      </c>
      <c r="J523" s="384">
        <v>0</v>
      </c>
      <c r="K523" s="384">
        <v>0</v>
      </c>
      <c r="L523" s="384">
        <v>0</v>
      </c>
      <c r="M523" s="385">
        <v>0</v>
      </c>
      <c r="N523" s="385">
        <v>0</v>
      </c>
      <c r="O523" s="384">
        <v>0</v>
      </c>
      <c r="P523" s="384">
        <v>0</v>
      </c>
      <c r="Q523" s="385">
        <v>0</v>
      </c>
      <c r="R523" s="385">
        <v>0</v>
      </c>
      <c r="S523" s="385">
        <v>0</v>
      </c>
      <c r="T523" s="385">
        <v>0</v>
      </c>
      <c r="U523" s="385">
        <v>0.14568706118355065</v>
      </c>
      <c r="V523"/>
      <c r="W523"/>
      <c r="X523"/>
      <c r="Y523"/>
    </row>
    <row r="524" spans="1:25" s="386" customFormat="1" ht="15.75">
      <c r="A524" s="684"/>
      <c r="B524" s="687" t="s">
        <v>1057</v>
      </c>
      <c r="C524" s="674">
        <v>340</v>
      </c>
      <c r="D524" s="675"/>
      <c r="E524" s="675">
        <v>0</v>
      </c>
      <c r="F524" s="675"/>
      <c r="G524" s="675">
        <v>0</v>
      </c>
      <c r="H524" s="676">
        <v>0</v>
      </c>
      <c r="I524" s="676">
        <v>340</v>
      </c>
      <c r="J524" s="675">
        <v>0</v>
      </c>
      <c r="K524" s="675">
        <v>0</v>
      </c>
      <c r="L524" s="675">
        <v>0</v>
      </c>
      <c r="M524" s="676">
        <v>0</v>
      </c>
      <c r="N524" s="676">
        <v>0</v>
      </c>
      <c r="O524" s="675">
        <v>0</v>
      </c>
      <c r="P524" s="675">
        <v>0</v>
      </c>
      <c r="Q524" s="676">
        <v>0</v>
      </c>
      <c r="R524" s="676">
        <v>0</v>
      </c>
      <c r="S524" s="676"/>
      <c r="T524" s="676"/>
      <c r="U524" s="676">
        <v>340</v>
      </c>
      <c r="V524"/>
      <c r="W524"/>
      <c r="X524"/>
      <c r="Y524"/>
    </row>
    <row r="525" spans="1:25" ht="15.75">
      <c r="A525" s="684"/>
      <c r="B525" s="688" t="s">
        <v>1058</v>
      </c>
      <c r="C525" s="380">
        <v>377</v>
      </c>
      <c r="D525" s="381"/>
      <c r="E525" s="381">
        <v>0</v>
      </c>
      <c r="F525" s="381"/>
      <c r="G525" s="381">
        <v>0</v>
      </c>
      <c r="H525" s="382">
        <v>0</v>
      </c>
      <c r="I525" s="382">
        <v>377</v>
      </c>
      <c r="J525" s="381">
        <v>0</v>
      </c>
      <c r="K525" s="381">
        <v>0</v>
      </c>
      <c r="L525" s="381">
        <v>0</v>
      </c>
      <c r="M525" s="382">
        <v>0</v>
      </c>
      <c r="N525" s="382">
        <v>0</v>
      </c>
      <c r="O525" s="381">
        <v>0</v>
      </c>
      <c r="P525" s="381">
        <v>0</v>
      </c>
      <c r="Q525" s="382">
        <v>0</v>
      </c>
      <c r="R525" s="382">
        <v>0</v>
      </c>
      <c r="S525" s="382"/>
      <c r="T525" s="382"/>
      <c r="U525" s="382">
        <v>377</v>
      </c>
      <c r="V525"/>
      <c r="W525"/>
      <c r="X525"/>
      <c r="Y525"/>
    </row>
    <row r="526" spans="1:25" ht="15.75">
      <c r="A526" s="684"/>
      <c r="B526" s="689" t="s">
        <v>1059</v>
      </c>
      <c r="C526" s="383">
        <v>0.10882352941176471</v>
      </c>
      <c r="D526" s="384">
        <v>0</v>
      </c>
      <c r="E526" s="384">
        <v>0</v>
      </c>
      <c r="F526" s="384">
        <v>0</v>
      </c>
      <c r="G526" s="384">
        <v>0</v>
      </c>
      <c r="H526" s="385">
        <v>0</v>
      </c>
      <c r="I526" s="385">
        <v>0.10882352941176471</v>
      </c>
      <c r="J526" s="384">
        <v>0</v>
      </c>
      <c r="K526" s="384">
        <v>0</v>
      </c>
      <c r="L526" s="384">
        <v>0</v>
      </c>
      <c r="M526" s="385">
        <v>0</v>
      </c>
      <c r="N526" s="385">
        <v>0</v>
      </c>
      <c r="O526" s="384">
        <v>0</v>
      </c>
      <c r="P526" s="384">
        <v>0</v>
      </c>
      <c r="Q526" s="385">
        <v>0</v>
      </c>
      <c r="R526" s="385">
        <v>0</v>
      </c>
      <c r="S526" s="385">
        <v>0</v>
      </c>
      <c r="T526" s="385">
        <v>0</v>
      </c>
      <c r="U526" s="385">
        <v>0.10882352941176471</v>
      </c>
      <c r="V526"/>
      <c r="W526"/>
      <c r="X526"/>
      <c r="Y526"/>
    </row>
    <row r="527" spans="1:25" s="386" customFormat="1" ht="15.75">
      <c r="A527" s="684"/>
      <c r="B527" s="687" t="s">
        <v>1060</v>
      </c>
      <c r="C527" s="674">
        <v>164</v>
      </c>
      <c r="D527" s="675"/>
      <c r="E527" s="675"/>
      <c r="F527" s="675"/>
      <c r="G527" s="675"/>
      <c r="H527" s="676"/>
      <c r="I527" s="676">
        <v>164</v>
      </c>
      <c r="J527" s="675"/>
      <c r="K527" s="675"/>
      <c r="L527" s="675"/>
      <c r="M527" s="676"/>
      <c r="N527" s="676"/>
      <c r="O527" s="675"/>
      <c r="P527" s="675"/>
      <c r="Q527" s="676"/>
      <c r="R527" s="676"/>
      <c r="S527" s="676"/>
      <c r="T527" s="676"/>
      <c r="U527" s="676">
        <v>164</v>
      </c>
      <c r="V527"/>
      <c r="W527"/>
      <c r="X527"/>
      <c r="Y527"/>
    </row>
    <row r="528" spans="1:25" ht="15.75">
      <c r="A528" s="684"/>
      <c r="B528" s="688" t="s">
        <v>1061</v>
      </c>
      <c r="C528" s="380">
        <v>156</v>
      </c>
      <c r="D528" s="381"/>
      <c r="E528" s="381"/>
      <c r="F528" s="381"/>
      <c r="G528" s="381"/>
      <c r="H528" s="382"/>
      <c r="I528" s="382">
        <v>156</v>
      </c>
      <c r="J528" s="381"/>
      <c r="K528" s="381"/>
      <c r="L528" s="381"/>
      <c r="M528" s="382"/>
      <c r="N528" s="382"/>
      <c r="O528" s="381"/>
      <c r="P528" s="381"/>
      <c r="Q528" s="382"/>
      <c r="R528" s="382"/>
      <c r="S528" s="382"/>
      <c r="T528" s="382"/>
      <c r="U528" s="382">
        <v>156</v>
      </c>
      <c r="V528"/>
      <c r="W528"/>
      <c r="X528"/>
      <c r="Y528"/>
    </row>
    <row r="529" spans="1:25" ht="15.75">
      <c r="A529" s="684"/>
      <c r="B529" s="689" t="s">
        <v>1062</v>
      </c>
      <c r="C529" s="383">
        <v>-4.878048780487805E-2</v>
      </c>
      <c r="D529" s="384">
        <v>0</v>
      </c>
      <c r="E529" s="384">
        <v>0</v>
      </c>
      <c r="F529" s="384">
        <v>0</v>
      </c>
      <c r="G529" s="384">
        <v>0</v>
      </c>
      <c r="H529" s="385">
        <v>0</v>
      </c>
      <c r="I529" s="385">
        <v>-4.878048780487805E-2</v>
      </c>
      <c r="J529" s="384">
        <v>0</v>
      </c>
      <c r="K529" s="384">
        <v>0</v>
      </c>
      <c r="L529" s="384">
        <v>0</v>
      </c>
      <c r="M529" s="385">
        <v>0</v>
      </c>
      <c r="N529" s="385">
        <v>0</v>
      </c>
      <c r="O529" s="384">
        <v>0</v>
      </c>
      <c r="P529" s="384">
        <v>0</v>
      </c>
      <c r="Q529" s="385">
        <v>0</v>
      </c>
      <c r="R529" s="385">
        <v>0</v>
      </c>
      <c r="S529" s="385">
        <v>0</v>
      </c>
      <c r="T529" s="385">
        <v>0</v>
      </c>
      <c r="U529" s="385">
        <v>-4.878048780487805E-2</v>
      </c>
      <c r="V529"/>
      <c r="W529"/>
      <c r="X529"/>
      <c r="Y529"/>
    </row>
    <row r="530" spans="1:25" s="386" customFormat="1" ht="15.75">
      <c r="A530" s="684"/>
      <c r="B530" s="687" t="s">
        <v>1063</v>
      </c>
      <c r="C530" s="674">
        <v>139</v>
      </c>
      <c r="D530" s="675"/>
      <c r="E530" s="675"/>
      <c r="F530" s="675"/>
      <c r="G530" s="675"/>
      <c r="H530" s="676"/>
      <c r="I530" s="676">
        <v>139</v>
      </c>
      <c r="J530" s="675"/>
      <c r="K530" s="675"/>
      <c r="L530" s="675"/>
      <c r="M530" s="676"/>
      <c r="N530" s="676"/>
      <c r="O530" s="675"/>
      <c r="P530" s="675"/>
      <c r="Q530" s="676"/>
      <c r="R530" s="676"/>
      <c r="S530" s="676"/>
      <c r="T530" s="676"/>
      <c r="U530" s="676">
        <v>139</v>
      </c>
      <c r="V530"/>
      <c r="W530"/>
      <c r="X530"/>
      <c r="Y530"/>
    </row>
    <row r="531" spans="1:25" ht="15.75">
      <c r="A531" s="684"/>
      <c r="B531" s="688" t="s">
        <v>1064</v>
      </c>
      <c r="C531" s="380">
        <v>148</v>
      </c>
      <c r="D531" s="381"/>
      <c r="E531" s="381"/>
      <c r="F531" s="381"/>
      <c r="G531" s="381"/>
      <c r="H531" s="382"/>
      <c r="I531" s="382">
        <v>148</v>
      </c>
      <c r="J531" s="381"/>
      <c r="K531" s="381"/>
      <c r="L531" s="381"/>
      <c r="M531" s="382"/>
      <c r="N531" s="382"/>
      <c r="O531" s="381"/>
      <c r="P531" s="381"/>
      <c r="Q531" s="382"/>
      <c r="R531" s="382"/>
      <c r="S531" s="382"/>
      <c r="T531" s="382"/>
      <c r="U531" s="382">
        <v>148</v>
      </c>
      <c r="V531"/>
      <c r="W531"/>
      <c r="X531"/>
      <c r="Y531"/>
    </row>
    <row r="532" spans="1:25" ht="15.75">
      <c r="A532" s="684"/>
      <c r="B532" s="689" t="s">
        <v>1065</v>
      </c>
      <c r="C532" s="383">
        <v>6.4748201438848921E-2</v>
      </c>
      <c r="D532" s="384">
        <v>0</v>
      </c>
      <c r="E532" s="384">
        <v>0</v>
      </c>
      <c r="F532" s="384">
        <v>0</v>
      </c>
      <c r="G532" s="384">
        <v>0</v>
      </c>
      <c r="H532" s="385">
        <v>0</v>
      </c>
      <c r="I532" s="385">
        <v>6.4748201438848921E-2</v>
      </c>
      <c r="J532" s="384">
        <v>0</v>
      </c>
      <c r="K532" s="384">
        <v>0</v>
      </c>
      <c r="L532" s="384">
        <v>0</v>
      </c>
      <c r="M532" s="385">
        <v>0</v>
      </c>
      <c r="N532" s="385">
        <v>0</v>
      </c>
      <c r="O532" s="384">
        <v>0</v>
      </c>
      <c r="P532" s="384">
        <v>0</v>
      </c>
      <c r="Q532" s="385">
        <v>0</v>
      </c>
      <c r="R532" s="385">
        <v>0</v>
      </c>
      <c r="S532" s="385">
        <v>0</v>
      </c>
      <c r="T532" s="385">
        <v>0</v>
      </c>
      <c r="U532" s="385">
        <v>6.4748201438848921E-2</v>
      </c>
      <c r="V532"/>
      <c r="W532"/>
      <c r="X532"/>
      <c r="Y532"/>
    </row>
    <row r="533" spans="1:25" s="386" customFormat="1" ht="15.75">
      <c r="A533" s="684"/>
      <c r="B533" s="687" t="s">
        <v>1066</v>
      </c>
      <c r="C533" s="674">
        <v>58</v>
      </c>
      <c r="D533" s="675"/>
      <c r="E533" s="675"/>
      <c r="F533" s="675"/>
      <c r="G533" s="675"/>
      <c r="H533" s="676"/>
      <c r="I533" s="676">
        <v>58</v>
      </c>
      <c r="J533" s="675"/>
      <c r="K533" s="675"/>
      <c r="L533" s="675"/>
      <c r="M533" s="676"/>
      <c r="N533" s="676"/>
      <c r="O533" s="675"/>
      <c r="P533" s="675"/>
      <c r="Q533" s="676"/>
      <c r="R533" s="676"/>
      <c r="S533" s="676"/>
      <c r="T533" s="676"/>
      <c r="U533" s="676">
        <v>58</v>
      </c>
      <c r="V533"/>
      <c r="W533"/>
      <c r="X533"/>
      <c r="Y533"/>
    </row>
    <row r="534" spans="1:25" ht="15.75">
      <c r="A534" s="684"/>
      <c r="B534" s="688" t="s">
        <v>1067</v>
      </c>
      <c r="C534" s="380">
        <v>55</v>
      </c>
      <c r="D534" s="381"/>
      <c r="E534" s="381"/>
      <c r="F534" s="381"/>
      <c r="G534" s="381"/>
      <c r="H534" s="382"/>
      <c r="I534" s="382">
        <v>55</v>
      </c>
      <c r="J534" s="381"/>
      <c r="K534" s="381"/>
      <c r="L534" s="381"/>
      <c r="M534" s="382"/>
      <c r="N534" s="382"/>
      <c r="O534" s="381"/>
      <c r="P534" s="381"/>
      <c r="Q534" s="382"/>
      <c r="R534" s="382"/>
      <c r="S534" s="382"/>
      <c r="T534" s="382"/>
      <c r="U534" s="382">
        <v>55</v>
      </c>
      <c r="V534"/>
      <c r="W534"/>
      <c r="X534"/>
      <c r="Y534"/>
    </row>
    <row r="535" spans="1:25" ht="15.75">
      <c r="A535" s="684"/>
      <c r="B535" s="689" t="s">
        <v>1068</v>
      </c>
      <c r="C535" s="383">
        <v>-5.1724137931034482E-2</v>
      </c>
      <c r="D535" s="384">
        <v>0</v>
      </c>
      <c r="E535" s="384">
        <v>0</v>
      </c>
      <c r="F535" s="384">
        <v>0</v>
      </c>
      <c r="G535" s="384">
        <v>0</v>
      </c>
      <c r="H535" s="385">
        <v>0</v>
      </c>
      <c r="I535" s="385">
        <v>-5.1724137931034482E-2</v>
      </c>
      <c r="J535" s="384">
        <v>0</v>
      </c>
      <c r="K535" s="384">
        <v>0</v>
      </c>
      <c r="L535" s="384">
        <v>0</v>
      </c>
      <c r="M535" s="385">
        <v>0</v>
      </c>
      <c r="N535" s="385">
        <v>0</v>
      </c>
      <c r="O535" s="384">
        <v>0</v>
      </c>
      <c r="P535" s="384">
        <v>0</v>
      </c>
      <c r="Q535" s="385">
        <v>0</v>
      </c>
      <c r="R535" s="385">
        <v>0</v>
      </c>
      <c r="S535" s="385">
        <v>0</v>
      </c>
      <c r="T535" s="385">
        <v>0</v>
      </c>
      <c r="U535" s="385">
        <v>-5.1724137931034482E-2</v>
      </c>
      <c r="V535"/>
      <c r="W535"/>
      <c r="X535"/>
      <c r="Y535"/>
    </row>
    <row r="536" spans="1:25" s="386" customFormat="1" ht="15.75">
      <c r="A536" s="684"/>
      <c r="B536" s="687" t="s">
        <v>1069</v>
      </c>
      <c r="C536" s="674">
        <v>119</v>
      </c>
      <c r="D536" s="675"/>
      <c r="E536" s="675"/>
      <c r="F536" s="675"/>
      <c r="G536" s="675">
        <v>85</v>
      </c>
      <c r="H536" s="676"/>
      <c r="I536" s="676">
        <v>204</v>
      </c>
      <c r="J536" s="675"/>
      <c r="K536" s="675"/>
      <c r="L536" s="675"/>
      <c r="M536" s="676"/>
      <c r="N536" s="676"/>
      <c r="O536" s="675"/>
      <c r="P536" s="675"/>
      <c r="Q536" s="676"/>
      <c r="R536" s="676"/>
      <c r="S536" s="676"/>
      <c r="T536" s="676"/>
      <c r="U536" s="676">
        <v>204</v>
      </c>
      <c r="V536"/>
      <c r="W536"/>
      <c r="X536"/>
      <c r="Y536"/>
    </row>
    <row r="537" spans="1:25" ht="15.75">
      <c r="A537" s="684"/>
      <c r="B537" s="688" t="s">
        <v>1070</v>
      </c>
      <c r="C537" s="380">
        <v>130</v>
      </c>
      <c r="D537" s="381"/>
      <c r="E537" s="381"/>
      <c r="F537" s="381"/>
      <c r="G537" s="381">
        <v>80</v>
      </c>
      <c r="H537" s="382"/>
      <c r="I537" s="382">
        <v>210</v>
      </c>
      <c r="J537" s="381"/>
      <c r="K537" s="381"/>
      <c r="L537" s="381"/>
      <c r="M537" s="382"/>
      <c r="N537" s="382"/>
      <c r="O537" s="381"/>
      <c r="P537" s="381"/>
      <c r="Q537" s="382"/>
      <c r="R537" s="382"/>
      <c r="S537" s="382"/>
      <c r="T537" s="382"/>
      <c r="U537" s="382">
        <v>210</v>
      </c>
      <c r="V537"/>
      <c r="W537"/>
      <c r="X537"/>
      <c r="Y537"/>
    </row>
    <row r="538" spans="1:25" ht="15.75">
      <c r="A538" s="684"/>
      <c r="B538" s="689" t="s">
        <v>1071</v>
      </c>
      <c r="C538" s="383">
        <v>9.2436974789915971E-2</v>
      </c>
      <c r="D538" s="384">
        <v>0</v>
      </c>
      <c r="E538" s="384">
        <v>0</v>
      </c>
      <c r="F538" s="384">
        <v>0</v>
      </c>
      <c r="G538" s="384">
        <v>-5.8823529411764705E-2</v>
      </c>
      <c r="H538" s="385">
        <v>0</v>
      </c>
      <c r="I538" s="385">
        <v>2.9411764705882353E-2</v>
      </c>
      <c r="J538" s="384">
        <v>0</v>
      </c>
      <c r="K538" s="384">
        <v>0</v>
      </c>
      <c r="L538" s="384">
        <v>0</v>
      </c>
      <c r="M538" s="385">
        <v>0</v>
      </c>
      <c r="N538" s="385">
        <v>0</v>
      </c>
      <c r="O538" s="384">
        <v>0</v>
      </c>
      <c r="P538" s="384">
        <v>0</v>
      </c>
      <c r="Q538" s="385">
        <v>0</v>
      </c>
      <c r="R538" s="385">
        <v>0</v>
      </c>
      <c r="S538" s="385">
        <v>0</v>
      </c>
      <c r="T538" s="385">
        <v>0</v>
      </c>
      <c r="U538" s="385">
        <v>2.9411764705882353E-2</v>
      </c>
      <c r="V538"/>
      <c r="W538"/>
      <c r="X538"/>
      <c r="Y538"/>
    </row>
    <row r="539" spans="1:25" s="386" customFormat="1" ht="15.75">
      <c r="A539" s="684"/>
      <c r="B539" s="687" t="s">
        <v>1072</v>
      </c>
      <c r="C539" s="674"/>
      <c r="D539" s="675"/>
      <c r="E539" s="675"/>
      <c r="F539" s="675"/>
      <c r="G539" s="675"/>
      <c r="H539" s="676"/>
      <c r="I539" s="676"/>
      <c r="J539" s="675"/>
      <c r="K539" s="675"/>
      <c r="L539" s="675"/>
      <c r="M539" s="676"/>
      <c r="N539" s="676"/>
      <c r="O539" s="675"/>
      <c r="P539" s="675"/>
      <c r="Q539" s="676"/>
      <c r="R539" s="676"/>
      <c r="S539" s="676"/>
      <c r="T539" s="676"/>
      <c r="U539" s="676"/>
      <c r="V539"/>
      <c r="W539"/>
      <c r="X539"/>
      <c r="Y539"/>
    </row>
    <row r="540" spans="1:25" ht="15.75">
      <c r="A540" s="684"/>
      <c r="B540" s="688" t="s">
        <v>1073</v>
      </c>
      <c r="C540" s="380"/>
      <c r="D540" s="381"/>
      <c r="E540" s="381"/>
      <c r="F540" s="381"/>
      <c r="G540" s="381"/>
      <c r="H540" s="382"/>
      <c r="I540" s="382"/>
      <c r="J540" s="381"/>
      <c r="K540" s="381"/>
      <c r="L540" s="381"/>
      <c r="M540" s="382"/>
      <c r="N540" s="382"/>
      <c r="O540" s="381"/>
      <c r="P540" s="381"/>
      <c r="Q540" s="382"/>
      <c r="R540" s="382"/>
      <c r="S540" s="382"/>
      <c r="T540" s="382"/>
      <c r="U540" s="382"/>
      <c r="V540"/>
      <c r="W540"/>
      <c r="X540"/>
      <c r="Y540"/>
    </row>
    <row r="541" spans="1:25" ht="15.75">
      <c r="A541" s="684"/>
      <c r="B541" s="689" t="s">
        <v>1074</v>
      </c>
      <c r="C541" s="383">
        <v>0</v>
      </c>
      <c r="D541" s="384">
        <v>0</v>
      </c>
      <c r="E541" s="384">
        <v>0</v>
      </c>
      <c r="F541" s="384">
        <v>0</v>
      </c>
      <c r="G541" s="384">
        <v>0</v>
      </c>
      <c r="H541" s="385">
        <v>0</v>
      </c>
      <c r="I541" s="385">
        <v>0</v>
      </c>
      <c r="J541" s="384">
        <v>0</v>
      </c>
      <c r="K541" s="384">
        <v>0</v>
      </c>
      <c r="L541" s="384">
        <v>0</v>
      </c>
      <c r="M541" s="385">
        <v>0</v>
      </c>
      <c r="N541" s="385">
        <v>0</v>
      </c>
      <c r="O541" s="384">
        <v>0</v>
      </c>
      <c r="P541" s="384">
        <v>0</v>
      </c>
      <c r="Q541" s="385">
        <v>0</v>
      </c>
      <c r="R541" s="385">
        <v>0</v>
      </c>
      <c r="S541" s="385">
        <v>0</v>
      </c>
      <c r="T541" s="385">
        <v>0</v>
      </c>
      <c r="U541" s="385">
        <v>0</v>
      </c>
      <c r="V541"/>
      <c r="W541"/>
      <c r="X541"/>
      <c r="Y541"/>
    </row>
    <row r="542" spans="1:25" s="386" customFormat="1" ht="15.75">
      <c r="A542" s="684"/>
      <c r="B542" s="687" t="s">
        <v>1075</v>
      </c>
      <c r="C542" s="674"/>
      <c r="D542" s="675"/>
      <c r="E542" s="675">
        <v>27</v>
      </c>
      <c r="F542" s="675"/>
      <c r="G542" s="675"/>
      <c r="H542" s="676"/>
      <c r="I542" s="676">
        <v>27</v>
      </c>
      <c r="J542" s="675"/>
      <c r="K542" s="675"/>
      <c r="L542" s="675"/>
      <c r="M542" s="676"/>
      <c r="N542" s="676"/>
      <c r="O542" s="675"/>
      <c r="P542" s="675"/>
      <c r="Q542" s="676"/>
      <c r="R542" s="676"/>
      <c r="S542" s="676"/>
      <c r="T542" s="676"/>
      <c r="U542" s="676">
        <v>27</v>
      </c>
      <c r="V542"/>
      <c r="W542"/>
      <c r="X542"/>
      <c r="Y542"/>
    </row>
    <row r="543" spans="1:25" ht="15.75">
      <c r="A543" s="684"/>
      <c r="B543" s="688" t="s">
        <v>1076</v>
      </c>
      <c r="C543" s="380"/>
      <c r="D543" s="381"/>
      <c r="E543" s="381">
        <v>26</v>
      </c>
      <c r="F543" s="381"/>
      <c r="G543" s="381"/>
      <c r="H543" s="382"/>
      <c r="I543" s="382">
        <v>26</v>
      </c>
      <c r="J543" s="381"/>
      <c r="K543" s="381"/>
      <c r="L543" s="381"/>
      <c r="M543" s="382"/>
      <c r="N543" s="382"/>
      <c r="O543" s="381"/>
      <c r="P543" s="381"/>
      <c r="Q543" s="382"/>
      <c r="R543" s="382"/>
      <c r="S543" s="382"/>
      <c r="T543" s="382"/>
      <c r="U543" s="382">
        <v>26</v>
      </c>
      <c r="V543"/>
      <c r="W543"/>
      <c r="X543"/>
      <c r="Y543"/>
    </row>
    <row r="544" spans="1:25" ht="15.75">
      <c r="A544" s="684"/>
      <c r="B544" s="689" t="s">
        <v>1077</v>
      </c>
      <c r="C544" s="383">
        <v>0</v>
      </c>
      <c r="D544" s="384">
        <v>0</v>
      </c>
      <c r="E544" s="384">
        <v>-3.7037037037037035E-2</v>
      </c>
      <c r="F544" s="384">
        <v>0</v>
      </c>
      <c r="G544" s="384">
        <v>0</v>
      </c>
      <c r="H544" s="385">
        <v>0</v>
      </c>
      <c r="I544" s="385">
        <v>-3.7037037037037035E-2</v>
      </c>
      <c r="J544" s="384">
        <v>0</v>
      </c>
      <c r="K544" s="384">
        <v>0</v>
      </c>
      <c r="L544" s="384">
        <v>0</v>
      </c>
      <c r="M544" s="385">
        <v>0</v>
      </c>
      <c r="N544" s="385">
        <v>0</v>
      </c>
      <c r="O544" s="384">
        <v>0</v>
      </c>
      <c r="P544" s="384">
        <v>0</v>
      </c>
      <c r="Q544" s="385">
        <v>0</v>
      </c>
      <c r="R544" s="385">
        <v>0</v>
      </c>
      <c r="S544" s="385">
        <v>0</v>
      </c>
      <c r="T544" s="385">
        <v>0</v>
      </c>
      <c r="U544" s="385">
        <v>-3.7037037037037035E-2</v>
      </c>
      <c r="V544"/>
      <c r="W544"/>
      <c r="X544"/>
      <c r="Y544"/>
    </row>
    <row r="545" spans="1:25" s="386" customFormat="1" ht="15.75">
      <c r="A545" s="684"/>
      <c r="B545" s="687" t="s">
        <v>1078</v>
      </c>
      <c r="C545" s="674">
        <v>76</v>
      </c>
      <c r="D545" s="675"/>
      <c r="E545" s="675"/>
      <c r="F545" s="675"/>
      <c r="G545" s="675"/>
      <c r="H545" s="676"/>
      <c r="I545" s="676">
        <v>76</v>
      </c>
      <c r="J545" s="675"/>
      <c r="K545" s="675"/>
      <c r="L545" s="675"/>
      <c r="M545" s="676"/>
      <c r="N545" s="676"/>
      <c r="O545" s="675"/>
      <c r="P545" s="675"/>
      <c r="Q545" s="676"/>
      <c r="R545" s="676"/>
      <c r="S545" s="676"/>
      <c r="T545" s="676"/>
      <c r="U545" s="676">
        <v>76</v>
      </c>
      <c r="V545"/>
      <c r="W545"/>
      <c r="X545"/>
      <c r="Y545"/>
    </row>
    <row r="546" spans="1:25" ht="15.75">
      <c r="A546" s="684"/>
      <c r="B546" s="688" t="s">
        <v>1079</v>
      </c>
      <c r="C546" s="380">
        <v>75</v>
      </c>
      <c r="D546" s="381"/>
      <c r="E546" s="381"/>
      <c r="F546" s="381"/>
      <c r="G546" s="381"/>
      <c r="H546" s="382"/>
      <c r="I546" s="382">
        <v>75</v>
      </c>
      <c r="J546" s="381"/>
      <c r="K546" s="381"/>
      <c r="L546" s="381"/>
      <c r="M546" s="382"/>
      <c r="N546" s="382"/>
      <c r="O546" s="381"/>
      <c r="P546" s="381"/>
      <c r="Q546" s="382"/>
      <c r="R546" s="382"/>
      <c r="S546" s="382"/>
      <c r="T546" s="382"/>
      <c r="U546" s="382">
        <v>75</v>
      </c>
      <c r="V546"/>
      <c r="W546"/>
      <c r="X546"/>
      <c r="Y546"/>
    </row>
    <row r="547" spans="1:25" ht="15.75">
      <c r="A547" s="684"/>
      <c r="B547" s="689" t="s">
        <v>1080</v>
      </c>
      <c r="C547" s="383">
        <v>-1.3157894736842105E-2</v>
      </c>
      <c r="D547" s="384">
        <v>0</v>
      </c>
      <c r="E547" s="384">
        <v>0</v>
      </c>
      <c r="F547" s="384">
        <v>0</v>
      </c>
      <c r="G547" s="384">
        <v>0</v>
      </c>
      <c r="H547" s="385">
        <v>0</v>
      </c>
      <c r="I547" s="385">
        <v>-1.3157894736842105E-2</v>
      </c>
      <c r="J547" s="384">
        <v>0</v>
      </c>
      <c r="K547" s="384">
        <v>0</v>
      </c>
      <c r="L547" s="384">
        <v>0</v>
      </c>
      <c r="M547" s="385">
        <v>0</v>
      </c>
      <c r="N547" s="385">
        <v>0</v>
      </c>
      <c r="O547" s="384">
        <v>0</v>
      </c>
      <c r="P547" s="384">
        <v>0</v>
      </c>
      <c r="Q547" s="385">
        <v>0</v>
      </c>
      <c r="R547" s="385">
        <v>0</v>
      </c>
      <c r="S547" s="385">
        <v>0</v>
      </c>
      <c r="T547" s="385">
        <v>0</v>
      </c>
      <c r="U547" s="385">
        <v>-1.3157894736842105E-2</v>
      </c>
      <c r="V547"/>
      <c r="W547"/>
      <c r="X547"/>
      <c r="Y547"/>
    </row>
    <row r="548" spans="1:25" s="386" customFormat="1" ht="15.75">
      <c r="A548" s="684"/>
      <c r="B548" s="687" t="s">
        <v>1081</v>
      </c>
      <c r="C548" s="674">
        <v>78</v>
      </c>
      <c r="D548" s="675"/>
      <c r="E548" s="675"/>
      <c r="F548" s="675"/>
      <c r="G548" s="675"/>
      <c r="H548" s="676"/>
      <c r="I548" s="676">
        <v>78</v>
      </c>
      <c r="J548" s="675"/>
      <c r="K548" s="675"/>
      <c r="L548" s="675"/>
      <c r="M548" s="676"/>
      <c r="N548" s="676"/>
      <c r="O548" s="675"/>
      <c r="P548" s="675"/>
      <c r="Q548" s="676"/>
      <c r="R548" s="676"/>
      <c r="S548" s="676"/>
      <c r="T548" s="676"/>
      <c r="U548" s="676">
        <v>78</v>
      </c>
      <c r="V548"/>
      <c r="W548"/>
      <c r="X548"/>
      <c r="Y548"/>
    </row>
    <row r="549" spans="1:25" ht="15.75">
      <c r="A549" s="684"/>
      <c r="B549" s="688" t="s">
        <v>1082</v>
      </c>
      <c r="C549" s="380">
        <v>78</v>
      </c>
      <c r="D549" s="381"/>
      <c r="E549" s="381"/>
      <c r="F549" s="381"/>
      <c r="G549" s="381"/>
      <c r="H549" s="382"/>
      <c r="I549" s="382">
        <v>78</v>
      </c>
      <c r="J549" s="381"/>
      <c r="K549" s="381"/>
      <c r="L549" s="381"/>
      <c r="M549" s="382"/>
      <c r="N549" s="382"/>
      <c r="O549" s="381"/>
      <c r="P549" s="381"/>
      <c r="Q549" s="382"/>
      <c r="R549" s="382"/>
      <c r="S549" s="382"/>
      <c r="T549" s="382"/>
      <c r="U549" s="382">
        <v>78</v>
      </c>
      <c r="V549"/>
      <c r="W549"/>
      <c r="X549"/>
      <c r="Y549"/>
    </row>
    <row r="550" spans="1:25" ht="15.75">
      <c r="A550" s="684"/>
      <c r="B550" s="689" t="s">
        <v>1083</v>
      </c>
      <c r="C550" s="383">
        <v>0</v>
      </c>
      <c r="D550" s="384">
        <v>0</v>
      </c>
      <c r="E550" s="384">
        <v>0</v>
      </c>
      <c r="F550" s="384">
        <v>0</v>
      </c>
      <c r="G550" s="384">
        <v>0</v>
      </c>
      <c r="H550" s="385">
        <v>0</v>
      </c>
      <c r="I550" s="385">
        <v>0</v>
      </c>
      <c r="J550" s="384">
        <v>0</v>
      </c>
      <c r="K550" s="384">
        <v>0</v>
      </c>
      <c r="L550" s="384">
        <v>0</v>
      </c>
      <c r="M550" s="385">
        <v>0</v>
      </c>
      <c r="N550" s="385">
        <v>0</v>
      </c>
      <c r="O550" s="384">
        <v>0</v>
      </c>
      <c r="P550" s="384">
        <v>0</v>
      </c>
      <c r="Q550" s="385">
        <v>0</v>
      </c>
      <c r="R550" s="385">
        <v>0</v>
      </c>
      <c r="S550" s="385">
        <v>0</v>
      </c>
      <c r="T550" s="385">
        <v>0</v>
      </c>
      <c r="U550" s="385">
        <v>0</v>
      </c>
      <c r="V550"/>
      <c r="W550"/>
      <c r="X550"/>
      <c r="Y550"/>
    </row>
    <row r="551" spans="1:25" s="386" customFormat="1" ht="15.75">
      <c r="A551" s="684"/>
      <c r="B551" s="687" t="s">
        <v>1084</v>
      </c>
      <c r="C551" s="674"/>
      <c r="D551" s="675"/>
      <c r="E551" s="675"/>
      <c r="F551" s="675"/>
      <c r="G551" s="675"/>
      <c r="H551" s="676"/>
      <c r="I551" s="676"/>
      <c r="J551" s="675"/>
      <c r="K551" s="675"/>
      <c r="L551" s="675"/>
      <c r="M551" s="676"/>
      <c r="N551" s="676"/>
      <c r="O551" s="675"/>
      <c r="P551" s="675"/>
      <c r="Q551" s="676"/>
      <c r="R551" s="676"/>
      <c r="S551" s="676"/>
      <c r="T551" s="676"/>
      <c r="U551" s="676"/>
      <c r="V551"/>
      <c r="W551"/>
      <c r="X551"/>
      <c r="Y551"/>
    </row>
    <row r="552" spans="1:25" ht="15.75">
      <c r="A552" s="684"/>
      <c r="B552" s="688" t="s">
        <v>1085</v>
      </c>
      <c r="C552" s="380"/>
      <c r="D552" s="381"/>
      <c r="E552" s="381"/>
      <c r="F552" s="381"/>
      <c r="G552" s="381"/>
      <c r="H552" s="382"/>
      <c r="I552" s="382"/>
      <c r="J552" s="381"/>
      <c r="K552" s="381"/>
      <c r="L552" s="381"/>
      <c r="M552" s="382"/>
      <c r="N552" s="382"/>
      <c r="O552" s="381"/>
      <c r="P552" s="381"/>
      <c r="Q552" s="382"/>
      <c r="R552" s="382"/>
      <c r="S552" s="382"/>
      <c r="T552" s="382"/>
      <c r="U552" s="382"/>
      <c r="V552"/>
      <c r="W552"/>
      <c r="X552"/>
      <c r="Y552"/>
    </row>
    <row r="553" spans="1:25" ht="15.75">
      <c r="A553" s="684"/>
      <c r="B553" s="689" t="s">
        <v>1086</v>
      </c>
      <c r="C553" s="383">
        <v>0</v>
      </c>
      <c r="D553" s="384">
        <v>0</v>
      </c>
      <c r="E553" s="384">
        <v>0</v>
      </c>
      <c r="F553" s="384">
        <v>0</v>
      </c>
      <c r="G553" s="384">
        <v>0</v>
      </c>
      <c r="H553" s="385">
        <v>0</v>
      </c>
      <c r="I553" s="385">
        <v>0</v>
      </c>
      <c r="J553" s="384">
        <v>0</v>
      </c>
      <c r="K553" s="384">
        <v>0</v>
      </c>
      <c r="L553" s="384">
        <v>0</v>
      </c>
      <c r="M553" s="385">
        <v>0</v>
      </c>
      <c r="N553" s="385">
        <v>0</v>
      </c>
      <c r="O553" s="384">
        <v>0</v>
      </c>
      <c r="P553" s="384">
        <v>0</v>
      </c>
      <c r="Q553" s="385">
        <v>0</v>
      </c>
      <c r="R553" s="385">
        <v>0</v>
      </c>
      <c r="S553" s="385">
        <v>0</v>
      </c>
      <c r="T553" s="385">
        <v>0</v>
      </c>
      <c r="U553" s="385">
        <v>0</v>
      </c>
      <c r="V553"/>
      <c r="W553"/>
      <c r="X553"/>
      <c r="Y553"/>
    </row>
    <row r="554" spans="1:25" s="386" customFormat="1" ht="15.75">
      <c r="A554" s="684"/>
      <c r="B554" s="687" t="s">
        <v>1248</v>
      </c>
      <c r="C554" s="674">
        <v>67</v>
      </c>
      <c r="D554" s="675"/>
      <c r="E554" s="675"/>
      <c r="F554" s="675"/>
      <c r="G554" s="675"/>
      <c r="H554" s="676"/>
      <c r="I554" s="676">
        <v>67</v>
      </c>
      <c r="J554" s="675"/>
      <c r="K554" s="675"/>
      <c r="L554" s="675"/>
      <c r="M554" s="676"/>
      <c r="N554" s="676"/>
      <c r="O554" s="675"/>
      <c r="P554" s="675"/>
      <c r="Q554" s="676"/>
      <c r="R554" s="676"/>
      <c r="S554" s="676"/>
      <c r="T554" s="676"/>
      <c r="U554" s="676">
        <v>67</v>
      </c>
      <c r="V554"/>
      <c r="W554"/>
      <c r="X554"/>
      <c r="Y554"/>
    </row>
    <row r="555" spans="1:25" ht="15.75">
      <c r="A555" s="685"/>
      <c r="B555" s="690" t="s">
        <v>1250</v>
      </c>
      <c r="C555" s="576">
        <v>64</v>
      </c>
      <c r="D555" s="577"/>
      <c r="E555" s="577"/>
      <c r="F555" s="577"/>
      <c r="G555" s="577">
        <v>11</v>
      </c>
      <c r="H555" s="578"/>
      <c r="I555" s="578">
        <v>75</v>
      </c>
      <c r="J555" s="577"/>
      <c r="K555" s="577"/>
      <c r="L555" s="577"/>
      <c r="M555" s="578"/>
      <c r="N555" s="578"/>
      <c r="O555" s="577"/>
      <c r="P555" s="577"/>
      <c r="Q555" s="578"/>
      <c r="R555" s="578"/>
      <c r="S555" s="578"/>
      <c r="T555" s="578"/>
      <c r="U555" s="578">
        <v>75</v>
      </c>
      <c r="V555"/>
      <c r="W555"/>
      <c r="X555"/>
      <c r="Y555"/>
    </row>
    <row r="556" spans="1:25" ht="15.75">
      <c r="A556" s="683" t="s">
        <v>35</v>
      </c>
      <c r="B556" s="687" t="s">
        <v>1039</v>
      </c>
      <c r="C556" s="674"/>
      <c r="D556" s="675"/>
      <c r="E556" s="675">
        <v>8</v>
      </c>
      <c r="F556" s="675"/>
      <c r="G556" s="675"/>
      <c r="H556" s="676">
        <v>1</v>
      </c>
      <c r="I556" s="676">
        <v>9</v>
      </c>
      <c r="J556" s="675"/>
      <c r="K556" s="675">
        <v>3200</v>
      </c>
      <c r="L556" s="675">
        <v>3236</v>
      </c>
      <c r="M556" s="676">
        <v>480</v>
      </c>
      <c r="N556" s="676">
        <v>6916</v>
      </c>
      <c r="O556" s="675"/>
      <c r="P556" s="675"/>
      <c r="Q556" s="676"/>
      <c r="R556" s="676"/>
      <c r="S556" s="676"/>
      <c r="T556" s="676"/>
      <c r="U556" s="676">
        <v>6925</v>
      </c>
      <c r="V556"/>
      <c r="W556"/>
      <c r="X556"/>
      <c r="Y556"/>
    </row>
    <row r="557" spans="1:25" s="386" customFormat="1" ht="15.75">
      <c r="A557" s="684"/>
      <c r="B557" s="688" t="s">
        <v>1040</v>
      </c>
      <c r="C557" s="380">
        <v>0</v>
      </c>
      <c r="D557" s="381"/>
      <c r="E557" s="381">
        <v>3</v>
      </c>
      <c r="F557" s="381">
        <v>0</v>
      </c>
      <c r="G557" s="381">
        <v>0</v>
      </c>
      <c r="H557" s="382">
        <v>4</v>
      </c>
      <c r="I557" s="382">
        <v>7</v>
      </c>
      <c r="J557" s="381"/>
      <c r="K557" s="381">
        <v>3167</v>
      </c>
      <c r="L557" s="381">
        <v>3175</v>
      </c>
      <c r="M557" s="382">
        <v>513</v>
      </c>
      <c r="N557" s="382">
        <v>6855</v>
      </c>
      <c r="O557" s="381"/>
      <c r="P557" s="381"/>
      <c r="Q557" s="382"/>
      <c r="R557" s="382"/>
      <c r="S557" s="382">
        <v>0</v>
      </c>
      <c r="T557" s="382">
        <v>0</v>
      </c>
      <c r="U557" s="382">
        <v>6862</v>
      </c>
      <c r="V557"/>
      <c r="W557"/>
      <c r="X557"/>
      <c r="Y557"/>
    </row>
    <row r="558" spans="1:25" ht="15.75">
      <c r="A558" s="684"/>
      <c r="B558" s="689" t="s">
        <v>1041</v>
      </c>
      <c r="C558" s="383">
        <v>0</v>
      </c>
      <c r="D558" s="384">
        <v>0</v>
      </c>
      <c r="E558" s="384">
        <v>-0.625</v>
      </c>
      <c r="F558" s="384">
        <v>0</v>
      </c>
      <c r="G558" s="384">
        <v>0</v>
      </c>
      <c r="H558" s="385">
        <v>3</v>
      </c>
      <c r="I558" s="385">
        <v>-0.22222222222222221</v>
      </c>
      <c r="J558" s="384">
        <v>0</v>
      </c>
      <c r="K558" s="384">
        <v>-1.03125E-2</v>
      </c>
      <c r="L558" s="384">
        <v>-1.8850432632880099E-2</v>
      </c>
      <c r="M558" s="385">
        <v>6.8750000000000006E-2</v>
      </c>
      <c r="N558" s="385">
        <v>-8.8201272411798735E-3</v>
      </c>
      <c r="O558" s="384">
        <v>0</v>
      </c>
      <c r="P558" s="384">
        <v>0</v>
      </c>
      <c r="Q558" s="385">
        <v>0</v>
      </c>
      <c r="R558" s="385">
        <v>0</v>
      </c>
      <c r="S558" s="385">
        <v>0</v>
      </c>
      <c r="T558" s="385">
        <v>0</v>
      </c>
      <c r="U558" s="385">
        <v>-9.0974729241877252E-3</v>
      </c>
      <c r="V558"/>
      <c r="W558"/>
      <c r="X558"/>
      <c r="Y558"/>
    </row>
    <row r="559" spans="1:25" ht="15.75">
      <c r="A559" s="684"/>
      <c r="B559" s="687" t="s">
        <v>1042</v>
      </c>
      <c r="C559" s="674">
        <v>13</v>
      </c>
      <c r="D559" s="675"/>
      <c r="E559" s="675"/>
      <c r="F559" s="675"/>
      <c r="G559" s="675"/>
      <c r="H559" s="676"/>
      <c r="I559" s="676">
        <v>13</v>
      </c>
      <c r="J559" s="675"/>
      <c r="K559" s="675"/>
      <c r="L559" s="675"/>
      <c r="M559" s="676"/>
      <c r="N559" s="676"/>
      <c r="O559" s="675"/>
      <c r="P559" s="675"/>
      <c r="Q559" s="676"/>
      <c r="R559" s="676"/>
      <c r="S559" s="676"/>
      <c r="T559" s="676"/>
      <c r="U559" s="676">
        <v>13</v>
      </c>
      <c r="V559"/>
      <c r="W559"/>
      <c r="X559"/>
      <c r="Y559"/>
    </row>
    <row r="560" spans="1:25" s="386" customFormat="1" ht="15.75">
      <c r="A560" s="684"/>
      <c r="B560" s="688" t="s">
        <v>1043</v>
      </c>
      <c r="C560" s="380">
        <v>13</v>
      </c>
      <c r="D560" s="381"/>
      <c r="E560" s="381"/>
      <c r="F560" s="381"/>
      <c r="G560" s="381"/>
      <c r="H560" s="382"/>
      <c r="I560" s="382">
        <v>13</v>
      </c>
      <c r="J560" s="381"/>
      <c r="K560" s="381"/>
      <c r="L560" s="381"/>
      <c r="M560" s="382"/>
      <c r="N560" s="382"/>
      <c r="O560" s="381"/>
      <c r="P560" s="381"/>
      <c r="Q560" s="382"/>
      <c r="R560" s="382"/>
      <c r="S560" s="382"/>
      <c r="T560" s="382"/>
      <c r="U560" s="382">
        <v>13</v>
      </c>
      <c r="V560"/>
      <c r="W560"/>
      <c r="X560"/>
      <c r="Y560"/>
    </row>
    <row r="561" spans="1:25" ht="15.75">
      <c r="A561" s="684"/>
      <c r="B561" s="689" t="s">
        <v>1044</v>
      </c>
      <c r="C561" s="383">
        <v>0</v>
      </c>
      <c r="D561" s="384">
        <v>0</v>
      </c>
      <c r="E561" s="384">
        <v>0</v>
      </c>
      <c r="F561" s="384">
        <v>0</v>
      </c>
      <c r="G561" s="384">
        <v>0</v>
      </c>
      <c r="H561" s="385">
        <v>0</v>
      </c>
      <c r="I561" s="385">
        <v>0</v>
      </c>
      <c r="J561" s="384">
        <v>0</v>
      </c>
      <c r="K561" s="384">
        <v>0</v>
      </c>
      <c r="L561" s="384">
        <v>0</v>
      </c>
      <c r="M561" s="385">
        <v>0</v>
      </c>
      <c r="N561" s="385">
        <v>0</v>
      </c>
      <c r="O561" s="384">
        <v>0</v>
      </c>
      <c r="P561" s="384">
        <v>0</v>
      </c>
      <c r="Q561" s="385">
        <v>0</v>
      </c>
      <c r="R561" s="385">
        <v>0</v>
      </c>
      <c r="S561" s="385">
        <v>0</v>
      </c>
      <c r="T561" s="385">
        <v>0</v>
      </c>
      <c r="U561" s="385">
        <v>0</v>
      </c>
      <c r="V561"/>
      <c r="W561"/>
      <c r="X561"/>
      <c r="Y561"/>
    </row>
    <row r="562" spans="1:25" ht="15.75">
      <c r="A562" s="684"/>
      <c r="B562" s="687" t="s">
        <v>1045</v>
      </c>
      <c r="C562" s="674">
        <v>11</v>
      </c>
      <c r="D562" s="675"/>
      <c r="E562" s="675"/>
      <c r="F562" s="675"/>
      <c r="G562" s="675"/>
      <c r="H562" s="676">
        <v>24</v>
      </c>
      <c r="I562" s="676">
        <v>35</v>
      </c>
      <c r="J562" s="675"/>
      <c r="K562" s="675">
        <v>2853</v>
      </c>
      <c r="L562" s="675">
        <v>3300</v>
      </c>
      <c r="M562" s="676">
        <v>815</v>
      </c>
      <c r="N562" s="676">
        <v>6968</v>
      </c>
      <c r="O562" s="675"/>
      <c r="P562" s="675"/>
      <c r="Q562" s="676"/>
      <c r="R562" s="676"/>
      <c r="S562" s="676"/>
      <c r="T562" s="676"/>
      <c r="U562" s="676">
        <v>7003</v>
      </c>
      <c r="V562"/>
      <c r="W562"/>
      <c r="X562"/>
      <c r="Y562"/>
    </row>
    <row r="563" spans="1:25" s="386" customFormat="1" ht="15.75">
      <c r="A563" s="684"/>
      <c r="B563" s="688" t="s">
        <v>1046</v>
      </c>
      <c r="C563" s="380">
        <v>5</v>
      </c>
      <c r="D563" s="381"/>
      <c r="E563" s="381"/>
      <c r="F563" s="381"/>
      <c r="G563" s="381"/>
      <c r="H563" s="382">
        <v>5</v>
      </c>
      <c r="I563" s="382">
        <v>10</v>
      </c>
      <c r="J563" s="381"/>
      <c r="K563" s="381">
        <v>2962</v>
      </c>
      <c r="L563" s="381">
        <v>3569</v>
      </c>
      <c r="M563" s="382">
        <v>810</v>
      </c>
      <c r="N563" s="382">
        <v>7341</v>
      </c>
      <c r="O563" s="381"/>
      <c r="P563" s="381"/>
      <c r="Q563" s="382"/>
      <c r="R563" s="382"/>
      <c r="S563" s="382"/>
      <c r="T563" s="382"/>
      <c r="U563" s="382">
        <v>7351</v>
      </c>
      <c r="V563"/>
      <c r="W563"/>
      <c r="X563"/>
      <c r="Y563"/>
    </row>
    <row r="564" spans="1:25" ht="15.75">
      <c r="A564" s="684"/>
      <c r="B564" s="689" t="s">
        <v>1047</v>
      </c>
      <c r="C564" s="383">
        <v>-0.54545454545454541</v>
      </c>
      <c r="D564" s="384">
        <v>0</v>
      </c>
      <c r="E564" s="384">
        <v>0</v>
      </c>
      <c r="F564" s="384">
        <v>0</v>
      </c>
      <c r="G564" s="384">
        <v>0</v>
      </c>
      <c r="H564" s="385">
        <v>-0.79166666666666663</v>
      </c>
      <c r="I564" s="385">
        <v>-0.7142857142857143</v>
      </c>
      <c r="J564" s="384">
        <v>0</v>
      </c>
      <c r="K564" s="384">
        <v>3.8205397826848932E-2</v>
      </c>
      <c r="L564" s="384">
        <v>8.1515151515151513E-2</v>
      </c>
      <c r="M564" s="385">
        <v>-6.1349693251533744E-3</v>
      </c>
      <c r="N564" s="385">
        <v>5.3530424799081516E-2</v>
      </c>
      <c r="O564" s="384">
        <v>0</v>
      </c>
      <c r="P564" s="384">
        <v>0</v>
      </c>
      <c r="Q564" s="385">
        <v>0</v>
      </c>
      <c r="R564" s="385">
        <v>0</v>
      </c>
      <c r="S564" s="385">
        <v>0</v>
      </c>
      <c r="T564" s="385">
        <v>0</v>
      </c>
      <c r="U564" s="385">
        <v>4.9692988719120375E-2</v>
      </c>
      <c r="V564"/>
      <c r="W564"/>
      <c r="X564"/>
      <c r="Y564"/>
    </row>
    <row r="565" spans="1:25" ht="15.75">
      <c r="A565" s="684"/>
      <c r="B565" s="687" t="s">
        <v>1048</v>
      </c>
      <c r="C565" s="674">
        <v>6898</v>
      </c>
      <c r="D565" s="675"/>
      <c r="E565" s="675">
        <v>3070</v>
      </c>
      <c r="F565" s="675">
        <v>467</v>
      </c>
      <c r="G565" s="675">
        <v>2131</v>
      </c>
      <c r="H565" s="676">
        <v>1971</v>
      </c>
      <c r="I565" s="676">
        <v>14537</v>
      </c>
      <c r="J565" s="675"/>
      <c r="K565" s="675"/>
      <c r="L565" s="675"/>
      <c r="M565" s="676"/>
      <c r="N565" s="676"/>
      <c r="O565" s="675"/>
      <c r="P565" s="675"/>
      <c r="Q565" s="676"/>
      <c r="R565" s="676"/>
      <c r="S565" s="676">
        <v>182</v>
      </c>
      <c r="T565" s="676">
        <v>182</v>
      </c>
      <c r="U565" s="676">
        <v>14719</v>
      </c>
      <c r="V565"/>
      <c r="W565"/>
      <c r="X565"/>
      <c r="Y565"/>
    </row>
    <row r="566" spans="1:25" s="386" customFormat="1" ht="15.75">
      <c r="A566" s="684"/>
      <c r="B566" s="688" t="s">
        <v>1049</v>
      </c>
      <c r="C566" s="380">
        <v>7290</v>
      </c>
      <c r="D566" s="381"/>
      <c r="E566" s="381">
        <v>2937</v>
      </c>
      <c r="F566" s="381">
        <v>483</v>
      </c>
      <c r="G566" s="381">
        <v>2240</v>
      </c>
      <c r="H566" s="382">
        <v>2023</v>
      </c>
      <c r="I566" s="382">
        <v>14973</v>
      </c>
      <c r="J566" s="381"/>
      <c r="K566" s="381"/>
      <c r="L566" s="381"/>
      <c r="M566" s="382"/>
      <c r="N566" s="382"/>
      <c r="O566" s="381"/>
      <c r="P566" s="381"/>
      <c r="Q566" s="382"/>
      <c r="R566" s="382"/>
      <c r="S566" s="382">
        <v>194</v>
      </c>
      <c r="T566" s="382">
        <v>194</v>
      </c>
      <c r="U566" s="382">
        <v>15167</v>
      </c>
      <c r="V566"/>
      <c r="W566"/>
      <c r="X566"/>
      <c r="Y566"/>
    </row>
    <row r="567" spans="1:25" ht="15.75">
      <c r="A567" s="684"/>
      <c r="B567" s="689" t="s">
        <v>1050</v>
      </c>
      <c r="C567" s="383">
        <v>5.6828066106117715E-2</v>
      </c>
      <c r="D567" s="384">
        <v>0</v>
      </c>
      <c r="E567" s="384">
        <v>-4.3322475570032576E-2</v>
      </c>
      <c r="F567" s="384">
        <v>3.4261241970021415E-2</v>
      </c>
      <c r="G567" s="384">
        <v>5.1149694978883151E-2</v>
      </c>
      <c r="H567" s="385">
        <v>2.6382546930492135E-2</v>
      </c>
      <c r="I567" s="385">
        <v>2.9992433101740386E-2</v>
      </c>
      <c r="J567" s="384">
        <v>0</v>
      </c>
      <c r="K567" s="384">
        <v>0</v>
      </c>
      <c r="L567" s="384">
        <v>0</v>
      </c>
      <c r="M567" s="385">
        <v>0</v>
      </c>
      <c r="N567" s="385">
        <v>0</v>
      </c>
      <c r="O567" s="384">
        <v>0</v>
      </c>
      <c r="P567" s="384">
        <v>0</v>
      </c>
      <c r="Q567" s="385">
        <v>0</v>
      </c>
      <c r="R567" s="385">
        <v>0</v>
      </c>
      <c r="S567" s="385">
        <v>6.5934065934065936E-2</v>
      </c>
      <c r="T567" s="385">
        <v>6.5934065934065936E-2</v>
      </c>
      <c r="U567" s="385">
        <v>3.043685032950608E-2</v>
      </c>
      <c r="V567"/>
      <c r="W567"/>
      <c r="X567"/>
      <c r="Y567"/>
    </row>
    <row r="568" spans="1:25" ht="15.75">
      <c r="A568" s="684"/>
      <c r="B568" s="687" t="s">
        <v>1051</v>
      </c>
      <c r="C568" s="674">
        <v>47</v>
      </c>
      <c r="D568" s="675"/>
      <c r="E568" s="675">
        <v>4</v>
      </c>
      <c r="F568" s="675"/>
      <c r="G568" s="675"/>
      <c r="H568" s="676"/>
      <c r="I568" s="676">
        <v>51</v>
      </c>
      <c r="J568" s="675"/>
      <c r="K568" s="675"/>
      <c r="L568" s="675"/>
      <c r="M568" s="676"/>
      <c r="N568" s="676"/>
      <c r="O568" s="675"/>
      <c r="P568" s="675"/>
      <c r="Q568" s="676"/>
      <c r="R568" s="676"/>
      <c r="S568" s="676">
        <v>7</v>
      </c>
      <c r="T568" s="676">
        <v>7</v>
      </c>
      <c r="U568" s="676">
        <v>58</v>
      </c>
      <c r="V568"/>
      <c r="W568"/>
      <c r="X568"/>
      <c r="Y568"/>
    </row>
    <row r="569" spans="1:25" s="386" customFormat="1" ht="15.75">
      <c r="A569" s="684"/>
      <c r="B569" s="688" t="s">
        <v>1052</v>
      </c>
      <c r="C569" s="380">
        <v>64</v>
      </c>
      <c r="D569" s="381"/>
      <c r="E569" s="381">
        <v>5</v>
      </c>
      <c r="F569" s="381"/>
      <c r="G569" s="381"/>
      <c r="H569" s="382">
        <v>2</v>
      </c>
      <c r="I569" s="382">
        <v>71</v>
      </c>
      <c r="J569" s="381"/>
      <c r="K569" s="381"/>
      <c r="L569" s="381"/>
      <c r="M569" s="382"/>
      <c r="N569" s="382"/>
      <c r="O569" s="381"/>
      <c r="P569" s="381"/>
      <c r="Q569" s="382"/>
      <c r="R569" s="382"/>
      <c r="S569" s="382">
        <v>2</v>
      </c>
      <c r="T569" s="382">
        <v>2</v>
      </c>
      <c r="U569" s="382">
        <v>73</v>
      </c>
      <c r="V569"/>
      <c r="W569"/>
      <c r="X569"/>
      <c r="Y569"/>
    </row>
    <row r="570" spans="1:25" ht="15.75">
      <c r="A570" s="684"/>
      <c r="B570" s="689" t="s">
        <v>1053</v>
      </c>
      <c r="C570" s="383">
        <v>0.36170212765957449</v>
      </c>
      <c r="D570" s="384">
        <v>0</v>
      </c>
      <c r="E570" s="384">
        <v>0.25</v>
      </c>
      <c r="F570" s="384">
        <v>0</v>
      </c>
      <c r="G570" s="384">
        <v>0</v>
      </c>
      <c r="H570" s="385">
        <v>0</v>
      </c>
      <c r="I570" s="385">
        <v>0.39215686274509803</v>
      </c>
      <c r="J570" s="384">
        <v>0</v>
      </c>
      <c r="K570" s="384">
        <v>0</v>
      </c>
      <c r="L570" s="384">
        <v>0</v>
      </c>
      <c r="M570" s="385">
        <v>0</v>
      </c>
      <c r="N570" s="385">
        <v>0</v>
      </c>
      <c r="O570" s="384">
        <v>0</v>
      </c>
      <c r="P570" s="384">
        <v>0</v>
      </c>
      <c r="Q570" s="385">
        <v>0</v>
      </c>
      <c r="R570" s="385">
        <v>0</v>
      </c>
      <c r="S570" s="385">
        <v>-0.7142857142857143</v>
      </c>
      <c r="T570" s="385">
        <v>-0.7142857142857143</v>
      </c>
      <c r="U570" s="385">
        <v>0.25862068965517243</v>
      </c>
      <c r="V570"/>
      <c r="W570"/>
      <c r="X570"/>
      <c r="Y570"/>
    </row>
    <row r="571" spans="1:25" ht="15.75">
      <c r="A571" s="684"/>
      <c r="B571" s="687" t="s">
        <v>1054</v>
      </c>
      <c r="C571" s="674">
        <v>2471</v>
      </c>
      <c r="D571" s="675"/>
      <c r="E571" s="675">
        <v>463</v>
      </c>
      <c r="F571" s="675">
        <v>221</v>
      </c>
      <c r="G571" s="675">
        <v>328</v>
      </c>
      <c r="H571" s="676">
        <v>43</v>
      </c>
      <c r="I571" s="676">
        <v>3526</v>
      </c>
      <c r="J571" s="675"/>
      <c r="K571" s="675">
        <v>0</v>
      </c>
      <c r="L571" s="675">
        <v>0</v>
      </c>
      <c r="M571" s="676">
        <v>0</v>
      </c>
      <c r="N571" s="676">
        <v>0</v>
      </c>
      <c r="O571" s="675"/>
      <c r="P571" s="675"/>
      <c r="Q571" s="676"/>
      <c r="R571" s="676"/>
      <c r="S571" s="676">
        <v>275</v>
      </c>
      <c r="T571" s="676">
        <v>275</v>
      </c>
      <c r="U571" s="676">
        <v>3801</v>
      </c>
      <c r="V571"/>
      <c r="W571"/>
      <c r="X571"/>
      <c r="Y571"/>
    </row>
    <row r="572" spans="1:25" s="386" customFormat="1" ht="15.75">
      <c r="A572" s="684"/>
      <c r="B572" s="688" t="s">
        <v>1055</v>
      </c>
      <c r="C572" s="380">
        <v>2374</v>
      </c>
      <c r="D572" s="381"/>
      <c r="E572" s="381">
        <v>449</v>
      </c>
      <c r="F572" s="381">
        <v>285</v>
      </c>
      <c r="G572" s="381">
        <v>373</v>
      </c>
      <c r="H572" s="382">
        <v>45</v>
      </c>
      <c r="I572" s="382">
        <v>3526</v>
      </c>
      <c r="J572" s="381"/>
      <c r="K572" s="381">
        <v>0</v>
      </c>
      <c r="L572" s="381">
        <v>0</v>
      </c>
      <c r="M572" s="382">
        <v>0</v>
      </c>
      <c r="N572" s="382">
        <v>0</v>
      </c>
      <c r="O572" s="381"/>
      <c r="P572" s="381"/>
      <c r="Q572" s="382"/>
      <c r="R572" s="382"/>
      <c r="S572" s="382">
        <v>299</v>
      </c>
      <c r="T572" s="382">
        <v>299</v>
      </c>
      <c r="U572" s="382">
        <v>3825</v>
      </c>
      <c r="V572"/>
      <c r="W572"/>
      <c r="X572"/>
      <c r="Y572"/>
    </row>
    <row r="573" spans="1:25" ht="15.75">
      <c r="A573" s="684"/>
      <c r="B573" s="689" t="s">
        <v>1056</v>
      </c>
      <c r="C573" s="383">
        <v>-3.9255362201537837E-2</v>
      </c>
      <c r="D573" s="384">
        <v>0</v>
      </c>
      <c r="E573" s="384">
        <v>-3.0237580993520519E-2</v>
      </c>
      <c r="F573" s="384">
        <v>0.2895927601809955</v>
      </c>
      <c r="G573" s="384">
        <v>0.13719512195121952</v>
      </c>
      <c r="H573" s="385">
        <v>4.6511627906976744E-2</v>
      </c>
      <c r="I573" s="385">
        <v>0</v>
      </c>
      <c r="J573" s="384">
        <v>0</v>
      </c>
      <c r="K573" s="384">
        <v>0</v>
      </c>
      <c r="L573" s="384">
        <v>0</v>
      </c>
      <c r="M573" s="385">
        <v>0</v>
      </c>
      <c r="N573" s="385">
        <v>0</v>
      </c>
      <c r="O573" s="384">
        <v>0</v>
      </c>
      <c r="P573" s="384">
        <v>0</v>
      </c>
      <c r="Q573" s="385">
        <v>0</v>
      </c>
      <c r="R573" s="385">
        <v>0</v>
      </c>
      <c r="S573" s="385">
        <v>8.727272727272728E-2</v>
      </c>
      <c r="T573" s="385">
        <v>8.727272727272728E-2</v>
      </c>
      <c r="U573" s="385">
        <v>6.314127861089187E-3</v>
      </c>
      <c r="V573"/>
      <c r="W573"/>
      <c r="X573"/>
      <c r="Y573"/>
    </row>
    <row r="574" spans="1:25" ht="15.75">
      <c r="A574" s="684"/>
      <c r="B574" s="687" t="s">
        <v>1057</v>
      </c>
      <c r="C574" s="674">
        <v>388</v>
      </c>
      <c r="D574" s="675"/>
      <c r="E574" s="675">
        <v>0</v>
      </c>
      <c r="F574" s="675">
        <v>0</v>
      </c>
      <c r="G574" s="675">
        <v>13</v>
      </c>
      <c r="H574" s="676">
        <v>0</v>
      </c>
      <c r="I574" s="676">
        <v>401</v>
      </c>
      <c r="J574" s="675"/>
      <c r="K574" s="675">
        <v>0</v>
      </c>
      <c r="L574" s="675">
        <v>0</v>
      </c>
      <c r="M574" s="676">
        <v>0</v>
      </c>
      <c r="N574" s="676">
        <v>0</v>
      </c>
      <c r="O574" s="675"/>
      <c r="P574" s="675"/>
      <c r="Q574" s="676"/>
      <c r="R574" s="676"/>
      <c r="S574" s="676">
        <v>168</v>
      </c>
      <c r="T574" s="676">
        <v>168</v>
      </c>
      <c r="U574" s="676">
        <v>569</v>
      </c>
      <c r="V574"/>
      <c r="W574"/>
      <c r="X574"/>
      <c r="Y574"/>
    </row>
    <row r="575" spans="1:25" s="386" customFormat="1" ht="15.75">
      <c r="A575" s="684"/>
      <c r="B575" s="688" t="s">
        <v>1058</v>
      </c>
      <c r="C575" s="380">
        <v>432</v>
      </c>
      <c r="D575" s="381"/>
      <c r="E575" s="381">
        <v>0</v>
      </c>
      <c r="F575" s="381">
        <v>0</v>
      </c>
      <c r="G575" s="381">
        <v>29</v>
      </c>
      <c r="H575" s="382">
        <v>0</v>
      </c>
      <c r="I575" s="382">
        <v>461</v>
      </c>
      <c r="J575" s="381"/>
      <c r="K575" s="381">
        <v>0</v>
      </c>
      <c r="L575" s="381">
        <v>0</v>
      </c>
      <c r="M575" s="382">
        <v>0</v>
      </c>
      <c r="N575" s="382">
        <v>0</v>
      </c>
      <c r="O575" s="381"/>
      <c r="P575" s="381"/>
      <c r="Q575" s="382"/>
      <c r="R575" s="382"/>
      <c r="S575" s="382">
        <v>107</v>
      </c>
      <c r="T575" s="382">
        <v>107</v>
      </c>
      <c r="U575" s="382">
        <v>568</v>
      </c>
      <c r="V575"/>
      <c r="W575"/>
      <c r="X575"/>
      <c r="Y575"/>
    </row>
    <row r="576" spans="1:25" ht="15.75">
      <c r="A576" s="684"/>
      <c r="B576" s="689" t="s">
        <v>1059</v>
      </c>
      <c r="C576" s="383">
        <v>0.1134020618556701</v>
      </c>
      <c r="D576" s="384">
        <v>0</v>
      </c>
      <c r="E576" s="384">
        <v>0</v>
      </c>
      <c r="F576" s="384">
        <v>0</v>
      </c>
      <c r="G576" s="692">
        <v>1.2307692307692308</v>
      </c>
      <c r="H576" s="385">
        <v>0</v>
      </c>
      <c r="I576" s="385">
        <v>0.14962593516209477</v>
      </c>
      <c r="J576" s="384">
        <v>0</v>
      </c>
      <c r="K576" s="384">
        <v>0</v>
      </c>
      <c r="L576" s="384">
        <v>0</v>
      </c>
      <c r="M576" s="385">
        <v>0</v>
      </c>
      <c r="N576" s="385">
        <v>0</v>
      </c>
      <c r="O576" s="384">
        <v>0</v>
      </c>
      <c r="P576" s="384">
        <v>0</v>
      </c>
      <c r="Q576" s="385">
        <v>0</v>
      </c>
      <c r="R576" s="385">
        <v>0</v>
      </c>
      <c r="S576" s="385">
        <v>-0.36309523809523808</v>
      </c>
      <c r="T576" s="692">
        <v>-0.36309523809523808</v>
      </c>
      <c r="U576" s="385">
        <v>-1.7574692442882249E-3</v>
      </c>
      <c r="V576"/>
      <c r="W576"/>
      <c r="X576"/>
      <c r="Y576"/>
    </row>
    <row r="577" spans="1:25" ht="15.75">
      <c r="A577" s="684"/>
      <c r="B577" s="687" t="s">
        <v>1060</v>
      </c>
      <c r="C577" s="674">
        <v>213</v>
      </c>
      <c r="D577" s="675"/>
      <c r="E577" s="675"/>
      <c r="F577" s="675"/>
      <c r="G577" s="675"/>
      <c r="H577" s="676"/>
      <c r="I577" s="676">
        <v>213</v>
      </c>
      <c r="J577" s="675"/>
      <c r="K577" s="675"/>
      <c r="L577" s="675"/>
      <c r="M577" s="676"/>
      <c r="N577" s="676"/>
      <c r="O577" s="675"/>
      <c r="P577" s="675"/>
      <c r="Q577" s="676"/>
      <c r="R577" s="676"/>
      <c r="S577" s="676"/>
      <c r="T577" s="676"/>
      <c r="U577" s="676">
        <v>213</v>
      </c>
      <c r="V577"/>
      <c r="W577"/>
      <c r="X577"/>
      <c r="Y577"/>
    </row>
    <row r="578" spans="1:25" s="386" customFormat="1" ht="15.75">
      <c r="A578" s="684"/>
      <c r="B578" s="688" t="s">
        <v>1061</v>
      </c>
      <c r="C578" s="380">
        <v>245</v>
      </c>
      <c r="D578" s="381"/>
      <c r="E578" s="381"/>
      <c r="F578" s="381"/>
      <c r="G578" s="381"/>
      <c r="H578" s="382"/>
      <c r="I578" s="382">
        <v>245</v>
      </c>
      <c r="J578" s="381"/>
      <c r="K578" s="381"/>
      <c r="L578" s="381"/>
      <c r="M578" s="382"/>
      <c r="N578" s="382"/>
      <c r="O578" s="381"/>
      <c r="P578" s="381"/>
      <c r="Q578" s="382"/>
      <c r="R578" s="382"/>
      <c r="S578" s="382"/>
      <c r="T578" s="382"/>
      <c r="U578" s="382">
        <v>245</v>
      </c>
      <c r="V578"/>
      <c r="W578"/>
      <c r="X578"/>
      <c r="Y578"/>
    </row>
    <row r="579" spans="1:25" ht="15.75">
      <c r="A579" s="684"/>
      <c r="B579" s="689" t="s">
        <v>1062</v>
      </c>
      <c r="C579" s="383">
        <v>0.15023474178403756</v>
      </c>
      <c r="D579" s="384">
        <v>0</v>
      </c>
      <c r="E579" s="384">
        <v>0</v>
      </c>
      <c r="F579" s="384">
        <v>0</v>
      </c>
      <c r="G579" s="384">
        <v>0</v>
      </c>
      <c r="H579" s="385">
        <v>0</v>
      </c>
      <c r="I579" s="385">
        <v>0.15023474178403756</v>
      </c>
      <c r="J579" s="384">
        <v>0</v>
      </c>
      <c r="K579" s="384">
        <v>0</v>
      </c>
      <c r="L579" s="384">
        <v>0</v>
      </c>
      <c r="M579" s="385">
        <v>0</v>
      </c>
      <c r="N579" s="385">
        <v>0</v>
      </c>
      <c r="O579" s="384">
        <v>0</v>
      </c>
      <c r="P579" s="384">
        <v>0</v>
      </c>
      <c r="Q579" s="385">
        <v>0</v>
      </c>
      <c r="R579" s="385">
        <v>0</v>
      </c>
      <c r="S579" s="385">
        <v>0</v>
      </c>
      <c r="T579" s="385">
        <v>0</v>
      </c>
      <c r="U579" s="385">
        <v>0.15023474178403756</v>
      </c>
      <c r="V579"/>
      <c r="W579"/>
      <c r="X579"/>
      <c r="Y579"/>
    </row>
    <row r="580" spans="1:25" ht="15.75">
      <c r="A580" s="684"/>
      <c r="B580" s="687" t="s">
        <v>1063</v>
      </c>
      <c r="C580" s="674">
        <v>76</v>
      </c>
      <c r="D580" s="675"/>
      <c r="E580" s="675"/>
      <c r="F580" s="675"/>
      <c r="G580" s="675"/>
      <c r="H580" s="676"/>
      <c r="I580" s="676">
        <v>76</v>
      </c>
      <c r="J580" s="675"/>
      <c r="K580" s="675"/>
      <c r="L580" s="675"/>
      <c r="M580" s="676"/>
      <c r="N580" s="676"/>
      <c r="O580" s="675"/>
      <c r="P580" s="675"/>
      <c r="Q580" s="676"/>
      <c r="R580" s="676"/>
      <c r="S580" s="676">
        <v>135</v>
      </c>
      <c r="T580" s="676">
        <v>135</v>
      </c>
      <c r="U580" s="676">
        <v>211</v>
      </c>
      <c r="V580"/>
      <c r="W580"/>
      <c r="X580"/>
      <c r="Y580"/>
    </row>
    <row r="581" spans="1:25" s="386" customFormat="1" ht="15.75">
      <c r="A581" s="684"/>
      <c r="B581" s="688" t="s">
        <v>1064</v>
      </c>
      <c r="C581" s="380">
        <v>68</v>
      </c>
      <c r="D581" s="381"/>
      <c r="E581" s="381"/>
      <c r="F581" s="381"/>
      <c r="G581" s="381"/>
      <c r="H581" s="382"/>
      <c r="I581" s="382">
        <v>68</v>
      </c>
      <c r="J581" s="381"/>
      <c r="K581" s="381"/>
      <c r="L581" s="381"/>
      <c r="M581" s="382"/>
      <c r="N581" s="382"/>
      <c r="O581" s="381"/>
      <c r="P581" s="381"/>
      <c r="Q581" s="382"/>
      <c r="R581" s="382"/>
      <c r="S581" s="382">
        <v>133</v>
      </c>
      <c r="T581" s="382">
        <v>133</v>
      </c>
      <c r="U581" s="382">
        <v>201</v>
      </c>
      <c r="V581"/>
      <c r="W581"/>
      <c r="X581"/>
      <c r="Y581"/>
    </row>
    <row r="582" spans="1:25" ht="15.75">
      <c r="A582" s="684"/>
      <c r="B582" s="689" t="s">
        <v>1065</v>
      </c>
      <c r="C582" s="383">
        <v>-0.10526315789473684</v>
      </c>
      <c r="D582" s="384">
        <v>0</v>
      </c>
      <c r="E582" s="384">
        <v>0</v>
      </c>
      <c r="F582" s="384">
        <v>0</v>
      </c>
      <c r="G582" s="384">
        <v>0</v>
      </c>
      <c r="H582" s="385">
        <v>0</v>
      </c>
      <c r="I582" s="385">
        <v>-0.10526315789473684</v>
      </c>
      <c r="J582" s="384">
        <v>0</v>
      </c>
      <c r="K582" s="384">
        <v>0</v>
      </c>
      <c r="L582" s="384">
        <v>0</v>
      </c>
      <c r="M582" s="385">
        <v>0</v>
      </c>
      <c r="N582" s="385">
        <v>0</v>
      </c>
      <c r="O582" s="384">
        <v>0</v>
      </c>
      <c r="P582" s="384">
        <v>0</v>
      </c>
      <c r="Q582" s="385">
        <v>0</v>
      </c>
      <c r="R582" s="385">
        <v>0</v>
      </c>
      <c r="S582" s="385">
        <v>-1.4814814814814815E-2</v>
      </c>
      <c r="T582" s="385">
        <v>-1.4814814814814815E-2</v>
      </c>
      <c r="U582" s="385">
        <v>-4.7393364928909949E-2</v>
      </c>
      <c r="V582"/>
      <c r="W582"/>
      <c r="X582"/>
      <c r="Y582"/>
    </row>
    <row r="583" spans="1:25" ht="15.75">
      <c r="A583" s="684"/>
      <c r="B583" s="687" t="s">
        <v>1066</v>
      </c>
      <c r="C583" s="674"/>
      <c r="D583" s="675"/>
      <c r="E583" s="675"/>
      <c r="F583" s="675"/>
      <c r="G583" s="675"/>
      <c r="H583" s="676"/>
      <c r="I583" s="676"/>
      <c r="J583" s="675"/>
      <c r="K583" s="675"/>
      <c r="L583" s="675"/>
      <c r="M583" s="676"/>
      <c r="N583" s="676"/>
      <c r="O583" s="675"/>
      <c r="P583" s="675"/>
      <c r="Q583" s="676"/>
      <c r="R583" s="676"/>
      <c r="S583" s="676">
        <v>54</v>
      </c>
      <c r="T583" s="676">
        <v>54</v>
      </c>
      <c r="U583" s="676">
        <v>54</v>
      </c>
      <c r="V583"/>
      <c r="W583"/>
      <c r="X583"/>
      <c r="Y583"/>
    </row>
    <row r="584" spans="1:25" s="386" customFormat="1" ht="15.75">
      <c r="A584" s="684"/>
      <c r="B584" s="688" t="s">
        <v>1067</v>
      </c>
      <c r="C584" s="380"/>
      <c r="D584" s="381"/>
      <c r="E584" s="381"/>
      <c r="F584" s="381"/>
      <c r="G584" s="381"/>
      <c r="H584" s="382"/>
      <c r="I584" s="382"/>
      <c r="J584" s="381"/>
      <c r="K584" s="381"/>
      <c r="L584" s="381"/>
      <c r="M584" s="382"/>
      <c r="N584" s="382"/>
      <c r="O584" s="381"/>
      <c r="P584" s="381"/>
      <c r="Q584" s="382"/>
      <c r="R584" s="382"/>
      <c r="S584" s="382">
        <v>57</v>
      </c>
      <c r="T584" s="382">
        <v>57</v>
      </c>
      <c r="U584" s="382">
        <v>57</v>
      </c>
      <c r="V584"/>
      <c r="W584"/>
      <c r="X584"/>
      <c r="Y584"/>
    </row>
    <row r="585" spans="1:25" ht="15.75">
      <c r="A585" s="684"/>
      <c r="B585" s="689" t="s">
        <v>1068</v>
      </c>
      <c r="C585" s="383">
        <v>0</v>
      </c>
      <c r="D585" s="384">
        <v>0</v>
      </c>
      <c r="E585" s="384">
        <v>0</v>
      </c>
      <c r="F585" s="384">
        <v>0</v>
      </c>
      <c r="G585" s="384">
        <v>0</v>
      </c>
      <c r="H585" s="385">
        <v>0</v>
      </c>
      <c r="I585" s="385">
        <v>0</v>
      </c>
      <c r="J585" s="384">
        <v>0</v>
      </c>
      <c r="K585" s="384">
        <v>0</v>
      </c>
      <c r="L585" s="384">
        <v>0</v>
      </c>
      <c r="M585" s="385">
        <v>0</v>
      </c>
      <c r="N585" s="385">
        <v>0</v>
      </c>
      <c r="O585" s="384">
        <v>0</v>
      </c>
      <c r="P585" s="384">
        <v>0</v>
      </c>
      <c r="Q585" s="385">
        <v>0</v>
      </c>
      <c r="R585" s="385">
        <v>0</v>
      </c>
      <c r="S585" s="385">
        <v>5.5555555555555552E-2</v>
      </c>
      <c r="T585" s="385">
        <v>5.5555555555555552E-2</v>
      </c>
      <c r="U585" s="385">
        <v>5.5555555555555552E-2</v>
      </c>
      <c r="V585"/>
      <c r="W585"/>
      <c r="X585"/>
      <c r="Y585"/>
    </row>
    <row r="586" spans="1:25" ht="15.75">
      <c r="A586" s="684"/>
      <c r="B586" s="687" t="s">
        <v>1069</v>
      </c>
      <c r="C586" s="674">
        <v>107</v>
      </c>
      <c r="D586" s="675"/>
      <c r="E586" s="675"/>
      <c r="F586" s="675"/>
      <c r="G586" s="675"/>
      <c r="H586" s="676"/>
      <c r="I586" s="676">
        <v>107</v>
      </c>
      <c r="J586" s="675"/>
      <c r="K586" s="675"/>
      <c r="L586" s="675"/>
      <c r="M586" s="676"/>
      <c r="N586" s="676"/>
      <c r="O586" s="675"/>
      <c r="P586" s="675"/>
      <c r="Q586" s="676"/>
      <c r="R586" s="676"/>
      <c r="S586" s="676">
        <v>78</v>
      </c>
      <c r="T586" s="676">
        <v>78</v>
      </c>
      <c r="U586" s="676">
        <v>185</v>
      </c>
      <c r="V586"/>
      <c r="W586"/>
      <c r="X586"/>
      <c r="Y586"/>
    </row>
    <row r="587" spans="1:25" s="386" customFormat="1" ht="15.75">
      <c r="A587" s="684"/>
      <c r="B587" s="688" t="s">
        <v>1070</v>
      </c>
      <c r="C587" s="380">
        <v>120</v>
      </c>
      <c r="D587" s="381"/>
      <c r="E587" s="381"/>
      <c r="F587" s="381"/>
      <c r="G587" s="381"/>
      <c r="H587" s="382"/>
      <c r="I587" s="382">
        <v>120</v>
      </c>
      <c r="J587" s="381"/>
      <c r="K587" s="381"/>
      <c r="L587" s="381"/>
      <c r="M587" s="382"/>
      <c r="N587" s="382"/>
      <c r="O587" s="381"/>
      <c r="P587" s="381"/>
      <c r="Q587" s="382"/>
      <c r="R587" s="382"/>
      <c r="S587" s="382">
        <v>78</v>
      </c>
      <c r="T587" s="382">
        <v>78</v>
      </c>
      <c r="U587" s="382">
        <v>198</v>
      </c>
      <c r="V587"/>
      <c r="W587"/>
      <c r="X587"/>
      <c r="Y587"/>
    </row>
    <row r="588" spans="1:25" ht="15.75">
      <c r="A588" s="684"/>
      <c r="B588" s="689" t="s">
        <v>1071</v>
      </c>
      <c r="C588" s="383">
        <v>0.12149532710280374</v>
      </c>
      <c r="D588" s="384">
        <v>0</v>
      </c>
      <c r="E588" s="384">
        <v>0</v>
      </c>
      <c r="F588" s="384">
        <v>0</v>
      </c>
      <c r="G588" s="384">
        <v>0</v>
      </c>
      <c r="H588" s="385">
        <v>0</v>
      </c>
      <c r="I588" s="385">
        <v>0.12149532710280374</v>
      </c>
      <c r="J588" s="384">
        <v>0</v>
      </c>
      <c r="K588" s="384">
        <v>0</v>
      </c>
      <c r="L588" s="384">
        <v>0</v>
      </c>
      <c r="M588" s="385">
        <v>0</v>
      </c>
      <c r="N588" s="385">
        <v>0</v>
      </c>
      <c r="O588" s="384">
        <v>0</v>
      </c>
      <c r="P588" s="384">
        <v>0</v>
      </c>
      <c r="Q588" s="385">
        <v>0</v>
      </c>
      <c r="R588" s="385">
        <v>0</v>
      </c>
      <c r="S588" s="385">
        <v>0</v>
      </c>
      <c r="T588" s="385">
        <v>0</v>
      </c>
      <c r="U588" s="385">
        <v>7.0270270270270274E-2</v>
      </c>
      <c r="V588"/>
      <c r="W588"/>
      <c r="X588"/>
      <c r="Y588"/>
    </row>
    <row r="589" spans="1:25" ht="15.75">
      <c r="A589" s="684"/>
      <c r="B589" s="687" t="s">
        <v>1072</v>
      </c>
      <c r="C589" s="674"/>
      <c r="D589" s="675"/>
      <c r="E589" s="675"/>
      <c r="F589" s="675"/>
      <c r="G589" s="675"/>
      <c r="H589" s="676"/>
      <c r="I589" s="676"/>
      <c r="J589" s="675"/>
      <c r="K589" s="675"/>
      <c r="L589" s="675"/>
      <c r="M589" s="676"/>
      <c r="N589" s="676"/>
      <c r="O589" s="675"/>
      <c r="P589" s="675"/>
      <c r="Q589" s="676"/>
      <c r="R589" s="676"/>
      <c r="S589" s="676"/>
      <c r="T589" s="676"/>
      <c r="U589" s="676"/>
      <c r="V589"/>
      <c r="W589"/>
      <c r="X589"/>
      <c r="Y589"/>
    </row>
    <row r="590" spans="1:25" s="386" customFormat="1" ht="15.75">
      <c r="A590" s="684"/>
      <c r="B590" s="688" t="s">
        <v>1073</v>
      </c>
      <c r="C590" s="380"/>
      <c r="D590" s="381"/>
      <c r="E590" s="381"/>
      <c r="F590" s="381"/>
      <c r="G590" s="381"/>
      <c r="H590" s="382"/>
      <c r="I590" s="382"/>
      <c r="J590" s="381"/>
      <c r="K590" s="381"/>
      <c r="L590" s="381"/>
      <c r="M590" s="382"/>
      <c r="N590" s="382"/>
      <c r="O590" s="381"/>
      <c r="P590" s="381"/>
      <c r="Q590" s="382"/>
      <c r="R590" s="382"/>
      <c r="S590" s="382"/>
      <c r="T590" s="382"/>
      <c r="U590" s="382"/>
      <c r="V590"/>
      <c r="W590"/>
      <c r="X590"/>
      <c r="Y590"/>
    </row>
    <row r="591" spans="1:25" ht="15.75">
      <c r="A591" s="684"/>
      <c r="B591" s="689" t="s">
        <v>1074</v>
      </c>
      <c r="C591" s="383">
        <v>0</v>
      </c>
      <c r="D591" s="384">
        <v>0</v>
      </c>
      <c r="E591" s="384">
        <v>0</v>
      </c>
      <c r="F591" s="384">
        <v>0</v>
      </c>
      <c r="G591" s="384">
        <v>0</v>
      </c>
      <c r="H591" s="385">
        <v>0</v>
      </c>
      <c r="I591" s="385">
        <v>0</v>
      </c>
      <c r="J591" s="384">
        <v>0</v>
      </c>
      <c r="K591" s="384">
        <v>0</v>
      </c>
      <c r="L591" s="384">
        <v>0</v>
      </c>
      <c r="M591" s="385">
        <v>0</v>
      </c>
      <c r="N591" s="385">
        <v>0</v>
      </c>
      <c r="O591" s="384">
        <v>0</v>
      </c>
      <c r="P591" s="384">
        <v>0</v>
      </c>
      <c r="Q591" s="385">
        <v>0</v>
      </c>
      <c r="R591" s="385">
        <v>0</v>
      </c>
      <c r="S591" s="385">
        <v>0</v>
      </c>
      <c r="T591" s="385">
        <v>0</v>
      </c>
      <c r="U591" s="385">
        <v>0</v>
      </c>
      <c r="V591"/>
      <c r="W591"/>
      <c r="X591"/>
      <c r="Y591"/>
    </row>
    <row r="592" spans="1:25" ht="15.75">
      <c r="A592" s="684"/>
      <c r="B592" s="687" t="s">
        <v>1075</v>
      </c>
      <c r="C592" s="674"/>
      <c r="D592" s="675"/>
      <c r="E592" s="675"/>
      <c r="F592" s="675"/>
      <c r="G592" s="675"/>
      <c r="H592" s="676"/>
      <c r="I592" s="676"/>
      <c r="J592" s="675"/>
      <c r="K592" s="675"/>
      <c r="L592" s="675"/>
      <c r="M592" s="676"/>
      <c r="N592" s="676"/>
      <c r="O592" s="675"/>
      <c r="P592" s="675"/>
      <c r="Q592" s="676"/>
      <c r="R592" s="676"/>
      <c r="S592" s="676"/>
      <c r="T592" s="676"/>
      <c r="U592" s="676"/>
      <c r="V592"/>
      <c r="W592"/>
      <c r="X592"/>
      <c r="Y592"/>
    </row>
    <row r="593" spans="1:25" s="386" customFormat="1" ht="15.75">
      <c r="A593" s="684"/>
      <c r="B593" s="688" t="s">
        <v>1076</v>
      </c>
      <c r="C593" s="380"/>
      <c r="D593" s="381"/>
      <c r="E593" s="381"/>
      <c r="F593" s="381"/>
      <c r="G593" s="381"/>
      <c r="H593" s="382"/>
      <c r="I593" s="382"/>
      <c r="J593" s="381"/>
      <c r="K593" s="381"/>
      <c r="L593" s="381"/>
      <c r="M593" s="382"/>
      <c r="N593" s="382"/>
      <c r="O593" s="381"/>
      <c r="P593" s="381"/>
      <c r="Q593" s="382"/>
      <c r="R593" s="382"/>
      <c r="S593" s="382"/>
      <c r="T593" s="382"/>
      <c r="U593" s="382"/>
      <c r="V593"/>
      <c r="W593"/>
      <c r="X593"/>
      <c r="Y593"/>
    </row>
    <row r="594" spans="1:25" ht="15.75">
      <c r="A594" s="684"/>
      <c r="B594" s="689" t="s">
        <v>1077</v>
      </c>
      <c r="C594" s="383">
        <v>0</v>
      </c>
      <c r="D594" s="384">
        <v>0</v>
      </c>
      <c r="E594" s="384">
        <v>0</v>
      </c>
      <c r="F594" s="384">
        <v>0</v>
      </c>
      <c r="G594" s="384">
        <v>0</v>
      </c>
      <c r="H594" s="385">
        <v>0</v>
      </c>
      <c r="I594" s="385">
        <v>0</v>
      </c>
      <c r="J594" s="384">
        <v>0</v>
      </c>
      <c r="K594" s="384">
        <v>0</v>
      </c>
      <c r="L594" s="384">
        <v>0</v>
      </c>
      <c r="M594" s="385">
        <v>0</v>
      </c>
      <c r="N594" s="385">
        <v>0</v>
      </c>
      <c r="O594" s="384">
        <v>0</v>
      </c>
      <c r="P594" s="384">
        <v>0</v>
      </c>
      <c r="Q594" s="385">
        <v>0</v>
      </c>
      <c r="R594" s="385">
        <v>0</v>
      </c>
      <c r="S594" s="385">
        <v>0</v>
      </c>
      <c r="T594" s="385">
        <v>0</v>
      </c>
      <c r="U594" s="385">
        <v>0</v>
      </c>
      <c r="V594"/>
      <c r="W594"/>
      <c r="X594"/>
      <c r="Y594"/>
    </row>
    <row r="595" spans="1:25" ht="15.75">
      <c r="A595" s="684"/>
      <c r="B595" s="687" t="s">
        <v>1078</v>
      </c>
      <c r="C595" s="674"/>
      <c r="D595" s="675"/>
      <c r="E595" s="675"/>
      <c r="F595" s="675"/>
      <c r="G595" s="675"/>
      <c r="H595" s="676"/>
      <c r="I595" s="676"/>
      <c r="J595" s="675"/>
      <c r="K595" s="675"/>
      <c r="L595" s="675"/>
      <c r="M595" s="676"/>
      <c r="N595" s="676"/>
      <c r="O595" s="675"/>
      <c r="P595" s="675"/>
      <c r="Q595" s="676"/>
      <c r="R595" s="676"/>
      <c r="S595" s="676"/>
      <c r="T595" s="676"/>
      <c r="U595" s="676"/>
      <c r="V595"/>
      <c r="W595"/>
      <c r="X595"/>
      <c r="Y595"/>
    </row>
    <row r="596" spans="1:25" s="386" customFormat="1" ht="15.75">
      <c r="A596" s="684"/>
      <c r="B596" s="688" t="s">
        <v>1079</v>
      </c>
      <c r="C596" s="380"/>
      <c r="D596" s="381"/>
      <c r="E596" s="381"/>
      <c r="F596" s="381"/>
      <c r="G596" s="381"/>
      <c r="H596" s="382"/>
      <c r="I596" s="382"/>
      <c r="J596" s="381"/>
      <c r="K596" s="381"/>
      <c r="L596" s="381"/>
      <c r="M596" s="382"/>
      <c r="N596" s="382"/>
      <c r="O596" s="381"/>
      <c r="P596" s="381"/>
      <c r="Q596" s="382"/>
      <c r="R596" s="382"/>
      <c r="S596" s="382"/>
      <c r="T596" s="382"/>
      <c r="U596" s="382"/>
      <c r="V596"/>
      <c r="W596"/>
      <c r="X596"/>
      <c r="Y596"/>
    </row>
    <row r="597" spans="1:25" ht="15.75">
      <c r="A597" s="684"/>
      <c r="B597" s="689" t="s">
        <v>1080</v>
      </c>
      <c r="C597" s="383">
        <v>0</v>
      </c>
      <c r="D597" s="384">
        <v>0</v>
      </c>
      <c r="E597" s="384">
        <v>0</v>
      </c>
      <c r="F597" s="384">
        <v>0</v>
      </c>
      <c r="G597" s="384">
        <v>0</v>
      </c>
      <c r="H597" s="385">
        <v>0</v>
      </c>
      <c r="I597" s="385">
        <v>0</v>
      </c>
      <c r="J597" s="384">
        <v>0</v>
      </c>
      <c r="K597" s="384">
        <v>0</v>
      </c>
      <c r="L597" s="384">
        <v>0</v>
      </c>
      <c r="M597" s="385">
        <v>0</v>
      </c>
      <c r="N597" s="385">
        <v>0</v>
      </c>
      <c r="O597" s="384">
        <v>0</v>
      </c>
      <c r="P597" s="384">
        <v>0</v>
      </c>
      <c r="Q597" s="385">
        <v>0</v>
      </c>
      <c r="R597" s="385">
        <v>0</v>
      </c>
      <c r="S597" s="385">
        <v>0</v>
      </c>
      <c r="T597" s="385">
        <v>0</v>
      </c>
      <c r="U597" s="385">
        <v>0</v>
      </c>
      <c r="V597"/>
      <c r="W597"/>
      <c r="X597"/>
      <c r="Y597"/>
    </row>
    <row r="598" spans="1:25" ht="15.75">
      <c r="A598" s="684"/>
      <c r="B598" s="687" t="s">
        <v>1081</v>
      </c>
      <c r="C598" s="674"/>
      <c r="D598" s="675"/>
      <c r="E598" s="675"/>
      <c r="F598" s="675"/>
      <c r="G598" s="675"/>
      <c r="H598" s="676"/>
      <c r="I598" s="676"/>
      <c r="J598" s="675"/>
      <c r="K598" s="675"/>
      <c r="L598" s="675"/>
      <c r="M598" s="676"/>
      <c r="N598" s="676"/>
      <c r="O598" s="675"/>
      <c r="P598" s="675"/>
      <c r="Q598" s="676"/>
      <c r="R598" s="676"/>
      <c r="S598" s="676"/>
      <c r="T598" s="676"/>
      <c r="U598" s="676"/>
      <c r="V598"/>
      <c r="W598"/>
      <c r="X598"/>
      <c r="Y598"/>
    </row>
    <row r="599" spans="1:25" s="386" customFormat="1" ht="15.75">
      <c r="A599" s="684"/>
      <c r="B599" s="688" t="s">
        <v>1082</v>
      </c>
      <c r="C599" s="380"/>
      <c r="D599" s="381"/>
      <c r="E599" s="381"/>
      <c r="F599" s="381"/>
      <c r="G599" s="381"/>
      <c r="H599" s="382"/>
      <c r="I599" s="382"/>
      <c r="J599" s="381"/>
      <c r="K599" s="381"/>
      <c r="L599" s="381"/>
      <c r="M599" s="382"/>
      <c r="N599" s="382"/>
      <c r="O599" s="381"/>
      <c r="P599" s="381"/>
      <c r="Q599" s="382"/>
      <c r="R599" s="382"/>
      <c r="S599" s="382"/>
      <c r="T599" s="382"/>
      <c r="U599" s="382"/>
      <c r="V599"/>
      <c r="W599"/>
      <c r="X599"/>
      <c r="Y599"/>
    </row>
    <row r="600" spans="1:25" ht="15.75">
      <c r="A600" s="684"/>
      <c r="B600" s="689" t="s">
        <v>1083</v>
      </c>
      <c r="C600" s="383">
        <v>0</v>
      </c>
      <c r="D600" s="384">
        <v>0</v>
      </c>
      <c r="E600" s="384">
        <v>0</v>
      </c>
      <c r="F600" s="384">
        <v>0</v>
      </c>
      <c r="G600" s="384">
        <v>0</v>
      </c>
      <c r="H600" s="385">
        <v>0</v>
      </c>
      <c r="I600" s="385">
        <v>0</v>
      </c>
      <c r="J600" s="384">
        <v>0</v>
      </c>
      <c r="K600" s="384">
        <v>0</v>
      </c>
      <c r="L600" s="384">
        <v>0</v>
      </c>
      <c r="M600" s="385">
        <v>0</v>
      </c>
      <c r="N600" s="385">
        <v>0</v>
      </c>
      <c r="O600" s="384">
        <v>0</v>
      </c>
      <c r="P600" s="384">
        <v>0</v>
      </c>
      <c r="Q600" s="385">
        <v>0</v>
      </c>
      <c r="R600" s="385">
        <v>0</v>
      </c>
      <c r="S600" s="385">
        <v>0</v>
      </c>
      <c r="T600" s="385">
        <v>0</v>
      </c>
      <c r="U600" s="385">
        <v>0</v>
      </c>
      <c r="V600"/>
      <c r="W600"/>
      <c r="X600"/>
      <c r="Y600"/>
    </row>
    <row r="601" spans="1:25" ht="15.75">
      <c r="A601" s="684"/>
      <c r="B601" s="687" t="s">
        <v>1084</v>
      </c>
      <c r="C601" s="674"/>
      <c r="D601" s="675"/>
      <c r="E601" s="675"/>
      <c r="F601" s="675"/>
      <c r="G601" s="675"/>
      <c r="H601" s="676"/>
      <c r="I601" s="676"/>
      <c r="J601" s="675"/>
      <c r="K601" s="675"/>
      <c r="L601" s="675"/>
      <c r="M601" s="676"/>
      <c r="N601" s="676"/>
      <c r="O601" s="675"/>
      <c r="P601" s="675"/>
      <c r="Q601" s="676"/>
      <c r="R601" s="676"/>
      <c r="S601" s="676"/>
      <c r="T601" s="676"/>
      <c r="U601" s="676"/>
      <c r="V601"/>
      <c r="W601"/>
      <c r="X601"/>
      <c r="Y601"/>
    </row>
    <row r="602" spans="1:25" s="386" customFormat="1" ht="15.75">
      <c r="A602" s="684"/>
      <c r="B602" s="688" t="s">
        <v>1085</v>
      </c>
      <c r="C602" s="380"/>
      <c r="D602" s="381"/>
      <c r="E602" s="381"/>
      <c r="F602" s="381"/>
      <c r="G602" s="381"/>
      <c r="H602" s="382"/>
      <c r="I602" s="382"/>
      <c r="J602" s="381"/>
      <c r="K602" s="381"/>
      <c r="L602" s="381"/>
      <c r="M602" s="382"/>
      <c r="N602" s="382"/>
      <c r="O602" s="381"/>
      <c r="P602" s="381"/>
      <c r="Q602" s="382"/>
      <c r="R602" s="382"/>
      <c r="S602" s="382"/>
      <c r="T602" s="382"/>
      <c r="U602" s="382"/>
      <c r="V602"/>
      <c r="W602"/>
      <c r="X602"/>
      <c r="Y602"/>
    </row>
    <row r="603" spans="1:25" ht="15.75">
      <c r="A603" s="684"/>
      <c r="B603" s="689" t="s">
        <v>1086</v>
      </c>
      <c r="C603" s="383">
        <v>0</v>
      </c>
      <c r="D603" s="384">
        <v>0</v>
      </c>
      <c r="E603" s="384">
        <v>0</v>
      </c>
      <c r="F603" s="384">
        <v>0</v>
      </c>
      <c r="G603" s="384">
        <v>0</v>
      </c>
      <c r="H603" s="385">
        <v>0</v>
      </c>
      <c r="I603" s="385">
        <v>0</v>
      </c>
      <c r="J603" s="384">
        <v>0</v>
      </c>
      <c r="K603" s="384">
        <v>0</v>
      </c>
      <c r="L603" s="384">
        <v>0</v>
      </c>
      <c r="M603" s="385">
        <v>0</v>
      </c>
      <c r="N603" s="385">
        <v>0</v>
      </c>
      <c r="O603" s="384">
        <v>0</v>
      </c>
      <c r="P603" s="384">
        <v>0</v>
      </c>
      <c r="Q603" s="385">
        <v>0</v>
      </c>
      <c r="R603" s="385">
        <v>0</v>
      </c>
      <c r="S603" s="385">
        <v>0</v>
      </c>
      <c r="T603" s="385">
        <v>0</v>
      </c>
      <c r="U603" s="385">
        <v>0</v>
      </c>
      <c r="V603"/>
      <c r="W603"/>
      <c r="X603"/>
      <c r="Y603"/>
    </row>
    <row r="604" spans="1:25" ht="15.75">
      <c r="A604" s="684"/>
      <c r="B604" s="687" t="s">
        <v>1248</v>
      </c>
      <c r="C604" s="674"/>
      <c r="D604" s="675"/>
      <c r="E604" s="675"/>
      <c r="F604" s="675"/>
      <c r="G604" s="675"/>
      <c r="H604" s="676"/>
      <c r="I604" s="676"/>
      <c r="J604" s="675"/>
      <c r="K604" s="675"/>
      <c r="L604" s="675"/>
      <c r="M604" s="676"/>
      <c r="N604" s="676"/>
      <c r="O604" s="675"/>
      <c r="P604" s="675"/>
      <c r="Q604" s="676"/>
      <c r="R604" s="676"/>
      <c r="S604" s="676"/>
      <c r="T604" s="676"/>
      <c r="U604" s="676"/>
      <c r="V604"/>
      <c r="W604"/>
      <c r="X604"/>
      <c r="Y604"/>
    </row>
    <row r="605" spans="1:25" s="386" customFormat="1" ht="15.75">
      <c r="A605" s="685"/>
      <c r="B605" s="690" t="s">
        <v>1250</v>
      </c>
      <c r="C605" s="576"/>
      <c r="D605" s="577"/>
      <c r="E605" s="577"/>
      <c r="F605" s="577"/>
      <c r="G605" s="577"/>
      <c r="H605" s="578"/>
      <c r="I605" s="578"/>
      <c r="J605" s="577"/>
      <c r="K605" s="577"/>
      <c r="L605" s="577"/>
      <c r="M605" s="578"/>
      <c r="N605" s="578"/>
      <c r="O605" s="577"/>
      <c r="P605" s="577"/>
      <c r="Q605" s="578"/>
      <c r="R605" s="578"/>
      <c r="S605" s="578"/>
      <c r="T605" s="578"/>
      <c r="U605" s="578"/>
      <c r="V605"/>
      <c r="W605"/>
      <c r="X605"/>
      <c r="Y605"/>
    </row>
    <row r="606" spans="1:25" ht="15.75">
      <c r="A606" s="683" t="s">
        <v>32</v>
      </c>
      <c r="B606" s="687" t="s">
        <v>1039</v>
      </c>
      <c r="C606" s="674"/>
      <c r="D606" s="675"/>
      <c r="E606" s="675"/>
      <c r="F606" s="675"/>
      <c r="G606" s="675"/>
      <c r="H606" s="676"/>
      <c r="I606" s="676"/>
      <c r="J606" s="675"/>
      <c r="K606" s="675">
        <v>542</v>
      </c>
      <c r="L606" s="675">
        <v>967</v>
      </c>
      <c r="M606" s="676">
        <v>9</v>
      </c>
      <c r="N606" s="676">
        <v>1518</v>
      </c>
      <c r="O606" s="675"/>
      <c r="P606" s="675">
        <v>6404</v>
      </c>
      <c r="Q606" s="676"/>
      <c r="R606" s="676">
        <v>6404</v>
      </c>
      <c r="S606" s="676"/>
      <c r="T606" s="676"/>
      <c r="U606" s="676">
        <v>7922</v>
      </c>
      <c r="V606"/>
      <c r="W606"/>
      <c r="X606"/>
      <c r="Y606"/>
    </row>
    <row r="607" spans="1:25" ht="15.75">
      <c r="A607" s="684"/>
      <c r="B607" s="688" t="s">
        <v>1040</v>
      </c>
      <c r="C607" s="380"/>
      <c r="D607" s="381"/>
      <c r="E607" s="381"/>
      <c r="F607" s="381"/>
      <c r="G607" s="381"/>
      <c r="H607" s="382"/>
      <c r="I607" s="382"/>
      <c r="J607" s="381"/>
      <c r="K607" s="381"/>
      <c r="L607" s="381"/>
      <c r="M607" s="382"/>
      <c r="N607" s="382"/>
      <c r="O607" s="381"/>
      <c r="P607" s="381">
        <v>6762</v>
      </c>
      <c r="Q607" s="382"/>
      <c r="R607" s="382">
        <v>6762</v>
      </c>
      <c r="S607" s="382"/>
      <c r="T607" s="382"/>
      <c r="U607" s="382">
        <v>6762</v>
      </c>
      <c r="V607"/>
      <c r="W607"/>
      <c r="X607"/>
      <c r="Y607"/>
    </row>
    <row r="608" spans="1:25" s="386" customFormat="1" ht="15.75">
      <c r="A608" s="684"/>
      <c r="B608" s="689" t="s">
        <v>1041</v>
      </c>
      <c r="C608" s="383">
        <v>0</v>
      </c>
      <c r="D608" s="384">
        <v>0</v>
      </c>
      <c r="E608" s="384">
        <v>0</v>
      </c>
      <c r="F608" s="384">
        <v>0</v>
      </c>
      <c r="G608" s="384">
        <v>0</v>
      </c>
      <c r="H608" s="385">
        <v>0</v>
      </c>
      <c r="I608" s="385">
        <v>0</v>
      </c>
      <c r="J608" s="384">
        <v>0</v>
      </c>
      <c r="K608" s="692">
        <v>-1</v>
      </c>
      <c r="L608" s="692">
        <v>-1</v>
      </c>
      <c r="M608" s="692">
        <v>-1</v>
      </c>
      <c r="N608" s="385">
        <v>-1</v>
      </c>
      <c r="O608" s="384">
        <v>0</v>
      </c>
      <c r="P608" s="384">
        <v>5.5902560899437855E-2</v>
      </c>
      <c r="Q608" s="385">
        <v>0</v>
      </c>
      <c r="R608" s="385">
        <v>5.5902560899437855E-2</v>
      </c>
      <c r="S608" s="385">
        <v>0</v>
      </c>
      <c r="T608" s="385">
        <v>0</v>
      </c>
      <c r="U608" s="385">
        <v>-0.14642766978035848</v>
      </c>
      <c r="V608"/>
      <c r="W608"/>
      <c r="X608"/>
      <c r="Y608"/>
    </row>
    <row r="609" spans="1:25" ht="15.75">
      <c r="A609" s="684"/>
      <c r="B609" s="687" t="s">
        <v>1042</v>
      </c>
      <c r="C609" s="674"/>
      <c r="D609" s="675"/>
      <c r="E609" s="675"/>
      <c r="F609" s="675"/>
      <c r="G609" s="675"/>
      <c r="H609" s="676"/>
      <c r="I609" s="676"/>
      <c r="J609" s="675"/>
      <c r="K609" s="675"/>
      <c r="L609" s="675"/>
      <c r="M609" s="676"/>
      <c r="N609" s="676"/>
      <c r="O609" s="675"/>
      <c r="P609" s="675"/>
      <c r="Q609" s="676"/>
      <c r="R609" s="676"/>
      <c r="S609" s="676"/>
      <c r="T609" s="676"/>
      <c r="U609" s="676"/>
      <c r="V609"/>
      <c r="W609"/>
      <c r="X609"/>
      <c r="Y609"/>
    </row>
    <row r="610" spans="1:25" ht="15.75">
      <c r="A610" s="684"/>
      <c r="B610" s="688" t="s">
        <v>1043</v>
      </c>
      <c r="C610" s="380"/>
      <c r="D610" s="381"/>
      <c r="E610" s="381"/>
      <c r="F610" s="381"/>
      <c r="G610" s="381"/>
      <c r="H610" s="382"/>
      <c r="I610" s="382"/>
      <c r="J610" s="381"/>
      <c r="K610" s="381"/>
      <c r="L610" s="381"/>
      <c r="M610" s="382"/>
      <c r="N610" s="382"/>
      <c r="O610" s="381"/>
      <c r="P610" s="381"/>
      <c r="Q610" s="382"/>
      <c r="R610" s="382"/>
      <c r="S610" s="382"/>
      <c r="T610" s="382"/>
      <c r="U610" s="382"/>
      <c r="V610"/>
      <c r="W610"/>
      <c r="X610"/>
      <c r="Y610"/>
    </row>
    <row r="611" spans="1:25" s="386" customFormat="1" ht="15.75">
      <c r="A611" s="684"/>
      <c r="B611" s="689" t="s">
        <v>1044</v>
      </c>
      <c r="C611" s="383">
        <v>0</v>
      </c>
      <c r="D611" s="384">
        <v>0</v>
      </c>
      <c r="E611" s="384">
        <v>0</v>
      </c>
      <c r="F611" s="384">
        <v>0</v>
      </c>
      <c r="G611" s="384">
        <v>0</v>
      </c>
      <c r="H611" s="385">
        <v>0</v>
      </c>
      <c r="I611" s="385">
        <v>0</v>
      </c>
      <c r="J611" s="384">
        <v>0</v>
      </c>
      <c r="K611" s="384">
        <v>0</v>
      </c>
      <c r="L611" s="384">
        <v>0</v>
      </c>
      <c r="M611" s="385">
        <v>0</v>
      </c>
      <c r="N611" s="385">
        <v>0</v>
      </c>
      <c r="O611" s="384">
        <v>0</v>
      </c>
      <c r="P611" s="384">
        <v>0</v>
      </c>
      <c r="Q611" s="385">
        <v>0</v>
      </c>
      <c r="R611" s="385">
        <v>0</v>
      </c>
      <c r="S611" s="385">
        <v>0</v>
      </c>
      <c r="T611" s="385">
        <v>0</v>
      </c>
      <c r="U611" s="385">
        <v>0</v>
      </c>
      <c r="V611"/>
      <c r="W611"/>
      <c r="X611"/>
      <c r="Y611"/>
    </row>
    <row r="612" spans="1:25" ht="15.75">
      <c r="A612" s="684"/>
      <c r="B612" s="687" t="s">
        <v>1045</v>
      </c>
      <c r="C612" s="674"/>
      <c r="D612" s="675"/>
      <c r="E612" s="675">
        <v>149</v>
      </c>
      <c r="F612" s="675">
        <v>109</v>
      </c>
      <c r="G612" s="675"/>
      <c r="H612" s="676"/>
      <c r="I612" s="676">
        <v>258</v>
      </c>
      <c r="J612" s="675"/>
      <c r="K612" s="675">
        <v>2037</v>
      </c>
      <c r="L612" s="675">
        <v>4492</v>
      </c>
      <c r="M612" s="676">
        <v>187</v>
      </c>
      <c r="N612" s="676">
        <v>6716</v>
      </c>
      <c r="O612" s="675"/>
      <c r="P612" s="675"/>
      <c r="Q612" s="676"/>
      <c r="R612" s="676"/>
      <c r="S612" s="676"/>
      <c r="T612" s="676"/>
      <c r="U612" s="676">
        <v>6974</v>
      </c>
      <c r="V612"/>
      <c r="W612"/>
      <c r="X612"/>
      <c r="Y612"/>
    </row>
    <row r="613" spans="1:25" ht="15.75">
      <c r="A613" s="684"/>
      <c r="B613" s="688" t="s">
        <v>1046</v>
      </c>
      <c r="C613" s="380"/>
      <c r="D613" s="381"/>
      <c r="E613" s="381">
        <v>92</v>
      </c>
      <c r="F613" s="381">
        <v>138</v>
      </c>
      <c r="G613" s="381"/>
      <c r="H613" s="382"/>
      <c r="I613" s="382">
        <v>230</v>
      </c>
      <c r="J613" s="381"/>
      <c r="K613" s="381">
        <v>2090</v>
      </c>
      <c r="L613" s="381">
        <v>4501</v>
      </c>
      <c r="M613" s="382">
        <v>227</v>
      </c>
      <c r="N613" s="382">
        <v>6818</v>
      </c>
      <c r="O613" s="381"/>
      <c r="P613" s="381"/>
      <c r="Q613" s="382"/>
      <c r="R613" s="382"/>
      <c r="S613" s="382"/>
      <c r="T613" s="382"/>
      <c r="U613" s="382">
        <v>7048</v>
      </c>
      <c r="V613"/>
      <c r="W613"/>
      <c r="X613"/>
      <c r="Y613"/>
    </row>
    <row r="614" spans="1:25" s="386" customFormat="1" ht="15.75">
      <c r="A614" s="684"/>
      <c r="B614" s="689" t="s">
        <v>1047</v>
      </c>
      <c r="C614" s="383">
        <v>0</v>
      </c>
      <c r="D614" s="384">
        <v>0</v>
      </c>
      <c r="E614" s="692">
        <v>-0.3825503355704698</v>
      </c>
      <c r="F614" s="692">
        <v>0.26605504587155965</v>
      </c>
      <c r="G614" s="384">
        <v>0</v>
      </c>
      <c r="H614" s="385">
        <v>0</v>
      </c>
      <c r="I614" s="385">
        <v>-0.10852713178294573</v>
      </c>
      <c r="J614" s="384">
        <v>0</v>
      </c>
      <c r="K614" s="384">
        <v>2.6018654884634267E-2</v>
      </c>
      <c r="L614" s="384">
        <v>2.0035618878005341E-3</v>
      </c>
      <c r="M614" s="692">
        <v>0.21390374331550802</v>
      </c>
      <c r="N614" s="385">
        <v>1.5187611673615247E-2</v>
      </c>
      <c r="O614" s="384">
        <v>0</v>
      </c>
      <c r="P614" s="384">
        <v>0</v>
      </c>
      <c r="Q614" s="385">
        <v>0</v>
      </c>
      <c r="R614" s="385">
        <v>0</v>
      </c>
      <c r="S614" s="385">
        <v>0</v>
      </c>
      <c r="T614" s="385">
        <v>0</v>
      </c>
      <c r="U614" s="385">
        <v>1.061084026383711E-2</v>
      </c>
      <c r="V614"/>
      <c r="W614"/>
      <c r="X614"/>
      <c r="Y614"/>
    </row>
    <row r="615" spans="1:25" ht="15.75">
      <c r="A615" s="684"/>
      <c r="B615" s="687" t="s">
        <v>1048</v>
      </c>
      <c r="C615" s="674">
        <v>6078</v>
      </c>
      <c r="D615" s="675"/>
      <c r="E615" s="675">
        <v>8940</v>
      </c>
      <c r="F615" s="675">
        <v>1159</v>
      </c>
      <c r="G615" s="675">
        <v>998</v>
      </c>
      <c r="H615" s="676"/>
      <c r="I615" s="676">
        <v>17175</v>
      </c>
      <c r="J615" s="675"/>
      <c r="K615" s="675"/>
      <c r="L615" s="675"/>
      <c r="M615" s="676"/>
      <c r="N615" s="676"/>
      <c r="O615" s="675"/>
      <c r="P615" s="675"/>
      <c r="Q615" s="676"/>
      <c r="R615" s="676"/>
      <c r="S615" s="676">
        <v>103</v>
      </c>
      <c r="T615" s="676">
        <v>103</v>
      </c>
      <c r="U615" s="676">
        <v>17278</v>
      </c>
      <c r="V615"/>
      <c r="W615"/>
      <c r="X615"/>
      <c r="Y615"/>
    </row>
    <row r="616" spans="1:25" ht="15.75">
      <c r="A616" s="684"/>
      <c r="B616" s="688" t="s">
        <v>1049</v>
      </c>
      <c r="C616" s="380">
        <v>5898</v>
      </c>
      <c r="D616" s="381"/>
      <c r="E616" s="381">
        <v>8713</v>
      </c>
      <c r="F616" s="381">
        <v>1004</v>
      </c>
      <c r="G616" s="381">
        <v>890</v>
      </c>
      <c r="H616" s="382"/>
      <c r="I616" s="382">
        <v>16505</v>
      </c>
      <c r="J616" s="381"/>
      <c r="K616" s="381"/>
      <c r="L616" s="381"/>
      <c r="M616" s="382"/>
      <c r="N616" s="382"/>
      <c r="O616" s="381"/>
      <c r="P616" s="381"/>
      <c r="Q616" s="382"/>
      <c r="R616" s="382"/>
      <c r="S616" s="382">
        <v>47</v>
      </c>
      <c r="T616" s="382">
        <v>47</v>
      </c>
      <c r="U616" s="382">
        <v>16552</v>
      </c>
      <c r="V616"/>
      <c r="W616"/>
      <c r="X616"/>
      <c r="Y616"/>
    </row>
    <row r="617" spans="1:25" s="386" customFormat="1" ht="15.75">
      <c r="A617" s="684"/>
      <c r="B617" s="689" t="s">
        <v>1050</v>
      </c>
      <c r="C617" s="383">
        <v>-2.9615004935834157E-2</v>
      </c>
      <c r="D617" s="384">
        <v>0</v>
      </c>
      <c r="E617" s="384">
        <v>-2.5391498881431766E-2</v>
      </c>
      <c r="F617" s="384">
        <v>-0.13373597929249353</v>
      </c>
      <c r="G617" s="384">
        <v>-0.10821643286573146</v>
      </c>
      <c r="H617" s="385">
        <v>0</v>
      </c>
      <c r="I617" s="385">
        <v>-3.9010189228529842E-2</v>
      </c>
      <c r="J617" s="384">
        <v>0</v>
      </c>
      <c r="K617" s="384">
        <v>0</v>
      </c>
      <c r="L617" s="384">
        <v>0</v>
      </c>
      <c r="M617" s="385">
        <v>0</v>
      </c>
      <c r="N617" s="385">
        <v>0</v>
      </c>
      <c r="O617" s="384">
        <v>0</v>
      </c>
      <c r="P617" s="384">
        <v>0</v>
      </c>
      <c r="Q617" s="385">
        <v>0</v>
      </c>
      <c r="R617" s="385">
        <v>0</v>
      </c>
      <c r="S617" s="385">
        <v>-0.5436893203883495</v>
      </c>
      <c r="T617" s="692">
        <v>-0.5436893203883495</v>
      </c>
      <c r="U617" s="385">
        <v>-4.201875217039009E-2</v>
      </c>
      <c r="V617"/>
      <c r="W617"/>
      <c r="X617"/>
      <c r="Y617"/>
    </row>
    <row r="618" spans="1:25" ht="15.75">
      <c r="A618" s="684"/>
      <c r="B618" s="687" t="s">
        <v>1051</v>
      </c>
      <c r="C618" s="674"/>
      <c r="D618" s="675"/>
      <c r="E618" s="675"/>
      <c r="F618" s="675"/>
      <c r="G618" s="675"/>
      <c r="H618" s="676"/>
      <c r="I618" s="676"/>
      <c r="J618" s="675"/>
      <c r="K618" s="675"/>
      <c r="L618" s="675"/>
      <c r="M618" s="676"/>
      <c r="N618" s="676"/>
      <c r="O618" s="675"/>
      <c r="P618" s="675"/>
      <c r="Q618" s="676"/>
      <c r="R618" s="676"/>
      <c r="S618" s="676"/>
      <c r="T618" s="676"/>
      <c r="U618" s="676"/>
      <c r="V618"/>
      <c r="W618"/>
      <c r="X618"/>
      <c r="Y618"/>
    </row>
    <row r="619" spans="1:25" ht="15.75">
      <c r="A619" s="684"/>
      <c r="B619" s="688" t="s">
        <v>1052</v>
      </c>
      <c r="C619" s="380"/>
      <c r="D619" s="381"/>
      <c r="E619" s="381"/>
      <c r="F619" s="381"/>
      <c r="G619" s="381"/>
      <c r="H619" s="382"/>
      <c r="I619" s="382"/>
      <c r="J619" s="381"/>
      <c r="K619" s="381"/>
      <c r="L619" s="381"/>
      <c r="M619" s="382"/>
      <c r="N619" s="382"/>
      <c r="O619" s="381"/>
      <c r="P619" s="381"/>
      <c r="Q619" s="382"/>
      <c r="R619" s="382"/>
      <c r="S619" s="382"/>
      <c r="T619" s="382"/>
      <c r="U619" s="382"/>
      <c r="V619"/>
      <c r="W619"/>
      <c r="X619"/>
      <c r="Y619"/>
    </row>
    <row r="620" spans="1:25" s="386" customFormat="1" ht="15.75">
      <c r="A620" s="684"/>
      <c r="B620" s="689" t="s">
        <v>1053</v>
      </c>
      <c r="C620" s="383">
        <v>0</v>
      </c>
      <c r="D620" s="384">
        <v>0</v>
      </c>
      <c r="E620" s="384">
        <v>0</v>
      </c>
      <c r="F620" s="384">
        <v>0</v>
      </c>
      <c r="G620" s="384">
        <v>0</v>
      </c>
      <c r="H620" s="385">
        <v>0</v>
      </c>
      <c r="I620" s="385">
        <v>0</v>
      </c>
      <c r="J620" s="384">
        <v>0</v>
      </c>
      <c r="K620" s="384">
        <v>0</v>
      </c>
      <c r="L620" s="384">
        <v>0</v>
      </c>
      <c r="M620" s="385">
        <v>0</v>
      </c>
      <c r="N620" s="385">
        <v>0</v>
      </c>
      <c r="O620" s="384">
        <v>0</v>
      </c>
      <c r="P620" s="384">
        <v>0</v>
      </c>
      <c r="Q620" s="385">
        <v>0</v>
      </c>
      <c r="R620" s="385">
        <v>0</v>
      </c>
      <c r="S620" s="385">
        <v>0</v>
      </c>
      <c r="T620" s="385">
        <v>0</v>
      </c>
      <c r="U620" s="385">
        <v>0</v>
      </c>
      <c r="V620"/>
      <c r="W620"/>
      <c r="X620"/>
      <c r="Y620"/>
    </row>
    <row r="621" spans="1:25" ht="15.75">
      <c r="A621" s="684"/>
      <c r="B621" s="687" t="s">
        <v>1054</v>
      </c>
      <c r="C621" s="674">
        <v>2388</v>
      </c>
      <c r="D621" s="675"/>
      <c r="E621" s="675">
        <v>2749</v>
      </c>
      <c r="F621" s="675">
        <v>231</v>
      </c>
      <c r="G621" s="675">
        <v>140</v>
      </c>
      <c r="H621" s="676"/>
      <c r="I621" s="676">
        <v>5508</v>
      </c>
      <c r="J621" s="675"/>
      <c r="K621" s="675">
        <v>0</v>
      </c>
      <c r="L621" s="675">
        <v>0</v>
      </c>
      <c r="M621" s="676">
        <v>0</v>
      </c>
      <c r="N621" s="676">
        <v>0</v>
      </c>
      <c r="O621" s="675"/>
      <c r="P621" s="675">
        <v>0</v>
      </c>
      <c r="Q621" s="676"/>
      <c r="R621" s="676">
        <v>0</v>
      </c>
      <c r="S621" s="676">
        <v>399</v>
      </c>
      <c r="T621" s="676">
        <v>399</v>
      </c>
      <c r="U621" s="676">
        <v>5907</v>
      </c>
      <c r="V621"/>
      <c r="W621"/>
      <c r="X621"/>
      <c r="Y621"/>
    </row>
    <row r="622" spans="1:25" ht="15.75">
      <c r="A622" s="684"/>
      <c r="B622" s="688" t="s">
        <v>1055</v>
      </c>
      <c r="C622" s="380">
        <v>2925</v>
      </c>
      <c r="D622" s="381"/>
      <c r="E622" s="381">
        <v>3080</v>
      </c>
      <c r="F622" s="381">
        <v>254</v>
      </c>
      <c r="G622" s="381">
        <v>115</v>
      </c>
      <c r="H622" s="382"/>
      <c r="I622" s="382">
        <v>6374</v>
      </c>
      <c r="J622" s="381"/>
      <c r="K622" s="381">
        <v>0</v>
      </c>
      <c r="L622" s="381">
        <v>0</v>
      </c>
      <c r="M622" s="382">
        <v>0</v>
      </c>
      <c r="N622" s="382">
        <v>0</v>
      </c>
      <c r="O622" s="381"/>
      <c r="P622" s="381">
        <v>0</v>
      </c>
      <c r="Q622" s="382"/>
      <c r="R622" s="382">
        <v>0</v>
      </c>
      <c r="S622" s="382">
        <v>511</v>
      </c>
      <c r="T622" s="382">
        <v>511</v>
      </c>
      <c r="U622" s="382">
        <v>6885</v>
      </c>
      <c r="V622"/>
      <c r="W622"/>
      <c r="X622"/>
      <c r="Y622"/>
    </row>
    <row r="623" spans="1:25" s="386" customFormat="1" ht="15.75">
      <c r="A623" s="684"/>
      <c r="B623" s="689" t="s">
        <v>1056</v>
      </c>
      <c r="C623" s="383">
        <v>0.22487437185929648</v>
      </c>
      <c r="D623" s="384">
        <v>0</v>
      </c>
      <c r="E623" s="384">
        <v>0.12040742088032011</v>
      </c>
      <c r="F623" s="384">
        <v>9.9567099567099568E-2</v>
      </c>
      <c r="G623" s="692">
        <v>-0.17857142857142858</v>
      </c>
      <c r="H623" s="385">
        <v>0</v>
      </c>
      <c r="I623" s="385">
        <v>0.15722585330428468</v>
      </c>
      <c r="J623" s="384">
        <v>0</v>
      </c>
      <c r="K623" s="384">
        <v>0</v>
      </c>
      <c r="L623" s="384">
        <v>0</v>
      </c>
      <c r="M623" s="385">
        <v>0</v>
      </c>
      <c r="N623" s="385">
        <v>0</v>
      </c>
      <c r="O623" s="384">
        <v>0</v>
      </c>
      <c r="P623" s="384">
        <v>0</v>
      </c>
      <c r="Q623" s="385">
        <v>0</v>
      </c>
      <c r="R623" s="385">
        <v>0</v>
      </c>
      <c r="S623" s="385">
        <v>0.2807017543859649</v>
      </c>
      <c r="T623" s="692">
        <v>0.2807017543859649</v>
      </c>
      <c r="U623" s="385">
        <v>0.16556627729812087</v>
      </c>
      <c r="V623"/>
      <c r="W623"/>
      <c r="X623"/>
      <c r="Y623"/>
    </row>
    <row r="624" spans="1:25" ht="15.75">
      <c r="A624" s="684"/>
      <c r="B624" s="687" t="s">
        <v>1057</v>
      </c>
      <c r="C624" s="674">
        <v>338</v>
      </c>
      <c r="D624" s="675"/>
      <c r="E624" s="675">
        <v>196</v>
      </c>
      <c r="F624" s="675">
        <v>0</v>
      </c>
      <c r="G624" s="675">
        <v>0</v>
      </c>
      <c r="H624" s="676"/>
      <c r="I624" s="676">
        <v>534</v>
      </c>
      <c r="J624" s="675"/>
      <c r="K624" s="675">
        <v>0</v>
      </c>
      <c r="L624" s="675">
        <v>0</v>
      </c>
      <c r="M624" s="676">
        <v>0</v>
      </c>
      <c r="N624" s="676">
        <v>0</v>
      </c>
      <c r="O624" s="675"/>
      <c r="P624" s="675">
        <v>0</v>
      </c>
      <c r="Q624" s="676"/>
      <c r="R624" s="676">
        <v>0</v>
      </c>
      <c r="S624" s="676">
        <v>105</v>
      </c>
      <c r="T624" s="676">
        <v>105</v>
      </c>
      <c r="U624" s="676">
        <v>639</v>
      </c>
      <c r="V624"/>
      <c r="W624"/>
      <c r="X624"/>
      <c r="Y624"/>
    </row>
    <row r="625" spans="1:25" ht="15.75">
      <c r="A625" s="684"/>
      <c r="B625" s="688" t="s">
        <v>1058</v>
      </c>
      <c r="C625" s="380">
        <v>409</v>
      </c>
      <c r="D625" s="381"/>
      <c r="E625" s="381">
        <v>226</v>
      </c>
      <c r="F625" s="381">
        <v>0</v>
      </c>
      <c r="G625" s="381">
        <v>0</v>
      </c>
      <c r="H625" s="382"/>
      <c r="I625" s="382">
        <v>635</v>
      </c>
      <c r="J625" s="381"/>
      <c r="K625" s="381">
        <v>0</v>
      </c>
      <c r="L625" s="381">
        <v>0</v>
      </c>
      <c r="M625" s="382">
        <v>0</v>
      </c>
      <c r="N625" s="382">
        <v>0</v>
      </c>
      <c r="O625" s="381"/>
      <c r="P625" s="381">
        <v>0</v>
      </c>
      <c r="Q625" s="382"/>
      <c r="R625" s="382">
        <v>0</v>
      </c>
      <c r="S625" s="382">
        <v>133</v>
      </c>
      <c r="T625" s="382">
        <v>133</v>
      </c>
      <c r="U625" s="382">
        <v>768</v>
      </c>
      <c r="V625"/>
      <c r="W625"/>
      <c r="X625"/>
      <c r="Y625"/>
    </row>
    <row r="626" spans="1:25" s="386" customFormat="1" ht="15.75">
      <c r="A626" s="684"/>
      <c r="B626" s="689" t="s">
        <v>1059</v>
      </c>
      <c r="C626" s="383">
        <v>0.21005917159763313</v>
      </c>
      <c r="D626" s="384">
        <v>0</v>
      </c>
      <c r="E626" s="384">
        <v>0.15306122448979592</v>
      </c>
      <c r="F626" s="384">
        <v>0</v>
      </c>
      <c r="G626" s="384">
        <v>0</v>
      </c>
      <c r="H626" s="385">
        <v>0</v>
      </c>
      <c r="I626" s="385">
        <v>0.18913857677902621</v>
      </c>
      <c r="J626" s="384">
        <v>0</v>
      </c>
      <c r="K626" s="384">
        <v>0</v>
      </c>
      <c r="L626" s="384">
        <v>0</v>
      </c>
      <c r="M626" s="385">
        <v>0</v>
      </c>
      <c r="N626" s="385">
        <v>0</v>
      </c>
      <c r="O626" s="384">
        <v>0</v>
      </c>
      <c r="P626" s="384">
        <v>0</v>
      </c>
      <c r="Q626" s="385">
        <v>0</v>
      </c>
      <c r="R626" s="385">
        <v>0</v>
      </c>
      <c r="S626" s="385">
        <v>0.26666666666666666</v>
      </c>
      <c r="T626" s="692">
        <v>0.26666666666666666</v>
      </c>
      <c r="U626" s="385">
        <v>0.20187793427230047</v>
      </c>
      <c r="V626"/>
      <c r="W626"/>
      <c r="X626"/>
      <c r="Y626"/>
    </row>
    <row r="627" spans="1:25" ht="15.75">
      <c r="A627" s="684"/>
      <c r="B627" s="687" t="s">
        <v>1060</v>
      </c>
      <c r="C627" s="674">
        <v>270</v>
      </c>
      <c r="D627" s="675"/>
      <c r="E627" s="675"/>
      <c r="F627" s="675"/>
      <c r="G627" s="675"/>
      <c r="H627" s="676"/>
      <c r="I627" s="676">
        <v>270</v>
      </c>
      <c r="J627" s="675"/>
      <c r="K627" s="675"/>
      <c r="L627" s="675"/>
      <c r="M627" s="676"/>
      <c r="N627" s="676"/>
      <c r="O627" s="675"/>
      <c r="P627" s="675"/>
      <c r="Q627" s="676"/>
      <c r="R627" s="676"/>
      <c r="S627" s="676"/>
      <c r="T627" s="676"/>
      <c r="U627" s="676">
        <v>270</v>
      </c>
      <c r="V627"/>
      <c r="W627"/>
      <c r="X627"/>
      <c r="Y627"/>
    </row>
    <row r="628" spans="1:25" ht="15.75">
      <c r="A628" s="684"/>
      <c r="B628" s="688" t="s">
        <v>1061</v>
      </c>
      <c r="C628" s="380">
        <v>260</v>
      </c>
      <c r="D628" s="381"/>
      <c r="E628" s="381"/>
      <c r="F628" s="381"/>
      <c r="G628" s="381"/>
      <c r="H628" s="382"/>
      <c r="I628" s="382">
        <v>260</v>
      </c>
      <c r="J628" s="381"/>
      <c r="K628" s="381"/>
      <c r="L628" s="381"/>
      <c r="M628" s="382"/>
      <c r="N628" s="382"/>
      <c r="O628" s="381"/>
      <c r="P628" s="381"/>
      <c r="Q628" s="382"/>
      <c r="R628" s="382"/>
      <c r="S628" s="382"/>
      <c r="T628" s="382"/>
      <c r="U628" s="382">
        <v>260</v>
      </c>
      <c r="V628"/>
      <c r="W628"/>
      <c r="X628"/>
      <c r="Y628"/>
    </row>
    <row r="629" spans="1:25" s="386" customFormat="1" ht="15.75">
      <c r="A629" s="684"/>
      <c r="B629" s="689" t="s">
        <v>1062</v>
      </c>
      <c r="C629" s="383">
        <v>-3.7037037037037035E-2</v>
      </c>
      <c r="D629" s="384">
        <v>0</v>
      </c>
      <c r="E629" s="384">
        <v>0</v>
      </c>
      <c r="F629" s="384">
        <v>0</v>
      </c>
      <c r="G629" s="384">
        <v>0</v>
      </c>
      <c r="H629" s="385">
        <v>0</v>
      </c>
      <c r="I629" s="385">
        <v>-3.7037037037037035E-2</v>
      </c>
      <c r="J629" s="384">
        <v>0</v>
      </c>
      <c r="K629" s="384">
        <v>0</v>
      </c>
      <c r="L629" s="384">
        <v>0</v>
      </c>
      <c r="M629" s="385">
        <v>0</v>
      </c>
      <c r="N629" s="385">
        <v>0</v>
      </c>
      <c r="O629" s="384">
        <v>0</v>
      </c>
      <c r="P629" s="384">
        <v>0</v>
      </c>
      <c r="Q629" s="385">
        <v>0</v>
      </c>
      <c r="R629" s="385">
        <v>0</v>
      </c>
      <c r="S629" s="385">
        <v>0</v>
      </c>
      <c r="T629" s="385">
        <v>0</v>
      </c>
      <c r="U629" s="385">
        <v>-3.7037037037037035E-2</v>
      </c>
      <c r="V629"/>
      <c r="W629"/>
      <c r="X629"/>
      <c r="Y629"/>
    </row>
    <row r="630" spans="1:25" ht="15.75">
      <c r="A630" s="684"/>
      <c r="B630" s="687" t="s">
        <v>1063</v>
      </c>
      <c r="C630" s="674"/>
      <c r="D630" s="675"/>
      <c r="E630" s="675">
        <v>57</v>
      </c>
      <c r="F630" s="675"/>
      <c r="G630" s="675"/>
      <c r="H630" s="676"/>
      <c r="I630" s="676">
        <v>57</v>
      </c>
      <c r="J630" s="675"/>
      <c r="K630" s="675"/>
      <c r="L630" s="675"/>
      <c r="M630" s="676"/>
      <c r="N630" s="676"/>
      <c r="O630" s="675"/>
      <c r="P630" s="675"/>
      <c r="Q630" s="676"/>
      <c r="R630" s="676"/>
      <c r="S630" s="676">
        <v>150</v>
      </c>
      <c r="T630" s="676">
        <v>150</v>
      </c>
      <c r="U630" s="676">
        <v>207</v>
      </c>
      <c r="V630"/>
      <c r="W630"/>
      <c r="X630"/>
      <c r="Y630"/>
    </row>
    <row r="631" spans="1:25" ht="15.75">
      <c r="A631" s="684"/>
      <c r="B631" s="688" t="s">
        <v>1064</v>
      </c>
      <c r="C631" s="380"/>
      <c r="D631" s="381"/>
      <c r="E631" s="381">
        <v>61</v>
      </c>
      <c r="F631" s="381"/>
      <c r="G631" s="381"/>
      <c r="H631" s="382"/>
      <c r="I631" s="382">
        <v>61</v>
      </c>
      <c r="J631" s="381"/>
      <c r="K631" s="381"/>
      <c r="L631" s="381"/>
      <c r="M631" s="382"/>
      <c r="N631" s="382"/>
      <c r="O631" s="381"/>
      <c r="P631" s="381"/>
      <c r="Q631" s="382"/>
      <c r="R631" s="382"/>
      <c r="S631" s="382">
        <v>140</v>
      </c>
      <c r="T631" s="382">
        <v>140</v>
      </c>
      <c r="U631" s="382">
        <v>201</v>
      </c>
      <c r="V631"/>
      <c r="W631"/>
      <c r="X631"/>
      <c r="Y631"/>
    </row>
    <row r="632" spans="1:25" s="386" customFormat="1" ht="15.75">
      <c r="A632" s="684"/>
      <c r="B632" s="689" t="s">
        <v>1065</v>
      </c>
      <c r="C632" s="383">
        <v>0</v>
      </c>
      <c r="D632" s="384">
        <v>0</v>
      </c>
      <c r="E632" s="384">
        <v>7.0175438596491224E-2</v>
      </c>
      <c r="F632" s="384">
        <v>0</v>
      </c>
      <c r="G632" s="384">
        <v>0</v>
      </c>
      <c r="H632" s="385">
        <v>0</v>
      </c>
      <c r="I632" s="385">
        <v>7.0175438596491224E-2</v>
      </c>
      <c r="J632" s="384">
        <v>0</v>
      </c>
      <c r="K632" s="384">
        <v>0</v>
      </c>
      <c r="L632" s="384">
        <v>0</v>
      </c>
      <c r="M632" s="385">
        <v>0</v>
      </c>
      <c r="N632" s="385">
        <v>0</v>
      </c>
      <c r="O632" s="384">
        <v>0</v>
      </c>
      <c r="P632" s="384">
        <v>0</v>
      </c>
      <c r="Q632" s="385">
        <v>0</v>
      </c>
      <c r="R632" s="385">
        <v>0</v>
      </c>
      <c r="S632" s="385">
        <v>-6.6666666666666666E-2</v>
      </c>
      <c r="T632" s="385">
        <v>-6.6666666666666666E-2</v>
      </c>
      <c r="U632" s="385">
        <v>-2.8985507246376812E-2</v>
      </c>
      <c r="V632"/>
      <c r="W632"/>
      <c r="X632"/>
      <c r="Y632"/>
    </row>
    <row r="633" spans="1:25" ht="15.75">
      <c r="A633" s="684"/>
      <c r="B633" s="687" t="s">
        <v>1066</v>
      </c>
      <c r="C633" s="674"/>
      <c r="D633" s="675"/>
      <c r="E633" s="675"/>
      <c r="F633" s="675"/>
      <c r="G633" s="675"/>
      <c r="H633" s="676"/>
      <c r="I633" s="676"/>
      <c r="J633" s="675"/>
      <c r="K633" s="675"/>
      <c r="L633" s="675"/>
      <c r="M633" s="676"/>
      <c r="N633" s="676"/>
      <c r="O633" s="675"/>
      <c r="P633" s="675"/>
      <c r="Q633" s="676"/>
      <c r="R633" s="676"/>
      <c r="S633" s="676">
        <v>77</v>
      </c>
      <c r="T633" s="676">
        <v>77</v>
      </c>
      <c r="U633" s="676">
        <v>77</v>
      </c>
      <c r="V633"/>
      <c r="W633"/>
      <c r="X633"/>
      <c r="Y633"/>
    </row>
    <row r="634" spans="1:25" ht="15.75">
      <c r="A634" s="684"/>
      <c r="B634" s="688" t="s">
        <v>1067</v>
      </c>
      <c r="C634" s="380"/>
      <c r="D634" s="381"/>
      <c r="E634" s="381"/>
      <c r="F634" s="381"/>
      <c r="G634" s="381"/>
      <c r="H634" s="382"/>
      <c r="I634" s="382"/>
      <c r="J634" s="381"/>
      <c r="K634" s="381"/>
      <c r="L634" s="381"/>
      <c r="M634" s="382"/>
      <c r="N634" s="382"/>
      <c r="O634" s="381"/>
      <c r="P634" s="381"/>
      <c r="Q634" s="382"/>
      <c r="R634" s="382"/>
      <c r="S634" s="382">
        <v>83</v>
      </c>
      <c r="T634" s="382">
        <v>83</v>
      </c>
      <c r="U634" s="382">
        <v>83</v>
      </c>
      <c r="V634"/>
      <c r="W634"/>
      <c r="X634"/>
      <c r="Y634"/>
    </row>
    <row r="635" spans="1:25" s="386" customFormat="1" ht="15.75">
      <c r="A635" s="684"/>
      <c r="B635" s="689" t="s">
        <v>1068</v>
      </c>
      <c r="C635" s="383">
        <v>0</v>
      </c>
      <c r="D635" s="384">
        <v>0</v>
      </c>
      <c r="E635" s="384">
        <v>0</v>
      </c>
      <c r="F635" s="384">
        <v>0</v>
      </c>
      <c r="G635" s="384">
        <v>0</v>
      </c>
      <c r="H635" s="385">
        <v>0</v>
      </c>
      <c r="I635" s="385">
        <v>0</v>
      </c>
      <c r="J635" s="384">
        <v>0</v>
      </c>
      <c r="K635" s="384">
        <v>0</v>
      </c>
      <c r="L635" s="384">
        <v>0</v>
      </c>
      <c r="M635" s="385">
        <v>0</v>
      </c>
      <c r="N635" s="385">
        <v>0</v>
      </c>
      <c r="O635" s="384">
        <v>0</v>
      </c>
      <c r="P635" s="384">
        <v>0</v>
      </c>
      <c r="Q635" s="385">
        <v>0</v>
      </c>
      <c r="R635" s="385">
        <v>0</v>
      </c>
      <c r="S635" s="385">
        <v>7.792207792207792E-2</v>
      </c>
      <c r="T635" s="385">
        <v>7.792207792207792E-2</v>
      </c>
      <c r="U635" s="385">
        <v>7.792207792207792E-2</v>
      </c>
      <c r="V635"/>
      <c r="W635"/>
      <c r="X635"/>
      <c r="Y635"/>
    </row>
    <row r="636" spans="1:25" ht="15.75">
      <c r="A636" s="684"/>
      <c r="B636" s="687" t="s">
        <v>1069</v>
      </c>
      <c r="C636" s="674"/>
      <c r="D636" s="675"/>
      <c r="E636" s="675"/>
      <c r="F636" s="675"/>
      <c r="G636" s="675"/>
      <c r="H636" s="676"/>
      <c r="I636" s="676"/>
      <c r="J636" s="675"/>
      <c r="K636" s="675"/>
      <c r="L636" s="675"/>
      <c r="M636" s="676"/>
      <c r="N636" s="676"/>
      <c r="O636" s="675"/>
      <c r="P636" s="675"/>
      <c r="Q636" s="676"/>
      <c r="R636" s="676"/>
      <c r="S636" s="676">
        <v>126</v>
      </c>
      <c r="T636" s="676">
        <v>126</v>
      </c>
      <c r="U636" s="676">
        <v>126</v>
      </c>
      <c r="V636"/>
      <c r="W636"/>
      <c r="X636"/>
      <c r="Y636"/>
    </row>
    <row r="637" spans="1:25" ht="15.75">
      <c r="A637" s="684"/>
      <c r="B637" s="688" t="s">
        <v>1070</v>
      </c>
      <c r="C637" s="380"/>
      <c r="D637" s="381"/>
      <c r="E637" s="381"/>
      <c r="F637" s="381"/>
      <c r="G637" s="381"/>
      <c r="H637" s="382"/>
      <c r="I637" s="382"/>
      <c r="J637" s="381"/>
      <c r="K637" s="381"/>
      <c r="L637" s="381"/>
      <c r="M637" s="382"/>
      <c r="N637" s="382"/>
      <c r="O637" s="381"/>
      <c r="P637" s="381"/>
      <c r="Q637" s="382"/>
      <c r="R637" s="382"/>
      <c r="S637" s="382">
        <v>162</v>
      </c>
      <c r="T637" s="382">
        <v>162</v>
      </c>
      <c r="U637" s="382">
        <v>162</v>
      </c>
      <c r="V637"/>
      <c r="W637"/>
      <c r="X637"/>
      <c r="Y637"/>
    </row>
    <row r="638" spans="1:25" s="386" customFormat="1" ht="15.75">
      <c r="A638" s="684"/>
      <c r="B638" s="689" t="s">
        <v>1071</v>
      </c>
      <c r="C638" s="383">
        <v>0</v>
      </c>
      <c r="D638" s="384">
        <v>0</v>
      </c>
      <c r="E638" s="384">
        <v>0</v>
      </c>
      <c r="F638" s="384">
        <v>0</v>
      </c>
      <c r="G638" s="384">
        <v>0</v>
      </c>
      <c r="H638" s="385">
        <v>0</v>
      </c>
      <c r="I638" s="385">
        <v>0</v>
      </c>
      <c r="J638" s="384">
        <v>0</v>
      </c>
      <c r="K638" s="384">
        <v>0</v>
      </c>
      <c r="L638" s="384">
        <v>0</v>
      </c>
      <c r="M638" s="385">
        <v>0</v>
      </c>
      <c r="N638" s="385">
        <v>0</v>
      </c>
      <c r="O638" s="384">
        <v>0</v>
      </c>
      <c r="P638" s="384">
        <v>0</v>
      </c>
      <c r="Q638" s="385">
        <v>0</v>
      </c>
      <c r="R638" s="385">
        <v>0</v>
      </c>
      <c r="S638" s="385">
        <v>0.2857142857142857</v>
      </c>
      <c r="T638" s="692">
        <v>0.2857142857142857</v>
      </c>
      <c r="U638" s="385">
        <v>0.2857142857142857</v>
      </c>
      <c r="V638"/>
      <c r="W638"/>
      <c r="X638"/>
      <c r="Y638"/>
    </row>
    <row r="639" spans="1:25" ht="15.75">
      <c r="A639" s="684"/>
      <c r="B639" s="687" t="s">
        <v>1072</v>
      </c>
      <c r="C639" s="674"/>
      <c r="D639" s="675"/>
      <c r="E639" s="675"/>
      <c r="F639" s="675"/>
      <c r="G639" s="675"/>
      <c r="H639" s="676"/>
      <c r="I639" s="676"/>
      <c r="J639" s="675"/>
      <c r="K639" s="675"/>
      <c r="L639" s="675"/>
      <c r="M639" s="676"/>
      <c r="N639" s="676"/>
      <c r="O639" s="675"/>
      <c r="P639" s="675"/>
      <c r="Q639" s="676"/>
      <c r="R639" s="676"/>
      <c r="S639" s="676"/>
      <c r="T639" s="676"/>
      <c r="U639" s="676"/>
      <c r="V639"/>
      <c r="W639"/>
      <c r="X639"/>
      <c r="Y639"/>
    </row>
    <row r="640" spans="1:25" ht="15.75">
      <c r="A640" s="684"/>
      <c r="B640" s="688" t="s">
        <v>1073</v>
      </c>
      <c r="C640" s="380"/>
      <c r="D640" s="381"/>
      <c r="E640" s="381"/>
      <c r="F640" s="381"/>
      <c r="G640" s="381"/>
      <c r="H640" s="382"/>
      <c r="I640" s="382"/>
      <c r="J640" s="381"/>
      <c r="K640" s="381"/>
      <c r="L640" s="381"/>
      <c r="M640" s="382"/>
      <c r="N640" s="382"/>
      <c r="O640" s="381"/>
      <c r="P640" s="381"/>
      <c r="Q640" s="382"/>
      <c r="R640" s="382"/>
      <c r="S640" s="382"/>
      <c r="T640" s="382"/>
      <c r="U640" s="382"/>
      <c r="V640"/>
      <c r="W640"/>
      <c r="X640"/>
      <c r="Y640"/>
    </row>
    <row r="641" spans="1:25" s="386" customFormat="1" ht="15.75">
      <c r="A641" s="684"/>
      <c r="B641" s="689" t="s">
        <v>1074</v>
      </c>
      <c r="C641" s="383">
        <v>0</v>
      </c>
      <c r="D641" s="384">
        <v>0</v>
      </c>
      <c r="E641" s="384">
        <v>0</v>
      </c>
      <c r="F641" s="384">
        <v>0</v>
      </c>
      <c r="G641" s="384">
        <v>0</v>
      </c>
      <c r="H641" s="385">
        <v>0</v>
      </c>
      <c r="I641" s="385">
        <v>0</v>
      </c>
      <c r="J641" s="384">
        <v>0</v>
      </c>
      <c r="K641" s="384">
        <v>0</v>
      </c>
      <c r="L641" s="384">
        <v>0</v>
      </c>
      <c r="M641" s="385">
        <v>0</v>
      </c>
      <c r="N641" s="385">
        <v>0</v>
      </c>
      <c r="O641" s="384">
        <v>0</v>
      </c>
      <c r="P641" s="384">
        <v>0</v>
      </c>
      <c r="Q641" s="385">
        <v>0</v>
      </c>
      <c r="R641" s="385">
        <v>0</v>
      </c>
      <c r="S641" s="385">
        <v>0</v>
      </c>
      <c r="T641" s="385">
        <v>0</v>
      </c>
      <c r="U641" s="385">
        <v>0</v>
      </c>
      <c r="V641"/>
      <c r="W641"/>
      <c r="X641"/>
      <c r="Y641"/>
    </row>
    <row r="642" spans="1:25" ht="15.75">
      <c r="A642" s="684"/>
      <c r="B642" s="687" t="s">
        <v>1075</v>
      </c>
      <c r="C642" s="674"/>
      <c r="D642" s="675"/>
      <c r="E642" s="675"/>
      <c r="F642" s="675"/>
      <c r="G642" s="675"/>
      <c r="H642" s="676"/>
      <c r="I642" s="676"/>
      <c r="J642" s="675"/>
      <c r="K642" s="675"/>
      <c r="L642" s="675"/>
      <c r="M642" s="676"/>
      <c r="N642" s="676"/>
      <c r="O642" s="675"/>
      <c r="P642" s="675"/>
      <c r="Q642" s="676"/>
      <c r="R642" s="676"/>
      <c r="S642" s="676"/>
      <c r="T642" s="676"/>
      <c r="U642" s="676"/>
      <c r="V642"/>
      <c r="W642"/>
      <c r="X642"/>
      <c r="Y642"/>
    </row>
    <row r="643" spans="1:25" ht="15.75">
      <c r="A643" s="684"/>
      <c r="B643" s="688" t="s">
        <v>1076</v>
      </c>
      <c r="C643" s="380"/>
      <c r="D643" s="381"/>
      <c r="E643" s="381"/>
      <c r="F643" s="381"/>
      <c r="G643" s="381"/>
      <c r="H643" s="382"/>
      <c r="I643" s="382"/>
      <c r="J643" s="381"/>
      <c r="K643" s="381"/>
      <c r="L643" s="381"/>
      <c r="M643" s="382"/>
      <c r="N643" s="382"/>
      <c r="O643" s="381"/>
      <c r="P643" s="381"/>
      <c r="Q643" s="382"/>
      <c r="R643" s="382"/>
      <c r="S643" s="382"/>
      <c r="T643" s="382"/>
      <c r="U643" s="382"/>
      <c r="V643"/>
      <c r="W643"/>
      <c r="X643"/>
      <c r="Y643"/>
    </row>
    <row r="644" spans="1:25" s="386" customFormat="1" ht="15.75">
      <c r="A644" s="684"/>
      <c r="B644" s="689" t="s">
        <v>1077</v>
      </c>
      <c r="C644" s="383">
        <v>0</v>
      </c>
      <c r="D644" s="384">
        <v>0</v>
      </c>
      <c r="E644" s="384">
        <v>0</v>
      </c>
      <c r="F644" s="384">
        <v>0</v>
      </c>
      <c r="G644" s="384">
        <v>0</v>
      </c>
      <c r="H644" s="385">
        <v>0</v>
      </c>
      <c r="I644" s="385">
        <v>0</v>
      </c>
      <c r="J644" s="384">
        <v>0</v>
      </c>
      <c r="K644" s="384">
        <v>0</v>
      </c>
      <c r="L644" s="384">
        <v>0</v>
      </c>
      <c r="M644" s="385">
        <v>0</v>
      </c>
      <c r="N644" s="385">
        <v>0</v>
      </c>
      <c r="O644" s="384">
        <v>0</v>
      </c>
      <c r="P644" s="384">
        <v>0</v>
      </c>
      <c r="Q644" s="385">
        <v>0</v>
      </c>
      <c r="R644" s="385">
        <v>0</v>
      </c>
      <c r="S644" s="385">
        <v>0</v>
      </c>
      <c r="T644" s="385">
        <v>0</v>
      </c>
      <c r="U644" s="385">
        <v>0</v>
      </c>
      <c r="V644"/>
      <c r="W644"/>
      <c r="X644"/>
      <c r="Y644"/>
    </row>
    <row r="645" spans="1:25" ht="15.75">
      <c r="A645" s="684"/>
      <c r="B645" s="687" t="s">
        <v>1078</v>
      </c>
      <c r="C645" s="674"/>
      <c r="D645" s="675"/>
      <c r="E645" s="675"/>
      <c r="F645" s="675"/>
      <c r="G645" s="675"/>
      <c r="H645" s="676"/>
      <c r="I645" s="676"/>
      <c r="J645" s="675"/>
      <c r="K645" s="675"/>
      <c r="L645" s="675"/>
      <c r="M645" s="676"/>
      <c r="N645" s="676"/>
      <c r="O645" s="675"/>
      <c r="P645" s="675"/>
      <c r="Q645" s="676"/>
      <c r="R645" s="676"/>
      <c r="S645" s="676"/>
      <c r="T645" s="676"/>
      <c r="U645" s="676"/>
      <c r="V645"/>
      <c r="W645"/>
      <c r="X645"/>
      <c r="Y645"/>
    </row>
    <row r="646" spans="1:25" ht="15.75">
      <c r="A646" s="684"/>
      <c r="B646" s="688" t="s">
        <v>1079</v>
      </c>
      <c r="C646" s="380"/>
      <c r="D646" s="381"/>
      <c r="E646" s="381"/>
      <c r="F646" s="381"/>
      <c r="G646" s="381"/>
      <c r="H646" s="382"/>
      <c r="I646" s="382"/>
      <c r="J646" s="381"/>
      <c r="K646" s="381"/>
      <c r="L646" s="381"/>
      <c r="M646" s="382"/>
      <c r="N646" s="382"/>
      <c r="O646" s="381"/>
      <c r="P646" s="381"/>
      <c r="Q646" s="382"/>
      <c r="R646" s="382"/>
      <c r="S646" s="382"/>
      <c r="T646" s="382"/>
      <c r="U646" s="382"/>
      <c r="V646"/>
      <c r="W646"/>
      <c r="X646"/>
      <c r="Y646"/>
    </row>
    <row r="647" spans="1:25" s="386" customFormat="1" ht="15.75">
      <c r="A647" s="684"/>
      <c r="B647" s="689" t="s">
        <v>1080</v>
      </c>
      <c r="C647" s="383">
        <v>0</v>
      </c>
      <c r="D647" s="384">
        <v>0</v>
      </c>
      <c r="E647" s="384">
        <v>0</v>
      </c>
      <c r="F647" s="384">
        <v>0</v>
      </c>
      <c r="G647" s="384">
        <v>0</v>
      </c>
      <c r="H647" s="385">
        <v>0</v>
      </c>
      <c r="I647" s="385">
        <v>0</v>
      </c>
      <c r="J647" s="384">
        <v>0</v>
      </c>
      <c r="K647" s="384">
        <v>0</v>
      </c>
      <c r="L647" s="384">
        <v>0</v>
      </c>
      <c r="M647" s="385">
        <v>0</v>
      </c>
      <c r="N647" s="385">
        <v>0</v>
      </c>
      <c r="O647" s="384">
        <v>0</v>
      </c>
      <c r="P647" s="384">
        <v>0</v>
      </c>
      <c r="Q647" s="385">
        <v>0</v>
      </c>
      <c r="R647" s="385">
        <v>0</v>
      </c>
      <c r="S647" s="385">
        <v>0</v>
      </c>
      <c r="T647" s="385">
        <v>0</v>
      </c>
      <c r="U647" s="385">
        <v>0</v>
      </c>
      <c r="V647"/>
      <c r="W647"/>
      <c r="X647"/>
      <c r="Y647"/>
    </row>
    <row r="648" spans="1:25" ht="15.75">
      <c r="A648" s="684"/>
      <c r="B648" s="687" t="s">
        <v>1081</v>
      </c>
      <c r="C648" s="674">
        <v>68</v>
      </c>
      <c r="D648" s="675"/>
      <c r="E648" s="675"/>
      <c r="F648" s="675"/>
      <c r="G648" s="675"/>
      <c r="H648" s="676"/>
      <c r="I648" s="676">
        <v>68</v>
      </c>
      <c r="J648" s="675"/>
      <c r="K648" s="675"/>
      <c r="L648" s="675"/>
      <c r="M648" s="676"/>
      <c r="N648" s="676"/>
      <c r="O648" s="675"/>
      <c r="P648" s="675"/>
      <c r="Q648" s="676"/>
      <c r="R648" s="676"/>
      <c r="S648" s="676"/>
      <c r="T648" s="676"/>
      <c r="U648" s="676">
        <v>68</v>
      </c>
      <c r="V648"/>
      <c r="W648"/>
      <c r="X648"/>
      <c r="Y648"/>
    </row>
    <row r="649" spans="1:25" ht="15.75">
      <c r="A649" s="684"/>
      <c r="B649" s="688" t="s">
        <v>1082</v>
      </c>
      <c r="C649" s="380">
        <v>61</v>
      </c>
      <c r="D649" s="381"/>
      <c r="E649" s="381"/>
      <c r="F649" s="381"/>
      <c r="G649" s="381"/>
      <c r="H649" s="382"/>
      <c r="I649" s="382">
        <v>61</v>
      </c>
      <c r="J649" s="381"/>
      <c r="K649" s="381"/>
      <c r="L649" s="381"/>
      <c r="M649" s="382"/>
      <c r="N649" s="382"/>
      <c r="O649" s="381"/>
      <c r="P649" s="381"/>
      <c r="Q649" s="382"/>
      <c r="R649" s="382"/>
      <c r="S649" s="382"/>
      <c r="T649" s="382"/>
      <c r="U649" s="382">
        <v>61</v>
      </c>
      <c r="V649"/>
      <c r="W649"/>
      <c r="X649"/>
      <c r="Y649"/>
    </row>
    <row r="650" spans="1:25" s="386" customFormat="1" ht="15.75">
      <c r="A650" s="684"/>
      <c r="B650" s="689" t="s">
        <v>1083</v>
      </c>
      <c r="C650" s="383">
        <v>-0.10294117647058823</v>
      </c>
      <c r="D650" s="384">
        <v>0</v>
      </c>
      <c r="E650" s="384">
        <v>0</v>
      </c>
      <c r="F650" s="384">
        <v>0</v>
      </c>
      <c r="G650" s="384">
        <v>0</v>
      </c>
      <c r="H650" s="385">
        <v>0</v>
      </c>
      <c r="I650" s="385">
        <v>-0.10294117647058823</v>
      </c>
      <c r="J650" s="384">
        <v>0</v>
      </c>
      <c r="K650" s="384">
        <v>0</v>
      </c>
      <c r="L650" s="384">
        <v>0</v>
      </c>
      <c r="M650" s="385">
        <v>0</v>
      </c>
      <c r="N650" s="385">
        <v>0</v>
      </c>
      <c r="O650" s="384">
        <v>0</v>
      </c>
      <c r="P650" s="384">
        <v>0</v>
      </c>
      <c r="Q650" s="385">
        <v>0</v>
      </c>
      <c r="R650" s="385">
        <v>0</v>
      </c>
      <c r="S650" s="385">
        <v>0</v>
      </c>
      <c r="T650" s="385">
        <v>0</v>
      </c>
      <c r="U650" s="385">
        <v>-0.10294117647058823</v>
      </c>
      <c r="V650"/>
      <c r="W650"/>
      <c r="X650"/>
      <c r="Y650"/>
    </row>
    <row r="651" spans="1:25" ht="15.75">
      <c r="A651" s="684"/>
      <c r="B651" s="687" t="s">
        <v>1084</v>
      </c>
      <c r="C651" s="674"/>
      <c r="D651" s="675"/>
      <c r="E651" s="675"/>
      <c r="F651" s="675"/>
      <c r="G651" s="675"/>
      <c r="H651" s="676"/>
      <c r="I651" s="676"/>
      <c r="J651" s="675"/>
      <c r="K651" s="675"/>
      <c r="L651" s="675"/>
      <c r="M651" s="676"/>
      <c r="N651" s="676"/>
      <c r="O651" s="675"/>
      <c r="P651" s="675"/>
      <c r="Q651" s="676"/>
      <c r="R651" s="676"/>
      <c r="S651" s="676"/>
      <c r="T651" s="676"/>
      <c r="U651" s="676"/>
      <c r="V651"/>
      <c r="W651"/>
      <c r="X651"/>
      <c r="Y651"/>
    </row>
    <row r="652" spans="1:25" ht="15.75">
      <c r="A652" s="684"/>
      <c r="B652" s="688" t="s">
        <v>1085</v>
      </c>
      <c r="C652" s="380"/>
      <c r="D652" s="381"/>
      <c r="E652" s="381"/>
      <c r="F652" s="381"/>
      <c r="G652" s="381"/>
      <c r="H652" s="382"/>
      <c r="I652" s="382"/>
      <c r="J652" s="381"/>
      <c r="K652" s="381"/>
      <c r="L652" s="381"/>
      <c r="M652" s="382"/>
      <c r="N652" s="382"/>
      <c r="O652" s="381"/>
      <c r="P652" s="381"/>
      <c r="Q652" s="382"/>
      <c r="R652" s="382"/>
      <c r="S652" s="382"/>
      <c r="T652" s="382"/>
      <c r="U652" s="382"/>
      <c r="V652"/>
      <c r="W652"/>
      <c r="X652"/>
      <c r="Y652"/>
    </row>
    <row r="653" spans="1:25" s="386" customFormat="1" ht="15.75">
      <c r="A653" s="684"/>
      <c r="B653" s="689" t="s">
        <v>1086</v>
      </c>
      <c r="C653" s="383">
        <v>0</v>
      </c>
      <c r="D653" s="384">
        <v>0</v>
      </c>
      <c r="E653" s="384">
        <v>0</v>
      </c>
      <c r="F653" s="384">
        <v>0</v>
      </c>
      <c r="G653" s="384">
        <v>0</v>
      </c>
      <c r="H653" s="385">
        <v>0</v>
      </c>
      <c r="I653" s="385">
        <v>0</v>
      </c>
      <c r="J653" s="384">
        <v>0</v>
      </c>
      <c r="K653" s="384">
        <v>0</v>
      </c>
      <c r="L653" s="384">
        <v>0</v>
      </c>
      <c r="M653" s="385">
        <v>0</v>
      </c>
      <c r="N653" s="385">
        <v>0</v>
      </c>
      <c r="O653" s="384">
        <v>0</v>
      </c>
      <c r="P653" s="384">
        <v>0</v>
      </c>
      <c r="Q653" s="385">
        <v>0</v>
      </c>
      <c r="R653" s="385">
        <v>0</v>
      </c>
      <c r="S653" s="385">
        <v>0</v>
      </c>
      <c r="T653" s="385">
        <v>0</v>
      </c>
      <c r="U653" s="385">
        <v>0</v>
      </c>
      <c r="V653"/>
      <c r="W653"/>
      <c r="X653"/>
      <c r="Y653"/>
    </row>
    <row r="654" spans="1:25" ht="15.75">
      <c r="A654" s="684"/>
      <c r="B654" s="687" t="s">
        <v>1248</v>
      </c>
      <c r="C654" s="674"/>
      <c r="D654" s="675"/>
      <c r="E654" s="675"/>
      <c r="F654" s="675"/>
      <c r="G654" s="675"/>
      <c r="H654" s="676"/>
      <c r="I654" s="676"/>
      <c r="J654" s="675"/>
      <c r="K654" s="675"/>
      <c r="L654" s="675"/>
      <c r="M654" s="676"/>
      <c r="N654" s="676"/>
      <c r="O654" s="675"/>
      <c r="P654" s="675"/>
      <c r="Q654" s="676"/>
      <c r="R654" s="676"/>
      <c r="S654" s="676"/>
      <c r="T654" s="676"/>
      <c r="U654" s="676"/>
      <c r="V654"/>
      <c r="W654"/>
      <c r="X654"/>
      <c r="Y654"/>
    </row>
    <row r="655" spans="1:25" ht="15.75">
      <c r="A655" s="685"/>
      <c r="B655" s="690" t="s">
        <v>1250</v>
      </c>
      <c r="C655" s="576"/>
      <c r="D655" s="577"/>
      <c r="E655" s="577"/>
      <c r="F655" s="577"/>
      <c r="G655" s="577"/>
      <c r="H655" s="578"/>
      <c r="I655" s="578"/>
      <c r="J655" s="577"/>
      <c r="K655" s="577"/>
      <c r="L655" s="577"/>
      <c r="M655" s="578"/>
      <c r="N655" s="578"/>
      <c r="O655" s="577"/>
      <c r="P655" s="577"/>
      <c r="Q655" s="578"/>
      <c r="R655" s="578"/>
      <c r="S655" s="578"/>
      <c r="T655" s="578"/>
      <c r="U655" s="578"/>
      <c r="V655"/>
      <c r="W655"/>
      <c r="X655"/>
      <c r="Y655"/>
    </row>
    <row r="656" spans="1:25" s="386" customFormat="1" ht="15.75">
      <c r="A656" s="683" t="s">
        <v>951</v>
      </c>
      <c r="B656" s="687" t="s">
        <v>1039</v>
      </c>
      <c r="C656" s="674"/>
      <c r="D656" s="675"/>
      <c r="E656" s="675"/>
      <c r="F656" s="675"/>
      <c r="G656" s="675"/>
      <c r="H656" s="676"/>
      <c r="I656" s="676"/>
      <c r="J656" s="675">
        <v>862</v>
      </c>
      <c r="K656" s="675">
        <v>10344</v>
      </c>
      <c r="L656" s="675">
        <v>7391</v>
      </c>
      <c r="M656" s="676">
        <v>1503</v>
      </c>
      <c r="N656" s="676">
        <v>20100</v>
      </c>
      <c r="O656" s="675"/>
      <c r="P656" s="675"/>
      <c r="Q656" s="676"/>
      <c r="R656" s="676"/>
      <c r="S656" s="676"/>
      <c r="T656" s="676"/>
      <c r="U656" s="676">
        <v>20100</v>
      </c>
      <c r="V656"/>
      <c r="W656"/>
      <c r="X656"/>
      <c r="Y656"/>
    </row>
    <row r="657" spans="1:25" ht="15.75">
      <c r="A657" s="684"/>
      <c r="B657" s="688" t="s">
        <v>1040</v>
      </c>
      <c r="C657" s="380"/>
      <c r="D657" s="381"/>
      <c r="E657" s="381"/>
      <c r="F657" s="381"/>
      <c r="G657" s="381"/>
      <c r="H657" s="382"/>
      <c r="I657" s="382"/>
      <c r="J657" s="381">
        <v>964</v>
      </c>
      <c r="K657" s="381">
        <v>11677</v>
      </c>
      <c r="L657" s="381">
        <v>8788</v>
      </c>
      <c r="M657" s="382">
        <v>1376</v>
      </c>
      <c r="N657" s="382">
        <v>22805</v>
      </c>
      <c r="O657" s="381"/>
      <c r="P657" s="381"/>
      <c r="Q657" s="382"/>
      <c r="R657" s="382"/>
      <c r="S657" s="382"/>
      <c r="T657" s="382"/>
      <c r="U657" s="382">
        <v>22805</v>
      </c>
      <c r="V657"/>
      <c r="W657"/>
      <c r="X657"/>
      <c r="Y657"/>
    </row>
    <row r="658" spans="1:25" ht="15.75">
      <c r="A658" s="684"/>
      <c r="B658" s="689" t="s">
        <v>1041</v>
      </c>
      <c r="C658" s="383">
        <v>0</v>
      </c>
      <c r="D658" s="384">
        <v>0</v>
      </c>
      <c r="E658" s="384">
        <v>0</v>
      </c>
      <c r="F658" s="384">
        <v>0</v>
      </c>
      <c r="G658" s="384">
        <v>0</v>
      </c>
      <c r="H658" s="385">
        <v>0</v>
      </c>
      <c r="I658" s="385">
        <v>0</v>
      </c>
      <c r="J658" s="384">
        <v>0.11832946635730858</v>
      </c>
      <c r="K658" s="384">
        <v>0.12886697602474864</v>
      </c>
      <c r="L658" s="384">
        <v>0.18901366526856989</v>
      </c>
      <c r="M658" s="385">
        <v>-8.4497671324018628E-2</v>
      </c>
      <c r="N658" s="385">
        <v>0.13457711442786069</v>
      </c>
      <c r="O658" s="384">
        <v>0</v>
      </c>
      <c r="P658" s="384">
        <v>0</v>
      </c>
      <c r="Q658" s="385">
        <v>0</v>
      </c>
      <c r="R658" s="385">
        <v>0</v>
      </c>
      <c r="S658" s="385">
        <v>0</v>
      </c>
      <c r="T658" s="385">
        <v>0</v>
      </c>
      <c r="U658" s="385">
        <v>0.13457711442786069</v>
      </c>
      <c r="V658"/>
      <c r="W658"/>
      <c r="X658"/>
      <c r="Y658"/>
    </row>
    <row r="659" spans="1:25" s="386" customFormat="1" ht="15.75">
      <c r="A659" s="684"/>
      <c r="B659" s="687" t="s">
        <v>1042</v>
      </c>
      <c r="C659" s="674"/>
      <c r="D659" s="675"/>
      <c r="E659" s="675"/>
      <c r="F659" s="675"/>
      <c r="G659" s="675"/>
      <c r="H659" s="676"/>
      <c r="I659" s="676"/>
      <c r="J659" s="675"/>
      <c r="K659" s="675"/>
      <c r="L659" s="675"/>
      <c r="M659" s="676"/>
      <c r="N659" s="676"/>
      <c r="O659" s="675"/>
      <c r="P659" s="675"/>
      <c r="Q659" s="676"/>
      <c r="R659" s="676"/>
      <c r="S659" s="676"/>
      <c r="T659" s="676"/>
      <c r="U659" s="676"/>
      <c r="V659"/>
      <c r="W659"/>
      <c r="X659"/>
      <c r="Y659"/>
    </row>
    <row r="660" spans="1:25" ht="15.75">
      <c r="A660" s="684"/>
      <c r="B660" s="688" t="s">
        <v>1043</v>
      </c>
      <c r="C660" s="380"/>
      <c r="D660" s="381"/>
      <c r="E660" s="381"/>
      <c r="F660" s="381"/>
      <c r="G660" s="381"/>
      <c r="H660" s="382"/>
      <c r="I660" s="382"/>
      <c r="J660" s="381"/>
      <c r="K660" s="381"/>
      <c r="L660" s="381"/>
      <c r="M660" s="382"/>
      <c r="N660" s="382"/>
      <c r="O660" s="381"/>
      <c r="P660" s="381"/>
      <c r="Q660" s="382"/>
      <c r="R660" s="382"/>
      <c r="S660" s="382"/>
      <c r="T660" s="382"/>
      <c r="U660" s="382"/>
      <c r="V660"/>
      <c r="W660"/>
      <c r="X660"/>
      <c r="Y660"/>
    </row>
    <row r="661" spans="1:25" ht="15.75">
      <c r="A661" s="684"/>
      <c r="B661" s="689" t="s">
        <v>1044</v>
      </c>
      <c r="C661" s="383">
        <v>0</v>
      </c>
      <c r="D661" s="384">
        <v>0</v>
      </c>
      <c r="E661" s="384">
        <v>0</v>
      </c>
      <c r="F661" s="384">
        <v>0</v>
      </c>
      <c r="G661" s="384">
        <v>0</v>
      </c>
      <c r="H661" s="385">
        <v>0</v>
      </c>
      <c r="I661" s="385">
        <v>0</v>
      </c>
      <c r="J661" s="384">
        <v>0</v>
      </c>
      <c r="K661" s="384">
        <v>0</v>
      </c>
      <c r="L661" s="384">
        <v>0</v>
      </c>
      <c r="M661" s="385">
        <v>0</v>
      </c>
      <c r="N661" s="385">
        <v>0</v>
      </c>
      <c r="O661" s="384">
        <v>0</v>
      </c>
      <c r="P661" s="384">
        <v>0</v>
      </c>
      <c r="Q661" s="385">
        <v>0</v>
      </c>
      <c r="R661" s="385">
        <v>0</v>
      </c>
      <c r="S661" s="385">
        <v>0</v>
      </c>
      <c r="T661" s="385">
        <v>0</v>
      </c>
      <c r="U661" s="385">
        <v>0</v>
      </c>
      <c r="V661"/>
      <c r="W661"/>
      <c r="X661"/>
      <c r="Y661"/>
    </row>
    <row r="662" spans="1:25" s="386" customFormat="1" ht="15.75">
      <c r="A662" s="684"/>
      <c r="B662" s="687" t="s">
        <v>1045</v>
      </c>
      <c r="C662" s="674"/>
      <c r="D662" s="675"/>
      <c r="E662" s="675">
        <v>189</v>
      </c>
      <c r="F662" s="675">
        <v>1</v>
      </c>
      <c r="G662" s="675"/>
      <c r="H662" s="676"/>
      <c r="I662" s="676">
        <v>190</v>
      </c>
      <c r="J662" s="675">
        <v>2073</v>
      </c>
      <c r="K662" s="675">
        <v>25331</v>
      </c>
      <c r="L662" s="675">
        <v>9889</v>
      </c>
      <c r="M662" s="676">
        <v>1610</v>
      </c>
      <c r="N662" s="676">
        <v>38903</v>
      </c>
      <c r="O662" s="675"/>
      <c r="P662" s="675"/>
      <c r="Q662" s="676"/>
      <c r="R662" s="676"/>
      <c r="S662" s="676">
        <v>205</v>
      </c>
      <c r="T662" s="676">
        <v>205</v>
      </c>
      <c r="U662" s="676">
        <v>39298</v>
      </c>
      <c r="V662"/>
      <c r="W662"/>
      <c r="X662"/>
      <c r="Y662"/>
    </row>
    <row r="663" spans="1:25" ht="15.75">
      <c r="A663" s="684"/>
      <c r="B663" s="688" t="s">
        <v>1046</v>
      </c>
      <c r="C663" s="380"/>
      <c r="D663" s="381"/>
      <c r="E663" s="381">
        <v>252</v>
      </c>
      <c r="F663" s="381"/>
      <c r="G663" s="381"/>
      <c r="H663" s="382"/>
      <c r="I663" s="382">
        <v>252</v>
      </c>
      <c r="J663" s="381">
        <v>2203</v>
      </c>
      <c r="K663" s="381">
        <v>27501</v>
      </c>
      <c r="L663" s="381">
        <v>10392</v>
      </c>
      <c r="M663" s="382">
        <v>1636</v>
      </c>
      <c r="N663" s="382">
        <v>41732</v>
      </c>
      <c r="O663" s="381"/>
      <c r="P663" s="381"/>
      <c r="Q663" s="382"/>
      <c r="R663" s="382"/>
      <c r="S663" s="382">
        <v>159</v>
      </c>
      <c r="T663" s="382">
        <v>159</v>
      </c>
      <c r="U663" s="382">
        <v>42143</v>
      </c>
      <c r="V663"/>
      <c r="W663"/>
      <c r="X663"/>
      <c r="Y663"/>
    </row>
    <row r="664" spans="1:25" ht="15.75">
      <c r="A664" s="684"/>
      <c r="B664" s="689" t="s">
        <v>1047</v>
      </c>
      <c r="C664" s="383">
        <v>0</v>
      </c>
      <c r="D664" s="384">
        <v>0</v>
      </c>
      <c r="E664" s="692">
        <v>0.33333333333333331</v>
      </c>
      <c r="F664" s="384">
        <v>-1</v>
      </c>
      <c r="G664" s="384">
        <v>0</v>
      </c>
      <c r="H664" s="385">
        <v>0</v>
      </c>
      <c r="I664" s="385">
        <v>0.32631578947368423</v>
      </c>
      <c r="J664" s="384">
        <v>6.2711046792088762E-2</v>
      </c>
      <c r="K664" s="384">
        <v>8.5665785006513756E-2</v>
      </c>
      <c r="L664" s="384">
        <v>5.0864597026999699E-2</v>
      </c>
      <c r="M664" s="385">
        <v>1.6149068322981366E-2</v>
      </c>
      <c r="N664" s="385">
        <v>7.2719327558285987E-2</v>
      </c>
      <c r="O664" s="384">
        <v>0</v>
      </c>
      <c r="P664" s="384">
        <v>0</v>
      </c>
      <c r="Q664" s="385">
        <v>0</v>
      </c>
      <c r="R664" s="385">
        <v>0</v>
      </c>
      <c r="S664" s="385">
        <v>-0.22439024390243903</v>
      </c>
      <c r="T664" s="385">
        <v>-0.22439024390243903</v>
      </c>
      <c r="U664" s="385">
        <v>7.2395541757850276E-2</v>
      </c>
      <c r="V664"/>
      <c r="W664"/>
      <c r="X664"/>
      <c r="Y664"/>
    </row>
    <row r="665" spans="1:25" s="386" customFormat="1" ht="15.75">
      <c r="A665" s="684"/>
      <c r="B665" s="687" t="s">
        <v>1048</v>
      </c>
      <c r="C665" s="674">
        <v>37865</v>
      </c>
      <c r="D665" s="675">
        <v>7817</v>
      </c>
      <c r="E665" s="675">
        <v>26195</v>
      </c>
      <c r="F665" s="675">
        <v>2162</v>
      </c>
      <c r="G665" s="675">
        <v>2201</v>
      </c>
      <c r="H665" s="676">
        <v>258</v>
      </c>
      <c r="I665" s="676">
        <v>76498</v>
      </c>
      <c r="J665" s="675">
        <v>46</v>
      </c>
      <c r="K665" s="675"/>
      <c r="L665" s="675"/>
      <c r="M665" s="676"/>
      <c r="N665" s="676">
        <v>46</v>
      </c>
      <c r="O665" s="675"/>
      <c r="P665" s="675"/>
      <c r="Q665" s="676"/>
      <c r="R665" s="676"/>
      <c r="S665" s="676">
        <v>1491</v>
      </c>
      <c r="T665" s="676">
        <v>1491</v>
      </c>
      <c r="U665" s="676">
        <v>78035</v>
      </c>
      <c r="V665"/>
      <c r="W665"/>
      <c r="X665"/>
      <c r="Y665"/>
    </row>
    <row r="666" spans="1:25" ht="15.75">
      <c r="A666" s="684"/>
      <c r="B666" s="688" t="s">
        <v>1049</v>
      </c>
      <c r="C666" s="380">
        <v>38442</v>
      </c>
      <c r="D666" s="381">
        <v>8442</v>
      </c>
      <c r="E666" s="381">
        <v>27553</v>
      </c>
      <c r="F666" s="381">
        <v>2396</v>
      </c>
      <c r="G666" s="381">
        <v>2348</v>
      </c>
      <c r="H666" s="382">
        <v>239</v>
      </c>
      <c r="I666" s="382">
        <v>79420</v>
      </c>
      <c r="J666" s="381">
        <v>112</v>
      </c>
      <c r="K666" s="381"/>
      <c r="L666" s="381"/>
      <c r="M666" s="382"/>
      <c r="N666" s="382">
        <v>112</v>
      </c>
      <c r="O666" s="381"/>
      <c r="P666" s="381"/>
      <c r="Q666" s="382"/>
      <c r="R666" s="382"/>
      <c r="S666" s="382">
        <v>1594</v>
      </c>
      <c r="T666" s="382">
        <v>1594</v>
      </c>
      <c r="U666" s="382">
        <v>81126</v>
      </c>
      <c r="V666"/>
      <c r="W666"/>
      <c r="X666"/>
      <c r="Y666"/>
    </row>
    <row r="667" spans="1:25" ht="15.75">
      <c r="A667" s="684"/>
      <c r="B667" s="689" t="s">
        <v>1050</v>
      </c>
      <c r="C667" s="383">
        <v>1.5238346758219992E-2</v>
      </c>
      <c r="D667" s="384">
        <v>7.9953946526800559E-2</v>
      </c>
      <c r="E667" s="384">
        <v>5.1841954571483106E-2</v>
      </c>
      <c r="F667" s="384">
        <v>0.10823311748381129</v>
      </c>
      <c r="G667" s="384">
        <v>6.67878237164925E-2</v>
      </c>
      <c r="H667" s="385">
        <v>-7.3643410852713184E-2</v>
      </c>
      <c r="I667" s="385">
        <v>3.8197077047765954E-2</v>
      </c>
      <c r="J667" s="692">
        <v>1.4347826086956521</v>
      </c>
      <c r="K667" s="384">
        <v>0</v>
      </c>
      <c r="L667" s="384">
        <v>0</v>
      </c>
      <c r="M667" s="385">
        <v>0</v>
      </c>
      <c r="N667" s="385">
        <v>1.4347826086956521</v>
      </c>
      <c r="O667" s="384">
        <v>0</v>
      </c>
      <c r="P667" s="384">
        <v>0</v>
      </c>
      <c r="Q667" s="385">
        <v>0</v>
      </c>
      <c r="R667" s="385">
        <v>0</v>
      </c>
      <c r="S667" s="385">
        <v>6.9081153588195846E-2</v>
      </c>
      <c r="T667" s="385">
        <v>6.9081153588195846E-2</v>
      </c>
      <c r="U667" s="385">
        <v>3.9610431216761707E-2</v>
      </c>
      <c r="V667"/>
      <c r="W667"/>
      <c r="X667"/>
      <c r="Y667"/>
    </row>
    <row r="668" spans="1:25" s="386" customFormat="1" ht="15.75">
      <c r="A668" s="684"/>
      <c r="B668" s="687" t="s">
        <v>1051</v>
      </c>
      <c r="C668" s="674"/>
      <c r="D668" s="675"/>
      <c r="E668" s="675"/>
      <c r="F668" s="675"/>
      <c r="G668" s="675"/>
      <c r="H668" s="676"/>
      <c r="I668" s="676"/>
      <c r="J668" s="675"/>
      <c r="K668" s="675"/>
      <c r="L668" s="675"/>
      <c r="M668" s="676"/>
      <c r="N668" s="676"/>
      <c r="O668" s="675"/>
      <c r="P668" s="675"/>
      <c r="Q668" s="676"/>
      <c r="R668" s="676"/>
      <c r="S668" s="676"/>
      <c r="T668" s="676"/>
      <c r="U668" s="676"/>
      <c r="V668"/>
      <c r="W668"/>
      <c r="X668"/>
      <c r="Y668"/>
    </row>
    <row r="669" spans="1:25" ht="15.75">
      <c r="A669" s="684"/>
      <c r="B669" s="688" t="s">
        <v>1052</v>
      </c>
      <c r="C669" s="380"/>
      <c r="D669" s="381"/>
      <c r="E669" s="381"/>
      <c r="F669" s="381"/>
      <c r="G669" s="381"/>
      <c r="H669" s="382"/>
      <c r="I669" s="382"/>
      <c r="J669" s="381"/>
      <c r="K669" s="381"/>
      <c r="L669" s="381"/>
      <c r="M669" s="382"/>
      <c r="N669" s="382"/>
      <c r="O669" s="381"/>
      <c r="P669" s="381"/>
      <c r="Q669" s="382"/>
      <c r="R669" s="382"/>
      <c r="S669" s="382"/>
      <c r="T669" s="382"/>
      <c r="U669" s="382"/>
      <c r="V669"/>
      <c r="W669"/>
      <c r="X669"/>
      <c r="Y669"/>
    </row>
    <row r="670" spans="1:25" ht="15.75">
      <c r="A670" s="684"/>
      <c r="B670" s="689" t="s">
        <v>1053</v>
      </c>
      <c r="C670" s="383">
        <v>0</v>
      </c>
      <c r="D670" s="384">
        <v>0</v>
      </c>
      <c r="E670" s="384">
        <v>0</v>
      </c>
      <c r="F670" s="384">
        <v>0</v>
      </c>
      <c r="G670" s="384">
        <v>0</v>
      </c>
      <c r="H670" s="385">
        <v>0</v>
      </c>
      <c r="I670" s="385">
        <v>0</v>
      </c>
      <c r="J670" s="384">
        <v>0</v>
      </c>
      <c r="K670" s="384">
        <v>0</v>
      </c>
      <c r="L670" s="384">
        <v>0</v>
      </c>
      <c r="M670" s="385">
        <v>0</v>
      </c>
      <c r="N670" s="385">
        <v>0</v>
      </c>
      <c r="O670" s="384">
        <v>0</v>
      </c>
      <c r="P670" s="384">
        <v>0</v>
      </c>
      <c r="Q670" s="385">
        <v>0</v>
      </c>
      <c r="R670" s="385">
        <v>0</v>
      </c>
      <c r="S670" s="385">
        <v>0</v>
      </c>
      <c r="T670" s="385">
        <v>0</v>
      </c>
      <c r="U670" s="385">
        <v>0</v>
      </c>
      <c r="V670"/>
      <c r="W670"/>
      <c r="X670"/>
      <c r="Y670"/>
    </row>
    <row r="671" spans="1:25" s="386" customFormat="1" ht="15.75">
      <c r="A671" s="684"/>
      <c r="B671" s="687" t="s">
        <v>1054</v>
      </c>
      <c r="C671" s="674">
        <v>12115</v>
      </c>
      <c r="D671" s="675">
        <v>3264</v>
      </c>
      <c r="E671" s="675">
        <v>8953</v>
      </c>
      <c r="F671" s="675">
        <v>811</v>
      </c>
      <c r="G671" s="675">
        <v>85</v>
      </c>
      <c r="H671" s="676">
        <v>5</v>
      </c>
      <c r="I671" s="676">
        <v>25233</v>
      </c>
      <c r="J671" s="675">
        <v>0</v>
      </c>
      <c r="K671" s="675">
        <v>0</v>
      </c>
      <c r="L671" s="675">
        <v>0</v>
      </c>
      <c r="M671" s="676">
        <v>0</v>
      </c>
      <c r="N671" s="676">
        <v>0</v>
      </c>
      <c r="O671" s="675"/>
      <c r="P671" s="675"/>
      <c r="Q671" s="676"/>
      <c r="R671" s="676"/>
      <c r="S671" s="676">
        <v>1515</v>
      </c>
      <c r="T671" s="676">
        <v>1515</v>
      </c>
      <c r="U671" s="676">
        <v>26748</v>
      </c>
      <c r="V671"/>
      <c r="W671"/>
      <c r="X671"/>
      <c r="Y671"/>
    </row>
    <row r="672" spans="1:25" ht="15.75">
      <c r="A672" s="684"/>
      <c r="B672" s="688" t="s">
        <v>1055</v>
      </c>
      <c r="C672" s="380">
        <v>12510</v>
      </c>
      <c r="D672" s="381">
        <v>3152</v>
      </c>
      <c r="E672" s="381">
        <v>10413</v>
      </c>
      <c r="F672" s="381">
        <v>934</v>
      </c>
      <c r="G672" s="381">
        <v>91</v>
      </c>
      <c r="H672" s="382">
        <v>11</v>
      </c>
      <c r="I672" s="382">
        <v>27111</v>
      </c>
      <c r="J672" s="381">
        <v>0</v>
      </c>
      <c r="K672" s="381">
        <v>0</v>
      </c>
      <c r="L672" s="381">
        <v>0</v>
      </c>
      <c r="M672" s="382">
        <v>0</v>
      </c>
      <c r="N672" s="382">
        <v>0</v>
      </c>
      <c r="O672" s="381"/>
      <c r="P672" s="381"/>
      <c r="Q672" s="382"/>
      <c r="R672" s="382"/>
      <c r="S672" s="382">
        <v>1451</v>
      </c>
      <c r="T672" s="382">
        <v>1451</v>
      </c>
      <c r="U672" s="382">
        <v>28562</v>
      </c>
      <c r="V672"/>
      <c r="W672"/>
      <c r="X672"/>
      <c r="Y672"/>
    </row>
    <row r="673" spans="1:25" ht="15.75">
      <c r="A673" s="684"/>
      <c r="B673" s="689" t="s">
        <v>1056</v>
      </c>
      <c r="C673" s="383">
        <v>3.2604209657449444E-2</v>
      </c>
      <c r="D673" s="384">
        <v>-3.4313725490196081E-2</v>
      </c>
      <c r="E673" s="692">
        <v>0.16307383000111694</v>
      </c>
      <c r="F673" s="384">
        <v>0.15166461159062886</v>
      </c>
      <c r="G673" s="384">
        <v>7.0588235294117646E-2</v>
      </c>
      <c r="H673" s="385">
        <v>1.2</v>
      </c>
      <c r="I673" s="385">
        <v>7.4426346451075973E-2</v>
      </c>
      <c r="J673" s="384">
        <v>0</v>
      </c>
      <c r="K673" s="384">
        <v>0</v>
      </c>
      <c r="L673" s="384">
        <v>0</v>
      </c>
      <c r="M673" s="385">
        <v>0</v>
      </c>
      <c r="N673" s="385">
        <v>0</v>
      </c>
      <c r="O673" s="384">
        <v>0</v>
      </c>
      <c r="P673" s="384">
        <v>0</v>
      </c>
      <c r="Q673" s="385">
        <v>0</v>
      </c>
      <c r="R673" s="385">
        <v>0</v>
      </c>
      <c r="S673" s="385">
        <v>-4.2244224422442245E-2</v>
      </c>
      <c r="T673" s="385">
        <v>-4.2244224422442245E-2</v>
      </c>
      <c r="U673" s="385">
        <v>6.7818154628383434E-2</v>
      </c>
      <c r="V673"/>
      <c r="W673"/>
      <c r="X673"/>
      <c r="Y673"/>
    </row>
    <row r="674" spans="1:25" s="386" customFormat="1" ht="15.75">
      <c r="A674" s="684"/>
      <c r="B674" s="687" t="s">
        <v>1057</v>
      </c>
      <c r="C674" s="674">
        <v>2442</v>
      </c>
      <c r="D674" s="675">
        <v>180</v>
      </c>
      <c r="E674" s="675">
        <v>260</v>
      </c>
      <c r="F674" s="675">
        <v>0</v>
      </c>
      <c r="G674" s="675">
        <v>0</v>
      </c>
      <c r="H674" s="676">
        <v>0</v>
      </c>
      <c r="I674" s="676">
        <v>2882</v>
      </c>
      <c r="J674" s="675">
        <v>0</v>
      </c>
      <c r="K674" s="675">
        <v>0</v>
      </c>
      <c r="L674" s="675">
        <v>0</v>
      </c>
      <c r="M674" s="676">
        <v>0</v>
      </c>
      <c r="N674" s="676">
        <v>0</v>
      </c>
      <c r="O674" s="675"/>
      <c r="P674" s="675"/>
      <c r="Q674" s="676"/>
      <c r="R674" s="676"/>
      <c r="S674" s="676">
        <v>334</v>
      </c>
      <c r="T674" s="676">
        <v>334</v>
      </c>
      <c r="U674" s="676">
        <v>3216</v>
      </c>
      <c r="V674"/>
      <c r="W674"/>
      <c r="X674"/>
      <c r="Y674"/>
    </row>
    <row r="675" spans="1:25" ht="15.75">
      <c r="A675" s="684"/>
      <c r="B675" s="688" t="s">
        <v>1058</v>
      </c>
      <c r="C675" s="380">
        <v>2214</v>
      </c>
      <c r="D675" s="381">
        <v>186</v>
      </c>
      <c r="E675" s="381">
        <v>264</v>
      </c>
      <c r="F675" s="381">
        <v>0</v>
      </c>
      <c r="G675" s="381">
        <v>0</v>
      </c>
      <c r="H675" s="382">
        <v>0</v>
      </c>
      <c r="I675" s="382">
        <v>2664</v>
      </c>
      <c r="J675" s="381">
        <v>0</v>
      </c>
      <c r="K675" s="381">
        <v>0</v>
      </c>
      <c r="L675" s="381">
        <v>0</v>
      </c>
      <c r="M675" s="382">
        <v>0</v>
      </c>
      <c r="N675" s="382">
        <v>0</v>
      </c>
      <c r="O675" s="381"/>
      <c r="P675" s="381"/>
      <c r="Q675" s="382"/>
      <c r="R675" s="382"/>
      <c r="S675" s="382">
        <v>419</v>
      </c>
      <c r="T675" s="382">
        <v>419</v>
      </c>
      <c r="U675" s="382">
        <v>3083</v>
      </c>
      <c r="V675"/>
      <c r="W675"/>
      <c r="X675"/>
      <c r="Y675"/>
    </row>
    <row r="676" spans="1:25" ht="15.75">
      <c r="A676" s="684"/>
      <c r="B676" s="689" t="s">
        <v>1059</v>
      </c>
      <c r="C676" s="383">
        <v>-9.3366093366093361E-2</v>
      </c>
      <c r="D676" s="384">
        <v>3.3333333333333333E-2</v>
      </c>
      <c r="E676" s="384">
        <v>1.5384615384615385E-2</v>
      </c>
      <c r="F676" s="384">
        <v>0</v>
      </c>
      <c r="G676" s="384">
        <v>0</v>
      </c>
      <c r="H676" s="385">
        <v>0</v>
      </c>
      <c r="I676" s="385">
        <v>-7.564191533657183E-2</v>
      </c>
      <c r="J676" s="384">
        <v>0</v>
      </c>
      <c r="K676" s="384">
        <v>0</v>
      </c>
      <c r="L676" s="384">
        <v>0</v>
      </c>
      <c r="M676" s="385">
        <v>0</v>
      </c>
      <c r="N676" s="385">
        <v>0</v>
      </c>
      <c r="O676" s="384">
        <v>0</v>
      </c>
      <c r="P676" s="384">
        <v>0</v>
      </c>
      <c r="Q676" s="385">
        <v>0</v>
      </c>
      <c r="R676" s="385">
        <v>0</v>
      </c>
      <c r="S676" s="385">
        <v>0.25449101796407186</v>
      </c>
      <c r="T676" s="385">
        <v>0.25449101796407186</v>
      </c>
      <c r="U676" s="385">
        <v>-4.1355721393034825E-2</v>
      </c>
      <c r="V676"/>
      <c r="W676"/>
      <c r="X676"/>
      <c r="Y676"/>
    </row>
    <row r="677" spans="1:25" s="386" customFormat="1" ht="15.75">
      <c r="A677" s="684"/>
      <c r="B677" s="687" t="s">
        <v>1060</v>
      </c>
      <c r="C677" s="674">
        <v>979</v>
      </c>
      <c r="D677" s="675"/>
      <c r="E677" s="675">
        <v>190</v>
      </c>
      <c r="F677" s="675"/>
      <c r="G677" s="675"/>
      <c r="H677" s="676"/>
      <c r="I677" s="676">
        <v>1169</v>
      </c>
      <c r="J677" s="675"/>
      <c r="K677" s="675"/>
      <c r="L677" s="675"/>
      <c r="M677" s="676"/>
      <c r="N677" s="676"/>
      <c r="O677" s="675"/>
      <c r="P677" s="675"/>
      <c r="Q677" s="676"/>
      <c r="R677" s="676"/>
      <c r="S677" s="676"/>
      <c r="T677" s="676"/>
      <c r="U677" s="676">
        <v>1169</v>
      </c>
      <c r="V677"/>
      <c r="W677"/>
      <c r="X677"/>
      <c r="Y677"/>
    </row>
    <row r="678" spans="1:25" ht="15.75">
      <c r="A678" s="684"/>
      <c r="B678" s="688" t="s">
        <v>1061</v>
      </c>
      <c r="C678" s="380">
        <v>929</v>
      </c>
      <c r="D678" s="381"/>
      <c r="E678" s="381">
        <v>192</v>
      </c>
      <c r="F678" s="381"/>
      <c r="G678" s="381"/>
      <c r="H678" s="382"/>
      <c r="I678" s="382">
        <v>1121</v>
      </c>
      <c r="J678" s="381"/>
      <c r="K678" s="381"/>
      <c r="L678" s="381"/>
      <c r="M678" s="382"/>
      <c r="N678" s="382"/>
      <c r="O678" s="381"/>
      <c r="P678" s="381"/>
      <c r="Q678" s="382"/>
      <c r="R678" s="382"/>
      <c r="S678" s="382"/>
      <c r="T678" s="382"/>
      <c r="U678" s="382">
        <v>1121</v>
      </c>
      <c r="V678"/>
      <c r="W678"/>
      <c r="X678"/>
      <c r="Y678"/>
    </row>
    <row r="679" spans="1:25" ht="15.75">
      <c r="A679" s="684"/>
      <c r="B679" s="689" t="s">
        <v>1062</v>
      </c>
      <c r="C679" s="383">
        <v>-5.1072522982635343E-2</v>
      </c>
      <c r="D679" s="384">
        <v>0</v>
      </c>
      <c r="E679" s="384">
        <v>1.0526315789473684E-2</v>
      </c>
      <c r="F679" s="384">
        <v>0</v>
      </c>
      <c r="G679" s="384">
        <v>0</v>
      </c>
      <c r="H679" s="385">
        <v>0</v>
      </c>
      <c r="I679" s="385">
        <v>-4.1060735671514116E-2</v>
      </c>
      <c r="J679" s="384">
        <v>0</v>
      </c>
      <c r="K679" s="384">
        <v>0</v>
      </c>
      <c r="L679" s="384">
        <v>0</v>
      </c>
      <c r="M679" s="385">
        <v>0</v>
      </c>
      <c r="N679" s="385">
        <v>0</v>
      </c>
      <c r="O679" s="384">
        <v>0</v>
      </c>
      <c r="P679" s="384">
        <v>0</v>
      </c>
      <c r="Q679" s="385">
        <v>0</v>
      </c>
      <c r="R679" s="385">
        <v>0</v>
      </c>
      <c r="S679" s="385">
        <v>0</v>
      </c>
      <c r="T679" s="385">
        <v>0</v>
      </c>
      <c r="U679" s="385">
        <v>-4.1060735671514116E-2</v>
      </c>
      <c r="V679"/>
      <c r="W679"/>
      <c r="X679"/>
      <c r="Y679"/>
    </row>
    <row r="680" spans="1:25" s="386" customFormat="1" ht="15.75">
      <c r="A680" s="684"/>
      <c r="B680" s="687" t="s">
        <v>1063</v>
      </c>
      <c r="C680" s="674"/>
      <c r="D680" s="675"/>
      <c r="E680" s="675"/>
      <c r="F680" s="675"/>
      <c r="G680" s="675"/>
      <c r="H680" s="676"/>
      <c r="I680" s="676"/>
      <c r="J680" s="675"/>
      <c r="K680" s="675"/>
      <c r="L680" s="675"/>
      <c r="M680" s="676"/>
      <c r="N680" s="676"/>
      <c r="O680" s="675"/>
      <c r="P680" s="675"/>
      <c r="Q680" s="676"/>
      <c r="R680" s="676"/>
      <c r="S680" s="676">
        <v>1017</v>
      </c>
      <c r="T680" s="676">
        <v>1017</v>
      </c>
      <c r="U680" s="676">
        <v>1017</v>
      </c>
      <c r="V680"/>
      <c r="W680"/>
      <c r="X680"/>
      <c r="Y680"/>
    </row>
    <row r="681" spans="1:25" ht="15.75">
      <c r="A681" s="684"/>
      <c r="B681" s="688" t="s">
        <v>1064</v>
      </c>
      <c r="C681" s="380"/>
      <c r="D681" s="381"/>
      <c r="E681" s="381"/>
      <c r="F681" s="381"/>
      <c r="G681" s="381"/>
      <c r="H681" s="382"/>
      <c r="I681" s="382"/>
      <c r="J681" s="381"/>
      <c r="K681" s="381"/>
      <c r="L681" s="381"/>
      <c r="M681" s="382"/>
      <c r="N681" s="382"/>
      <c r="O681" s="381"/>
      <c r="P681" s="381"/>
      <c r="Q681" s="382"/>
      <c r="R681" s="382"/>
      <c r="S681" s="382">
        <v>1022</v>
      </c>
      <c r="T681" s="382">
        <v>1022</v>
      </c>
      <c r="U681" s="382">
        <v>1022</v>
      </c>
      <c r="V681"/>
      <c r="W681"/>
      <c r="X681"/>
      <c r="Y681"/>
    </row>
    <row r="682" spans="1:25" ht="15.75">
      <c r="A682" s="684"/>
      <c r="B682" s="689" t="s">
        <v>1065</v>
      </c>
      <c r="C682" s="383">
        <v>0</v>
      </c>
      <c r="D682" s="384">
        <v>0</v>
      </c>
      <c r="E682" s="384">
        <v>0</v>
      </c>
      <c r="F682" s="384">
        <v>0</v>
      </c>
      <c r="G682" s="384">
        <v>0</v>
      </c>
      <c r="H682" s="385">
        <v>0</v>
      </c>
      <c r="I682" s="385">
        <v>0</v>
      </c>
      <c r="J682" s="384">
        <v>0</v>
      </c>
      <c r="K682" s="384">
        <v>0</v>
      </c>
      <c r="L682" s="384">
        <v>0</v>
      </c>
      <c r="M682" s="385">
        <v>0</v>
      </c>
      <c r="N682" s="385">
        <v>0</v>
      </c>
      <c r="O682" s="384">
        <v>0</v>
      </c>
      <c r="P682" s="384">
        <v>0</v>
      </c>
      <c r="Q682" s="385">
        <v>0</v>
      </c>
      <c r="R682" s="385">
        <v>0</v>
      </c>
      <c r="S682" s="385">
        <v>4.9164208456243851E-3</v>
      </c>
      <c r="T682" s="385">
        <v>4.9164208456243851E-3</v>
      </c>
      <c r="U682" s="385">
        <v>4.9164208456243851E-3</v>
      </c>
      <c r="V682"/>
      <c r="W682"/>
      <c r="X682"/>
      <c r="Y682"/>
    </row>
    <row r="683" spans="1:25" s="386" customFormat="1" ht="15.75">
      <c r="A683" s="684"/>
      <c r="B683" s="687" t="s">
        <v>1066</v>
      </c>
      <c r="C683" s="674"/>
      <c r="D683" s="675"/>
      <c r="E683" s="675"/>
      <c r="F683" s="675"/>
      <c r="G683" s="675"/>
      <c r="H683" s="676"/>
      <c r="I683" s="676"/>
      <c r="J683" s="675"/>
      <c r="K683" s="675"/>
      <c r="L683" s="675"/>
      <c r="M683" s="676"/>
      <c r="N683" s="676"/>
      <c r="O683" s="675"/>
      <c r="P683" s="675"/>
      <c r="Q683" s="676"/>
      <c r="R683" s="676"/>
      <c r="S683" s="676">
        <v>229</v>
      </c>
      <c r="T683" s="676">
        <v>229</v>
      </c>
      <c r="U683" s="676">
        <v>229</v>
      </c>
      <c r="V683"/>
      <c r="W683"/>
      <c r="X683"/>
      <c r="Y683"/>
    </row>
    <row r="684" spans="1:25" ht="15.75">
      <c r="A684" s="684"/>
      <c r="B684" s="688" t="s">
        <v>1067</v>
      </c>
      <c r="C684" s="380"/>
      <c r="D684" s="381"/>
      <c r="E684" s="381"/>
      <c r="F684" s="381"/>
      <c r="G684" s="381"/>
      <c r="H684" s="382"/>
      <c r="I684" s="382"/>
      <c r="J684" s="381"/>
      <c r="K684" s="381"/>
      <c r="L684" s="381"/>
      <c r="M684" s="382"/>
      <c r="N684" s="382"/>
      <c r="O684" s="381"/>
      <c r="P684" s="381"/>
      <c r="Q684" s="382"/>
      <c r="R684" s="382"/>
      <c r="S684" s="382">
        <v>254</v>
      </c>
      <c r="T684" s="382">
        <v>254</v>
      </c>
      <c r="U684" s="382">
        <v>254</v>
      </c>
      <c r="V684"/>
      <c r="W684"/>
      <c r="X684"/>
      <c r="Y684"/>
    </row>
    <row r="685" spans="1:25" ht="15.75">
      <c r="A685" s="684"/>
      <c r="B685" s="689" t="s">
        <v>1068</v>
      </c>
      <c r="C685" s="383">
        <v>0</v>
      </c>
      <c r="D685" s="384">
        <v>0</v>
      </c>
      <c r="E685" s="384">
        <v>0</v>
      </c>
      <c r="F685" s="384">
        <v>0</v>
      </c>
      <c r="G685" s="384">
        <v>0</v>
      </c>
      <c r="H685" s="385">
        <v>0</v>
      </c>
      <c r="I685" s="385">
        <v>0</v>
      </c>
      <c r="J685" s="384">
        <v>0</v>
      </c>
      <c r="K685" s="384">
        <v>0</v>
      </c>
      <c r="L685" s="384">
        <v>0</v>
      </c>
      <c r="M685" s="385">
        <v>0</v>
      </c>
      <c r="N685" s="385">
        <v>0</v>
      </c>
      <c r="O685" s="384">
        <v>0</v>
      </c>
      <c r="P685" s="384">
        <v>0</v>
      </c>
      <c r="Q685" s="385">
        <v>0</v>
      </c>
      <c r="R685" s="385">
        <v>0</v>
      </c>
      <c r="S685" s="385">
        <v>0.1091703056768559</v>
      </c>
      <c r="T685" s="385">
        <v>0.1091703056768559</v>
      </c>
      <c r="U685" s="385">
        <v>0.1091703056768559</v>
      </c>
      <c r="V685"/>
      <c r="W685"/>
      <c r="X685"/>
      <c r="Y685"/>
    </row>
    <row r="686" spans="1:25" s="386" customFormat="1" ht="15.75">
      <c r="A686" s="684"/>
      <c r="B686" s="687" t="s">
        <v>1069</v>
      </c>
      <c r="C686" s="674">
        <v>248</v>
      </c>
      <c r="D686" s="675"/>
      <c r="E686" s="675">
        <v>118</v>
      </c>
      <c r="F686" s="675"/>
      <c r="G686" s="675"/>
      <c r="H686" s="676"/>
      <c r="I686" s="676">
        <v>366</v>
      </c>
      <c r="J686" s="675"/>
      <c r="K686" s="675"/>
      <c r="L686" s="675"/>
      <c r="M686" s="676"/>
      <c r="N686" s="676"/>
      <c r="O686" s="675"/>
      <c r="P686" s="675"/>
      <c r="Q686" s="676"/>
      <c r="R686" s="676"/>
      <c r="S686" s="676">
        <v>84</v>
      </c>
      <c r="T686" s="676">
        <v>84</v>
      </c>
      <c r="U686" s="676">
        <v>450</v>
      </c>
      <c r="V686"/>
      <c r="W686"/>
      <c r="X686"/>
      <c r="Y686"/>
    </row>
    <row r="687" spans="1:25" ht="15.75">
      <c r="A687" s="684"/>
      <c r="B687" s="688" t="s">
        <v>1070</v>
      </c>
      <c r="C687" s="380">
        <v>244</v>
      </c>
      <c r="D687" s="381"/>
      <c r="E687" s="381">
        <v>122</v>
      </c>
      <c r="F687" s="381"/>
      <c r="G687" s="381"/>
      <c r="H687" s="382"/>
      <c r="I687" s="382">
        <v>366</v>
      </c>
      <c r="J687" s="381"/>
      <c r="K687" s="381"/>
      <c r="L687" s="381"/>
      <c r="M687" s="382"/>
      <c r="N687" s="382"/>
      <c r="O687" s="381"/>
      <c r="P687" s="381"/>
      <c r="Q687" s="382"/>
      <c r="R687" s="382"/>
      <c r="S687" s="382">
        <v>81</v>
      </c>
      <c r="T687" s="382">
        <v>81</v>
      </c>
      <c r="U687" s="382">
        <v>447</v>
      </c>
      <c r="V687"/>
      <c r="W687"/>
      <c r="X687"/>
      <c r="Y687"/>
    </row>
    <row r="688" spans="1:25" ht="15.75">
      <c r="A688" s="684"/>
      <c r="B688" s="689" t="s">
        <v>1071</v>
      </c>
      <c r="C688" s="383">
        <v>-1.6129032258064516E-2</v>
      </c>
      <c r="D688" s="384">
        <v>0</v>
      </c>
      <c r="E688" s="384">
        <v>3.3898305084745763E-2</v>
      </c>
      <c r="F688" s="384">
        <v>0</v>
      </c>
      <c r="G688" s="384">
        <v>0</v>
      </c>
      <c r="H688" s="385">
        <v>0</v>
      </c>
      <c r="I688" s="385">
        <v>0</v>
      </c>
      <c r="J688" s="384">
        <v>0</v>
      </c>
      <c r="K688" s="384">
        <v>0</v>
      </c>
      <c r="L688" s="384">
        <v>0</v>
      </c>
      <c r="M688" s="385">
        <v>0</v>
      </c>
      <c r="N688" s="385">
        <v>0</v>
      </c>
      <c r="O688" s="384">
        <v>0</v>
      </c>
      <c r="P688" s="384">
        <v>0</v>
      </c>
      <c r="Q688" s="385">
        <v>0</v>
      </c>
      <c r="R688" s="385">
        <v>0</v>
      </c>
      <c r="S688" s="385">
        <v>-3.5714285714285712E-2</v>
      </c>
      <c r="T688" s="385">
        <v>-3.5714285714285712E-2</v>
      </c>
      <c r="U688" s="385">
        <v>-6.6666666666666671E-3</v>
      </c>
      <c r="V688"/>
      <c r="W688"/>
      <c r="X688"/>
      <c r="Y688"/>
    </row>
    <row r="689" spans="1:25" s="386" customFormat="1" ht="15.75">
      <c r="A689" s="684"/>
      <c r="B689" s="687" t="s">
        <v>1072</v>
      </c>
      <c r="C689" s="674"/>
      <c r="D689" s="675"/>
      <c r="E689" s="675"/>
      <c r="F689" s="675"/>
      <c r="G689" s="675"/>
      <c r="H689" s="676"/>
      <c r="I689" s="676"/>
      <c r="J689" s="675"/>
      <c r="K689" s="675"/>
      <c r="L689" s="675"/>
      <c r="M689" s="676"/>
      <c r="N689" s="676"/>
      <c r="O689" s="675"/>
      <c r="P689" s="675"/>
      <c r="Q689" s="676"/>
      <c r="R689" s="676"/>
      <c r="S689" s="676"/>
      <c r="T689" s="676"/>
      <c r="U689" s="676"/>
      <c r="V689"/>
      <c r="W689"/>
      <c r="X689"/>
      <c r="Y689"/>
    </row>
    <row r="690" spans="1:25" ht="15.75">
      <c r="A690" s="684"/>
      <c r="B690" s="688" t="s">
        <v>1073</v>
      </c>
      <c r="C690" s="380"/>
      <c r="D690" s="381"/>
      <c r="E690" s="381"/>
      <c r="F690" s="381"/>
      <c r="G690" s="381"/>
      <c r="H690" s="382"/>
      <c r="I690" s="382"/>
      <c r="J690" s="381"/>
      <c r="K690" s="381"/>
      <c r="L690" s="381"/>
      <c r="M690" s="382"/>
      <c r="N690" s="382"/>
      <c r="O690" s="381"/>
      <c r="P690" s="381"/>
      <c r="Q690" s="382"/>
      <c r="R690" s="382"/>
      <c r="S690" s="382"/>
      <c r="T690" s="382"/>
      <c r="U690" s="382"/>
      <c r="V690"/>
      <c r="W690"/>
      <c r="X690"/>
      <c r="Y690"/>
    </row>
    <row r="691" spans="1:25" ht="15.75">
      <c r="A691" s="684"/>
      <c r="B691" s="689" t="s">
        <v>1074</v>
      </c>
      <c r="C691" s="383">
        <v>0</v>
      </c>
      <c r="D691" s="384">
        <v>0</v>
      </c>
      <c r="E691" s="384">
        <v>0</v>
      </c>
      <c r="F691" s="384">
        <v>0</v>
      </c>
      <c r="G691" s="384">
        <v>0</v>
      </c>
      <c r="H691" s="385">
        <v>0</v>
      </c>
      <c r="I691" s="385">
        <v>0</v>
      </c>
      <c r="J691" s="384">
        <v>0</v>
      </c>
      <c r="K691" s="384">
        <v>0</v>
      </c>
      <c r="L691" s="384">
        <v>0</v>
      </c>
      <c r="M691" s="385">
        <v>0</v>
      </c>
      <c r="N691" s="385">
        <v>0</v>
      </c>
      <c r="O691" s="384">
        <v>0</v>
      </c>
      <c r="P691" s="384">
        <v>0</v>
      </c>
      <c r="Q691" s="385">
        <v>0</v>
      </c>
      <c r="R691" s="385">
        <v>0</v>
      </c>
      <c r="S691" s="385">
        <v>0</v>
      </c>
      <c r="T691" s="385">
        <v>0</v>
      </c>
      <c r="U691" s="385">
        <v>0</v>
      </c>
      <c r="V691"/>
      <c r="W691"/>
      <c r="X691"/>
      <c r="Y691"/>
    </row>
    <row r="692" spans="1:25" s="386" customFormat="1" ht="15.75">
      <c r="A692" s="684"/>
      <c r="B692" s="687" t="s">
        <v>1075</v>
      </c>
      <c r="C692" s="674">
        <v>100</v>
      </c>
      <c r="D692" s="675"/>
      <c r="E692" s="675"/>
      <c r="F692" s="675"/>
      <c r="G692" s="675"/>
      <c r="H692" s="676"/>
      <c r="I692" s="676">
        <v>100</v>
      </c>
      <c r="J692" s="675"/>
      <c r="K692" s="675"/>
      <c r="L692" s="675"/>
      <c r="M692" s="676"/>
      <c r="N692" s="676"/>
      <c r="O692" s="675"/>
      <c r="P692" s="675"/>
      <c r="Q692" s="676"/>
      <c r="R692" s="676"/>
      <c r="S692" s="676"/>
      <c r="T692" s="676"/>
      <c r="U692" s="676">
        <v>100</v>
      </c>
      <c r="V692"/>
      <c r="W692"/>
      <c r="X692"/>
      <c r="Y692"/>
    </row>
    <row r="693" spans="1:25" ht="15.75">
      <c r="A693" s="684"/>
      <c r="B693" s="688" t="s">
        <v>1076</v>
      </c>
      <c r="C693" s="380">
        <v>87</v>
      </c>
      <c r="D693" s="381"/>
      <c r="E693" s="381"/>
      <c r="F693" s="381"/>
      <c r="G693" s="381"/>
      <c r="H693" s="382"/>
      <c r="I693" s="382">
        <v>87</v>
      </c>
      <c r="J693" s="381"/>
      <c r="K693" s="381"/>
      <c r="L693" s="381"/>
      <c r="M693" s="382"/>
      <c r="N693" s="382"/>
      <c r="O693" s="381"/>
      <c r="P693" s="381"/>
      <c r="Q693" s="382"/>
      <c r="R693" s="382"/>
      <c r="S693" s="382"/>
      <c r="T693" s="382"/>
      <c r="U693" s="382">
        <v>87</v>
      </c>
      <c r="V693"/>
      <c r="W693"/>
      <c r="X693"/>
      <c r="Y693"/>
    </row>
    <row r="694" spans="1:25" ht="15.75">
      <c r="A694" s="684"/>
      <c r="B694" s="689" t="s">
        <v>1077</v>
      </c>
      <c r="C694" s="383">
        <v>-0.13</v>
      </c>
      <c r="D694" s="384">
        <v>0</v>
      </c>
      <c r="E694" s="384">
        <v>0</v>
      </c>
      <c r="F694" s="384">
        <v>0</v>
      </c>
      <c r="G694" s="384">
        <v>0</v>
      </c>
      <c r="H694" s="385">
        <v>0</v>
      </c>
      <c r="I694" s="385">
        <v>-0.13</v>
      </c>
      <c r="J694" s="384">
        <v>0</v>
      </c>
      <c r="K694" s="384">
        <v>0</v>
      </c>
      <c r="L694" s="384">
        <v>0</v>
      </c>
      <c r="M694" s="385">
        <v>0</v>
      </c>
      <c r="N694" s="385">
        <v>0</v>
      </c>
      <c r="O694" s="384">
        <v>0</v>
      </c>
      <c r="P694" s="384">
        <v>0</v>
      </c>
      <c r="Q694" s="385">
        <v>0</v>
      </c>
      <c r="R694" s="385">
        <v>0</v>
      </c>
      <c r="S694" s="385">
        <v>0</v>
      </c>
      <c r="T694" s="385">
        <v>0</v>
      </c>
      <c r="U694" s="385">
        <v>-0.13</v>
      </c>
      <c r="V694"/>
      <c r="W694"/>
      <c r="X694"/>
      <c r="Y694"/>
    </row>
    <row r="695" spans="1:25" s="386" customFormat="1" ht="15.75">
      <c r="A695" s="684"/>
      <c r="B695" s="687" t="s">
        <v>1078</v>
      </c>
      <c r="C695" s="674"/>
      <c r="D695" s="675"/>
      <c r="E695" s="675"/>
      <c r="F695" s="675"/>
      <c r="G695" s="675"/>
      <c r="H695" s="676"/>
      <c r="I695" s="676"/>
      <c r="J695" s="675"/>
      <c r="K695" s="675"/>
      <c r="L695" s="675"/>
      <c r="M695" s="676"/>
      <c r="N695" s="676"/>
      <c r="O695" s="675"/>
      <c r="P695" s="675"/>
      <c r="Q695" s="676"/>
      <c r="R695" s="676"/>
      <c r="S695" s="676">
        <v>128</v>
      </c>
      <c r="T695" s="676">
        <v>128</v>
      </c>
      <c r="U695" s="676">
        <v>128</v>
      </c>
      <c r="V695"/>
      <c r="W695"/>
      <c r="X695"/>
      <c r="Y695"/>
    </row>
    <row r="696" spans="1:25" ht="15.75">
      <c r="A696" s="684"/>
      <c r="B696" s="688" t="s">
        <v>1079</v>
      </c>
      <c r="C696" s="380"/>
      <c r="D696" s="381"/>
      <c r="E696" s="381"/>
      <c r="F696" s="381"/>
      <c r="G696" s="381"/>
      <c r="H696" s="382"/>
      <c r="I696" s="382"/>
      <c r="J696" s="381"/>
      <c r="K696" s="381"/>
      <c r="L696" s="381"/>
      <c r="M696" s="382"/>
      <c r="N696" s="382"/>
      <c r="O696" s="381"/>
      <c r="P696" s="381"/>
      <c r="Q696" s="382"/>
      <c r="R696" s="382"/>
      <c r="S696" s="382">
        <v>128</v>
      </c>
      <c r="T696" s="382">
        <v>128</v>
      </c>
      <c r="U696" s="382">
        <v>128</v>
      </c>
      <c r="V696"/>
      <c r="W696"/>
      <c r="X696"/>
      <c r="Y696"/>
    </row>
    <row r="697" spans="1:25" ht="15.75">
      <c r="A697" s="684"/>
      <c r="B697" s="689" t="s">
        <v>1080</v>
      </c>
      <c r="C697" s="383">
        <v>0</v>
      </c>
      <c r="D697" s="384">
        <v>0</v>
      </c>
      <c r="E697" s="384">
        <v>0</v>
      </c>
      <c r="F697" s="384">
        <v>0</v>
      </c>
      <c r="G697" s="384">
        <v>0</v>
      </c>
      <c r="H697" s="385">
        <v>0</v>
      </c>
      <c r="I697" s="385">
        <v>0</v>
      </c>
      <c r="J697" s="384">
        <v>0</v>
      </c>
      <c r="K697" s="384">
        <v>0</v>
      </c>
      <c r="L697" s="384">
        <v>0</v>
      </c>
      <c r="M697" s="385">
        <v>0</v>
      </c>
      <c r="N697" s="385">
        <v>0</v>
      </c>
      <c r="O697" s="384">
        <v>0</v>
      </c>
      <c r="P697" s="384">
        <v>0</v>
      </c>
      <c r="Q697" s="385">
        <v>0</v>
      </c>
      <c r="R697" s="385">
        <v>0</v>
      </c>
      <c r="S697" s="385">
        <v>0</v>
      </c>
      <c r="T697" s="385">
        <v>0</v>
      </c>
      <c r="U697" s="385">
        <v>0</v>
      </c>
      <c r="V697"/>
      <c r="W697"/>
      <c r="X697"/>
      <c r="Y697"/>
    </row>
    <row r="698" spans="1:25" s="386" customFormat="1" ht="15.75">
      <c r="A698" s="684"/>
      <c r="B698" s="687" t="s">
        <v>1081</v>
      </c>
      <c r="C698" s="674">
        <v>129</v>
      </c>
      <c r="D698" s="675"/>
      <c r="E698" s="675"/>
      <c r="F698" s="675"/>
      <c r="G698" s="675"/>
      <c r="H698" s="676"/>
      <c r="I698" s="676">
        <v>129</v>
      </c>
      <c r="J698" s="675"/>
      <c r="K698" s="675"/>
      <c r="L698" s="675"/>
      <c r="M698" s="676"/>
      <c r="N698" s="676"/>
      <c r="O698" s="675"/>
      <c r="P698" s="675"/>
      <c r="Q698" s="676"/>
      <c r="R698" s="676"/>
      <c r="S698" s="676"/>
      <c r="T698" s="676"/>
      <c r="U698" s="676">
        <v>129</v>
      </c>
      <c r="V698"/>
      <c r="W698"/>
      <c r="X698"/>
      <c r="Y698"/>
    </row>
    <row r="699" spans="1:25" ht="15.75">
      <c r="A699" s="684"/>
      <c r="B699" s="688" t="s">
        <v>1082</v>
      </c>
      <c r="C699" s="380">
        <v>119</v>
      </c>
      <c r="D699" s="381"/>
      <c r="E699" s="381"/>
      <c r="F699" s="381"/>
      <c r="G699" s="381"/>
      <c r="H699" s="382"/>
      <c r="I699" s="382">
        <v>119</v>
      </c>
      <c r="J699" s="381"/>
      <c r="K699" s="381"/>
      <c r="L699" s="381"/>
      <c r="M699" s="382"/>
      <c r="N699" s="382"/>
      <c r="O699" s="381"/>
      <c r="P699" s="381"/>
      <c r="Q699" s="382"/>
      <c r="R699" s="382"/>
      <c r="S699" s="382"/>
      <c r="T699" s="382"/>
      <c r="U699" s="382">
        <v>119</v>
      </c>
      <c r="V699"/>
      <c r="W699"/>
      <c r="X699"/>
      <c r="Y699"/>
    </row>
    <row r="700" spans="1:25" ht="15.75">
      <c r="A700" s="684"/>
      <c r="B700" s="689" t="s">
        <v>1083</v>
      </c>
      <c r="C700" s="383">
        <v>-7.7519379844961239E-2</v>
      </c>
      <c r="D700" s="384">
        <v>0</v>
      </c>
      <c r="E700" s="384">
        <v>0</v>
      </c>
      <c r="F700" s="384">
        <v>0</v>
      </c>
      <c r="G700" s="384">
        <v>0</v>
      </c>
      <c r="H700" s="385">
        <v>0</v>
      </c>
      <c r="I700" s="385">
        <v>-7.7519379844961239E-2</v>
      </c>
      <c r="J700" s="384">
        <v>0</v>
      </c>
      <c r="K700" s="384">
        <v>0</v>
      </c>
      <c r="L700" s="384">
        <v>0</v>
      </c>
      <c r="M700" s="385">
        <v>0</v>
      </c>
      <c r="N700" s="385">
        <v>0</v>
      </c>
      <c r="O700" s="384">
        <v>0</v>
      </c>
      <c r="P700" s="384">
        <v>0</v>
      </c>
      <c r="Q700" s="385">
        <v>0</v>
      </c>
      <c r="R700" s="385">
        <v>0</v>
      </c>
      <c r="S700" s="385">
        <v>0</v>
      </c>
      <c r="T700" s="385">
        <v>0</v>
      </c>
      <c r="U700" s="385">
        <v>-7.7519379844961239E-2</v>
      </c>
      <c r="V700"/>
      <c r="W700"/>
      <c r="X700"/>
      <c r="Y700"/>
    </row>
    <row r="701" spans="1:25" s="386" customFormat="1" ht="15.75">
      <c r="A701" s="684"/>
      <c r="B701" s="687" t="s">
        <v>1084</v>
      </c>
      <c r="C701" s="674"/>
      <c r="D701" s="675"/>
      <c r="E701" s="675"/>
      <c r="F701" s="675"/>
      <c r="G701" s="675"/>
      <c r="H701" s="676"/>
      <c r="I701" s="676"/>
      <c r="J701" s="675"/>
      <c r="K701" s="675"/>
      <c r="L701" s="675"/>
      <c r="M701" s="676"/>
      <c r="N701" s="676"/>
      <c r="O701" s="675"/>
      <c r="P701" s="675"/>
      <c r="Q701" s="676"/>
      <c r="R701" s="676"/>
      <c r="S701" s="676"/>
      <c r="T701" s="676"/>
      <c r="U701" s="676"/>
      <c r="V701"/>
      <c r="W701"/>
      <c r="X701"/>
      <c r="Y701"/>
    </row>
    <row r="702" spans="1:25" ht="15.75">
      <c r="A702" s="684"/>
      <c r="B702" s="688" t="s">
        <v>1085</v>
      </c>
      <c r="C702" s="380"/>
      <c r="D702" s="381"/>
      <c r="E702" s="381"/>
      <c r="F702" s="381"/>
      <c r="G702" s="381"/>
      <c r="H702" s="382"/>
      <c r="I702" s="382"/>
      <c r="J702" s="381"/>
      <c r="K702" s="381"/>
      <c r="L702" s="381"/>
      <c r="M702" s="382"/>
      <c r="N702" s="382"/>
      <c r="O702" s="381"/>
      <c r="P702" s="381"/>
      <c r="Q702" s="382"/>
      <c r="R702" s="382"/>
      <c r="S702" s="382"/>
      <c r="T702" s="382"/>
      <c r="U702" s="382"/>
      <c r="V702"/>
      <c r="W702"/>
      <c r="X702"/>
      <c r="Y702"/>
    </row>
    <row r="703" spans="1:25" ht="15.75">
      <c r="A703" s="684"/>
      <c r="B703" s="689" t="s">
        <v>1086</v>
      </c>
      <c r="C703" s="383">
        <v>0</v>
      </c>
      <c r="D703" s="384">
        <v>0</v>
      </c>
      <c r="E703" s="384">
        <v>0</v>
      </c>
      <c r="F703" s="384">
        <v>0</v>
      </c>
      <c r="G703" s="384">
        <v>0</v>
      </c>
      <c r="H703" s="385">
        <v>0</v>
      </c>
      <c r="I703" s="385">
        <v>0</v>
      </c>
      <c r="J703" s="384">
        <v>0</v>
      </c>
      <c r="K703" s="384">
        <v>0</v>
      </c>
      <c r="L703" s="384">
        <v>0</v>
      </c>
      <c r="M703" s="385">
        <v>0</v>
      </c>
      <c r="N703" s="385">
        <v>0</v>
      </c>
      <c r="O703" s="384">
        <v>0</v>
      </c>
      <c r="P703" s="384">
        <v>0</v>
      </c>
      <c r="Q703" s="385">
        <v>0</v>
      </c>
      <c r="R703" s="385">
        <v>0</v>
      </c>
      <c r="S703" s="385">
        <v>0</v>
      </c>
      <c r="T703" s="385">
        <v>0</v>
      </c>
      <c r="U703" s="385">
        <v>0</v>
      </c>
      <c r="V703"/>
      <c r="W703"/>
      <c r="X703"/>
      <c r="Y703"/>
    </row>
    <row r="704" spans="1:25" s="386" customFormat="1" ht="15.75">
      <c r="A704" s="684"/>
      <c r="B704" s="687" t="s">
        <v>1248</v>
      </c>
      <c r="C704" s="674">
        <v>16</v>
      </c>
      <c r="D704" s="675">
        <v>0</v>
      </c>
      <c r="E704" s="675">
        <v>4</v>
      </c>
      <c r="F704" s="675"/>
      <c r="G704" s="675"/>
      <c r="H704" s="676"/>
      <c r="I704" s="676">
        <v>20</v>
      </c>
      <c r="J704" s="675"/>
      <c r="K704" s="675"/>
      <c r="L704" s="675"/>
      <c r="M704" s="676"/>
      <c r="N704" s="676"/>
      <c r="O704" s="675"/>
      <c r="P704" s="675"/>
      <c r="Q704" s="676"/>
      <c r="R704" s="676"/>
      <c r="S704" s="676"/>
      <c r="T704" s="676"/>
      <c r="U704" s="676">
        <v>20</v>
      </c>
      <c r="V704"/>
      <c r="W704"/>
      <c r="X704"/>
      <c r="Y704"/>
    </row>
    <row r="705" spans="1:25" ht="15.75">
      <c r="A705" s="685"/>
      <c r="B705" s="690" t="s">
        <v>1250</v>
      </c>
      <c r="C705" s="576">
        <v>20</v>
      </c>
      <c r="D705" s="577">
        <v>0</v>
      </c>
      <c r="E705" s="577">
        <v>7</v>
      </c>
      <c r="F705" s="577"/>
      <c r="G705" s="577"/>
      <c r="H705" s="578"/>
      <c r="I705" s="578">
        <v>27</v>
      </c>
      <c r="J705" s="577"/>
      <c r="K705" s="577"/>
      <c r="L705" s="577"/>
      <c r="M705" s="578"/>
      <c r="N705" s="578"/>
      <c r="O705" s="577"/>
      <c r="P705" s="577"/>
      <c r="Q705" s="578"/>
      <c r="R705" s="578"/>
      <c r="S705" s="578"/>
      <c r="T705" s="578"/>
      <c r="U705" s="578">
        <v>27</v>
      </c>
      <c r="V705"/>
      <c r="W705"/>
      <c r="X705"/>
      <c r="Y705"/>
    </row>
    <row r="706" spans="1:25" ht="15.75">
      <c r="A706" s="683" t="s">
        <v>347</v>
      </c>
      <c r="B706" s="687" t="s">
        <v>1039</v>
      </c>
      <c r="C706" s="674"/>
      <c r="D706" s="675"/>
      <c r="E706" s="675"/>
      <c r="F706" s="675"/>
      <c r="G706" s="675"/>
      <c r="H706" s="676"/>
      <c r="I706" s="676"/>
      <c r="J706" s="675"/>
      <c r="K706" s="675">
        <v>1374</v>
      </c>
      <c r="L706" s="675">
        <v>2309</v>
      </c>
      <c r="M706" s="676">
        <v>1203</v>
      </c>
      <c r="N706" s="676">
        <v>4886</v>
      </c>
      <c r="O706" s="675"/>
      <c r="P706" s="675"/>
      <c r="Q706" s="676"/>
      <c r="R706" s="676"/>
      <c r="S706" s="676"/>
      <c r="T706" s="676"/>
      <c r="U706" s="676">
        <v>4886</v>
      </c>
      <c r="V706"/>
      <c r="W706"/>
      <c r="X706"/>
      <c r="Y706"/>
    </row>
    <row r="707" spans="1:25" s="386" customFormat="1" ht="15.75">
      <c r="A707" s="684"/>
      <c r="B707" s="688" t="s">
        <v>1040</v>
      </c>
      <c r="C707" s="380"/>
      <c r="D707" s="381"/>
      <c r="E707" s="381"/>
      <c r="F707" s="381"/>
      <c r="G707" s="381"/>
      <c r="H707" s="382"/>
      <c r="I707" s="382"/>
      <c r="J707" s="381"/>
      <c r="K707" s="381">
        <v>1517</v>
      </c>
      <c r="L707" s="381">
        <v>2588</v>
      </c>
      <c r="M707" s="382">
        <v>1291</v>
      </c>
      <c r="N707" s="382">
        <v>5396</v>
      </c>
      <c r="O707" s="381"/>
      <c r="P707" s="381"/>
      <c r="Q707" s="382"/>
      <c r="R707" s="382"/>
      <c r="S707" s="382"/>
      <c r="T707" s="382"/>
      <c r="U707" s="382">
        <v>5396</v>
      </c>
      <c r="V707"/>
      <c r="W707"/>
      <c r="X707"/>
      <c r="Y707"/>
    </row>
    <row r="708" spans="1:25" ht="15.75">
      <c r="A708" s="684"/>
      <c r="B708" s="689" t="s">
        <v>1041</v>
      </c>
      <c r="C708" s="383">
        <v>0</v>
      </c>
      <c r="D708" s="384">
        <v>0</v>
      </c>
      <c r="E708" s="384">
        <v>0</v>
      </c>
      <c r="F708" s="384">
        <v>0</v>
      </c>
      <c r="G708" s="384">
        <v>0</v>
      </c>
      <c r="H708" s="385">
        <v>0</v>
      </c>
      <c r="I708" s="385">
        <v>0</v>
      </c>
      <c r="J708" s="384">
        <v>0</v>
      </c>
      <c r="K708" s="384">
        <v>0.10407569141193596</v>
      </c>
      <c r="L708" s="384">
        <v>0.12083152880034648</v>
      </c>
      <c r="M708" s="385">
        <v>7.315045719035744E-2</v>
      </c>
      <c r="N708" s="385">
        <v>0.10437986082685223</v>
      </c>
      <c r="O708" s="384">
        <v>0</v>
      </c>
      <c r="P708" s="384">
        <v>0</v>
      </c>
      <c r="Q708" s="385">
        <v>0</v>
      </c>
      <c r="R708" s="385">
        <v>0</v>
      </c>
      <c r="S708" s="385">
        <v>0</v>
      </c>
      <c r="T708" s="385">
        <v>0</v>
      </c>
      <c r="U708" s="385">
        <v>0.10437986082685223</v>
      </c>
      <c r="V708"/>
      <c r="W708"/>
      <c r="X708"/>
      <c r="Y708"/>
    </row>
    <row r="709" spans="1:25" ht="15.75">
      <c r="A709" s="684"/>
      <c r="B709" s="687" t="s">
        <v>1042</v>
      </c>
      <c r="C709" s="674"/>
      <c r="D709" s="675"/>
      <c r="E709" s="675"/>
      <c r="F709" s="675"/>
      <c r="G709" s="675"/>
      <c r="H709" s="676"/>
      <c r="I709" s="676"/>
      <c r="J709" s="675"/>
      <c r="K709" s="675"/>
      <c r="L709" s="675"/>
      <c r="M709" s="676"/>
      <c r="N709" s="676"/>
      <c r="O709" s="675"/>
      <c r="P709" s="675"/>
      <c r="Q709" s="676"/>
      <c r="R709" s="676"/>
      <c r="S709" s="676"/>
      <c r="T709" s="676"/>
      <c r="U709" s="676"/>
      <c r="V709"/>
      <c r="W709"/>
      <c r="X709"/>
      <c r="Y709"/>
    </row>
    <row r="710" spans="1:25" s="386" customFormat="1" ht="15.75">
      <c r="A710" s="684"/>
      <c r="B710" s="688" t="s">
        <v>1043</v>
      </c>
      <c r="C710" s="380"/>
      <c r="D710" s="381"/>
      <c r="E710" s="381"/>
      <c r="F710" s="381"/>
      <c r="G710" s="381"/>
      <c r="H710" s="382"/>
      <c r="I710" s="382"/>
      <c r="J710" s="381"/>
      <c r="K710" s="381"/>
      <c r="L710" s="381"/>
      <c r="M710" s="382"/>
      <c r="N710" s="382"/>
      <c r="O710" s="381"/>
      <c r="P710" s="381"/>
      <c r="Q710" s="382"/>
      <c r="R710" s="382"/>
      <c r="S710" s="382"/>
      <c r="T710" s="382"/>
      <c r="U710" s="382"/>
      <c r="V710"/>
      <c r="W710"/>
      <c r="X710"/>
      <c r="Y710"/>
    </row>
    <row r="711" spans="1:25" ht="15.75">
      <c r="A711" s="684"/>
      <c r="B711" s="689" t="s">
        <v>1044</v>
      </c>
      <c r="C711" s="383">
        <v>0</v>
      </c>
      <c r="D711" s="384">
        <v>0</v>
      </c>
      <c r="E711" s="384">
        <v>0</v>
      </c>
      <c r="F711" s="384">
        <v>0</v>
      </c>
      <c r="G711" s="384">
        <v>0</v>
      </c>
      <c r="H711" s="385">
        <v>0</v>
      </c>
      <c r="I711" s="385">
        <v>0</v>
      </c>
      <c r="J711" s="384">
        <v>0</v>
      </c>
      <c r="K711" s="384">
        <v>0</v>
      </c>
      <c r="L711" s="384">
        <v>0</v>
      </c>
      <c r="M711" s="385">
        <v>0</v>
      </c>
      <c r="N711" s="385">
        <v>0</v>
      </c>
      <c r="O711" s="384">
        <v>0</v>
      </c>
      <c r="P711" s="384">
        <v>0</v>
      </c>
      <c r="Q711" s="385">
        <v>0</v>
      </c>
      <c r="R711" s="385">
        <v>0</v>
      </c>
      <c r="S711" s="385">
        <v>0</v>
      </c>
      <c r="T711" s="385">
        <v>0</v>
      </c>
      <c r="U711" s="385">
        <v>0</v>
      </c>
      <c r="V711"/>
      <c r="W711"/>
      <c r="X711"/>
      <c r="Y711"/>
    </row>
    <row r="712" spans="1:25" ht="15.75">
      <c r="A712" s="684"/>
      <c r="B712" s="687" t="s">
        <v>1045</v>
      </c>
      <c r="C712" s="674">
        <v>33</v>
      </c>
      <c r="D712" s="675"/>
      <c r="E712" s="675">
        <v>54</v>
      </c>
      <c r="F712" s="675">
        <v>14</v>
      </c>
      <c r="G712" s="675"/>
      <c r="H712" s="676"/>
      <c r="I712" s="676">
        <v>101</v>
      </c>
      <c r="J712" s="675"/>
      <c r="K712" s="675">
        <v>6597</v>
      </c>
      <c r="L712" s="675">
        <v>4204</v>
      </c>
      <c r="M712" s="676">
        <v>1473</v>
      </c>
      <c r="N712" s="676">
        <v>12274</v>
      </c>
      <c r="O712" s="675"/>
      <c r="P712" s="675"/>
      <c r="Q712" s="676"/>
      <c r="R712" s="676"/>
      <c r="S712" s="676"/>
      <c r="T712" s="676"/>
      <c r="U712" s="676">
        <v>12375</v>
      </c>
      <c r="V712"/>
      <c r="W712"/>
      <c r="X712"/>
      <c r="Y712"/>
    </row>
    <row r="713" spans="1:25" s="386" customFormat="1" ht="15.75">
      <c r="A713" s="684"/>
      <c r="B713" s="688" t="s">
        <v>1046</v>
      </c>
      <c r="C713" s="380">
        <v>51</v>
      </c>
      <c r="D713" s="381">
        <v>0</v>
      </c>
      <c r="E713" s="381">
        <v>60</v>
      </c>
      <c r="F713" s="381">
        <v>8</v>
      </c>
      <c r="G713" s="381">
        <v>0</v>
      </c>
      <c r="H713" s="382">
        <v>0</v>
      </c>
      <c r="I713" s="382">
        <v>119</v>
      </c>
      <c r="J713" s="381"/>
      <c r="K713" s="381">
        <v>6910</v>
      </c>
      <c r="L713" s="381">
        <v>4178</v>
      </c>
      <c r="M713" s="382">
        <v>1939</v>
      </c>
      <c r="N713" s="382">
        <v>13027</v>
      </c>
      <c r="O713" s="381"/>
      <c r="P713" s="381"/>
      <c r="Q713" s="382"/>
      <c r="R713" s="382"/>
      <c r="S713" s="382"/>
      <c r="T713" s="382"/>
      <c r="U713" s="382">
        <v>13146</v>
      </c>
      <c r="V713"/>
      <c r="W713"/>
      <c r="X713"/>
      <c r="Y713"/>
    </row>
    <row r="714" spans="1:25" ht="15.75">
      <c r="A714" s="684"/>
      <c r="B714" s="689" t="s">
        <v>1047</v>
      </c>
      <c r="C714" s="383">
        <v>0.54545454545454541</v>
      </c>
      <c r="D714" s="384">
        <v>0</v>
      </c>
      <c r="E714" s="384">
        <v>0.1111111111111111</v>
      </c>
      <c r="F714" s="384">
        <v>-0.42857142857142855</v>
      </c>
      <c r="G714" s="384">
        <v>0</v>
      </c>
      <c r="H714" s="385">
        <v>0</v>
      </c>
      <c r="I714" s="385">
        <v>0.17821782178217821</v>
      </c>
      <c r="J714" s="384">
        <v>0</v>
      </c>
      <c r="K714" s="384">
        <v>4.7445808700924665E-2</v>
      </c>
      <c r="L714" s="384">
        <v>-6.1845861084681257E-3</v>
      </c>
      <c r="M714" s="385">
        <v>0.31636116768499661</v>
      </c>
      <c r="N714" s="385">
        <v>6.1349193416978982E-2</v>
      </c>
      <c r="O714" s="384">
        <v>0</v>
      </c>
      <c r="P714" s="384">
        <v>0</v>
      </c>
      <c r="Q714" s="385">
        <v>0</v>
      </c>
      <c r="R714" s="385">
        <v>0</v>
      </c>
      <c r="S714" s="385">
        <v>0</v>
      </c>
      <c r="T714" s="385">
        <v>0</v>
      </c>
      <c r="U714" s="385">
        <v>6.2303030303030305E-2</v>
      </c>
      <c r="V714"/>
      <c r="W714"/>
      <c r="X714"/>
      <c r="Y714"/>
    </row>
    <row r="715" spans="1:25" ht="15.75">
      <c r="A715" s="684"/>
      <c r="B715" s="687" t="s">
        <v>1048</v>
      </c>
      <c r="C715" s="674">
        <v>15242</v>
      </c>
      <c r="D715" s="675">
        <v>5022</v>
      </c>
      <c r="E715" s="675">
        <v>4241</v>
      </c>
      <c r="F715" s="675">
        <v>2424</v>
      </c>
      <c r="G715" s="675">
        <v>2594</v>
      </c>
      <c r="H715" s="676">
        <v>308</v>
      </c>
      <c r="I715" s="676">
        <v>29831</v>
      </c>
      <c r="J715" s="675"/>
      <c r="K715" s="675"/>
      <c r="L715" s="675"/>
      <c r="M715" s="676"/>
      <c r="N715" s="676"/>
      <c r="O715" s="675"/>
      <c r="P715" s="675"/>
      <c r="Q715" s="676"/>
      <c r="R715" s="676"/>
      <c r="S715" s="676">
        <v>280</v>
      </c>
      <c r="T715" s="676">
        <v>280</v>
      </c>
      <c r="U715" s="676">
        <v>30111</v>
      </c>
      <c r="V715"/>
      <c r="W715"/>
      <c r="X715"/>
      <c r="Y715"/>
    </row>
    <row r="716" spans="1:25" s="386" customFormat="1" ht="15.75">
      <c r="A716" s="684"/>
      <c r="B716" s="688" t="s">
        <v>1049</v>
      </c>
      <c r="C716" s="380">
        <v>15831</v>
      </c>
      <c r="D716" s="381">
        <v>5185</v>
      </c>
      <c r="E716" s="381">
        <v>4407</v>
      </c>
      <c r="F716" s="381">
        <v>2371</v>
      </c>
      <c r="G716" s="381">
        <v>2644</v>
      </c>
      <c r="H716" s="382">
        <v>287</v>
      </c>
      <c r="I716" s="382">
        <v>30725</v>
      </c>
      <c r="J716" s="381"/>
      <c r="K716" s="381"/>
      <c r="L716" s="381"/>
      <c r="M716" s="382"/>
      <c r="N716" s="382"/>
      <c r="O716" s="381"/>
      <c r="P716" s="381"/>
      <c r="Q716" s="382"/>
      <c r="R716" s="382"/>
      <c r="S716" s="382">
        <v>290</v>
      </c>
      <c r="T716" s="382">
        <v>290</v>
      </c>
      <c r="U716" s="382">
        <v>31015</v>
      </c>
      <c r="V716"/>
      <c r="W716"/>
      <c r="X716"/>
      <c r="Y716"/>
    </row>
    <row r="717" spans="1:25" ht="15.75">
      <c r="A717" s="684"/>
      <c r="B717" s="689" t="s">
        <v>1050</v>
      </c>
      <c r="C717" s="383">
        <v>3.8643222674189737E-2</v>
      </c>
      <c r="D717" s="384">
        <v>3.2457188371166866E-2</v>
      </c>
      <c r="E717" s="384">
        <v>3.914171186041028E-2</v>
      </c>
      <c r="F717" s="384">
        <v>-2.1864686468646866E-2</v>
      </c>
      <c r="G717" s="384">
        <v>1.9275250578257519E-2</v>
      </c>
      <c r="H717" s="385">
        <v>-6.8181818181818177E-2</v>
      </c>
      <c r="I717" s="385">
        <v>2.9968824377325599E-2</v>
      </c>
      <c r="J717" s="384">
        <v>0</v>
      </c>
      <c r="K717" s="384">
        <v>0</v>
      </c>
      <c r="L717" s="384">
        <v>0</v>
      </c>
      <c r="M717" s="385">
        <v>0</v>
      </c>
      <c r="N717" s="385">
        <v>0</v>
      </c>
      <c r="O717" s="384">
        <v>0</v>
      </c>
      <c r="P717" s="384">
        <v>0</v>
      </c>
      <c r="Q717" s="385">
        <v>0</v>
      </c>
      <c r="R717" s="385">
        <v>0</v>
      </c>
      <c r="S717" s="385">
        <v>3.5714285714285712E-2</v>
      </c>
      <c r="T717" s="385">
        <v>3.5714285714285712E-2</v>
      </c>
      <c r="U717" s="385">
        <v>3.0022251004616252E-2</v>
      </c>
      <c r="V717"/>
      <c r="W717"/>
      <c r="X717"/>
      <c r="Y717"/>
    </row>
    <row r="718" spans="1:25" ht="15.75">
      <c r="A718" s="684"/>
      <c r="B718" s="687" t="s">
        <v>1051</v>
      </c>
      <c r="C718" s="674">
        <v>316</v>
      </c>
      <c r="D718" s="675">
        <v>198</v>
      </c>
      <c r="E718" s="675"/>
      <c r="F718" s="675"/>
      <c r="G718" s="675">
        <v>30</v>
      </c>
      <c r="H718" s="676"/>
      <c r="I718" s="676">
        <v>544</v>
      </c>
      <c r="J718" s="675"/>
      <c r="K718" s="675"/>
      <c r="L718" s="675"/>
      <c r="M718" s="676"/>
      <c r="N718" s="676"/>
      <c r="O718" s="675"/>
      <c r="P718" s="675"/>
      <c r="Q718" s="676"/>
      <c r="R718" s="676"/>
      <c r="S718" s="676"/>
      <c r="T718" s="676"/>
      <c r="U718" s="676">
        <v>544</v>
      </c>
      <c r="V718"/>
      <c r="W718"/>
      <c r="X718"/>
      <c r="Y718"/>
    </row>
    <row r="719" spans="1:25" s="386" customFormat="1" ht="15.75">
      <c r="A719" s="684"/>
      <c r="B719" s="688" t="s">
        <v>1052</v>
      </c>
      <c r="C719" s="380">
        <v>366</v>
      </c>
      <c r="D719" s="381">
        <v>211</v>
      </c>
      <c r="E719" s="381">
        <v>0</v>
      </c>
      <c r="F719" s="381">
        <v>18</v>
      </c>
      <c r="G719" s="381">
        <v>17</v>
      </c>
      <c r="H719" s="382">
        <v>0</v>
      </c>
      <c r="I719" s="382">
        <v>612</v>
      </c>
      <c r="J719" s="381"/>
      <c r="K719" s="381"/>
      <c r="L719" s="381"/>
      <c r="M719" s="382"/>
      <c r="N719" s="382"/>
      <c r="O719" s="381"/>
      <c r="P719" s="381"/>
      <c r="Q719" s="382"/>
      <c r="R719" s="382"/>
      <c r="S719" s="382"/>
      <c r="T719" s="382"/>
      <c r="U719" s="382">
        <v>612</v>
      </c>
      <c r="V719"/>
      <c r="W719"/>
      <c r="X719"/>
      <c r="Y719"/>
    </row>
    <row r="720" spans="1:25" ht="15.75">
      <c r="A720" s="684"/>
      <c r="B720" s="689" t="s">
        <v>1053</v>
      </c>
      <c r="C720" s="383">
        <v>0.15822784810126583</v>
      </c>
      <c r="D720" s="384">
        <v>6.5656565656565663E-2</v>
      </c>
      <c r="E720" s="384">
        <v>0</v>
      </c>
      <c r="F720" s="384">
        <v>0</v>
      </c>
      <c r="G720" s="384">
        <v>-0.43333333333333335</v>
      </c>
      <c r="H720" s="385">
        <v>0</v>
      </c>
      <c r="I720" s="385">
        <v>0.125</v>
      </c>
      <c r="J720" s="384">
        <v>0</v>
      </c>
      <c r="K720" s="384">
        <v>0</v>
      </c>
      <c r="L720" s="384">
        <v>0</v>
      </c>
      <c r="M720" s="385">
        <v>0</v>
      </c>
      <c r="N720" s="385">
        <v>0</v>
      </c>
      <c r="O720" s="384">
        <v>0</v>
      </c>
      <c r="P720" s="384">
        <v>0</v>
      </c>
      <c r="Q720" s="385">
        <v>0</v>
      </c>
      <c r="R720" s="385">
        <v>0</v>
      </c>
      <c r="S720" s="385">
        <v>0</v>
      </c>
      <c r="T720" s="385">
        <v>0</v>
      </c>
      <c r="U720" s="385">
        <v>0.125</v>
      </c>
      <c r="V720"/>
      <c r="W720"/>
      <c r="X720"/>
      <c r="Y720"/>
    </row>
    <row r="721" spans="1:25" ht="15.75">
      <c r="A721" s="684"/>
      <c r="B721" s="687" t="s">
        <v>1054</v>
      </c>
      <c r="C721" s="674">
        <v>6638</v>
      </c>
      <c r="D721" s="675">
        <v>1878</v>
      </c>
      <c r="E721" s="675">
        <v>835</v>
      </c>
      <c r="F721" s="675">
        <v>537</v>
      </c>
      <c r="G721" s="675">
        <v>423</v>
      </c>
      <c r="H721" s="676">
        <v>0</v>
      </c>
      <c r="I721" s="676">
        <v>10311</v>
      </c>
      <c r="J721" s="675"/>
      <c r="K721" s="675">
        <v>0</v>
      </c>
      <c r="L721" s="675">
        <v>0</v>
      </c>
      <c r="M721" s="676">
        <v>0</v>
      </c>
      <c r="N721" s="676">
        <v>0</v>
      </c>
      <c r="O721" s="675"/>
      <c r="P721" s="675"/>
      <c r="Q721" s="676"/>
      <c r="R721" s="676"/>
      <c r="S721" s="676">
        <v>0</v>
      </c>
      <c r="T721" s="676">
        <v>0</v>
      </c>
      <c r="U721" s="676">
        <v>10311</v>
      </c>
      <c r="V721"/>
      <c r="W721"/>
      <c r="X721"/>
      <c r="Y721"/>
    </row>
    <row r="722" spans="1:25" s="386" customFormat="1" ht="15.75">
      <c r="A722" s="684"/>
      <c r="B722" s="688" t="s">
        <v>1055</v>
      </c>
      <c r="C722" s="380">
        <v>6466</v>
      </c>
      <c r="D722" s="381">
        <v>2104</v>
      </c>
      <c r="E722" s="381">
        <v>905</v>
      </c>
      <c r="F722" s="381">
        <v>524</v>
      </c>
      <c r="G722" s="381">
        <v>462</v>
      </c>
      <c r="H722" s="382">
        <v>0</v>
      </c>
      <c r="I722" s="382">
        <v>10461</v>
      </c>
      <c r="J722" s="381"/>
      <c r="K722" s="381">
        <v>0</v>
      </c>
      <c r="L722" s="381">
        <v>0</v>
      </c>
      <c r="M722" s="382">
        <v>0</v>
      </c>
      <c r="N722" s="382">
        <v>0</v>
      </c>
      <c r="O722" s="381"/>
      <c r="P722" s="381"/>
      <c r="Q722" s="382"/>
      <c r="R722" s="382"/>
      <c r="S722" s="382">
        <v>0</v>
      </c>
      <c r="T722" s="382">
        <v>0</v>
      </c>
      <c r="U722" s="382">
        <v>10461</v>
      </c>
      <c r="V722"/>
      <c r="W722"/>
      <c r="X722"/>
      <c r="Y722"/>
    </row>
    <row r="723" spans="1:25" ht="15.75">
      <c r="A723" s="684"/>
      <c r="B723" s="689" t="s">
        <v>1056</v>
      </c>
      <c r="C723" s="383">
        <v>-2.5911419102139198E-2</v>
      </c>
      <c r="D723" s="692">
        <v>0.12034078807241747</v>
      </c>
      <c r="E723" s="384">
        <v>8.3832335329341312E-2</v>
      </c>
      <c r="F723" s="384">
        <v>-2.4208566108007448E-2</v>
      </c>
      <c r="G723" s="384">
        <v>9.2198581560283682E-2</v>
      </c>
      <c r="H723" s="385">
        <v>0</v>
      </c>
      <c r="I723" s="385">
        <v>1.4547570555717195E-2</v>
      </c>
      <c r="J723" s="384">
        <v>0</v>
      </c>
      <c r="K723" s="384">
        <v>0</v>
      </c>
      <c r="L723" s="384">
        <v>0</v>
      </c>
      <c r="M723" s="385">
        <v>0</v>
      </c>
      <c r="N723" s="385">
        <v>0</v>
      </c>
      <c r="O723" s="384">
        <v>0</v>
      </c>
      <c r="P723" s="384">
        <v>0</v>
      </c>
      <c r="Q723" s="385">
        <v>0</v>
      </c>
      <c r="R723" s="385">
        <v>0</v>
      </c>
      <c r="S723" s="385">
        <v>0</v>
      </c>
      <c r="T723" s="385">
        <v>0</v>
      </c>
      <c r="U723" s="385">
        <v>1.4547570555717195E-2</v>
      </c>
      <c r="V723"/>
      <c r="W723"/>
      <c r="X723"/>
      <c r="Y723"/>
    </row>
    <row r="724" spans="1:25" ht="15.75">
      <c r="A724" s="684"/>
      <c r="B724" s="687" t="s">
        <v>1057</v>
      </c>
      <c r="C724" s="674">
        <v>957</v>
      </c>
      <c r="D724" s="675">
        <v>312</v>
      </c>
      <c r="E724" s="675">
        <v>17</v>
      </c>
      <c r="F724" s="675">
        <v>9</v>
      </c>
      <c r="G724" s="675">
        <v>0</v>
      </c>
      <c r="H724" s="676">
        <v>0</v>
      </c>
      <c r="I724" s="676">
        <v>1295</v>
      </c>
      <c r="J724" s="675"/>
      <c r="K724" s="675">
        <v>0</v>
      </c>
      <c r="L724" s="675">
        <v>0</v>
      </c>
      <c r="M724" s="676">
        <v>0</v>
      </c>
      <c r="N724" s="676">
        <v>0</v>
      </c>
      <c r="O724" s="675"/>
      <c r="P724" s="675"/>
      <c r="Q724" s="676"/>
      <c r="R724" s="676"/>
      <c r="S724" s="676">
        <v>0</v>
      </c>
      <c r="T724" s="676">
        <v>0</v>
      </c>
      <c r="U724" s="676">
        <v>1295</v>
      </c>
      <c r="V724"/>
      <c r="W724"/>
      <c r="X724"/>
      <c r="Y724"/>
    </row>
    <row r="725" spans="1:25" s="386" customFormat="1" ht="15.75">
      <c r="A725" s="684"/>
      <c r="B725" s="688" t="s">
        <v>1058</v>
      </c>
      <c r="C725" s="380">
        <v>1009</v>
      </c>
      <c r="D725" s="381">
        <v>288</v>
      </c>
      <c r="E725" s="381">
        <v>25</v>
      </c>
      <c r="F725" s="381">
        <v>7</v>
      </c>
      <c r="G725" s="381">
        <v>0</v>
      </c>
      <c r="H725" s="382">
        <v>0</v>
      </c>
      <c r="I725" s="382">
        <v>1329</v>
      </c>
      <c r="J725" s="381"/>
      <c r="K725" s="381">
        <v>0</v>
      </c>
      <c r="L725" s="381">
        <v>0</v>
      </c>
      <c r="M725" s="382">
        <v>0</v>
      </c>
      <c r="N725" s="382">
        <v>0</v>
      </c>
      <c r="O725" s="381"/>
      <c r="P725" s="381"/>
      <c r="Q725" s="382"/>
      <c r="R725" s="382"/>
      <c r="S725" s="382">
        <v>0</v>
      </c>
      <c r="T725" s="382">
        <v>0</v>
      </c>
      <c r="U725" s="382">
        <v>1329</v>
      </c>
      <c r="V725"/>
      <c r="W725"/>
      <c r="X725"/>
      <c r="Y725"/>
    </row>
    <row r="726" spans="1:25" ht="15.75">
      <c r="A726" s="684"/>
      <c r="B726" s="689" t="s">
        <v>1059</v>
      </c>
      <c r="C726" s="383">
        <v>5.4336468129571575E-2</v>
      </c>
      <c r="D726" s="692">
        <v>-7.6923076923076927E-2</v>
      </c>
      <c r="E726" s="384">
        <v>0.47058823529411764</v>
      </c>
      <c r="F726" s="384">
        <v>-0.22222222222222221</v>
      </c>
      <c r="G726" s="384">
        <v>0</v>
      </c>
      <c r="H726" s="385">
        <v>0</v>
      </c>
      <c r="I726" s="385">
        <v>2.6254826254826256E-2</v>
      </c>
      <c r="J726" s="384">
        <v>0</v>
      </c>
      <c r="K726" s="384">
        <v>0</v>
      </c>
      <c r="L726" s="384">
        <v>0</v>
      </c>
      <c r="M726" s="385">
        <v>0</v>
      </c>
      <c r="N726" s="385">
        <v>0</v>
      </c>
      <c r="O726" s="384">
        <v>0</v>
      </c>
      <c r="P726" s="384">
        <v>0</v>
      </c>
      <c r="Q726" s="385">
        <v>0</v>
      </c>
      <c r="R726" s="385">
        <v>0</v>
      </c>
      <c r="S726" s="385">
        <v>0</v>
      </c>
      <c r="T726" s="385">
        <v>0</v>
      </c>
      <c r="U726" s="385">
        <v>2.6254826254826256E-2</v>
      </c>
      <c r="V726"/>
      <c r="W726"/>
      <c r="X726"/>
      <c r="Y726"/>
    </row>
    <row r="727" spans="1:25" ht="15.75">
      <c r="A727" s="684"/>
      <c r="B727" s="687" t="s">
        <v>1060</v>
      </c>
      <c r="C727" s="674">
        <v>618</v>
      </c>
      <c r="D727" s="675">
        <v>209</v>
      </c>
      <c r="E727" s="675"/>
      <c r="F727" s="675"/>
      <c r="G727" s="675"/>
      <c r="H727" s="676"/>
      <c r="I727" s="676">
        <v>827</v>
      </c>
      <c r="J727" s="675"/>
      <c r="K727" s="675"/>
      <c r="L727" s="675"/>
      <c r="M727" s="676"/>
      <c r="N727" s="676"/>
      <c r="O727" s="675"/>
      <c r="P727" s="675"/>
      <c r="Q727" s="676"/>
      <c r="R727" s="676"/>
      <c r="S727" s="676"/>
      <c r="T727" s="676"/>
      <c r="U727" s="676">
        <v>827</v>
      </c>
      <c r="V727"/>
      <c r="W727"/>
      <c r="X727"/>
      <c r="Y727"/>
    </row>
    <row r="728" spans="1:25" s="386" customFormat="1" ht="15.75">
      <c r="A728" s="684"/>
      <c r="B728" s="688" t="s">
        <v>1061</v>
      </c>
      <c r="C728" s="380">
        <v>633</v>
      </c>
      <c r="D728" s="381">
        <v>194</v>
      </c>
      <c r="E728" s="381"/>
      <c r="F728" s="381"/>
      <c r="G728" s="381"/>
      <c r="H728" s="382"/>
      <c r="I728" s="382">
        <v>827</v>
      </c>
      <c r="J728" s="381"/>
      <c r="K728" s="381"/>
      <c r="L728" s="381"/>
      <c r="M728" s="382"/>
      <c r="N728" s="382"/>
      <c r="O728" s="381"/>
      <c r="P728" s="381"/>
      <c r="Q728" s="382"/>
      <c r="R728" s="382"/>
      <c r="S728" s="382"/>
      <c r="T728" s="382"/>
      <c r="U728" s="382">
        <v>827</v>
      </c>
      <c r="V728"/>
      <c r="W728"/>
      <c r="X728"/>
      <c r="Y728"/>
    </row>
    <row r="729" spans="1:25" ht="15.75">
      <c r="A729" s="684"/>
      <c r="B729" s="689" t="s">
        <v>1062</v>
      </c>
      <c r="C729" s="383">
        <v>2.4271844660194174E-2</v>
      </c>
      <c r="D729" s="384">
        <v>-7.1770334928229665E-2</v>
      </c>
      <c r="E729" s="384">
        <v>0</v>
      </c>
      <c r="F729" s="384">
        <v>0</v>
      </c>
      <c r="G729" s="384">
        <v>0</v>
      </c>
      <c r="H729" s="385">
        <v>0</v>
      </c>
      <c r="I729" s="385">
        <v>0</v>
      </c>
      <c r="J729" s="384">
        <v>0</v>
      </c>
      <c r="K729" s="384">
        <v>0</v>
      </c>
      <c r="L729" s="384">
        <v>0</v>
      </c>
      <c r="M729" s="385">
        <v>0</v>
      </c>
      <c r="N729" s="385">
        <v>0</v>
      </c>
      <c r="O729" s="384">
        <v>0</v>
      </c>
      <c r="P729" s="384">
        <v>0</v>
      </c>
      <c r="Q729" s="385">
        <v>0</v>
      </c>
      <c r="R729" s="385">
        <v>0</v>
      </c>
      <c r="S729" s="385">
        <v>0</v>
      </c>
      <c r="T729" s="385">
        <v>0</v>
      </c>
      <c r="U729" s="385">
        <v>0</v>
      </c>
      <c r="V729"/>
      <c r="W729"/>
      <c r="X729"/>
      <c r="Y729"/>
    </row>
    <row r="730" spans="1:25" ht="15.75">
      <c r="A730" s="684"/>
      <c r="B730" s="687" t="s">
        <v>1063</v>
      </c>
      <c r="C730" s="674">
        <v>130</v>
      </c>
      <c r="D730" s="675">
        <v>179</v>
      </c>
      <c r="E730" s="675"/>
      <c r="F730" s="675"/>
      <c r="G730" s="675"/>
      <c r="H730" s="676"/>
      <c r="I730" s="676">
        <v>309</v>
      </c>
      <c r="J730" s="675"/>
      <c r="K730" s="675"/>
      <c r="L730" s="675"/>
      <c r="M730" s="676"/>
      <c r="N730" s="676"/>
      <c r="O730" s="675"/>
      <c r="P730" s="675"/>
      <c r="Q730" s="676"/>
      <c r="R730" s="676"/>
      <c r="S730" s="676"/>
      <c r="T730" s="676"/>
      <c r="U730" s="676">
        <v>309</v>
      </c>
      <c r="V730"/>
      <c r="W730"/>
      <c r="X730"/>
      <c r="Y730"/>
    </row>
    <row r="731" spans="1:25" s="386" customFormat="1" ht="15.75">
      <c r="A731" s="684"/>
      <c r="B731" s="688" t="s">
        <v>1064</v>
      </c>
      <c r="C731" s="380">
        <v>142</v>
      </c>
      <c r="D731" s="381">
        <v>174</v>
      </c>
      <c r="E731" s="381"/>
      <c r="F731" s="381"/>
      <c r="G731" s="381"/>
      <c r="H731" s="382"/>
      <c r="I731" s="382">
        <v>316</v>
      </c>
      <c r="J731" s="381"/>
      <c r="K731" s="381"/>
      <c r="L731" s="381"/>
      <c r="M731" s="382"/>
      <c r="N731" s="382"/>
      <c r="O731" s="381"/>
      <c r="P731" s="381"/>
      <c r="Q731" s="382"/>
      <c r="R731" s="382"/>
      <c r="S731" s="382"/>
      <c r="T731" s="382"/>
      <c r="U731" s="382">
        <v>316</v>
      </c>
      <c r="V731"/>
      <c r="W731"/>
      <c r="X731"/>
      <c r="Y731"/>
    </row>
    <row r="732" spans="1:25" ht="15.75">
      <c r="A732" s="684"/>
      <c r="B732" s="689" t="s">
        <v>1065</v>
      </c>
      <c r="C732" s="383">
        <v>9.2307692307692313E-2</v>
      </c>
      <c r="D732" s="384">
        <v>-2.7932960893854747E-2</v>
      </c>
      <c r="E732" s="384">
        <v>0</v>
      </c>
      <c r="F732" s="384">
        <v>0</v>
      </c>
      <c r="G732" s="384">
        <v>0</v>
      </c>
      <c r="H732" s="385">
        <v>0</v>
      </c>
      <c r="I732" s="385">
        <v>2.2653721682847898E-2</v>
      </c>
      <c r="J732" s="384">
        <v>0</v>
      </c>
      <c r="K732" s="384">
        <v>0</v>
      </c>
      <c r="L732" s="384">
        <v>0</v>
      </c>
      <c r="M732" s="385">
        <v>0</v>
      </c>
      <c r="N732" s="385">
        <v>0</v>
      </c>
      <c r="O732" s="384">
        <v>0</v>
      </c>
      <c r="P732" s="384">
        <v>0</v>
      </c>
      <c r="Q732" s="385">
        <v>0</v>
      </c>
      <c r="R732" s="385">
        <v>0</v>
      </c>
      <c r="S732" s="385">
        <v>0</v>
      </c>
      <c r="T732" s="385">
        <v>0</v>
      </c>
      <c r="U732" s="385">
        <v>2.2653721682847898E-2</v>
      </c>
      <c r="V732"/>
      <c r="W732"/>
      <c r="X732"/>
      <c r="Y732"/>
    </row>
    <row r="733" spans="1:25" ht="15.75">
      <c r="A733" s="684"/>
      <c r="B733" s="687" t="s">
        <v>1066</v>
      </c>
      <c r="C733" s="674"/>
      <c r="D733" s="675">
        <v>92</v>
      </c>
      <c r="E733" s="675"/>
      <c r="F733" s="675"/>
      <c r="G733" s="675"/>
      <c r="H733" s="676"/>
      <c r="I733" s="676">
        <v>92</v>
      </c>
      <c r="J733" s="675"/>
      <c r="K733" s="675"/>
      <c r="L733" s="675"/>
      <c r="M733" s="676"/>
      <c r="N733" s="676"/>
      <c r="O733" s="675"/>
      <c r="P733" s="675"/>
      <c r="Q733" s="676"/>
      <c r="R733" s="676"/>
      <c r="S733" s="676"/>
      <c r="T733" s="676"/>
      <c r="U733" s="676">
        <v>92</v>
      </c>
      <c r="V733"/>
      <c r="W733"/>
      <c r="X733"/>
      <c r="Y733"/>
    </row>
    <row r="734" spans="1:25" s="386" customFormat="1" ht="15.75">
      <c r="A734" s="684"/>
      <c r="B734" s="688" t="s">
        <v>1067</v>
      </c>
      <c r="C734" s="380"/>
      <c r="D734" s="381">
        <v>91</v>
      </c>
      <c r="E734" s="381"/>
      <c r="F734" s="381"/>
      <c r="G734" s="381"/>
      <c r="H734" s="382"/>
      <c r="I734" s="382">
        <v>91</v>
      </c>
      <c r="J734" s="381"/>
      <c r="K734" s="381"/>
      <c r="L734" s="381"/>
      <c r="M734" s="382"/>
      <c r="N734" s="382"/>
      <c r="O734" s="381"/>
      <c r="P734" s="381"/>
      <c r="Q734" s="382"/>
      <c r="R734" s="382"/>
      <c r="S734" s="382"/>
      <c r="T734" s="382"/>
      <c r="U734" s="382">
        <v>91</v>
      </c>
      <c r="V734"/>
      <c r="W734"/>
      <c r="X734"/>
      <c r="Y734"/>
    </row>
    <row r="735" spans="1:25" ht="15.75">
      <c r="A735" s="684"/>
      <c r="B735" s="689" t="s">
        <v>1068</v>
      </c>
      <c r="C735" s="383">
        <v>0</v>
      </c>
      <c r="D735" s="384">
        <v>-1.0869565217391304E-2</v>
      </c>
      <c r="E735" s="384">
        <v>0</v>
      </c>
      <c r="F735" s="384">
        <v>0</v>
      </c>
      <c r="G735" s="384">
        <v>0</v>
      </c>
      <c r="H735" s="385">
        <v>0</v>
      </c>
      <c r="I735" s="385">
        <v>-1.0869565217391304E-2</v>
      </c>
      <c r="J735" s="384">
        <v>0</v>
      </c>
      <c r="K735" s="384">
        <v>0</v>
      </c>
      <c r="L735" s="384">
        <v>0</v>
      </c>
      <c r="M735" s="385">
        <v>0</v>
      </c>
      <c r="N735" s="385">
        <v>0</v>
      </c>
      <c r="O735" s="384">
        <v>0</v>
      </c>
      <c r="P735" s="384">
        <v>0</v>
      </c>
      <c r="Q735" s="385">
        <v>0</v>
      </c>
      <c r="R735" s="385">
        <v>0</v>
      </c>
      <c r="S735" s="385">
        <v>0</v>
      </c>
      <c r="T735" s="385">
        <v>0</v>
      </c>
      <c r="U735" s="385">
        <v>-1.0869565217391304E-2</v>
      </c>
      <c r="V735"/>
      <c r="W735"/>
      <c r="X735"/>
      <c r="Y735"/>
    </row>
    <row r="736" spans="1:25" ht="15.75">
      <c r="A736" s="684"/>
      <c r="B736" s="687" t="s">
        <v>1069</v>
      </c>
      <c r="C736" s="674"/>
      <c r="D736" s="675">
        <v>126</v>
      </c>
      <c r="E736" s="675"/>
      <c r="F736" s="675"/>
      <c r="G736" s="675"/>
      <c r="H736" s="676"/>
      <c r="I736" s="676">
        <v>126</v>
      </c>
      <c r="J736" s="675"/>
      <c r="K736" s="675"/>
      <c r="L736" s="675"/>
      <c r="M736" s="676"/>
      <c r="N736" s="676"/>
      <c r="O736" s="675"/>
      <c r="P736" s="675"/>
      <c r="Q736" s="676"/>
      <c r="R736" s="676"/>
      <c r="S736" s="676"/>
      <c r="T736" s="676"/>
      <c r="U736" s="676">
        <v>126</v>
      </c>
      <c r="V736"/>
      <c r="W736"/>
      <c r="X736"/>
      <c r="Y736"/>
    </row>
    <row r="737" spans="1:25" s="386" customFormat="1" ht="15.75">
      <c r="A737" s="684"/>
      <c r="B737" s="688" t="s">
        <v>1070</v>
      </c>
      <c r="C737" s="380"/>
      <c r="D737" s="381">
        <v>130</v>
      </c>
      <c r="E737" s="381"/>
      <c r="F737" s="381"/>
      <c r="G737" s="381"/>
      <c r="H737" s="382"/>
      <c r="I737" s="382">
        <v>130</v>
      </c>
      <c r="J737" s="381"/>
      <c r="K737" s="381"/>
      <c r="L737" s="381"/>
      <c r="M737" s="382"/>
      <c r="N737" s="382"/>
      <c r="O737" s="381"/>
      <c r="P737" s="381"/>
      <c r="Q737" s="382"/>
      <c r="R737" s="382"/>
      <c r="S737" s="382"/>
      <c r="T737" s="382"/>
      <c r="U737" s="382">
        <v>130</v>
      </c>
      <c r="V737"/>
      <c r="W737"/>
      <c r="X737"/>
      <c r="Y737"/>
    </row>
    <row r="738" spans="1:25" ht="15.75">
      <c r="A738" s="684"/>
      <c r="B738" s="689" t="s">
        <v>1071</v>
      </c>
      <c r="C738" s="383">
        <v>0</v>
      </c>
      <c r="D738" s="384">
        <v>3.1746031746031744E-2</v>
      </c>
      <c r="E738" s="384">
        <v>0</v>
      </c>
      <c r="F738" s="384">
        <v>0</v>
      </c>
      <c r="G738" s="384">
        <v>0</v>
      </c>
      <c r="H738" s="385">
        <v>0</v>
      </c>
      <c r="I738" s="385">
        <v>3.1746031746031744E-2</v>
      </c>
      <c r="J738" s="384">
        <v>0</v>
      </c>
      <c r="K738" s="384">
        <v>0</v>
      </c>
      <c r="L738" s="384">
        <v>0</v>
      </c>
      <c r="M738" s="385">
        <v>0</v>
      </c>
      <c r="N738" s="385">
        <v>0</v>
      </c>
      <c r="O738" s="384">
        <v>0</v>
      </c>
      <c r="P738" s="384">
        <v>0</v>
      </c>
      <c r="Q738" s="385">
        <v>0</v>
      </c>
      <c r="R738" s="385">
        <v>0</v>
      </c>
      <c r="S738" s="385">
        <v>0</v>
      </c>
      <c r="T738" s="385">
        <v>0</v>
      </c>
      <c r="U738" s="385">
        <v>3.1746031746031744E-2</v>
      </c>
      <c r="V738"/>
      <c r="W738"/>
      <c r="X738"/>
      <c r="Y738"/>
    </row>
    <row r="739" spans="1:25" ht="15.75">
      <c r="A739" s="684"/>
      <c r="B739" s="687" t="s">
        <v>1072</v>
      </c>
      <c r="C739" s="674"/>
      <c r="D739" s="675"/>
      <c r="E739" s="675"/>
      <c r="F739" s="675"/>
      <c r="G739" s="675"/>
      <c r="H739" s="676"/>
      <c r="I739" s="676"/>
      <c r="J739" s="675"/>
      <c r="K739" s="675"/>
      <c r="L739" s="675"/>
      <c r="M739" s="676"/>
      <c r="N739" s="676"/>
      <c r="O739" s="675"/>
      <c r="P739" s="675"/>
      <c r="Q739" s="676"/>
      <c r="R739" s="676"/>
      <c r="S739" s="676"/>
      <c r="T739" s="676"/>
      <c r="U739" s="676"/>
      <c r="V739"/>
      <c r="W739"/>
      <c r="X739"/>
      <c r="Y739"/>
    </row>
    <row r="740" spans="1:25" s="386" customFormat="1" ht="15.75">
      <c r="A740" s="684"/>
      <c r="B740" s="688" t="s">
        <v>1073</v>
      </c>
      <c r="C740" s="380"/>
      <c r="D740" s="381"/>
      <c r="E740" s="381"/>
      <c r="F740" s="381"/>
      <c r="G740" s="381"/>
      <c r="H740" s="382"/>
      <c r="I740" s="382"/>
      <c r="J740" s="381"/>
      <c r="K740" s="381"/>
      <c r="L740" s="381"/>
      <c r="M740" s="382"/>
      <c r="N740" s="382"/>
      <c r="O740" s="381"/>
      <c r="P740" s="381"/>
      <c r="Q740" s="382"/>
      <c r="R740" s="382"/>
      <c r="S740" s="382"/>
      <c r="T740" s="382"/>
      <c r="U740" s="382"/>
      <c r="V740"/>
      <c r="W740"/>
      <c r="X740"/>
      <c r="Y740"/>
    </row>
    <row r="741" spans="1:25" ht="15.75">
      <c r="A741" s="684"/>
      <c r="B741" s="689" t="s">
        <v>1074</v>
      </c>
      <c r="C741" s="383">
        <v>0</v>
      </c>
      <c r="D741" s="384">
        <v>0</v>
      </c>
      <c r="E741" s="384">
        <v>0</v>
      </c>
      <c r="F741" s="384">
        <v>0</v>
      </c>
      <c r="G741" s="384">
        <v>0</v>
      </c>
      <c r="H741" s="385">
        <v>0</v>
      </c>
      <c r="I741" s="385">
        <v>0</v>
      </c>
      <c r="J741" s="384">
        <v>0</v>
      </c>
      <c r="K741" s="384">
        <v>0</v>
      </c>
      <c r="L741" s="384">
        <v>0</v>
      </c>
      <c r="M741" s="385">
        <v>0</v>
      </c>
      <c r="N741" s="385">
        <v>0</v>
      </c>
      <c r="O741" s="384">
        <v>0</v>
      </c>
      <c r="P741" s="384">
        <v>0</v>
      </c>
      <c r="Q741" s="385">
        <v>0</v>
      </c>
      <c r="R741" s="385">
        <v>0</v>
      </c>
      <c r="S741" s="385">
        <v>0</v>
      </c>
      <c r="T741" s="385">
        <v>0</v>
      </c>
      <c r="U741" s="385">
        <v>0</v>
      </c>
      <c r="V741"/>
      <c r="W741"/>
      <c r="X741"/>
      <c r="Y741"/>
    </row>
    <row r="742" spans="1:25" ht="15.75">
      <c r="A742" s="684"/>
      <c r="B742" s="687" t="s">
        <v>1075</v>
      </c>
      <c r="C742" s="674"/>
      <c r="D742" s="675"/>
      <c r="E742" s="675"/>
      <c r="F742" s="675"/>
      <c r="G742" s="675"/>
      <c r="H742" s="676"/>
      <c r="I742" s="676"/>
      <c r="J742" s="675"/>
      <c r="K742" s="675"/>
      <c r="L742" s="675"/>
      <c r="M742" s="676"/>
      <c r="N742" s="676"/>
      <c r="O742" s="675"/>
      <c r="P742" s="675"/>
      <c r="Q742" s="676"/>
      <c r="R742" s="676"/>
      <c r="S742" s="676"/>
      <c r="T742" s="676"/>
      <c r="U742" s="676"/>
      <c r="V742"/>
      <c r="W742"/>
      <c r="X742"/>
      <c r="Y742"/>
    </row>
    <row r="743" spans="1:25" s="386" customFormat="1" ht="15.75">
      <c r="A743" s="684"/>
      <c r="B743" s="688" t="s">
        <v>1076</v>
      </c>
      <c r="C743" s="380"/>
      <c r="D743" s="381"/>
      <c r="E743" s="381"/>
      <c r="F743" s="381"/>
      <c r="G743" s="381"/>
      <c r="H743" s="382"/>
      <c r="I743" s="382"/>
      <c r="J743" s="381"/>
      <c r="K743" s="381"/>
      <c r="L743" s="381"/>
      <c r="M743" s="382"/>
      <c r="N743" s="382"/>
      <c r="O743" s="381"/>
      <c r="P743" s="381"/>
      <c r="Q743" s="382"/>
      <c r="R743" s="382"/>
      <c r="S743" s="382"/>
      <c r="T743" s="382"/>
      <c r="U743" s="382"/>
      <c r="V743"/>
      <c r="W743"/>
      <c r="X743"/>
      <c r="Y743"/>
    </row>
    <row r="744" spans="1:25" ht="15.75">
      <c r="A744" s="684"/>
      <c r="B744" s="689" t="s">
        <v>1077</v>
      </c>
      <c r="C744" s="383">
        <v>0</v>
      </c>
      <c r="D744" s="384">
        <v>0</v>
      </c>
      <c r="E744" s="384">
        <v>0</v>
      </c>
      <c r="F744" s="384">
        <v>0</v>
      </c>
      <c r="G744" s="384">
        <v>0</v>
      </c>
      <c r="H744" s="385">
        <v>0</v>
      </c>
      <c r="I744" s="385">
        <v>0</v>
      </c>
      <c r="J744" s="384">
        <v>0</v>
      </c>
      <c r="K744" s="384">
        <v>0</v>
      </c>
      <c r="L744" s="384">
        <v>0</v>
      </c>
      <c r="M744" s="385">
        <v>0</v>
      </c>
      <c r="N744" s="385">
        <v>0</v>
      </c>
      <c r="O744" s="384">
        <v>0</v>
      </c>
      <c r="P744" s="384">
        <v>0</v>
      </c>
      <c r="Q744" s="385">
        <v>0</v>
      </c>
      <c r="R744" s="385">
        <v>0</v>
      </c>
      <c r="S744" s="385">
        <v>0</v>
      </c>
      <c r="T744" s="385">
        <v>0</v>
      </c>
      <c r="U744" s="385">
        <v>0</v>
      </c>
      <c r="V744"/>
      <c r="W744"/>
      <c r="X744"/>
      <c r="Y744"/>
    </row>
    <row r="745" spans="1:25" ht="15.75">
      <c r="A745" s="684"/>
      <c r="B745" s="687" t="s">
        <v>1078</v>
      </c>
      <c r="C745" s="674"/>
      <c r="D745" s="675"/>
      <c r="E745" s="675"/>
      <c r="F745" s="675"/>
      <c r="G745" s="675"/>
      <c r="H745" s="676"/>
      <c r="I745" s="676"/>
      <c r="J745" s="675"/>
      <c r="K745" s="675"/>
      <c r="L745" s="675"/>
      <c r="M745" s="676"/>
      <c r="N745" s="676"/>
      <c r="O745" s="675"/>
      <c r="P745" s="675"/>
      <c r="Q745" s="676"/>
      <c r="R745" s="676"/>
      <c r="S745" s="676"/>
      <c r="T745" s="676"/>
      <c r="U745" s="676"/>
      <c r="V745"/>
      <c r="W745"/>
      <c r="X745"/>
      <c r="Y745"/>
    </row>
    <row r="746" spans="1:25" s="386" customFormat="1" ht="15.75">
      <c r="A746" s="684"/>
      <c r="B746" s="688" t="s">
        <v>1079</v>
      </c>
      <c r="C746" s="380"/>
      <c r="D746" s="381"/>
      <c r="E746" s="381"/>
      <c r="F746" s="381"/>
      <c r="G746" s="381"/>
      <c r="H746" s="382"/>
      <c r="I746" s="382"/>
      <c r="J746" s="381"/>
      <c r="K746" s="381"/>
      <c r="L746" s="381"/>
      <c r="M746" s="382"/>
      <c r="N746" s="382"/>
      <c r="O746" s="381"/>
      <c r="P746" s="381"/>
      <c r="Q746" s="382"/>
      <c r="R746" s="382"/>
      <c r="S746" s="382"/>
      <c r="T746" s="382"/>
      <c r="U746" s="382"/>
      <c r="V746"/>
      <c r="W746"/>
      <c r="X746"/>
      <c r="Y746"/>
    </row>
    <row r="747" spans="1:25" ht="15.75">
      <c r="A747" s="684"/>
      <c r="B747" s="689" t="s">
        <v>1080</v>
      </c>
      <c r="C747" s="383">
        <v>0</v>
      </c>
      <c r="D747" s="384">
        <v>0</v>
      </c>
      <c r="E747" s="384">
        <v>0</v>
      </c>
      <c r="F747" s="384">
        <v>0</v>
      </c>
      <c r="G747" s="384">
        <v>0</v>
      </c>
      <c r="H747" s="385">
        <v>0</v>
      </c>
      <c r="I747" s="385">
        <v>0</v>
      </c>
      <c r="J747" s="384">
        <v>0</v>
      </c>
      <c r="K747" s="384">
        <v>0</v>
      </c>
      <c r="L747" s="384">
        <v>0</v>
      </c>
      <c r="M747" s="385">
        <v>0</v>
      </c>
      <c r="N747" s="385">
        <v>0</v>
      </c>
      <c r="O747" s="384">
        <v>0</v>
      </c>
      <c r="P747" s="384">
        <v>0</v>
      </c>
      <c r="Q747" s="385">
        <v>0</v>
      </c>
      <c r="R747" s="385">
        <v>0</v>
      </c>
      <c r="S747" s="385">
        <v>0</v>
      </c>
      <c r="T747" s="385">
        <v>0</v>
      </c>
      <c r="U747" s="385">
        <v>0</v>
      </c>
      <c r="V747"/>
      <c r="W747"/>
      <c r="X747"/>
      <c r="Y747"/>
    </row>
    <row r="748" spans="1:25" ht="15.75">
      <c r="A748" s="684"/>
      <c r="B748" s="687" t="s">
        <v>1081</v>
      </c>
      <c r="C748" s="674">
        <v>88</v>
      </c>
      <c r="D748" s="675"/>
      <c r="E748" s="675"/>
      <c r="F748" s="675"/>
      <c r="G748" s="675"/>
      <c r="H748" s="676"/>
      <c r="I748" s="676">
        <v>88</v>
      </c>
      <c r="J748" s="675"/>
      <c r="K748" s="675"/>
      <c r="L748" s="675"/>
      <c r="M748" s="676"/>
      <c r="N748" s="676"/>
      <c r="O748" s="675"/>
      <c r="P748" s="675"/>
      <c r="Q748" s="676"/>
      <c r="R748" s="676"/>
      <c r="S748" s="676"/>
      <c r="T748" s="676"/>
      <c r="U748" s="676">
        <v>88</v>
      </c>
      <c r="V748"/>
      <c r="W748"/>
      <c r="X748"/>
      <c r="Y748"/>
    </row>
    <row r="749" spans="1:25" s="386" customFormat="1" ht="15.75">
      <c r="A749" s="684"/>
      <c r="B749" s="688" t="s">
        <v>1082</v>
      </c>
      <c r="C749" s="380">
        <v>86</v>
      </c>
      <c r="D749" s="381"/>
      <c r="E749" s="381"/>
      <c r="F749" s="381"/>
      <c r="G749" s="381"/>
      <c r="H749" s="382"/>
      <c r="I749" s="382">
        <v>86</v>
      </c>
      <c r="J749" s="381"/>
      <c r="K749" s="381"/>
      <c r="L749" s="381"/>
      <c r="M749" s="382"/>
      <c r="N749" s="382"/>
      <c r="O749" s="381"/>
      <c r="P749" s="381"/>
      <c r="Q749" s="382"/>
      <c r="R749" s="382"/>
      <c r="S749" s="382"/>
      <c r="T749" s="382"/>
      <c r="U749" s="382">
        <v>86</v>
      </c>
      <c r="V749"/>
      <c r="W749"/>
      <c r="X749"/>
      <c r="Y749"/>
    </row>
    <row r="750" spans="1:25" ht="15.75">
      <c r="A750" s="684"/>
      <c r="B750" s="689" t="s">
        <v>1083</v>
      </c>
      <c r="C750" s="383">
        <v>-2.2727272727272728E-2</v>
      </c>
      <c r="D750" s="384">
        <v>0</v>
      </c>
      <c r="E750" s="384">
        <v>0</v>
      </c>
      <c r="F750" s="384">
        <v>0</v>
      </c>
      <c r="G750" s="384">
        <v>0</v>
      </c>
      <c r="H750" s="385">
        <v>0</v>
      </c>
      <c r="I750" s="385">
        <v>-2.2727272727272728E-2</v>
      </c>
      <c r="J750" s="384">
        <v>0</v>
      </c>
      <c r="K750" s="384">
        <v>0</v>
      </c>
      <c r="L750" s="384">
        <v>0</v>
      </c>
      <c r="M750" s="385">
        <v>0</v>
      </c>
      <c r="N750" s="385">
        <v>0</v>
      </c>
      <c r="O750" s="384">
        <v>0</v>
      </c>
      <c r="P750" s="384">
        <v>0</v>
      </c>
      <c r="Q750" s="385">
        <v>0</v>
      </c>
      <c r="R750" s="385">
        <v>0</v>
      </c>
      <c r="S750" s="385">
        <v>0</v>
      </c>
      <c r="T750" s="385">
        <v>0</v>
      </c>
      <c r="U750" s="385">
        <v>-2.2727272727272728E-2</v>
      </c>
      <c r="V750"/>
      <c r="W750"/>
      <c r="X750"/>
      <c r="Y750"/>
    </row>
    <row r="751" spans="1:25" ht="15.75">
      <c r="A751" s="684"/>
      <c r="B751" s="687" t="s">
        <v>1084</v>
      </c>
      <c r="C751" s="674"/>
      <c r="D751" s="675"/>
      <c r="E751" s="675"/>
      <c r="F751" s="675"/>
      <c r="G751" s="675"/>
      <c r="H751" s="676"/>
      <c r="I751" s="676"/>
      <c r="J751" s="675"/>
      <c r="K751" s="675"/>
      <c r="L751" s="675"/>
      <c r="M751" s="676"/>
      <c r="N751" s="676"/>
      <c r="O751" s="675"/>
      <c r="P751" s="675"/>
      <c r="Q751" s="676"/>
      <c r="R751" s="676"/>
      <c r="S751" s="676"/>
      <c r="T751" s="676"/>
      <c r="U751" s="676"/>
      <c r="V751"/>
      <c r="W751"/>
      <c r="X751"/>
      <c r="Y751"/>
    </row>
    <row r="752" spans="1:25" s="386" customFormat="1" ht="15.75">
      <c r="A752" s="684"/>
      <c r="B752" s="688" t="s">
        <v>1085</v>
      </c>
      <c r="C752" s="380"/>
      <c r="D752" s="381"/>
      <c r="E752" s="381"/>
      <c r="F752" s="381"/>
      <c r="G752" s="381"/>
      <c r="H752" s="382"/>
      <c r="I752" s="382"/>
      <c r="J752" s="381"/>
      <c r="K752" s="381"/>
      <c r="L752" s="381"/>
      <c r="M752" s="382"/>
      <c r="N752" s="382"/>
      <c r="O752" s="381"/>
      <c r="P752" s="381"/>
      <c r="Q752" s="382"/>
      <c r="R752" s="382"/>
      <c r="S752" s="382"/>
      <c r="T752" s="382"/>
      <c r="U752" s="382"/>
      <c r="V752"/>
      <c r="W752"/>
      <c r="X752"/>
      <c r="Y752"/>
    </row>
    <row r="753" spans="1:25" ht="15.75">
      <c r="A753" s="684"/>
      <c r="B753" s="689" t="s">
        <v>1086</v>
      </c>
      <c r="C753" s="383">
        <v>0</v>
      </c>
      <c r="D753" s="384">
        <v>0</v>
      </c>
      <c r="E753" s="384">
        <v>0</v>
      </c>
      <c r="F753" s="384">
        <v>0</v>
      </c>
      <c r="G753" s="384">
        <v>0</v>
      </c>
      <c r="H753" s="385">
        <v>0</v>
      </c>
      <c r="I753" s="385">
        <v>0</v>
      </c>
      <c r="J753" s="384">
        <v>0</v>
      </c>
      <c r="K753" s="384">
        <v>0</v>
      </c>
      <c r="L753" s="384">
        <v>0</v>
      </c>
      <c r="M753" s="385">
        <v>0</v>
      </c>
      <c r="N753" s="385">
        <v>0</v>
      </c>
      <c r="O753" s="384">
        <v>0</v>
      </c>
      <c r="P753" s="384">
        <v>0</v>
      </c>
      <c r="Q753" s="385">
        <v>0</v>
      </c>
      <c r="R753" s="385">
        <v>0</v>
      </c>
      <c r="S753" s="385">
        <v>0</v>
      </c>
      <c r="T753" s="385">
        <v>0</v>
      </c>
      <c r="U753" s="385">
        <v>0</v>
      </c>
      <c r="V753"/>
      <c r="W753"/>
      <c r="X753"/>
      <c r="Y753"/>
    </row>
    <row r="754" spans="1:25" ht="15.75">
      <c r="A754" s="684"/>
      <c r="B754" s="687" t="s">
        <v>1248</v>
      </c>
      <c r="C754" s="674"/>
      <c r="D754" s="675"/>
      <c r="E754" s="675"/>
      <c r="F754" s="675"/>
      <c r="G754" s="675"/>
      <c r="H754" s="676"/>
      <c r="I754" s="676"/>
      <c r="J754" s="675"/>
      <c r="K754" s="675"/>
      <c r="L754" s="675"/>
      <c r="M754" s="676"/>
      <c r="N754" s="676"/>
      <c r="O754" s="675"/>
      <c r="P754" s="675"/>
      <c r="Q754" s="676"/>
      <c r="R754" s="676"/>
      <c r="S754" s="676"/>
      <c r="T754" s="676"/>
      <c r="U754" s="676"/>
      <c r="V754"/>
      <c r="W754"/>
      <c r="X754"/>
      <c r="Y754"/>
    </row>
    <row r="755" spans="1:25" s="386" customFormat="1" ht="15.75">
      <c r="A755" s="685"/>
      <c r="B755" s="690" t="s">
        <v>1250</v>
      </c>
      <c r="C755" s="576"/>
      <c r="D755" s="577"/>
      <c r="E755" s="577"/>
      <c r="F755" s="577"/>
      <c r="G755" s="577"/>
      <c r="H755" s="578"/>
      <c r="I755" s="578"/>
      <c r="J755" s="577"/>
      <c r="K755" s="577"/>
      <c r="L755" s="577"/>
      <c r="M755" s="578"/>
      <c r="N755" s="578"/>
      <c r="O755" s="577"/>
      <c r="P755" s="577"/>
      <c r="Q755" s="578"/>
      <c r="R755" s="578"/>
      <c r="S755" s="578"/>
      <c r="T755" s="578"/>
      <c r="U755" s="578"/>
      <c r="V755"/>
      <c r="W755"/>
      <c r="X755"/>
      <c r="Y755"/>
    </row>
    <row r="756" spans="1:25" ht="15.75">
      <c r="A756" s="683" t="s">
        <v>70</v>
      </c>
      <c r="B756" s="687" t="s">
        <v>1039</v>
      </c>
      <c r="C756" s="674"/>
      <c r="D756" s="675"/>
      <c r="E756" s="675"/>
      <c r="F756" s="675"/>
      <c r="G756" s="675"/>
      <c r="H756" s="676"/>
      <c r="I756" s="676"/>
      <c r="J756" s="675">
        <v>53</v>
      </c>
      <c r="K756" s="675"/>
      <c r="L756" s="675">
        <v>111</v>
      </c>
      <c r="M756" s="676">
        <v>384</v>
      </c>
      <c r="N756" s="676">
        <v>548</v>
      </c>
      <c r="O756" s="675"/>
      <c r="P756" s="675"/>
      <c r="Q756" s="676"/>
      <c r="R756" s="676"/>
      <c r="S756" s="676"/>
      <c r="T756" s="676"/>
      <c r="U756" s="676">
        <v>548</v>
      </c>
      <c r="V756"/>
      <c r="W756"/>
      <c r="X756"/>
      <c r="Y756"/>
    </row>
    <row r="757" spans="1:25" ht="15.75">
      <c r="A757" s="684"/>
      <c r="B757" s="688" t="s">
        <v>1040</v>
      </c>
      <c r="C757" s="380"/>
      <c r="D757" s="381"/>
      <c r="E757" s="381"/>
      <c r="F757" s="381"/>
      <c r="G757" s="381"/>
      <c r="H757" s="382"/>
      <c r="I757" s="382"/>
      <c r="J757" s="381">
        <v>33</v>
      </c>
      <c r="K757" s="381"/>
      <c r="L757" s="381">
        <v>118</v>
      </c>
      <c r="M757" s="382">
        <v>353</v>
      </c>
      <c r="N757" s="382">
        <v>504</v>
      </c>
      <c r="O757" s="381"/>
      <c r="P757" s="381"/>
      <c r="Q757" s="382"/>
      <c r="R757" s="382"/>
      <c r="S757" s="382"/>
      <c r="T757" s="382"/>
      <c r="U757" s="382">
        <v>504</v>
      </c>
      <c r="V757"/>
      <c r="W757"/>
      <c r="X757"/>
      <c r="Y757"/>
    </row>
    <row r="758" spans="1:25" s="386" customFormat="1" ht="15.75">
      <c r="A758" s="684"/>
      <c r="B758" s="689" t="s">
        <v>1041</v>
      </c>
      <c r="C758" s="383">
        <v>0</v>
      </c>
      <c r="D758" s="384">
        <v>0</v>
      </c>
      <c r="E758" s="384">
        <v>0</v>
      </c>
      <c r="F758" s="384">
        <v>0</v>
      </c>
      <c r="G758" s="384">
        <v>0</v>
      </c>
      <c r="H758" s="385">
        <v>0</v>
      </c>
      <c r="I758" s="385">
        <v>0</v>
      </c>
      <c r="J758" s="384">
        <v>-0.37735849056603776</v>
      </c>
      <c r="K758" s="384">
        <v>0</v>
      </c>
      <c r="L758" s="384">
        <v>6.3063063063063057E-2</v>
      </c>
      <c r="M758" s="385">
        <v>-8.0729166666666671E-2</v>
      </c>
      <c r="N758" s="385">
        <v>-8.0291970802919707E-2</v>
      </c>
      <c r="O758" s="384">
        <v>0</v>
      </c>
      <c r="P758" s="384">
        <v>0</v>
      </c>
      <c r="Q758" s="385">
        <v>0</v>
      </c>
      <c r="R758" s="385">
        <v>0</v>
      </c>
      <c r="S758" s="385">
        <v>0</v>
      </c>
      <c r="T758" s="385">
        <v>0</v>
      </c>
      <c r="U758" s="385">
        <v>-8.0291970802919707E-2</v>
      </c>
      <c r="V758"/>
      <c r="W758"/>
      <c r="X758"/>
      <c r="Y758"/>
    </row>
    <row r="759" spans="1:25" ht="15.75">
      <c r="A759" s="684"/>
      <c r="B759" s="687" t="s">
        <v>1042</v>
      </c>
      <c r="C759" s="674"/>
      <c r="D759" s="675"/>
      <c r="E759" s="675"/>
      <c r="F759" s="675"/>
      <c r="G759" s="675"/>
      <c r="H759" s="676"/>
      <c r="I759" s="676"/>
      <c r="J759" s="675"/>
      <c r="K759" s="675"/>
      <c r="L759" s="675"/>
      <c r="M759" s="676"/>
      <c r="N759" s="676"/>
      <c r="O759" s="675"/>
      <c r="P759" s="675"/>
      <c r="Q759" s="676"/>
      <c r="R759" s="676"/>
      <c r="S759" s="676"/>
      <c r="T759" s="676"/>
      <c r="U759" s="676"/>
      <c r="V759"/>
      <c r="W759"/>
      <c r="X759"/>
      <c r="Y759"/>
    </row>
    <row r="760" spans="1:25" ht="15.75">
      <c r="A760" s="684"/>
      <c r="B760" s="688" t="s">
        <v>1043</v>
      </c>
      <c r="C760" s="380"/>
      <c r="D760" s="381"/>
      <c r="E760" s="381"/>
      <c r="F760" s="381"/>
      <c r="G760" s="381"/>
      <c r="H760" s="382"/>
      <c r="I760" s="382"/>
      <c r="J760" s="381"/>
      <c r="K760" s="381"/>
      <c r="L760" s="381"/>
      <c r="M760" s="382"/>
      <c r="N760" s="382"/>
      <c r="O760" s="381"/>
      <c r="P760" s="381"/>
      <c r="Q760" s="382"/>
      <c r="R760" s="382"/>
      <c r="S760" s="382"/>
      <c r="T760" s="382"/>
      <c r="U760" s="382"/>
      <c r="V760"/>
      <c r="W760"/>
      <c r="X760"/>
      <c r="Y760"/>
    </row>
    <row r="761" spans="1:25" s="386" customFormat="1" ht="15.75">
      <c r="A761" s="684"/>
      <c r="B761" s="689" t="s">
        <v>1044</v>
      </c>
      <c r="C761" s="383">
        <v>0</v>
      </c>
      <c r="D761" s="384">
        <v>0</v>
      </c>
      <c r="E761" s="384">
        <v>0</v>
      </c>
      <c r="F761" s="384">
        <v>0</v>
      </c>
      <c r="G761" s="384">
        <v>0</v>
      </c>
      <c r="H761" s="385">
        <v>0</v>
      </c>
      <c r="I761" s="385">
        <v>0</v>
      </c>
      <c r="J761" s="384">
        <v>0</v>
      </c>
      <c r="K761" s="384">
        <v>0</v>
      </c>
      <c r="L761" s="384">
        <v>0</v>
      </c>
      <c r="M761" s="385">
        <v>0</v>
      </c>
      <c r="N761" s="385">
        <v>0</v>
      </c>
      <c r="O761" s="384">
        <v>0</v>
      </c>
      <c r="P761" s="384">
        <v>0</v>
      </c>
      <c r="Q761" s="385">
        <v>0</v>
      </c>
      <c r="R761" s="385">
        <v>0</v>
      </c>
      <c r="S761" s="385">
        <v>0</v>
      </c>
      <c r="T761" s="385">
        <v>0</v>
      </c>
      <c r="U761" s="385">
        <v>0</v>
      </c>
      <c r="V761"/>
      <c r="W761"/>
      <c r="X761"/>
      <c r="Y761"/>
    </row>
    <row r="762" spans="1:25" ht="15.75">
      <c r="A762" s="684"/>
      <c r="B762" s="687" t="s">
        <v>1045</v>
      </c>
      <c r="C762" s="674"/>
      <c r="D762" s="675"/>
      <c r="E762" s="675">
        <v>100</v>
      </c>
      <c r="F762" s="675"/>
      <c r="G762" s="675">
        <v>78</v>
      </c>
      <c r="H762" s="676">
        <v>149</v>
      </c>
      <c r="I762" s="676">
        <v>327</v>
      </c>
      <c r="J762" s="675">
        <v>518</v>
      </c>
      <c r="K762" s="675"/>
      <c r="L762" s="675">
        <v>313</v>
      </c>
      <c r="M762" s="676">
        <v>1540</v>
      </c>
      <c r="N762" s="676">
        <v>2371</v>
      </c>
      <c r="O762" s="675"/>
      <c r="P762" s="675"/>
      <c r="Q762" s="676"/>
      <c r="R762" s="676"/>
      <c r="S762" s="676"/>
      <c r="T762" s="676"/>
      <c r="U762" s="676">
        <v>2698</v>
      </c>
      <c r="V762"/>
      <c r="W762"/>
      <c r="X762"/>
      <c r="Y762"/>
    </row>
    <row r="763" spans="1:25" ht="15.75">
      <c r="A763" s="684"/>
      <c r="B763" s="688" t="s">
        <v>1046</v>
      </c>
      <c r="C763" s="380"/>
      <c r="D763" s="381"/>
      <c r="E763" s="381">
        <v>111</v>
      </c>
      <c r="F763" s="381"/>
      <c r="G763" s="381">
        <v>107</v>
      </c>
      <c r="H763" s="382">
        <v>156</v>
      </c>
      <c r="I763" s="382">
        <v>374</v>
      </c>
      <c r="J763" s="381">
        <v>510</v>
      </c>
      <c r="K763" s="381"/>
      <c r="L763" s="381">
        <v>273</v>
      </c>
      <c r="M763" s="382">
        <v>1545</v>
      </c>
      <c r="N763" s="382">
        <v>2328</v>
      </c>
      <c r="O763" s="381"/>
      <c r="P763" s="381"/>
      <c r="Q763" s="382"/>
      <c r="R763" s="382"/>
      <c r="S763" s="382"/>
      <c r="T763" s="382"/>
      <c r="U763" s="382">
        <v>2702</v>
      </c>
      <c r="V763"/>
      <c r="W763"/>
      <c r="X763"/>
      <c r="Y763"/>
    </row>
    <row r="764" spans="1:25" s="386" customFormat="1" ht="15.75">
      <c r="A764" s="684"/>
      <c r="B764" s="689" t="s">
        <v>1047</v>
      </c>
      <c r="C764" s="383">
        <v>0</v>
      </c>
      <c r="D764" s="384">
        <v>0</v>
      </c>
      <c r="E764" s="384">
        <v>0.11</v>
      </c>
      <c r="F764" s="384">
        <v>0</v>
      </c>
      <c r="G764" s="384">
        <v>0.37179487179487181</v>
      </c>
      <c r="H764" s="692">
        <v>4.6979865771812082E-2</v>
      </c>
      <c r="I764" s="385">
        <v>0.14373088685015289</v>
      </c>
      <c r="J764" s="384">
        <v>-1.5444015444015444E-2</v>
      </c>
      <c r="K764" s="384">
        <v>0</v>
      </c>
      <c r="L764" s="384">
        <v>-0.12779552715654952</v>
      </c>
      <c r="M764" s="385">
        <v>3.246753246753247E-3</v>
      </c>
      <c r="N764" s="385">
        <v>-1.8135807676086038E-2</v>
      </c>
      <c r="O764" s="384">
        <v>0</v>
      </c>
      <c r="P764" s="384">
        <v>0</v>
      </c>
      <c r="Q764" s="385">
        <v>0</v>
      </c>
      <c r="R764" s="385">
        <v>0</v>
      </c>
      <c r="S764" s="385">
        <v>0</v>
      </c>
      <c r="T764" s="385">
        <v>0</v>
      </c>
      <c r="U764" s="385">
        <v>1.4825796886582653E-3</v>
      </c>
      <c r="V764"/>
      <c r="W764"/>
      <c r="X764"/>
      <c r="Y764"/>
    </row>
    <row r="765" spans="1:25" ht="15.75">
      <c r="A765" s="684"/>
      <c r="B765" s="687" t="s">
        <v>1048</v>
      </c>
      <c r="C765" s="674">
        <v>3790</v>
      </c>
      <c r="D765" s="675"/>
      <c r="E765" s="675">
        <v>1450</v>
      </c>
      <c r="F765" s="675"/>
      <c r="G765" s="675">
        <v>671</v>
      </c>
      <c r="H765" s="676">
        <v>2412</v>
      </c>
      <c r="I765" s="676">
        <v>8323</v>
      </c>
      <c r="J765" s="675">
        <v>206</v>
      </c>
      <c r="K765" s="675"/>
      <c r="L765" s="675"/>
      <c r="M765" s="676"/>
      <c r="N765" s="676">
        <v>206</v>
      </c>
      <c r="O765" s="675"/>
      <c r="P765" s="675"/>
      <c r="Q765" s="676"/>
      <c r="R765" s="676"/>
      <c r="S765" s="676"/>
      <c r="T765" s="676"/>
      <c r="U765" s="676">
        <v>8529</v>
      </c>
      <c r="V765"/>
      <c r="W765"/>
      <c r="X765"/>
      <c r="Y765"/>
    </row>
    <row r="766" spans="1:25" ht="15.75">
      <c r="A766" s="684"/>
      <c r="B766" s="688" t="s">
        <v>1049</v>
      </c>
      <c r="C766" s="380">
        <v>3892</v>
      </c>
      <c r="D766" s="381"/>
      <c r="E766" s="381">
        <v>1400</v>
      </c>
      <c r="F766" s="381"/>
      <c r="G766" s="381">
        <v>645</v>
      </c>
      <c r="H766" s="382">
        <v>2305</v>
      </c>
      <c r="I766" s="382">
        <v>8242</v>
      </c>
      <c r="J766" s="381">
        <v>197</v>
      </c>
      <c r="K766" s="381"/>
      <c r="L766" s="381"/>
      <c r="M766" s="382"/>
      <c r="N766" s="382">
        <v>197</v>
      </c>
      <c r="O766" s="381"/>
      <c r="P766" s="381"/>
      <c r="Q766" s="382"/>
      <c r="R766" s="382"/>
      <c r="S766" s="382"/>
      <c r="T766" s="382"/>
      <c r="U766" s="382">
        <v>8439</v>
      </c>
      <c r="V766"/>
      <c r="W766"/>
      <c r="X766"/>
      <c r="Y766"/>
    </row>
    <row r="767" spans="1:25" s="386" customFormat="1" ht="15.75">
      <c r="A767" s="684"/>
      <c r="B767" s="689" t="s">
        <v>1050</v>
      </c>
      <c r="C767" s="383">
        <v>2.6912928759894459E-2</v>
      </c>
      <c r="D767" s="384">
        <v>0</v>
      </c>
      <c r="E767" s="384">
        <v>-3.4482758620689655E-2</v>
      </c>
      <c r="F767" s="384">
        <v>0</v>
      </c>
      <c r="G767" s="384">
        <v>-3.8748137108792845E-2</v>
      </c>
      <c r="H767" s="385">
        <v>-4.4361525704809286E-2</v>
      </c>
      <c r="I767" s="385">
        <v>-9.7320677640273939E-3</v>
      </c>
      <c r="J767" s="384">
        <v>-4.3689320388349516E-2</v>
      </c>
      <c r="K767" s="384">
        <v>0</v>
      </c>
      <c r="L767" s="384">
        <v>0</v>
      </c>
      <c r="M767" s="385">
        <v>0</v>
      </c>
      <c r="N767" s="385">
        <v>-4.3689320388349516E-2</v>
      </c>
      <c r="O767" s="384">
        <v>0</v>
      </c>
      <c r="P767" s="384">
        <v>0</v>
      </c>
      <c r="Q767" s="385">
        <v>0</v>
      </c>
      <c r="R767" s="385">
        <v>0</v>
      </c>
      <c r="S767" s="385">
        <v>0</v>
      </c>
      <c r="T767" s="385">
        <v>0</v>
      </c>
      <c r="U767" s="385">
        <v>-1.0552233556102708E-2</v>
      </c>
      <c r="V767"/>
      <c r="W767"/>
      <c r="X767"/>
      <c r="Y767"/>
    </row>
    <row r="768" spans="1:25" ht="15.75">
      <c r="A768" s="684"/>
      <c r="B768" s="687" t="s">
        <v>1051</v>
      </c>
      <c r="C768" s="674"/>
      <c r="D768" s="675"/>
      <c r="E768" s="675"/>
      <c r="F768" s="675"/>
      <c r="G768" s="675"/>
      <c r="H768" s="676"/>
      <c r="I768" s="676"/>
      <c r="J768" s="675"/>
      <c r="K768" s="675"/>
      <c r="L768" s="675"/>
      <c r="M768" s="676"/>
      <c r="N768" s="676"/>
      <c r="O768" s="675"/>
      <c r="P768" s="675"/>
      <c r="Q768" s="676"/>
      <c r="R768" s="676"/>
      <c r="S768" s="676"/>
      <c r="T768" s="676"/>
      <c r="U768" s="676"/>
      <c r="V768"/>
      <c r="W768"/>
      <c r="X768"/>
      <c r="Y768"/>
    </row>
    <row r="769" spans="1:25" ht="15.75">
      <c r="A769" s="684"/>
      <c r="B769" s="688" t="s">
        <v>1052</v>
      </c>
      <c r="C769" s="380"/>
      <c r="D769" s="381"/>
      <c r="E769" s="381"/>
      <c r="F769" s="381"/>
      <c r="G769" s="381"/>
      <c r="H769" s="382"/>
      <c r="I769" s="382"/>
      <c r="J769" s="381"/>
      <c r="K769" s="381"/>
      <c r="L769" s="381"/>
      <c r="M769" s="382"/>
      <c r="N769" s="382"/>
      <c r="O769" s="381"/>
      <c r="P769" s="381"/>
      <c r="Q769" s="382"/>
      <c r="R769" s="382"/>
      <c r="S769" s="382"/>
      <c r="T769" s="382"/>
      <c r="U769" s="382"/>
      <c r="V769"/>
      <c r="W769"/>
      <c r="X769"/>
      <c r="Y769"/>
    </row>
    <row r="770" spans="1:25" s="386" customFormat="1" ht="15.75">
      <c r="A770" s="684"/>
      <c r="B770" s="689" t="s">
        <v>1053</v>
      </c>
      <c r="C770" s="383">
        <v>0</v>
      </c>
      <c r="D770" s="384">
        <v>0</v>
      </c>
      <c r="E770" s="384">
        <v>0</v>
      </c>
      <c r="F770" s="384">
        <v>0</v>
      </c>
      <c r="G770" s="384">
        <v>0</v>
      </c>
      <c r="H770" s="385">
        <v>0</v>
      </c>
      <c r="I770" s="385">
        <v>0</v>
      </c>
      <c r="J770" s="384">
        <v>0</v>
      </c>
      <c r="K770" s="384">
        <v>0</v>
      </c>
      <c r="L770" s="384">
        <v>0</v>
      </c>
      <c r="M770" s="385">
        <v>0</v>
      </c>
      <c r="N770" s="385">
        <v>0</v>
      </c>
      <c r="O770" s="384">
        <v>0</v>
      </c>
      <c r="P770" s="384">
        <v>0</v>
      </c>
      <c r="Q770" s="385">
        <v>0</v>
      </c>
      <c r="R770" s="385">
        <v>0</v>
      </c>
      <c r="S770" s="385">
        <v>0</v>
      </c>
      <c r="T770" s="385">
        <v>0</v>
      </c>
      <c r="U770" s="385">
        <v>0</v>
      </c>
      <c r="V770"/>
      <c r="W770"/>
      <c r="X770"/>
      <c r="Y770"/>
    </row>
    <row r="771" spans="1:25" ht="15.75">
      <c r="A771" s="684"/>
      <c r="B771" s="687" t="s">
        <v>1054</v>
      </c>
      <c r="C771" s="674">
        <v>1527</v>
      </c>
      <c r="D771" s="675"/>
      <c r="E771" s="675">
        <v>876</v>
      </c>
      <c r="F771" s="675"/>
      <c r="G771" s="675">
        <v>65</v>
      </c>
      <c r="H771" s="676">
        <v>85</v>
      </c>
      <c r="I771" s="676">
        <v>2553</v>
      </c>
      <c r="J771" s="675">
        <v>0</v>
      </c>
      <c r="K771" s="675"/>
      <c r="L771" s="675">
        <v>0</v>
      </c>
      <c r="M771" s="676">
        <v>0</v>
      </c>
      <c r="N771" s="676">
        <v>0</v>
      </c>
      <c r="O771" s="675"/>
      <c r="P771" s="675"/>
      <c r="Q771" s="676"/>
      <c r="R771" s="676"/>
      <c r="S771" s="676">
        <v>0</v>
      </c>
      <c r="T771" s="676">
        <v>0</v>
      </c>
      <c r="U771" s="676">
        <v>2553</v>
      </c>
      <c r="V771"/>
      <c r="W771"/>
      <c r="X771"/>
      <c r="Y771"/>
    </row>
    <row r="772" spans="1:25" ht="15.75">
      <c r="A772" s="684"/>
      <c r="B772" s="688" t="s">
        <v>1055</v>
      </c>
      <c r="C772" s="380">
        <v>1481</v>
      </c>
      <c r="D772" s="381"/>
      <c r="E772" s="381">
        <v>907</v>
      </c>
      <c r="F772" s="381"/>
      <c r="G772" s="381">
        <v>85</v>
      </c>
      <c r="H772" s="382">
        <v>84</v>
      </c>
      <c r="I772" s="382">
        <v>2557</v>
      </c>
      <c r="J772" s="381">
        <v>0</v>
      </c>
      <c r="K772" s="381"/>
      <c r="L772" s="381">
        <v>0</v>
      </c>
      <c r="M772" s="382">
        <v>0</v>
      </c>
      <c r="N772" s="382">
        <v>0</v>
      </c>
      <c r="O772" s="381"/>
      <c r="P772" s="381"/>
      <c r="Q772" s="382"/>
      <c r="R772" s="382"/>
      <c r="S772" s="382">
        <v>0</v>
      </c>
      <c r="T772" s="382">
        <v>0</v>
      </c>
      <c r="U772" s="382">
        <v>2557</v>
      </c>
      <c r="V772"/>
      <c r="W772"/>
      <c r="X772"/>
      <c r="Y772"/>
    </row>
    <row r="773" spans="1:25" s="386" customFormat="1" ht="15.75">
      <c r="A773" s="684"/>
      <c r="B773" s="689" t="s">
        <v>1056</v>
      </c>
      <c r="C773" s="383">
        <v>-3.0124426981008513E-2</v>
      </c>
      <c r="D773" s="384">
        <v>0</v>
      </c>
      <c r="E773" s="384">
        <v>3.5388127853881277E-2</v>
      </c>
      <c r="F773" s="384">
        <v>0</v>
      </c>
      <c r="G773" s="384">
        <v>0.30769230769230771</v>
      </c>
      <c r="H773" s="385">
        <v>-1.1764705882352941E-2</v>
      </c>
      <c r="I773" s="385">
        <v>1.5667841754798276E-3</v>
      </c>
      <c r="J773" s="384">
        <v>0</v>
      </c>
      <c r="K773" s="384">
        <v>0</v>
      </c>
      <c r="L773" s="384">
        <v>0</v>
      </c>
      <c r="M773" s="385">
        <v>0</v>
      </c>
      <c r="N773" s="385">
        <v>0</v>
      </c>
      <c r="O773" s="384">
        <v>0</v>
      </c>
      <c r="P773" s="384">
        <v>0</v>
      </c>
      <c r="Q773" s="385">
        <v>0</v>
      </c>
      <c r="R773" s="385">
        <v>0</v>
      </c>
      <c r="S773" s="385">
        <v>0</v>
      </c>
      <c r="T773" s="385">
        <v>0</v>
      </c>
      <c r="U773" s="385">
        <v>1.5667841754798276E-3</v>
      </c>
      <c r="V773"/>
      <c r="W773"/>
      <c r="X773"/>
      <c r="Y773"/>
    </row>
    <row r="774" spans="1:25" ht="15.75">
      <c r="A774" s="684"/>
      <c r="B774" s="687" t="s">
        <v>1057</v>
      </c>
      <c r="C774" s="674">
        <v>204</v>
      </c>
      <c r="D774" s="675"/>
      <c r="E774" s="675">
        <v>17</v>
      </c>
      <c r="F774" s="675"/>
      <c r="G774" s="675">
        <v>0</v>
      </c>
      <c r="H774" s="676">
        <v>0</v>
      </c>
      <c r="I774" s="676">
        <v>221</v>
      </c>
      <c r="J774" s="675">
        <v>0</v>
      </c>
      <c r="K774" s="675"/>
      <c r="L774" s="675">
        <v>0</v>
      </c>
      <c r="M774" s="676">
        <v>0</v>
      </c>
      <c r="N774" s="676">
        <v>0</v>
      </c>
      <c r="O774" s="675"/>
      <c r="P774" s="675"/>
      <c r="Q774" s="676"/>
      <c r="R774" s="676"/>
      <c r="S774" s="676">
        <v>0</v>
      </c>
      <c r="T774" s="676">
        <v>0</v>
      </c>
      <c r="U774" s="676">
        <v>221</v>
      </c>
      <c r="V774"/>
      <c r="W774"/>
      <c r="X774"/>
      <c r="Y774"/>
    </row>
    <row r="775" spans="1:25" ht="15.75">
      <c r="A775" s="684"/>
      <c r="B775" s="688" t="s">
        <v>1058</v>
      </c>
      <c r="C775" s="380">
        <v>186</v>
      </c>
      <c r="D775" s="381"/>
      <c r="E775" s="381">
        <v>15</v>
      </c>
      <c r="F775" s="381"/>
      <c r="G775" s="381">
        <v>0</v>
      </c>
      <c r="H775" s="382">
        <v>0</v>
      </c>
      <c r="I775" s="382">
        <v>201</v>
      </c>
      <c r="J775" s="381">
        <v>0</v>
      </c>
      <c r="K775" s="381"/>
      <c r="L775" s="381">
        <v>0</v>
      </c>
      <c r="M775" s="382">
        <v>0</v>
      </c>
      <c r="N775" s="382">
        <v>0</v>
      </c>
      <c r="O775" s="381"/>
      <c r="P775" s="381"/>
      <c r="Q775" s="382"/>
      <c r="R775" s="382"/>
      <c r="S775" s="382">
        <v>0</v>
      </c>
      <c r="T775" s="382">
        <v>0</v>
      </c>
      <c r="U775" s="382">
        <v>201</v>
      </c>
      <c r="V775"/>
      <c r="W775"/>
      <c r="X775"/>
      <c r="Y775"/>
    </row>
    <row r="776" spans="1:25" s="386" customFormat="1" ht="15.75">
      <c r="A776" s="684"/>
      <c r="B776" s="689" t="s">
        <v>1059</v>
      </c>
      <c r="C776" s="383">
        <v>-8.8235294117647065E-2</v>
      </c>
      <c r="D776" s="384">
        <v>0</v>
      </c>
      <c r="E776" s="384">
        <v>-0.11764705882352941</v>
      </c>
      <c r="F776" s="384">
        <v>0</v>
      </c>
      <c r="G776" s="384">
        <v>0</v>
      </c>
      <c r="H776" s="385">
        <v>0</v>
      </c>
      <c r="I776" s="385">
        <v>-9.0497737556561084E-2</v>
      </c>
      <c r="J776" s="384">
        <v>0</v>
      </c>
      <c r="K776" s="384">
        <v>0</v>
      </c>
      <c r="L776" s="384">
        <v>0</v>
      </c>
      <c r="M776" s="385">
        <v>0</v>
      </c>
      <c r="N776" s="385">
        <v>0</v>
      </c>
      <c r="O776" s="384">
        <v>0</v>
      </c>
      <c r="P776" s="384">
        <v>0</v>
      </c>
      <c r="Q776" s="385">
        <v>0</v>
      </c>
      <c r="R776" s="385">
        <v>0</v>
      </c>
      <c r="S776" s="385">
        <v>0</v>
      </c>
      <c r="T776" s="385">
        <v>0</v>
      </c>
      <c r="U776" s="385">
        <v>-9.0497737556561084E-2</v>
      </c>
      <c r="V776"/>
      <c r="W776"/>
      <c r="X776"/>
      <c r="Y776"/>
    </row>
    <row r="777" spans="1:25" ht="15.75">
      <c r="A777" s="684"/>
      <c r="B777" s="687" t="s">
        <v>1060</v>
      </c>
      <c r="C777" s="674">
        <v>148</v>
      </c>
      <c r="D777" s="675"/>
      <c r="E777" s="675"/>
      <c r="F777" s="675"/>
      <c r="G777" s="675"/>
      <c r="H777" s="676"/>
      <c r="I777" s="676">
        <v>148</v>
      </c>
      <c r="J777" s="675"/>
      <c r="K777" s="675"/>
      <c r="L777" s="675"/>
      <c r="M777" s="676"/>
      <c r="N777" s="676"/>
      <c r="O777" s="675"/>
      <c r="P777" s="675"/>
      <c r="Q777" s="676"/>
      <c r="R777" s="676"/>
      <c r="S777" s="676"/>
      <c r="T777" s="676"/>
      <c r="U777" s="676">
        <v>148</v>
      </c>
      <c r="V777"/>
      <c r="W777"/>
      <c r="X777"/>
      <c r="Y777"/>
    </row>
    <row r="778" spans="1:25" ht="15.75">
      <c r="A778" s="684"/>
      <c r="B778" s="688" t="s">
        <v>1061</v>
      </c>
      <c r="C778" s="380">
        <v>152</v>
      </c>
      <c r="D778" s="381"/>
      <c r="E778" s="381"/>
      <c r="F778" s="381"/>
      <c r="G778" s="381"/>
      <c r="H778" s="382"/>
      <c r="I778" s="382">
        <v>152</v>
      </c>
      <c r="J778" s="381"/>
      <c r="K778" s="381"/>
      <c r="L778" s="381"/>
      <c r="M778" s="382"/>
      <c r="N778" s="382"/>
      <c r="O778" s="381"/>
      <c r="P778" s="381"/>
      <c r="Q778" s="382"/>
      <c r="R778" s="382"/>
      <c r="S778" s="382"/>
      <c r="T778" s="382"/>
      <c r="U778" s="382">
        <v>152</v>
      </c>
      <c r="V778"/>
      <c r="W778"/>
      <c r="X778"/>
      <c r="Y778"/>
    </row>
    <row r="779" spans="1:25" s="386" customFormat="1" ht="15.75">
      <c r="A779" s="684"/>
      <c r="B779" s="689" t="s">
        <v>1062</v>
      </c>
      <c r="C779" s="383">
        <v>2.7027027027027029E-2</v>
      </c>
      <c r="D779" s="384">
        <v>0</v>
      </c>
      <c r="E779" s="384">
        <v>0</v>
      </c>
      <c r="F779" s="384">
        <v>0</v>
      </c>
      <c r="G779" s="384">
        <v>0</v>
      </c>
      <c r="H779" s="385">
        <v>0</v>
      </c>
      <c r="I779" s="385">
        <v>2.7027027027027029E-2</v>
      </c>
      <c r="J779" s="384">
        <v>0</v>
      </c>
      <c r="K779" s="384">
        <v>0</v>
      </c>
      <c r="L779" s="384">
        <v>0</v>
      </c>
      <c r="M779" s="385">
        <v>0</v>
      </c>
      <c r="N779" s="385">
        <v>0</v>
      </c>
      <c r="O779" s="384">
        <v>0</v>
      </c>
      <c r="P779" s="384">
        <v>0</v>
      </c>
      <c r="Q779" s="385">
        <v>0</v>
      </c>
      <c r="R779" s="385">
        <v>0</v>
      </c>
      <c r="S779" s="385">
        <v>0</v>
      </c>
      <c r="T779" s="385">
        <v>0</v>
      </c>
      <c r="U779" s="385">
        <v>2.7027027027027029E-2</v>
      </c>
      <c r="V779"/>
      <c r="W779"/>
      <c r="X779"/>
      <c r="Y779"/>
    </row>
    <row r="780" spans="1:25" ht="15.75">
      <c r="A780" s="684"/>
      <c r="B780" s="687" t="s">
        <v>1063</v>
      </c>
      <c r="C780" s="674">
        <v>87</v>
      </c>
      <c r="D780" s="675"/>
      <c r="E780" s="675">
        <v>42</v>
      </c>
      <c r="F780" s="675"/>
      <c r="G780" s="675"/>
      <c r="H780" s="676"/>
      <c r="I780" s="676">
        <v>129</v>
      </c>
      <c r="J780" s="675"/>
      <c r="K780" s="675"/>
      <c r="L780" s="675"/>
      <c r="M780" s="676"/>
      <c r="N780" s="676"/>
      <c r="O780" s="675"/>
      <c r="P780" s="675"/>
      <c r="Q780" s="676"/>
      <c r="R780" s="676"/>
      <c r="S780" s="676"/>
      <c r="T780" s="676"/>
      <c r="U780" s="676">
        <v>129</v>
      </c>
      <c r="V780"/>
      <c r="W780"/>
      <c r="X780"/>
      <c r="Y780"/>
    </row>
    <row r="781" spans="1:25" ht="15.75">
      <c r="A781" s="684"/>
      <c r="B781" s="688" t="s">
        <v>1064</v>
      </c>
      <c r="C781" s="380">
        <v>99</v>
      </c>
      <c r="D781" s="381"/>
      <c r="E781" s="381">
        <v>50</v>
      </c>
      <c r="F781" s="381"/>
      <c r="G781" s="381"/>
      <c r="H781" s="382"/>
      <c r="I781" s="382">
        <v>149</v>
      </c>
      <c r="J781" s="381"/>
      <c r="K781" s="381"/>
      <c r="L781" s="381"/>
      <c r="M781" s="382"/>
      <c r="N781" s="382"/>
      <c r="O781" s="381"/>
      <c r="P781" s="381"/>
      <c r="Q781" s="382"/>
      <c r="R781" s="382"/>
      <c r="S781" s="382"/>
      <c r="T781" s="382"/>
      <c r="U781" s="382">
        <v>149</v>
      </c>
      <c r="V781"/>
      <c r="W781"/>
      <c r="X781"/>
      <c r="Y781"/>
    </row>
    <row r="782" spans="1:25" s="386" customFormat="1" ht="15.75">
      <c r="A782" s="684"/>
      <c r="B782" s="689" t="s">
        <v>1065</v>
      </c>
      <c r="C782" s="383">
        <v>0.13793103448275862</v>
      </c>
      <c r="D782" s="384">
        <v>0</v>
      </c>
      <c r="E782" s="384">
        <v>0.19047619047619047</v>
      </c>
      <c r="F782" s="384">
        <v>0</v>
      </c>
      <c r="G782" s="384">
        <v>0</v>
      </c>
      <c r="H782" s="385">
        <v>0</v>
      </c>
      <c r="I782" s="385">
        <v>0.15503875968992248</v>
      </c>
      <c r="J782" s="384">
        <v>0</v>
      </c>
      <c r="K782" s="384">
        <v>0</v>
      </c>
      <c r="L782" s="384">
        <v>0</v>
      </c>
      <c r="M782" s="385">
        <v>0</v>
      </c>
      <c r="N782" s="385">
        <v>0</v>
      </c>
      <c r="O782" s="384">
        <v>0</v>
      </c>
      <c r="P782" s="384">
        <v>0</v>
      </c>
      <c r="Q782" s="385">
        <v>0</v>
      </c>
      <c r="R782" s="385">
        <v>0</v>
      </c>
      <c r="S782" s="385">
        <v>0</v>
      </c>
      <c r="T782" s="385">
        <v>0</v>
      </c>
      <c r="U782" s="385">
        <v>0.15503875968992248</v>
      </c>
      <c r="V782"/>
      <c r="W782"/>
      <c r="X782"/>
      <c r="Y782"/>
    </row>
    <row r="783" spans="1:25" ht="15.75">
      <c r="A783" s="684"/>
      <c r="B783" s="687" t="s">
        <v>1066</v>
      </c>
      <c r="C783" s="674">
        <v>46</v>
      </c>
      <c r="D783" s="675"/>
      <c r="E783" s="675"/>
      <c r="F783" s="675"/>
      <c r="G783" s="675"/>
      <c r="H783" s="676"/>
      <c r="I783" s="676">
        <v>46</v>
      </c>
      <c r="J783" s="675"/>
      <c r="K783" s="675"/>
      <c r="L783" s="675"/>
      <c r="M783" s="676"/>
      <c r="N783" s="676"/>
      <c r="O783" s="675"/>
      <c r="P783" s="675"/>
      <c r="Q783" s="676"/>
      <c r="R783" s="676"/>
      <c r="S783" s="676"/>
      <c r="T783" s="676"/>
      <c r="U783" s="676">
        <v>46</v>
      </c>
      <c r="V783"/>
      <c r="W783"/>
      <c r="X783"/>
      <c r="Y783"/>
    </row>
    <row r="784" spans="1:25" ht="15.75">
      <c r="A784" s="684"/>
      <c r="B784" s="688" t="s">
        <v>1067</v>
      </c>
      <c r="C784" s="380">
        <v>43</v>
      </c>
      <c r="D784" s="381"/>
      <c r="E784" s="381"/>
      <c r="F784" s="381"/>
      <c r="G784" s="381"/>
      <c r="H784" s="382"/>
      <c r="I784" s="382">
        <v>43</v>
      </c>
      <c r="J784" s="381"/>
      <c r="K784" s="381"/>
      <c r="L784" s="381"/>
      <c r="M784" s="382"/>
      <c r="N784" s="382"/>
      <c r="O784" s="381"/>
      <c r="P784" s="381"/>
      <c r="Q784" s="382"/>
      <c r="R784" s="382"/>
      <c r="S784" s="382"/>
      <c r="T784" s="382"/>
      <c r="U784" s="382">
        <v>43</v>
      </c>
      <c r="V784"/>
      <c r="W784"/>
      <c r="X784"/>
      <c r="Y784"/>
    </row>
    <row r="785" spans="1:25" s="386" customFormat="1" ht="15.75">
      <c r="A785" s="684"/>
      <c r="B785" s="689" t="s">
        <v>1068</v>
      </c>
      <c r="C785" s="383">
        <v>-6.5217391304347824E-2</v>
      </c>
      <c r="D785" s="384">
        <v>0</v>
      </c>
      <c r="E785" s="384">
        <v>0</v>
      </c>
      <c r="F785" s="384">
        <v>0</v>
      </c>
      <c r="G785" s="384">
        <v>0</v>
      </c>
      <c r="H785" s="385">
        <v>0</v>
      </c>
      <c r="I785" s="385">
        <v>-6.5217391304347824E-2</v>
      </c>
      <c r="J785" s="384">
        <v>0</v>
      </c>
      <c r="K785" s="384">
        <v>0</v>
      </c>
      <c r="L785" s="384">
        <v>0</v>
      </c>
      <c r="M785" s="385">
        <v>0</v>
      </c>
      <c r="N785" s="385">
        <v>0</v>
      </c>
      <c r="O785" s="384">
        <v>0</v>
      </c>
      <c r="P785" s="384">
        <v>0</v>
      </c>
      <c r="Q785" s="385">
        <v>0</v>
      </c>
      <c r="R785" s="385">
        <v>0</v>
      </c>
      <c r="S785" s="385">
        <v>0</v>
      </c>
      <c r="T785" s="385">
        <v>0</v>
      </c>
      <c r="U785" s="385">
        <v>-6.5217391304347824E-2</v>
      </c>
      <c r="V785"/>
      <c r="W785"/>
      <c r="X785"/>
      <c r="Y785"/>
    </row>
    <row r="786" spans="1:25" ht="15.75">
      <c r="A786" s="684"/>
      <c r="B786" s="687" t="s">
        <v>1069</v>
      </c>
      <c r="C786" s="674">
        <v>74</v>
      </c>
      <c r="D786" s="675"/>
      <c r="E786" s="675"/>
      <c r="F786" s="675"/>
      <c r="G786" s="675"/>
      <c r="H786" s="676"/>
      <c r="I786" s="676">
        <v>74</v>
      </c>
      <c r="J786" s="675"/>
      <c r="K786" s="675"/>
      <c r="L786" s="675"/>
      <c r="M786" s="676"/>
      <c r="N786" s="676"/>
      <c r="O786" s="675"/>
      <c r="P786" s="675"/>
      <c r="Q786" s="676"/>
      <c r="R786" s="676"/>
      <c r="S786" s="676"/>
      <c r="T786" s="676"/>
      <c r="U786" s="676">
        <v>74</v>
      </c>
      <c r="V786"/>
      <c r="W786"/>
      <c r="X786"/>
      <c r="Y786"/>
    </row>
    <row r="787" spans="1:25" ht="15.75">
      <c r="A787" s="684"/>
      <c r="B787" s="688" t="s">
        <v>1070</v>
      </c>
      <c r="C787" s="380">
        <v>73</v>
      </c>
      <c r="D787" s="381"/>
      <c r="E787" s="381"/>
      <c r="F787" s="381"/>
      <c r="G787" s="381"/>
      <c r="H787" s="382"/>
      <c r="I787" s="382">
        <v>73</v>
      </c>
      <c r="J787" s="381"/>
      <c r="K787" s="381"/>
      <c r="L787" s="381"/>
      <c r="M787" s="382"/>
      <c r="N787" s="382"/>
      <c r="O787" s="381"/>
      <c r="P787" s="381"/>
      <c r="Q787" s="382"/>
      <c r="R787" s="382"/>
      <c r="S787" s="382"/>
      <c r="T787" s="382"/>
      <c r="U787" s="382">
        <v>73</v>
      </c>
      <c r="V787"/>
      <c r="W787"/>
      <c r="X787"/>
      <c r="Y787"/>
    </row>
    <row r="788" spans="1:25" s="386" customFormat="1" ht="15.75">
      <c r="A788" s="684"/>
      <c r="B788" s="689" t="s">
        <v>1071</v>
      </c>
      <c r="C788" s="383">
        <v>-1.3513513513513514E-2</v>
      </c>
      <c r="D788" s="384">
        <v>0</v>
      </c>
      <c r="E788" s="384">
        <v>0</v>
      </c>
      <c r="F788" s="384">
        <v>0</v>
      </c>
      <c r="G788" s="384">
        <v>0</v>
      </c>
      <c r="H788" s="385">
        <v>0</v>
      </c>
      <c r="I788" s="385">
        <v>-1.3513513513513514E-2</v>
      </c>
      <c r="J788" s="384">
        <v>0</v>
      </c>
      <c r="K788" s="384">
        <v>0</v>
      </c>
      <c r="L788" s="384">
        <v>0</v>
      </c>
      <c r="M788" s="385">
        <v>0</v>
      </c>
      <c r="N788" s="385">
        <v>0</v>
      </c>
      <c r="O788" s="384">
        <v>0</v>
      </c>
      <c r="P788" s="384">
        <v>0</v>
      </c>
      <c r="Q788" s="385">
        <v>0</v>
      </c>
      <c r="R788" s="385">
        <v>0</v>
      </c>
      <c r="S788" s="385">
        <v>0</v>
      </c>
      <c r="T788" s="385">
        <v>0</v>
      </c>
      <c r="U788" s="385">
        <v>-1.3513513513513514E-2</v>
      </c>
      <c r="V788"/>
      <c r="W788"/>
      <c r="X788"/>
      <c r="Y788"/>
    </row>
    <row r="789" spans="1:25" ht="15.75">
      <c r="A789" s="684"/>
      <c r="B789" s="687" t="s">
        <v>1072</v>
      </c>
      <c r="C789" s="674"/>
      <c r="D789" s="675"/>
      <c r="E789" s="675"/>
      <c r="F789" s="675"/>
      <c r="G789" s="675"/>
      <c r="H789" s="676"/>
      <c r="I789" s="676"/>
      <c r="J789" s="675"/>
      <c r="K789" s="675"/>
      <c r="L789" s="675"/>
      <c r="M789" s="676"/>
      <c r="N789" s="676"/>
      <c r="O789" s="675"/>
      <c r="P789" s="675"/>
      <c r="Q789" s="676"/>
      <c r="R789" s="676"/>
      <c r="S789" s="676"/>
      <c r="T789" s="676"/>
      <c r="U789" s="676"/>
      <c r="V789"/>
      <c r="W789"/>
      <c r="X789"/>
      <c r="Y789"/>
    </row>
    <row r="790" spans="1:25" ht="15.75">
      <c r="A790" s="684"/>
      <c r="B790" s="688" t="s">
        <v>1073</v>
      </c>
      <c r="C790" s="380"/>
      <c r="D790" s="381"/>
      <c r="E790" s="381"/>
      <c r="F790" s="381"/>
      <c r="G790" s="381"/>
      <c r="H790" s="382"/>
      <c r="I790" s="382"/>
      <c r="J790" s="381"/>
      <c r="K790" s="381"/>
      <c r="L790" s="381"/>
      <c r="M790" s="382"/>
      <c r="N790" s="382"/>
      <c r="O790" s="381"/>
      <c r="P790" s="381"/>
      <c r="Q790" s="382"/>
      <c r="R790" s="382"/>
      <c r="S790" s="382"/>
      <c r="T790" s="382"/>
      <c r="U790" s="382"/>
      <c r="V790"/>
      <c r="W790"/>
      <c r="X790"/>
      <c r="Y790"/>
    </row>
    <row r="791" spans="1:25" s="386" customFormat="1" ht="15.75">
      <c r="A791" s="684"/>
      <c r="B791" s="689" t="s">
        <v>1074</v>
      </c>
      <c r="C791" s="383">
        <v>0</v>
      </c>
      <c r="D791" s="384">
        <v>0</v>
      </c>
      <c r="E791" s="384">
        <v>0</v>
      </c>
      <c r="F791" s="384">
        <v>0</v>
      </c>
      <c r="G791" s="384">
        <v>0</v>
      </c>
      <c r="H791" s="385">
        <v>0</v>
      </c>
      <c r="I791" s="385">
        <v>0</v>
      </c>
      <c r="J791" s="384">
        <v>0</v>
      </c>
      <c r="K791" s="384">
        <v>0</v>
      </c>
      <c r="L791" s="384">
        <v>0</v>
      </c>
      <c r="M791" s="385">
        <v>0</v>
      </c>
      <c r="N791" s="385">
        <v>0</v>
      </c>
      <c r="O791" s="384">
        <v>0</v>
      </c>
      <c r="P791" s="384">
        <v>0</v>
      </c>
      <c r="Q791" s="385">
        <v>0</v>
      </c>
      <c r="R791" s="385">
        <v>0</v>
      </c>
      <c r="S791" s="385">
        <v>0</v>
      </c>
      <c r="T791" s="385">
        <v>0</v>
      </c>
      <c r="U791" s="385">
        <v>0</v>
      </c>
      <c r="V791"/>
      <c r="W791"/>
      <c r="X791"/>
      <c r="Y791"/>
    </row>
    <row r="792" spans="1:25" ht="15.75">
      <c r="A792" s="684"/>
      <c r="B792" s="687" t="s">
        <v>1075</v>
      </c>
      <c r="C792" s="674"/>
      <c r="D792" s="675"/>
      <c r="E792" s="675"/>
      <c r="F792" s="675"/>
      <c r="G792" s="675"/>
      <c r="H792" s="676"/>
      <c r="I792" s="676"/>
      <c r="J792" s="675"/>
      <c r="K792" s="675"/>
      <c r="L792" s="675"/>
      <c r="M792" s="676"/>
      <c r="N792" s="676"/>
      <c r="O792" s="675"/>
      <c r="P792" s="675"/>
      <c r="Q792" s="676"/>
      <c r="R792" s="676"/>
      <c r="S792" s="676"/>
      <c r="T792" s="676"/>
      <c r="U792" s="676"/>
      <c r="V792"/>
      <c r="W792"/>
      <c r="X792"/>
      <c r="Y792"/>
    </row>
    <row r="793" spans="1:25" ht="15.75">
      <c r="A793" s="684"/>
      <c r="B793" s="688" t="s">
        <v>1076</v>
      </c>
      <c r="C793" s="380"/>
      <c r="D793" s="381"/>
      <c r="E793" s="381"/>
      <c r="F793" s="381"/>
      <c r="G793" s="381"/>
      <c r="H793" s="382"/>
      <c r="I793" s="382"/>
      <c r="J793" s="381"/>
      <c r="K793" s="381"/>
      <c r="L793" s="381"/>
      <c r="M793" s="382"/>
      <c r="N793" s="382"/>
      <c r="O793" s="381"/>
      <c r="P793" s="381"/>
      <c r="Q793" s="382"/>
      <c r="R793" s="382"/>
      <c r="S793" s="382"/>
      <c r="T793" s="382"/>
      <c r="U793" s="382"/>
      <c r="V793"/>
      <c r="W793"/>
      <c r="X793"/>
      <c r="Y793"/>
    </row>
    <row r="794" spans="1:25" s="386" customFormat="1" ht="15.75">
      <c r="A794" s="684"/>
      <c r="B794" s="689" t="s">
        <v>1077</v>
      </c>
      <c r="C794" s="383">
        <v>0</v>
      </c>
      <c r="D794" s="384">
        <v>0</v>
      </c>
      <c r="E794" s="384">
        <v>0</v>
      </c>
      <c r="F794" s="384">
        <v>0</v>
      </c>
      <c r="G794" s="384">
        <v>0</v>
      </c>
      <c r="H794" s="385">
        <v>0</v>
      </c>
      <c r="I794" s="385">
        <v>0</v>
      </c>
      <c r="J794" s="384">
        <v>0</v>
      </c>
      <c r="K794" s="384">
        <v>0</v>
      </c>
      <c r="L794" s="384">
        <v>0</v>
      </c>
      <c r="M794" s="385">
        <v>0</v>
      </c>
      <c r="N794" s="385">
        <v>0</v>
      </c>
      <c r="O794" s="384">
        <v>0</v>
      </c>
      <c r="P794" s="384">
        <v>0</v>
      </c>
      <c r="Q794" s="385">
        <v>0</v>
      </c>
      <c r="R794" s="385">
        <v>0</v>
      </c>
      <c r="S794" s="385">
        <v>0</v>
      </c>
      <c r="T794" s="385">
        <v>0</v>
      </c>
      <c r="U794" s="385">
        <v>0</v>
      </c>
      <c r="V794"/>
      <c r="W794"/>
      <c r="X794"/>
      <c r="Y794"/>
    </row>
    <row r="795" spans="1:25" ht="15.75">
      <c r="A795" s="684"/>
      <c r="B795" s="687" t="s">
        <v>1078</v>
      </c>
      <c r="C795" s="674"/>
      <c r="D795" s="675"/>
      <c r="E795" s="675"/>
      <c r="F795" s="675"/>
      <c r="G795" s="675"/>
      <c r="H795" s="676"/>
      <c r="I795" s="676"/>
      <c r="J795" s="675"/>
      <c r="K795" s="675"/>
      <c r="L795" s="675"/>
      <c r="M795" s="676"/>
      <c r="N795" s="676"/>
      <c r="O795" s="675"/>
      <c r="P795" s="675"/>
      <c r="Q795" s="676"/>
      <c r="R795" s="676"/>
      <c r="S795" s="676">
        <v>94</v>
      </c>
      <c r="T795" s="676">
        <v>94</v>
      </c>
      <c r="U795" s="676">
        <v>94</v>
      </c>
      <c r="V795"/>
      <c r="W795"/>
      <c r="X795"/>
      <c r="Y795"/>
    </row>
    <row r="796" spans="1:25" ht="15.75">
      <c r="A796" s="684"/>
      <c r="B796" s="688" t="s">
        <v>1079</v>
      </c>
      <c r="C796" s="380"/>
      <c r="D796" s="381"/>
      <c r="E796" s="381"/>
      <c r="F796" s="381"/>
      <c r="G796" s="381"/>
      <c r="H796" s="382"/>
      <c r="I796" s="382"/>
      <c r="J796" s="381"/>
      <c r="K796" s="381"/>
      <c r="L796" s="381"/>
      <c r="M796" s="382"/>
      <c r="N796" s="382"/>
      <c r="O796" s="381"/>
      <c r="P796" s="381"/>
      <c r="Q796" s="382"/>
      <c r="R796" s="382"/>
      <c r="S796" s="382">
        <v>97</v>
      </c>
      <c r="T796" s="382">
        <v>97</v>
      </c>
      <c r="U796" s="382">
        <v>97</v>
      </c>
      <c r="V796"/>
      <c r="W796"/>
      <c r="X796"/>
      <c r="Y796"/>
    </row>
    <row r="797" spans="1:25" s="386" customFormat="1" ht="15.75">
      <c r="A797" s="684"/>
      <c r="B797" s="689" t="s">
        <v>1080</v>
      </c>
      <c r="C797" s="383">
        <v>0</v>
      </c>
      <c r="D797" s="384">
        <v>0</v>
      </c>
      <c r="E797" s="384">
        <v>0</v>
      </c>
      <c r="F797" s="384">
        <v>0</v>
      </c>
      <c r="G797" s="384">
        <v>0</v>
      </c>
      <c r="H797" s="385">
        <v>0</v>
      </c>
      <c r="I797" s="385">
        <v>0</v>
      </c>
      <c r="J797" s="384">
        <v>0</v>
      </c>
      <c r="K797" s="384">
        <v>0</v>
      </c>
      <c r="L797" s="384">
        <v>0</v>
      </c>
      <c r="M797" s="385">
        <v>0</v>
      </c>
      <c r="N797" s="385">
        <v>0</v>
      </c>
      <c r="O797" s="384">
        <v>0</v>
      </c>
      <c r="P797" s="384">
        <v>0</v>
      </c>
      <c r="Q797" s="385">
        <v>0</v>
      </c>
      <c r="R797" s="385">
        <v>0</v>
      </c>
      <c r="S797" s="385">
        <v>3.1914893617021274E-2</v>
      </c>
      <c r="T797" s="385">
        <v>3.1914893617021274E-2</v>
      </c>
      <c r="U797" s="385">
        <v>3.1914893617021274E-2</v>
      </c>
      <c r="V797"/>
      <c r="W797"/>
      <c r="X797"/>
      <c r="Y797"/>
    </row>
    <row r="798" spans="1:25" ht="15.75">
      <c r="A798" s="684"/>
      <c r="B798" s="687" t="s">
        <v>1081</v>
      </c>
      <c r="C798" s="674"/>
      <c r="D798" s="675"/>
      <c r="E798" s="675"/>
      <c r="F798" s="675"/>
      <c r="G798" s="675"/>
      <c r="H798" s="676"/>
      <c r="I798" s="676"/>
      <c r="J798" s="675"/>
      <c r="K798" s="675"/>
      <c r="L798" s="675"/>
      <c r="M798" s="676"/>
      <c r="N798" s="676"/>
      <c r="O798" s="675"/>
      <c r="P798" s="675"/>
      <c r="Q798" s="676"/>
      <c r="R798" s="676"/>
      <c r="S798" s="676"/>
      <c r="T798" s="676"/>
      <c r="U798" s="676"/>
      <c r="V798"/>
      <c r="W798"/>
      <c r="X798"/>
      <c r="Y798"/>
    </row>
    <row r="799" spans="1:25" ht="15.75">
      <c r="A799" s="684"/>
      <c r="B799" s="688" t="s">
        <v>1082</v>
      </c>
      <c r="C799" s="380"/>
      <c r="D799" s="381"/>
      <c r="E799" s="381"/>
      <c r="F799" s="381"/>
      <c r="G799" s="381"/>
      <c r="H799" s="382"/>
      <c r="I799" s="382"/>
      <c r="J799" s="381"/>
      <c r="K799" s="381"/>
      <c r="L799" s="381"/>
      <c r="M799" s="382"/>
      <c r="N799" s="382"/>
      <c r="O799" s="381"/>
      <c r="P799" s="381"/>
      <c r="Q799" s="382"/>
      <c r="R799" s="382"/>
      <c r="S799" s="382"/>
      <c r="T799" s="382"/>
      <c r="U799" s="382"/>
      <c r="V799"/>
      <c r="W799"/>
      <c r="X799"/>
      <c r="Y799"/>
    </row>
    <row r="800" spans="1:25" s="386" customFormat="1" ht="15.75">
      <c r="A800" s="684"/>
      <c r="B800" s="689" t="s">
        <v>1083</v>
      </c>
      <c r="C800" s="383">
        <v>0</v>
      </c>
      <c r="D800" s="384">
        <v>0</v>
      </c>
      <c r="E800" s="384">
        <v>0</v>
      </c>
      <c r="F800" s="384">
        <v>0</v>
      </c>
      <c r="G800" s="384">
        <v>0</v>
      </c>
      <c r="H800" s="385">
        <v>0</v>
      </c>
      <c r="I800" s="385">
        <v>0</v>
      </c>
      <c r="J800" s="384">
        <v>0</v>
      </c>
      <c r="K800" s="384">
        <v>0</v>
      </c>
      <c r="L800" s="384">
        <v>0</v>
      </c>
      <c r="M800" s="385">
        <v>0</v>
      </c>
      <c r="N800" s="385">
        <v>0</v>
      </c>
      <c r="O800" s="384">
        <v>0</v>
      </c>
      <c r="P800" s="384">
        <v>0</v>
      </c>
      <c r="Q800" s="385">
        <v>0</v>
      </c>
      <c r="R800" s="385">
        <v>0</v>
      </c>
      <c r="S800" s="385">
        <v>0</v>
      </c>
      <c r="T800" s="385">
        <v>0</v>
      </c>
      <c r="U800" s="385">
        <v>0</v>
      </c>
      <c r="V800"/>
      <c r="W800"/>
      <c r="X800"/>
      <c r="Y800"/>
    </row>
    <row r="801" spans="1:25" ht="15.75">
      <c r="A801" s="684"/>
      <c r="B801" s="687" t="s">
        <v>1084</v>
      </c>
      <c r="C801" s="674"/>
      <c r="D801" s="675"/>
      <c r="E801" s="675"/>
      <c r="F801" s="675"/>
      <c r="G801" s="675"/>
      <c r="H801" s="676"/>
      <c r="I801" s="676"/>
      <c r="J801" s="675"/>
      <c r="K801" s="675"/>
      <c r="L801" s="675"/>
      <c r="M801" s="676"/>
      <c r="N801" s="676"/>
      <c r="O801" s="675"/>
      <c r="P801" s="675"/>
      <c r="Q801" s="676"/>
      <c r="R801" s="676"/>
      <c r="S801" s="676"/>
      <c r="T801" s="676"/>
      <c r="U801" s="676"/>
      <c r="V801"/>
      <c r="W801"/>
      <c r="X801"/>
      <c r="Y801"/>
    </row>
    <row r="802" spans="1:25" ht="15.75">
      <c r="A802" s="684"/>
      <c r="B802" s="688" t="s">
        <v>1085</v>
      </c>
      <c r="C802" s="380"/>
      <c r="D802" s="381"/>
      <c r="E802" s="381"/>
      <c r="F802" s="381"/>
      <c r="G802" s="381"/>
      <c r="H802" s="382"/>
      <c r="I802" s="382"/>
      <c r="J802" s="381"/>
      <c r="K802" s="381"/>
      <c r="L802" s="381"/>
      <c r="M802" s="382"/>
      <c r="N802" s="382"/>
      <c r="O802" s="381"/>
      <c r="P802" s="381"/>
      <c r="Q802" s="382"/>
      <c r="R802" s="382"/>
      <c r="S802" s="382"/>
      <c r="T802" s="382"/>
      <c r="U802" s="382"/>
      <c r="V802"/>
      <c r="W802"/>
      <c r="X802"/>
      <c r="Y802"/>
    </row>
    <row r="803" spans="1:25" s="386" customFormat="1" ht="15.75">
      <c r="A803" s="684"/>
      <c r="B803" s="689" t="s">
        <v>1086</v>
      </c>
      <c r="C803" s="383">
        <v>0</v>
      </c>
      <c r="D803" s="384">
        <v>0</v>
      </c>
      <c r="E803" s="384">
        <v>0</v>
      </c>
      <c r="F803" s="384">
        <v>0</v>
      </c>
      <c r="G803" s="384">
        <v>0</v>
      </c>
      <c r="H803" s="385">
        <v>0</v>
      </c>
      <c r="I803" s="385">
        <v>0</v>
      </c>
      <c r="J803" s="384">
        <v>0</v>
      </c>
      <c r="K803" s="384">
        <v>0</v>
      </c>
      <c r="L803" s="384">
        <v>0</v>
      </c>
      <c r="M803" s="385">
        <v>0</v>
      </c>
      <c r="N803" s="385">
        <v>0</v>
      </c>
      <c r="O803" s="384">
        <v>0</v>
      </c>
      <c r="P803" s="384">
        <v>0</v>
      </c>
      <c r="Q803" s="385">
        <v>0</v>
      </c>
      <c r="R803" s="385">
        <v>0</v>
      </c>
      <c r="S803" s="385">
        <v>0</v>
      </c>
      <c r="T803" s="385">
        <v>0</v>
      </c>
      <c r="U803" s="385">
        <v>0</v>
      </c>
      <c r="V803"/>
      <c r="W803"/>
      <c r="X803"/>
      <c r="Y803"/>
    </row>
    <row r="804" spans="1:25" ht="15.75">
      <c r="A804" s="684"/>
      <c r="B804" s="687" t="s">
        <v>1248</v>
      </c>
      <c r="C804" s="674"/>
      <c r="D804" s="675"/>
      <c r="E804" s="675"/>
      <c r="F804" s="675"/>
      <c r="G804" s="675"/>
      <c r="H804" s="676"/>
      <c r="I804" s="676"/>
      <c r="J804" s="675"/>
      <c r="K804" s="675"/>
      <c r="L804" s="675"/>
      <c r="M804" s="676"/>
      <c r="N804" s="676"/>
      <c r="O804" s="675"/>
      <c r="P804" s="675"/>
      <c r="Q804" s="676"/>
      <c r="R804" s="676"/>
      <c r="S804" s="676"/>
      <c r="T804" s="676"/>
      <c r="U804" s="676"/>
      <c r="V804"/>
      <c r="W804"/>
      <c r="X804"/>
      <c r="Y804"/>
    </row>
    <row r="805" spans="1:25" ht="15.75">
      <c r="A805" s="685"/>
      <c r="B805" s="690" t="s">
        <v>1250</v>
      </c>
      <c r="C805" s="576"/>
      <c r="D805" s="577"/>
      <c r="E805" s="577"/>
      <c r="F805" s="577"/>
      <c r="G805" s="577"/>
      <c r="H805" s="578"/>
      <c r="I805" s="578"/>
      <c r="J805" s="577"/>
      <c r="K805" s="577"/>
      <c r="L805" s="577"/>
      <c r="M805" s="578"/>
      <c r="N805" s="578"/>
      <c r="O805" s="577"/>
      <c r="P805" s="577"/>
      <c r="Q805" s="578"/>
      <c r="R805" s="578"/>
      <c r="S805" s="578"/>
      <c r="T805" s="578"/>
      <c r="U805" s="578"/>
      <c r="V805"/>
      <c r="W805"/>
      <c r="X805"/>
      <c r="Y805"/>
    </row>
    <row r="806" spans="1:25" s="386" customFormat="1" ht="15.75">
      <c r="A806" s="683" t="s">
        <v>1087</v>
      </c>
      <c r="B806" s="687"/>
      <c r="C806" s="674">
        <v>64</v>
      </c>
      <c r="D806" s="675"/>
      <c r="E806" s="675">
        <v>195</v>
      </c>
      <c r="F806" s="675">
        <v>291</v>
      </c>
      <c r="G806" s="675">
        <v>202</v>
      </c>
      <c r="H806" s="676">
        <v>411</v>
      </c>
      <c r="I806" s="676">
        <v>1163</v>
      </c>
      <c r="J806" s="675">
        <v>5537</v>
      </c>
      <c r="K806" s="675">
        <v>42882</v>
      </c>
      <c r="L806" s="675">
        <v>39986</v>
      </c>
      <c r="M806" s="676">
        <v>13212</v>
      </c>
      <c r="N806" s="676">
        <v>101617</v>
      </c>
      <c r="O806" s="675">
        <v>31075</v>
      </c>
      <c r="P806" s="675">
        <v>13695</v>
      </c>
      <c r="Q806" s="676">
        <v>2675</v>
      </c>
      <c r="R806" s="676">
        <v>47445</v>
      </c>
      <c r="S806" s="676">
        <v>67</v>
      </c>
      <c r="T806" s="676">
        <v>67</v>
      </c>
      <c r="U806" s="676">
        <v>150292</v>
      </c>
      <c r="V806">
        <f>+GETPIVOTDATA(" Old-Less Than 2-Year",$A$3)+GETPIVOTDATA(" Old-2 But Less Than 4-Year",$A$3)</f>
        <v>154314</v>
      </c>
      <c r="W806"/>
      <c r="X806"/>
      <c r="Y806"/>
    </row>
    <row r="807" spans="1:25" ht="15.75">
      <c r="A807" s="684" t="s">
        <v>1088</v>
      </c>
      <c r="B807" s="688"/>
      <c r="C807" s="380">
        <v>63</v>
      </c>
      <c r="D807" s="381"/>
      <c r="E807" s="381">
        <v>150</v>
      </c>
      <c r="F807" s="381">
        <v>403</v>
      </c>
      <c r="G807" s="381">
        <v>234</v>
      </c>
      <c r="H807" s="382">
        <v>441</v>
      </c>
      <c r="I807" s="382">
        <v>1291</v>
      </c>
      <c r="J807" s="381">
        <v>5051</v>
      </c>
      <c r="K807" s="381">
        <v>43948</v>
      </c>
      <c r="L807" s="381">
        <v>39469</v>
      </c>
      <c r="M807" s="382">
        <v>14599</v>
      </c>
      <c r="N807" s="382">
        <v>103067</v>
      </c>
      <c r="O807" s="381">
        <v>34827</v>
      </c>
      <c r="P807" s="381">
        <v>17558</v>
      </c>
      <c r="Q807" s="382">
        <v>4503</v>
      </c>
      <c r="R807" s="382">
        <v>56888</v>
      </c>
      <c r="S807" s="382">
        <v>39</v>
      </c>
      <c r="T807" s="382">
        <v>39</v>
      </c>
      <c r="U807" s="382">
        <v>161285</v>
      </c>
      <c r="V807">
        <f>+GETPIVOTDATA(" New-Less Than 2-Year",$A$3)+GETPIVOTDATA(" New-2 But Less Than 4-Year",$A$3)</f>
        <v>165493</v>
      </c>
      <c r="W807"/>
      <c r="X807"/>
      <c r="Y807"/>
    </row>
    <row r="808" spans="1:25" ht="15.75">
      <c r="A808" s="684" t="s">
        <v>1089</v>
      </c>
      <c r="B808" s="689"/>
      <c r="C808" s="383">
        <v>-1.5625E-2</v>
      </c>
      <c r="D808" s="384">
        <v>0</v>
      </c>
      <c r="E808" s="384">
        <v>-0.23076923076923078</v>
      </c>
      <c r="F808" s="384">
        <v>0.38487972508591067</v>
      </c>
      <c r="G808" s="384">
        <v>0.15841584158415842</v>
      </c>
      <c r="H808" s="385">
        <v>7.2992700729927001E-2</v>
      </c>
      <c r="I808" s="385">
        <v>0.11006018916595013</v>
      </c>
      <c r="J808" s="384">
        <v>-8.7773162362290047E-2</v>
      </c>
      <c r="K808" s="384">
        <v>2.4858915162539061E-2</v>
      </c>
      <c r="L808" s="384">
        <v>-1.2929525333866853E-2</v>
      </c>
      <c r="M808" s="385">
        <v>0.10498032092037542</v>
      </c>
      <c r="N808" s="385">
        <v>1.4269265969276794E-2</v>
      </c>
      <c r="O808" s="384">
        <v>0.12074014481094127</v>
      </c>
      <c r="P808" s="384">
        <v>0.28207374954362907</v>
      </c>
      <c r="Q808" s="385">
        <v>0.68336448598130839</v>
      </c>
      <c r="R808" s="385">
        <v>0.19903045631784172</v>
      </c>
      <c r="S808" s="385">
        <v>-0.41791044776119401</v>
      </c>
      <c r="T808" s="385">
        <v>-0.41791044776119401</v>
      </c>
      <c r="U808" s="385">
        <v>7.314427913661406E-2</v>
      </c>
      <c r="V808"/>
      <c r="W808"/>
      <c r="X808"/>
      <c r="Y808"/>
    </row>
    <row r="809" spans="1:25" s="386" customFormat="1" ht="15.75">
      <c r="A809" s="684" t="s">
        <v>1090</v>
      </c>
      <c r="B809" s="687"/>
      <c r="C809" s="674">
        <v>68</v>
      </c>
      <c r="D809" s="675">
        <v>121</v>
      </c>
      <c r="E809" s="675">
        <v>29</v>
      </c>
      <c r="F809" s="675">
        <v>43</v>
      </c>
      <c r="G809" s="675"/>
      <c r="H809" s="676"/>
      <c r="I809" s="676">
        <v>261</v>
      </c>
      <c r="J809" s="675">
        <v>53</v>
      </c>
      <c r="K809" s="675">
        <v>233</v>
      </c>
      <c r="L809" s="675">
        <v>40</v>
      </c>
      <c r="M809" s="676">
        <v>1</v>
      </c>
      <c r="N809" s="676">
        <v>327</v>
      </c>
      <c r="O809" s="675">
        <v>2486</v>
      </c>
      <c r="P809" s="675">
        <v>483</v>
      </c>
      <c r="Q809" s="676"/>
      <c r="R809" s="676">
        <v>2969</v>
      </c>
      <c r="S809" s="676">
        <v>465</v>
      </c>
      <c r="T809" s="676">
        <v>465</v>
      </c>
      <c r="U809" s="676">
        <v>4022</v>
      </c>
      <c r="V809"/>
      <c r="W809"/>
      <c r="X809"/>
      <c r="Y809"/>
    </row>
    <row r="810" spans="1:25" ht="15.75">
      <c r="A810" s="684" t="s">
        <v>1091</v>
      </c>
      <c r="B810" s="688"/>
      <c r="C810" s="380">
        <v>62</v>
      </c>
      <c r="D810" s="381">
        <v>110</v>
      </c>
      <c r="E810" s="381">
        <v>27</v>
      </c>
      <c r="F810" s="381">
        <v>35</v>
      </c>
      <c r="G810" s="381"/>
      <c r="H810" s="382"/>
      <c r="I810" s="382">
        <v>234</v>
      </c>
      <c r="J810" s="381">
        <v>72</v>
      </c>
      <c r="K810" s="381">
        <v>443</v>
      </c>
      <c r="L810" s="381">
        <v>34</v>
      </c>
      <c r="M810" s="382">
        <v>11</v>
      </c>
      <c r="N810" s="382">
        <v>560</v>
      </c>
      <c r="O810" s="381">
        <v>2405</v>
      </c>
      <c r="P810" s="381">
        <v>506</v>
      </c>
      <c r="Q810" s="382"/>
      <c r="R810" s="382">
        <v>2911</v>
      </c>
      <c r="S810" s="382">
        <v>503</v>
      </c>
      <c r="T810" s="382">
        <v>503</v>
      </c>
      <c r="U810" s="382">
        <v>4208</v>
      </c>
      <c r="V810"/>
      <c r="W810"/>
      <c r="X810"/>
      <c r="Y810"/>
    </row>
    <row r="811" spans="1:25" ht="15.75">
      <c r="A811" s="684" t="s">
        <v>1092</v>
      </c>
      <c r="B811" s="689"/>
      <c r="C811" s="383">
        <v>-8.8235294117647065E-2</v>
      </c>
      <c r="D811" s="384">
        <v>-9.0909090909090912E-2</v>
      </c>
      <c r="E811" s="384">
        <v>-6.8965517241379309E-2</v>
      </c>
      <c r="F811" s="384">
        <v>-0.18604651162790697</v>
      </c>
      <c r="G811" s="384">
        <v>0</v>
      </c>
      <c r="H811" s="385">
        <v>0</v>
      </c>
      <c r="I811" s="385">
        <v>-0.10344827586206896</v>
      </c>
      <c r="J811" s="384">
        <v>0.35849056603773582</v>
      </c>
      <c r="K811" s="384">
        <v>0.90128755364806867</v>
      </c>
      <c r="L811" s="384">
        <v>-0.15</v>
      </c>
      <c r="M811" s="385">
        <v>10</v>
      </c>
      <c r="N811" s="385">
        <v>0.71253822629969421</v>
      </c>
      <c r="O811" s="384">
        <v>-3.2582461786001611E-2</v>
      </c>
      <c r="P811" s="384">
        <v>4.7619047619047616E-2</v>
      </c>
      <c r="Q811" s="385">
        <v>0</v>
      </c>
      <c r="R811" s="385">
        <v>-1.9535197036039072E-2</v>
      </c>
      <c r="S811" s="385">
        <v>8.1720430107526887E-2</v>
      </c>
      <c r="T811" s="385">
        <v>8.1720430107526887E-2</v>
      </c>
      <c r="U811" s="385">
        <v>4.6245648930880158E-2</v>
      </c>
      <c r="V811"/>
      <c r="W811"/>
      <c r="X811"/>
      <c r="Y811"/>
    </row>
    <row r="812" spans="1:25" s="386" customFormat="1" ht="15.75">
      <c r="A812" s="684" t="s">
        <v>1093</v>
      </c>
      <c r="B812" s="687"/>
      <c r="C812" s="674">
        <v>1461</v>
      </c>
      <c r="D812" s="675">
        <v>251</v>
      </c>
      <c r="E812" s="675">
        <v>2294</v>
      </c>
      <c r="F812" s="675">
        <v>1514</v>
      </c>
      <c r="G812" s="675">
        <v>1077</v>
      </c>
      <c r="H812" s="676">
        <v>1173</v>
      </c>
      <c r="I812" s="676">
        <v>7770</v>
      </c>
      <c r="J812" s="675">
        <v>16555</v>
      </c>
      <c r="K812" s="675">
        <v>94674</v>
      </c>
      <c r="L812" s="675">
        <v>58065</v>
      </c>
      <c r="M812" s="676">
        <v>17721</v>
      </c>
      <c r="N812" s="676">
        <v>187015</v>
      </c>
      <c r="O812" s="675">
        <v>4460</v>
      </c>
      <c r="P812" s="675">
        <v>192</v>
      </c>
      <c r="Q812" s="676">
        <v>275</v>
      </c>
      <c r="R812" s="676">
        <v>4927</v>
      </c>
      <c r="S812" s="676">
        <v>557</v>
      </c>
      <c r="T812" s="676">
        <v>557</v>
      </c>
      <c r="U812" s="676">
        <v>200269</v>
      </c>
      <c r="V812"/>
      <c r="W812"/>
      <c r="X812"/>
      <c r="Y812"/>
    </row>
    <row r="813" spans="1:25" ht="15.75">
      <c r="A813" s="684" t="s">
        <v>1094</v>
      </c>
      <c r="B813" s="688"/>
      <c r="C813" s="380">
        <v>1326</v>
      </c>
      <c r="D813" s="381">
        <v>251</v>
      </c>
      <c r="E813" s="381">
        <v>2449</v>
      </c>
      <c r="F813" s="381">
        <v>1598</v>
      </c>
      <c r="G813" s="381">
        <v>1069</v>
      </c>
      <c r="H813" s="382">
        <v>1348</v>
      </c>
      <c r="I813" s="382">
        <v>8041</v>
      </c>
      <c r="J813" s="381">
        <v>17682</v>
      </c>
      <c r="K813" s="381">
        <v>99944</v>
      </c>
      <c r="L813" s="381">
        <v>59655</v>
      </c>
      <c r="M813" s="382">
        <v>18816</v>
      </c>
      <c r="N813" s="382">
        <v>196097</v>
      </c>
      <c r="O813" s="381">
        <v>5048</v>
      </c>
      <c r="P813" s="381">
        <v>225</v>
      </c>
      <c r="Q813" s="382">
        <v>292</v>
      </c>
      <c r="R813" s="382">
        <v>5565</v>
      </c>
      <c r="S813" s="382">
        <v>529</v>
      </c>
      <c r="T813" s="382">
        <v>529</v>
      </c>
      <c r="U813" s="382">
        <v>210232</v>
      </c>
      <c r="V813"/>
      <c r="W813"/>
      <c r="X813"/>
      <c r="Y813"/>
    </row>
    <row r="814" spans="1:25" ht="15.75">
      <c r="A814" s="684" t="s">
        <v>1095</v>
      </c>
      <c r="B814" s="689"/>
      <c r="C814" s="383">
        <v>-9.2402464065708415E-2</v>
      </c>
      <c r="D814" s="384">
        <v>0</v>
      </c>
      <c r="E814" s="384">
        <v>6.7567567567567571E-2</v>
      </c>
      <c r="F814" s="384">
        <v>5.5482166446499337E-2</v>
      </c>
      <c r="G814" s="384">
        <v>-7.4280408542246983E-3</v>
      </c>
      <c r="H814" s="385">
        <v>0.14919011082693948</v>
      </c>
      <c r="I814" s="385">
        <v>3.4877734877734878E-2</v>
      </c>
      <c r="J814" s="384">
        <v>6.8076109936575049E-2</v>
      </c>
      <c r="K814" s="384">
        <v>5.5664702030124427E-2</v>
      </c>
      <c r="L814" s="384">
        <v>2.7383105140790492E-2</v>
      </c>
      <c r="M814" s="385">
        <v>6.1791095310648386E-2</v>
      </c>
      <c r="N814" s="385">
        <v>4.8562949496029732E-2</v>
      </c>
      <c r="O814" s="384">
        <v>0.13183856502242153</v>
      </c>
      <c r="P814" s="384">
        <v>0.171875</v>
      </c>
      <c r="Q814" s="385">
        <v>6.1818181818181821E-2</v>
      </c>
      <c r="R814" s="385">
        <v>0.12949056220824032</v>
      </c>
      <c r="S814" s="385">
        <v>-5.0269299820466788E-2</v>
      </c>
      <c r="T814" s="385">
        <v>-5.0269299820466788E-2</v>
      </c>
      <c r="U814" s="385">
        <v>4.9748088820536378E-2</v>
      </c>
      <c r="V814"/>
      <c r="W814"/>
      <c r="X814"/>
      <c r="Y814"/>
    </row>
    <row r="815" spans="1:25" s="386" customFormat="1" ht="15.75">
      <c r="A815" s="684" t="s">
        <v>1096</v>
      </c>
      <c r="B815" s="687"/>
      <c r="C815" s="674">
        <v>171437</v>
      </c>
      <c r="D815" s="675">
        <v>36548</v>
      </c>
      <c r="E815" s="675">
        <v>93330</v>
      </c>
      <c r="F815" s="675">
        <v>30390</v>
      </c>
      <c r="G815" s="675">
        <v>17372</v>
      </c>
      <c r="H815" s="676">
        <v>9915</v>
      </c>
      <c r="I815" s="676">
        <v>358992</v>
      </c>
      <c r="J815" s="675">
        <v>1286</v>
      </c>
      <c r="K815" s="675">
        <v>5</v>
      </c>
      <c r="L815" s="675">
        <v>25</v>
      </c>
      <c r="M815" s="676"/>
      <c r="N815" s="676">
        <v>1316</v>
      </c>
      <c r="O815" s="675">
        <v>0</v>
      </c>
      <c r="P815" s="675"/>
      <c r="Q815" s="676"/>
      <c r="R815" s="676">
        <v>0</v>
      </c>
      <c r="S815" s="676">
        <v>6967</v>
      </c>
      <c r="T815" s="676">
        <v>6967</v>
      </c>
      <c r="U815" s="676">
        <v>367275</v>
      </c>
      <c r="V815"/>
      <c r="W815"/>
      <c r="X815"/>
      <c r="Y815"/>
    </row>
    <row r="816" spans="1:25" ht="15.75">
      <c r="A816" s="684" t="s">
        <v>1097</v>
      </c>
      <c r="B816" s="688"/>
      <c r="C816" s="380">
        <v>176199</v>
      </c>
      <c r="D816" s="381">
        <v>37597</v>
      </c>
      <c r="E816" s="381">
        <v>95922</v>
      </c>
      <c r="F816" s="381">
        <v>31300</v>
      </c>
      <c r="G816" s="381">
        <v>17850</v>
      </c>
      <c r="H816" s="382">
        <v>10030</v>
      </c>
      <c r="I816" s="382">
        <v>368898</v>
      </c>
      <c r="J816" s="381">
        <v>1670</v>
      </c>
      <c r="K816" s="381">
        <v>50</v>
      </c>
      <c r="L816" s="381">
        <v>96</v>
      </c>
      <c r="M816" s="382">
        <v>0</v>
      </c>
      <c r="N816" s="382">
        <v>1816</v>
      </c>
      <c r="O816" s="381">
        <v>0</v>
      </c>
      <c r="P816" s="381"/>
      <c r="Q816" s="382"/>
      <c r="R816" s="382">
        <v>0</v>
      </c>
      <c r="S816" s="382">
        <v>7018</v>
      </c>
      <c r="T816" s="382">
        <v>7018</v>
      </c>
      <c r="U816" s="382">
        <v>377732</v>
      </c>
      <c r="V816"/>
      <c r="W816"/>
      <c r="X816"/>
      <c r="Y816"/>
    </row>
    <row r="817" spans="1:25" ht="15.75">
      <c r="A817" s="684" t="s">
        <v>1098</v>
      </c>
      <c r="B817" s="689"/>
      <c r="C817" s="383">
        <v>2.7776967632424741E-2</v>
      </c>
      <c r="D817" s="384">
        <v>2.8701980956550289E-2</v>
      </c>
      <c r="E817" s="384">
        <v>2.777242044358727E-2</v>
      </c>
      <c r="F817" s="384">
        <v>2.9944060546232314E-2</v>
      </c>
      <c r="G817" s="384">
        <v>2.7515542251899609E-2</v>
      </c>
      <c r="H817" s="385">
        <v>1.1598587997982855E-2</v>
      </c>
      <c r="I817" s="385">
        <v>2.7593929669741946E-2</v>
      </c>
      <c r="J817" s="384">
        <v>0.2986003110419907</v>
      </c>
      <c r="K817" s="384">
        <v>9</v>
      </c>
      <c r="L817" s="384">
        <v>2.84</v>
      </c>
      <c r="M817" s="385">
        <v>0</v>
      </c>
      <c r="N817" s="385">
        <v>0.37993920972644379</v>
      </c>
      <c r="O817" s="384">
        <v>0</v>
      </c>
      <c r="P817" s="384">
        <v>0</v>
      </c>
      <c r="Q817" s="385">
        <v>0</v>
      </c>
      <c r="R817" s="385">
        <v>0</v>
      </c>
      <c r="S817" s="385">
        <v>7.3202239127314484E-3</v>
      </c>
      <c r="T817" s="385">
        <v>7.3202239127314484E-3</v>
      </c>
      <c r="U817" s="385">
        <v>2.8471853515757949E-2</v>
      </c>
      <c r="V817"/>
      <c r="W817"/>
      <c r="X817"/>
      <c r="Y817"/>
    </row>
    <row r="818" spans="1:25" s="386" customFormat="1" ht="15.75">
      <c r="A818" s="684" t="s">
        <v>1099</v>
      </c>
      <c r="B818" s="687"/>
      <c r="C818" s="674">
        <v>677</v>
      </c>
      <c r="D818" s="675">
        <v>347</v>
      </c>
      <c r="E818" s="675">
        <v>224</v>
      </c>
      <c r="F818" s="675">
        <v>20</v>
      </c>
      <c r="G818" s="675">
        <v>31</v>
      </c>
      <c r="H818" s="676"/>
      <c r="I818" s="676">
        <v>1299</v>
      </c>
      <c r="J818" s="675"/>
      <c r="K818" s="675"/>
      <c r="L818" s="675"/>
      <c r="M818" s="676"/>
      <c r="N818" s="676"/>
      <c r="O818" s="675">
        <v>0</v>
      </c>
      <c r="P818" s="675"/>
      <c r="Q818" s="676"/>
      <c r="R818" s="676">
        <v>0</v>
      </c>
      <c r="S818" s="676">
        <v>456</v>
      </c>
      <c r="T818" s="676">
        <v>456</v>
      </c>
      <c r="U818" s="676">
        <v>1755</v>
      </c>
      <c r="V818"/>
      <c r="W818"/>
      <c r="X818"/>
      <c r="Y818"/>
    </row>
    <row r="819" spans="1:25" ht="15.75">
      <c r="A819" s="684" t="s">
        <v>1100</v>
      </c>
      <c r="B819" s="688"/>
      <c r="C819" s="380">
        <v>662</v>
      </c>
      <c r="D819" s="381">
        <v>291</v>
      </c>
      <c r="E819" s="381">
        <v>274</v>
      </c>
      <c r="F819" s="381">
        <v>50</v>
      </c>
      <c r="G819" s="381">
        <v>17</v>
      </c>
      <c r="H819" s="382">
        <v>2</v>
      </c>
      <c r="I819" s="382">
        <v>1296</v>
      </c>
      <c r="J819" s="381"/>
      <c r="K819" s="381"/>
      <c r="L819" s="381"/>
      <c r="M819" s="382"/>
      <c r="N819" s="382"/>
      <c r="O819" s="381">
        <v>0</v>
      </c>
      <c r="P819" s="381"/>
      <c r="Q819" s="382"/>
      <c r="R819" s="382">
        <v>0</v>
      </c>
      <c r="S819" s="382">
        <v>31</v>
      </c>
      <c r="T819" s="382">
        <v>31</v>
      </c>
      <c r="U819" s="382">
        <v>1327</v>
      </c>
      <c r="V819"/>
      <c r="W819"/>
      <c r="X819"/>
      <c r="Y819"/>
    </row>
    <row r="820" spans="1:25" ht="15.75">
      <c r="A820" s="684" t="s">
        <v>1101</v>
      </c>
      <c r="B820" s="689"/>
      <c r="C820" s="383">
        <v>-2.2156573116691284E-2</v>
      </c>
      <c r="D820" s="384">
        <v>-0.16138328530259366</v>
      </c>
      <c r="E820" s="384">
        <v>0.22321428571428573</v>
      </c>
      <c r="F820" s="384">
        <v>1.5</v>
      </c>
      <c r="G820" s="384">
        <v>-0.45161290322580644</v>
      </c>
      <c r="H820" s="385">
        <v>0</v>
      </c>
      <c r="I820" s="385">
        <v>-2.3094688221709007E-3</v>
      </c>
      <c r="J820" s="384">
        <v>0</v>
      </c>
      <c r="K820" s="384">
        <v>0</v>
      </c>
      <c r="L820" s="384">
        <v>0</v>
      </c>
      <c r="M820" s="385">
        <v>0</v>
      </c>
      <c r="N820" s="385">
        <v>0</v>
      </c>
      <c r="O820" s="384">
        <v>0</v>
      </c>
      <c r="P820" s="384">
        <v>0</v>
      </c>
      <c r="Q820" s="385">
        <v>0</v>
      </c>
      <c r="R820" s="385">
        <v>0</v>
      </c>
      <c r="S820" s="385">
        <v>-0.93201754385964908</v>
      </c>
      <c r="T820" s="385">
        <v>-0.93201754385964908</v>
      </c>
      <c r="U820" s="385">
        <v>-0.24387464387464389</v>
      </c>
      <c r="V820"/>
      <c r="W820"/>
      <c r="X820"/>
      <c r="Y820"/>
    </row>
    <row r="821" spans="1:25" s="386" customFormat="1" ht="15.75">
      <c r="A821" s="684" t="s">
        <v>1102</v>
      </c>
      <c r="B821" s="687"/>
      <c r="C821" s="674">
        <v>58704</v>
      </c>
      <c r="D821" s="675">
        <v>12799</v>
      </c>
      <c r="E821" s="675">
        <v>28952</v>
      </c>
      <c r="F821" s="675">
        <v>9509</v>
      </c>
      <c r="G821" s="675">
        <v>3973</v>
      </c>
      <c r="H821" s="676">
        <v>210</v>
      </c>
      <c r="I821" s="676">
        <v>114147</v>
      </c>
      <c r="J821" s="675">
        <v>0</v>
      </c>
      <c r="K821" s="675">
        <v>0</v>
      </c>
      <c r="L821" s="675">
        <v>0</v>
      </c>
      <c r="M821" s="676">
        <v>0</v>
      </c>
      <c r="N821" s="676">
        <v>0</v>
      </c>
      <c r="O821" s="675">
        <v>0</v>
      </c>
      <c r="P821" s="675">
        <v>0</v>
      </c>
      <c r="Q821" s="676">
        <v>0</v>
      </c>
      <c r="R821" s="676">
        <v>0</v>
      </c>
      <c r="S821" s="676">
        <v>5769</v>
      </c>
      <c r="T821" s="676">
        <v>5769</v>
      </c>
      <c r="U821" s="676">
        <v>119916</v>
      </c>
      <c r="V821"/>
      <c r="W821"/>
      <c r="X821"/>
      <c r="Y821"/>
    </row>
    <row r="822" spans="1:25" ht="15.75">
      <c r="A822" s="684" t="s">
        <v>1103</v>
      </c>
      <c r="B822" s="688"/>
      <c r="C822" s="380">
        <v>61153</v>
      </c>
      <c r="D822" s="381">
        <v>13336</v>
      </c>
      <c r="E822" s="381">
        <v>31675</v>
      </c>
      <c r="F822" s="381">
        <v>10166</v>
      </c>
      <c r="G822" s="381">
        <v>4441</v>
      </c>
      <c r="H822" s="382">
        <v>253</v>
      </c>
      <c r="I822" s="382">
        <v>121024</v>
      </c>
      <c r="J822" s="381">
        <v>0</v>
      </c>
      <c r="K822" s="381">
        <v>0</v>
      </c>
      <c r="L822" s="381">
        <v>0</v>
      </c>
      <c r="M822" s="382">
        <v>0</v>
      </c>
      <c r="N822" s="382">
        <v>0</v>
      </c>
      <c r="O822" s="381">
        <v>0</v>
      </c>
      <c r="P822" s="381">
        <v>0</v>
      </c>
      <c r="Q822" s="382">
        <v>0</v>
      </c>
      <c r="R822" s="382">
        <v>0</v>
      </c>
      <c r="S822" s="382">
        <v>6057</v>
      </c>
      <c r="T822" s="382">
        <v>6057</v>
      </c>
      <c r="U822" s="382">
        <v>127081</v>
      </c>
      <c r="V822"/>
      <c r="W822"/>
      <c r="X822"/>
      <c r="Y822"/>
    </row>
    <row r="823" spans="1:25" ht="15.75">
      <c r="A823" s="684" t="s">
        <v>1104</v>
      </c>
      <c r="B823" s="689"/>
      <c r="C823" s="383">
        <v>4.1717770509675664E-2</v>
      </c>
      <c r="D823" s="384">
        <v>4.1956402843972188E-2</v>
      </c>
      <c r="E823" s="384">
        <v>9.4052224371373311E-2</v>
      </c>
      <c r="F823" s="384">
        <v>6.9092438742244189E-2</v>
      </c>
      <c r="G823" s="384">
        <v>0.11779511704002013</v>
      </c>
      <c r="H823" s="385">
        <v>0.20476190476190476</v>
      </c>
      <c r="I823" s="385">
        <v>6.0246874644099273E-2</v>
      </c>
      <c r="J823" s="384">
        <v>0</v>
      </c>
      <c r="K823" s="384">
        <v>0</v>
      </c>
      <c r="L823" s="384">
        <v>0</v>
      </c>
      <c r="M823" s="385">
        <v>0</v>
      </c>
      <c r="N823" s="385">
        <v>0</v>
      </c>
      <c r="O823" s="384">
        <v>0</v>
      </c>
      <c r="P823" s="384">
        <v>0</v>
      </c>
      <c r="Q823" s="385">
        <v>0</v>
      </c>
      <c r="R823" s="385">
        <v>0</v>
      </c>
      <c r="S823" s="385">
        <v>4.9921996879875197E-2</v>
      </c>
      <c r="T823" s="385">
        <v>4.9921996879875197E-2</v>
      </c>
      <c r="U823" s="385">
        <v>5.9750158444244306E-2</v>
      </c>
      <c r="V823"/>
      <c r="W823"/>
      <c r="X823"/>
      <c r="Y823"/>
    </row>
    <row r="824" spans="1:25" s="386" customFormat="1" ht="15.75">
      <c r="A824" s="684" t="s">
        <v>1105</v>
      </c>
      <c r="B824" s="687"/>
      <c r="C824" s="674">
        <v>10540</v>
      </c>
      <c r="D824" s="675">
        <v>1585</v>
      </c>
      <c r="E824" s="675">
        <v>998</v>
      </c>
      <c r="F824" s="675">
        <v>77</v>
      </c>
      <c r="G824" s="675">
        <v>13</v>
      </c>
      <c r="H824" s="676">
        <v>0</v>
      </c>
      <c r="I824" s="676">
        <v>13213</v>
      </c>
      <c r="J824" s="675">
        <v>0</v>
      </c>
      <c r="K824" s="675">
        <v>0</v>
      </c>
      <c r="L824" s="675">
        <v>0</v>
      </c>
      <c r="M824" s="676">
        <v>0</v>
      </c>
      <c r="N824" s="676">
        <v>0</v>
      </c>
      <c r="O824" s="675">
        <v>0</v>
      </c>
      <c r="P824" s="675">
        <v>0</v>
      </c>
      <c r="Q824" s="676">
        <v>0</v>
      </c>
      <c r="R824" s="676">
        <v>0</v>
      </c>
      <c r="S824" s="676">
        <v>1000</v>
      </c>
      <c r="T824" s="676">
        <v>1000</v>
      </c>
      <c r="U824" s="676">
        <v>14213</v>
      </c>
      <c r="V824"/>
      <c r="W824"/>
      <c r="X824"/>
      <c r="Y824"/>
    </row>
    <row r="825" spans="1:25" ht="15.75">
      <c r="A825" s="684" t="s">
        <v>1106</v>
      </c>
      <c r="B825" s="688"/>
      <c r="C825" s="380">
        <v>10529</v>
      </c>
      <c r="D825" s="381">
        <v>1627</v>
      </c>
      <c r="E825" s="381">
        <v>1146</v>
      </c>
      <c r="F825" s="381">
        <v>133</v>
      </c>
      <c r="G825" s="381">
        <v>29</v>
      </c>
      <c r="H825" s="382">
        <v>0</v>
      </c>
      <c r="I825" s="382">
        <v>13464</v>
      </c>
      <c r="J825" s="381">
        <v>0</v>
      </c>
      <c r="K825" s="381">
        <v>0</v>
      </c>
      <c r="L825" s="381">
        <v>0</v>
      </c>
      <c r="M825" s="382">
        <v>0</v>
      </c>
      <c r="N825" s="382">
        <v>0</v>
      </c>
      <c r="O825" s="381">
        <v>0</v>
      </c>
      <c r="P825" s="381">
        <v>0</v>
      </c>
      <c r="Q825" s="382">
        <v>0</v>
      </c>
      <c r="R825" s="382">
        <v>0</v>
      </c>
      <c r="S825" s="382">
        <v>1119</v>
      </c>
      <c r="T825" s="382">
        <v>1119</v>
      </c>
      <c r="U825" s="382">
        <v>14583</v>
      </c>
      <c r="V825"/>
      <c r="W825"/>
      <c r="X825"/>
      <c r="Y825"/>
    </row>
    <row r="826" spans="1:25" ht="15.75">
      <c r="A826" s="684" t="s">
        <v>1107</v>
      </c>
      <c r="B826" s="689"/>
      <c r="C826" s="383">
        <v>-1.0436432637571157E-3</v>
      </c>
      <c r="D826" s="384">
        <v>2.6498422712933754E-2</v>
      </c>
      <c r="E826" s="384">
        <v>0.14829659318637275</v>
      </c>
      <c r="F826" s="384">
        <v>0.72727272727272729</v>
      </c>
      <c r="G826" s="384">
        <v>1.2307692307692308</v>
      </c>
      <c r="H826" s="385">
        <v>0</v>
      </c>
      <c r="I826" s="385">
        <v>1.8996442897146748E-2</v>
      </c>
      <c r="J826" s="384">
        <v>0</v>
      </c>
      <c r="K826" s="384">
        <v>0</v>
      </c>
      <c r="L826" s="384">
        <v>0</v>
      </c>
      <c r="M826" s="385">
        <v>0</v>
      </c>
      <c r="N826" s="385">
        <v>0</v>
      </c>
      <c r="O826" s="384">
        <v>0</v>
      </c>
      <c r="P826" s="384">
        <v>0</v>
      </c>
      <c r="Q826" s="385">
        <v>0</v>
      </c>
      <c r="R826" s="385">
        <v>0</v>
      </c>
      <c r="S826" s="385">
        <v>0.11899999999999999</v>
      </c>
      <c r="T826" s="385">
        <v>0.11899999999999999</v>
      </c>
      <c r="U826" s="385">
        <v>2.6032505452754519E-2</v>
      </c>
      <c r="V826"/>
      <c r="W826"/>
      <c r="X826"/>
      <c r="Y826"/>
    </row>
    <row r="827" spans="1:25" s="386" customFormat="1" ht="15.75">
      <c r="A827" s="684" t="s">
        <v>1108</v>
      </c>
      <c r="B827" s="687"/>
      <c r="C827" s="674">
        <v>4645</v>
      </c>
      <c r="D827" s="675">
        <v>384</v>
      </c>
      <c r="E827" s="675">
        <v>700</v>
      </c>
      <c r="F827" s="675">
        <v>442</v>
      </c>
      <c r="G827" s="675"/>
      <c r="H827" s="676"/>
      <c r="I827" s="676">
        <v>6171</v>
      </c>
      <c r="J827" s="675"/>
      <c r="K827" s="675"/>
      <c r="L827" s="675"/>
      <c r="M827" s="676"/>
      <c r="N827" s="676"/>
      <c r="O827" s="675"/>
      <c r="P827" s="675"/>
      <c r="Q827" s="676"/>
      <c r="R827" s="676"/>
      <c r="S827" s="676">
        <v>268</v>
      </c>
      <c r="T827" s="676">
        <v>268</v>
      </c>
      <c r="U827" s="676">
        <v>6439</v>
      </c>
      <c r="V827"/>
      <c r="W827"/>
      <c r="X827"/>
      <c r="Y827"/>
    </row>
    <row r="828" spans="1:25" ht="15.75">
      <c r="A828" s="684" t="s">
        <v>1109</v>
      </c>
      <c r="B828" s="688"/>
      <c r="C828" s="380">
        <v>4529</v>
      </c>
      <c r="D828" s="381">
        <v>357</v>
      </c>
      <c r="E828" s="381">
        <v>792</v>
      </c>
      <c r="F828" s="381">
        <v>443</v>
      </c>
      <c r="G828" s="381"/>
      <c r="H828" s="382"/>
      <c r="I828" s="382">
        <v>6121</v>
      </c>
      <c r="J828" s="381"/>
      <c r="K828" s="381"/>
      <c r="L828" s="381"/>
      <c r="M828" s="382"/>
      <c r="N828" s="382"/>
      <c r="O828" s="381"/>
      <c r="P828" s="381"/>
      <c r="Q828" s="382"/>
      <c r="R828" s="382"/>
      <c r="S828" s="382">
        <v>242</v>
      </c>
      <c r="T828" s="382">
        <v>242</v>
      </c>
      <c r="U828" s="382">
        <v>6363</v>
      </c>
      <c r="V828"/>
      <c r="W828"/>
      <c r="X828"/>
      <c r="Y828"/>
    </row>
    <row r="829" spans="1:25" ht="15.75">
      <c r="A829" s="684" t="s">
        <v>1110</v>
      </c>
      <c r="B829" s="689"/>
      <c r="C829" s="383">
        <v>-2.4973089343379978E-2</v>
      </c>
      <c r="D829" s="384">
        <v>-7.03125E-2</v>
      </c>
      <c r="E829" s="384">
        <v>0.13142857142857142</v>
      </c>
      <c r="F829" s="384">
        <v>2.2624434389140274E-3</v>
      </c>
      <c r="G829" s="384">
        <v>0</v>
      </c>
      <c r="H829" s="385">
        <v>0</v>
      </c>
      <c r="I829" s="385">
        <v>-8.1024145195268196E-3</v>
      </c>
      <c r="J829" s="384">
        <v>0</v>
      </c>
      <c r="K829" s="384">
        <v>0</v>
      </c>
      <c r="L829" s="384">
        <v>0</v>
      </c>
      <c r="M829" s="385">
        <v>0</v>
      </c>
      <c r="N829" s="385">
        <v>0</v>
      </c>
      <c r="O829" s="384">
        <v>0</v>
      </c>
      <c r="P829" s="384">
        <v>0</v>
      </c>
      <c r="Q829" s="385">
        <v>0</v>
      </c>
      <c r="R829" s="385">
        <v>0</v>
      </c>
      <c r="S829" s="385">
        <v>-9.7014925373134331E-2</v>
      </c>
      <c r="T829" s="385">
        <v>-9.7014925373134331E-2</v>
      </c>
      <c r="U829" s="385">
        <v>-1.1803075011647771E-2</v>
      </c>
      <c r="V829"/>
      <c r="W829"/>
      <c r="X829"/>
      <c r="Y829"/>
    </row>
    <row r="830" spans="1:25" s="386" customFormat="1" ht="15.75">
      <c r="A830" s="684" t="s">
        <v>1111</v>
      </c>
      <c r="B830" s="687"/>
      <c r="C830" s="674">
        <v>1284</v>
      </c>
      <c r="D830" s="675">
        <v>179</v>
      </c>
      <c r="E830" s="675">
        <v>236</v>
      </c>
      <c r="F830" s="675"/>
      <c r="G830" s="675"/>
      <c r="H830" s="676"/>
      <c r="I830" s="676">
        <v>1699</v>
      </c>
      <c r="J830" s="675"/>
      <c r="K830" s="675"/>
      <c r="L830" s="675"/>
      <c r="M830" s="676"/>
      <c r="N830" s="676"/>
      <c r="O830" s="675"/>
      <c r="P830" s="675"/>
      <c r="Q830" s="676"/>
      <c r="R830" s="676"/>
      <c r="S830" s="676">
        <v>2113</v>
      </c>
      <c r="T830" s="676">
        <v>2113</v>
      </c>
      <c r="U830" s="676">
        <v>3812</v>
      </c>
      <c r="V830"/>
      <c r="W830"/>
      <c r="X830"/>
      <c r="Y830"/>
    </row>
    <row r="831" spans="1:25" ht="15.75">
      <c r="A831" s="684" t="s">
        <v>1112</v>
      </c>
      <c r="B831" s="688"/>
      <c r="C831" s="380">
        <v>1317</v>
      </c>
      <c r="D831" s="381">
        <v>174</v>
      </c>
      <c r="E831" s="381">
        <v>239</v>
      </c>
      <c r="F831" s="381"/>
      <c r="G831" s="381"/>
      <c r="H831" s="382"/>
      <c r="I831" s="382">
        <v>1730</v>
      </c>
      <c r="J831" s="381"/>
      <c r="K831" s="381"/>
      <c r="L831" s="381"/>
      <c r="M831" s="382"/>
      <c r="N831" s="382"/>
      <c r="O831" s="381"/>
      <c r="P831" s="381"/>
      <c r="Q831" s="382"/>
      <c r="R831" s="382"/>
      <c r="S831" s="382">
        <v>2133</v>
      </c>
      <c r="T831" s="382">
        <v>2133</v>
      </c>
      <c r="U831" s="382">
        <v>3863</v>
      </c>
      <c r="V831"/>
      <c r="W831"/>
      <c r="X831"/>
      <c r="Y831"/>
    </row>
    <row r="832" spans="1:25" ht="15.75">
      <c r="A832" s="684" t="s">
        <v>1113</v>
      </c>
      <c r="B832" s="689"/>
      <c r="C832" s="383">
        <v>2.5700934579439252E-2</v>
      </c>
      <c r="D832" s="384">
        <v>-2.7932960893854747E-2</v>
      </c>
      <c r="E832" s="384">
        <v>1.2711864406779662E-2</v>
      </c>
      <c r="F832" s="384">
        <v>0</v>
      </c>
      <c r="G832" s="384">
        <v>0</v>
      </c>
      <c r="H832" s="385">
        <v>0</v>
      </c>
      <c r="I832" s="385">
        <v>1.8246027074749854E-2</v>
      </c>
      <c r="J832" s="384">
        <v>0</v>
      </c>
      <c r="K832" s="384">
        <v>0</v>
      </c>
      <c r="L832" s="384">
        <v>0</v>
      </c>
      <c r="M832" s="385">
        <v>0</v>
      </c>
      <c r="N832" s="385">
        <v>0</v>
      </c>
      <c r="O832" s="384">
        <v>0</v>
      </c>
      <c r="P832" s="384">
        <v>0</v>
      </c>
      <c r="Q832" s="385">
        <v>0</v>
      </c>
      <c r="R832" s="385">
        <v>0</v>
      </c>
      <c r="S832" s="385">
        <v>9.4652153336488402E-3</v>
      </c>
      <c r="T832" s="385">
        <v>9.4652153336488402E-3</v>
      </c>
      <c r="U832" s="385">
        <v>1.3378803777544596E-2</v>
      </c>
      <c r="V832"/>
      <c r="W832"/>
      <c r="X832"/>
      <c r="Y832"/>
    </row>
    <row r="833" spans="1:25" s="386" customFormat="1" ht="15.75">
      <c r="A833" s="684" t="s">
        <v>1114</v>
      </c>
      <c r="B833" s="687"/>
      <c r="C833" s="674">
        <v>432</v>
      </c>
      <c r="D833" s="675">
        <v>92</v>
      </c>
      <c r="E833" s="675"/>
      <c r="F833" s="675"/>
      <c r="G833" s="675"/>
      <c r="H833" s="676"/>
      <c r="I833" s="676">
        <v>524</v>
      </c>
      <c r="J833" s="675"/>
      <c r="K833" s="675"/>
      <c r="L833" s="675"/>
      <c r="M833" s="676"/>
      <c r="N833" s="676"/>
      <c r="O833" s="675"/>
      <c r="P833" s="675"/>
      <c r="Q833" s="676"/>
      <c r="R833" s="676"/>
      <c r="S833" s="676">
        <v>603</v>
      </c>
      <c r="T833" s="676">
        <v>603</v>
      </c>
      <c r="U833" s="676">
        <v>1127</v>
      </c>
      <c r="V833"/>
      <c r="W833"/>
      <c r="X833"/>
      <c r="Y833"/>
    </row>
    <row r="834" spans="1:25" ht="15.75">
      <c r="A834" s="684" t="s">
        <v>1115</v>
      </c>
      <c r="B834" s="688"/>
      <c r="C834" s="380">
        <v>453</v>
      </c>
      <c r="D834" s="381">
        <v>91</v>
      </c>
      <c r="E834" s="381"/>
      <c r="F834" s="381"/>
      <c r="G834" s="381"/>
      <c r="H834" s="382"/>
      <c r="I834" s="382">
        <v>544</v>
      </c>
      <c r="J834" s="381"/>
      <c r="K834" s="381"/>
      <c r="L834" s="381"/>
      <c r="M834" s="382"/>
      <c r="N834" s="382"/>
      <c r="O834" s="381"/>
      <c r="P834" s="381"/>
      <c r="Q834" s="382"/>
      <c r="R834" s="382"/>
      <c r="S834" s="382">
        <v>659</v>
      </c>
      <c r="T834" s="382">
        <v>659</v>
      </c>
      <c r="U834" s="382">
        <v>1203</v>
      </c>
      <c r="V834"/>
      <c r="W834"/>
      <c r="X834"/>
      <c r="Y834"/>
    </row>
    <row r="835" spans="1:25" ht="15.75">
      <c r="A835" s="684" t="s">
        <v>1116</v>
      </c>
      <c r="B835" s="689"/>
      <c r="C835" s="383">
        <v>4.8611111111111112E-2</v>
      </c>
      <c r="D835" s="384">
        <v>-1.0869565217391304E-2</v>
      </c>
      <c r="E835" s="384">
        <v>0</v>
      </c>
      <c r="F835" s="384">
        <v>0</v>
      </c>
      <c r="G835" s="384">
        <v>0</v>
      </c>
      <c r="H835" s="385">
        <v>0</v>
      </c>
      <c r="I835" s="385">
        <v>3.8167938931297711E-2</v>
      </c>
      <c r="J835" s="384">
        <v>0</v>
      </c>
      <c r="K835" s="384">
        <v>0</v>
      </c>
      <c r="L835" s="384">
        <v>0</v>
      </c>
      <c r="M835" s="385">
        <v>0</v>
      </c>
      <c r="N835" s="385">
        <v>0</v>
      </c>
      <c r="O835" s="384">
        <v>0</v>
      </c>
      <c r="P835" s="384">
        <v>0</v>
      </c>
      <c r="Q835" s="385">
        <v>0</v>
      </c>
      <c r="R835" s="385">
        <v>0</v>
      </c>
      <c r="S835" s="385">
        <v>9.2868988391376445E-2</v>
      </c>
      <c r="T835" s="385">
        <v>9.2868988391376445E-2</v>
      </c>
      <c r="U835" s="385">
        <v>6.7435669920141966E-2</v>
      </c>
      <c r="V835"/>
      <c r="W835"/>
      <c r="X835"/>
      <c r="Y835"/>
    </row>
    <row r="836" spans="1:25" s="386" customFormat="1" ht="15.75">
      <c r="A836" s="684" t="s">
        <v>1117</v>
      </c>
      <c r="B836" s="687"/>
      <c r="C836" s="674">
        <v>1542</v>
      </c>
      <c r="D836" s="675">
        <v>196</v>
      </c>
      <c r="E836" s="675">
        <v>375</v>
      </c>
      <c r="F836" s="675"/>
      <c r="G836" s="675">
        <v>85</v>
      </c>
      <c r="H836" s="676"/>
      <c r="I836" s="676">
        <v>2198</v>
      </c>
      <c r="J836" s="675"/>
      <c r="K836" s="675"/>
      <c r="L836" s="675"/>
      <c r="M836" s="676"/>
      <c r="N836" s="676"/>
      <c r="O836" s="675"/>
      <c r="P836" s="675"/>
      <c r="Q836" s="676"/>
      <c r="R836" s="676"/>
      <c r="S836" s="676">
        <v>516</v>
      </c>
      <c r="T836" s="676">
        <v>516</v>
      </c>
      <c r="U836" s="676">
        <v>2714</v>
      </c>
      <c r="V836"/>
      <c r="W836"/>
      <c r="X836"/>
      <c r="Y836"/>
    </row>
    <row r="837" spans="1:25" ht="15.75">
      <c r="A837" s="684" t="s">
        <v>1118</v>
      </c>
      <c r="B837" s="688"/>
      <c r="C837" s="380">
        <v>1554</v>
      </c>
      <c r="D837" s="381">
        <v>205</v>
      </c>
      <c r="E837" s="381">
        <v>329</v>
      </c>
      <c r="F837" s="381"/>
      <c r="G837" s="381">
        <v>80</v>
      </c>
      <c r="H837" s="382"/>
      <c r="I837" s="382">
        <v>2168</v>
      </c>
      <c r="J837" s="381"/>
      <c r="K837" s="381"/>
      <c r="L837" s="381"/>
      <c r="M837" s="382"/>
      <c r="N837" s="382"/>
      <c r="O837" s="381"/>
      <c r="P837" s="381"/>
      <c r="Q837" s="382"/>
      <c r="R837" s="382"/>
      <c r="S837" s="382">
        <v>563</v>
      </c>
      <c r="T837" s="382">
        <v>563</v>
      </c>
      <c r="U837" s="382">
        <v>2731</v>
      </c>
      <c r="V837"/>
      <c r="W837"/>
      <c r="X837"/>
      <c r="Y837"/>
    </row>
    <row r="838" spans="1:25" ht="15.75">
      <c r="A838" s="684" t="s">
        <v>1119</v>
      </c>
      <c r="B838" s="689"/>
      <c r="C838" s="383">
        <v>7.7821011673151752E-3</v>
      </c>
      <c r="D838" s="384">
        <v>4.5918367346938778E-2</v>
      </c>
      <c r="E838" s="384">
        <v>-0.12266666666666666</v>
      </c>
      <c r="F838" s="384">
        <v>0</v>
      </c>
      <c r="G838" s="384">
        <v>-5.8823529411764705E-2</v>
      </c>
      <c r="H838" s="385">
        <v>0</v>
      </c>
      <c r="I838" s="385">
        <v>-1.364877161055505E-2</v>
      </c>
      <c r="J838" s="384">
        <v>0</v>
      </c>
      <c r="K838" s="384">
        <v>0</v>
      </c>
      <c r="L838" s="384">
        <v>0</v>
      </c>
      <c r="M838" s="385">
        <v>0</v>
      </c>
      <c r="N838" s="385">
        <v>0</v>
      </c>
      <c r="O838" s="384">
        <v>0</v>
      </c>
      <c r="P838" s="384">
        <v>0</v>
      </c>
      <c r="Q838" s="385">
        <v>0</v>
      </c>
      <c r="R838" s="385">
        <v>0</v>
      </c>
      <c r="S838" s="385">
        <v>9.1085271317829453E-2</v>
      </c>
      <c r="T838" s="385">
        <v>9.1085271317829453E-2</v>
      </c>
      <c r="U838" s="385">
        <v>6.263817243920413E-3</v>
      </c>
      <c r="V838"/>
      <c r="W838"/>
      <c r="X838"/>
      <c r="Y838"/>
    </row>
    <row r="839" spans="1:25" s="386" customFormat="1" ht="15.75">
      <c r="A839" s="684" t="s">
        <v>1120</v>
      </c>
      <c r="B839" s="687"/>
      <c r="C839" s="674"/>
      <c r="D839" s="675"/>
      <c r="E839" s="675"/>
      <c r="F839" s="675"/>
      <c r="G839" s="675"/>
      <c r="H839" s="676"/>
      <c r="I839" s="676"/>
      <c r="J839" s="675"/>
      <c r="K839" s="675"/>
      <c r="L839" s="675"/>
      <c r="M839" s="676"/>
      <c r="N839" s="676"/>
      <c r="O839" s="675"/>
      <c r="P839" s="675"/>
      <c r="Q839" s="676"/>
      <c r="R839" s="676"/>
      <c r="S839" s="676"/>
      <c r="T839" s="676"/>
      <c r="U839" s="676"/>
      <c r="V839"/>
      <c r="W839"/>
      <c r="X839"/>
      <c r="Y839"/>
    </row>
    <row r="840" spans="1:25" ht="15.75">
      <c r="A840" s="684" t="s">
        <v>1121</v>
      </c>
      <c r="B840" s="688"/>
      <c r="C840" s="380"/>
      <c r="D840" s="381"/>
      <c r="E840" s="381"/>
      <c r="F840" s="381"/>
      <c r="G840" s="381"/>
      <c r="H840" s="382"/>
      <c r="I840" s="382"/>
      <c r="J840" s="381"/>
      <c r="K840" s="381"/>
      <c r="L840" s="381"/>
      <c r="M840" s="382"/>
      <c r="N840" s="382"/>
      <c r="O840" s="381"/>
      <c r="P840" s="381"/>
      <c r="Q840" s="382"/>
      <c r="R840" s="382"/>
      <c r="S840" s="382"/>
      <c r="T840" s="382"/>
      <c r="U840" s="382"/>
      <c r="V840"/>
      <c r="W840"/>
      <c r="X840"/>
      <c r="Y840"/>
    </row>
    <row r="841" spans="1:25" ht="15.75">
      <c r="A841" s="684" t="s">
        <v>1122</v>
      </c>
      <c r="B841" s="689"/>
      <c r="C841" s="383">
        <v>0</v>
      </c>
      <c r="D841" s="384">
        <v>0</v>
      </c>
      <c r="E841" s="384">
        <v>0</v>
      </c>
      <c r="F841" s="384">
        <v>0</v>
      </c>
      <c r="G841" s="384">
        <v>0</v>
      </c>
      <c r="H841" s="385">
        <v>0</v>
      </c>
      <c r="I841" s="385">
        <v>0</v>
      </c>
      <c r="J841" s="384">
        <v>0</v>
      </c>
      <c r="K841" s="384">
        <v>0</v>
      </c>
      <c r="L841" s="384">
        <v>0</v>
      </c>
      <c r="M841" s="385">
        <v>0</v>
      </c>
      <c r="N841" s="385">
        <v>0</v>
      </c>
      <c r="O841" s="384">
        <v>0</v>
      </c>
      <c r="P841" s="384">
        <v>0</v>
      </c>
      <c r="Q841" s="385">
        <v>0</v>
      </c>
      <c r="R841" s="385">
        <v>0</v>
      </c>
      <c r="S841" s="385">
        <v>0</v>
      </c>
      <c r="T841" s="385">
        <v>0</v>
      </c>
      <c r="U841" s="385">
        <v>0</v>
      </c>
      <c r="V841"/>
      <c r="W841"/>
      <c r="X841"/>
      <c r="Y841"/>
    </row>
    <row r="842" spans="1:25" s="386" customFormat="1" ht="15.75">
      <c r="A842" s="684" t="s">
        <v>1123</v>
      </c>
      <c r="B842" s="687"/>
      <c r="C842" s="674">
        <v>134</v>
      </c>
      <c r="D842" s="675"/>
      <c r="E842" s="675">
        <v>27</v>
      </c>
      <c r="F842" s="675"/>
      <c r="G842" s="675"/>
      <c r="H842" s="676"/>
      <c r="I842" s="676">
        <v>161</v>
      </c>
      <c r="J842" s="675"/>
      <c r="K842" s="675"/>
      <c r="L842" s="675"/>
      <c r="M842" s="676"/>
      <c r="N842" s="676"/>
      <c r="O842" s="675"/>
      <c r="P842" s="675"/>
      <c r="Q842" s="676"/>
      <c r="R842" s="676"/>
      <c r="S842" s="676"/>
      <c r="T842" s="676"/>
      <c r="U842" s="676">
        <v>161</v>
      </c>
      <c r="V842"/>
      <c r="W842"/>
      <c r="X842"/>
      <c r="Y842"/>
    </row>
    <row r="843" spans="1:25" ht="15.75">
      <c r="A843" s="684" t="s">
        <v>1124</v>
      </c>
      <c r="B843" s="688"/>
      <c r="C843" s="380">
        <v>126</v>
      </c>
      <c r="D843" s="381"/>
      <c r="E843" s="381">
        <v>26</v>
      </c>
      <c r="F843" s="381"/>
      <c r="G843" s="381"/>
      <c r="H843" s="382"/>
      <c r="I843" s="382">
        <v>152</v>
      </c>
      <c r="J843" s="381"/>
      <c r="K843" s="381"/>
      <c r="L843" s="381"/>
      <c r="M843" s="382"/>
      <c r="N843" s="382"/>
      <c r="O843" s="381"/>
      <c r="P843" s="381"/>
      <c r="Q843" s="382"/>
      <c r="R843" s="382"/>
      <c r="S843" s="382"/>
      <c r="T843" s="382"/>
      <c r="U843" s="382">
        <v>152</v>
      </c>
      <c r="V843"/>
      <c r="W843"/>
      <c r="X843"/>
      <c r="Y843"/>
    </row>
    <row r="844" spans="1:25" ht="15.75">
      <c r="A844" s="684" t="s">
        <v>1125</v>
      </c>
      <c r="B844" s="689"/>
      <c r="C844" s="383">
        <v>-5.9701492537313432E-2</v>
      </c>
      <c r="D844" s="384">
        <v>0</v>
      </c>
      <c r="E844" s="384">
        <v>-3.7037037037037035E-2</v>
      </c>
      <c r="F844" s="384">
        <v>0</v>
      </c>
      <c r="G844" s="384">
        <v>0</v>
      </c>
      <c r="H844" s="385">
        <v>0</v>
      </c>
      <c r="I844" s="385">
        <v>-5.5900621118012424E-2</v>
      </c>
      <c r="J844" s="384">
        <v>0</v>
      </c>
      <c r="K844" s="384">
        <v>0</v>
      </c>
      <c r="L844" s="384">
        <v>0</v>
      </c>
      <c r="M844" s="385">
        <v>0</v>
      </c>
      <c r="N844" s="385">
        <v>0</v>
      </c>
      <c r="O844" s="384">
        <v>0</v>
      </c>
      <c r="P844" s="384">
        <v>0</v>
      </c>
      <c r="Q844" s="385">
        <v>0</v>
      </c>
      <c r="R844" s="385">
        <v>0</v>
      </c>
      <c r="S844" s="385">
        <v>0</v>
      </c>
      <c r="T844" s="385">
        <v>0</v>
      </c>
      <c r="U844" s="385">
        <v>-5.5900621118012424E-2</v>
      </c>
      <c r="V844"/>
      <c r="W844"/>
      <c r="X844"/>
      <c r="Y844"/>
    </row>
    <row r="845" spans="1:25" s="386" customFormat="1" ht="15.75">
      <c r="A845" s="684" t="s">
        <v>1126</v>
      </c>
      <c r="B845" s="687"/>
      <c r="C845" s="674">
        <v>76</v>
      </c>
      <c r="D845" s="675"/>
      <c r="E845" s="675"/>
      <c r="F845" s="675"/>
      <c r="G845" s="675"/>
      <c r="H845" s="676"/>
      <c r="I845" s="676">
        <v>76</v>
      </c>
      <c r="J845" s="675"/>
      <c r="K845" s="675"/>
      <c r="L845" s="675"/>
      <c r="M845" s="676"/>
      <c r="N845" s="676"/>
      <c r="O845" s="675"/>
      <c r="P845" s="675"/>
      <c r="Q845" s="676"/>
      <c r="R845" s="676"/>
      <c r="S845" s="676">
        <v>222</v>
      </c>
      <c r="T845" s="676">
        <v>222</v>
      </c>
      <c r="U845" s="676">
        <v>298</v>
      </c>
      <c r="V845"/>
      <c r="W845"/>
      <c r="X845"/>
      <c r="Y845"/>
    </row>
    <row r="846" spans="1:25" ht="15.75">
      <c r="A846" s="684" t="s">
        <v>1127</v>
      </c>
      <c r="B846" s="688"/>
      <c r="C846" s="380">
        <v>75</v>
      </c>
      <c r="D846" s="381"/>
      <c r="E846" s="381"/>
      <c r="F846" s="381"/>
      <c r="G846" s="381"/>
      <c r="H846" s="382"/>
      <c r="I846" s="382">
        <v>75</v>
      </c>
      <c r="J846" s="381"/>
      <c r="K846" s="381"/>
      <c r="L846" s="381"/>
      <c r="M846" s="382"/>
      <c r="N846" s="382"/>
      <c r="O846" s="381"/>
      <c r="P846" s="381"/>
      <c r="Q846" s="382"/>
      <c r="R846" s="382"/>
      <c r="S846" s="382">
        <v>225</v>
      </c>
      <c r="T846" s="382">
        <v>225</v>
      </c>
      <c r="U846" s="382">
        <v>300</v>
      </c>
      <c r="V846"/>
      <c r="W846"/>
      <c r="X846"/>
      <c r="Y846"/>
    </row>
    <row r="847" spans="1:25" ht="15.75">
      <c r="A847" s="684" t="s">
        <v>1128</v>
      </c>
      <c r="B847" s="689"/>
      <c r="C847" s="383">
        <v>-1.3157894736842105E-2</v>
      </c>
      <c r="D847" s="384">
        <v>0</v>
      </c>
      <c r="E847" s="384">
        <v>0</v>
      </c>
      <c r="F847" s="384">
        <v>0</v>
      </c>
      <c r="G847" s="384">
        <v>0</v>
      </c>
      <c r="H847" s="385">
        <v>0</v>
      </c>
      <c r="I847" s="385">
        <v>-1.3157894736842105E-2</v>
      </c>
      <c r="J847" s="384">
        <v>0</v>
      </c>
      <c r="K847" s="384">
        <v>0</v>
      </c>
      <c r="L847" s="384">
        <v>0</v>
      </c>
      <c r="M847" s="385">
        <v>0</v>
      </c>
      <c r="N847" s="385">
        <v>0</v>
      </c>
      <c r="O847" s="384">
        <v>0</v>
      </c>
      <c r="P847" s="384">
        <v>0</v>
      </c>
      <c r="Q847" s="385">
        <v>0</v>
      </c>
      <c r="R847" s="385">
        <v>0</v>
      </c>
      <c r="S847" s="385">
        <v>1.3513513513513514E-2</v>
      </c>
      <c r="T847" s="385">
        <v>1.3513513513513514E-2</v>
      </c>
      <c r="U847" s="385">
        <v>6.7114093959731542E-3</v>
      </c>
      <c r="V847"/>
      <c r="W847"/>
      <c r="X847"/>
      <c r="Y847"/>
    </row>
    <row r="848" spans="1:25" s="386" customFormat="1" ht="15.75">
      <c r="A848" s="684" t="s">
        <v>1129</v>
      </c>
      <c r="B848" s="687"/>
      <c r="C848" s="674">
        <v>853</v>
      </c>
      <c r="D848" s="675"/>
      <c r="E848" s="675"/>
      <c r="F848" s="675"/>
      <c r="G848" s="675"/>
      <c r="H848" s="676"/>
      <c r="I848" s="676">
        <v>853</v>
      </c>
      <c r="J848" s="675"/>
      <c r="K848" s="675"/>
      <c r="L848" s="675"/>
      <c r="M848" s="676"/>
      <c r="N848" s="676"/>
      <c r="O848" s="675"/>
      <c r="P848" s="675"/>
      <c r="Q848" s="676"/>
      <c r="R848" s="676"/>
      <c r="S848" s="676"/>
      <c r="T848" s="676"/>
      <c r="U848" s="676">
        <v>853</v>
      </c>
      <c r="V848"/>
      <c r="W848"/>
      <c r="X848"/>
      <c r="Y848"/>
    </row>
    <row r="849" spans="1:25" ht="15.75">
      <c r="A849" s="684" t="s">
        <v>1130</v>
      </c>
      <c r="B849" s="688"/>
      <c r="C849" s="380">
        <v>840</v>
      </c>
      <c r="D849" s="381"/>
      <c r="E849" s="381"/>
      <c r="F849" s="381"/>
      <c r="G849" s="381"/>
      <c r="H849" s="382"/>
      <c r="I849" s="382">
        <v>840</v>
      </c>
      <c r="J849" s="381"/>
      <c r="K849" s="381"/>
      <c r="L849" s="381"/>
      <c r="M849" s="382"/>
      <c r="N849" s="382"/>
      <c r="O849" s="381"/>
      <c r="P849" s="381"/>
      <c r="Q849" s="382"/>
      <c r="R849" s="382"/>
      <c r="S849" s="382"/>
      <c r="T849" s="382"/>
      <c r="U849" s="382">
        <v>840</v>
      </c>
      <c r="V849"/>
      <c r="W849"/>
      <c r="X849"/>
      <c r="Y849"/>
    </row>
    <row r="850" spans="1:25" ht="15.75">
      <c r="A850" s="684" t="s">
        <v>1131</v>
      </c>
      <c r="B850" s="689"/>
      <c r="C850" s="383">
        <v>-1.5240328253223915E-2</v>
      </c>
      <c r="D850" s="384">
        <v>0</v>
      </c>
      <c r="E850" s="384">
        <v>0</v>
      </c>
      <c r="F850" s="384">
        <v>0</v>
      </c>
      <c r="G850" s="384">
        <v>0</v>
      </c>
      <c r="H850" s="385">
        <v>0</v>
      </c>
      <c r="I850" s="385">
        <v>-1.5240328253223915E-2</v>
      </c>
      <c r="J850" s="384">
        <v>0</v>
      </c>
      <c r="K850" s="384">
        <v>0</v>
      </c>
      <c r="L850" s="384">
        <v>0</v>
      </c>
      <c r="M850" s="385">
        <v>0</v>
      </c>
      <c r="N850" s="385">
        <v>0</v>
      </c>
      <c r="O850" s="384">
        <v>0</v>
      </c>
      <c r="P850" s="384">
        <v>0</v>
      </c>
      <c r="Q850" s="385">
        <v>0</v>
      </c>
      <c r="R850" s="385">
        <v>0</v>
      </c>
      <c r="S850" s="385">
        <v>0</v>
      </c>
      <c r="T850" s="385">
        <v>0</v>
      </c>
      <c r="U850" s="385">
        <v>-1.5240328253223915E-2</v>
      </c>
      <c r="V850"/>
      <c r="W850"/>
      <c r="X850"/>
      <c r="Y850"/>
    </row>
    <row r="851" spans="1:25" s="386" customFormat="1" ht="15.75">
      <c r="A851" s="684" t="s">
        <v>1132</v>
      </c>
      <c r="B851" s="687"/>
      <c r="C851" s="674"/>
      <c r="D851" s="675"/>
      <c r="E851" s="675"/>
      <c r="F851" s="675"/>
      <c r="G851" s="675"/>
      <c r="H851" s="676"/>
      <c r="I851" s="676"/>
      <c r="J851" s="675"/>
      <c r="K851" s="675"/>
      <c r="L851" s="675"/>
      <c r="M851" s="676"/>
      <c r="N851" s="676"/>
      <c r="O851" s="675"/>
      <c r="P851" s="675"/>
      <c r="Q851" s="676"/>
      <c r="R851" s="676"/>
      <c r="S851" s="676"/>
      <c r="T851" s="676"/>
      <c r="U851" s="676"/>
      <c r="V851"/>
      <c r="W851"/>
      <c r="X851"/>
      <c r="Y851"/>
    </row>
    <row r="852" spans="1:25" ht="15.75">
      <c r="A852" s="684" t="s">
        <v>1133</v>
      </c>
      <c r="B852" s="688"/>
      <c r="C852" s="380"/>
      <c r="D852" s="381"/>
      <c r="E852" s="381"/>
      <c r="F852" s="381"/>
      <c r="G852" s="381"/>
      <c r="H852" s="382"/>
      <c r="I852" s="382"/>
      <c r="J852" s="381"/>
      <c r="K852" s="381"/>
      <c r="L852" s="381"/>
      <c r="M852" s="382"/>
      <c r="N852" s="382"/>
      <c r="O852" s="381"/>
      <c r="P852" s="381"/>
      <c r="Q852" s="382"/>
      <c r="R852" s="382"/>
      <c r="S852" s="382"/>
      <c r="T852" s="382"/>
      <c r="U852" s="382"/>
      <c r="V852"/>
      <c r="W852"/>
      <c r="X852"/>
      <c r="Y852"/>
    </row>
    <row r="853" spans="1:25" ht="15.75">
      <c r="A853" s="684" t="s">
        <v>1134</v>
      </c>
      <c r="B853" s="689"/>
      <c r="C853" s="383">
        <v>0</v>
      </c>
      <c r="D853" s="384">
        <v>0</v>
      </c>
      <c r="E853" s="384">
        <v>0</v>
      </c>
      <c r="F853" s="384">
        <v>0</v>
      </c>
      <c r="G853" s="384">
        <v>0</v>
      </c>
      <c r="H853" s="385">
        <v>0</v>
      </c>
      <c r="I853" s="385">
        <v>0</v>
      </c>
      <c r="J853" s="384">
        <v>0</v>
      </c>
      <c r="K853" s="384">
        <v>0</v>
      </c>
      <c r="L853" s="384">
        <v>0</v>
      </c>
      <c r="M853" s="385">
        <v>0</v>
      </c>
      <c r="N853" s="385">
        <v>0</v>
      </c>
      <c r="O853" s="384">
        <v>0</v>
      </c>
      <c r="P853" s="384">
        <v>0</v>
      </c>
      <c r="Q853" s="385">
        <v>0</v>
      </c>
      <c r="R853" s="385">
        <v>0</v>
      </c>
      <c r="S853" s="385">
        <v>0</v>
      </c>
      <c r="T853" s="385">
        <v>0</v>
      </c>
      <c r="U853" s="385">
        <v>0</v>
      </c>
      <c r="V853"/>
      <c r="W853"/>
      <c r="X853"/>
      <c r="Y853"/>
    </row>
    <row r="854" spans="1:25" s="386" customFormat="1" ht="15.75">
      <c r="A854" s="684" t="s">
        <v>1249</v>
      </c>
      <c r="B854" s="687"/>
      <c r="C854" s="674">
        <v>83</v>
      </c>
      <c r="D854" s="675">
        <v>0</v>
      </c>
      <c r="E854" s="675">
        <v>4</v>
      </c>
      <c r="F854" s="675"/>
      <c r="G854" s="675"/>
      <c r="H854" s="676"/>
      <c r="I854" s="676">
        <v>87</v>
      </c>
      <c r="J854" s="675"/>
      <c r="K854" s="675"/>
      <c r="L854" s="675"/>
      <c r="M854" s="676"/>
      <c r="N854" s="676"/>
      <c r="O854" s="675"/>
      <c r="P854" s="675"/>
      <c r="Q854" s="676"/>
      <c r="R854" s="676"/>
      <c r="S854" s="676"/>
      <c r="T854" s="676"/>
      <c r="U854" s="676">
        <v>87</v>
      </c>
      <c r="V854"/>
      <c r="W854"/>
      <c r="X854"/>
      <c r="Y854"/>
    </row>
    <row r="855" spans="1:25" ht="15.75">
      <c r="A855" s="685" t="s">
        <v>1251</v>
      </c>
      <c r="B855" s="690"/>
      <c r="C855" s="576">
        <v>124</v>
      </c>
      <c r="D855" s="577">
        <v>0</v>
      </c>
      <c r="E855" s="577">
        <v>17</v>
      </c>
      <c r="F855" s="577">
        <v>71</v>
      </c>
      <c r="G855" s="577">
        <v>11</v>
      </c>
      <c r="H855" s="578"/>
      <c r="I855" s="578">
        <v>223</v>
      </c>
      <c r="J855" s="577"/>
      <c r="K855" s="577"/>
      <c r="L855" s="577"/>
      <c r="M855" s="578"/>
      <c r="N855" s="578"/>
      <c r="O855" s="577"/>
      <c r="P855" s="577"/>
      <c r="Q855" s="578"/>
      <c r="R855" s="578"/>
      <c r="S855" s="578">
        <v>101</v>
      </c>
      <c r="T855" s="578">
        <v>101</v>
      </c>
      <c r="U855" s="578">
        <v>324</v>
      </c>
      <c r="V855"/>
      <c r="W855"/>
      <c r="X855"/>
      <c r="Y855"/>
    </row>
    <row r="856" spans="1:25" ht="15.75">
      <c r="A856" s="686"/>
      <c r="B856" s="672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3:Y17011"/>
  <sheetViews>
    <sheetView workbookViewId="0">
      <selection sqref="A1:XFD1048576"/>
    </sheetView>
  </sheetViews>
  <sheetFormatPr defaultColWidth="9" defaultRowHeight="12.75"/>
  <cols>
    <col min="1" max="1" width="6.875" style="10" customWidth="1"/>
    <col min="2" max="2" width="30.25" style="3" customWidth="1"/>
    <col min="3" max="3" width="9.375" style="3" customWidth="1"/>
    <col min="4" max="4" width="9.375" style="167" customWidth="1"/>
    <col min="5" max="19" width="9.375" style="3" customWidth="1"/>
    <col min="20" max="20" width="15.5" style="3" customWidth="1"/>
    <col min="21" max="21" width="10.875" style="3" customWidth="1"/>
    <col min="22" max="22" width="11.5" style="3" customWidth="1"/>
    <col min="23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 ht="15.75">
      <c r="B3" s="10"/>
      <c r="C3" s="3" t="s">
        <v>1034</v>
      </c>
      <c r="D3" s="3" t="s">
        <v>341</v>
      </c>
      <c r="U3"/>
      <c r="V3"/>
      <c r="W3"/>
    </row>
    <row r="4" spans="1:25" ht="15.75">
      <c r="B4" s="10"/>
      <c r="C4" s="3" t="s">
        <v>1030</v>
      </c>
      <c r="D4" s="3"/>
      <c r="I4" s="3" t="s">
        <v>1035</v>
      </c>
      <c r="J4" s="3" t="s">
        <v>1031</v>
      </c>
      <c r="N4" s="3" t="s">
        <v>1036</v>
      </c>
      <c r="O4" s="3" t="s">
        <v>1032</v>
      </c>
      <c r="R4" s="3" t="s">
        <v>1037</v>
      </c>
      <c r="S4" s="3" t="s">
        <v>1033</v>
      </c>
      <c r="T4" s="3" t="s">
        <v>1038</v>
      </c>
      <c r="U4" t="s">
        <v>758</v>
      </c>
      <c r="V4"/>
      <c r="W4"/>
    </row>
    <row r="5" spans="1:25" ht="15.75">
      <c r="A5" s="10" t="s">
        <v>342</v>
      </c>
      <c r="B5" s="3" t="s">
        <v>1029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J5" s="3">
        <v>7</v>
      </c>
      <c r="K5" s="3">
        <v>8</v>
      </c>
      <c r="L5" s="3">
        <v>9</v>
      </c>
      <c r="M5" s="3">
        <v>10</v>
      </c>
      <c r="O5" s="3">
        <v>12</v>
      </c>
      <c r="P5" s="3">
        <v>13</v>
      </c>
      <c r="Q5" s="3">
        <v>14</v>
      </c>
      <c r="S5" s="3">
        <v>15</v>
      </c>
      <c r="U5"/>
      <c r="V5"/>
      <c r="W5"/>
    </row>
    <row r="6" spans="1:25" ht="15.75">
      <c r="A6" s="673" t="s">
        <v>30</v>
      </c>
      <c r="B6" s="677" t="s">
        <v>1048</v>
      </c>
      <c r="C6" s="678">
        <v>9068</v>
      </c>
      <c r="D6" s="679">
        <v>889</v>
      </c>
      <c r="E6" s="679">
        <v>4812</v>
      </c>
      <c r="F6" s="679">
        <v>1980</v>
      </c>
      <c r="G6" s="679">
        <v>615</v>
      </c>
      <c r="H6" s="679">
        <v>756</v>
      </c>
      <c r="I6" s="679">
        <v>18120</v>
      </c>
      <c r="J6" s="679"/>
      <c r="K6" s="679"/>
      <c r="L6" s="679"/>
      <c r="M6" s="679"/>
      <c r="N6" s="679"/>
      <c r="O6" s="679"/>
      <c r="P6" s="679"/>
      <c r="Q6" s="679"/>
      <c r="R6" s="679"/>
      <c r="S6" s="679"/>
      <c r="T6" s="680"/>
      <c r="U6">
        <v>18120</v>
      </c>
      <c r="V6"/>
      <c r="W6"/>
    </row>
    <row r="7" spans="1:25" ht="15.75">
      <c r="A7" s="379"/>
      <c r="B7" s="579" t="s">
        <v>1049</v>
      </c>
      <c r="C7" s="580">
        <v>9571</v>
      </c>
      <c r="D7" s="581">
        <v>900</v>
      </c>
      <c r="E7" s="581">
        <v>4987</v>
      </c>
      <c r="F7" s="581">
        <v>2049</v>
      </c>
      <c r="G7" s="581">
        <v>656</v>
      </c>
      <c r="H7" s="581">
        <v>833</v>
      </c>
      <c r="I7" s="581">
        <v>18996</v>
      </c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2"/>
      <c r="U7">
        <v>18996</v>
      </c>
      <c r="V7"/>
      <c r="W7"/>
    </row>
    <row r="8" spans="1:25" s="386" customFormat="1" ht="15.75">
      <c r="A8" s="379"/>
      <c r="B8" s="681" t="s">
        <v>1050</v>
      </c>
      <c r="C8" s="383">
        <v>5.5469783855315397E-2</v>
      </c>
      <c r="D8" s="384">
        <v>1.2373453318335208E-2</v>
      </c>
      <c r="E8" s="384">
        <v>3.6367414796342479E-2</v>
      </c>
      <c r="F8" s="384">
        <v>3.4848484848484851E-2</v>
      </c>
      <c r="G8" s="384">
        <v>6.6666666666666666E-2</v>
      </c>
      <c r="H8" s="384">
        <v>0.10185185185185185</v>
      </c>
      <c r="I8" s="384">
        <v>4.8344370860927154E-2</v>
      </c>
      <c r="J8" s="384">
        <v>0</v>
      </c>
      <c r="K8" s="384">
        <v>0</v>
      </c>
      <c r="L8" s="384">
        <v>0</v>
      </c>
      <c r="M8" s="384">
        <v>0</v>
      </c>
      <c r="N8" s="384">
        <v>0</v>
      </c>
      <c r="O8" s="384">
        <v>0</v>
      </c>
      <c r="P8" s="384">
        <v>0</v>
      </c>
      <c r="Q8" s="384">
        <v>0</v>
      </c>
      <c r="R8" s="384">
        <v>0</v>
      </c>
      <c r="S8" s="384">
        <v>0</v>
      </c>
      <c r="T8" s="385">
        <v>0</v>
      </c>
      <c r="U8">
        <v>4.8344370860927154E-2</v>
      </c>
      <c r="V8"/>
      <c r="W8"/>
      <c r="X8" s="3"/>
      <c r="Y8" s="3"/>
    </row>
    <row r="9" spans="1:25" ht="15.75">
      <c r="A9" s="379"/>
      <c r="B9" s="677" t="s">
        <v>1135</v>
      </c>
      <c r="C9" s="678">
        <v>697</v>
      </c>
      <c r="D9" s="679">
        <v>27</v>
      </c>
      <c r="E9" s="679">
        <v>675</v>
      </c>
      <c r="F9" s="679">
        <v>252</v>
      </c>
      <c r="G9" s="679">
        <v>103</v>
      </c>
      <c r="H9" s="679">
        <v>253</v>
      </c>
      <c r="I9" s="679">
        <v>2007</v>
      </c>
      <c r="J9" s="679"/>
      <c r="K9" s="679"/>
      <c r="L9" s="679"/>
      <c r="M9" s="679"/>
      <c r="N9" s="679"/>
      <c r="O9" s="679"/>
      <c r="P9" s="679"/>
      <c r="Q9" s="679"/>
      <c r="R9" s="679"/>
      <c r="S9" s="679"/>
      <c r="T9" s="680"/>
      <c r="U9">
        <v>2007</v>
      </c>
      <c r="V9"/>
      <c r="W9"/>
    </row>
    <row r="10" spans="1:25" ht="15.75">
      <c r="A10" s="379"/>
      <c r="B10" s="579" t="s">
        <v>1137</v>
      </c>
      <c r="C10" s="580">
        <v>782</v>
      </c>
      <c r="D10" s="581">
        <v>28</v>
      </c>
      <c r="E10" s="581">
        <v>705</v>
      </c>
      <c r="F10" s="581">
        <v>267</v>
      </c>
      <c r="G10" s="581">
        <v>104</v>
      </c>
      <c r="H10" s="581">
        <v>277</v>
      </c>
      <c r="I10" s="581">
        <v>2163</v>
      </c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2"/>
      <c r="U10">
        <v>2163</v>
      </c>
      <c r="V10"/>
      <c r="W10"/>
    </row>
    <row r="11" spans="1:25" s="386" customFormat="1" ht="15.75">
      <c r="A11" s="379"/>
      <c r="B11" s="681" t="s">
        <v>1139</v>
      </c>
      <c r="C11" s="383">
        <v>0.12195121951219512</v>
      </c>
      <c r="D11" s="384">
        <v>3.7037037037037035E-2</v>
      </c>
      <c r="E11" s="384">
        <v>4.4444444444444446E-2</v>
      </c>
      <c r="F11" s="384">
        <v>5.9523809523809521E-2</v>
      </c>
      <c r="G11" s="384">
        <v>9.7087378640776691E-3</v>
      </c>
      <c r="H11" s="384">
        <v>9.4861660079051377E-2</v>
      </c>
      <c r="I11" s="384">
        <v>7.7727952167414044E-2</v>
      </c>
      <c r="J11" s="384">
        <v>0</v>
      </c>
      <c r="K11" s="384">
        <v>0</v>
      </c>
      <c r="L11" s="384">
        <v>0</v>
      </c>
      <c r="M11" s="384">
        <v>0</v>
      </c>
      <c r="N11" s="384">
        <v>0</v>
      </c>
      <c r="O11" s="384">
        <v>0</v>
      </c>
      <c r="P11" s="384">
        <v>0</v>
      </c>
      <c r="Q11" s="384">
        <v>0</v>
      </c>
      <c r="R11" s="384">
        <v>0</v>
      </c>
      <c r="S11" s="384">
        <v>0</v>
      </c>
      <c r="T11" s="385">
        <v>0</v>
      </c>
      <c r="U11">
        <v>7.7727952167414044E-2</v>
      </c>
      <c r="V11"/>
      <c r="W11"/>
      <c r="X11" s="3"/>
      <c r="Y11" s="3"/>
    </row>
    <row r="12" spans="1:25" ht="15.75">
      <c r="A12" s="379"/>
      <c r="B12" s="677" t="s">
        <v>1141</v>
      </c>
      <c r="C12" s="678"/>
      <c r="D12" s="679"/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80"/>
      <c r="U12"/>
      <c r="V12"/>
      <c r="W12"/>
    </row>
    <row r="13" spans="1:25" ht="15.75">
      <c r="A13" s="379"/>
      <c r="B13" s="579" t="s">
        <v>1143</v>
      </c>
      <c r="C13" s="580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2"/>
      <c r="U13"/>
      <c r="V13"/>
      <c r="W13"/>
    </row>
    <row r="14" spans="1:25" s="386" customFormat="1" ht="15.75">
      <c r="A14" s="379"/>
      <c r="B14" s="681" t="s">
        <v>1145</v>
      </c>
      <c r="C14" s="383">
        <v>0</v>
      </c>
      <c r="D14" s="384">
        <v>0</v>
      </c>
      <c r="E14" s="384">
        <v>0</v>
      </c>
      <c r="F14" s="384">
        <v>0</v>
      </c>
      <c r="G14" s="384">
        <v>0</v>
      </c>
      <c r="H14" s="384">
        <v>0</v>
      </c>
      <c r="I14" s="384">
        <v>0</v>
      </c>
      <c r="J14" s="384">
        <v>0</v>
      </c>
      <c r="K14" s="384">
        <v>0</v>
      </c>
      <c r="L14" s="384">
        <v>0</v>
      </c>
      <c r="M14" s="384">
        <v>0</v>
      </c>
      <c r="N14" s="384">
        <v>0</v>
      </c>
      <c r="O14" s="384">
        <v>0</v>
      </c>
      <c r="P14" s="384">
        <v>0</v>
      </c>
      <c r="Q14" s="384">
        <v>0</v>
      </c>
      <c r="R14" s="384">
        <v>0</v>
      </c>
      <c r="S14" s="384">
        <v>0</v>
      </c>
      <c r="T14" s="385">
        <v>0</v>
      </c>
      <c r="U14">
        <v>0</v>
      </c>
      <c r="V14"/>
      <c r="W14"/>
      <c r="X14" s="3"/>
      <c r="Y14" s="3"/>
    </row>
    <row r="15" spans="1:25" ht="15.75">
      <c r="A15" s="379"/>
      <c r="B15" s="677" t="s">
        <v>1147</v>
      </c>
      <c r="C15" s="678">
        <v>92</v>
      </c>
      <c r="D15" s="679"/>
      <c r="E15" s="679">
        <v>0</v>
      </c>
      <c r="F15" s="679">
        <v>65</v>
      </c>
      <c r="G15" s="679">
        <v>17</v>
      </c>
      <c r="H15" s="679"/>
      <c r="I15" s="679">
        <v>174</v>
      </c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80"/>
      <c r="U15">
        <v>174</v>
      </c>
      <c r="V15"/>
      <c r="W15"/>
    </row>
    <row r="16" spans="1:25" ht="15.75">
      <c r="A16" s="379"/>
      <c r="B16" s="579" t="s">
        <v>1149</v>
      </c>
      <c r="C16" s="580">
        <v>74</v>
      </c>
      <c r="D16" s="581"/>
      <c r="E16" s="581">
        <v>10</v>
      </c>
      <c r="F16" s="581">
        <v>43</v>
      </c>
      <c r="G16" s="581">
        <v>3</v>
      </c>
      <c r="H16" s="581">
        <v>3</v>
      </c>
      <c r="I16" s="581">
        <v>133</v>
      </c>
      <c r="J16" s="581"/>
      <c r="K16" s="581"/>
      <c r="L16" s="581"/>
      <c r="M16" s="581"/>
      <c r="N16" s="581"/>
      <c r="O16" s="581"/>
      <c r="P16" s="581"/>
      <c r="Q16" s="581"/>
      <c r="R16" s="581"/>
      <c r="S16" s="581"/>
      <c r="T16" s="582"/>
      <c r="U16">
        <v>133</v>
      </c>
      <c r="V16"/>
      <c r="W16"/>
    </row>
    <row r="17" spans="1:25" s="386" customFormat="1" ht="15.75">
      <c r="A17" s="379"/>
      <c r="B17" s="681" t="s">
        <v>1151</v>
      </c>
      <c r="C17" s="383">
        <v>-0.19565217391304349</v>
      </c>
      <c r="D17" s="384">
        <v>0</v>
      </c>
      <c r="E17" s="384">
        <v>0</v>
      </c>
      <c r="F17" s="384">
        <v>-0.33846153846153848</v>
      </c>
      <c r="G17" s="384">
        <v>-0.82352941176470584</v>
      </c>
      <c r="H17" s="384">
        <v>0</v>
      </c>
      <c r="I17" s="384">
        <v>-0.23563218390804597</v>
      </c>
      <c r="J17" s="384">
        <v>0</v>
      </c>
      <c r="K17" s="384">
        <v>0</v>
      </c>
      <c r="L17" s="384">
        <v>0</v>
      </c>
      <c r="M17" s="384">
        <v>0</v>
      </c>
      <c r="N17" s="384">
        <v>0</v>
      </c>
      <c r="O17" s="384">
        <v>0</v>
      </c>
      <c r="P17" s="384">
        <v>0</v>
      </c>
      <c r="Q17" s="384">
        <v>0</v>
      </c>
      <c r="R17" s="384">
        <v>0</v>
      </c>
      <c r="S17" s="384">
        <v>0</v>
      </c>
      <c r="T17" s="385">
        <v>0</v>
      </c>
      <c r="U17">
        <v>-0.23563218390804597</v>
      </c>
      <c r="V17"/>
      <c r="W17"/>
      <c r="X17" s="3"/>
      <c r="Y17" s="3"/>
    </row>
    <row r="18" spans="1:25" ht="15.75">
      <c r="A18" s="379"/>
      <c r="B18" s="677" t="s">
        <v>1155</v>
      </c>
      <c r="C18" s="678">
        <v>789</v>
      </c>
      <c r="D18" s="679">
        <v>27</v>
      </c>
      <c r="E18" s="679">
        <v>675</v>
      </c>
      <c r="F18" s="679">
        <v>317</v>
      </c>
      <c r="G18" s="679">
        <v>120</v>
      </c>
      <c r="H18" s="679">
        <v>253</v>
      </c>
      <c r="I18" s="679">
        <v>2181</v>
      </c>
      <c r="J18" s="679"/>
      <c r="K18" s="679">
        <v>0</v>
      </c>
      <c r="L18" s="679">
        <v>0</v>
      </c>
      <c r="M18" s="679">
        <v>0</v>
      </c>
      <c r="N18" s="679">
        <v>0</v>
      </c>
      <c r="O18" s="679">
        <v>0</v>
      </c>
      <c r="P18" s="679">
        <v>0</v>
      </c>
      <c r="Q18" s="679"/>
      <c r="R18" s="679">
        <v>0</v>
      </c>
      <c r="S18" s="679">
        <v>0</v>
      </c>
      <c r="T18" s="680">
        <v>0</v>
      </c>
      <c r="U18">
        <v>2181</v>
      </c>
      <c r="V18"/>
      <c r="W18"/>
    </row>
    <row r="19" spans="1:25" ht="15.75">
      <c r="A19" s="379"/>
      <c r="B19" s="579" t="s">
        <v>1153</v>
      </c>
      <c r="C19" s="580">
        <v>856</v>
      </c>
      <c r="D19" s="581">
        <v>28</v>
      </c>
      <c r="E19" s="581">
        <v>715</v>
      </c>
      <c r="F19" s="581">
        <v>310</v>
      </c>
      <c r="G19" s="581">
        <v>107</v>
      </c>
      <c r="H19" s="581">
        <v>280</v>
      </c>
      <c r="I19" s="581">
        <v>2296</v>
      </c>
      <c r="J19" s="581"/>
      <c r="K19" s="581">
        <v>0</v>
      </c>
      <c r="L19" s="581">
        <v>0</v>
      </c>
      <c r="M19" s="581">
        <v>0</v>
      </c>
      <c r="N19" s="581">
        <v>0</v>
      </c>
      <c r="O19" s="581">
        <v>0</v>
      </c>
      <c r="P19" s="581">
        <v>0</v>
      </c>
      <c r="Q19" s="581"/>
      <c r="R19" s="581">
        <v>0</v>
      </c>
      <c r="S19" s="581">
        <v>0</v>
      </c>
      <c r="T19" s="582">
        <v>0</v>
      </c>
      <c r="U19">
        <v>2296</v>
      </c>
      <c r="V19"/>
      <c r="W19"/>
    </row>
    <row r="20" spans="1:25" s="386" customFormat="1" ht="15.75">
      <c r="A20" s="387"/>
      <c r="B20" s="681" t="s">
        <v>1157</v>
      </c>
      <c r="C20" s="383">
        <v>8.4917617237008872E-2</v>
      </c>
      <c r="D20" s="384">
        <v>3.7037037037037035E-2</v>
      </c>
      <c r="E20" s="384">
        <v>5.9259259259259262E-2</v>
      </c>
      <c r="F20" s="384">
        <v>-2.2082018927444796E-2</v>
      </c>
      <c r="G20" s="384">
        <v>-0.10833333333333334</v>
      </c>
      <c r="H20" s="384">
        <v>0.1067193675889328</v>
      </c>
      <c r="I20" s="384">
        <v>5.2728106373223289E-2</v>
      </c>
      <c r="J20" s="384">
        <v>0</v>
      </c>
      <c r="K20" s="384">
        <v>0</v>
      </c>
      <c r="L20" s="384">
        <v>0</v>
      </c>
      <c r="M20" s="384">
        <v>0</v>
      </c>
      <c r="N20" s="384">
        <v>0</v>
      </c>
      <c r="O20" s="384">
        <v>0</v>
      </c>
      <c r="P20" s="384">
        <v>0</v>
      </c>
      <c r="Q20" s="384">
        <v>0</v>
      </c>
      <c r="R20" s="384">
        <v>0</v>
      </c>
      <c r="S20" s="384">
        <v>0</v>
      </c>
      <c r="T20" s="385">
        <v>0</v>
      </c>
      <c r="U20">
        <v>5.2728106373223289E-2</v>
      </c>
      <c r="V20"/>
      <c r="W20"/>
      <c r="X20" s="3"/>
      <c r="Y20" s="3"/>
    </row>
    <row r="21" spans="1:25" ht="15.75">
      <c r="A21" s="673" t="s">
        <v>345</v>
      </c>
      <c r="B21" s="677" t="s">
        <v>1048</v>
      </c>
      <c r="C21" s="678">
        <v>2343</v>
      </c>
      <c r="D21" s="679"/>
      <c r="E21" s="679">
        <v>3880</v>
      </c>
      <c r="F21" s="679">
        <v>1281</v>
      </c>
      <c r="G21" s="679">
        <v>721</v>
      </c>
      <c r="H21" s="679">
        <v>768</v>
      </c>
      <c r="I21" s="679">
        <v>8993</v>
      </c>
      <c r="J21" s="679"/>
      <c r="K21" s="679"/>
      <c r="L21" s="679"/>
      <c r="M21" s="679"/>
      <c r="N21" s="679"/>
      <c r="O21" s="679"/>
      <c r="P21" s="679"/>
      <c r="Q21" s="679"/>
      <c r="R21" s="679"/>
      <c r="S21" s="679">
        <v>313</v>
      </c>
      <c r="T21" s="680">
        <v>313</v>
      </c>
      <c r="U21">
        <v>9306</v>
      </c>
      <c r="V21"/>
      <c r="W21"/>
    </row>
    <row r="22" spans="1:25" ht="15.75">
      <c r="A22" s="379"/>
      <c r="B22" s="579" t="s">
        <v>1049</v>
      </c>
      <c r="C22" s="580">
        <v>2494</v>
      </c>
      <c r="D22" s="581"/>
      <c r="E22" s="581">
        <v>4030</v>
      </c>
      <c r="F22" s="581">
        <v>1436</v>
      </c>
      <c r="G22" s="581">
        <v>635</v>
      </c>
      <c r="H22" s="581">
        <v>797</v>
      </c>
      <c r="I22" s="581">
        <v>9392</v>
      </c>
      <c r="J22" s="581"/>
      <c r="K22" s="581"/>
      <c r="L22" s="581"/>
      <c r="M22" s="581"/>
      <c r="N22" s="581"/>
      <c r="O22" s="581"/>
      <c r="P22" s="581"/>
      <c r="Q22" s="581"/>
      <c r="R22" s="581"/>
      <c r="S22" s="581">
        <v>290</v>
      </c>
      <c r="T22" s="582">
        <v>290</v>
      </c>
      <c r="U22">
        <v>9682</v>
      </c>
      <c r="V22"/>
      <c r="W22"/>
    </row>
    <row r="23" spans="1:25" s="386" customFormat="1" ht="15.75">
      <c r="A23" s="379"/>
      <c r="B23" s="681" t="s">
        <v>1050</v>
      </c>
      <c r="C23" s="383">
        <v>6.444728979940248E-2</v>
      </c>
      <c r="D23" s="384">
        <v>0</v>
      </c>
      <c r="E23" s="384">
        <v>3.8659793814432991E-2</v>
      </c>
      <c r="F23" s="384">
        <v>0.12099921935987509</v>
      </c>
      <c r="G23" s="384">
        <v>-0.11927877947295423</v>
      </c>
      <c r="H23" s="384">
        <v>3.7760416666666664E-2</v>
      </c>
      <c r="I23" s="384">
        <v>4.4367841654620259E-2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-7.3482428115015971E-2</v>
      </c>
      <c r="T23" s="385">
        <v>-7.3482428115015971E-2</v>
      </c>
      <c r="U23">
        <v>4.0404040404040407E-2</v>
      </c>
      <c r="V23"/>
      <c r="W23"/>
      <c r="X23" s="3"/>
      <c r="Y23" s="3"/>
    </row>
    <row r="24" spans="1:25" ht="15.75">
      <c r="A24" s="379"/>
      <c r="B24" s="677" t="s">
        <v>1135</v>
      </c>
      <c r="C24" s="678">
        <v>200</v>
      </c>
      <c r="D24" s="679"/>
      <c r="E24" s="679">
        <v>465</v>
      </c>
      <c r="F24" s="679">
        <v>278</v>
      </c>
      <c r="G24" s="679">
        <v>135</v>
      </c>
      <c r="H24" s="679">
        <v>120</v>
      </c>
      <c r="I24" s="679">
        <v>1198</v>
      </c>
      <c r="J24" s="679"/>
      <c r="K24" s="679"/>
      <c r="L24" s="679"/>
      <c r="M24" s="679"/>
      <c r="N24" s="679"/>
      <c r="O24" s="679"/>
      <c r="P24" s="679"/>
      <c r="Q24" s="679"/>
      <c r="R24" s="679"/>
      <c r="S24" s="679"/>
      <c r="T24" s="680"/>
      <c r="U24">
        <v>1198</v>
      </c>
      <c r="V24"/>
      <c r="W24"/>
    </row>
    <row r="25" spans="1:25" ht="15.75">
      <c r="A25" s="379"/>
      <c r="B25" s="579" t="s">
        <v>1137</v>
      </c>
      <c r="C25" s="580">
        <v>160</v>
      </c>
      <c r="D25" s="581"/>
      <c r="E25" s="581">
        <v>467</v>
      </c>
      <c r="F25" s="581">
        <v>298</v>
      </c>
      <c r="G25" s="581">
        <v>101</v>
      </c>
      <c r="H25" s="581">
        <v>135</v>
      </c>
      <c r="I25" s="581">
        <v>1161</v>
      </c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2"/>
      <c r="U25">
        <v>1161</v>
      </c>
      <c r="V25"/>
      <c r="W25"/>
    </row>
    <row r="26" spans="1:25" s="386" customFormat="1" ht="15.75">
      <c r="A26" s="379"/>
      <c r="B26" s="681" t="s">
        <v>1139</v>
      </c>
      <c r="C26" s="383">
        <v>-0.2</v>
      </c>
      <c r="D26" s="384">
        <v>0</v>
      </c>
      <c r="E26" s="384">
        <v>4.3010752688172043E-3</v>
      </c>
      <c r="F26" s="384">
        <v>7.1942446043165464E-2</v>
      </c>
      <c r="G26" s="384">
        <v>-0.25185185185185183</v>
      </c>
      <c r="H26" s="384">
        <v>0.125</v>
      </c>
      <c r="I26" s="384">
        <v>-3.0884808013355594E-2</v>
      </c>
      <c r="J26" s="384">
        <v>0</v>
      </c>
      <c r="K26" s="384">
        <v>0</v>
      </c>
      <c r="L26" s="384">
        <v>0</v>
      </c>
      <c r="M26" s="384">
        <v>0</v>
      </c>
      <c r="N26" s="384">
        <v>0</v>
      </c>
      <c r="O26" s="384">
        <v>0</v>
      </c>
      <c r="P26" s="384">
        <v>0</v>
      </c>
      <c r="Q26" s="384">
        <v>0</v>
      </c>
      <c r="R26" s="384">
        <v>0</v>
      </c>
      <c r="S26" s="384">
        <v>0</v>
      </c>
      <c r="T26" s="385">
        <v>0</v>
      </c>
      <c r="U26">
        <v>-3.0884808013355594E-2</v>
      </c>
      <c r="V26"/>
      <c r="W26"/>
      <c r="X26" s="3"/>
      <c r="Y26" s="3"/>
    </row>
    <row r="27" spans="1:25" ht="15.75">
      <c r="A27" s="379"/>
      <c r="B27" s="677" t="s">
        <v>1141</v>
      </c>
      <c r="C27" s="678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80"/>
      <c r="U27"/>
      <c r="V27"/>
      <c r="W27"/>
    </row>
    <row r="28" spans="1:25" ht="15.75">
      <c r="A28" s="379"/>
      <c r="B28" s="579" t="s">
        <v>1143</v>
      </c>
      <c r="C28" s="580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2"/>
      <c r="U28"/>
      <c r="V28"/>
      <c r="W28"/>
    </row>
    <row r="29" spans="1:25" s="386" customFormat="1" ht="15.75">
      <c r="A29" s="379"/>
      <c r="B29" s="681" t="s">
        <v>1145</v>
      </c>
      <c r="C29" s="383">
        <v>0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5">
        <v>0</v>
      </c>
      <c r="U29">
        <v>0</v>
      </c>
      <c r="V29"/>
      <c r="W29"/>
      <c r="X29" s="3"/>
      <c r="Y29" s="3"/>
    </row>
    <row r="30" spans="1:25" ht="15.75">
      <c r="A30" s="379"/>
      <c r="B30" s="677" t="s">
        <v>1147</v>
      </c>
      <c r="C30" s="678"/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80"/>
      <c r="U30"/>
      <c r="V30"/>
      <c r="W30"/>
    </row>
    <row r="31" spans="1:25" ht="15.75">
      <c r="A31" s="379"/>
      <c r="B31" s="579" t="s">
        <v>1149</v>
      </c>
      <c r="C31" s="580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  <c r="Q31" s="581"/>
      <c r="R31" s="581"/>
      <c r="S31" s="581"/>
      <c r="T31" s="582"/>
      <c r="U31"/>
      <c r="V31"/>
      <c r="W31"/>
    </row>
    <row r="32" spans="1:25" s="386" customFormat="1" ht="15.75">
      <c r="A32" s="379"/>
      <c r="B32" s="681" t="s">
        <v>1151</v>
      </c>
      <c r="C32" s="383">
        <v>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0</v>
      </c>
      <c r="P32" s="384">
        <v>0</v>
      </c>
      <c r="Q32" s="384">
        <v>0</v>
      </c>
      <c r="R32" s="384">
        <v>0</v>
      </c>
      <c r="S32" s="384">
        <v>0</v>
      </c>
      <c r="T32" s="385">
        <v>0</v>
      </c>
      <c r="U32">
        <v>0</v>
      </c>
      <c r="V32"/>
      <c r="W32"/>
      <c r="X32" s="3"/>
      <c r="Y32" s="3"/>
    </row>
    <row r="33" spans="1:25" ht="15.75">
      <c r="A33" s="379"/>
      <c r="B33" s="677" t="s">
        <v>1155</v>
      </c>
      <c r="C33" s="678">
        <v>200</v>
      </c>
      <c r="D33" s="679"/>
      <c r="E33" s="679">
        <v>465</v>
      </c>
      <c r="F33" s="679">
        <v>278</v>
      </c>
      <c r="G33" s="679">
        <v>135</v>
      </c>
      <c r="H33" s="679">
        <v>120</v>
      </c>
      <c r="I33" s="679">
        <v>1198</v>
      </c>
      <c r="J33" s="679"/>
      <c r="K33" s="679">
        <v>0</v>
      </c>
      <c r="L33" s="679">
        <v>0</v>
      </c>
      <c r="M33" s="679">
        <v>0</v>
      </c>
      <c r="N33" s="679">
        <v>0</v>
      </c>
      <c r="O33" s="679"/>
      <c r="P33" s="679"/>
      <c r="Q33" s="679"/>
      <c r="R33" s="679"/>
      <c r="S33" s="679">
        <v>0</v>
      </c>
      <c r="T33" s="680">
        <v>0</v>
      </c>
      <c r="U33">
        <v>1198</v>
      </c>
      <c r="V33"/>
      <c r="W33"/>
    </row>
    <row r="34" spans="1:25" ht="15.75">
      <c r="A34" s="379"/>
      <c r="B34" s="579" t="s">
        <v>1153</v>
      </c>
      <c r="C34" s="580">
        <v>160</v>
      </c>
      <c r="D34" s="581"/>
      <c r="E34" s="581">
        <v>467</v>
      </c>
      <c r="F34" s="581">
        <v>298</v>
      </c>
      <c r="G34" s="581">
        <v>101</v>
      </c>
      <c r="H34" s="581">
        <v>135</v>
      </c>
      <c r="I34" s="581">
        <v>1161</v>
      </c>
      <c r="J34" s="581"/>
      <c r="K34" s="581">
        <v>0</v>
      </c>
      <c r="L34" s="581">
        <v>0</v>
      </c>
      <c r="M34" s="581">
        <v>0</v>
      </c>
      <c r="N34" s="581">
        <v>0</v>
      </c>
      <c r="O34" s="581"/>
      <c r="P34" s="581"/>
      <c r="Q34" s="581"/>
      <c r="R34" s="581"/>
      <c r="S34" s="581">
        <v>0</v>
      </c>
      <c r="T34" s="582">
        <v>0</v>
      </c>
      <c r="U34">
        <v>1161</v>
      </c>
      <c r="V34"/>
      <c r="W34"/>
    </row>
    <row r="35" spans="1:25" s="386" customFormat="1" ht="15.75">
      <c r="A35" s="387"/>
      <c r="B35" s="681" t="s">
        <v>1157</v>
      </c>
      <c r="C35" s="383">
        <v>-0.2</v>
      </c>
      <c r="D35" s="384">
        <v>0</v>
      </c>
      <c r="E35" s="384">
        <v>4.3010752688172043E-3</v>
      </c>
      <c r="F35" s="384">
        <v>7.1942446043165464E-2</v>
      </c>
      <c r="G35" s="384">
        <v>-0.25185185185185183</v>
      </c>
      <c r="H35" s="384">
        <v>0.125</v>
      </c>
      <c r="I35" s="384">
        <v>-3.0884808013355594E-2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5">
        <v>0</v>
      </c>
      <c r="U35">
        <v>-3.0884808013355594E-2</v>
      </c>
      <c r="V35"/>
      <c r="W35"/>
      <c r="X35" s="3"/>
      <c r="Y35" s="3"/>
    </row>
    <row r="36" spans="1:25" ht="15.75">
      <c r="A36" s="673" t="s">
        <v>950</v>
      </c>
      <c r="B36" s="677" t="s">
        <v>1048</v>
      </c>
      <c r="C36" s="678">
        <v>3500</v>
      </c>
      <c r="D36" s="679"/>
      <c r="E36" s="679"/>
      <c r="F36" s="679">
        <v>455</v>
      </c>
      <c r="G36" s="679"/>
      <c r="H36" s="679"/>
      <c r="I36" s="679">
        <v>3955</v>
      </c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80"/>
      <c r="U36">
        <v>3955</v>
      </c>
      <c r="V36"/>
      <c r="W36"/>
    </row>
    <row r="37" spans="1:25" ht="15.75">
      <c r="A37" s="379"/>
      <c r="B37" s="579" t="s">
        <v>1049</v>
      </c>
      <c r="C37" s="580">
        <v>3569</v>
      </c>
      <c r="D37" s="581"/>
      <c r="E37" s="581"/>
      <c r="F37" s="581">
        <v>506</v>
      </c>
      <c r="G37" s="581"/>
      <c r="H37" s="581"/>
      <c r="I37" s="581">
        <v>4075</v>
      </c>
      <c r="J37" s="581"/>
      <c r="K37" s="581"/>
      <c r="L37" s="581"/>
      <c r="M37" s="581"/>
      <c r="N37" s="581"/>
      <c r="O37" s="581"/>
      <c r="P37" s="581"/>
      <c r="Q37" s="581"/>
      <c r="R37" s="581"/>
      <c r="S37" s="581"/>
      <c r="T37" s="582"/>
      <c r="U37">
        <v>4075</v>
      </c>
      <c r="V37"/>
      <c r="W37"/>
    </row>
    <row r="38" spans="1:25" s="386" customFormat="1" ht="15.75">
      <c r="A38" s="379"/>
      <c r="B38" s="681" t="s">
        <v>1050</v>
      </c>
      <c r="C38" s="383">
        <v>1.9714285714285715E-2</v>
      </c>
      <c r="D38" s="384">
        <v>0</v>
      </c>
      <c r="E38" s="384">
        <v>0</v>
      </c>
      <c r="F38" s="384">
        <v>0.11208791208791209</v>
      </c>
      <c r="G38" s="384">
        <v>0</v>
      </c>
      <c r="H38" s="384">
        <v>0</v>
      </c>
      <c r="I38" s="384">
        <v>3.0341340075853349E-2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5">
        <v>0</v>
      </c>
      <c r="U38">
        <v>3.0341340075853349E-2</v>
      </c>
      <c r="V38"/>
      <c r="W38"/>
      <c r="X38" s="3"/>
      <c r="Y38" s="3"/>
    </row>
    <row r="39" spans="1:25" ht="15.75">
      <c r="A39" s="379"/>
      <c r="B39" s="677" t="s">
        <v>1135</v>
      </c>
      <c r="C39" s="678">
        <v>313</v>
      </c>
      <c r="D39" s="679"/>
      <c r="E39" s="679"/>
      <c r="F39" s="679">
        <v>19</v>
      </c>
      <c r="G39" s="679"/>
      <c r="H39" s="679"/>
      <c r="I39" s="679">
        <v>332</v>
      </c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80"/>
      <c r="U39">
        <v>332</v>
      </c>
      <c r="V39"/>
      <c r="W39"/>
    </row>
    <row r="40" spans="1:25" ht="15.75">
      <c r="A40" s="379"/>
      <c r="B40" s="579" t="s">
        <v>1137</v>
      </c>
      <c r="C40" s="580">
        <v>297</v>
      </c>
      <c r="D40" s="581"/>
      <c r="E40" s="581"/>
      <c r="F40" s="581">
        <v>28</v>
      </c>
      <c r="G40" s="581"/>
      <c r="H40" s="581"/>
      <c r="I40" s="581">
        <v>325</v>
      </c>
      <c r="J40" s="581"/>
      <c r="K40" s="581"/>
      <c r="L40" s="581"/>
      <c r="M40" s="581"/>
      <c r="N40" s="581"/>
      <c r="O40" s="581"/>
      <c r="P40" s="581"/>
      <c r="Q40" s="581"/>
      <c r="R40" s="581"/>
      <c r="S40" s="581"/>
      <c r="T40" s="582"/>
      <c r="U40">
        <v>325</v>
      </c>
      <c r="V40"/>
      <c r="W40"/>
    </row>
    <row r="41" spans="1:25" s="386" customFormat="1" ht="15.75">
      <c r="A41" s="379"/>
      <c r="B41" s="681" t="s">
        <v>1139</v>
      </c>
      <c r="C41" s="383">
        <v>-5.1118210862619806E-2</v>
      </c>
      <c r="D41" s="384">
        <v>0</v>
      </c>
      <c r="E41" s="384">
        <v>0</v>
      </c>
      <c r="F41" s="384">
        <v>0.47368421052631576</v>
      </c>
      <c r="G41" s="384">
        <v>0</v>
      </c>
      <c r="H41" s="384">
        <v>0</v>
      </c>
      <c r="I41" s="384">
        <v>-2.1084337349397589E-2</v>
      </c>
      <c r="J41" s="384">
        <v>0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5">
        <v>0</v>
      </c>
      <c r="U41">
        <v>-2.1084337349397589E-2</v>
      </c>
      <c r="V41"/>
      <c r="W41"/>
      <c r="X41" s="3"/>
      <c r="Y41" s="3"/>
    </row>
    <row r="42" spans="1:25" ht="15.75">
      <c r="A42" s="379"/>
      <c r="B42" s="677" t="s">
        <v>1141</v>
      </c>
      <c r="C42" s="678"/>
      <c r="D42" s="679"/>
      <c r="E42" s="679"/>
      <c r="F42" s="679"/>
      <c r="G42" s="679"/>
      <c r="H42" s="679"/>
      <c r="I42" s="679"/>
      <c r="J42" s="679"/>
      <c r="K42" s="679"/>
      <c r="L42" s="679"/>
      <c r="M42" s="679"/>
      <c r="N42" s="679"/>
      <c r="O42" s="679"/>
      <c r="P42" s="679"/>
      <c r="Q42" s="679"/>
      <c r="R42" s="679"/>
      <c r="S42" s="679"/>
      <c r="T42" s="680"/>
      <c r="U42"/>
      <c r="V42"/>
      <c r="W42"/>
    </row>
    <row r="43" spans="1:25" ht="15.75">
      <c r="A43" s="379"/>
      <c r="B43" s="579" t="s">
        <v>1143</v>
      </c>
      <c r="C43" s="580"/>
      <c r="D43" s="581"/>
      <c r="E43" s="581"/>
      <c r="F43" s="581"/>
      <c r="G43" s="581"/>
      <c r="H43" s="581"/>
      <c r="I43" s="581"/>
      <c r="J43" s="581"/>
      <c r="K43" s="581"/>
      <c r="L43" s="581"/>
      <c r="M43" s="581"/>
      <c r="N43" s="581"/>
      <c r="O43" s="581"/>
      <c r="P43" s="581"/>
      <c r="Q43" s="581"/>
      <c r="R43" s="581"/>
      <c r="S43" s="581"/>
      <c r="T43" s="582"/>
      <c r="U43"/>
      <c r="V43"/>
      <c r="W43"/>
    </row>
    <row r="44" spans="1:25" s="386" customFormat="1" ht="15.75">
      <c r="A44" s="379"/>
      <c r="B44" s="681" t="s">
        <v>1145</v>
      </c>
      <c r="C44" s="383">
        <v>0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5">
        <v>0</v>
      </c>
      <c r="U44">
        <v>0</v>
      </c>
      <c r="V44"/>
      <c r="W44"/>
      <c r="X44" s="3"/>
      <c r="Y44" s="3"/>
    </row>
    <row r="45" spans="1:25" ht="15.75">
      <c r="A45" s="379"/>
      <c r="B45" s="677" t="s">
        <v>1147</v>
      </c>
      <c r="C45" s="678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80"/>
      <c r="U45"/>
      <c r="V45"/>
      <c r="W45"/>
    </row>
    <row r="46" spans="1:25" ht="15.75">
      <c r="A46" s="379"/>
      <c r="B46" s="579" t="s">
        <v>1149</v>
      </c>
      <c r="C46" s="580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1"/>
      <c r="Q46" s="581"/>
      <c r="R46" s="581"/>
      <c r="S46" s="581"/>
      <c r="T46" s="582"/>
      <c r="U46"/>
      <c r="V46"/>
      <c r="W46"/>
    </row>
    <row r="47" spans="1:25" s="386" customFormat="1" ht="15.75">
      <c r="A47" s="379"/>
      <c r="B47" s="681" t="s">
        <v>1151</v>
      </c>
      <c r="C47" s="383">
        <v>0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0</v>
      </c>
      <c r="N47" s="384">
        <v>0</v>
      </c>
      <c r="O47" s="384">
        <v>0</v>
      </c>
      <c r="P47" s="384">
        <v>0</v>
      </c>
      <c r="Q47" s="384">
        <v>0</v>
      </c>
      <c r="R47" s="384">
        <v>0</v>
      </c>
      <c r="S47" s="384">
        <v>0</v>
      </c>
      <c r="T47" s="385">
        <v>0</v>
      </c>
      <c r="U47">
        <v>0</v>
      </c>
      <c r="V47"/>
      <c r="W47"/>
      <c r="X47" s="3"/>
      <c r="Y47" s="3"/>
    </row>
    <row r="48" spans="1:25" ht="15.75">
      <c r="A48" s="379"/>
      <c r="B48" s="677" t="s">
        <v>1155</v>
      </c>
      <c r="C48" s="678">
        <v>313</v>
      </c>
      <c r="D48" s="679"/>
      <c r="E48" s="679"/>
      <c r="F48" s="679">
        <v>19</v>
      </c>
      <c r="G48" s="679"/>
      <c r="H48" s="679"/>
      <c r="I48" s="679">
        <v>332</v>
      </c>
      <c r="J48" s="679"/>
      <c r="K48" s="679"/>
      <c r="L48" s="679">
        <v>0</v>
      </c>
      <c r="M48" s="679"/>
      <c r="N48" s="679">
        <v>0</v>
      </c>
      <c r="O48" s="679"/>
      <c r="P48" s="679"/>
      <c r="Q48" s="679"/>
      <c r="R48" s="679"/>
      <c r="S48" s="679"/>
      <c r="T48" s="680"/>
      <c r="U48">
        <v>332</v>
      </c>
      <c r="V48"/>
      <c r="W48"/>
    </row>
    <row r="49" spans="1:25" ht="15.75">
      <c r="A49" s="379"/>
      <c r="B49" s="579" t="s">
        <v>1153</v>
      </c>
      <c r="C49" s="580">
        <v>297</v>
      </c>
      <c r="D49" s="581"/>
      <c r="E49" s="581"/>
      <c r="F49" s="581">
        <v>28</v>
      </c>
      <c r="G49" s="581"/>
      <c r="H49" s="581"/>
      <c r="I49" s="581">
        <v>325</v>
      </c>
      <c r="J49" s="581"/>
      <c r="K49" s="581"/>
      <c r="L49" s="581">
        <v>0</v>
      </c>
      <c r="M49" s="581"/>
      <c r="N49" s="581">
        <v>0</v>
      </c>
      <c r="O49" s="581"/>
      <c r="P49" s="581"/>
      <c r="Q49" s="581"/>
      <c r="R49" s="581"/>
      <c r="S49" s="581"/>
      <c r="T49" s="582"/>
      <c r="U49">
        <v>325</v>
      </c>
      <c r="V49"/>
      <c r="W49"/>
    </row>
    <row r="50" spans="1:25" s="386" customFormat="1" ht="15.75">
      <c r="A50" s="387"/>
      <c r="B50" s="681" t="s">
        <v>1157</v>
      </c>
      <c r="C50" s="383">
        <v>-5.1118210862619806E-2</v>
      </c>
      <c r="D50" s="384">
        <v>0</v>
      </c>
      <c r="E50" s="384">
        <v>0</v>
      </c>
      <c r="F50" s="384">
        <v>0.47368421052631576</v>
      </c>
      <c r="G50" s="384">
        <v>0</v>
      </c>
      <c r="H50" s="384">
        <v>0</v>
      </c>
      <c r="I50" s="384">
        <v>-2.1084337349397589E-2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5">
        <v>0</v>
      </c>
      <c r="U50">
        <v>-2.1084337349397589E-2</v>
      </c>
      <c r="V50"/>
      <c r="W50"/>
      <c r="X50" s="3"/>
      <c r="Y50" s="3"/>
    </row>
    <row r="51" spans="1:25" ht="15.75">
      <c r="A51" s="673" t="s">
        <v>346</v>
      </c>
      <c r="B51" s="677" t="s">
        <v>1048</v>
      </c>
      <c r="C51" s="678">
        <v>37942</v>
      </c>
      <c r="D51" s="679">
        <v>4481</v>
      </c>
      <c r="E51" s="679">
        <v>5971</v>
      </c>
      <c r="F51" s="679">
        <v>1214</v>
      </c>
      <c r="G51" s="679"/>
      <c r="H51" s="679">
        <v>168</v>
      </c>
      <c r="I51" s="679">
        <v>49776</v>
      </c>
      <c r="J51" s="679">
        <v>684</v>
      </c>
      <c r="K51" s="679">
        <v>5</v>
      </c>
      <c r="L51" s="679"/>
      <c r="M51" s="679"/>
      <c r="N51" s="679">
        <v>689</v>
      </c>
      <c r="O51" s="679"/>
      <c r="P51" s="679"/>
      <c r="Q51" s="679"/>
      <c r="R51" s="679"/>
      <c r="S51" s="679"/>
      <c r="T51" s="680"/>
      <c r="U51">
        <v>50465</v>
      </c>
      <c r="V51"/>
      <c r="W51"/>
    </row>
    <row r="52" spans="1:25" ht="15.75">
      <c r="A52" s="379"/>
      <c r="B52" s="579" t="s">
        <v>1049</v>
      </c>
      <c r="C52" s="580">
        <v>39352</v>
      </c>
      <c r="D52" s="581">
        <v>4467</v>
      </c>
      <c r="E52" s="581">
        <v>6126</v>
      </c>
      <c r="F52" s="581">
        <v>1346</v>
      </c>
      <c r="G52" s="581"/>
      <c r="H52" s="581">
        <v>158</v>
      </c>
      <c r="I52" s="581">
        <v>51449</v>
      </c>
      <c r="J52" s="581">
        <v>988</v>
      </c>
      <c r="K52" s="581">
        <v>50</v>
      </c>
      <c r="L52" s="581">
        <v>0</v>
      </c>
      <c r="M52" s="581">
        <v>0</v>
      </c>
      <c r="N52" s="581">
        <v>1038</v>
      </c>
      <c r="O52" s="581"/>
      <c r="P52" s="581"/>
      <c r="Q52" s="581"/>
      <c r="R52" s="581"/>
      <c r="S52" s="581"/>
      <c r="T52" s="582"/>
      <c r="U52">
        <v>52487</v>
      </c>
      <c r="V52"/>
      <c r="W52"/>
    </row>
    <row r="53" spans="1:25" s="386" customFormat="1" ht="15.75">
      <c r="A53" s="379"/>
      <c r="B53" s="681" t="s">
        <v>1050</v>
      </c>
      <c r="C53" s="383">
        <v>3.7161984080965688E-2</v>
      </c>
      <c r="D53" s="384">
        <v>-3.1243026110243251E-3</v>
      </c>
      <c r="E53" s="384">
        <v>2.59588008708759E-2</v>
      </c>
      <c r="F53" s="384">
        <v>0.10873146622734761</v>
      </c>
      <c r="G53" s="384">
        <v>0</v>
      </c>
      <c r="H53" s="384">
        <v>-5.9523809523809521E-2</v>
      </c>
      <c r="I53" s="384">
        <v>3.3610575377692062E-2</v>
      </c>
      <c r="J53" s="384">
        <v>0.44444444444444442</v>
      </c>
      <c r="K53" s="384">
        <v>9</v>
      </c>
      <c r="L53" s="384">
        <v>0</v>
      </c>
      <c r="M53" s="384">
        <v>0</v>
      </c>
      <c r="N53" s="384">
        <v>0.50653120464441215</v>
      </c>
      <c r="O53" s="384">
        <v>0</v>
      </c>
      <c r="P53" s="384">
        <v>0</v>
      </c>
      <c r="Q53" s="384">
        <v>0</v>
      </c>
      <c r="R53" s="384">
        <v>0</v>
      </c>
      <c r="S53" s="384">
        <v>0</v>
      </c>
      <c r="T53" s="385">
        <v>0</v>
      </c>
      <c r="U53">
        <v>4.0067373427127712E-2</v>
      </c>
      <c r="V53"/>
      <c r="W53"/>
      <c r="X53" s="3"/>
      <c r="Y53" s="3"/>
    </row>
    <row r="54" spans="1:25" ht="15.75">
      <c r="A54" s="379"/>
      <c r="B54" s="677" t="s">
        <v>1135</v>
      </c>
      <c r="C54" s="678"/>
      <c r="D54" s="679"/>
      <c r="E54" s="679"/>
      <c r="F54" s="679"/>
      <c r="G54" s="679"/>
      <c r="H54" s="679"/>
      <c r="I54" s="679"/>
      <c r="J54" s="679">
        <v>259</v>
      </c>
      <c r="K54" s="679">
        <v>0</v>
      </c>
      <c r="L54" s="679"/>
      <c r="M54" s="679"/>
      <c r="N54" s="679">
        <v>259</v>
      </c>
      <c r="O54" s="679"/>
      <c r="P54" s="679"/>
      <c r="Q54" s="679"/>
      <c r="R54" s="679"/>
      <c r="S54" s="679"/>
      <c r="T54" s="680"/>
      <c r="U54">
        <v>259</v>
      </c>
      <c r="V54"/>
      <c r="W54"/>
    </row>
    <row r="55" spans="1:25" ht="15.75">
      <c r="A55" s="379"/>
      <c r="B55" s="579" t="s">
        <v>1137</v>
      </c>
      <c r="C55" s="580"/>
      <c r="D55" s="581"/>
      <c r="E55" s="581"/>
      <c r="F55" s="581"/>
      <c r="G55" s="581"/>
      <c r="H55" s="581"/>
      <c r="I55" s="581"/>
      <c r="J55" s="581">
        <v>259</v>
      </c>
      <c r="K55" s="581"/>
      <c r="L55" s="581"/>
      <c r="M55" s="581"/>
      <c r="N55" s="581">
        <v>259</v>
      </c>
      <c r="O55" s="581"/>
      <c r="P55" s="581"/>
      <c r="Q55" s="581"/>
      <c r="R55" s="581"/>
      <c r="S55" s="581"/>
      <c r="T55" s="582"/>
      <c r="U55">
        <v>259</v>
      </c>
      <c r="V55"/>
      <c r="W55"/>
    </row>
    <row r="56" spans="1:25" s="386" customFormat="1" ht="15.75">
      <c r="A56" s="379"/>
      <c r="B56" s="681" t="s">
        <v>1139</v>
      </c>
      <c r="C56" s="383">
        <v>0</v>
      </c>
      <c r="D56" s="384">
        <v>0</v>
      </c>
      <c r="E56" s="384">
        <v>0</v>
      </c>
      <c r="F56" s="384">
        <v>0</v>
      </c>
      <c r="G56" s="384">
        <v>0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0</v>
      </c>
      <c r="N56" s="384">
        <v>0</v>
      </c>
      <c r="O56" s="384">
        <v>0</v>
      </c>
      <c r="P56" s="384">
        <v>0</v>
      </c>
      <c r="Q56" s="384">
        <v>0</v>
      </c>
      <c r="R56" s="384">
        <v>0</v>
      </c>
      <c r="S56" s="384">
        <v>0</v>
      </c>
      <c r="T56" s="385">
        <v>0</v>
      </c>
      <c r="U56">
        <v>0</v>
      </c>
      <c r="V56"/>
      <c r="W56"/>
      <c r="X56" s="3"/>
      <c r="Y56" s="3"/>
    </row>
    <row r="57" spans="1:25" ht="15.75">
      <c r="A57" s="379"/>
      <c r="B57" s="677" t="s">
        <v>1141</v>
      </c>
      <c r="C57" s="678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80"/>
      <c r="U57"/>
      <c r="V57"/>
      <c r="W57"/>
    </row>
    <row r="58" spans="1:25" ht="15.75">
      <c r="A58" s="379"/>
      <c r="B58" s="579" t="s">
        <v>1143</v>
      </c>
      <c r="C58" s="580"/>
      <c r="D58" s="581"/>
      <c r="E58" s="581"/>
      <c r="F58" s="581"/>
      <c r="G58" s="581"/>
      <c r="H58" s="581"/>
      <c r="I58" s="581"/>
      <c r="J58" s="581"/>
      <c r="K58" s="581"/>
      <c r="L58" s="581"/>
      <c r="M58" s="581"/>
      <c r="N58" s="581"/>
      <c r="O58" s="581"/>
      <c r="P58" s="581"/>
      <c r="Q58" s="581"/>
      <c r="R58" s="581"/>
      <c r="S58" s="581"/>
      <c r="T58" s="582"/>
      <c r="U58"/>
      <c r="V58"/>
      <c r="W58"/>
    </row>
    <row r="59" spans="1:25" s="386" customFormat="1" ht="15.75">
      <c r="A59" s="379"/>
      <c r="B59" s="681" t="s">
        <v>1145</v>
      </c>
      <c r="C59" s="383">
        <v>0</v>
      </c>
      <c r="D59" s="384">
        <v>0</v>
      </c>
      <c r="E59" s="384">
        <v>0</v>
      </c>
      <c r="F59" s="384">
        <v>0</v>
      </c>
      <c r="G59" s="384">
        <v>0</v>
      </c>
      <c r="H59" s="384">
        <v>0</v>
      </c>
      <c r="I59" s="384">
        <v>0</v>
      </c>
      <c r="J59" s="384">
        <v>0</v>
      </c>
      <c r="K59" s="384">
        <v>0</v>
      </c>
      <c r="L59" s="384">
        <v>0</v>
      </c>
      <c r="M59" s="384">
        <v>0</v>
      </c>
      <c r="N59" s="384">
        <v>0</v>
      </c>
      <c r="O59" s="384">
        <v>0</v>
      </c>
      <c r="P59" s="384">
        <v>0</v>
      </c>
      <c r="Q59" s="384">
        <v>0</v>
      </c>
      <c r="R59" s="384">
        <v>0</v>
      </c>
      <c r="S59" s="384">
        <v>0</v>
      </c>
      <c r="T59" s="385">
        <v>0</v>
      </c>
      <c r="U59">
        <v>0</v>
      </c>
      <c r="V59"/>
      <c r="W59"/>
      <c r="X59" s="3"/>
      <c r="Y59" s="3"/>
    </row>
    <row r="60" spans="1:25" ht="15.75">
      <c r="A60" s="379"/>
      <c r="B60" s="677" t="s">
        <v>1147</v>
      </c>
      <c r="C60" s="678">
        <v>1882</v>
      </c>
      <c r="D60" s="679">
        <v>477</v>
      </c>
      <c r="E60" s="679">
        <v>615</v>
      </c>
      <c r="F60" s="679">
        <v>158</v>
      </c>
      <c r="G60" s="679"/>
      <c r="H60" s="679"/>
      <c r="I60" s="679">
        <v>3132</v>
      </c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80"/>
      <c r="U60">
        <v>3132</v>
      </c>
      <c r="V60"/>
      <c r="W60"/>
    </row>
    <row r="61" spans="1:25" ht="15.75">
      <c r="A61" s="379"/>
      <c r="B61" s="579" t="s">
        <v>1149</v>
      </c>
      <c r="C61" s="580">
        <v>2015</v>
      </c>
      <c r="D61" s="581">
        <v>455</v>
      </c>
      <c r="E61" s="581">
        <v>483</v>
      </c>
      <c r="F61" s="581">
        <v>176</v>
      </c>
      <c r="G61" s="581"/>
      <c r="H61" s="581"/>
      <c r="I61" s="581">
        <v>3129</v>
      </c>
      <c r="J61" s="581"/>
      <c r="K61" s="581"/>
      <c r="L61" s="581"/>
      <c r="M61" s="581"/>
      <c r="N61" s="581"/>
      <c r="O61" s="581"/>
      <c r="P61" s="581"/>
      <c r="Q61" s="581"/>
      <c r="R61" s="581"/>
      <c r="S61" s="581"/>
      <c r="T61" s="582"/>
      <c r="U61">
        <v>3129</v>
      </c>
      <c r="V61"/>
      <c r="W61"/>
    </row>
    <row r="62" spans="1:25" s="386" customFormat="1" ht="15.75">
      <c r="A62" s="379"/>
      <c r="B62" s="681" t="s">
        <v>1151</v>
      </c>
      <c r="C62" s="383">
        <v>7.0669500531349627E-2</v>
      </c>
      <c r="D62" s="384">
        <v>-4.6121593291404611E-2</v>
      </c>
      <c r="E62" s="384">
        <v>-0.21463414634146341</v>
      </c>
      <c r="F62" s="384">
        <v>0.11392405063291139</v>
      </c>
      <c r="G62" s="384">
        <v>0</v>
      </c>
      <c r="H62" s="384">
        <v>0</v>
      </c>
      <c r="I62" s="384">
        <v>-9.5785440613026815E-4</v>
      </c>
      <c r="J62" s="384">
        <v>0</v>
      </c>
      <c r="K62" s="384">
        <v>0</v>
      </c>
      <c r="L62" s="384">
        <v>0</v>
      </c>
      <c r="M62" s="384">
        <v>0</v>
      </c>
      <c r="N62" s="384">
        <v>0</v>
      </c>
      <c r="O62" s="384">
        <v>0</v>
      </c>
      <c r="P62" s="384">
        <v>0</v>
      </c>
      <c r="Q62" s="384">
        <v>0</v>
      </c>
      <c r="R62" s="384">
        <v>0</v>
      </c>
      <c r="S62" s="384">
        <v>0</v>
      </c>
      <c r="T62" s="385">
        <v>0</v>
      </c>
      <c r="U62">
        <v>-9.5785440613026815E-4</v>
      </c>
      <c r="V62"/>
      <c r="W62"/>
      <c r="X62" s="3"/>
      <c r="Y62" s="3"/>
    </row>
    <row r="63" spans="1:25" ht="15.75">
      <c r="A63" s="379"/>
      <c r="B63" s="677" t="s">
        <v>1155</v>
      </c>
      <c r="C63" s="678">
        <v>1882</v>
      </c>
      <c r="D63" s="679">
        <v>477</v>
      </c>
      <c r="E63" s="679">
        <v>615</v>
      </c>
      <c r="F63" s="679">
        <v>158</v>
      </c>
      <c r="G63" s="679"/>
      <c r="H63" s="679">
        <v>0</v>
      </c>
      <c r="I63" s="679">
        <v>3132</v>
      </c>
      <c r="J63" s="679">
        <v>259</v>
      </c>
      <c r="K63" s="679">
        <v>0</v>
      </c>
      <c r="L63" s="679">
        <v>0</v>
      </c>
      <c r="M63" s="679">
        <v>0</v>
      </c>
      <c r="N63" s="679">
        <v>259</v>
      </c>
      <c r="O63" s="679"/>
      <c r="P63" s="679"/>
      <c r="Q63" s="679"/>
      <c r="R63" s="679"/>
      <c r="S63" s="679"/>
      <c r="T63" s="680"/>
      <c r="U63">
        <v>3391</v>
      </c>
      <c r="V63"/>
      <c r="W63"/>
    </row>
    <row r="64" spans="1:25" ht="15.75">
      <c r="A64" s="379"/>
      <c r="B64" s="579" t="s">
        <v>1153</v>
      </c>
      <c r="C64" s="580">
        <v>2015</v>
      </c>
      <c r="D64" s="581">
        <v>455</v>
      </c>
      <c r="E64" s="581">
        <v>483</v>
      </c>
      <c r="F64" s="581">
        <v>176</v>
      </c>
      <c r="G64" s="581"/>
      <c r="H64" s="581">
        <v>0</v>
      </c>
      <c r="I64" s="581">
        <v>3129</v>
      </c>
      <c r="J64" s="581">
        <v>259</v>
      </c>
      <c r="K64" s="581">
        <v>0</v>
      </c>
      <c r="L64" s="581">
        <v>0</v>
      </c>
      <c r="M64" s="581">
        <v>0</v>
      </c>
      <c r="N64" s="581">
        <v>259</v>
      </c>
      <c r="O64" s="581"/>
      <c r="P64" s="581"/>
      <c r="Q64" s="581"/>
      <c r="R64" s="581"/>
      <c r="S64" s="581"/>
      <c r="T64" s="582"/>
      <c r="U64">
        <v>3388</v>
      </c>
      <c r="V64"/>
      <c r="W64"/>
    </row>
    <row r="65" spans="1:25" s="386" customFormat="1" ht="15.75">
      <c r="A65" s="387"/>
      <c r="B65" s="681" t="s">
        <v>1157</v>
      </c>
      <c r="C65" s="383">
        <v>7.0669500531349627E-2</v>
      </c>
      <c r="D65" s="384">
        <v>-4.6121593291404611E-2</v>
      </c>
      <c r="E65" s="384">
        <v>-0.21463414634146341</v>
      </c>
      <c r="F65" s="384">
        <v>0.11392405063291139</v>
      </c>
      <c r="G65" s="384">
        <v>0</v>
      </c>
      <c r="H65" s="384">
        <v>0</v>
      </c>
      <c r="I65" s="384">
        <v>-9.5785440613026815E-4</v>
      </c>
      <c r="J65" s="384">
        <v>0</v>
      </c>
      <c r="K65" s="384">
        <v>0</v>
      </c>
      <c r="L65" s="384">
        <v>0</v>
      </c>
      <c r="M65" s="384">
        <v>0</v>
      </c>
      <c r="N65" s="384">
        <v>0</v>
      </c>
      <c r="O65" s="384">
        <v>0</v>
      </c>
      <c r="P65" s="384">
        <v>0</v>
      </c>
      <c r="Q65" s="384">
        <v>0</v>
      </c>
      <c r="R65" s="384">
        <v>0</v>
      </c>
      <c r="S65" s="384">
        <v>0</v>
      </c>
      <c r="T65" s="385">
        <v>0</v>
      </c>
      <c r="U65">
        <v>-8.846947803007962E-4</v>
      </c>
      <c r="V65"/>
      <c r="W65"/>
      <c r="X65" s="3"/>
      <c r="Y65" s="3"/>
    </row>
    <row r="66" spans="1:25" ht="15.75">
      <c r="A66" s="673" t="s">
        <v>955</v>
      </c>
      <c r="B66" s="677" t="s">
        <v>1048</v>
      </c>
      <c r="C66" s="678">
        <v>10008</v>
      </c>
      <c r="D66" s="679">
        <v>2583</v>
      </c>
      <c r="E66" s="679">
        <v>5226</v>
      </c>
      <c r="F66" s="679">
        <v>5946</v>
      </c>
      <c r="G66" s="679">
        <v>2269</v>
      </c>
      <c r="H66" s="679">
        <v>1195</v>
      </c>
      <c r="I66" s="679">
        <v>27227</v>
      </c>
      <c r="J66" s="679">
        <v>162</v>
      </c>
      <c r="K66" s="679"/>
      <c r="L66" s="679">
        <v>25</v>
      </c>
      <c r="M66" s="679"/>
      <c r="N66" s="679">
        <v>187</v>
      </c>
      <c r="O66" s="679">
        <v>0</v>
      </c>
      <c r="P66" s="679"/>
      <c r="Q66" s="679"/>
      <c r="R66" s="679">
        <v>0</v>
      </c>
      <c r="S66" s="679">
        <v>833</v>
      </c>
      <c r="T66" s="680">
        <v>833</v>
      </c>
      <c r="U66">
        <v>28247</v>
      </c>
      <c r="V66"/>
      <c r="W66"/>
    </row>
    <row r="67" spans="1:25" ht="15.75">
      <c r="A67" s="379"/>
      <c r="B67" s="579" t="s">
        <v>1049</v>
      </c>
      <c r="C67" s="580">
        <v>10091</v>
      </c>
      <c r="D67" s="581">
        <v>2696</v>
      </c>
      <c r="E67" s="581">
        <v>5346</v>
      </c>
      <c r="F67" s="581">
        <v>6266</v>
      </c>
      <c r="G67" s="581">
        <v>2330</v>
      </c>
      <c r="H67" s="581">
        <v>1312</v>
      </c>
      <c r="I67" s="581">
        <v>28041</v>
      </c>
      <c r="J67" s="581">
        <v>164</v>
      </c>
      <c r="K67" s="581"/>
      <c r="L67" s="581">
        <v>93</v>
      </c>
      <c r="M67" s="581"/>
      <c r="N67" s="581">
        <v>257</v>
      </c>
      <c r="O67" s="581">
        <v>0</v>
      </c>
      <c r="P67" s="581"/>
      <c r="Q67" s="581"/>
      <c r="R67" s="581">
        <v>0</v>
      </c>
      <c r="S67" s="581">
        <v>878</v>
      </c>
      <c r="T67" s="582">
        <v>878</v>
      </c>
      <c r="U67">
        <v>29176</v>
      </c>
      <c r="V67"/>
      <c r="W67"/>
    </row>
    <row r="68" spans="1:25" s="386" customFormat="1" ht="15.75">
      <c r="A68" s="379"/>
      <c r="B68" s="681" t="s">
        <v>1050</v>
      </c>
      <c r="C68" s="383">
        <v>8.2933653077537969E-3</v>
      </c>
      <c r="D68" s="384">
        <v>4.3747580332946186E-2</v>
      </c>
      <c r="E68" s="384">
        <v>2.2962112514351322E-2</v>
      </c>
      <c r="F68" s="384">
        <v>5.3817692566431215E-2</v>
      </c>
      <c r="G68" s="384">
        <v>2.6884089907448214E-2</v>
      </c>
      <c r="H68" s="384">
        <v>9.7907949790794979E-2</v>
      </c>
      <c r="I68" s="384">
        <v>2.9896793623976198E-2</v>
      </c>
      <c r="J68" s="384">
        <v>1.2345679012345678E-2</v>
      </c>
      <c r="K68" s="384">
        <v>0</v>
      </c>
      <c r="L68" s="384">
        <v>2.72</v>
      </c>
      <c r="M68" s="384">
        <v>0</v>
      </c>
      <c r="N68" s="384">
        <v>0.37433155080213903</v>
      </c>
      <c r="O68" s="384">
        <v>0</v>
      </c>
      <c r="P68" s="384">
        <v>0</v>
      </c>
      <c r="Q68" s="384">
        <v>0</v>
      </c>
      <c r="R68" s="384">
        <v>0</v>
      </c>
      <c r="S68" s="384">
        <v>5.4021608643457383E-2</v>
      </c>
      <c r="T68" s="385">
        <v>5.4021608643457383E-2</v>
      </c>
      <c r="U68">
        <v>3.288844833079619E-2</v>
      </c>
      <c r="V68"/>
      <c r="W68"/>
      <c r="X68" s="3"/>
      <c r="Y68" s="3"/>
    </row>
    <row r="69" spans="1:25" ht="15.75">
      <c r="A69" s="379"/>
      <c r="B69" s="677" t="s">
        <v>1135</v>
      </c>
      <c r="C69" s="678">
        <v>723</v>
      </c>
      <c r="D69" s="679"/>
      <c r="E69" s="679">
        <v>869</v>
      </c>
      <c r="F69" s="679">
        <v>1077</v>
      </c>
      <c r="G69" s="679">
        <v>422</v>
      </c>
      <c r="H69" s="679">
        <v>91</v>
      </c>
      <c r="I69" s="679">
        <v>3182</v>
      </c>
      <c r="J69" s="679">
        <v>59</v>
      </c>
      <c r="K69" s="679"/>
      <c r="L69" s="679">
        <v>19</v>
      </c>
      <c r="M69" s="679"/>
      <c r="N69" s="679">
        <v>78</v>
      </c>
      <c r="O69" s="679">
        <v>0</v>
      </c>
      <c r="P69" s="679"/>
      <c r="Q69" s="679"/>
      <c r="R69" s="679">
        <v>0</v>
      </c>
      <c r="S69" s="679"/>
      <c r="T69" s="680"/>
      <c r="U69">
        <v>3260</v>
      </c>
      <c r="V69"/>
      <c r="W69"/>
    </row>
    <row r="70" spans="1:25" ht="15.75">
      <c r="A70" s="379"/>
      <c r="B70" s="579" t="s">
        <v>1137</v>
      </c>
      <c r="C70" s="580">
        <v>764</v>
      </c>
      <c r="D70" s="581"/>
      <c r="E70" s="581">
        <v>928</v>
      </c>
      <c r="F70" s="581">
        <v>1111</v>
      </c>
      <c r="G70" s="581">
        <v>384</v>
      </c>
      <c r="H70" s="581">
        <v>129</v>
      </c>
      <c r="I70" s="581">
        <v>3316</v>
      </c>
      <c r="J70" s="581">
        <v>86</v>
      </c>
      <c r="K70" s="581"/>
      <c r="L70" s="581">
        <v>77</v>
      </c>
      <c r="M70" s="581"/>
      <c r="N70" s="581">
        <v>163</v>
      </c>
      <c r="O70" s="581">
        <v>0</v>
      </c>
      <c r="P70" s="581"/>
      <c r="Q70" s="581"/>
      <c r="R70" s="581">
        <v>0</v>
      </c>
      <c r="S70" s="581">
        <v>0</v>
      </c>
      <c r="T70" s="582">
        <v>0</v>
      </c>
      <c r="U70">
        <v>3479</v>
      </c>
      <c r="V70"/>
      <c r="W70"/>
    </row>
    <row r="71" spans="1:25" s="386" customFormat="1" ht="15.75">
      <c r="A71" s="379"/>
      <c r="B71" s="681" t="s">
        <v>1139</v>
      </c>
      <c r="C71" s="383">
        <v>5.6708160442600276E-2</v>
      </c>
      <c r="D71" s="384">
        <v>0</v>
      </c>
      <c r="E71" s="384">
        <v>6.789413118527042E-2</v>
      </c>
      <c r="F71" s="384">
        <v>3.1569173630454965E-2</v>
      </c>
      <c r="G71" s="384">
        <v>-9.004739336492891E-2</v>
      </c>
      <c r="H71" s="384">
        <v>0.4175824175824176</v>
      </c>
      <c r="I71" s="384">
        <v>4.2111879321181649E-2</v>
      </c>
      <c r="J71" s="384">
        <v>0.4576271186440678</v>
      </c>
      <c r="K71" s="384">
        <v>0</v>
      </c>
      <c r="L71" s="384">
        <v>3.0526315789473686</v>
      </c>
      <c r="M71" s="384">
        <v>0</v>
      </c>
      <c r="N71" s="384">
        <v>1.0897435897435896</v>
      </c>
      <c r="O71" s="384">
        <v>0</v>
      </c>
      <c r="P71" s="384">
        <v>0</v>
      </c>
      <c r="Q71" s="384">
        <v>0</v>
      </c>
      <c r="R71" s="384">
        <v>0</v>
      </c>
      <c r="S71" s="384">
        <v>0</v>
      </c>
      <c r="T71" s="385">
        <v>0</v>
      </c>
      <c r="U71">
        <v>6.7177914110429449E-2</v>
      </c>
      <c r="V71"/>
      <c r="W71"/>
      <c r="X71" s="3"/>
      <c r="Y71" s="3"/>
    </row>
    <row r="72" spans="1:25" ht="15.75">
      <c r="A72" s="379"/>
      <c r="B72" s="677" t="s">
        <v>1141</v>
      </c>
      <c r="C72" s="678"/>
      <c r="D72" s="679"/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79">
        <v>0</v>
      </c>
      <c r="P72" s="679"/>
      <c r="Q72" s="679"/>
      <c r="R72" s="679">
        <v>0</v>
      </c>
      <c r="S72" s="679"/>
      <c r="T72" s="680"/>
      <c r="U72">
        <v>0</v>
      </c>
      <c r="V72"/>
      <c r="W72"/>
    </row>
    <row r="73" spans="1:25" ht="15.75">
      <c r="A73" s="379"/>
      <c r="B73" s="579" t="s">
        <v>1143</v>
      </c>
      <c r="C73" s="580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>
        <v>0</v>
      </c>
      <c r="P73" s="581"/>
      <c r="Q73" s="581"/>
      <c r="R73" s="581">
        <v>0</v>
      </c>
      <c r="S73" s="581"/>
      <c r="T73" s="582"/>
      <c r="U73">
        <v>0</v>
      </c>
      <c r="V73"/>
      <c r="W73"/>
    </row>
    <row r="74" spans="1:25" s="386" customFormat="1" ht="15.75">
      <c r="A74" s="379"/>
      <c r="B74" s="681" t="s">
        <v>1145</v>
      </c>
      <c r="C74" s="383">
        <v>0</v>
      </c>
      <c r="D74" s="384">
        <v>0</v>
      </c>
      <c r="E74" s="384">
        <v>0</v>
      </c>
      <c r="F74" s="384">
        <v>0</v>
      </c>
      <c r="G74" s="384">
        <v>0</v>
      </c>
      <c r="H74" s="384">
        <v>0</v>
      </c>
      <c r="I74" s="384">
        <v>0</v>
      </c>
      <c r="J74" s="384">
        <v>0</v>
      </c>
      <c r="K74" s="384">
        <v>0</v>
      </c>
      <c r="L74" s="384">
        <v>0</v>
      </c>
      <c r="M74" s="384">
        <v>0</v>
      </c>
      <c r="N74" s="384">
        <v>0</v>
      </c>
      <c r="O74" s="384">
        <v>0</v>
      </c>
      <c r="P74" s="384">
        <v>0</v>
      </c>
      <c r="Q74" s="384">
        <v>0</v>
      </c>
      <c r="R74" s="384">
        <v>0</v>
      </c>
      <c r="S74" s="384">
        <v>0</v>
      </c>
      <c r="T74" s="385">
        <v>0</v>
      </c>
      <c r="U74">
        <v>0</v>
      </c>
      <c r="V74"/>
      <c r="W74"/>
      <c r="X74" s="3"/>
      <c r="Y74" s="3"/>
    </row>
    <row r="75" spans="1:25" ht="15.75">
      <c r="A75" s="379"/>
      <c r="B75" s="677" t="s">
        <v>1147</v>
      </c>
      <c r="C75" s="678"/>
      <c r="D75" s="679"/>
      <c r="E75" s="679"/>
      <c r="F75" s="679"/>
      <c r="G75" s="679"/>
      <c r="H75" s="679"/>
      <c r="I75" s="679"/>
      <c r="J75" s="679"/>
      <c r="K75" s="679"/>
      <c r="L75" s="679"/>
      <c r="M75" s="679"/>
      <c r="N75" s="679"/>
      <c r="O75" s="679">
        <v>0</v>
      </c>
      <c r="P75" s="679"/>
      <c r="Q75" s="679"/>
      <c r="R75" s="679">
        <v>0</v>
      </c>
      <c r="S75" s="679"/>
      <c r="T75" s="680"/>
      <c r="U75">
        <v>0</v>
      </c>
      <c r="V75"/>
      <c r="W75"/>
    </row>
    <row r="76" spans="1:25" ht="15.75">
      <c r="A76" s="379"/>
      <c r="B76" s="579" t="s">
        <v>1149</v>
      </c>
      <c r="C76" s="580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>
        <v>0</v>
      </c>
      <c r="P76" s="581"/>
      <c r="Q76" s="581"/>
      <c r="R76" s="581">
        <v>0</v>
      </c>
      <c r="S76" s="581"/>
      <c r="T76" s="582"/>
      <c r="U76">
        <v>0</v>
      </c>
      <c r="V76"/>
      <c r="W76"/>
    </row>
    <row r="77" spans="1:25" s="386" customFormat="1" ht="15.75">
      <c r="A77" s="379"/>
      <c r="B77" s="681" t="s">
        <v>1151</v>
      </c>
      <c r="C77" s="383">
        <v>0</v>
      </c>
      <c r="D77" s="384">
        <v>0</v>
      </c>
      <c r="E77" s="384">
        <v>0</v>
      </c>
      <c r="F77" s="384">
        <v>0</v>
      </c>
      <c r="G77" s="384">
        <v>0</v>
      </c>
      <c r="H77" s="384">
        <v>0</v>
      </c>
      <c r="I77" s="384">
        <v>0</v>
      </c>
      <c r="J77" s="384">
        <v>0</v>
      </c>
      <c r="K77" s="384">
        <v>0</v>
      </c>
      <c r="L77" s="384">
        <v>0</v>
      </c>
      <c r="M77" s="384">
        <v>0</v>
      </c>
      <c r="N77" s="384">
        <v>0</v>
      </c>
      <c r="O77" s="384">
        <v>0</v>
      </c>
      <c r="P77" s="384">
        <v>0</v>
      </c>
      <c r="Q77" s="384">
        <v>0</v>
      </c>
      <c r="R77" s="384">
        <v>0</v>
      </c>
      <c r="S77" s="384">
        <v>0</v>
      </c>
      <c r="T77" s="385">
        <v>0</v>
      </c>
      <c r="U77">
        <v>0</v>
      </c>
      <c r="V77"/>
      <c r="W77"/>
      <c r="X77" s="3"/>
      <c r="Y77" s="3"/>
    </row>
    <row r="78" spans="1:25" ht="15.75">
      <c r="A78" s="379"/>
      <c r="B78" s="677" t="s">
        <v>1155</v>
      </c>
      <c r="C78" s="678">
        <v>723</v>
      </c>
      <c r="D78" s="679">
        <v>0</v>
      </c>
      <c r="E78" s="679">
        <v>869</v>
      </c>
      <c r="F78" s="679">
        <v>1077</v>
      </c>
      <c r="G78" s="679">
        <v>422</v>
      </c>
      <c r="H78" s="679">
        <v>91</v>
      </c>
      <c r="I78" s="679">
        <v>3182</v>
      </c>
      <c r="J78" s="679">
        <v>59</v>
      </c>
      <c r="K78" s="679">
        <v>0</v>
      </c>
      <c r="L78" s="679">
        <v>19</v>
      </c>
      <c r="M78" s="679">
        <v>0</v>
      </c>
      <c r="N78" s="679">
        <v>78</v>
      </c>
      <c r="O78" s="679">
        <v>0</v>
      </c>
      <c r="P78" s="679">
        <v>0</v>
      </c>
      <c r="Q78" s="679"/>
      <c r="R78" s="679">
        <v>0</v>
      </c>
      <c r="S78" s="679">
        <v>0</v>
      </c>
      <c r="T78" s="680">
        <v>0</v>
      </c>
      <c r="U78">
        <v>3260</v>
      </c>
      <c r="V78"/>
      <c r="W78"/>
    </row>
    <row r="79" spans="1:25" ht="15.75">
      <c r="A79" s="379"/>
      <c r="B79" s="579" t="s">
        <v>1153</v>
      </c>
      <c r="C79" s="580">
        <v>764</v>
      </c>
      <c r="D79" s="581">
        <v>0</v>
      </c>
      <c r="E79" s="581">
        <v>928</v>
      </c>
      <c r="F79" s="581">
        <v>1111</v>
      </c>
      <c r="G79" s="581">
        <v>384</v>
      </c>
      <c r="H79" s="581">
        <v>129</v>
      </c>
      <c r="I79" s="581">
        <v>3316</v>
      </c>
      <c r="J79" s="581">
        <v>86</v>
      </c>
      <c r="K79" s="581">
        <v>0</v>
      </c>
      <c r="L79" s="581">
        <v>77</v>
      </c>
      <c r="M79" s="581">
        <v>0</v>
      </c>
      <c r="N79" s="581">
        <v>163</v>
      </c>
      <c r="O79" s="581">
        <v>0</v>
      </c>
      <c r="P79" s="581">
        <v>0</v>
      </c>
      <c r="Q79" s="581"/>
      <c r="R79" s="581">
        <v>0</v>
      </c>
      <c r="S79" s="581">
        <v>0</v>
      </c>
      <c r="T79" s="582">
        <v>0</v>
      </c>
      <c r="U79">
        <v>3479</v>
      </c>
      <c r="V79"/>
      <c r="W79"/>
    </row>
    <row r="80" spans="1:25" s="386" customFormat="1" ht="15.75">
      <c r="A80" s="387"/>
      <c r="B80" s="681" t="s">
        <v>1157</v>
      </c>
      <c r="C80" s="383">
        <v>5.6708160442600276E-2</v>
      </c>
      <c r="D80" s="384">
        <v>0</v>
      </c>
      <c r="E80" s="384">
        <v>6.789413118527042E-2</v>
      </c>
      <c r="F80" s="384">
        <v>3.1569173630454965E-2</v>
      </c>
      <c r="G80" s="384">
        <v>-9.004739336492891E-2</v>
      </c>
      <c r="H80" s="384">
        <v>0.4175824175824176</v>
      </c>
      <c r="I80" s="384">
        <v>4.2111879321181649E-2</v>
      </c>
      <c r="J80" s="384">
        <v>0.4576271186440678</v>
      </c>
      <c r="K80" s="384">
        <v>0</v>
      </c>
      <c r="L80" s="384">
        <v>3.0526315789473686</v>
      </c>
      <c r="M80" s="384">
        <v>0</v>
      </c>
      <c r="N80" s="384">
        <v>1.0897435897435896</v>
      </c>
      <c r="O80" s="384">
        <v>0</v>
      </c>
      <c r="P80" s="384">
        <v>0</v>
      </c>
      <c r="Q80" s="384">
        <v>0</v>
      </c>
      <c r="R80" s="384">
        <v>0</v>
      </c>
      <c r="S80" s="384">
        <v>0</v>
      </c>
      <c r="T80" s="385">
        <v>0</v>
      </c>
      <c r="U80">
        <v>6.7177914110429449E-2</v>
      </c>
      <c r="V80"/>
      <c r="W80"/>
      <c r="X80" s="3"/>
      <c r="Y80" s="3"/>
    </row>
    <row r="81" spans="1:25" ht="15.75">
      <c r="A81" s="673" t="s">
        <v>29</v>
      </c>
      <c r="B81" s="677" t="s">
        <v>1048</v>
      </c>
      <c r="C81" s="678">
        <v>6073</v>
      </c>
      <c r="D81" s="679"/>
      <c r="E81" s="679">
        <v>6053</v>
      </c>
      <c r="F81" s="679">
        <v>2679</v>
      </c>
      <c r="G81" s="679">
        <v>231</v>
      </c>
      <c r="H81" s="679"/>
      <c r="I81" s="679">
        <v>15036</v>
      </c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80"/>
      <c r="U81">
        <v>15036</v>
      </c>
      <c r="V81"/>
      <c r="W81"/>
    </row>
    <row r="82" spans="1:25" ht="15.75">
      <c r="A82" s="379"/>
      <c r="B82" s="579" t="s">
        <v>1049</v>
      </c>
      <c r="C82" s="580">
        <v>6132</v>
      </c>
      <c r="D82" s="581"/>
      <c r="E82" s="581">
        <v>6052</v>
      </c>
      <c r="F82" s="581">
        <v>2766</v>
      </c>
      <c r="G82" s="581">
        <v>184</v>
      </c>
      <c r="H82" s="581"/>
      <c r="I82" s="581">
        <v>15134</v>
      </c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2"/>
      <c r="U82">
        <v>15134</v>
      </c>
      <c r="V82"/>
      <c r="W82"/>
    </row>
    <row r="83" spans="1:25" s="386" customFormat="1" ht="15.75">
      <c r="A83" s="379"/>
      <c r="B83" s="681" t="s">
        <v>1050</v>
      </c>
      <c r="C83" s="383">
        <v>9.7151325539272197E-3</v>
      </c>
      <c r="D83" s="384">
        <v>0</v>
      </c>
      <c r="E83" s="384">
        <v>-1.6520733520568312E-4</v>
      </c>
      <c r="F83" s="384">
        <v>3.2474804031354984E-2</v>
      </c>
      <c r="G83" s="384">
        <v>-0.20346320346320346</v>
      </c>
      <c r="H83" s="384">
        <v>0</v>
      </c>
      <c r="I83" s="384">
        <v>6.5176908752327747E-3</v>
      </c>
      <c r="J83" s="384">
        <v>0</v>
      </c>
      <c r="K83" s="384">
        <v>0</v>
      </c>
      <c r="L83" s="384">
        <v>0</v>
      </c>
      <c r="M83" s="384">
        <v>0</v>
      </c>
      <c r="N83" s="384">
        <v>0</v>
      </c>
      <c r="O83" s="384">
        <v>0</v>
      </c>
      <c r="P83" s="384">
        <v>0</v>
      </c>
      <c r="Q83" s="384">
        <v>0</v>
      </c>
      <c r="R83" s="384">
        <v>0</v>
      </c>
      <c r="S83" s="384">
        <v>0</v>
      </c>
      <c r="T83" s="385">
        <v>0</v>
      </c>
      <c r="U83">
        <v>6.5176908752327747E-3</v>
      </c>
      <c r="V83"/>
      <c r="W83"/>
      <c r="X83" s="3"/>
      <c r="Y83" s="3"/>
    </row>
    <row r="84" spans="1:25" ht="15.75">
      <c r="A84" s="379"/>
      <c r="B84" s="677" t="s">
        <v>1135</v>
      </c>
      <c r="C84" s="678"/>
      <c r="D84" s="679"/>
      <c r="E84" s="679"/>
      <c r="F84" s="679"/>
      <c r="G84" s="679"/>
      <c r="H84" s="679"/>
      <c r="I84" s="679"/>
      <c r="J84" s="679"/>
      <c r="K84" s="679"/>
      <c r="L84" s="679"/>
      <c r="M84" s="679"/>
      <c r="N84" s="679"/>
      <c r="O84" s="679"/>
      <c r="P84" s="679"/>
      <c r="Q84" s="679"/>
      <c r="R84" s="679"/>
      <c r="S84" s="679"/>
      <c r="T84" s="680"/>
      <c r="U84"/>
      <c r="V84"/>
      <c r="W84"/>
    </row>
    <row r="85" spans="1:25" ht="15.75">
      <c r="A85" s="379"/>
      <c r="B85" s="579" t="s">
        <v>1137</v>
      </c>
      <c r="C85" s="580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  <c r="T85" s="582"/>
      <c r="U85"/>
      <c r="V85"/>
      <c r="W85"/>
    </row>
    <row r="86" spans="1:25" s="386" customFormat="1" ht="15.75">
      <c r="A86" s="379"/>
      <c r="B86" s="681" t="s">
        <v>1139</v>
      </c>
      <c r="C86" s="383">
        <v>0</v>
      </c>
      <c r="D86" s="384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0</v>
      </c>
      <c r="K86" s="384">
        <v>0</v>
      </c>
      <c r="L86" s="384">
        <v>0</v>
      </c>
      <c r="M86" s="384">
        <v>0</v>
      </c>
      <c r="N86" s="384">
        <v>0</v>
      </c>
      <c r="O86" s="384">
        <v>0</v>
      </c>
      <c r="P86" s="384">
        <v>0</v>
      </c>
      <c r="Q86" s="384">
        <v>0</v>
      </c>
      <c r="R86" s="384">
        <v>0</v>
      </c>
      <c r="S86" s="384">
        <v>0</v>
      </c>
      <c r="T86" s="385">
        <v>0</v>
      </c>
      <c r="U86">
        <v>0</v>
      </c>
      <c r="V86"/>
      <c r="W86"/>
      <c r="X86" s="3"/>
      <c r="Y86" s="3"/>
    </row>
    <row r="87" spans="1:25" ht="15.75">
      <c r="A87" s="379"/>
      <c r="B87" s="677" t="s">
        <v>1141</v>
      </c>
      <c r="C87" s="678">
        <v>283</v>
      </c>
      <c r="D87" s="679"/>
      <c r="E87" s="679">
        <v>966</v>
      </c>
      <c r="F87" s="679">
        <v>398</v>
      </c>
      <c r="G87" s="679">
        <v>15</v>
      </c>
      <c r="H87" s="679"/>
      <c r="I87" s="679">
        <v>1662</v>
      </c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680"/>
      <c r="U87">
        <v>1662</v>
      </c>
      <c r="V87"/>
      <c r="W87"/>
    </row>
    <row r="88" spans="1:25" ht="15.75">
      <c r="A88" s="379"/>
      <c r="B88" s="579" t="s">
        <v>1143</v>
      </c>
      <c r="C88" s="580">
        <v>281</v>
      </c>
      <c r="D88" s="581"/>
      <c r="E88" s="581">
        <v>986</v>
      </c>
      <c r="F88" s="581">
        <v>443</v>
      </c>
      <c r="G88" s="581">
        <v>8</v>
      </c>
      <c r="H88" s="581"/>
      <c r="I88" s="581">
        <v>1718</v>
      </c>
      <c r="J88" s="581"/>
      <c r="K88" s="581"/>
      <c r="L88" s="581"/>
      <c r="M88" s="581"/>
      <c r="N88" s="581"/>
      <c r="O88" s="581"/>
      <c r="P88" s="581"/>
      <c r="Q88" s="581"/>
      <c r="R88" s="581"/>
      <c r="S88" s="581"/>
      <c r="T88" s="582"/>
      <c r="U88">
        <v>1718</v>
      </c>
      <c r="V88"/>
      <c r="W88"/>
    </row>
    <row r="89" spans="1:25" s="386" customFormat="1" ht="15.75">
      <c r="A89" s="379"/>
      <c r="B89" s="681" t="s">
        <v>1145</v>
      </c>
      <c r="C89" s="383">
        <v>-7.0671378091872791E-3</v>
      </c>
      <c r="D89" s="384">
        <v>0</v>
      </c>
      <c r="E89" s="384">
        <v>2.0703933747412008E-2</v>
      </c>
      <c r="F89" s="384">
        <v>0.11306532663316583</v>
      </c>
      <c r="G89" s="384">
        <v>-0.46666666666666667</v>
      </c>
      <c r="H89" s="384">
        <v>0</v>
      </c>
      <c r="I89" s="384">
        <v>3.3694344163658241E-2</v>
      </c>
      <c r="J89" s="384">
        <v>0</v>
      </c>
      <c r="K89" s="384">
        <v>0</v>
      </c>
      <c r="L89" s="384">
        <v>0</v>
      </c>
      <c r="M89" s="384">
        <v>0</v>
      </c>
      <c r="N89" s="384">
        <v>0</v>
      </c>
      <c r="O89" s="384">
        <v>0</v>
      </c>
      <c r="P89" s="384">
        <v>0</v>
      </c>
      <c r="Q89" s="384">
        <v>0</v>
      </c>
      <c r="R89" s="384">
        <v>0</v>
      </c>
      <c r="S89" s="384">
        <v>0</v>
      </c>
      <c r="T89" s="385">
        <v>0</v>
      </c>
      <c r="U89">
        <v>3.3694344163658241E-2</v>
      </c>
      <c r="V89"/>
      <c r="W89"/>
      <c r="X89" s="3"/>
      <c r="Y89" s="3"/>
    </row>
    <row r="90" spans="1:25" ht="15.75">
      <c r="A90" s="379"/>
      <c r="B90" s="677" t="s">
        <v>1147</v>
      </c>
      <c r="C90" s="678"/>
      <c r="D90" s="679"/>
      <c r="E90" s="679"/>
      <c r="F90" s="679"/>
      <c r="G90" s="679"/>
      <c r="H90" s="679"/>
      <c r="I90" s="679"/>
      <c r="J90" s="679"/>
      <c r="K90" s="679"/>
      <c r="L90" s="679"/>
      <c r="M90" s="679"/>
      <c r="N90" s="679"/>
      <c r="O90" s="679"/>
      <c r="P90" s="679"/>
      <c r="Q90" s="679"/>
      <c r="R90" s="679"/>
      <c r="S90" s="679"/>
      <c r="T90" s="680"/>
      <c r="U90"/>
      <c r="V90"/>
      <c r="W90"/>
    </row>
    <row r="91" spans="1:25" ht="15.75">
      <c r="A91" s="379"/>
      <c r="B91" s="579" t="s">
        <v>1149</v>
      </c>
      <c r="C91" s="580"/>
      <c r="D91" s="581"/>
      <c r="E91" s="581"/>
      <c r="F91" s="581"/>
      <c r="G91" s="581"/>
      <c r="H91" s="581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  <c r="T91" s="582"/>
      <c r="U91"/>
      <c r="V91"/>
      <c r="W91"/>
    </row>
    <row r="92" spans="1:25" s="386" customFormat="1" ht="15.75">
      <c r="A92" s="379"/>
      <c r="B92" s="681" t="s">
        <v>1151</v>
      </c>
      <c r="C92" s="383">
        <v>0</v>
      </c>
      <c r="D92" s="384">
        <v>0</v>
      </c>
      <c r="E92" s="384">
        <v>0</v>
      </c>
      <c r="F92" s="384">
        <v>0</v>
      </c>
      <c r="G92" s="384">
        <v>0</v>
      </c>
      <c r="H92" s="384">
        <v>0</v>
      </c>
      <c r="I92" s="384">
        <v>0</v>
      </c>
      <c r="J92" s="384">
        <v>0</v>
      </c>
      <c r="K92" s="384">
        <v>0</v>
      </c>
      <c r="L92" s="384">
        <v>0</v>
      </c>
      <c r="M92" s="384">
        <v>0</v>
      </c>
      <c r="N92" s="384">
        <v>0</v>
      </c>
      <c r="O92" s="384">
        <v>0</v>
      </c>
      <c r="P92" s="384">
        <v>0</v>
      </c>
      <c r="Q92" s="384">
        <v>0</v>
      </c>
      <c r="R92" s="384">
        <v>0</v>
      </c>
      <c r="S92" s="384">
        <v>0</v>
      </c>
      <c r="T92" s="385">
        <v>0</v>
      </c>
      <c r="U92">
        <v>0</v>
      </c>
      <c r="V92"/>
      <c r="W92"/>
      <c r="X92" s="3"/>
      <c r="Y92" s="3"/>
    </row>
    <row r="93" spans="1:25" ht="15.75">
      <c r="A93" s="379"/>
      <c r="B93" s="677" t="s">
        <v>1155</v>
      </c>
      <c r="C93" s="678">
        <v>283</v>
      </c>
      <c r="D93" s="679"/>
      <c r="E93" s="679">
        <v>966</v>
      </c>
      <c r="F93" s="679">
        <v>398</v>
      </c>
      <c r="G93" s="679">
        <v>15</v>
      </c>
      <c r="H93" s="679"/>
      <c r="I93" s="679">
        <v>1662</v>
      </c>
      <c r="J93" s="679"/>
      <c r="K93" s="679">
        <v>0</v>
      </c>
      <c r="L93" s="679">
        <v>0</v>
      </c>
      <c r="M93" s="679">
        <v>0</v>
      </c>
      <c r="N93" s="679">
        <v>0</v>
      </c>
      <c r="O93" s="679">
        <v>0</v>
      </c>
      <c r="P93" s="679"/>
      <c r="Q93" s="679"/>
      <c r="R93" s="679">
        <v>0</v>
      </c>
      <c r="S93" s="679"/>
      <c r="T93" s="680"/>
      <c r="U93">
        <v>1662</v>
      </c>
      <c r="V93"/>
      <c r="W93"/>
    </row>
    <row r="94" spans="1:25" ht="15.75">
      <c r="A94" s="379"/>
      <c r="B94" s="579" t="s">
        <v>1153</v>
      </c>
      <c r="C94" s="580">
        <v>281</v>
      </c>
      <c r="D94" s="581"/>
      <c r="E94" s="581">
        <v>986</v>
      </c>
      <c r="F94" s="581">
        <v>443</v>
      </c>
      <c r="G94" s="581">
        <v>8</v>
      </c>
      <c r="H94" s="581"/>
      <c r="I94" s="581">
        <v>1718</v>
      </c>
      <c r="J94" s="581"/>
      <c r="K94" s="581">
        <v>0</v>
      </c>
      <c r="L94" s="581">
        <v>0</v>
      </c>
      <c r="M94" s="581">
        <v>0</v>
      </c>
      <c r="N94" s="581">
        <v>0</v>
      </c>
      <c r="O94" s="581">
        <v>0</v>
      </c>
      <c r="P94" s="581"/>
      <c r="Q94" s="581"/>
      <c r="R94" s="581">
        <v>0</v>
      </c>
      <c r="S94" s="581"/>
      <c r="T94" s="582"/>
      <c r="U94">
        <v>1718</v>
      </c>
      <c r="V94"/>
      <c r="W94"/>
    </row>
    <row r="95" spans="1:25" s="386" customFormat="1" ht="15.75">
      <c r="A95" s="387"/>
      <c r="B95" s="681" t="s">
        <v>1157</v>
      </c>
      <c r="C95" s="383">
        <v>-7.0671378091872791E-3</v>
      </c>
      <c r="D95" s="384">
        <v>0</v>
      </c>
      <c r="E95" s="384">
        <v>2.0703933747412008E-2</v>
      </c>
      <c r="F95" s="384">
        <v>0.11306532663316583</v>
      </c>
      <c r="G95" s="384">
        <v>-0.46666666666666667</v>
      </c>
      <c r="H95" s="384">
        <v>0</v>
      </c>
      <c r="I95" s="384">
        <v>3.3694344163658241E-2</v>
      </c>
      <c r="J95" s="384">
        <v>0</v>
      </c>
      <c r="K95" s="384">
        <v>0</v>
      </c>
      <c r="L95" s="384">
        <v>0</v>
      </c>
      <c r="M95" s="384">
        <v>0</v>
      </c>
      <c r="N95" s="384">
        <v>0</v>
      </c>
      <c r="O95" s="384">
        <v>0</v>
      </c>
      <c r="P95" s="384">
        <v>0</v>
      </c>
      <c r="Q95" s="384">
        <v>0</v>
      </c>
      <c r="R95" s="384">
        <v>0</v>
      </c>
      <c r="S95" s="384">
        <v>0</v>
      </c>
      <c r="T95" s="385">
        <v>0</v>
      </c>
      <c r="U95">
        <v>3.3694344163658241E-2</v>
      </c>
      <c r="V95"/>
      <c r="W95"/>
      <c r="X95" s="3"/>
      <c r="Y95" s="3"/>
    </row>
    <row r="96" spans="1:25" ht="15.75">
      <c r="A96" s="673" t="s">
        <v>759</v>
      </c>
      <c r="B96" s="677" t="s">
        <v>1048</v>
      </c>
      <c r="C96" s="678">
        <v>4600</v>
      </c>
      <c r="D96" s="679">
        <v>4784</v>
      </c>
      <c r="E96" s="679">
        <v>3636</v>
      </c>
      <c r="F96" s="679">
        <v>4178</v>
      </c>
      <c r="G96" s="679"/>
      <c r="H96" s="679"/>
      <c r="I96" s="679">
        <v>17198</v>
      </c>
      <c r="J96" s="679">
        <v>131</v>
      </c>
      <c r="K96" s="679"/>
      <c r="L96" s="679"/>
      <c r="M96" s="679"/>
      <c r="N96" s="679">
        <v>131</v>
      </c>
      <c r="O96" s="679"/>
      <c r="P96" s="679"/>
      <c r="Q96" s="679"/>
      <c r="R96" s="679"/>
      <c r="S96" s="679">
        <v>302</v>
      </c>
      <c r="T96" s="680">
        <v>302</v>
      </c>
      <c r="U96">
        <v>17631</v>
      </c>
      <c r="V96"/>
      <c r="W96"/>
    </row>
    <row r="97" spans="1:25" ht="15.75">
      <c r="A97" s="379"/>
      <c r="B97" s="579" t="s">
        <v>1049</v>
      </c>
      <c r="C97" s="580">
        <v>4734</v>
      </c>
      <c r="D97" s="581">
        <v>4802</v>
      </c>
      <c r="E97" s="581">
        <v>3666</v>
      </c>
      <c r="F97" s="581">
        <v>4295</v>
      </c>
      <c r="G97" s="581"/>
      <c r="H97" s="581"/>
      <c r="I97" s="581">
        <v>17497</v>
      </c>
      <c r="J97" s="581">
        <v>166</v>
      </c>
      <c r="K97" s="581"/>
      <c r="L97" s="581"/>
      <c r="M97" s="581"/>
      <c r="N97" s="581">
        <v>166</v>
      </c>
      <c r="O97" s="581"/>
      <c r="P97" s="581"/>
      <c r="Q97" s="581"/>
      <c r="R97" s="581"/>
      <c r="S97" s="581">
        <v>317</v>
      </c>
      <c r="T97" s="582">
        <v>317</v>
      </c>
      <c r="U97">
        <v>17980</v>
      </c>
      <c r="V97"/>
      <c r="W97"/>
    </row>
    <row r="98" spans="1:25" s="386" customFormat="1" ht="15.75">
      <c r="A98" s="379"/>
      <c r="B98" s="681" t="s">
        <v>1050</v>
      </c>
      <c r="C98" s="383">
        <v>2.9130434782608697E-2</v>
      </c>
      <c r="D98" s="384">
        <v>3.762541806020067E-3</v>
      </c>
      <c r="E98" s="384">
        <v>8.2508250825082501E-3</v>
      </c>
      <c r="F98" s="384">
        <v>2.8003829583532792E-2</v>
      </c>
      <c r="G98" s="384">
        <v>0</v>
      </c>
      <c r="H98" s="384">
        <v>0</v>
      </c>
      <c r="I98" s="384">
        <v>1.7385742528200954E-2</v>
      </c>
      <c r="J98" s="384">
        <v>0.26717557251908397</v>
      </c>
      <c r="K98" s="384">
        <v>0</v>
      </c>
      <c r="L98" s="384">
        <v>0</v>
      </c>
      <c r="M98" s="384">
        <v>0</v>
      </c>
      <c r="N98" s="384">
        <v>0.26717557251908397</v>
      </c>
      <c r="O98" s="384">
        <v>0</v>
      </c>
      <c r="P98" s="384">
        <v>0</v>
      </c>
      <c r="Q98" s="384">
        <v>0</v>
      </c>
      <c r="R98" s="384">
        <v>0</v>
      </c>
      <c r="S98" s="384">
        <v>4.9668874172185427E-2</v>
      </c>
      <c r="T98" s="385">
        <v>4.9668874172185427E-2</v>
      </c>
      <c r="U98">
        <v>1.9794679825307696E-2</v>
      </c>
      <c r="V98"/>
      <c r="W98"/>
      <c r="X98" s="3"/>
      <c r="Y98" s="3"/>
    </row>
    <row r="99" spans="1:25" ht="15.75">
      <c r="A99" s="379"/>
      <c r="B99" s="677" t="s">
        <v>1135</v>
      </c>
      <c r="C99" s="678">
        <v>441</v>
      </c>
      <c r="D99" s="679">
        <v>400</v>
      </c>
      <c r="E99" s="679">
        <v>283</v>
      </c>
      <c r="F99" s="679">
        <v>381</v>
      </c>
      <c r="G99" s="679"/>
      <c r="H99" s="679"/>
      <c r="I99" s="679">
        <v>1505</v>
      </c>
      <c r="J99" s="679">
        <v>22</v>
      </c>
      <c r="K99" s="679"/>
      <c r="L99" s="679"/>
      <c r="M99" s="679"/>
      <c r="N99" s="679">
        <v>22</v>
      </c>
      <c r="O99" s="679"/>
      <c r="P99" s="679"/>
      <c r="Q99" s="679"/>
      <c r="R99" s="679"/>
      <c r="S99" s="679"/>
      <c r="T99" s="680"/>
      <c r="U99">
        <v>1527</v>
      </c>
      <c r="V99"/>
      <c r="W99"/>
    </row>
    <row r="100" spans="1:25" ht="15.75">
      <c r="A100" s="379"/>
      <c r="B100" s="579" t="s">
        <v>1137</v>
      </c>
      <c r="C100" s="580">
        <v>384</v>
      </c>
      <c r="D100" s="581">
        <v>428</v>
      </c>
      <c r="E100" s="581">
        <v>320</v>
      </c>
      <c r="F100" s="581">
        <v>387</v>
      </c>
      <c r="G100" s="581"/>
      <c r="H100" s="581"/>
      <c r="I100" s="581">
        <v>1519</v>
      </c>
      <c r="J100" s="581">
        <v>21</v>
      </c>
      <c r="K100" s="581"/>
      <c r="L100" s="581"/>
      <c r="M100" s="581"/>
      <c r="N100" s="581">
        <v>21</v>
      </c>
      <c r="O100" s="581"/>
      <c r="P100" s="581"/>
      <c r="Q100" s="581"/>
      <c r="R100" s="581"/>
      <c r="S100" s="581"/>
      <c r="T100" s="582"/>
      <c r="U100">
        <v>1540</v>
      </c>
      <c r="V100"/>
      <c r="W100"/>
    </row>
    <row r="101" spans="1:25" s="386" customFormat="1" ht="15.75">
      <c r="A101" s="379"/>
      <c r="B101" s="681" t="s">
        <v>1139</v>
      </c>
      <c r="C101" s="383">
        <v>-0.12925170068027211</v>
      </c>
      <c r="D101" s="384">
        <v>7.0000000000000007E-2</v>
      </c>
      <c r="E101" s="384">
        <v>0.13074204946996468</v>
      </c>
      <c r="F101" s="384">
        <v>1.5748031496062992E-2</v>
      </c>
      <c r="G101" s="384">
        <v>0</v>
      </c>
      <c r="H101" s="384">
        <v>0</v>
      </c>
      <c r="I101" s="384">
        <v>9.3023255813953487E-3</v>
      </c>
      <c r="J101" s="384">
        <v>-4.5454545454545456E-2</v>
      </c>
      <c r="K101" s="384">
        <v>0</v>
      </c>
      <c r="L101" s="384">
        <v>0</v>
      </c>
      <c r="M101" s="384">
        <v>0</v>
      </c>
      <c r="N101" s="384">
        <v>-4.5454545454545456E-2</v>
      </c>
      <c r="O101" s="384">
        <v>0</v>
      </c>
      <c r="P101" s="384">
        <v>0</v>
      </c>
      <c r="Q101" s="384">
        <v>0</v>
      </c>
      <c r="R101" s="384">
        <v>0</v>
      </c>
      <c r="S101" s="384">
        <v>0</v>
      </c>
      <c r="T101" s="385">
        <v>0</v>
      </c>
      <c r="U101">
        <v>8.5134250163719713E-3</v>
      </c>
      <c r="V101"/>
      <c r="W101"/>
      <c r="X101" s="3"/>
      <c r="Y101" s="3"/>
    </row>
    <row r="102" spans="1:25" ht="15.75">
      <c r="A102" s="379"/>
      <c r="B102" s="677" t="s">
        <v>1141</v>
      </c>
      <c r="C102" s="678"/>
      <c r="D102" s="679"/>
      <c r="E102" s="679"/>
      <c r="F102" s="679"/>
      <c r="G102" s="679"/>
      <c r="H102" s="679"/>
      <c r="I102" s="679"/>
      <c r="J102" s="679"/>
      <c r="K102" s="679"/>
      <c r="L102" s="679"/>
      <c r="M102" s="679"/>
      <c r="N102" s="679"/>
      <c r="O102" s="679"/>
      <c r="P102" s="679"/>
      <c r="Q102" s="679"/>
      <c r="R102" s="679"/>
      <c r="S102" s="679"/>
      <c r="T102" s="680"/>
      <c r="U102"/>
      <c r="V102"/>
      <c r="W102"/>
    </row>
    <row r="103" spans="1:25" ht="15.75">
      <c r="A103" s="379"/>
      <c r="B103" s="579" t="s">
        <v>1143</v>
      </c>
      <c r="C103" s="580"/>
      <c r="D103" s="581"/>
      <c r="E103" s="581"/>
      <c r="F103" s="581"/>
      <c r="G103" s="581"/>
      <c r="H103" s="581"/>
      <c r="I103" s="581"/>
      <c r="J103" s="581"/>
      <c r="K103" s="581"/>
      <c r="L103" s="581"/>
      <c r="M103" s="581"/>
      <c r="N103" s="581"/>
      <c r="O103" s="581"/>
      <c r="P103" s="581"/>
      <c r="Q103" s="581"/>
      <c r="R103" s="581"/>
      <c r="S103" s="581"/>
      <c r="T103" s="582"/>
      <c r="U103"/>
      <c r="V103"/>
      <c r="W103"/>
    </row>
    <row r="104" spans="1:25" s="386" customFormat="1" ht="15.75">
      <c r="A104" s="379"/>
      <c r="B104" s="681" t="s">
        <v>1145</v>
      </c>
      <c r="C104" s="383">
        <v>0</v>
      </c>
      <c r="D104" s="384">
        <v>0</v>
      </c>
      <c r="E104" s="384">
        <v>0</v>
      </c>
      <c r="F104" s="384">
        <v>0</v>
      </c>
      <c r="G104" s="384">
        <v>0</v>
      </c>
      <c r="H104" s="384">
        <v>0</v>
      </c>
      <c r="I104" s="384">
        <v>0</v>
      </c>
      <c r="J104" s="384">
        <v>0</v>
      </c>
      <c r="K104" s="384">
        <v>0</v>
      </c>
      <c r="L104" s="384">
        <v>0</v>
      </c>
      <c r="M104" s="384">
        <v>0</v>
      </c>
      <c r="N104" s="384">
        <v>0</v>
      </c>
      <c r="O104" s="384">
        <v>0</v>
      </c>
      <c r="P104" s="384">
        <v>0</v>
      </c>
      <c r="Q104" s="384">
        <v>0</v>
      </c>
      <c r="R104" s="384">
        <v>0</v>
      </c>
      <c r="S104" s="384">
        <v>0</v>
      </c>
      <c r="T104" s="385">
        <v>0</v>
      </c>
      <c r="U104">
        <v>0</v>
      </c>
      <c r="V104"/>
      <c r="W104"/>
      <c r="X104" s="3"/>
      <c r="Y104" s="3"/>
    </row>
    <row r="105" spans="1:25" ht="15.75">
      <c r="A105" s="379"/>
      <c r="B105" s="677" t="s">
        <v>1147</v>
      </c>
      <c r="C105" s="678"/>
      <c r="D105" s="679"/>
      <c r="E105" s="679"/>
      <c r="F105" s="679"/>
      <c r="G105" s="679"/>
      <c r="H105" s="679"/>
      <c r="I105" s="679"/>
      <c r="J105" s="679"/>
      <c r="K105" s="679"/>
      <c r="L105" s="679"/>
      <c r="M105" s="679"/>
      <c r="N105" s="679"/>
      <c r="O105" s="679"/>
      <c r="P105" s="679"/>
      <c r="Q105" s="679"/>
      <c r="R105" s="679"/>
      <c r="S105" s="679"/>
      <c r="T105" s="680"/>
      <c r="U105"/>
      <c r="V105"/>
      <c r="W105"/>
    </row>
    <row r="106" spans="1:25" ht="15.75">
      <c r="A106" s="379"/>
      <c r="B106" s="579" t="s">
        <v>1149</v>
      </c>
      <c r="C106" s="580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  <c r="Q106" s="581"/>
      <c r="R106" s="581"/>
      <c r="S106" s="581"/>
      <c r="T106" s="582"/>
      <c r="U106"/>
      <c r="V106"/>
      <c r="W106"/>
    </row>
    <row r="107" spans="1:25" s="386" customFormat="1" ht="15.75">
      <c r="A107" s="379"/>
      <c r="B107" s="681" t="s">
        <v>1151</v>
      </c>
      <c r="C107" s="383">
        <v>0</v>
      </c>
      <c r="D107" s="384">
        <v>0</v>
      </c>
      <c r="E107" s="384">
        <v>0</v>
      </c>
      <c r="F107" s="384">
        <v>0</v>
      </c>
      <c r="G107" s="384">
        <v>0</v>
      </c>
      <c r="H107" s="384">
        <v>0</v>
      </c>
      <c r="I107" s="384">
        <v>0</v>
      </c>
      <c r="J107" s="384">
        <v>0</v>
      </c>
      <c r="K107" s="384">
        <v>0</v>
      </c>
      <c r="L107" s="384">
        <v>0</v>
      </c>
      <c r="M107" s="384">
        <v>0</v>
      </c>
      <c r="N107" s="384">
        <v>0</v>
      </c>
      <c r="O107" s="384">
        <v>0</v>
      </c>
      <c r="P107" s="384">
        <v>0</v>
      </c>
      <c r="Q107" s="384">
        <v>0</v>
      </c>
      <c r="R107" s="384">
        <v>0</v>
      </c>
      <c r="S107" s="384">
        <v>0</v>
      </c>
      <c r="T107" s="385">
        <v>0</v>
      </c>
      <c r="U107">
        <v>0</v>
      </c>
      <c r="V107"/>
      <c r="W107"/>
      <c r="X107" s="3"/>
      <c r="Y107" s="3"/>
    </row>
    <row r="108" spans="1:25" ht="15.75">
      <c r="A108" s="379"/>
      <c r="B108" s="677" t="s">
        <v>1155</v>
      </c>
      <c r="C108" s="678">
        <v>441</v>
      </c>
      <c r="D108" s="679">
        <v>400</v>
      </c>
      <c r="E108" s="679">
        <v>283</v>
      </c>
      <c r="F108" s="679">
        <v>381</v>
      </c>
      <c r="G108" s="679"/>
      <c r="H108" s="679"/>
      <c r="I108" s="679">
        <v>1505</v>
      </c>
      <c r="J108" s="679">
        <v>22</v>
      </c>
      <c r="K108" s="679">
        <v>0</v>
      </c>
      <c r="L108" s="679">
        <v>0</v>
      </c>
      <c r="M108" s="679">
        <v>0</v>
      </c>
      <c r="N108" s="679">
        <v>22</v>
      </c>
      <c r="O108" s="679">
        <v>0</v>
      </c>
      <c r="P108" s="679">
        <v>0</v>
      </c>
      <c r="Q108" s="679">
        <v>0</v>
      </c>
      <c r="R108" s="679">
        <v>0</v>
      </c>
      <c r="S108" s="679">
        <v>0</v>
      </c>
      <c r="T108" s="680">
        <v>0</v>
      </c>
      <c r="U108">
        <v>1527</v>
      </c>
      <c r="V108"/>
      <c r="W108"/>
    </row>
    <row r="109" spans="1:25" ht="15.75">
      <c r="A109" s="379"/>
      <c r="B109" s="579" t="s">
        <v>1153</v>
      </c>
      <c r="C109" s="580">
        <v>384</v>
      </c>
      <c r="D109" s="581">
        <v>428</v>
      </c>
      <c r="E109" s="581">
        <v>320</v>
      </c>
      <c r="F109" s="581">
        <v>387</v>
      </c>
      <c r="G109" s="581"/>
      <c r="H109" s="581"/>
      <c r="I109" s="581">
        <v>1519</v>
      </c>
      <c r="J109" s="581">
        <v>21</v>
      </c>
      <c r="K109" s="581">
        <v>0</v>
      </c>
      <c r="L109" s="581">
        <v>0</v>
      </c>
      <c r="M109" s="581">
        <v>0</v>
      </c>
      <c r="N109" s="581">
        <v>21</v>
      </c>
      <c r="O109" s="581">
        <v>0</v>
      </c>
      <c r="P109" s="581">
        <v>0</v>
      </c>
      <c r="Q109" s="581">
        <v>0</v>
      </c>
      <c r="R109" s="581">
        <v>0</v>
      </c>
      <c r="S109" s="581">
        <v>0</v>
      </c>
      <c r="T109" s="582">
        <v>0</v>
      </c>
      <c r="U109">
        <v>1540</v>
      </c>
      <c r="V109"/>
      <c r="W109"/>
    </row>
    <row r="110" spans="1:25" s="386" customFormat="1" ht="15.75">
      <c r="A110" s="387"/>
      <c r="B110" s="681" t="s">
        <v>1157</v>
      </c>
      <c r="C110" s="383">
        <v>-0.12925170068027211</v>
      </c>
      <c r="D110" s="384">
        <v>7.0000000000000007E-2</v>
      </c>
      <c r="E110" s="384">
        <v>0.13074204946996468</v>
      </c>
      <c r="F110" s="384">
        <v>1.5748031496062992E-2</v>
      </c>
      <c r="G110" s="384">
        <v>0</v>
      </c>
      <c r="H110" s="384">
        <v>0</v>
      </c>
      <c r="I110" s="384">
        <v>9.3023255813953487E-3</v>
      </c>
      <c r="J110" s="384">
        <v>-4.5454545454545456E-2</v>
      </c>
      <c r="K110" s="384">
        <v>0</v>
      </c>
      <c r="L110" s="384">
        <v>0</v>
      </c>
      <c r="M110" s="384">
        <v>0</v>
      </c>
      <c r="N110" s="384">
        <v>-4.5454545454545456E-2</v>
      </c>
      <c r="O110" s="384">
        <v>0</v>
      </c>
      <c r="P110" s="384">
        <v>0</v>
      </c>
      <c r="Q110" s="384">
        <v>0</v>
      </c>
      <c r="R110" s="384">
        <v>0</v>
      </c>
      <c r="S110" s="384">
        <v>0</v>
      </c>
      <c r="T110" s="385">
        <v>0</v>
      </c>
      <c r="U110">
        <v>8.5134250163719713E-3</v>
      </c>
      <c r="V110"/>
      <c r="W110"/>
      <c r="X110" s="3"/>
      <c r="Y110" s="3"/>
    </row>
    <row r="111" spans="1:25" ht="15.75">
      <c r="A111" s="673" t="s">
        <v>954</v>
      </c>
      <c r="B111" s="677" t="s">
        <v>1048</v>
      </c>
      <c r="C111" s="678">
        <v>6311</v>
      </c>
      <c r="D111" s="679">
        <v>1844</v>
      </c>
      <c r="E111" s="679">
        <v>4017</v>
      </c>
      <c r="F111" s="679">
        <v>4217</v>
      </c>
      <c r="G111" s="679"/>
      <c r="H111" s="679">
        <v>426</v>
      </c>
      <c r="I111" s="679">
        <v>16815</v>
      </c>
      <c r="J111" s="679"/>
      <c r="K111" s="679"/>
      <c r="L111" s="679"/>
      <c r="M111" s="679"/>
      <c r="N111" s="679"/>
      <c r="O111" s="679"/>
      <c r="P111" s="679"/>
      <c r="Q111" s="679"/>
      <c r="R111" s="679"/>
      <c r="S111" s="679">
        <v>3143</v>
      </c>
      <c r="T111" s="680">
        <v>3143</v>
      </c>
      <c r="U111">
        <v>19958</v>
      </c>
      <c r="V111"/>
      <c r="W111"/>
    </row>
    <row r="112" spans="1:25" ht="15.75">
      <c r="A112" s="379"/>
      <c r="B112" s="579" t="s">
        <v>1049</v>
      </c>
      <c r="C112" s="580">
        <v>6704</v>
      </c>
      <c r="D112" s="581">
        <v>1798</v>
      </c>
      <c r="E112" s="581">
        <v>4223</v>
      </c>
      <c r="F112" s="581">
        <v>4264</v>
      </c>
      <c r="G112" s="581"/>
      <c r="H112" s="581">
        <v>488</v>
      </c>
      <c r="I112" s="581">
        <v>17477</v>
      </c>
      <c r="J112" s="581"/>
      <c r="K112" s="581"/>
      <c r="L112" s="581"/>
      <c r="M112" s="581"/>
      <c r="N112" s="581"/>
      <c r="O112" s="581"/>
      <c r="P112" s="581"/>
      <c r="Q112" s="581"/>
      <c r="R112" s="581"/>
      <c r="S112" s="581">
        <v>3047</v>
      </c>
      <c r="T112" s="582">
        <v>3047</v>
      </c>
      <c r="U112">
        <v>20524</v>
      </c>
      <c r="V112"/>
      <c r="W112"/>
    </row>
    <row r="113" spans="1:25" s="386" customFormat="1" ht="15.75">
      <c r="A113" s="379"/>
      <c r="B113" s="681" t="s">
        <v>1050</v>
      </c>
      <c r="C113" s="383">
        <v>6.2272223102519411E-2</v>
      </c>
      <c r="D113" s="384">
        <v>-2.4945770065075923E-2</v>
      </c>
      <c r="E113" s="384">
        <v>5.128205128205128E-2</v>
      </c>
      <c r="F113" s="384">
        <v>1.1145364002845624E-2</v>
      </c>
      <c r="G113" s="384">
        <v>0</v>
      </c>
      <c r="H113" s="384">
        <v>0.14553990610328638</v>
      </c>
      <c r="I113" s="384">
        <v>3.9369610466845076E-2</v>
      </c>
      <c r="J113" s="384">
        <v>0</v>
      </c>
      <c r="K113" s="384">
        <v>0</v>
      </c>
      <c r="L113" s="384">
        <v>0</v>
      </c>
      <c r="M113" s="384">
        <v>0</v>
      </c>
      <c r="N113" s="384">
        <v>0</v>
      </c>
      <c r="O113" s="384">
        <v>0</v>
      </c>
      <c r="P113" s="384">
        <v>0</v>
      </c>
      <c r="Q113" s="384">
        <v>0</v>
      </c>
      <c r="R113" s="384">
        <v>0</v>
      </c>
      <c r="S113" s="384">
        <v>-3.0544066178810055E-2</v>
      </c>
      <c r="T113" s="385">
        <v>-3.0544066178810055E-2</v>
      </c>
      <c r="U113">
        <v>2.835955506563784E-2</v>
      </c>
      <c r="V113"/>
      <c r="W113"/>
      <c r="X113" s="3"/>
      <c r="Y113" s="3"/>
    </row>
    <row r="114" spans="1:25" ht="15.75">
      <c r="A114" s="379"/>
      <c r="B114" s="677" t="s">
        <v>1135</v>
      </c>
      <c r="C114" s="678">
        <v>453</v>
      </c>
      <c r="D114" s="679"/>
      <c r="E114" s="679">
        <v>597</v>
      </c>
      <c r="F114" s="679">
        <v>442</v>
      </c>
      <c r="G114" s="679"/>
      <c r="H114" s="679"/>
      <c r="I114" s="679">
        <v>1492</v>
      </c>
      <c r="J114" s="679"/>
      <c r="K114" s="679"/>
      <c r="L114" s="679"/>
      <c r="M114" s="679"/>
      <c r="N114" s="679"/>
      <c r="O114" s="679"/>
      <c r="P114" s="679"/>
      <c r="Q114" s="679"/>
      <c r="R114" s="679"/>
      <c r="S114" s="679"/>
      <c r="T114" s="680"/>
      <c r="U114">
        <v>1492</v>
      </c>
      <c r="V114"/>
      <c r="W114"/>
    </row>
    <row r="115" spans="1:25" ht="15.75">
      <c r="A115" s="379"/>
      <c r="B115" s="579" t="s">
        <v>1137</v>
      </c>
      <c r="C115" s="580">
        <v>535</v>
      </c>
      <c r="D115" s="581">
        <v>1</v>
      </c>
      <c r="E115" s="581">
        <v>625</v>
      </c>
      <c r="F115" s="581">
        <v>452</v>
      </c>
      <c r="G115" s="581"/>
      <c r="H115" s="581"/>
      <c r="I115" s="581">
        <v>1613</v>
      </c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  <c r="T115" s="582"/>
      <c r="U115">
        <v>1613</v>
      </c>
      <c r="V115"/>
      <c r="W115"/>
    </row>
    <row r="116" spans="1:25" s="386" customFormat="1" ht="15.75">
      <c r="A116" s="379"/>
      <c r="B116" s="681" t="s">
        <v>1139</v>
      </c>
      <c r="C116" s="383">
        <v>0.18101545253863136</v>
      </c>
      <c r="D116" s="384">
        <v>0</v>
      </c>
      <c r="E116" s="384">
        <v>4.690117252931323E-2</v>
      </c>
      <c r="F116" s="384">
        <v>2.2624434389140271E-2</v>
      </c>
      <c r="G116" s="384">
        <v>0</v>
      </c>
      <c r="H116" s="384">
        <v>0</v>
      </c>
      <c r="I116" s="384">
        <v>8.1099195710455763E-2</v>
      </c>
      <c r="J116" s="384">
        <v>0</v>
      </c>
      <c r="K116" s="384">
        <v>0</v>
      </c>
      <c r="L116" s="384">
        <v>0</v>
      </c>
      <c r="M116" s="384">
        <v>0</v>
      </c>
      <c r="N116" s="384">
        <v>0</v>
      </c>
      <c r="O116" s="384">
        <v>0</v>
      </c>
      <c r="P116" s="384">
        <v>0</v>
      </c>
      <c r="Q116" s="384">
        <v>0</v>
      </c>
      <c r="R116" s="384">
        <v>0</v>
      </c>
      <c r="S116" s="384">
        <v>0</v>
      </c>
      <c r="T116" s="385">
        <v>0</v>
      </c>
      <c r="U116">
        <v>8.1099195710455763E-2</v>
      </c>
      <c r="V116"/>
      <c r="W116"/>
      <c r="X116" s="3"/>
      <c r="Y116" s="3"/>
    </row>
    <row r="117" spans="1:25" ht="15.75">
      <c r="A117" s="379"/>
      <c r="B117" s="677" t="s">
        <v>1141</v>
      </c>
      <c r="C117" s="678"/>
      <c r="D117" s="679"/>
      <c r="E117" s="679"/>
      <c r="F117" s="679"/>
      <c r="G117" s="679"/>
      <c r="H117" s="679"/>
      <c r="I117" s="679"/>
      <c r="J117" s="679"/>
      <c r="K117" s="679"/>
      <c r="L117" s="679"/>
      <c r="M117" s="679"/>
      <c r="N117" s="679"/>
      <c r="O117" s="679"/>
      <c r="P117" s="679"/>
      <c r="Q117" s="679"/>
      <c r="R117" s="679"/>
      <c r="S117" s="679"/>
      <c r="T117" s="680"/>
      <c r="U117"/>
      <c r="V117"/>
      <c r="W117"/>
    </row>
    <row r="118" spans="1:25" ht="15.75">
      <c r="A118" s="379"/>
      <c r="B118" s="579" t="s">
        <v>1143</v>
      </c>
      <c r="C118" s="580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  <c r="Q118" s="581"/>
      <c r="R118" s="581"/>
      <c r="S118" s="581"/>
      <c r="T118" s="582"/>
      <c r="U118"/>
      <c r="V118"/>
      <c r="W118"/>
    </row>
    <row r="119" spans="1:25" s="386" customFormat="1" ht="15.75">
      <c r="A119" s="379"/>
      <c r="B119" s="681" t="s">
        <v>1145</v>
      </c>
      <c r="C119" s="383">
        <v>0</v>
      </c>
      <c r="D119" s="384">
        <v>0</v>
      </c>
      <c r="E119" s="384">
        <v>0</v>
      </c>
      <c r="F119" s="384">
        <v>0</v>
      </c>
      <c r="G119" s="384">
        <v>0</v>
      </c>
      <c r="H119" s="384">
        <v>0</v>
      </c>
      <c r="I119" s="384">
        <v>0</v>
      </c>
      <c r="J119" s="384">
        <v>0</v>
      </c>
      <c r="K119" s="384">
        <v>0</v>
      </c>
      <c r="L119" s="384">
        <v>0</v>
      </c>
      <c r="M119" s="384">
        <v>0</v>
      </c>
      <c r="N119" s="384">
        <v>0</v>
      </c>
      <c r="O119" s="384">
        <v>0</v>
      </c>
      <c r="P119" s="384">
        <v>0</v>
      </c>
      <c r="Q119" s="384">
        <v>0</v>
      </c>
      <c r="R119" s="384">
        <v>0</v>
      </c>
      <c r="S119" s="384">
        <v>0</v>
      </c>
      <c r="T119" s="385">
        <v>0</v>
      </c>
      <c r="U119">
        <v>0</v>
      </c>
      <c r="V119"/>
      <c r="W119"/>
      <c r="X119" s="3"/>
      <c r="Y119" s="3"/>
    </row>
    <row r="120" spans="1:25" ht="15.75">
      <c r="A120" s="379"/>
      <c r="B120" s="677" t="s">
        <v>1147</v>
      </c>
      <c r="C120" s="678"/>
      <c r="D120" s="679"/>
      <c r="E120" s="679"/>
      <c r="F120" s="679"/>
      <c r="G120" s="679"/>
      <c r="H120" s="679"/>
      <c r="I120" s="679"/>
      <c r="J120" s="679"/>
      <c r="K120" s="679"/>
      <c r="L120" s="679"/>
      <c r="M120" s="679"/>
      <c r="N120" s="679"/>
      <c r="O120" s="679"/>
      <c r="P120" s="679"/>
      <c r="Q120" s="679"/>
      <c r="R120" s="679"/>
      <c r="S120" s="679"/>
      <c r="T120" s="680"/>
      <c r="U120"/>
      <c r="V120"/>
      <c r="W120"/>
    </row>
    <row r="121" spans="1:25" ht="15.75">
      <c r="A121" s="379"/>
      <c r="B121" s="579" t="s">
        <v>1149</v>
      </c>
      <c r="C121" s="580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  <c r="Q121" s="581"/>
      <c r="R121" s="581"/>
      <c r="S121" s="581"/>
      <c r="T121" s="582"/>
      <c r="U121"/>
      <c r="V121"/>
      <c r="W121"/>
    </row>
    <row r="122" spans="1:25" s="386" customFormat="1" ht="15.75">
      <c r="A122" s="379"/>
      <c r="B122" s="681" t="s">
        <v>1151</v>
      </c>
      <c r="C122" s="383">
        <v>0</v>
      </c>
      <c r="D122" s="384">
        <v>0</v>
      </c>
      <c r="E122" s="384">
        <v>0</v>
      </c>
      <c r="F122" s="384">
        <v>0</v>
      </c>
      <c r="G122" s="384">
        <v>0</v>
      </c>
      <c r="H122" s="384">
        <v>0</v>
      </c>
      <c r="I122" s="384">
        <v>0</v>
      </c>
      <c r="J122" s="384">
        <v>0</v>
      </c>
      <c r="K122" s="384">
        <v>0</v>
      </c>
      <c r="L122" s="384">
        <v>0</v>
      </c>
      <c r="M122" s="384">
        <v>0</v>
      </c>
      <c r="N122" s="384">
        <v>0</v>
      </c>
      <c r="O122" s="384">
        <v>0</v>
      </c>
      <c r="P122" s="384">
        <v>0</v>
      </c>
      <c r="Q122" s="384">
        <v>0</v>
      </c>
      <c r="R122" s="384">
        <v>0</v>
      </c>
      <c r="S122" s="384">
        <v>0</v>
      </c>
      <c r="T122" s="385">
        <v>0</v>
      </c>
      <c r="U122">
        <v>0</v>
      </c>
      <c r="V122"/>
      <c r="W122"/>
      <c r="X122" s="3"/>
      <c r="Y122" s="3"/>
    </row>
    <row r="123" spans="1:25" ht="15.75">
      <c r="A123" s="379"/>
      <c r="B123" s="677" t="s">
        <v>1155</v>
      </c>
      <c r="C123" s="678">
        <v>453</v>
      </c>
      <c r="D123" s="679">
        <v>0</v>
      </c>
      <c r="E123" s="679">
        <v>597</v>
      </c>
      <c r="F123" s="679">
        <v>442</v>
      </c>
      <c r="G123" s="679"/>
      <c r="H123" s="679">
        <v>0</v>
      </c>
      <c r="I123" s="679">
        <v>1492</v>
      </c>
      <c r="J123" s="679"/>
      <c r="K123" s="679">
        <v>0</v>
      </c>
      <c r="L123" s="679">
        <v>0</v>
      </c>
      <c r="M123" s="679">
        <v>0</v>
      </c>
      <c r="N123" s="679">
        <v>0</v>
      </c>
      <c r="O123" s="679"/>
      <c r="P123" s="679"/>
      <c r="Q123" s="679"/>
      <c r="R123" s="679"/>
      <c r="S123" s="679">
        <v>0</v>
      </c>
      <c r="T123" s="680">
        <v>0</v>
      </c>
      <c r="U123">
        <v>1492</v>
      </c>
      <c r="V123"/>
      <c r="W123"/>
    </row>
    <row r="124" spans="1:25" ht="15.75">
      <c r="A124" s="379"/>
      <c r="B124" s="579" t="s">
        <v>1153</v>
      </c>
      <c r="C124" s="580">
        <v>535</v>
      </c>
      <c r="D124" s="581">
        <v>1</v>
      </c>
      <c r="E124" s="581">
        <v>625</v>
      </c>
      <c r="F124" s="581">
        <v>452</v>
      </c>
      <c r="G124" s="581"/>
      <c r="H124" s="581">
        <v>0</v>
      </c>
      <c r="I124" s="581">
        <v>1613</v>
      </c>
      <c r="J124" s="581"/>
      <c r="K124" s="581">
        <v>0</v>
      </c>
      <c r="L124" s="581">
        <v>0</v>
      </c>
      <c r="M124" s="581">
        <v>0</v>
      </c>
      <c r="N124" s="581">
        <v>0</v>
      </c>
      <c r="O124" s="581"/>
      <c r="P124" s="581"/>
      <c r="Q124" s="581"/>
      <c r="R124" s="581"/>
      <c r="S124" s="581">
        <v>0</v>
      </c>
      <c r="T124" s="582">
        <v>0</v>
      </c>
      <c r="U124">
        <v>1613</v>
      </c>
      <c r="V124"/>
      <c r="W124"/>
    </row>
    <row r="125" spans="1:25" s="386" customFormat="1" ht="15.75">
      <c r="A125" s="387"/>
      <c r="B125" s="681" t="s">
        <v>1157</v>
      </c>
      <c r="C125" s="383">
        <v>0.18101545253863136</v>
      </c>
      <c r="D125" s="384">
        <v>0</v>
      </c>
      <c r="E125" s="384">
        <v>4.690117252931323E-2</v>
      </c>
      <c r="F125" s="384">
        <v>2.2624434389140271E-2</v>
      </c>
      <c r="G125" s="384">
        <v>0</v>
      </c>
      <c r="H125" s="384">
        <v>0</v>
      </c>
      <c r="I125" s="384">
        <v>8.1099195710455763E-2</v>
      </c>
      <c r="J125" s="384">
        <v>0</v>
      </c>
      <c r="K125" s="384">
        <v>0</v>
      </c>
      <c r="L125" s="384">
        <v>0</v>
      </c>
      <c r="M125" s="384">
        <v>0</v>
      </c>
      <c r="N125" s="384">
        <v>0</v>
      </c>
      <c r="O125" s="384">
        <v>0</v>
      </c>
      <c r="P125" s="384">
        <v>0</v>
      </c>
      <c r="Q125" s="384">
        <v>0</v>
      </c>
      <c r="R125" s="384">
        <v>0</v>
      </c>
      <c r="S125" s="384">
        <v>0</v>
      </c>
      <c r="T125" s="385">
        <v>0</v>
      </c>
      <c r="U125">
        <v>8.1099195710455763E-2</v>
      </c>
      <c r="V125"/>
      <c r="W125"/>
      <c r="X125" s="3"/>
      <c r="Y125" s="3"/>
    </row>
    <row r="126" spans="1:25" ht="15.75">
      <c r="A126" s="673" t="s">
        <v>983</v>
      </c>
      <c r="B126" s="677" t="s">
        <v>1048</v>
      </c>
      <c r="C126" s="678">
        <v>4816</v>
      </c>
      <c r="D126" s="679">
        <v>3365</v>
      </c>
      <c r="E126" s="679"/>
      <c r="F126" s="679">
        <v>1453</v>
      </c>
      <c r="G126" s="679">
        <v>356</v>
      </c>
      <c r="H126" s="679"/>
      <c r="I126" s="679">
        <v>9990</v>
      </c>
      <c r="J126" s="679"/>
      <c r="K126" s="679"/>
      <c r="L126" s="679"/>
      <c r="M126" s="679"/>
      <c r="N126" s="679"/>
      <c r="O126" s="679"/>
      <c r="P126" s="679"/>
      <c r="Q126" s="679"/>
      <c r="R126" s="679"/>
      <c r="S126" s="679">
        <v>201</v>
      </c>
      <c r="T126" s="680">
        <v>201</v>
      </c>
      <c r="U126">
        <v>10191</v>
      </c>
      <c r="V126"/>
      <c r="W126"/>
    </row>
    <row r="127" spans="1:25" ht="15.75">
      <c r="A127" s="379"/>
      <c r="B127" s="579" t="s">
        <v>1049</v>
      </c>
      <c r="C127" s="580">
        <v>5031</v>
      </c>
      <c r="D127" s="581">
        <v>3411</v>
      </c>
      <c r="E127" s="581"/>
      <c r="F127" s="581">
        <v>1345</v>
      </c>
      <c r="G127" s="581">
        <v>406</v>
      </c>
      <c r="H127" s="581"/>
      <c r="I127" s="581">
        <v>10193</v>
      </c>
      <c r="J127" s="581"/>
      <c r="K127" s="581"/>
      <c r="L127" s="581"/>
      <c r="M127" s="581"/>
      <c r="N127" s="581"/>
      <c r="O127" s="581"/>
      <c r="P127" s="581"/>
      <c r="Q127" s="581"/>
      <c r="R127" s="581"/>
      <c r="S127" s="581">
        <v>211</v>
      </c>
      <c r="T127" s="582">
        <v>211</v>
      </c>
      <c r="U127">
        <v>10404</v>
      </c>
      <c r="V127"/>
      <c r="W127"/>
    </row>
    <row r="128" spans="1:25" s="386" customFormat="1" ht="15.75">
      <c r="A128" s="379"/>
      <c r="B128" s="681" t="s">
        <v>1050</v>
      </c>
      <c r="C128" s="383">
        <v>4.4642857142857144E-2</v>
      </c>
      <c r="D128" s="384">
        <v>1.3670133729569094E-2</v>
      </c>
      <c r="E128" s="384">
        <v>0</v>
      </c>
      <c r="F128" s="384">
        <v>-7.4328974535443904E-2</v>
      </c>
      <c r="G128" s="384">
        <v>0.1404494382022472</v>
      </c>
      <c r="H128" s="384">
        <v>0</v>
      </c>
      <c r="I128" s="384">
        <v>2.0320320320320322E-2</v>
      </c>
      <c r="J128" s="384">
        <v>0</v>
      </c>
      <c r="K128" s="384">
        <v>0</v>
      </c>
      <c r="L128" s="384">
        <v>0</v>
      </c>
      <c r="M128" s="384">
        <v>0</v>
      </c>
      <c r="N128" s="384">
        <v>0</v>
      </c>
      <c r="O128" s="384">
        <v>0</v>
      </c>
      <c r="P128" s="384">
        <v>0</v>
      </c>
      <c r="Q128" s="384">
        <v>0</v>
      </c>
      <c r="R128" s="384">
        <v>0</v>
      </c>
      <c r="S128" s="384">
        <v>4.975124378109453E-2</v>
      </c>
      <c r="T128" s="385">
        <v>4.975124378109453E-2</v>
      </c>
      <c r="U128">
        <v>2.0900794818957905E-2</v>
      </c>
      <c r="V128"/>
      <c r="W128"/>
      <c r="X128" s="3"/>
      <c r="Y128" s="3"/>
    </row>
    <row r="129" spans="1:25" ht="15.75">
      <c r="A129" s="379"/>
      <c r="B129" s="677" t="s">
        <v>1135</v>
      </c>
      <c r="C129" s="678">
        <v>734</v>
      </c>
      <c r="D129" s="679">
        <v>370</v>
      </c>
      <c r="E129" s="679"/>
      <c r="F129" s="679">
        <v>257</v>
      </c>
      <c r="G129" s="679">
        <v>48</v>
      </c>
      <c r="H129" s="679"/>
      <c r="I129" s="679">
        <v>1409</v>
      </c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80"/>
      <c r="U129">
        <v>1409</v>
      </c>
      <c r="V129"/>
      <c r="W129"/>
    </row>
    <row r="130" spans="1:25" ht="15.75">
      <c r="A130" s="379"/>
      <c r="B130" s="579" t="s">
        <v>1137</v>
      </c>
      <c r="C130" s="580">
        <v>770</v>
      </c>
      <c r="D130" s="581">
        <v>437</v>
      </c>
      <c r="E130" s="581"/>
      <c r="F130" s="581">
        <v>214</v>
      </c>
      <c r="G130" s="581">
        <v>65</v>
      </c>
      <c r="H130" s="581"/>
      <c r="I130" s="581">
        <v>1486</v>
      </c>
      <c r="J130" s="581"/>
      <c r="K130" s="581"/>
      <c r="L130" s="581"/>
      <c r="M130" s="581"/>
      <c r="N130" s="581"/>
      <c r="O130" s="581"/>
      <c r="P130" s="581"/>
      <c r="Q130" s="581"/>
      <c r="R130" s="581"/>
      <c r="S130" s="581"/>
      <c r="T130" s="582"/>
      <c r="U130">
        <v>1486</v>
      </c>
      <c r="V130"/>
      <c r="W130"/>
    </row>
    <row r="131" spans="1:25" s="386" customFormat="1" ht="15.75">
      <c r="A131" s="379"/>
      <c r="B131" s="681" t="s">
        <v>1139</v>
      </c>
      <c r="C131" s="383">
        <v>4.9046321525885561E-2</v>
      </c>
      <c r="D131" s="384">
        <v>0.18108108108108109</v>
      </c>
      <c r="E131" s="384">
        <v>0</v>
      </c>
      <c r="F131" s="384">
        <v>-0.16731517509727625</v>
      </c>
      <c r="G131" s="384">
        <v>0.35416666666666669</v>
      </c>
      <c r="H131" s="384">
        <v>0</v>
      </c>
      <c r="I131" s="384">
        <v>5.4648687012065295E-2</v>
      </c>
      <c r="J131" s="384">
        <v>0</v>
      </c>
      <c r="K131" s="384">
        <v>0</v>
      </c>
      <c r="L131" s="384">
        <v>0</v>
      </c>
      <c r="M131" s="384">
        <v>0</v>
      </c>
      <c r="N131" s="384">
        <v>0</v>
      </c>
      <c r="O131" s="384">
        <v>0</v>
      </c>
      <c r="P131" s="384">
        <v>0</v>
      </c>
      <c r="Q131" s="384">
        <v>0</v>
      </c>
      <c r="R131" s="384">
        <v>0</v>
      </c>
      <c r="S131" s="384">
        <v>0</v>
      </c>
      <c r="T131" s="385">
        <v>0</v>
      </c>
      <c r="U131">
        <v>5.4648687012065295E-2</v>
      </c>
      <c r="V131"/>
      <c r="W131"/>
      <c r="X131" s="3"/>
      <c r="Y131" s="3"/>
    </row>
    <row r="132" spans="1:25" ht="15.75">
      <c r="A132" s="379"/>
      <c r="B132" s="677" t="s">
        <v>1141</v>
      </c>
      <c r="C132" s="678"/>
      <c r="D132" s="679"/>
      <c r="E132" s="679"/>
      <c r="F132" s="679"/>
      <c r="G132" s="679"/>
      <c r="H132" s="679"/>
      <c r="I132" s="679"/>
      <c r="J132" s="679"/>
      <c r="K132" s="679"/>
      <c r="L132" s="679"/>
      <c r="M132" s="679"/>
      <c r="N132" s="679"/>
      <c r="O132" s="679"/>
      <c r="P132" s="679"/>
      <c r="Q132" s="679"/>
      <c r="R132" s="679"/>
      <c r="S132" s="679"/>
      <c r="T132" s="680"/>
      <c r="U132"/>
      <c r="V132"/>
      <c r="W132"/>
    </row>
    <row r="133" spans="1:25" ht="15.75">
      <c r="A133" s="379"/>
      <c r="B133" s="579" t="s">
        <v>1143</v>
      </c>
      <c r="C133" s="580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  <c r="Q133" s="581"/>
      <c r="R133" s="581"/>
      <c r="S133" s="581"/>
      <c r="T133" s="582"/>
      <c r="U133"/>
      <c r="V133"/>
      <c r="W133"/>
    </row>
    <row r="134" spans="1:25" s="386" customFormat="1" ht="15.75">
      <c r="A134" s="379"/>
      <c r="B134" s="681" t="s">
        <v>1145</v>
      </c>
      <c r="C134" s="383">
        <v>0</v>
      </c>
      <c r="D134" s="384">
        <v>0</v>
      </c>
      <c r="E134" s="384">
        <v>0</v>
      </c>
      <c r="F134" s="384">
        <v>0</v>
      </c>
      <c r="G134" s="384">
        <v>0</v>
      </c>
      <c r="H134" s="384">
        <v>0</v>
      </c>
      <c r="I134" s="384">
        <v>0</v>
      </c>
      <c r="J134" s="384">
        <v>0</v>
      </c>
      <c r="K134" s="384">
        <v>0</v>
      </c>
      <c r="L134" s="384">
        <v>0</v>
      </c>
      <c r="M134" s="384">
        <v>0</v>
      </c>
      <c r="N134" s="384">
        <v>0</v>
      </c>
      <c r="O134" s="384">
        <v>0</v>
      </c>
      <c r="P134" s="384">
        <v>0</v>
      </c>
      <c r="Q134" s="384">
        <v>0</v>
      </c>
      <c r="R134" s="384">
        <v>0</v>
      </c>
      <c r="S134" s="384">
        <v>0</v>
      </c>
      <c r="T134" s="385">
        <v>0</v>
      </c>
      <c r="U134">
        <v>0</v>
      </c>
      <c r="V134"/>
      <c r="W134"/>
      <c r="X134" s="3"/>
      <c r="Y134" s="3"/>
    </row>
    <row r="135" spans="1:25" ht="15.75">
      <c r="A135" s="379"/>
      <c r="B135" s="677" t="s">
        <v>1147</v>
      </c>
      <c r="C135" s="678"/>
      <c r="D135" s="679"/>
      <c r="E135" s="679"/>
      <c r="F135" s="679"/>
      <c r="G135" s="679"/>
      <c r="H135" s="679"/>
      <c r="I135" s="679"/>
      <c r="J135" s="679"/>
      <c r="K135" s="679"/>
      <c r="L135" s="679"/>
      <c r="M135" s="679"/>
      <c r="N135" s="679"/>
      <c r="O135" s="679"/>
      <c r="P135" s="679"/>
      <c r="Q135" s="679"/>
      <c r="R135" s="679"/>
      <c r="S135" s="679"/>
      <c r="T135" s="680"/>
      <c r="U135"/>
      <c r="V135"/>
      <c r="W135"/>
    </row>
    <row r="136" spans="1:25" ht="15.75">
      <c r="A136" s="379"/>
      <c r="B136" s="579" t="s">
        <v>1149</v>
      </c>
      <c r="C136" s="580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  <c r="Q136" s="581"/>
      <c r="R136" s="581"/>
      <c r="S136" s="581"/>
      <c r="T136" s="582"/>
      <c r="U136"/>
      <c r="V136"/>
      <c r="W136"/>
    </row>
    <row r="137" spans="1:25" s="386" customFormat="1" ht="15.75">
      <c r="A137" s="379"/>
      <c r="B137" s="681" t="s">
        <v>1151</v>
      </c>
      <c r="C137" s="383">
        <v>0</v>
      </c>
      <c r="D137" s="384">
        <v>0</v>
      </c>
      <c r="E137" s="384">
        <v>0</v>
      </c>
      <c r="F137" s="384">
        <v>0</v>
      </c>
      <c r="G137" s="384">
        <v>0</v>
      </c>
      <c r="H137" s="384">
        <v>0</v>
      </c>
      <c r="I137" s="384">
        <v>0</v>
      </c>
      <c r="J137" s="384">
        <v>0</v>
      </c>
      <c r="K137" s="384">
        <v>0</v>
      </c>
      <c r="L137" s="384">
        <v>0</v>
      </c>
      <c r="M137" s="384">
        <v>0</v>
      </c>
      <c r="N137" s="384">
        <v>0</v>
      </c>
      <c r="O137" s="384">
        <v>0</v>
      </c>
      <c r="P137" s="384">
        <v>0</v>
      </c>
      <c r="Q137" s="384">
        <v>0</v>
      </c>
      <c r="R137" s="384">
        <v>0</v>
      </c>
      <c r="S137" s="384">
        <v>0</v>
      </c>
      <c r="T137" s="385">
        <v>0</v>
      </c>
      <c r="U137">
        <v>0</v>
      </c>
      <c r="V137"/>
      <c r="W137"/>
      <c r="X137" s="3"/>
      <c r="Y137" s="3"/>
    </row>
    <row r="138" spans="1:25" ht="15.75">
      <c r="A138" s="379"/>
      <c r="B138" s="677" t="s">
        <v>1155</v>
      </c>
      <c r="C138" s="678">
        <v>734</v>
      </c>
      <c r="D138" s="679">
        <v>370</v>
      </c>
      <c r="E138" s="679"/>
      <c r="F138" s="679">
        <v>257</v>
      </c>
      <c r="G138" s="679">
        <v>48</v>
      </c>
      <c r="H138" s="679"/>
      <c r="I138" s="679">
        <v>1409</v>
      </c>
      <c r="J138" s="679"/>
      <c r="K138" s="679">
        <v>0</v>
      </c>
      <c r="L138" s="679">
        <v>0</v>
      </c>
      <c r="M138" s="679">
        <v>0</v>
      </c>
      <c r="N138" s="679">
        <v>0</v>
      </c>
      <c r="O138" s="679"/>
      <c r="P138" s="679"/>
      <c r="Q138" s="679"/>
      <c r="R138" s="679"/>
      <c r="S138" s="679">
        <v>0</v>
      </c>
      <c r="T138" s="680">
        <v>0</v>
      </c>
      <c r="U138">
        <v>1409</v>
      </c>
      <c r="V138"/>
      <c r="W138"/>
    </row>
    <row r="139" spans="1:25" ht="15.75">
      <c r="A139" s="379"/>
      <c r="B139" s="579" t="s">
        <v>1153</v>
      </c>
      <c r="C139" s="580">
        <v>770</v>
      </c>
      <c r="D139" s="581">
        <v>437</v>
      </c>
      <c r="E139" s="581"/>
      <c r="F139" s="581">
        <v>214</v>
      </c>
      <c r="G139" s="581">
        <v>65</v>
      </c>
      <c r="H139" s="581"/>
      <c r="I139" s="581">
        <v>1486</v>
      </c>
      <c r="J139" s="581"/>
      <c r="K139" s="581">
        <v>0</v>
      </c>
      <c r="L139" s="581">
        <v>0</v>
      </c>
      <c r="M139" s="581">
        <v>0</v>
      </c>
      <c r="N139" s="581">
        <v>0</v>
      </c>
      <c r="O139" s="581"/>
      <c r="P139" s="581"/>
      <c r="Q139" s="581"/>
      <c r="R139" s="581"/>
      <c r="S139" s="581">
        <v>0</v>
      </c>
      <c r="T139" s="582">
        <v>0</v>
      </c>
      <c r="U139">
        <v>1486</v>
      </c>
      <c r="V139"/>
      <c r="W139"/>
    </row>
    <row r="140" spans="1:25" s="386" customFormat="1" ht="15.75">
      <c r="A140" s="387"/>
      <c r="B140" s="681" t="s">
        <v>1157</v>
      </c>
      <c r="C140" s="383">
        <v>4.9046321525885561E-2</v>
      </c>
      <c r="D140" s="384">
        <v>0.18108108108108109</v>
      </c>
      <c r="E140" s="384">
        <v>0</v>
      </c>
      <c r="F140" s="384">
        <v>-0.16731517509727625</v>
      </c>
      <c r="G140" s="384">
        <v>0.35416666666666669</v>
      </c>
      <c r="H140" s="384">
        <v>0</v>
      </c>
      <c r="I140" s="384">
        <v>5.4648687012065295E-2</v>
      </c>
      <c r="J140" s="384">
        <v>0</v>
      </c>
      <c r="K140" s="384">
        <v>0</v>
      </c>
      <c r="L140" s="384">
        <v>0</v>
      </c>
      <c r="M140" s="384">
        <v>0</v>
      </c>
      <c r="N140" s="384">
        <v>0</v>
      </c>
      <c r="O140" s="384">
        <v>0</v>
      </c>
      <c r="P140" s="384">
        <v>0</v>
      </c>
      <c r="Q140" s="384">
        <v>0</v>
      </c>
      <c r="R140" s="384">
        <v>0</v>
      </c>
      <c r="S140" s="384">
        <v>0</v>
      </c>
      <c r="T140" s="385">
        <v>0</v>
      </c>
      <c r="U140">
        <v>5.4648687012065295E-2</v>
      </c>
      <c r="V140"/>
      <c r="W140"/>
      <c r="X140" s="3"/>
      <c r="Y140" s="3"/>
    </row>
    <row r="141" spans="1:25" ht="15.75">
      <c r="A141" s="673" t="s">
        <v>984</v>
      </c>
      <c r="B141" s="677" t="s">
        <v>1048</v>
      </c>
      <c r="C141" s="678">
        <v>8666</v>
      </c>
      <c r="D141" s="679">
        <v>5763</v>
      </c>
      <c r="E141" s="679">
        <v>12114</v>
      </c>
      <c r="F141" s="679">
        <v>775</v>
      </c>
      <c r="G141" s="679">
        <v>1554</v>
      </c>
      <c r="H141" s="679">
        <v>1093</v>
      </c>
      <c r="I141" s="679">
        <v>29965</v>
      </c>
      <c r="J141" s="679"/>
      <c r="K141" s="679"/>
      <c r="L141" s="679"/>
      <c r="M141" s="679"/>
      <c r="N141" s="679"/>
      <c r="O141" s="679"/>
      <c r="P141" s="679"/>
      <c r="Q141" s="679"/>
      <c r="R141" s="679"/>
      <c r="S141" s="679">
        <v>119</v>
      </c>
      <c r="T141" s="680">
        <v>119</v>
      </c>
      <c r="U141">
        <v>30084</v>
      </c>
      <c r="V141"/>
      <c r="W141"/>
    </row>
    <row r="142" spans="1:25" ht="15.75">
      <c r="A142" s="379"/>
      <c r="B142" s="579" t="s">
        <v>1049</v>
      </c>
      <c r="C142" s="580">
        <v>8859</v>
      </c>
      <c r="D142" s="581">
        <v>5896</v>
      </c>
      <c r="E142" s="581">
        <v>12626</v>
      </c>
      <c r="F142" s="581">
        <v>773</v>
      </c>
      <c r="G142" s="581">
        <v>1751</v>
      </c>
      <c r="H142" s="581">
        <v>1000</v>
      </c>
      <c r="I142" s="581">
        <v>30905</v>
      </c>
      <c r="J142" s="581"/>
      <c r="K142" s="581"/>
      <c r="L142" s="581"/>
      <c r="M142" s="581"/>
      <c r="N142" s="581"/>
      <c r="O142" s="581"/>
      <c r="P142" s="581"/>
      <c r="Q142" s="581"/>
      <c r="R142" s="581"/>
      <c r="S142" s="581">
        <v>150</v>
      </c>
      <c r="T142" s="582">
        <v>150</v>
      </c>
      <c r="U142">
        <v>31055</v>
      </c>
      <c r="V142"/>
      <c r="W142"/>
    </row>
    <row r="143" spans="1:25" s="386" customFormat="1" ht="15.75">
      <c r="A143" s="379"/>
      <c r="B143" s="681" t="s">
        <v>1050</v>
      </c>
      <c r="C143" s="383">
        <v>2.227094391876298E-2</v>
      </c>
      <c r="D143" s="384">
        <v>2.3078257851813291E-2</v>
      </c>
      <c r="E143" s="384">
        <v>4.2265147762918939E-2</v>
      </c>
      <c r="F143" s="384">
        <v>-2.5806451612903226E-3</v>
      </c>
      <c r="G143" s="384">
        <v>0.12676962676962678</v>
      </c>
      <c r="H143" s="384">
        <v>-8.5086916742909427E-2</v>
      </c>
      <c r="I143" s="384">
        <v>3.1369931586851328E-2</v>
      </c>
      <c r="J143" s="384">
        <v>0</v>
      </c>
      <c r="K143" s="384">
        <v>0</v>
      </c>
      <c r="L143" s="384">
        <v>0</v>
      </c>
      <c r="M143" s="384">
        <v>0</v>
      </c>
      <c r="N143" s="384">
        <v>0</v>
      </c>
      <c r="O143" s="384">
        <v>0</v>
      </c>
      <c r="P143" s="384">
        <v>0</v>
      </c>
      <c r="Q143" s="384">
        <v>0</v>
      </c>
      <c r="R143" s="384">
        <v>0</v>
      </c>
      <c r="S143" s="384">
        <v>0.26050420168067229</v>
      </c>
      <c r="T143" s="385">
        <v>0.26050420168067229</v>
      </c>
      <c r="U143">
        <v>3.227629304613748E-2</v>
      </c>
      <c r="V143"/>
      <c r="W143"/>
      <c r="X143" s="3"/>
      <c r="Y143" s="3"/>
    </row>
    <row r="144" spans="1:25" ht="15.75">
      <c r="A144" s="379"/>
      <c r="B144" s="677" t="s">
        <v>1135</v>
      </c>
      <c r="C144" s="678"/>
      <c r="D144" s="679"/>
      <c r="E144" s="679"/>
      <c r="F144" s="679"/>
      <c r="G144" s="679"/>
      <c r="H144" s="679"/>
      <c r="I144" s="679"/>
      <c r="J144" s="679"/>
      <c r="K144" s="679"/>
      <c r="L144" s="679"/>
      <c r="M144" s="679"/>
      <c r="N144" s="679"/>
      <c r="O144" s="679"/>
      <c r="P144" s="679"/>
      <c r="Q144" s="679"/>
      <c r="R144" s="679"/>
      <c r="S144" s="679"/>
      <c r="T144" s="680"/>
      <c r="U144"/>
      <c r="V144"/>
      <c r="W144"/>
    </row>
    <row r="145" spans="1:25" ht="15.75">
      <c r="A145" s="379"/>
      <c r="B145" s="579" t="s">
        <v>1137</v>
      </c>
      <c r="C145" s="580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  <c r="Q145" s="581"/>
      <c r="R145" s="581"/>
      <c r="S145" s="581"/>
      <c r="T145" s="582"/>
      <c r="U145"/>
      <c r="V145"/>
      <c r="W145"/>
    </row>
    <row r="146" spans="1:25" s="386" customFormat="1" ht="15.75">
      <c r="A146" s="379"/>
      <c r="B146" s="681" t="s">
        <v>1139</v>
      </c>
      <c r="C146" s="383">
        <v>0</v>
      </c>
      <c r="D146" s="384">
        <v>0</v>
      </c>
      <c r="E146" s="384">
        <v>0</v>
      </c>
      <c r="F146" s="384">
        <v>0</v>
      </c>
      <c r="G146" s="384">
        <v>0</v>
      </c>
      <c r="H146" s="384">
        <v>0</v>
      </c>
      <c r="I146" s="384">
        <v>0</v>
      </c>
      <c r="J146" s="384">
        <v>0</v>
      </c>
      <c r="K146" s="384">
        <v>0</v>
      </c>
      <c r="L146" s="384">
        <v>0</v>
      </c>
      <c r="M146" s="384">
        <v>0</v>
      </c>
      <c r="N146" s="384">
        <v>0</v>
      </c>
      <c r="O146" s="384">
        <v>0</v>
      </c>
      <c r="P146" s="384">
        <v>0</v>
      </c>
      <c r="Q146" s="384">
        <v>0</v>
      </c>
      <c r="R146" s="384">
        <v>0</v>
      </c>
      <c r="S146" s="384">
        <v>0</v>
      </c>
      <c r="T146" s="385">
        <v>0</v>
      </c>
      <c r="U146">
        <v>0</v>
      </c>
      <c r="V146"/>
      <c r="W146"/>
      <c r="X146" s="3"/>
      <c r="Y146" s="3"/>
    </row>
    <row r="147" spans="1:25" ht="15.75">
      <c r="A147" s="379"/>
      <c r="B147" s="677" t="s">
        <v>1141</v>
      </c>
      <c r="C147" s="678">
        <v>264</v>
      </c>
      <c r="D147" s="679">
        <v>743</v>
      </c>
      <c r="E147" s="679">
        <v>1495</v>
      </c>
      <c r="F147" s="679">
        <v>77</v>
      </c>
      <c r="G147" s="679">
        <v>132</v>
      </c>
      <c r="H147" s="679">
        <v>62</v>
      </c>
      <c r="I147" s="679">
        <v>2773</v>
      </c>
      <c r="J147" s="679"/>
      <c r="K147" s="679"/>
      <c r="L147" s="679"/>
      <c r="M147" s="679"/>
      <c r="N147" s="679"/>
      <c r="O147" s="679"/>
      <c r="P147" s="679"/>
      <c r="Q147" s="679"/>
      <c r="R147" s="679"/>
      <c r="S147" s="679"/>
      <c r="T147" s="680"/>
      <c r="U147">
        <v>2773</v>
      </c>
      <c r="V147"/>
      <c r="W147"/>
    </row>
    <row r="148" spans="1:25" ht="15.75">
      <c r="A148" s="379"/>
      <c r="B148" s="579" t="s">
        <v>1143</v>
      </c>
      <c r="C148" s="580">
        <v>348</v>
      </c>
      <c r="D148" s="581">
        <v>776</v>
      </c>
      <c r="E148" s="581">
        <v>1627</v>
      </c>
      <c r="F148" s="581">
        <v>106</v>
      </c>
      <c r="G148" s="581">
        <v>133</v>
      </c>
      <c r="H148" s="581">
        <v>79</v>
      </c>
      <c r="I148" s="581">
        <v>3069</v>
      </c>
      <c r="J148" s="581"/>
      <c r="K148" s="581"/>
      <c r="L148" s="581"/>
      <c r="M148" s="581"/>
      <c r="N148" s="581"/>
      <c r="O148" s="581"/>
      <c r="P148" s="581"/>
      <c r="Q148" s="581"/>
      <c r="R148" s="581"/>
      <c r="S148" s="581"/>
      <c r="T148" s="582"/>
      <c r="U148">
        <v>3069</v>
      </c>
      <c r="V148"/>
      <c r="W148"/>
    </row>
    <row r="149" spans="1:25" s="386" customFormat="1" ht="15.75">
      <c r="A149" s="379"/>
      <c r="B149" s="681" t="s">
        <v>1145</v>
      </c>
      <c r="C149" s="383">
        <v>0.31818181818181818</v>
      </c>
      <c r="D149" s="384">
        <v>4.4414535666218037E-2</v>
      </c>
      <c r="E149" s="384">
        <v>8.8294314381270902E-2</v>
      </c>
      <c r="F149" s="384">
        <v>0.37662337662337664</v>
      </c>
      <c r="G149" s="384">
        <v>7.575757575757576E-3</v>
      </c>
      <c r="H149" s="384">
        <v>0.27419354838709675</v>
      </c>
      <c r="I149" s="384">
        <v>0.10674359899026326</v>
      </c>
      <c r="J149" s="384">
        <v>0</v>
      </c>
      <c r="K149" s="384">
        <v>0</v>
      </c>
      <c r="L149" s="384">
        <v>0</v>
      </c>
      <c r="M149" s="384">
        <v>0</v>
      </c>
      <c r="N149" s="384">
        <v>0</v>
      </c>
      <c r="O149" s="384">
        <v>0</v>
      </c>
      <c r="P149" s="384">
        <v>0</v>
      </c>
      <c r="Q149" s="384">
        <v>0</v>
      </c>
      <c r="R149" s="384">
        <v>0</v>
      </c>
      <c r="S149" s="384">
        <v>0</v>
      </c>
      <c r="T149" s="385">
        <v>0</v>
      </c>
      <c r="U149">
        <v>0.10674359899026326</v>
      </c>
      <c r="V149"/>
      <c r="W149"/>
      <c r="X149" s="3"/>
      <c r="Y149" s="3"/>
    </row>
    <row r="150" spans="1:25" ht="15.75">
      <c r="A150" s="379"/>
      <c r="B150" s="677" t="s">
        <v>1147</v>
      </c>
      <c r="C150" s="678"/>
      <c r="D150" s="679"/>
      <c r="E150" s="679"/>
      <c r="F150" s="679"/>
      <c r="G150" s="679"/>
      <c r="H150" s="679"/>
      <c r="I150" s="679"/>
      <c r="J150" s="679"/>
      <c r="K150" s="679"/>
      <c r="L150" s="679"/>
      <c r="M150" s="679"/>
      <c r="N150" s="679"/>
      <c r="O150" s="679"/>
      <c r="P150" s="679"/>
      <c r="Q150" s="679"/>
      <c r="R150" s="679"/>
      <c r="S150" s="679"/>
      <c r="T150" s="680"/>
      <c r="U150"/>
      <c r="V150"/>
      <c r="W150"/>
    </row>
    <row r="151" spans="1:25" ht="15.75">
      <c r="A151" s="379"/>
      <c r="B151" s="579" t="s">
        <v>1149</v>
      </c>
      <c r="C151" s="580"/>
      <c r="D151" s="581"/>
      <c r="E151" s="581"/>
      <c r="F151" s="581"/>
      <c r="G151" s="581"/>
      <c r="H151" s="581"/>
      <c r="I151" s="581"/>
      <c r="J151" s="581"/>
      <c r="K151" s="581"/>
      <c r="L151" s="581"/>
      <c r="M151" s="581"/>
      <c r="N151" s="581"/>
      <c r="O151" s="581"/>
      <c r="P151" s="581"/>
      <c r="Q151" s="581"/>
      <c r="R151" s="581"/>
      <c r="S151" s="581"/>
      <c r="T151" s="582"/>
      <c r="U151"/>
      <c r="V151"/>
      <c r="W151"/>
    </row>
    <row r="152" spans="1:25" s="386" customFormat="1" ht="15.75">
      <c r="A152" s="379"/>
      <c r="B152" s="681" t="s">
        <v>1151</v>
      </c>
      <c r="C152" s="383">
        <v>0</v>
      </c>
      <c r="D152" s="384">
        <v>0</v>
      </c>
      <c r="E152" s="384">
        <v>0</v>
      </c>
      <c r="F152" s="384">
        <v>0</v>
      </c>
      <c r="G152" s="384">
        <v>0</v>
      </c>
      <c r="H152" s="384">
        <v>0</v>
      </c>
      <c r="I152" s="384">
        <v>0</v>
      </c>
      <c r="J152" s="384">
        <v>0</v>
      </c>
      <c r="K152" s="384">
        <v>0</v>
      </c>
      <c r="L152" s="384">
        <v>0</v>
      </c>
      <c r="M152" s="384">
        <v>0</v>
      </c>
      <c r="N152" s="384">
        <v>0</v>
      </c>
      <c r="O152" s="384">
        <v>0</v>
      </c>
      <c r="P152" s="384">
        <v>0</v>
      </c>
      <c r="Q152" s="384">
        <v>0</v>
      </c>
      <c r="R152" s="384">
        <v>0</v>
      </c>
      <c r="S152" s="384">
        <v>0</v>
      </c>
      <c r="T152" s="385">
        <v>0</v>
      </c>
      <c r="U152">
        <v>0</v>
      </c>
      <c r="V152"/>
      <c r="W152"/>
      <c r="X152" s="3"/>
      <c r="Y152" s="3"/>
    </row>
    <row r="153" spans="1:25" ht="15.75">
      <c r="A153" s="379"/>
      <c r="B153" s="677" t="s">
        <v>1155</v>
      </c>
      <c r="C153" s="678">
        <v>264</v>
      </c>
      <c r="D153" s="679">
        <v>743</v>
      </c>
      <c r="E153" s="679">
        <v>1495</v>
      </c>
      <c r="F153" s="679">
        <v>77</v>
      </c>
      <c r="G153" s="679">
        <v>132</v>
      </c>
      <c r="H153" s="679">
        <v>62</v>
      </c>
      <c r="I153" s="679">
        <v>2773</v>
      </c>
      <c r="J153" s="679"/>
      <c r="K153" s="679">
        <v>0</v>
      </c>
      <c r="L153" s="679">
        <v>0</v>
      </c>
      <c r="M153" s="679">
        <v>0</v>
      </c>
      <c r="N153" s="679">
        <v>0</v>
      </c>
      <c r="O153" s="679"/>
      <c r="P153" s="679"/>
      <c r="Q153" s="679"/>
      <c r="R153" s="679"/>
      <c r="S153" s="679">
        <v>0</v>
      </c>
      <c r="T153" s="680">
        <v>0</v>
      </c>
      <c r="U153">
        <v>2773</v>
      </c>
      <c r="V153"/>
      <c r="W153"/>
    </row>
    <row r="154" spans="1:25" ht="15.75">
      <c r="A154" s="379"/>
      <c r="B154" s="579" t="s">
        <v>1153</v>
      </c>
      <c r="C154" s="580">
        <v>348</v>
      </c>
      <c r="D154" s="581">
        <v>776</v>
      </c>
      <c r="E154" s="581">
        <v>1627</v>
      </c>
      <c r="F154" s="581">
        <v>106</v>
      </c>
      <c r="G154" s="581">
        <v>133</v>
      </c>
      <c r="H154" s="581">
        <v>79</v>
      </c>
      <c r="I154" s="581">
        <v>3069</v>
      </c>
      <c r="J154" s="581"/>
      <c r="K154" s="581">
        <v>0</v>
      </c>
      <c r="L154" s="581">
        <v>0</v>
      </c>
      <c r="M154" s="581">
        <v>0</v>
      </c>
      <c r="N154" s="581">
        <v>0</v>
      </c>
      <c r="O154" s="581"/>
      <c r="P154" s="581"/>
      <c r="Q154" s="581"/>
      <c r="R154" s="581"/>
      <c r="S154" s="581">
        <v>0</v>
      </c>
      <c r="T154" s="582">
        <v>0</v>
      </c>
      <c r="U154">
        <v>3069</v>
      </c>
      <c r="V154"/>
      <c r="W154"/>
    </row>
    <row r="155" spans="1:25" s="386" customFormat="1" ht="15.75">
      <c r="A155" s="387"/>
      <c r="B155" s="681" t="s">
        <v>1157</v>
      </c>
      <c r="C155" s="383">
        <v>0.31818181818181818</v>
      </c>
      <c r="D155" s="384">
        <v>4.4414535666218037E-2</v>
      </c>
      <c r="E155" s="384">
        <v>8.8294314381270902E-2</v>
      </c>
      <c r="F155" s="384">
        <v>0.37662337662337664</v>
      </c>
      <c r="G155" s="384">
        <v>7.575757575757576E-3</v>
      </c>
      <c r="H155" s="384">
        <v>0.27419354838709675</v>
      </c>
      <c r="I155" s="384">
        <v>0.10674359899026326</v>
      </c>
      <c r="J155" s="384">
        <v>0</v>
      </c>
      <c r="K155" s="384">
        <v>0</v>
      </c>
      <c r="L155" s="384">
        <v>0</v>
      </c>
      <c r="M155" s="384">
        <v>0</v>
      </c>
      <c r="N155" s="384">
        <v>0</v>
      </c>
      <c r="O155" s="384">
        <v>0</v>
      </c>
      <c r="P155" s="384">
        <v>0</v>
      </c>
      <c r="Q155" s="384">
        <v>0</v>
      </c>
      <c r="R155" s="384">
        <v>0</v>
      </c>
      <c r="S155" s="384">
        <v>0</v>
      </c>
      <c r="T155" s="385">
        <v>0</v>
      </c>
      <c r="U155">
        <v>0.10674359899026326</v>
      </c>
      <c r="V155"/>
      <c r="W155"/>
      <c r="X155" s="3"/>
      <c r="Y155" s="3"/>
    </row>
    <row r="156" spans="1:25" ht="15.75">
      <c r="A156" s="673" t="s">
        <v>31</v>
      </c>
      <c r="B156" s="677" t="s">
        <v>1048</v>
      </c>
      <c r="C156" s="678">
        <v>8237</v>
      </c>
      <c r="D156" s="679"/>
      <c r="E156" s="679">
        <v>3725</v>
      </c>
      <c r="F156" s="679"/>
      <c r="G156" s="679">
        <v>3031</v>
      </c>
      <c r="H156" s="679">
        <v>560</v>
      </c>
      <c r="I156" s="679">
        <v>15553</v>
      </c>
      <c r="J156" s="679">
        <v>57</v>
      </c>
      <c r="K156" s="679"/>
      <c r="L156" s="679"/>
      <c r="M156" s="679"/>
      <c r="N156" s="679">
        <v>57</v>
      </c>
      <c r="O156" s="679"/>
      <c r="P156" s="679"/>
      <c r="Q156" s="679"/>
      <c r="R156" s="679"/>
      <c r="S156" s="679"/>
      <c r="T156" s="680"/>
      <c r="U156">
        <v>15610</v>
      </c>
      <c r="V156"/>
      <c r="W156"/>
    </row>
    <row r="157" spans="1:25" ht="15.75">
      <c r="A157" s="379"/>
      <c r="B157" s="579" t="s">
        <v>1049</v>
      </c>
      <c r="C157" s="580">
        <v>8309</v>
      </c>
      <c r="D157" s="581"/>
      <c r="E157" s="581">
        <v>3856</v>
      </c>
      <c r="F157" s="581"/>
      <c r="G157" s="581">
        <v>3121</v>
      </c>
      <c r="H157" s="581">
        <v>588</v>
      </c>
      <c r="I157" s="581">
        <v>15874</v>
      </c>
      <c r="J157" s="581">
        <v>43</v>
      </c>
      <c r="K157" s="581"/>
      <c r="L157" s="581">
        <v>3</v>
      </c>
      <c r="M157" s="581"/>
      <c r="N157" s="581">
        <v>46</v>
      </c>
      <c r="O157" s="581"/>
      <c r="P157" s="581"/>
      <c r="Q157" s="581"/>
      <c r="R157" s="581"/>
      <c r="S157" s="581"/>
      <c r="T157" s="582"/>
      <c r="U157">
        <v>15920</v>
      </c>
      <c r="V157"/>
      <c r="W157"/>
    </row>
    <row r="158" spans="1:25" s="386" customFormat="1" ht="15.75">
      <c r="A158" s="379"/>
      <c r="B158" s="681" t="s">
        <v>1050</v>
      </c>
      <c r="C158" s="383">
        <v>8.741046497511229E-3</v>
      </c>
      <c r="D158" s="384">
        <v>0</v>
      </c>
      <c r="E158" s="384">
        <v>3.5167785234899329E-2</v>
      </c>
      <c r="F158" s="384">
        <v>0</v>
      </c>
      <c r="G158" s="384">
        <v>2.9693170570768722E-2</v>
      </c>
      <c r="H158" s="384">
        <v>0.05</v>
      </c>
      <c r="I158" s="384">
        <v>2.0639104995820744E-2</v>
      </c>
      <c r="J158" s="384">
        <v>-0.24561403508771928</v>
      </c>
      <c r="K158" s="384">
        <v>0</v>
      </c>
      <c r="L158" s="384">
        <v>0</v>
      </c>
      <c r="M158" s="384">
        <v>0</v>
      </c>
      <c r="N158" s="384">
        <v>-0.19298245614035087</v>
      </c>
      <c r="O158" s="384">
        <v>0</v>
      </c>
      <c r="P158" s="384">
        <v>0</v>
      </c>
      <c r="Q158" s="384">
        <v>0</v>
      </c>
      <c r="R158" s="384">
        <v>0</v>
      </c>
      <c r="S158" s="384">
        <v>0</v>
      </c>
      <c r="T158" s="385">
        <v>0</v>
      </c>
      <c r="U158">
        <v>1.9859064702114029E-2</v>
      </c>
      <c r="V158"/>
      <c r="W158"/>
      <c r="X158" s="3"/>
      <c r="Y158" s="3"/>
    </row>
    <row r="159" spans="1:25" ht="15.75">
      <c r="A159" s="379"/>
      <c r="B159" s="677" t="s">
        <v>1135</v>
      </c>
      <c r="C159" s="678">
        <v>486</v>
      </c>
      <c r="D159" s="679"/>
      <c r="E159" s="679">
        <v>675</v>
      </c>
      <c r="F159" s="679"/>
      <c r="G159" s="679">
        <v>522</v>
      </c>
      <c r="H159" s="679">
        <v>49</v>
      </c>
      <c r="I159" s="679">
        <v>1732</v>
      </c>
      <c r="J159" s="679"/>
      <c r="K159" s="679"/>
      <c r="L159" s="679"/>
      <c r="M159" s="679"/>
      <c r="N159" s="679"/>
      <c r="O159" s="679"/>
      <c r="P159" s="679"/>
      <c r="Q159" s="679"/>
      <c r="R159" s="679"/>
      <c r="S159" s="679"/>
      <c r="T159" s="680"/>
      <c r="U159">
        <v>1732</v>
      </c>
      <c r="V159"/>
      <c r="W159"/>
    </row>
    <row r="160" spans="1:25" ht="15.75">
      <c r="A160" s="379"/>
      <c r="B160" s="579" t="s">
        <v>1137</v>
      </c>
      <c r="C160" s="580">
        <v>452</v>
      </c>
      <c r="D160" s="581"/>
      <c r="E160" s="581">
        <v>692</v>
      </c>
      <c r="F160" s="581"/>
      <c r="G160" s="581">
        <v>514</v>
      </c>
      <c r="H160" s="581">
        <v>52</v>
      </c>
      <c r="I160" s="581">
        <v>1710</v>
      </c>
      <c r="J160" s="581"/>
      <c r="K160" s="581"/>
      <c r="L160" s="581"/>
      <c r="M160" s="581"/>
      <c r="N160" s="581"/>
      <c r="O160" s="581"/>
      <c r="P160" s="581"/>
      <c r="Q160" s="581"/>
      <c r="R160" s="581"/>
      <c r="S160" s="581"/>
      <c r="T160" s="582"/>
      <c r="U160">
        <v>1710</v>
      </c>
      <c r="V160"/>
      <c r="W160"/>
    </row>
    <row r="161" spans="1:25" s="386" customFormat="1" ht="15.75">
      <c r="A161" s="379"/>
      <c r="B161" s="681" t="s">
        <v>1139</v>
      </c>
      <c r="C161" s="383">
        <v>-6.9958847736625515E-2</v>
      </c>
      <c r="D161" s="384">
        <v>0</v>
      </c>
      <c r="E161" s="384">
        <v>2.5185185185185185E-2</v>
      </c>
      <c r="F161" s="384">
        <v>0</v>
      </c>
      <c r="G161" s="384">
        <v>-1.532567049808429E-2</v>
      </c>
      <c r="H161" s="384">
        <v>6.1224489795918366E-2</v>
      </c>
      <c r="I161" s="384">
        <v>-1.2702078521939953E-2</v>
      </c>
      <c r="J161" s="384">
        <v>0</v>
      </c>
      <c r="K161" s="384">
        <v>0</v>
      </c>
      <c r="L161" s="384">
        <v>0</v>
      </c>
      <c r="M161" s="384">
        <v>0</v>
      </c>
      <c r="N161" s="384">
        <v>0</v>
      </c>
      <c r="O161" s="384">
        <v>0</v>
      </c>
      <c r="P161" s="384">
        <v>0</v>
      </c>
      <c r="Q161" s="384">
        <v>0</v>
      </c>
      <c r="R161" s="384">
        <v>0</v>
      </c>
      <c r="S161" s="384">
        <v>0</v>
      </c>
      <c r="T161" s="385">
        <v>0</v>
      </c>
      <c r="U161">
        <v>-1.2702078521939953E-2</v>
      </c>
      <c r="V161"/>
      <c r="W161"/>
      <c r="X161" s="3"/>
      <c r="Y161" s="3"/>
    </row>
    <row r="162" spans="1:25" ht="15.75">
      <c r="A162" s="379"/>
      <c r="B162" s="677" t="s">
        <v>1141</v>
      </c>
      <c r="C162" s="678"/>
      <c r="D162" s="679"/>
      <c r="E162" s="679"/>
      <c r="F162" s="679"/>
      <c r="G162" s="679"/>
      <c r="H162" s="679"/>
      <c r="I162" s="679"/>
      <c r="J162" s="679"/>
      <c r="K162" s="679"/>
      <c r="L162" s="679"/>
      <c r="M162" s="679"/>
      <c r="N162" s="679"/>
      <c r="O162" s="679"/>
      <c r="P162" s="679"/>
      <c r="Q162" s="679"/>
      <c r="R162" s="679"/>
      <c r="S162" s="679"/>
      <c r="T162" s="680"/>
      <c r="U162"/>
      <c r="V162"/>
      <c r="W162"/>
    </row>
    <row r="163" spans="1:25" ht="15.75">
      <c r="A163" s="379"/>
      <c r="B163" s="579" t="s">
        <v>1143</v>
      </c>
      <c r="C163" s="580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  <c r="Q163" s="581"/>
      <c r="R163" s="581"/>
      <c r="S163" s="581"/>
      <c r="T163" s="582"/>
      <c r="U163"/>
      <c r="V163"/>
      <c r="W163"/>
    </row>
    <row r="164" spans="1:25" s="386" customFormat="1" ht="15.75">
      <c r="A164" s="379"/>
      <c r="B164" s="681" t="s">
        <v>1145</v>
      </c>
      <c r="C164" s="383">
        <v>0</v>
      </c>
      <c r="D164" s="384">
        <v>0</v>
      </c>
      <c r="E164" s="384">
        <v>0</v>
      </c>
      <c r="F164" s="384">
        <v>0</v>
      </c>
      <c r="G164" s="384">
        <v>0</v>
      </c>
      <c r="H164" s="384">
        <v>0</v>
      </c>
      <c r="I164" s="384">
        <v>0</v>
      </c>
      <c r="J164" s="384">
        <v>0</v>
      </c>
      <c r="K164" s="384">
        <v>0</v>
      </c>
      <c r="L164" s="384">
        <v>0</v>
      </c>
      <c r="M164" s="384">
        <v>0</v>
      </c>
      <c r="N164" s="384">
        <v>0</v>
      </c>
      <c r="O164" s="384">
        <v>0</v>
      </c>
      <c r="P164" s="384">
        <v>0</v>
      </c>
      <c r="Q164" s="384">
        <v>0</v>
      </c>
      <c r="R164" s="384">
        <v>0</v>
      </c>
      <c r="S164" s="384">
        <v>0</v>
      </c>
      <c r="T164" s="385">
        <v>0</v>
      </c>
      <c r="U164">
        <v>0</v>
      </c>
      <c r="V164"/>
      <c r="W164"/>
      <c r="X164" s="3"/>
      <c r="Y164" s="3"/>
    </row>
    <row r="165" spans="1:25" ht="15.75">
      <c r="A165" s="379"/>
      <c r="B165" s="677" t="s">
        <v>1147</v>
      </c>
      <c r="C165" s="678"/>
      <c r="D165" s="679"/>
      <c r="E165" s="679"/>
      <c r="F165" s="679"/>
      <c r="G165" s="679"/>
      <c r="H165" s="679"/>
      <c r="I165" s="679"/>
      <c r="J165" s="679"/>
      <c r="K165" s="679"/>
      <c r="L165" s="679"/>
      <c r="M165" s="679"/>
      <c r="N165" s="679"/>
      <c r="O165" s="679"/>
      <c r="P165" s="679"/>
      <c r="Q165" s="679"/>
      <c r="R165" s="679"/>
      <c r="S165" s="679"/>
      <c r="T165" s="680"/>
      <c r="U165"/>
      <c r="V165"/>
      <c r="W165"/>
    </row>
    <row r="166" spans="1:25" ht="15.75">
      <c r="A166" s="379"/>
      <c r="B166" s="579" t="s">
        <v>1149</v>
      </c>
      <c r="C166" s="580"/>
      <c r="D166" s="581"/>
      <c r="E166" s="581"/>
      <c r="F166" s="581"/>
      <c r="G166" s="581"/>
      <c r="H166" s="581"/>
      <c r="I166" s="581"/>
      <c r="J166" s="581"/>
      <c r="K166" s="581"/>
      <c r="L166" s="581"/>
      <c r="M166" s="581"/>
      <c r="N166" s="581"/>
      <c r="O166" s="581"/>
      <c r="P166" s="581"/>
      <c r="Q166" s="581"/>
      <c r="R166" s="581"/>
      <c r="S166" s="581"/>
      <c r="T166" s="582"/>
      <c r="U166"/>
      <c r="V166"/>
      <c r="W166"/>
    </row>
    <row r="167" spans="1:25" s="386" customFormat="1" ht="15.75">
      <c r="A167" s="379"/>
      <c r="B167" s="681" t="s">
        <v>1151</v>
      </c>
      <c r="C167" s="383">
        <v>0</v>
      </c>
      <c r="D167" s="384">
        <v>0</v>
      </c>
      <c r="E167" s="384">
        <v>0</v>
      </c>
      <c r="F167" s="384">
        <v>0</v>
      </c>
      <c r="G167" s="384">
        <v>0</v>
      </c>
      <c r="H167" s="384">
        <v>0</v>
      </c>
      <c r="I167" s="384">
        <v>0</v>
      </c>
      <c r="J167" s="384">
        <v>0</v>
      </c>
      <c r="K167" s="384">
        <v>0</v>
      </c>
      <c r="L167" s="384">
        <v>0</v>
      </c>
      <c r="M167" s="384">
        <v>0</v>
      </c>
      <c r="N167" s="384">
        <v>0</v>
      </c>
      <c r="O167" s="384">
        <v>0</v>
      </c>
      <c r="P167" s="384">
        <v>0</v>
      </c>
      <c r="Q167" s="384">
        <v>0</v>
      </c>
      <c r="R167" s="384">
        <v>0</v>
      </c>
      <c r="S167" s="384">
        <v>0</v>
      </c>
      <c r="T167" s="385">
        <v>0</v>
      </c>
      <c r="U167">
        <v>0</v>
      </c>
      <c r="V167"/>
      <c r="W167"/>
      <c r="X167" s="3"/>
      <c r="Y167" s="3"/>
    </row>
    <row r="168" spans="1:25" ht="15.75">
      <c r="A168" s="379"/>
      <c r="B168" s="677" t="s">
        <v>1155</v>
      </c>
      <c r="C168" s="678">
        <v>486</v>
      </c>
      <c r="D168" s="679"/>
      <c r="E168" s="679">
        <v>675</v>
      </c>
      <c r="F168" s="679"/>
      <c r="G168" s="679">
        <v>522</v>
      </c>
      <c r="H168" s="679">
        <v>49</v>
      </c>
      <c r="I168" s="679">
        <v>1732</v>
      </c>
      <c r="J168" s="679">
        <v>0</v>
      </c>
      <c r="K168" s="679">
        <v>0</v>
      </c>
      <c r="L168" s="679">
        <v>0</v>
      </c>
      <c r="M168" s="679">
        <v>0</v>
      </c>
      <c r="N168" s="679">
        <v>0</v>
      </c>
      <c r="O168" s="679">
        <v>0</v>
      </c>
      <c r="P168" s="679">
        <v>0</v>
      </c>
      <c r="Q168" s="679">
        <v>0</v>
      </c>
      <c r="R168" s="679">
        <v>0</v>
      </c>
      <c r="S168" s="679"/>
      <c r="T168" s="680"/>
      <c r="U168">
        <v>1732</v>
      </c>
      <c r="V168"/>
      <c r="W168"/>
    </row>
    <row r="169" spans="1:25" ht="15.75">
      <c r="A169" s="379"/>
      <c r="B169" s="579" t="s">
        <v>1153</v>
      </c>
      <c r="C169" s="580">
        <v>452</v>
      </c>
      <c r="D169" s="581"/>
      <c r="E169" s="581">
        <v>692</v>
      </c>
      <c r="F169" s="581"/>
      <c r="G169" s="581">
        <v>514</v>
      </c>
      <c r="H169" s="581">
        <v>52</v>
      </c>
      <c r="I169" s="581">
        <v>1710</v>
      </c>
      <c r="J169" s="581">
        <v>0</v>
      </c>
      <c r="K169" s="581">
        <v>0</v>
      </c>
      <c r="L169" s="581">
        <v>0</v>
      </c>
      <c r="M169" s="581">
        <v>0</v>
      </c>
      <c r="N169" s="581">
        <v>0</v>
      </c>
      <c r="O169" s="581">
        <v>0</v>
      </c>
      <c r="P169" s="581">
        <v>0</v>
      </c>
      <c r="Q169" s="581">
        <v>0</v>
      </c>
      <c r="R169" s="581">
        <v>0</v>
      </c>
      <c r="S169" s="581"/>
      <c r="T169" s="582"/>
      <c r="U169">
        <v>1710</v>
      </c>
      <c r="V169"/>
      <c r="W169"/>
    </row>
    <row r="170" spans="1:25" s="386" customFormat="1" ht="15.75">
      <c r="A170" s="387"/>
      <c r="B170" s="681" t="s">
        <v>1157</v>
      </c>
      <c r="C170" s="383">
        <v>-6.9958847736625515E-2</v>
      </c>
      <c r="D170" s="384">
        <v>0</v>
      </c>
      <c r="E170" s="384">
        <v>2.5185185185185185E-2</v>
      </c>
      <c r="F170" s="384">
        <v>0</v>
      </c>
      <c r="G170" s="384">
        <v>-1.532567049808429E-2</v>
      </c>
      <c r="H170" s="384">
        <v>6.1224489795918366E-2</v>
      </c>
      <c r="I170" s="384">
        <v>-1.2702078521939953E-2</v>
      </c>
      <c r="J170" s="384">
        <v>0</v>
      </c>
      <c r="K170" s="384">
        <v>0</v>
      </c>
      <c r="L170" s="384">
        <v>0</v>
      </c>
      <c r="M170" s="384">
        <v>0</v>
      </c>
      <c r="N170" s="384">
        <v>0</v>
      </c>
      <c r="O170" s="384">
        <v>0</v>
      </c>
      <c r="P170" s="384">
        <v>0</v>
      </c>
      <c r="Q170" s="384">
        <v>0</v>
      </c>
      <c r="R170" s="384">
        <v>0</v>
      </c>
      <c r="S170" s="384">
        <v>0</v>
      </c>
      <c r="T170" s="385">
        <v>0</v>
      </c>
      <c r="U170">
        <v>-1.2702078521939953E-2</v>
      </c>
      <c r="V170"/>
      <c r="W170"/>
      <c r="X170" s="3"/>
      <c r="Y170" s="3"/>
    </row>
    <row r="171" spans="1:25" ht="15.75">
      <c r="A171" s="673" t="s">
        <v>35</v>
      </c>
      <c r="B171" s="677" t="s">
        <v>1048</v>
      </c>
      <c r="C171" s="678">
        <v>6898</v>
      </c>
      <c r="D171" s="679"/>
      <c r="E171" s="679">
        <v>3070</v>
      </c>
      <c r="F171" s="679">
        <v>467</v>
      </c>
      <c r="G171" s="679">
        <v>2131</v>
      </c>
      <c r="H171" s="679">
        <v>1971</v>
      </c>
      <c r="I171" s="679">
        <v>14537</v>
      </c>
      <c r="J171" s="679"/>
      <c r="K171" s="679"/>
      <c r="L171" s="679"/>
      <c r="M171" s="679"/>
      <c r="N171" s="679"/>
      <c r="O171" s="679"/>
      <c r="P171" s="679"/>
      <c r="Q171" s="679"/>
      <c r="R171" s="679"/>
      <c r="S171" s="679">
        <v>182</v>
      </c>
      <c r="T171" s="680">
        <v>182</v>
      </c>
      <c r="U171">
        <v>14719</v>
      </c>
      <c r="V171"/>
      <c r="W171"/>
    </row>
    <row r="172" spans="1:25" ht="15.75">
      <c r="A172" s="379"/>
      <c r="B172" s="579" t="s">
        <v>1049</v>
      </c>
      <c r="C172" s="580">
        <v>7290</v>
      </c>
      <c r="D172" s="581"/>
      <c r="E172" s="581">
        <v>2937</v>
      </c>
      <c r="F172" s="581">
        <v>483</v>
      </c>
      <c r="G172" s="581">
        <v>2240</v>
      </c>
      <c r="H172" s="581">
        <v>2023</v>
      </c>
      <c r="I172" s="581">
        <v>14973</v>
      </c>
      <c r="J172" s="581"/>
      <c r="K172" s="581"/>
      <c r="L172" s="581"/>
      <c r="M172" s="581"/>
      <c r="N172" s="581"/>
      <c r="O172" s="581"/>
      <c r="P172" s="581"/>
      <c r="Q172" s="581"/>
      <c r="R172" s="581"/>
      <c r="S172" s="581">
        <v>194</v>
      </c>
      <c r="T172" s="582">
        <v>194</v>
      </c>
      <c r="U172">
        <v>15167</v>
      </c>
      <c r="V172"/>
      <c r="W172"/>
    </row>
    <row r="173" spans="1:25" s="386" customFormat="1" ht="15.75">
      <c r="A173" s="379"/>
      <c r="B173" s="681" t="s">
        <v>1050</v>
      </c>
      <c r="C173" s="383">
        <v>5.6828066106117715E-2</v>
      </c>
      <c r="D173" s="384">
        <v>0</v>
      </c>
      <c r="E173" s="384">
        <v>-4.3322475570032576E-2</v>
      </c>
      <c r="F173" s="384">
        <v>3.4261241970021415E-2</v>
      </c>
      <c r="G173" s="384">
        <v>5.1149694978883151E-2</v>
      </c>
      <c r="H173" s="384">
        <v>2.6382546930492135E-2</v>
      </c>
      <c r="I173" s="384">
        <v>2.9992433101740386E-2</v>
      </c>
      <c r="J173" s="384">
        <v>0</v>
      </c>
      <c r="K173" s="384">
        <v>0</v>
      </c>
      <c r="L173" s="384">
        <v>0</v>
      </c>
      <c r="M173" s="384">
        <v>0</v>
      </c>
      <c r="N173" s="384">
        <v>0</v>
      </c>
      <c r="O173" s="384">
        <v>0</v>
      </c>
      <c r="P173" s="384">
        <v>0</v>
      </c>
      <c r="Q173" s="384">
        <v>0</v>
      </c>
      <c r="R173" s="384">
        <v>0</v>
      </c>
      <c r="S173" s="384">
        <v>6.5934065934065936E-2</v>
      </c>
      <c r="T173" s="385">
        <v>6.5934065934065936E-2</v>
      </c>
      <c r="U173">
        <v>3.043685032950608E-2</v>
      </c>
      <c r="V173"/>
      <c r="W173"/>
      <c r="X173" s="3"/>
      <c r="Y173" s="3"/>
    </row>
    <row r="174" spans="1:25" ht="15.75">
      <c r="A174" s="379"/>
      <c r="B174" s="677" t="s">
        <v>1135</v>
      </c>
      <c r="C174" s="678">
        <v>476</v>
      </c>
      <c r="D174" s="679"/>
      <c r="E174" s="679">
        <v>363</v>
      </c>
      <c r="F174" s="679">
        <v>37</v>
      </c>
      <c r="G174" s="679">
        <v>277</v>
      </c>
      <c r="H174" s="679">
        <v>267</v>
      </c>
      <c r="I174" s="679">
        <v>1420</v>
      </c>
      <c r="J174" s="679"/>
      <c r="K174" s="679"/>
      <c r="L174" s="679"/>
      <c r="M174" s="679"/>
      <c r="N174" s="679"/>
      <c r="O174" s="679"/>
      <c r="P174" s="679"/>
      <c r="Q174" s="679"/>
      <c r="R174" s="679"/>
      <c r="S174" s="679"/>
      <c r="T174" s="680"/>
      <c r="U174">
        <v>1420</v>
      </c>
      <c r="V174"/>
      <c r="W174"/>
    </row>
    <row r="175" spans="1:25" ht="15.75">
      <c r="A175" s="379"/>
      <c r="B175" s="579" t="s">
        <v>1137</v>
      </c>
      <c r="C175" s="580">
        <v>460</v>
      </c>
      <c r="D175" s="581"/>
      <c r="E175" s="581">
        <v>337</v>
      </c>
      <c r="F175" s="581">
        <v>44</v>
      </c>
      <c r="G175" s="581">
        <v>222</v>
      </c>
      <c r="H175" s="581">
        <v>298</v>
      </c>
      <c r="I175" s="581">
        <v>1361</v>
      </c>
      <c r="J175" s="581"/>
      <c r="K175" s="581"/>
      <c r="L175" s="581"/>
      <c r="M175" s="581"/>
      <c r="N175" s="581"/>
      <c r="O175" s="581"/>
      <c r="P175" s="581"/>
      <c r="Q175" s="581"/>
      <c r="R175" s="581"/>
      <c r="S175" s="581"/>
      <c r="T175" s="582"/>
      <c r="U175">
        <v>1361</v>
      </c>
      <c r="V175"/>
      <c r="W175"/>
    </row>
    <row r="176" spans="1:25" s="386" customFormat="1" ht="15.75">
      <c r="A176" s="379"/>
      <c r="B176" s="681" t="s">
        <v>1139</v>
      </c>
      <c r="C176" s="383">
        <v>-3.3613445378151259E-2</v>
      </c>
      <c r="D176" s="384">
        <v>0</v>
      </c>
      <c r="E176" s="384">
        <v>-7.1625344352617082E-2</v>
      </c>
      <c r="F176" s="384">
        <v>0.1891891891891892</v>
      </c>
      <c r="G176" s="384">
        <v>-0.19855595667870035</v>
      </c>
      <c r="H176" s="384">
        <v>0.11610486891385768</v>
      </c>
      <c r="I176" s="384">
        <v>-4.1549295774647887E-2</v>
      </c>
      <c r="J176" s="384">
        <v>0</v>
      </c>
      <c r="K176" s="384">
        <v>0</v>
      </c>
      <c r="L176" s="384">
        <v>0</v>
      </c>
      <c r="M176" s="384">
        <v>0</v>
      </c>
      <c r="N176" s="384">
        <v>0</v>
      </c>
      <c r="O176" s="384">
        <v>0</v>
      </c>
      <c r="P176" s="384">
        <v>0</v>
      </c>
      <c r="Q176" s="384">
        <v>0</v>
      </c>
      <c r="R176" s="384">
        <v>0</v>
      </c>
      <c r="S176" s="384">
        <v>0</v>
      </c>
      <c r="T176" s="385">
        <v>0</v>
      </c>
      <c r="U176">
        <v>-4.1549295774647887E-2</v>
      </c>
      <c r="V176"/>
      <c r="W176"/>
      <c r="X176" s="3"/>
      <c r="Y176" s="3"/>
    </row>
    <row r="177" spans="1:25" ht="15.75">
      <c r="A177" s="379"/>
      <c r="B177" s="677" t="s">
        <v>1141</v>
      </c>
      <c r="C177" s="678"/>
      <c r="D177" s="679"/>
      <c r="E177" s="679"/>
      <c r="F177" s="679"/>
      <c r="G177" s="679"/>
      <c r="H177" s="679"/>
      <c r="I177" s="679"/>
      <c r="J177" s="679"/>
      <c r="K177" s="679"/>
      <c r="L177" s="679"/>
      <c r="M177" s="679"/>
      <c r="N177" s="679"/>
      <c r="O177" s="679"/>
      <c r="P177" s="679"/>
      <c r="Q177" s="679"/>
      <c r="R177" s="679"/>
      <c r="S177" s="679"/>
      <c r="T177" s="680"/>
      <c r="U177"/>
      <c r="V177"/>
      <c r="W177"/>
    </row>
    <row r="178" spans="1:25" ht="15.75">
      <c r="A178" s="379"/>
      <c r="B178" s="579" t="s">
        <v>1143</v>
      </c>
      <c r="C178" s="580"/>
      <c r="D178" s="581"/>
      <c r="E178" s="581"/>
      <c r="F178" s="581"/>
      <c r="G178" s="581"/>
      <c r="H178" s="581"/>
      <c r="I178" s="581"/>
      <c r="J178" s="581"/>
      <c r="K178" s="581"/>
      <c r="L178" s="581"/>
      <c r="M178" s="581"/>
      <c r="N178" s="581"/>
      <c r="O178" s="581"/>
      <c r="P178" s="581"/>
      <c r="Q178" s="581"/>
      <c r="R178" s="581"/>
      <c r="S178" s="581"/>
      <c r="T178" s="582"/>
      <c r="U178"/>
      <c r="V178"/>
      <c r="W178"/>
    </row>
    <row r="179" spans="1:25" s="386" customFormat="1" ht="15.75">
      <c r="A179" s="379"/>
      <c r="B179" s="681" t="s">
        <v>1145</v>
      </c>
      <c r="C179" s="383">
        <v>0</v>
      </c>
      <c r="D179" s="384">
        <v>0</v>
      </c>
      <c r="E179" s="384">
        <v>0</v>
      </c>
      <c r="F179" s="384">
        <v>0</v>
      </c>
      <c r="G179" s="384">
        <v>0</v>
      </c>
      <c r="H179" s="384">
        <v>0</v>
      </c>
      <c r="I179" s="384">
        <v>0</v>
      </c>
      <c r="J179" s="384">
        <v>0</v>
      </c>
      <c r="K179" s="384">
        <v>0</v>
      </c>
      <c r="L179" s="384">
        <v>0</v>
      </c>
      <c r="M179" s="384">
        <v>0</v>
      </c>
      <c r="N179" s="384">
        <v>0</v>
      </c>
      <c r="O179" s="384">
        <v>0</v>
      </c>
      <c r="P179" s="384">
        <v>0</v>
      </c>
      <c r="Q179" s="384">
        <v>0</v>
      </c>
      <c r="R179" s="384">
        <v>0</v>
      </c>
      <c r="S179" s="384">
        <v>0</v>
      </c>
      <c r="T179" s="385">
        <v>0</v>
      </c>
      <c r="U179">
        <v>0</v>
      </c>
      <c r="V179"/>
      <c r="W179"/>
      <c r="X179" s="3"/>
      <c r="Y179" s="3"/>
    </row>
    <row r="180" spans="1:25" ht="15.75">
      <c r="A180" s="379"/>
      <c r="B180" s="677" t="s">
        <v>1147</v>
      </c>
      <c r="C180" s="678">
        <v>33</v>
      </c>
      <c r="D180" s="679"/>
      <c r="E180" s="679">
        <v>56</v>
      </c>
      <c r="F180" s="679"/>
      <c r="G180" s="679">
        <v>5</v>
      </c>
      <c r="H180" s="679">
        <v>8</v>
      </c>
      <c r="I180" s="679">
        <v>102</v>
      </c>
      <c r="J180" s="679"/>
      <c r="K180" s="679"/>
      <c r="L180" s="679"/>
      <c r="M180" s="679"/>
      <c r="N180" s="679"/>
      <c r="O180" s="679"/>
      <c r="P180" s="679"/>
      <c r="Q180" s="679"/>
      <c r="R180" s="679"/>
      <c r="S180" s="679"/>
      <c r="T180" s="680"/>
      <c r="U180">
        <v>102</v>
      </c>
      <c r="V180"/>
      <c r="W180"/>
    </row>
    <row r="181" spans="1:25" ht="15.75">
      <c r="A181" s="379"/>
      <c r="B181" s="579" t="s">
        <v>1149</v>
      </c>
      <c r="C181" s="580">
        <v>22</v>
      </c>
      <c r="D181" s="581"/>
      <c r="E181" s="581">
        <v>50</v>
      </c>
      <c r="F181" s="581"/>
      <c r="G181" s="581">
        <v>7</v>
      </c>
      <c r="H181" s="581">
        <v>6</v>
      </c>
      <c r="I181" s="581">
        <v>85</v>
      </c>
      <c r="J181" s="581"/>
      <c r="K181" s="581"/>
      <c r="L181" s="581"/>
      <c r="M181" s="581"/>
      <c r="N181" s="581"/>
      <c r="O181" s="581"/>
      <c r="P181" s="581"/>
      <c r="Q181" s="581"/>
      <c r="R181" s="581"/>
      <c r="S181" s="581"/>
      <c r="T181" s="582"/>
      <c r="U181">
        <v>85</v>
      </c>
      <c r="V181"/>
      <c r="W181"/>
    </row>
    <row r="182" spans="1:25" s="386" customFormat="1" ht="15.75">
      <c r="A182" s="379"/>
      <c r="B182" s="681" t="s">
        <v>1151</v>
      </c>
      <c r="C182" s="383">
        <v>-0.33333333333333331</v>
      </c>
      <c r="D182" s="384">
        <v>0</v>
      </c>
      <c r="E182" s="384">
        <v>-0.10714285714285714</v>
      </c>
      <c r="F182" s="384">
        <v>0</v>
      </c>
      <c r="G182" s="384">
        <v>0.4</v>
      </c>
      <c r="H182" s="384">
        <v>-0.25</v>
      </c>
      <c r="I182" s="384">
        <v>-0.16666666666666666</v>
      </c>
      <c r="J182" s="384">
        <v>0</v>
      </c>
      <c r="K182" s="384">
        <v>0</v>
      </c>
      <c r="L182" s="384">
        <v>0</v>
      </c>
      <c r="M182" s="384">
        <v>0</v>
      </c>
      <c r="N182" s="384">
        <v>0</v>
      </c>
      <c r="O182" s="384">
        <v>0</v>
      </c>
      <c r="P182" s="384">
        <v>0</v>
      </c>
      <c r="Q182" s="384">
        <v>0</v>
      </c>
      <c r="R182" s="384">
        <v>0</v>
      </c>
      <c r="S182" s="384">
        <v>0</v>
      </c>
      <c r="T182" s="385">
        <v>0</v>
      </c>
      <c r="U182">
        <v>-0.16666666666666666</v>
      </c>
      <c r="V182"/>
      <c r="W182"/>
      <c r="X182" s="3"/>
      <c r="Y182" s="3"/>
    </row>
    <row r="183" spans="1:25" ht="15.75">
      <c r="A183" s="379"/>
      <c r="B183" s="677" t="s">
        <v>1155</v>
      </c>
      <c r="C183" s="678">
        <v>509</v>
      </c>
      <c r="D183" s="679"/>
      <c r="E183" s="679">
        <v>419</v>
      </c>
      <c r="F183" s="679">
        <v>37</v>
      </c>
      <c r="G183" s="679">
        <v>282</v>
      </c>
      <c r="H183" s="679">
        <v>275</v>
      </c>
      <c r="I183" s="679">
        <v>1522</v>
      </c>
      <c r="J183" s="679"/>
      <c r="K183" s="679">
        <v>0</v>
      </c>
      <c r="L183" s="679">
        <v>0</v>
      </c>
      <c r="M183" s="679">
        <v>0</v>
      </c>
      <c r="N183" s="679">
        <v>0</v>
      </c>
      <c r="O183" s="679"/>
      <c r="P183" s="679"/>
      <c r="Q183" s="679"/>
      <c r="R183" s="679"/>
      <c r="S183" s="679">
        <v>0</v>
      </c>
      <c r="T183" s="680">
        <v>0</v>
      </c>
      <c r="U183">
        <v>1522</v>
      </c>
      <c r="V183"/>
      <c r="W183"/>
    </row>
    <row r="184" spans="1:25" ht="15.75">
      <c r="A184" s="379"/>
      <c r="B184" s="579" t="s">
        <v>1153</v>
      </c>
      <c r="C184" s="580">
        <v>482</v>
      </c>
      <c r="D184" s="581"/>
      <c r="E184" s="581">
        <v>387</v>
      </c>
      <c r="F184" s="581">
        <v>44</v>
      </c>
      <c r="G184" s="581">
        <v>229</v>
      </c>
      <c r="H184" s="581">
        <v>304</v>
      </c>
      <c r="I184" s="581">
        <v>1446</v>
      </c>
      <c r="J184" s="581"/>
      <c r="K184" s="581">
        <v>0</v>
      </c>
      <c r="L184" s="581">
        <v>0</v>
      </c>
      <c r="M184" s="581">
        <v>0</v>
      </c>
      <c r="N184" s="581">
        <v>0</v>
      </c>
      <c r="O184" s="581"/>
      <c r="P184" s="581"/>
      <c r="Q184" s="581"/>
      <c r="R184" s="581"/>
      <c r="S184" s="581">
        <v>0</v>
      </c>
      <c r="T184" s="582">
        <v>0</v>
      </c>
      <c r="U184">
        <v>1446</v>
      </c>
      <c r="V184"/>
      <c r="W184"/>
    </row>
    <row r="185" spans="1:25" s="386" customFormat="1" ht="15.75">
      <c r="A185" s="387"/>
      <c r="B185" s="681" t="s">
        <v>1157</v>
      </c>
      <c r="C185" s="383">
        <v>-5.304518664047151E-2</v>
      </c>
      <c r="D185" s="384">
        <v>0</v>
      </c>
      <c r="E185" s="384">
        <v>-7.6372315035799526E-2</v>
      </c>
      <c r="F185" s="384">
        <v>0.1891891891891892</v>
      </c>
      <c r="G185" s="384">
        <v>-0.18794326241134751</v>
      </c>
      <c r="H185" s="384">
        <v>0.10545454545454545</v>
      </c>
      <c r="I185" s="384">
        <v>-4.9934296977660969E-2</v>
      </c>
      <c r="J185" s="384">
        <v>0</v>
      </c>
      <c r="K185" s="384">
        <v>0</v>
      </c>
      <c r="L185" s="384">
        <v>0</v>
      </c>
      <c r="M185" s="384">
        <v>0</v>
      </c>
      <c r="N185" s="384">
        <v>0</v>
      </c>
      <c r="O185" s="384">
        <v>0</v>
      </c>
      <c r="P185" s="384">
        <v>0</v>
      </c>
      <c r="Q185" s="384">
        <v>0</v>
      </c>
      <c r="R185" s="384">
        <v>0</v>
      </c>
      <c r="S185" s="384">
        <v>0</v>
      </c>
      <c r="T185" s="385">
        <v>0</v>
      </c>
      <c r="U185">
        <v>-4.9934296977660969E-2</v>
      </c>
      <c r="V185"/>
      <c r="W185"/>
      <c r="X185" s="3"/>
      <c r="Y185" s="3"/>
    </row>
    <row r="186" spans="1:25" ht="15.75">
      <c r="A186" s="673" t="s">
        <v>32</v>
      </c>
      <c r="B186" s="677" t="s">
        <v>1048</v>
      </c>
      <c r="C186" s="678">
        <v>6078</v>
      </c>
      <c r="D186" s="679"/>
      <c r="E186" s="679">
        <v>8940</v>
      </c>
      <c r="F186" s="679">
        <v>1159</v>
      </c>
      <c r="G186" s="679">
        <v>998</v>
      </c>
      <c r="H186" s="679"/>
      <c r="I186" s="679">
        <v>17175</v>
      </c>
      <c r="J186" s="679"/>
      <c r="K186" s="679"/>
      <c r="L186" s="679"/>
      <c r="M186" s="679"/>
      <c r="N186" s="679"/>
      <c r="O186" s="679"/>
      <c r="P186" s="679"/>
      <c r="Q186" s="679"/>
      <c r="R186" s="679"/>
      <c r="S186" s="679">
        <v>103</v>
      </c>
      <c r="T186" s="680">
        <v>103</v>
      </c>
      <c r="U186">
        <v>17278</v>
      </c>
      <c r="V186"/>
      <c r="W186"/>
    </row>
    <row r="187" spans="1:25" ht="15.75">
      <c r="A187" s="379"/>
      <c r="B187" s="579" t="s">
        <v>1049</v>
      </c>
      <c r="C187" s="580">
        <v>5898</v>
      </c>
      <c r="D187" s="581"/>
      <c r="E187" s="581">
        <v>8713</v>
      </c>
      <c r="F187" s="581">
        <v>1004</v>
      </c>
      <c r="G187" s="581">
        <v>890</v>
      </c>
      <c r="H187" s="581"/>
      <c r="I187" s="581">
        <v>16505</v>
      </c>
      <c r="J187" s="581"/>
      <c r="K187" s="581"/>
      <c r="L187" s="581"/>
      <c r="M187" s="581"/>
      <c r="N187" s="581"/>
      <c r="O187" s="581"/>
      <c r="P187" s="581"/>
      <c r="Q187" s="581"/>
      <c r="R187" s="581"/>
      <c r="S187" s="581">
        <v>47</v>
      </c>
      <c r="T187" s="582">
        <v>47</v>
      </c>
      <c r="U187">
        <v>16552</v>
      </c>
      <c r="V187"/>
      <c r="W187"/>
    </row>
    <row r="188" spans="1:25" s="386" customFormat="1" ht="15.75">
      <c r="A188" s="379"/>
      <c r="B188" s="681" t="s">
        <v>1050</v>
      </c>
      <c r="C188" s="383">
        <v>-2.9615004935834157E-2</v>
      </c>
      <c r="D188" s="384">
        <v>0</v>
      </c>
      <c r="E188" s="384">
        <v>-2.5391498881431766E-2</v>
      </c>
      <c r="F188" s="384">
        <v>-0.13373597929249353</v>
      </c>
      <c r="G188" s="384">
        <v>-0.10821643286573146</v>
      </c>
      <c r="H188" s="384">
        <v>0</v>
      </c>
      <c r="I188" s="384">
        <v>-3.9010189228529842E-2</v>
      </c>
      <c r="J188" s="384">
        <v>0</v>
      </c>
      <c r="K188" s="384">
        <v>0</v>
      </c>
      <c r="L188" s="384">
        <v>0</v>
      </c>
      <c r="M188" s="384">
        <v>0</v>
      </c>
      <c r="N188" s="384">
        <v>0</v>
      </c>
      <c r="O188" s="384">
        <v>0</v>
      </c>
      <c r="P188" s="384">
        <v>0</v>
      </c>
      <c r="Q188" s="384">
        <v>0</v>
      </c>
      <c r="R188" s="384">
        <v>0</v>
      </c>
      <c r="S188" s="384">
        <v>-0.5436893203883495</v>
      </c>
      <c r="T188" s="385">
        <v>-0.5436893203883495</v>
      </c>
      <c r="U188">
        <v>-4.201875217039009E-2</v>
      </c>
      <c r="V188"/>
      <c r="W188"/>
      <c r="X188" s="3"/>
      <c r="Y188" s="3"/>
    </row>
    <row r="189" spans="1:25" ht="15.75">
      <c r="A189" s="379"/>
      <c r="B189" s="677" t="s">
        <v>1135</v>
      </c>
      <c r="C189" s="678">
        <v>238</v>
      </c>
      <c r="D189" s="679"/>
      <c r="E189" s="679">
        <v>290</v>
      </c>
      <c r="F189" s="679">
        <v>40</v>
      </c>
      <c r="G189" s="679">
        <v>35</v>
      </c>
      <c r="H189" s="679"/>
      <c r="I189" s="679">
        <v>603</v>
      </c>
      <c r="J189" s="679"/>
      <c r="K189" s="679"/>
      <c r="L189" s="679"/>
      <c r="M189" s="679"/>
      <c r="N189" s="679"/>
      <c r="O189" s="679"/>
      <c r="P189" s="679"/>
      <c r="Q189" s="679"/>
      <c r="R189" s="679"/>
      <c r="S189" s="679"/>
      <c r="T189" s="680"/>
      <c r="U189">
        <v>603</v>
      </c>
      <c r="V189"/>
      <c r="W189"/>
    </row>
    <row r="190" spans="1:25" ht="15.75">
      <c r="A190" s="379"/>
      <c r="B190" s="579" t="s">
        <v>1137</v>
      </c>
      <c r="C190" s="580"/>
      <c r="D190" s="581"/>
      <c r="E190" s="581"/>
      <c r="F190" s="581"/>
      <c r="G190" s="581"/>
      <c r="H190" s="581"/>
      <c r="I190" s="581"/>
      <c r="J190" s="581"/>
      <c r="K190" s="581"/>
      <c r="L190" s="581"/>
      <c r="M190" s="581"/>
      <c r="N190" s="581"/>
      <c r="O190" s="581"/>
      <c r="P190" s="581"/>
      <c r="Q190" s="581"/>
      <c r="R190" s="581"/>
      <c r="S190" s="581"/>
      <c r="T190" s="582"/>
      <c r="U190"/>
      <c r="V190"/>
      <c r="W190"/>
    </row>
    <row r="191" spans="1:25" s="386" customFormat="1" ht="15.75">
      <c r="A191" s="379"/>
      <c r="B191" s="681" t="s">
        <v>1139</v>
      </c>
      <c r="C191" s="383">
        <v>-1</v>
      </c>
      <c r="D191" s="384">
        <v>0</v>
      </c>
      <c r="E191" s="384">
        <v>-1</v>
      </c>
      <c r="F191" s="384">
        <v>-1</v>
      </c>
      <c r="G191" s="384">
        <v>-1</v>
      </c>
      <c r="H191" s="384">
        <v>0</v>
      </c>
      <c r="I191" s="384">
        <v>-1</v>
      </c>
      <c r="J191" s="384">
        <v>0</v>
      </c>
      <c r="K191" s="384">
        <v>0</v>
      </c>
      <c r="L191" s="384">
        <v>0</v>
      </c>
      <c r="M191" s="384">
        <v>0</v>
      </c>
      <c r="N191" s="384">
        <v>0</v>
      </c>
      <c r="O191" s="384">
        <v>0</v>
      </c>
      <c r="P191" s="384">
        <v>0</v>
      </c>
      <c r="Q191" s="384">
        <v>0</v>
      </c>
      <c r="R191" s="384">
        <v>0</v>
      </c>
      <c r="S191" s="384">
        <v>0</v>
      </c>
      <c r="T191" s="385">
        <v>0</v>
      </c>
      <c r="U191">
        <v>-1</v>
      </c>
      <c r="V191"/>
      <c r="W191"/>
      <c r="X191" s="3"/>
      <c r="Y191" s="3"/>
    </row>
    <row r="192" spans="1:25" ht="15.75">
      <c r="A192" s="379"/>
      <c r="B192" s="677" t="s">
        <v>1141</v>
      </c>
      <c r="C192" s="678"/>
      <c r="D192" s="679"/>
      <c r="E192" s="679"/>
      <c r="F192" s="679"/>
      <c r="G192" s="679"/>
      <c r="H192" s="679"/>
      <c r="I192" s="679"/>
      <c r="J192" s="679"/>
      <c r="K192" s="679"/>
      <c r="L192" s="679"/>
      <c r="M192" s="679"/>
      <c r="N192" s="679"/>
      <c r="O192" s="679"/>
      <c r="P192" s="679"/>
      <c r="Q192" s="679"/>
      <c r="R192" s="679"/>
      <c r="S192" s="679"/>
      <c r="T192" s="680"/>
      <c r="U192"/>
      <c r="V192"/>
      <c r="W192"/>
    </row>
    <row r="193" spans="1:25" ht="15.75">
      <c r="A193" s="379"/>
      <c r="B193" s="579" t="s">
        <v>1143</v>
      </c>
      <c r="C193" s="580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  <c r="Q193" s="581"/>
      <c r="R193" s="581"/>
      <c r="S193" s="581"/>
      <c r="T193" s="582"/>
      <c r="U193"/>
      <c r="V193"/>
      <c r="W193"/>
    </row>
    <row r="194" spans="1:25" s="386" customFormat="1" ht="15.75">
      <c r="A194" s="379"/>
      <c r="B194" s="681" t="s">
        <v>1145</v>
      </c>
      <c r="C194" s="383">
        <v>0</v>
      </c>
      <c r="D194" s="384">
        <v>0</v>
      </c>
      <c r="E194" s="384">
        <v>0</v>
      </c>
      <c r="F194" s="384">
        <v>0</v>
      </c>
      <c r="G194" s="384">
        <v>0</v>
      </c>
      <c r="H194" s="384">
        <v>0</v>
      </c>
      <c r="I194" s="384">
        <v>0</v>
      </c>
      <c r="J194" s="384">
        <v>0</v>
      </c>
      <c r="K194" s="384">
        <v>0</v>
      </c>
      <c r="L194" s="384">
        <v>0</v>
      </c>
      <c r="M194" s="384">
        <v>0</v>
      </c>
      <c r="N194" s="384">
        <v>0</v>
      </c>
      <c r="O194" s="384">
        <v>0</v>
      </c>
      <c r="P194" s="384">
        <v>0</v>
      </c>
      <c r="Q194" s="384">
        <v>0</v>
      </c>
      <c r="R194" s="384">
        <v>0</v>
      </c>
      <c r="S194" s="384">
        <v>0</v>
      </c>
      <c r="T194" s="385">
        <v>0</v>
      </c>
      <c r="U194">
        <v>0</v>
      </c>
      <c r="V194"/>
      <c r="W194"/>
      <c r="X194" s="3"/>
      <c r="Y194" s="3"/>
    </row>
    <row r="195" spans="1:25" ht="15.75">
      <c r="A195" s="379"/>
      <c r="B195" s="677" t="s">
        <v>1147</v>
      </c>
      <c r="C195" s="678">
        <v>49</v>
      </c>
      <c r="D195" s="679"/>
      <c r="E195" s="679">
        <v>60</v>
      </c>
      <c r="F195" s="679">
        <v>11</v>
      </c>
      <c r="G195" s="679">
        <v>2</v>
      </c>
      <c r="H195" s="679"/>
      <c r="I195" s="679">
        <v>122</v>
      </c>
      <c r="J195" s="679"/>
      <c r="K195" s="679"/>
      <c r="L195" s="679"/>
      <c r="M195" s="679"/>
      <c r="N195" s="679"/>
      <c r="O195" s="679"/>
      <c r="P195" s="679"/>
      <c r="Q195" s="679"/>
      <c r="R195" s="679"/>
      <c r="S195" s="679"/>
      <c r="T195" s="680"/>
      <c r="U195">
        <v>122</v>
      </c>
      <c r="V195"/>
      <c r="W195"/>
    </row>
    <row r="196" spans="1:25" ht="15.75">
      <c r="A196" s="379"/>
      <c r="B196" s="579" t="s">
        <v>1149</v>
      </c>
      <c r="C196" s="580"/>
      <c r="D196" s="581"/>
      <c r="E196" s="581"/>
      <c r="F196" s="581"/>
      <c r="G196" s="581"/>
      <c r="H196" s="581"/>
      <c r="I196" s="581"/>
      <c r="J196" s="581"/>
      <c r="K196" s="581"/>
      <c r="L196" s="581"/>
      <c r="M196" s="581"/>
      <c r="N196" s="581"/>
      <c r="O196" s="581"/>
      <c r="P196" s="581"/>
      <c r="Q196" s="581"/>
      <c r="R196" s="581"/>
      <c r="S196" s="581"/>
      <c r="T196" s="582"/>
      <c r="U196"/>
      <c r="V196"/>
      <c r="W196"/>
    </row>
    <row r="197" spans="1:25" s="386" customFormat="1" ht="15.75">
      <c r="A197" s="379"/>
      <c r="B197" s="681" t="s">
        <v>1151</v>
      </c>
      <c r="C197" s="383">
        <v>-1</v>
      </c>
      <c r="D197" s="384">
        <v>0</v>
      </c>
      <c r="E197" s="384">
        <v>-1</v>
      </c>
      <c r="F197" s="384">
        <v>-1</v>
      </c>
      <c r="G197" s="384">
        <v>-1</v>
      </c>
      <c r="H197" s="384">
        <v>0</v>
      </c>
      <c r="I197" s="384">
        <v>-1</v>
      </c>
      <c r="J197" s="384">
        <v>0</v>
      </c>
      <c r="K197" s="384">
        <v>0</v>
      </c>
      <c r="L197" s="384">
        <v>0</v>
      </c>
      <c r="M197" s="384">
        <v>0</v>
      </c>
      <c r="N197" s="384">
        <v>0</v>
      </c>
      <c r="O197" s="384">
        <v>0</v>
      </c>
      <c r="P197" s="384">
        <v>0</v>
      </c>
      <c r="Q197" s="384">
        <v>0</v>
      </c>
      <c r="R197" s="384">
        <v>0</v>
      </c>
      <c r="S197" s="384">
        <v>0</v>
      </c>
      <c r="T197" s="385">
        <v>0</v>
      </c>
      <c r="U197">
        <v>-1</v>
      </c>
      <c r="V197"/>
      <c r="W197"/>
      <c r="X197" s="3"/>
      <c r="Y197" s="3"/>
    </row>
    <row r="198" spans="1:25" ht="15.75">
      <c r="A198" s="379"/>
      <c r="B198" s="677" t="s">
        <v>1155</v>
      </c>
      <c r="C198" s="678">
        <v>287</v>
      </c>
      <c r="D198" s="679"/>
      <c r="E198" s="679">
        <v>350</v>
      </c>
      <c r="F198" s="679">
        <v>51</v>
      </c>
      <c r="G198" s="679">
        <v>37</v>
      </c>
      <c r="H198" s="679"/>
      <c r="I198" s="679">
        <v>725</v>
      </c>
      <c r="J198" s="679"/>
      <c r="K198" s="679">
        <v>0</v>
      </c>
      <c r="L198" s="679">
        <v>0</v>
      </c>
      <c r="M198" s="679">
        <v>0</v>
      </c>
      <c r="N198" s="679">
        <v>0</v>
      </c>
      <c r="O198" s="679"/>
      <c r="P198" s="679">
        <v>0</v>
      </c>
      <c r="Q198" s="679"/>
      <c r="R198" s="679">
        <v>0</v>
      </c>
      <c r="S198" s="679">
        <v>0</v>
      </c>
      <c r="T198" s="680">
        <v>0</v>
      </c>
      <c r="U198">
        <v>725</v>
      </c>
      <c r="V198"/>
      <c r="W198"/>
    </row>
    <row r="199" spans="1:25" ht="15.75">
      <c r="A199" s="379"/>
      <c r="B199" s="579" t="s">
        <v>1153</v>
      </c>
      <c r="C199" s="580">
        <v>0</v>
      </c>
      <c r="D199" s="581"/>
      <c r="E199" s="581">
        <v>0</v>
      </c>
      <c r="F199" s="581">
        <v>0</v>
      </c>
      <c r="G199" s="581">
        <v>0</v>
      </c>
      <c r="H199" s="581"/>
      <c r="I199" s="581">
        <v>0</v>
      </c>
      <c r="J199" s="581"/>
      <c r="K199" s="581">
        <v>0</v>
      </c>
      <c r="L199" s="581">
        <v>0</v>
      </c>
      <c r="M199" s="581">
        <v>0</v>
      </c>
      <c r="N199" s="581">
        <v>0</v>
      </c>
      <c r="O199" s="581"/>
      <c r="P199" s="581">
        <v>0</v>
      </c>
      <c r="Q199" s="581"/>
      <c r="R199" s="581">
        <v>0</v>
      </c>
      <c r="S199" s="581">
        <v>0</v>
      </c>
      <c r="T199" s="582">
        <v>0</v>
      </c>
      <c r="U199">
        <v>0</v>
      </c>
      <c r="V199"/>
      <c r="W199"/>
    </row>
    <row r="200" spans="1:25" s="386" customFormat="1" ht="15.75">
      <c r="A200" s="387"/>
      <c r="B200" s="681" t="s">
        <v>1157</v>
      </c>
      <c r="C200" s="383">
        <v>-1</v>
      </c>
      <c r="D200" s="384">
        <v>0</v>
      </c>
      <c r="E200" s="384">
        <v>-1</v>
      </c>
      <c r="F200" s="384">
        <v>-1</v>
      </c>
      <c r="G200" s="384">
        <v>-1</v>
      </c>
      <c r="H200" s="384">
        <v>0</v>
      </c>
      <c r="I200" s="384">
        <v>-1</v>
      </c>
      <c r="J200" s="384">
        <v>0</v>
      </c>
      <c r="K200" s="384">
        <v>0</v>
      </c>
      <c r="L200" s="384">
        <v>0</v>
      </c>
      <c r="M200" s="384">
        <v>0</v>
      </c>
      <c r="N200" s="384">
        <v>0</v>
      </c>
      <c r="O200" s="384">
        <v>0</v>
      </c>
      <c r="P200" s="384">
        <v>0</v>
      </c>
      <c r="Q200" s="384">
        <v>0</v>
      </c>
      <c r="R200" s="384">
        <v>0</v>
      </c>
      <c r="S200" s="384">
        <v>0</v>
      </c>
      <c r="T200" s="385">
        <v>0</v>
      </c>
      <c r="U200">
        <v>-1</v>
      </c>
      <c r="V200"/>
      <c r="W200"/>
      <c r="X200" s="3"/>
      <c r="Y200" s="3"/>
    </row>
    <row r="201" spans="1:25" ht="15.75">
      <c r="A201" s="673" t="s">
        <v>951</v>
      </c>
      <c r="B201" s="677" t="s">
        <v>1048</v>
      </c>
      <c r="C201" s="678">
        <v>37865</v>
      </c>
      <c r="D201" s="679">
        <v>7817</v>
      </c>
      <c r="E201" s="679">
        <v>26195</v>
      </c>
      <c r="F201" s="679">
        <v>2162</v>
      </c>
      <c r="G201" s="679">
        <v>2201</v>
      </c>
      <c r="H201" s="679">
        <v>258</v>
      </c>
      <c r="I201" s="679">
        <v>76498</v>
      </c>
      <c r="J201" s="679">
        <v>46</v>
      </c>
      <c r="K201" s="679"/>
      <c r="L201" s="679"/>
      <c r="M201" s="679"/>
      <c r="N201" s="679">
        <v>46</v>
      </c>
      <c r="O201" s="679"/>
      <c r="P201" s="679"/>
      <c r="Q201" s="679"/>
      <c r="R201" s="679"/>
      <c r="S201" s="679">
        <v>1491</v>
      </c>
      <c r="T201" s="680">
        <v>1491</v>
      </c>
      <c r="U201">
        <v>78035</v>
      </c>
      <c r="V201"/>
      <c r="W201"/>
    </row>
    <row r="202" spans="1:25" ht="15.75">
      <c r="A202" s="379"/>
      <c r="B202" s="579" t="s">
        <v>1049</v>
      </c>
      <c r="C202" s="580">
        <v>38442</v>
      </c>
      <c r="D202" s="581">
        <v>8442</v>
      </c>
      <c r="E202" s="581">
        <v>27553</v>
      </c>
      <c r="F202" s="581">
        <v>2396</v>
      </c>
      <c r="G202" s="581">
        <v>2348</v>
      </c>
      <c r="H202" s="581">
        <v>239</v>
      </c>
      <c r="I202" s="581">
        <v>79420</v>
      </c>
      <c r="J202" s="581">
        <v>112</v>
      </c>
      <c r="K202" s="581"/>
      <c r="L202" s="581"/>
      <c r="M202" s="581"/>
      <c r="N202" s="581">
        <v>112</v>
      </c>
      <c r="O202" s="581"/>
      <c r="P202" s="581"/>
      <c r="Q202" s="581"/>
      <c r="R202" s="581"/>
      <c r="S202" s="581">
        <v>1594</v>
      </c>
      <c r="T202" s="582">
        <v>1594</v>
      </c>
      <c r="U202">
        <v>81126</v>
      </c>
      <c r="V202"/>
      <c r="W202"/>
    </row>
    <row r="203" spans="1:25" s="386" customFormat="1" ht="15.75">
      <c r="A203" s="379"/>
      <c r="B203" s="681" t="s">
        <v>1050</v>
      </c>
      <c r="C203" s="383">
        <v>1.5238346758219992E-2</v>
      </c>
      <c r="D203" s="384">
        <v>7.9953946526800559E-2</v>
      </c>
      <c r="E203" s="384">
        <v>5.1841954571483106E-2</v>
      </c>
      <c r="F203" s="384">
        <v>0.10823311748381129</v>
      </c>
      <c r="G203" s="384">
        <v>6.67878237164925E-2</v>
      </c>
      <c r="H203" s="384">
        <v>-7.3643410852713184E-2</v>
      </c>
      <c r="I203" s="384">
        <v>3.8197077047765954E-2</v>
      </c>
      <c r="J203" s="384">
        <v>1.4347826086956521</v>
      </c>
      <c r="K203" s="384">
        <v>0</v>
      </c>
      <c r="L203" s="384">
        <v>0</v>
      </c>
      <c r="M203" s="384">
        <v>0</v>
      </c>
      <c r="N203" s="384">
        <v>1.4347826086956521</v>
      </c>
      <c r="O203" s="384">
        <v>0</v>
      </c>
      <c r="P203" s="384">
        <v>0</v>
      </c>
      <c r="Q203" s="384">
        <v>0</v>
      </c>
      <c r="R203" s="384">
        <v>0</v>
      </c>
      <c r="S203" s="384">
        <v>6.9081153588195846E-2</v>
      </c>
      <c r="T203" s="385">
        <v>6.9081153588195846E-2</v>
      </c>
      <c r="U203">
        <v>3.9610431216761707E-2</v>
      </c>
      <c r="V203"/>
      <c r="W203"/>
      <c r="X203" s="3"/>
      <c r="Y203" s="3"/>
    </row>
    <row r="204" spans="1:25" ht="15.75">
      <c r="A204" s="379"/>
      <c r="B204" s="677" t="s">
        <v>1135</v>
      </c>
      <c r="C204" s="678"/>
      <c r="D204" s="679"/>
      <c r="E204" s="679"/>
      <c r="F204" s="679"/>
      <c r="G204" s="679"/>
      <c r="H204" s="679"/>
      <c r="I204" s="679"/>
      <c r="J204" s="679"/>
      <c r="K204" s="679"/>
      <c r="L204" s="679"/>
      <c r="M204" s="679"/>
      <c r="N204" s="679"/>
      <c r="O204" s="679"/>
      <c r="P204" s="679"/>
      <c r="Q204" s="679"/>
      <c r="R204" s="679"/>
      <c r="S204" s="679"/>
      <c r="T204" s="680"/>
      <c r="U204"/>
      <c r="V204"/>
      <c r="W204"/>
    </row>
    <row r="205" spans="1:25" ht="15.75">
      <c r="A205" s="379"/>
      <c r="B205" s="579" t="s">
        <v>1137</v>
      </c>
      <c r="C205" s="580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  <c r="Q205" s="581"/>
      <c r="R205" s="581"/>
      <c r="S205" s="581"/>
      <c r="T205" s="582"/>
      <c r="U205"/>
      <c r="V205"/>
      <c r="W205"/>
    </row>
    <row r="206" spans="1:25" s="386" customFormat="1" ht="15.75">
      <c r="A206" s="379"/>
      <c r="B206" s="681" t="s">
        <v>1139</v>
      </c>
      <c r="C206" s="383">
        <v>0</v>
      </c>
      <c r="D206" s="384">
        <v>0</v>
      </c>
      <c r="E206" s="384">
        <v>0</v>
      </c>
      <c r="F206" s="384">
        <v>0</v>
      </c>
      <c r="G206" s="384">
        <v>0</v>
      </c>
      <c r="H206" s="384">
        <v>0</v>
      </c>
      <c r="I206" s="384">
        <v>0</v>
      </c>
      <c r="J206" s="384">
        <v>0</v>
      </c>
      <c r="K206" s="384">
        <v>0</v>
      </c>
      <c r="L206" s="384">
        <v>0</v>
      </c>
      <c r="M206" s="384">
        <v>0</v>
      </c>
      <c r="N206" s="384">
        <v>0</v>
      </c>
      <c r="O206" s="384">
        <v>0</v>
      </c>
      <c r="P206" s="384">
        <v>0</v>
      </c>
      <c r="Q206" s="384">
        <v>0</v>
      </c>
      <c r="R206" s="384">
        <v>0</v>
      </c>
      <c r="S206" s="384">
        <v>0</v>
      </c>
      <c r="T206" s="385">
        <v>0</v>
      </c>
      <c r="U206">
        <v>0</v>
      </c>
      <c r="V206"/>
      <c r="W206"/>
      <c r="X206" s="3"/>
      <c r="Y206" s="3"/>
    </row>
    <row r="207" spans="1:25" ht="15.75">
      <c r="A207" s="379"/>
      <c r="B207" s="677" t="s">
        <v>1141</v>
      </c>
      <c r="C207" s="678"/>
      <c r="D207" s="679"/>
      <c r="E207" s="679"/>
      <c r="F207" s="679"/>
      <c r="G207" s="679"/>
      <c r="H207" s="679"/>
      <c r="I207" s="679"/>
      <c r="J207" s="679"/>
      <c r="K207" s="679"/>
      <c r="L207" s="679"/>
      <c r="M207" s="679"/>
      <c r="N207" s="679"/>
      <c r="O207" s="679"/>
      <c r="P207" s="679"/>
      <c r="Q207" s="679"/>
      <c r="R207" s="679"/>
      <c r="S207" s="679"/>
      <c r="T207" s="680"/>
      <c r="U207"/>
      <c r="V207"/>
      <c r="W207"/>
    </row>
    <row r="208" spans="1:25" ht="15.75">
      <c r="A208" s="379"/>
      <c r="B208" s="579" t="s">
        <v>1143</v>
      </c>
      <c r="C208" s="580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  <c r="Q208" s="581"/>
      <c r="R208" s="581"/>
      <c r="S208" s="581"/>
      <c r="T208" s="582"/>
      <c r="U208"/>
      <c r="V208"/>
      <c r="W208"/>
    </row>
    <row r="209" spans="1:25" s="386" customFormat="1" ht="15.75">
      <c r="A209" s="379"/>
      <c r="B209" s="681" t="s">
        <v>1145</v>
      </c>
      <c r="C209" s="383">
        <v>0</v>
      </c>
      <c r="D209" s="384">
        <v>0</v>
      </c>
      <c r="E209" s="384">
        <v>0</v>
      </c>
      <c r="F209" s="384">
        <v>0</v>
      </c>
      <c r="G209" s="384">
        <v>0</v>
      </c>
      <c r="H209" s="384">
        <v>0</v>
      </c>
      <c r="I209" s="384">
        <v>0</v>
      </c>
      <c r="J209" s="384">
        <v>0</v>
      </c>
      <c r="K209" s="384">
        <v>0</v>
      </c>
      <c r="L209" s="384">
        <v>0</v>
      </c>
      <c r="M209" s="384">
        <v>0</v>
      </c>
      <c r="N209" s="384">
        <v>0</v>
      </c>
      <c r="O209" s="384">
        <v>0</v>
      </c>
      <c r="P209" s="384">
        <v>0</v>
      </c>
      <c r="Q209" s="384">
        <v>0</v>
      </c>
      <c r="R209" s="384">
        <v>0</v>
      </c>
      <c r="S209" s="384">
        <v>0</v>
      </c>
      <c r="T209" s="385">
        <v>0</v>
      </c>
      <c r="U209">
        <v>0</v>
      </c>
      <c r="V209"/>
      <c r="W209"/>
      <c r="X209" s="3"/>
      <c r="Y209" s="3"/>
    </row>
    <row r="210" spans="1:25" ht="15.75">
      <c r="A210" s="379"/>
      <c r="B210" s="677" t="s">
        <v>1147</v>
      </c>
      <c r="C210" s="678"/>
      <c r="D210" s="679"/>
      <c r="E210" s="679"/>
      <c r="F210" s="679"/>
      <c r="G210" s="679"/>
      <c r="H210" s="679"/>
      <c r="I210" s="679"/>
      <c r="J210" s="679"/>
      <c r="K210" s="679"/>
      <c r="L210" s="679"/>
      <c r="M210" s="679"/>
      <c r="N210" s="679"/>
      <c r="O210" s="679"/>
      <c r="P210" s="679"/>
      <c r="Q210" s="679"/>
      <c r="R210" s="679"/>
      <c r="S210" s="679"/>
      <c r="T210" s="680"/>
      <c r="U210"/>
      <c r="V210"/>
      <c r="W210"/>
    </row>
    <row r="211" spans="1:25" ht="15.75">
      <c r="A211" s="379"/>
      <c r="B211" s="579" t="s">
        <v>1149</v>
      </c>
      <c r="C211" s="580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  <c r="Q211" s="581"/>
      <c r="R211" s="581"/>
      <c r="S211" s="581"/>
      <c r="T211" s="582"/>
      <c r="U211"/>
      <c r="V211"/>
      <c r="W211"/>
    </row>
    <row r="212" spans="1:25" s="386" customFormat="1" ht="15.75">
      <c r="A212" s="379"/>
      <c r="B212" s="681" t="s">
        <v>1151</v>
      </c>
      <c r="C212" s="383">
        <v>0</v>
      </c>
      <c r="D212" s="384">
        <v>0</v>
      </c>
      <c r="E212" s="384">
        <v>0</v>
      </c>
      <c r="F212" s="384">
        <v>0</v>
      </c>
      <c r="G212" s="384">
        <v>0</v>
      </c>
      <c r="H212" s="384">
        <v>0</v>
      </c>
      <c r="I212" s="384">
        <v>0</v>
      </c>
      <c r="J212" s="384">
        <v>0</v>
      </c>
      <c r="K212" s="384">
        <v>0</v>
      </c>
      <c r="L212" s="384">
        <v>0</v>
      </c>
      <c r="M212" s="384">
        <v>0</v>
      </c>
      <c r="N212" s="384">
        <v>0</v>
      </c>
      <c r="O212" s="384">
        <v>0</v>
      </c>
      <c r="P212" s="384">
        <v>0</v>
      </c>
      <c r="Q212" s="384">
        <v>0</v>
      </c>
      <c r="R212" s="384">
        <v>0</v>
      </c>
      <c r="S212" s="384">
        <v>0</v>
      </c>
      <c r="T212" s="385">
        <v>0</v>
      </c>
      <c r="U212">
        <v>0</v>
      </c>
      <c r="V212"/>
      <c r="W212"/>
      <c r="X212" s="3"/>
      <c r="Y212" s="3"/>
    </row>
    <row r="213" spans="1:25" ht="15.75">
      <c r="A213" s="379"/>
      <c r="B213" s="677" t="s">
        <v>1155</v>
      </c>
      <c r="C213" s="678">
        <v>0</v>
      </c>
      <c r="D213" s="679">
        <v>0</v>
      </c>
      <c r="E213" s="679">
        <v>0</v>
      </c>
      <c r="F213" s="679">
        <v>0</v>
      </c>
      <c r="G213" s="679">
        <v>0</v>
      </c>
      <c r="H213" s="679">
        <v>0</v>
      </c>
      <c r="I213" s="679">
        <v>0</v>
      </c>
      <c r="J213" s="679">
        <v>0</v>
      </c>
      <c r="K213" s="679">
        <v>0</v>
      </c>
      <c r="L213" s="679">
        <v>0</v>
      </c>
      <c r="M213" s="679">
        <v>0</v>
      </c>
      <c r="N213" s="679">
        <v>0</v>
      </c>
      <c r="O213" s="679"/>
      <c r="P213" s="679"/>
      <c r="Q213" s="679"/>
      <c r="R213" s="679"/>
      <c r="S213" s="679">
        <v>0</v>
      </c>
      <c r="T213" s="680">
        <v>0</v>
      </c>
      <c r="U213">
        <v>0</v>
      </c>
      <c r="V213"/>
      <c r="W213"/>
    </row>
    <row r="214" spans="1:25" ht="15.75">
      <c r="A214" s="379"/>
      <c r="B214" s="579" t="s">
        <v>1153</v>
      </c>
      <c r="C214" s="580">
        <v>0</v>
      </c>
      <c r="D214" s="581">
        <v>0</v>
      </c>
      <c r="E214" s="581">
        <v>0</v>
      </c>
      <c r="F214" s="581">
        <v>0</v>
      </c>
      <c r="G214" s="581">
        <v>0</v>
      </c>
      <c r="H214" s="581">
        <v>0</v>
      </c>
      <c r="I214" s="581">
        <v>0</v>
      </c>
      <c r="J214" s="581">
        <v>0</v>
      </c>
      <c r="K214" s="581">
        <v>0</v>
      </c>
      <c r="L214" s="581">
        <v>0</v>
      </c>
      <c r="M214" s="581">
        <v>0</v>
      </c>
      <c r="N214" s="581">
        <v>0</v>
      </c>
      <c r="O214" s="581"/>
      <c r="P214" s="581"/>
      <c r="Q214" s="581"/>
      <c r="R214" s="581"/>
      <c r="S214" s="581">
        <v>0</v>
      </c>
      <c r="T214" s="582">
        <v>0</v>
      </c>
      <c r="U214">
        <v>0</v>
      </c>
      <c r="V214"/>
      <c r="W214"/>
    </row>
    <row r="215" spans="1:25" s="386" customFormat="1" ht="15.75">
      <c r="A215" s="387"/>
      <c r="B215" s="681" t="s">
        <v>1157</v>
      </c>
      <c r="C215" s="383">
        <v>0</v>
      </c>
      <c r="D215" s="384">
        <v>0</v>
      </c>
      <c r="E215" s="384">
        <v>0</v>
      </c>
      <c r="F215" s="384">
        <v>0</v>
      </c>
      <c r="G215" s="384">
        <v>0</v>
      </c>
      <c r="H215" s="384">
        <v>0</v>
      </c>
      <c r="I215" s="384">
        <v>0</v>
      </c>
      <c r="J215" s="384">
        <v>0</v>
      </c>
      <c r="K215" s="384">
        <v>0</v>
      </c>
      <c r="L215" s="384">
        <v>0</v>
      </c>
      <c r="M215" s="384">
        <v>0</v>
      </c>
      <c r="N215" s="384">
        <v>0</v>
      </c>
      <c r="O215" s="384">
        <v>0</v>
      </c>
      <c r="P215" s="384">
        <v>0</v>
      </c>
      <c r="Q215" s="384">
        <v>0</v>
      </c>
      <c r="R215" s="384">
        <v>0</v>
      </c>
      <c r="S215" s="384">
        <v>0</v>
      </c>
      <c r="T215" s="385">
        <v>0</v>
      </c>
      <c r="U215">
        <v>0</v>
      </c>
      <c r="V215"/>
      <c r="W215"/>
      <c r="X215" s="3"/>
      <c r="Y215" s="3"/>
    </row>
    <row r="216" spans="1:25" ht="15.75">
      <c r="A216" s="673" t="s">
        <v>347</v>
      </c>
      <c r="B216" s="677" t="s">
        <v>1048</v>
      </c>
      <c r="C216" s="678">
        <v>15242</v>
      </c>
      <c r="D216" s="679">
        <v>5022</v>
      </c>
      <c r="E216" s="679">
        <v>4241</v>
      </c>
      <c r="F216" s="679">
        <v>2424</v>
      </c>
      <c r="G216" s="679">
        <v>2594</v>
      </c>
      <c r="H216" s="679">
        <v>308</v>
      </c>
      <c r="I216" s="679">
        <v>29831</v>
      </c>
      <c r="J216" s="679"/>
      <c r="K216" s="679"/>
      <c r="L216" s="679"/>
      <c r="M216" s="679"/>
      <c r="N216" s="679"/>
      <c r="O216" s="679"/>
      <c r="P216" s="679"/>
      <c r="Q216" s="679"/>
      <c r="R216" s="679"/>
      <c r="S216" s="679">
        <v>280</v>
      </c>
      <c r="T216" s="680">
        <v>280</v>
      </c>
      <c r="U216">
        <v>30111</v>
      </c>
      <c r="V216"/>
      <c r="W216"/>
    </row>
    <row r="217" spans="1:25" ht="15.75">
      <c r="A217" s="379"/>
      <c r="B217" s="579" t="s">
        <v>1049</v>
      </c>
      <c r="C217" s="580">
        <v>15831</v>
      </c>
      <c r="D217" s="581">
        <v>5185</v>
      </c>
      <c r="E217" s="581">
        <v>4407</v>
      </c>
      <c r="F217" s="581">
        <v>2371</v>
      </c>
      <c r="G217" s="581">
        <v>2644</v>
      </c>
      <c r="H217" s="581">
        <v>287</v>
      </c>
      <c r="I217" s="581">
        <v>30725</v>
      </c>
      <c r="J217" s="581"/>
      <c r="K217" s="581"/>
      <c r="L217" s="581"/>
      <c r="M217" s="581"/>
      <c r="N217" s="581"/>
      <c r="O217" s="581"/>
      <c r="P217" s="581"/>
      <c r="Q217" s="581"/>
      <c r="R217" s="581"/>
      <c r="S217" s="581">
        <v>290</v>
      </c>
      <c r="T217" s="582">
        <v>290</v>
      </c>
      <c r="U217">
        <v>31015</v>
      </c>
      <c r="V217"/>
      <c r="W217"/>
    </row>
    <row r="218" spans="1:25" s="386" customFormat="1" ht="15.75">
      <c r="A218" s="379"/>
      <c r="B218" s="681" t="s">
        <v>1050</v>
      </c>
      <c r="C218" s="383">
        <v>3.8643222674189737E-2</v>
      </c>
      <c r="D218" s="384">
        <v>3.2457188371166866E-2</v>
      </c>
      <c r="E218" s="384">
        <v>3.914171186041028E-2</v>
      </c>
      <c r="F218" s="384">
        <v>-2.1864686468646866E-2</v>
      </c>
      <c r="G218" s="384">
        <v>1.9275250578257519E-2</v>
      </c>
      <c r="H218" s="384">
        <v>-6.8181818181818177E-2</v>
      </c>
      <c r="I218" s="384">
        <v>2.9968824377325599E-2</v>
      </c>
      <c r="J218" s="384">
        <v>0</v>
      </c>
      <c r="K218" s="384">
        <v>0</v>
      </c>
      <c r="L218" s="384">
        <v>0</v>
      </c>
      <c r="M218" s="384">
        <v>0</v>
      </c>
      <c r="N218" s="384">
        <v>0</v>
      </c>
      <c r="O218" s="384">
        <v>0</v>
      </c>
      <c r="P218" s="384">
        <v>0</v>
      </c>
      <c r="Q218" s="384">
        <v>0</v>
      </c>
      <c r="R218" s="384">
        <v>0</v>
      </c>
      <c r="S218" s="384">
        <v>3.5714285714285712E-2</v>
      </c>
      <c r="T218" s="385">
        <v>3.5714285714285712E-2</v>
      </c>
      <c r="U218">
        <v>3.0022251004616252E-2</v>
      </c>
      <c r="V218"/>
      <c r="W218"/>
      <c r="X218" s="3"/>
      <c r="Y218" s="3"/>
    </row>
    <row r="219" spans="1:25" ht="15.75">
      <c r="A219" s="379"/>
      <c r="B219" s="677" t="s">
        <v>1135</v>
      </c>
      <c r="C219" s="678"/>
      <c r="D219" s="679"/>
      <c r="E219" s="679"/>
      <c r="F219" s="679"/>
      <c r="G219" s="679"/>
      <c r="H219" s="679"/>
      <c r="I219" s="679"/>
      <c r="J219" s="679"/>
      <c r="K219" s="679"/>
      <c r="L219" s="679"/>
      <c r="M219" s="679"/>
      <c r="N219" s="679"/>
      <c r="O219" s="679"/>
      <c r="P219" s="679"/>
      <c r="Q219" s="679"/>
      <c r="R219" s="679"/>
      <c r="S219" s="679"/>
      <c r="T219" s="680"/>
      <c r="U219"/>
      <c r="V219"/>
      <c r="W219"/>
    </row>
    <row r="220" spans="1:25" ht="15.75">
      <c r="A220" s="379"/>
      <c r="B220" s="579" t="s">
        <v>1137</v>
      </c>
      <c r="C220" s="580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  <c r="Q220" s="581"/>
      <c r="R220" s="581"/>
      <c r="S220" s="581"/>
      <c r="T220" s="582"/>
      <c r="U220"/>
      <c r="V220"/>
      <c r="W220"/>
    </row>
    <row r="221" spans="1:25" s="386" customFormat="1" ht="15.75">
      <c r="A221" s="379"/>
      <c r="B221" s="681" t="s">
        <v>1139</v>
      </c>
      <c r="C221" s="383">
        <v>0</v>
      </c>
      <c r="D221" s="384">
        <v>0</v>
      </c>
      <c r="E221" s="384">
        <v>0</v>
      </c>
      <c r="F221" s="384">
        <v>0</v>
      </c>
      <c r="G221" s="384">
        <v>0</v>
      </c>
      <c r="H221" s="384">
        <v>0</v>
      </c>
      <c r="I221" s="384">
        <v>0</v>
      </c>
      <c r="J221" s="384">
        <v>0</v>
      </c>
      <c r="K221" s="384">
        <v>0</v>
      </c>
      <c r="L221" s="384">
        <v>0</v>
      </c>
      <c r="M221" s="384">
        <v>0</v>
      </c>
      <c r="N221" s="384">
        <v>0</v>
      </c>
      <c r="O221" s="384">
        <v>0</v>
      </c>
      <c r="P221" s="384">
        <v>0</v>
      </c>
      <c r="Q221" s="384">
        <v>0</v>
      </c>
      <c r="R221" s="384">
        <v>0</v>
      </c>
      <c r="S221" s="384">
        <v>0</v>
      </c>
      <c r="T221" s="385">
        <v>0</v>
      </c>
      <c r="U221">
        <v>0</v>
      </c>
      <c r="V221"/>
      <c r="W221"/>
      <c r="X221" s="3"/>
      <c r="Y221" s="3"/>
    </row>
    <row r="222" spans="1:25" ht="15.75">
      <c r="A222" s="379"/>
      <c r="B222" s="677" t="s">
        <v>1141</v>
      </c>
      <c r="C222" s="678"/>
      <c r="D222" s="679"/>
      <c r="E222" s="679"/>
      <c r="F222" s="679"/>
      <c r="G222" s="679"/>
      <c r="H222" s="679"/>
      <c r="I222" s="679"/>
      <c r="J222" s="679"/>
      <c r="K222" s="679"/>
      <c r="L222" s="679"/>
      <c r="M222" s="679"/>
      <c r="N222" s="679"/>
      <c r="O222" s="679"/>
      <c r="P222" s="679"/>
      <c r="Q222" s="679"/>
      <c r="R222" s="679"/>
      <c r="S222" s="679"/>
      <c r="T222" s="680"/>
      <c r="U222"/>
      <c r="V222"/>
      <c r="W222"/>
    </row>
    <row r="223" spans="1:25" ht="15.75">
      <c r="A223" s="379"/>
      <c r="B223" s="579" t="s">
        <v>1143</v>
      </c>
      <c r="C223" s="580"/>
      <c r="D223" s="581"/>
      <c r="E223" s="581"/>
      <c r="F223" s="581"/>
      <c r="G223" s="581"/>
      <c r="H223" s="581"/>
      <c r="I223" s="581"/>
      <c r="J223" s="581"/>
      <c r="K223" s="581"/>
      <c r="L223" s="581"/>
      <c r="M223" s="581"/>
      <c r="N223" s="581"/>
      <c r="O223" s="581"/>
      <c r="P223" s="581"/>
      <c r="Q223" s="581"/>
      <c r="R223" s="581"/>
      <c r="S223" s="581"/>
      <c r="T223" s="582"/>
      <c r="U223"/>
      <c r="V223"/>
      <c r="W223"/>
    </row>
    <row r="224" spans="1:25" s="386" customFormat="1" ht="15.75">
      <c r="A224" s="379"/>
      <c r="B224" s="681" t="s">
        <v>1145</v>
      </c>
      <c r="C224" s="383">
        <v>0</v>
      </c>
      <c r="D224" s="384">
        <v>0</v>
      </c>
      <c r="E224" s="384">
        <v>0</v>
      </c>
      <c r="F224" s="384">
        <v>0</v>
      </c>
      <c r="G224" s="384">
        <v>0</v>
      </c>
      <c r="H224" s="384">
        <v>0</v>
      </c>
      <c r="I224" s="384">
        <v>0</v>
      </c>
      <c r="J224" s="384">
        <v>0</v>
      </c>
      <c r="K224" s="384">
        <v>0</v>
      </c>
      <c r="L224" s="384">
        <v>0</v>
      </c>
      <c r="M224" s="384">
        <v>0</v>
      </c>
      <c r="N224" s="384">
        <v>0</v>
      </c>
      <c r="O224" s="384">
        <v>0</v>
      </c>
      <c r="P224" s="384">
        <v>0</v>
      </c>
      <c r="Q224" s="384">
        <v>0</v>
      </c>
      <c r="R224" s="384">
        <v>0</v>
      </c>
      <c r="S224" s="384">
        <v>0</v>
      </c>
      <c r="T224" s="385">
        <v>0</v>
      </c>
      <c r="U224">
        <v>0</v>
      </c>
      <c r="V224"/>
      <c r="W224"/>
      <c r="X224" s="3"/>
      <c r="Y224" s="3"/>
    </row>
    <row r="225" spans="1:25" ht="15.75">
      <c r="A225" s="379"/>
      <c r="B225" s="677" t="s">
        <v>1147</v>
      </c>
      <c r="C225" s="678"/>
      <c r="D225" s="679"/>
      <c r="E225" s="679"/>
      <c r="F225" s="679"/>
      <c r="G225" s="679"/>
      <c r="H225" s="679"/>
      <c r="I225" s="679"/>
      <c r="J225" s="679"/>
      <c r="K225" s="679"/>
      <c r="L225" s="679"/>
      <c r="M225" s="679"/>
      <c r="N225" s="679"/>
      <c r="O225" s="679"/>
      <c r="P225" s="679"/>
      <c r="Q225" s="679"/>
      <c r="R225" s="679"/>
      <c r="S225" s="679"/>
      <c r="T225" s="680"/>
      <c r="U225"/>
      <c r="V225"/>
      <c r="W225"/>
    </row>
    <row r="226" spans="1:25" ht="15.75">
      <c r="A226" s="379"/>
      <c r="B226" s="579" t="s">
        <v>1149</v>
      </c>
      <c r="C226" s="580">
        <v>304</v>
      </c>
      <c r="D226" s="581">
        <v>192</v>
      </c>
      <c r="E226" s="581">
        <v>429</v>
      </c>
      <c r="F226" s="581">
        <v>201</v>
      </c>
      <c r="G226" s="581">
        <v>325</v>
      </c>
      <c r="H226" s="581">
        <v>53</v>
      </c>
      <c r="I226" s="581">
        <v>1504</v>
      </c>
      <c r="J226" s="581"/>
      <c r="K226" s="581"/>
      <c r="L226" s="581"/>
      <c r="M226" s="581"/>
      <c r="N226" s="581"/>
      <c r="O226" s="581"/>
      <c r="P226" s="581"/>
      <c r="Q226" s="581"/>
      <c r="R226" s="581"/>
      <c r="S226" s="581"/>
      <c r="T226" s="582"/>
      <c r="U226">
        <v>1504</v>
      </c>
      <c r="V226"/>
      <c r="W226"/>
    </row>
    <row r="227" spans="1:25" s="386" customFormat="1" ht="15.75">
      <c r="A227" s="379"/>
      <c r="B227" s="681" t="s">
        <v>1151</v>
      </c>
      <c r="C227" s="383">
        <v>0</v>
      </c>
      <c r="D227" s="384">
        <v>0</v>
      </c>
      <c r="E227" s="384">
        <v>0</v>
      </c>
      <c r="F227" s="384">
        <v>0</v>
      </c>
      <c r="G227" s="384">
        <v>0</v>
      </c>
      <c r="H227" s="384">
        <v>0</v>
      </c>
      <c r="I227" s="384">
        <v>0</v>
      </c>
      <c r="J227" s="384">
        <v>0</v>
      </c>
      <c r="K227" s="384">
        <v>0</v>
      </c>
      <c r="L227" s="384">
        <v>0</v>
      </c>
      <c r="M227" s="384">
        <v>0</v>
      </c>
      <c r="N227" s="384">
        <v>0</v>
      </c>
      <c r="O227" s="384">
        <v>0</v>
      </c>
      <c r="P227" s="384">
        <v>0</v>
      </c>
      <c r="Q227" s="384">
        <v>0</v>
      </c>
      <c r="R227" s="384">
        <v>0</v>
      </c>
      <c r="S227" s="384">
        <v>0</v>
      </c>
      <c r="T227" s="385">
        <v>0</v>
      </c>
      <c r="U227">
        <v>0</v>
      </c>
      <c r="V227"/>
      <c r="W227"/>
      <c r="X227" s="3"/>
      <c r="Y227" s="3"/>
    </row>
    <row r="228" spans="1:25" ht="15.75">
      <c r="A228" s="379"/>
      <c r="B228" s="677" t="s">
        <v>1155</v>
      </c>
      <c r="C228" s="678">
        <v>0</v>
      </c>
      <c r="D228" s="679">
        <v>0</v>
      </c>
      <c r="E228" s="679">
        <v>0</v>
      </c>
      <c r="F228" s="679">
        <v>0</v>
      </c>
      <c r="G228" s="679">
        <v>0</v>
      </c>
      <c r="H228" s="679">
        <v>0</v>
      </c>
      <c r="I228" s="679">
        <v>0</v>
      </c>
      <c r="J228" s="679"/>
      <c r="K228" s="679">
        <v>0</v>
      </c>
      <c r="L228" s="679">
        <v>0</v>
      </c>
      <c r="M228" s="679">
        <v>0</v>
      </c>
      <c r="N228" s="679">
        <v>0</v>
      </c>
      <c r="O228" s="679"/>
      <c r="P228" s="679"/>
      <c r="Q228" s="679"/>
      <c r="R228" s="679"/>
      <c r="S228" s="679">
        <v>0</v>
      </c>
      <c r="T228" s="680">
        <v>0</v>
      </c>
      <c r="U228">
        <v>0</v>
      </c>
      <c r="V228"/>
      <c r="W228"/>
    </row>
    <row r="229" spans="1:25" ht="15.75">
      <c r="A229" s="379"/>
      <c r="B229" s="579" t="s">
        <v>1153</v>
      </c>
      <c r="C229" s="580">
        <v>304</v>
      </c>
      <c r="D229" s="581">
        <v>192</v>
      </c>
      <c r="E229" s="581">
        <v>429</v>
      </c>
      <c r="F229" s="581">
        <v>201</v>
      </c>
      <c r="G229" s="581">
        <v>325</v>
      </c>
      <c r="H229" s="581">
        <v>53</v>
      </c>
      <c r="I229" s="581">
        <v>1504</v>
      </c>
      <c r="J229" s="581"/>
      <c r="K229" s="581">
        <v>0</v>
      </c>
      <c r="L229" s="581">
        <v>0</v>
      </c>
      <c r="M229" s="581">
        <v>0</v>
      </c>
      <c r="N229" s="581">
        <v>0</v>
      </c>
      <c r="O229" s="581"/>
      <c r="P229" s="581"/>
      <c r="Q229" s="581"/>
      <c r="R229" s="581"/>
      <c r="S229" s="581">
        <v>0</v>
      </c>
      <c r="T229" s="582">
        <v>0</v>
      </c>
      <c r="U229">
        <v>1504</v>
      </c>
      <c r="V229"/>
      <c r="W229"/>
    </row>
    <row r="230" spans="1:25" s="386" customFormat="1" ht="15.75">
      <c r="A230" s="387"/>
      <c r="B230" s="681" t="s">
        <v>1157</v>
      </c>
      <c r="C230" s="383">
        <v>0</v>
      </c>
      <c r="D230" s="384">
        <v>0</v>
      </c>
      <c r="E230" s="384">
        <v>0</v>
      </c>
      <c r="F230" s="384">
        <v>0</v>
      </c>
      <c r="G230" s="384">
        <v>0</v>
      </c>
      <c r="H230" s="384">
        <v>0</v>
      </c>
      <c r="I230" s="384">
        <v>0</v>
      </c>
      <c r="J230" s="384">
        <v>0</v>
      </c>
      <c r="K230" s="384">
        <v>0</v>
      </c>
      <c r="L230" s="384">
        <v>0</v>
      </c>
      <c r="M230" s="384">
        <v>0</v>
      </c>
      <c r="N230" s="384">
        <v>0</v>
      </c>
      <c r="O230" s="384">
        <v>0</v>
      </c>
      <c r="P230" s="384">
        <v>0</v>
      </c>
      <c r="Q230" s="384">
        <v>0</v>
      </c>
      <c r="R230" s="384">
        <v>0</v>
      </c>
      <c r="S230" s="384">
        <v>0</v>
      </c>
      <c r="T230" s="385">
        <v>0</v>
      </c>
      <c r="U230">
        <v>0</v>
      </c>
      <c r="V230"/>
      <c r="W230"/>
      <c r="X230" s="3"/>
      <c r="Y230" s="3"/>
    </row>
    <row r="231" spans="1:25" ht="15.75">
      <c r="A231" s="673" t="s">
        <v>70</v>
      </c>
      <c r="B231" s="677" t="s">
        <v>1048</v>
      </c>
      <c r="C231" s="678">
        <v>3790</v>
      </c>
      <c r="D231" s="679"/>
      <c r="E231" s="679">
        <v>1450</v>
      </c>
      <c r="F231" s="679"/>
      <c r="G231" s="679">
        <v>671</v>
      </c>
      <c r="H231" s="679">
        <v>2412</v>
      </c>
      <c r="I231" s="679">
        <v>8323</v>
      </c>
      <c r="J231" s="679">
        <v>206</v>
      </c>
      <c r="K231" s="679"/>
      <c r="L231" s="679"/>
      <c r="M231" s="679"/>
      <c r="N231" s="679">
        <v>206</v>
      </c>
      <c r="O231" s="679"/>
      <c r="P231" s="679"/>
      <c r="Q231" s="679"/>
      <c r="R231" s="679"/>
      <c r="S231" s="679"/>
      <c r="T231" s="680"/>
      <c r="U231">
        <v>8529</v>
      </c>
      <c r="V231"/>
      <c r="W231"/>
    </row>
    <row r="232" spans="1:25" ht="15.75">
      <c r="A232" s="379"/>
      <c r="B232" s="579" t="s">
        <v>1049</v>
      </c>
      <c r="C232" s="580">
        <v>3892</v>
      </c>
      <c r="D232" s="581"/>
      <c r="E232" s="581">
        <v>1400</v>
      </c>
      <c r="F232" s="581"/>
      <c r="G232" s="581">
        <v>645</v>
      </c>
      <c r="H232" s="581">
        <v>2305</v>
      </c>
      <c r="I232" s="581">
        <v>8242</v>
      </c>
      <c r="J232" s="581">
        <v>197</v>
      </c>
      <c r="K232" s="581"/>
      <c r="L232" s="581"/>
      <c r="M232" s="581"/>
      <c r="N232" s="581">
        <v>197</v>
      </c>
      <c r="O232" s="581"/>
      <c r="P232" s="581"/>
      <c r="Q232" s="581"/>
      <c r="R232" s="581"/>
      <c r="S232" s="581"/>
      <c r="T232" s="582"/>
      <c r="U232">
        <v>8439</v>
      </c>
      <c r="V232"/>
      <c r="W232"/>
    </row>
    <row r="233" spans="1:25" s="386" customFormat="1" ht="15.75">
      <c r="A233" s="379"/>
      <c r="B233" s="681" t="s">
        <v>1050</v>
      </c>
      <c r="C233" s="383">
        <v>2.6912928759894459E-2</v>
      </c>
      <c r="D233" s="384">
        <v>0</v>
      </c>
      <c r="E233" s="384">
        <v>-3.4482758620689655E-2</v>
      </c>
      <c r="F233" s="384">
        <v>0</v>
      </c>
      <c r="G233" s="384">
        <v>-3.8748137108792845E-2</v>
      </c>
      <c r="H233" s="384">
        <v>-4.4361525704809286E-2</v>
      </c>
      <c r="I233" s="384">
        <v>-9.7320677640273939E-3</v>
      </c>
      <c r="J233" s="384">
        <v>-4.3689320388349516E-2</v>
      </c>
      <c r="K233" s="384">
        <v>0</v>
      </c>
      <c r="L233" s="384">
        <v>0</v>
      </c>
      <c r="M233" s="384">
        <v>0</v>
      </c>
      <c r="N233" s="384">
        <v>-4.3689320388349516E-2</v>
      </c>
      <c r="O233" s="384">
        <v>0</v>
      </c>
      <c r="P233" s="384">
        <v>0</v>
      </c>
      <c r="Q233" s="384">
        <v>0</v>
      </c>
      <c r="R233" s="384">
        <v>0</v>
      </c>
      <c r="S233" s="384">
        <v>0</v>
      </c>
      <c r="T233" s="385">
        <v>0</v>
      </c>
      <c r="U233">
        <v>-1.0552233556102708E-2</v>
      </c>
      <c r="V233"/>
      <c r="W233"/>
      <c r="X233" s="3"/>
      <c r="Y233" s="3"/>
    </row>
    <row r="234" spans="1:25" ht="15.75">
      <c r="A234" s="379"/>
      <c r="B234" s="677" t="s">
        <v>1135</v>
      </c>
      <c r="C234" s="678"/>
      <c r="D234" s="679"/>
      <c r="E234" s="679">
        <v>159</v>
      </c>
      <c r="F234" s="679"/>
      <c r="G234" s="679">
        <v>106</v>
      </c>
      <c r="H234" s="679">
        <v>396</v>
      </c>
      <c r="I234" s="679">
        <v>661</v>
      </c>
      <c r="J234" s="679">
        <v>40</v>
      </c>
      <c r="K234" s="679"/>
      <c r="L234" s="679"/>
      <c r="M234" s="679"/>
      <c r="N234" s="679">
        <v>40</v>
      </c>
      <c r="O234" s="679"/>
      <c r="P234" s="679"/>
      <c r="Q234" s="679"/>
      <c r="R234" s="679"/>
      <c r="S234" s="679"/>
      <c r="T234" s="680"/>
      <c r="U234">
        <v>701</v>
      </c>
      <c r="V234"/>
      <c r="W234"/>
    </row>
    <row r="235" spans="1:25" ht="15.75">
      <c r="A235" s="379"/>
      <c r="B235" s="579" t="s">
        <v>1137</v>
      </c>
      <c r="C235" s="580"/>
      <c r="D235" s="581"/>
      <c r="E235" s="581">
        <v>149</v>
      </c>
      <c r="F235" s="581"/>
      <c r="G235" s="581">
        <v>76</v>
      </c>
      <c r="H235" s="581">
        <v>402</v>
      </c>
      <c r="I235" s="581">
        <v>627</v>
      </c>
      <c r="J235" s="581">
        <v>31</v>
      </c>
      <c r="K235" s="581"/>
      <c r="L235" s="581"/>
      <c r="M235" s="581"/>
      <c r="N235" s="581">
        <v>31</v>
      </c>
      <c r="O235" s="581"/>
      <c r="P235" s="581"/>
      <c r="Q235" s="581"/>
      <c r="R235" s="581"/>
      <c r="S235" s="581"/>
      <c r="T235" s="582"/>
      <c r="U235">
        <v>658</v>
      </c>
      <c r="V235"/>
      <c r="W235"/>
    </row>
    <row r="236" spans="1:25" s="386" customFormat="1" ht="15.75">
      <c r="A236" s="379"/>
      <c r="B236" s="681" t="s">
        <v>1139</v>
      </c>
      <c r="C236" s="383">
        <v>0</v>
      </c>
      <c r="D236" s="384">
        <v>0</v>
      </c>
      <c r="E236" s="384">
        <v>-6.2893081761006289E-2</v>
      </c>
      <c r="F236" s="384">
        <v>0</v>
      </c>
      <c r="G236" s="384">
        <v>-0.28301886792452829</v>
      </c>
      <c r="H236" s="384">
        <v>1.5151515151515152E-2</v>
      </c>
      <c r="I236" s="384">
        <v>-5.1437216338880487E-2</v>
      </c>
      <c r="J236" s="384">
        <v>-0.22500000000000001</v>
      </c>
      <c r="K236" s="384">
        <v>0</v>
      </c>
      <c r="L236" s="384">
        <v>0</v>
      </c>
      <c r="M236" s="384">
        <v>0</v>
      </c>
      <c r="N236" s="384">
        <v>-0.22500000000000001</v>
      </c>
      <c r="O236" s="384">
        <v>0</v>
      </c>
      <c r="P236" s="384">
        <v>0</v>
      </c>
      <c r="Q236" s="384">
        <v>0</v>
      </c>
      <c r="R236" s="384">
        <v>0</v>
      </c>
      <c r="S236" s="384">
        <v>0</v>
      </c>
      <c r="T236" s="385">
        <v>0</v>
      </c>
      <c r="U236">
        <v>-6.1340941512125532E-2</v>
      </c>
      <c r="V236"/>
      <c r="W236"/>
      <c r="X236" s="3"/>
      <c r="Y236" s="3"/>
    </row>
    <row r="237" spans="1:25" ht="15.75">
      <c r="A237" s="379"/>
      <c r="B237" s="677" t="s">
        <v>1141</v>
      </c>
      <c r="C237" s="678"/>
      <c r="D237" s="679"/>
      <c r="E237" s="679"/>
      <c r="F237" s="679"/>
      <c r="G237" s="679"/>
      <c r="H237" s="679"/>
      <c r="I237" s="679"/>
      <c r="J237" s="679"/>
      <c r="K237" s="679"/>
      <c r="L237" s="679"/>
      <c r="M237" s="679"/>
      <c r="N237" s="679"/>
      <c r="O237" s="679"/>
      <c r="P237" s="679"/>
      <c r="Q237" s="679"/>
      <c r="R237" s="679"/>
      <c r="S237" s="679"/>
      <c r="T237" s="680"/>
      <c r="U237"/>
      <c r="V237"/>
      <c r="W237"/>
    </row>
    <row r="238" spans="1:25" ht="15.75">
      <c r="A238" s="379"/>
      <c r="B238" s="579" t="s">
        <v>1143</v>
      </c>
      <c r="C238" s="580"/>
      <c r="D238" s="581"/>
      <c r="E238" s="581"/>
      <c r="F238" s="581"/>
      <c r="G238" s="581"/>
      <c r="H238" s="581"/>
      <c r="I238" s="581"/>
      <c r="J238" s="581"/>
      <c r="K238" s="581"/>
      <c r="L238" s="581"/>
      <c r="M238" s="581"/>
      <c r="N238" s="581"/>
      <c r="O238" s="581"/>
      <c r="P238" s="581"/>
      <c r="Q238" s="581"/>
      <c r="R238" s="581"/>
      <c r="S238" s="581"/>
      <c r="T238" s="582"/>
      <c r="U238"/>
      <c r="V238"/>
      <c r="W238"/>
    </row>
    <row r="239" spans="1:25" s="386" customFormat="1" ht="15.75">
      <c r="A239" s="379"/>
      <c r="B239" s="681" t="s">
        <v>1145</v>
      </c>
      <c r="C239" s="383">
        <v>0</v>
      </c>
      <c r="D239" s="384">
        <v>0</v>
      </c>
      <c r="E239" s="384">
        <v>0</v>
      </c>
      <c r="F239" s="384">
        <v>0</v>
      </c>
      <c r="G239" s="384">
        <v>0</v>
      </c>
      <c r="H239" s="384">
        <v>0</v>
      </c>
      <c r="I239" s="384">
        <v>0</v>
      </c>
      <c r="J239" s="384">
        <v>0</v>
      </c>
      <c r="K239" s="384">
        <v>0</v>
      </c>
      <c r="L239" s="384">
        <v>0</v>
      </c>
      <c r="M239" s="384">
        <v>0</v>
      </c>
      <c r="N239" s="384">
        <v>0</v>
      </c>
      <c r="O239" s="384">
        <v>0</v>
      </c>
      <c r="P239" s="384">
        <v>0</v>
      </c>
      <c r="Q239" s="384">
        <v>0</v>
      </c>
      <c r="R239" s="384">
        <v>0</v>
      </c>
      <c r="S239" s="384">
        <v>0</v>
      </c>
      <c r="T239" s="385">
        <v>0</v>
      </c>
      <c r="U239">
        <v>0</v>
      </c>
      <c r="V239"/>
      <c r="W239"/>
      <c r="X239" s="3"/>
      <c r="Y239" s="3"/>
    </row>
    <row r="240" spans="1:25" ht="15.75">
      <c r="A240" s="379"/>
      <c r="B240" s="677" t="s">
        <v>1147</v>
      </c>
      <c r="C240" s="678">
        <v>218</v>
      </c>
      <c r="D240" s="679"/>
      <c r="E240" s="679"/>
      <c r="F240" s="679"/>
      <c r="G240" s="679"/>
      <c r="H240" s="679"/>
      <c r="I240" s="679">
        <v>218</v>
      </c>
      <c r="J240" s="679"/>
      <c r="K240" s="679"/>
      <c r="L240" s="679"/>
      <c r="M240" s="679"/>
      <c r="N240" s="679"/>
      <c r="O240" s="679"/>
      <c r="P240" s="679"/>
      <c r="Q240" s="679"/>
      <c r="R240" s="679"/>
      <c r="S240" s="679"/>
      <c r="T240" s="680"/>
      <c r="U240">
        <v>218</v>
      </c>
      <c r="V240"/>
      <c r="W240"/>
    </row>
    <row r="241" spans="1:25" ht="15.75">
      <c r="A241" s="379"/>
      <c r="B241" s="579" t="s">
        <v>1149</v>
      </c>
      <c r="C241" s="580">
        <v>195</v>
      </c>
      <c r="D241" s="581"/>
      <c r="E241" s="581"/>
      <c r="F241" s="581"/>
      <c r="G241" s="581"/>
      <c r="H241" s="581"/>
      <c r="I241" s="581">
        <v>195</v>
      </c>
      <c r="J241" s="581"/>
      <c r="K241" s="581"/>
      <c r="L241" s="581"/>
      <c r="M241" s="581"/>
      <c r="N241" s="581"/>
      <c r="O241" s="581"/>
      <c r="P241" s="581"/>
      <c r="Q241" s="581"/>
      <c r="R241" s="581"/>
      <c r="S241" s="581"/>
      <c r="T241" s="582"/>
      <c r="U241">
        <v>195</v>
      </c>
      <c r="V241"/>
      <c r="W241"/>
    </row>
    <row r="242" spans="1:25" s="386" customFormat="1" ht="15.75">
      <c r="A242" s="379"/>
      <c r="B242" s="681" t="s">
        <v>1151</v>
      </c>
      <c r="C242" s="383">
        <v>-0.10550458715596331</v>
      </c>
      <c r="D242" s="384">
        <v>0</v>
      </c>
      <c r="E242" s="384">
        <v>0</v>
      </c>
      <c r="F242" s="384">
        <v>0</v>
      </c>
      <c r="G242" s="384">
        <v>0</v>
      </c>
      <c r="H242" s="384">
        <v>0</v>
      </c>
      <c r="I242" s="384">
        <v>-0.10550458715596331</v>
      </c>
      <c r="J242" s="384">
        <v>0</v>
      </c>
      <c r="K242" s="384">
        <v>0</v>
      </c>
      <c r="L242" s="384">
        <v>0</v>
      </c>
      <c r="M242" s="384">
        <v>0</v>
      </c>
      <c r="N242" s="384">
        <v>0</v>
      </c>
      <c r="O242" s="384">
        <v>0</v>
      </c>
      <c r="P242" s="384">
        <v>0</v>
      </c>
      <c r="Q242" s="384">
        <v>0</v>
      </c>
      <c r="R242" s="384">
        <v>0</v>
      </c>
      <c r="S242" s="384">
        <v>0</v>
      </c>
      <c r="T242" s="385">
        <v>0</v>
      </c>
      <c r="U242">
        <v>-0.10550458715596331</v>
      </c>
      <c r="V242"/>
      <c r="W242"/>
      <c r="X242" s="3"/>
      <c r="Y242" s="3"/>
    </row>
    <row r="243" spans="1:25" ht="15.75">
      <c r="A243" s="379"/>
      <c r="B243" s="677" t="s">
        <v>1155</v>
      </c>
      <c r="C243" s="678">
        <v>218</v>
      </c>
      <c r="D243" s="679"/>
      <c r="E243" s="679">
        <v>159</v>
      </c>
      <c r="F243" s="679"/>
      <c r="G243" s="679">
        <v>106</v>
      </c>
      <c r="H243" s="679">
        <v>396</v>
      </c>
      <c r="I243" s="679">
        <v>879</v>
      </c>
      <c r="J243" s="679">
        <v>40</v>
      </c>
      <c r="K243" s="679"/>
      <c r="L243" s="679">
        <v>0</v>
      </c>
      <c r="M243" s="679">
        <v>0</v>
      </c>
      <c r="N243" s="679">
        <v>40</v>
      </c>
      <c r="O243" s="679"/>
      <c r="P243" s="679"/>
      <c r="Q243" s="679"/>
      <c r="R243" s="679"/>
      <c r="S243" s="679">
        <v>0</v>
      </c>
      <c r="T243" s="680">
        <v>0</v>
      </c>
      <c r="U243">
        <v>919</v>
      </c>
      <c r="V243"/>
      <c r="W243"/>
    </row>
    <row r="244" spans="1:25" ht="15.75">
      <c r="A244" s="379"/>
      <c r="B244" s="579" t="s">
        <v>1153</v>
      </c>
      <c r="C244" s="580">
        <v>195</v>
      </c>
      <c r="D244" s="581"/>
      <c r="E244" s="581">
        <v>149</v>
      </c>
      <c r="F244" s="581"/>
      <c r="G244" s="581">
        <v>76</v>
      </c>
      <c r="H244" s="581">
        <v>402</v>
      </c>
      <c r="I244" s="581">
        <v>822</v>
      </c>
      <c r="J244" s="581">
        <v>31</v>
      </c>
      <c r="K244" s="581"/>
      <c r="L244" s="581">
        <v>0</v>
      </c>
      <c r="M244" s="581">
        <v>0</v>
      </c>
      <c r="N244" s="581">
        <v>31</v>
      </c>
      <c r="O244" s="581"/>
      <c r="P244" s="581"/>
      <c r="Q244" s="581"/>
      <c r="R244" s="581"/>
      <c r="S244" s="581">
        <v>0</v>
      </c>
      <c r="T244" s="582">
        <v>0</v>
      </c>
      <c r="U244">
        <v>853</v>
      </c>
      <c r="V244"/>
      <c r="W244"/>
    </row>
    <row r="245" spans="1:25" s="386" customFormat="1" ht="15.75">
      <c r="A245" s="387"/>
      <c r="B245" s="681" t="s">
        <v>1157</v>
      </c>
      <c r="C245" s="383">
        <v>-0.10550458715596331</v>
      </c>
      <c r="D245" s="384">
        <v>0</v>
      </c>
      <c r="E245" s="384">
        <v>-6.2893081761006289E-2</v>
      </c>
      <c r="F245" s="384">
        <v>0</v>
      </c>
      <c r="G245" s="384">
        <v>-0.28301886792452829</v>
      </c>
      <c r="H245" s="384">
        <v>1.5151515151515152E-2</v>
      </c>
      <c r="I245" s="384">
        <v>-6.4846416382252553E-2</v>
      </c>
      <c r="J245" s="384">
        <v>-0.22500000000000001</v>
      </c>
      <c r="K245" s="384">
        <v>0</v>
      </c>
      <c r="L245" s="384">
        <v>0</v>
      </c>
      <c r="M245" s="384">
        <v>0</v>
      </c>
      <c r="N245" s="384">
        <v>-0.22500000000000001</v>
      </c>
      <c r="O245" s="384">
        <v>0</v>
      </c>
      <c r="P245" s="384">
        <v>0</v>
      </c>
      <c r="Q245" s="384">
        <v>0</v>
      </c>
      <c r="R245" s="384">
        <v>0</v>
      </c>
      <c r="S245" s="384">
        <v>0</v>
      </c>
      <c r="T245" s="385">
        <v>0</v>
      </c>
      <c r="U245">
        <v>-7.181719260065289E-2</v>
      </c>
      <c r="V245"/>
      <c r="W245"/>
      <c r="X245" s="3"/>
      <c r="Y245" s="3"/>
    </row>
    <row r="246" spans="1:25" ht="15.75">
      <c r="A246" s="673" t="s">
        <v>1096</v>
      </c>
      <c r="B246" s="677"/>
      <c r="C246" s="678">
        <v>171437</v>
      </c>
      <c r="D246" s="679">
        <v>36548</v>
      </c>
      <c r="E246" s="679">
        <v>93330</v>
      </c>
      <c r="F246" s="679">
        <v>30390</v>
      </c>
      <c r="G246" s="679">
        <v>17372</v>
      </c>
      <c r="H246" s="679">
        <v>9915</v>
      </c>
      <c r="I246" s="679">
        <v>358992</v>
      </c>
      <c r="J246" s="679">
        <v>1286</v>
      </c>
      <c r="K246" s="679">
        <v>5</v>
      </c>
      <c r="L246" s="679">
        <v>25</v>
      </c>
      <c r="M246" s="679"/>
      <c r="N246" s="679">
        <v>1316</v>
      </c>
      <c r="O246" s="679">
        <v>0</v>
      </c>
      <c r="P246" s="679"/>
      <c r="Q246" s="679"/>
      <c r="R246" s="679">
        <v>0</v>
      </c>
      <c r="S246" s="679">
        <v>6967</v>
      </c>
      <c r="T246" s="680">
        <v>6967</v>
      </c>
      <c r="U246">
        <v>367275</v>
      </c>
      <c r="V246"/>
      <c r="W246"/>
    </row>
    <row r="247" spans="1:25" ht="15.75">
      <c r="A247" s="379" t="s">
        <v>1097</v>
      </c>
      <c r="B247" s="579"/>
      <c r="C247" s="580">
        <v>176199</v>
      </c>
      <c r="D247" s="581">
        <v>37597</v>
      </c>
      <c r="E247" s="581">
        <v>95922</v>
      </c>
      <c r="F247" s="581">
        <v>31300</v>
      </c>
      <c r="G247" s="581">
        <v>17850</v>
      </c>
      <c r="H247" s="581">
        <v>10030</v>
      </c>
      <c r="I247" s="581">
        <v>368898</v>
      </c>
      <c r="J247" s="581">
        <v>1670</v>
      </c>
      <c r="K247" s="581">
        <v>50</v>
      </c>
      <c r="L247" s="581">
        <v>96</v>
      </c>
      <c r="M247" s="581">
        <v>0</v>
      </c>
      <c r="N247" s="581">
        <v>1816</v>
      </c>
      <c r="O247" s="581">
        <v>0</v>
      </c>
      <c r="P247" s="581"/>
      <c r="Q247" s="581"/>
      <c r="R247" s="581">
        <v>0</v>
      </c>
      <c r="S247" s="581">
        <v>7018</v>
      </c>
      <c r="T247" s="582">
        <v>7018</v>
      </c>
      <c r="U247">
        <v>377732</v>
      </c>
      <c r="V247"/>
      <c r="W247"/>
    </row>
    <row r="248" spans="1:25" s="386" customFormat="1" ht="15.75">
      <c r="A248" s="379" t="s">
        <v>1098</v>
      </c>
      <c r="B248" s="681"/>
      <c r="C248" s="383">
        <v>2.7776967632424741E-2</v>
      </c>
      <c r="D248" s="384">
        <v>2.8701980956550289E-2</v>
      </c>
      <c r="E248" s="384">
        <v>2.777242044358727E-2</v>
      </c>
      <c r="F248" s="384">
        <v>2.9944060546232314E-2</v>
      </c>
      <c r="G248" s="384">
        <v>2.7515542251899609E-2</v>
      </c>
      <c r="H248" s="384">
        <v>1.1598587997982855E-2</v>
      </c>
      <c r="I248" s="384">
        <v>2.7593929669741946E-2</v>
      </c>
      <c r="J248" s="384">
        <v>0.2986003110419907</v>
      </c>
      <c r="K248" s="384">
        <v>9</v>
      </c>
      <c r="L248" s="384">
        <v>2.84</v>
      </c>
      <c r="M248" s="384">
        <v>0</v>
      </c>
      <c r="N248" s="384">
        <v>0.37993920972644379</v>
      </c>
      <c r="O248" s="384">
        <v>0</v>
      </c>
      <c r="P248" s="384">
        <v>0</v>
      </c>
      <c r="Q248" s="384">
        <v>0</v>
      </c>
      <c r="R248" s="384">
        <v>0</v>
      </c>
      <c r="S248" s="384">
        <v>7.3202239127314484E-3</v>
      </c>
      <c r="T248" s="385">
        <v>7.3202239127314484E-3</v>
      </c>
      <c r="U248">
        <v>2.8471853515757949E-2</v>
      </c>
      <c r="V248"/>
      <c r="W248"/>
      <c r="X248" s="3"/>
      <c r="Y248" s="3"/>
    </row>
    <row r="249" spans="1:25" ht="15.75">
      <c r="A249" s="379" t="s">
        <v>1136</v>
      </c>
      <c r="B249" s="677"/>
      <c r="C249" s="678">
        <v>4761</v>
      </c>
      <c r="D249" s="679">
        <v>797</v>
      </c>
      <c r="E249" s="679">
        <v>4376</v>
      </c>
      <c r="F249" s="679">
        <v>2783</v>
      </c>
      <c r="G249" s="679">
        <v>1648</v>
      </c>
      <c r="H249" s="679">
        <v>1176</v>
      </c>
      <c r="I249" s="679">
        <v>15541</v>
      </c>
      <c r="J249" s="679">
        <v>380</v>
      </c>
      <c r="K249" s="679">
        <v>0</v>
      </c>
      <c r="L249" s="679">
        <v>19</v>
      </c>
      <c r="M249" s="679"/>
      <c r="N249" s="679">
        <v>399</v>
      </c>
      <c r="O249" s="679">
        <v>0</v>
      </c>
      <c r="P249" s="679"/>
      <c r="Q249" s="679"/>
      <c r="R249" s="679">
        <v>0</v>
      </c>
      <c r="S249" s="679"/>
      <c r="T249" s="680"/>
      <c r="U249">
        <v>15940</v>
      </c>
      <c r="V249"/>
      <c r="W249"/>
    </row>
    <row r="250" spans="1:25" ht="15.75">
      <c r="A250" s="379" t="s">
        <v>1138</v>
      </c>
      <c r="B250" s="579"/>
      <c r="C250" s="580">
        <v>4604</v>
      </c>
      <c r="D250" s="581">
        <v>894</v>
      </c>
      <c r="E250" s="581">
        <v>4223</v>
      </c>
      <c r="F250" s="581">
        <v>2801</v>
      </c>
      <c r="G250" s="581">
        <v>1466</v>
      </c>
      <c r="H250" s="581">
        <v>1293</v>
      </c>
      <c r="I250" s="581">
        <v>15281</v>
      </c>
      <c r="J250" s="581">
        <v>397</v>
      </c>
      <c r="K250" s="581"/>
      <c r="L250" s="581">
        <v>77</v>
      </c>
      <c r="M250" s="581"/>
      <c r="N250" s="581">
        <v>474</v>
      </c>
      <c r="O250" s="581">
        <v>0</v>
      </c>
      <c r="P250" s="581"/>
      <c r="Q250" s="581"/>
      <c r="R250" s="581">
        <v>0</v>
      </c>
      <c r="S250" s="581">
        <v>0</v>
      </c>
      <c r="T250" s="582">
        <v>0</v>
      </c>
      <c r="U250">
        <v>15755</v>
      </c>
      <c r="V250"/>
      <c r="W250"/>
    </row>
    <row r="251" spans="1:25" s="386" customFormat="1" ht="15.75">
      <c r="A251" s="379" t="s">
        <v>1140</v>
      </c>
      <c r="B251" s="681"/>
      <c r="C251" s="383">
        <v>-3.2976265490443184E-2</v>
      </c>
      <c r="D251" s="384">
        <v>0.12170639899623588</v>
      </c>
      <c r="E251" s="384">
        <v>-3.4963436928702012E-2</v>
      </c>
      <c r="F251" s="384">
        <v>6.4678404599353215E-3</v>
      </c>
      <c r="G251" s="384">
        <v>-0.1104368932038835</v>
      </c>
      <c r="H251" s="384">
        <v>9.9489795918367346E-2</v>
      </c>
      <c r="I251" s="384">
        <v>-1.6729940158290973E-2</v>
      </c>
      <c r="J251" s="384">
        <v>4.4736842105263158E-2</v>
      </c>
      <c r="K251" s="384">
        <v>0</v>
      </c>
      <c r="L251" s="384">
        <v>3.0526315789473686</v>
      </c>
      <c r="M251" s="384">
        <v>0</v>
      </c>
      <c r="N251" s="384">
        <v>0.18796992481203006</v>
      </c>
      <c r="O251" s="384">
        <v>0</v>
      </c>
      <c r="P251" s="384">
        <v>0</v>
      </c>
      <c r="Q251" s="384">
        <v>0</v>
      </c>
      <c r="R251" s="384">
        <v>0</v>
      </c>
      <c r="S251" s="384">
        <v>0</v>
      </c>
      <c r="T251" s="385">
        <v>0</v>
      </c>
      <c r="U251">
        <v>-1.1606022584692597E-2</v>
      </c>
      <c r="V251"/>
      <c r="W251"/>
      <c r="X251" s="3"/>
      <c r="Y251" s="3"/>
    </row>
    <row r="252" spans="1:25" ht="15.75">
      <c r="A252" s="379" t="s">
        <v>1142</v>
      </c>
      <c r="B252" s="677"/>
      <c r="C252" s="678">
        <v>547</v>
      </c>
      <c r="D252" s="679">
        <v>743</v>
      </c>
      <c r="E252" s="679">
        <v>2461</v>
      </c>
      <c r="F252" s="679">
        <v>475</v>
      </c>
      <c r="G252" s="679">
        <v>147</v>
      </c>
      <c r="H252" s="679">
        <v>62</v>
      </c>
      <c r="I252" s="679">
        <v>4435</v>
      </c>
      <c r="J252" s="679"/>
      <c r="K252" s="679"/>
      <c r="L252" s="679"/>
      <c r="M252" s="679"/>
      <c r="N252" s="679"/>
      <c r="O252" s="679">
        <v>0</v>
      </c>
      <c r="P252" s="679"/>
      <c r="Q252" s="679"/>
      <c r="R252" s="679">
        <v>0</v>
      </c>
      <c r="S252" s="679"/>
      <c r="T252" s="680"/>
      <c r="U252">
        <v>4435</v>
      </c>
      <c r="V252"/>
      <c r="W252"/>
    </row>
    <row r="253" spans="1:25" ht="15.75">
      <c r="A253" s="379" t="s">
        <v>1144</v>
      </c>
      <c r="B253" s="579"/>
      <c r="C253" s="580">
        <v>629</v>
      </c>
      <c r="D253" s="581">
        <v>776</v>
      </c>
      <c r="E253" s="581">
        <v>2613</v>
      </c>
      <c r="F253" s="581">
        <v>549</v>
      </c>
      <c r="G253" s="581">
        <v>141</v>
      </c>
      <c r="H253" s="581">
        <v>79</v>
      </c>
      <c r="I253" s="581">
        <v>4787</v>
      </c>
      <c r="J253" s="581"/>
      <c r="K253" s="581"/>
      <c r="L253" s="581"/>
      <c r="M253" s="581"/>
      <c r="N253" s="581"/>
      <c r="O253" s="581">
        <v>0</v>
      </c>
      <c r="P253" s="581"/>
      <c r="Q253" s="581"/>
      <c r="R253" s="581">
        <v>0</v>
      </c>
      <c r="S253" s="581"/>
      <c r="T253" s="582"/>
      <c r="U253">
        <v>4787</v>
      </c>
      <c r="V253"/>
      <c r="W253"/>
    </row>
    <row r="254" spans="1:25" s="386" customFormat="1" ht="15.75">
      <c r="A254" s="379" t="s">
        <v>1146</v>
      </c>
      <c r="B254" s="681"/>
      <c r="C254" s="383">
        <v>0.14990859232175502</v>
      </c>
      <c r="D254" s="384">
        <v>4.4414535666218037E-2</v>
      </c>
      <c r="E254" s="384">
        <v>6.1763510767980492E-2</v>
      </c>
      <c r="F254" s="384">
        <v>0.15578947368421053</v>
      </c>
      <c r="G254" s="384">
        <v>-4.0816326530612242E-2</v>
      </c>
      <c r="H254" s="384">
        <v>0.27419354838709675</v>
      </c>
      <c r="I254" s="384">
        <v>7.9368658399098083E-2</v>
      </c>
      <c r="J254" s="384">
        <v>0</v>
      </c>
      <c r="K254" s="384">
        <v>0</v>
      </c>
      <c r="L254" s="384">
        <v>0</v>
      </c>
      <c r="M254" s="384">
        <v>0</v>
      </c>
      <c r="N254" s="384">
        <v>0</v>
      </c>
      <c r="O254" s="384">
        <v>0</v>
      </c>
      <c r="P254" s="384">
        <v>0</v>
      </c>
      <c r="Q254" s="384">
        <v>0</v>
      </c>
      <c r="R254" s="384">
        <v>0</v>
      </c>
      <c r="S254" s="384">
        <v>0</v>
      </c>
      <c r="T254" s="385">
        <v>0</v>
      </c>
      <c r="U254">
        <v>7.9368658399098083E-2</v>
      </c>
      <c r="V254"/>
      <c r="W254"/>
      <c r="X254" s="3"/>
      <c r="Y254" s="3"/>
    </row>
    <row r="255" spans="1:25" ht="15.75">
      <c r="A255" s="379" t="s">
        <v>1148</v>
      </c>
      <c r="B255" s="677"/>
      <c r="C255" s="678">
        <v>2274</v>
      </c>
      <c r="D255" s="679">
        <v>477</v>
      </c>
      <c r="E255" s="679">
        <v>731</v>
      </c>
      <c r="F255" s="679">
        <v>234</v>
      </c>
      <c r="G255" s="679">
        <v>24</v>
      </c>
      <c r="H255" s="679">
        <v>8</v>
      </c>
      <c r="I255" s="679">
        <v>3748</v>
      </c>
      <c r="J255" s="679"/>
      <c r="K255" s="679"/>
      <c r="L255" s="679"/>
      <c r="M255" s="679"/>
      <c r="N255" s="679"/>
      <c r="O255" s="679">
        <v>0</v>
      </c>
      <c r="P255" s="679"/>
      <c r="Q255" s="679"/>
      <c r="R255" s="679">
        <v>0</v>
      </c>
      <c r="S255" s="679"/>
      <c r="T255" s="680"/>
      <c r="U255">
        <v>3748</v>
      </c>
      <c r="V255"/>
      <c r="W255"/>
    </row>
    <row r="256" spans="1:25" ht="15.75">
      <c r="A256" s="379" t="s">
        <v>1150</v>
      </c>
      <c r="B256" s="579"/>
      <c r="C256" s="580">
        <v>2610</v>
      </c>
      <c r="D256" s="581">
        <v>647</v>
      </c>
      <c r="E256" s="581">
        <v>972</v>
      </c>
      <c r="F256" s="581">
        <v>420</v>
      </c>
      <c r="G256" s="581">
        <v>335</v>
      </c>
      <c r="H256" s="581">
        <v>62</v>
      </c>
      <c r="I256" s="581">
        <v>5046</v>
      </c>
      <c r="J256" s="581"/>
      <c r="K256" s="581"/>
      <c r="L256" s="581"/>
      <c r="M256" s="581"/>
      <c r="N256" s="581"/>
      <c r="O256" s="581">
        <v>0</v>
      </c>
      <c r="P256" s="581"/>
      <c r="Q256" s="581"/>
      <c r="R256" s="581">
        <v>0</v>
      </c>
      <c r="S256" s="581"/>
      <c r="T256" s="582"/>
      <c r="U256">
        <v>5046</v>
      </c>
      <c r="V256"/>
      <c r="W256"/>
    </row>
    <row r="257" spans="1:25" s="386" customFormat="1" ht="15.75">
      <c r="A257" s="379" t="s">
        <v>1152</v>
      </c>
      <c r="B257" s="681"/>
      <c r="C257" s="383">
        <v>0.14775725593667546</v>
      </c>
      <c r="D257" s="384">
        <v>0.35639412997903563</v>
      </c>
      <c r="E257" s="384">
        <v>0.32968536251709984</v>
      </c>
      <c r="F257" s="384">
        <v>0.79487179487179482</v>
      </c>
      <c r="G257" s="384">
        <v>12.958333333333334</v>
      </c>
      <c r="H257" s="384">
        <v>6.75</v>
      </c>
      <c r="I257" s="384">
        <v>0.3463180362860192</v>
      </c>
      <c r="J257" s="384">
        <v>0</v>
      </c>
      <c r="K257" s="384">
        <v>0</v>
      </c>
      <c r="L257" s="384">
        <v>0</v>
      </c>
      <c r="M257" s="384">
        <v>0</v>
      </c>
      <c r="N257" s="384">
        <v>0</v>
      </c>
      <c r="O257" s="384">
        <v>0</v>
      </c>
      <c r="P257" s="384">
        <v>0</v>
      </c>
      <c r="Q257" s="384">
        <v>0</v>
      </c>
      <c r="R257" s="384">
        <v>0</v>
      </c>
      <c r="S257" s="384">
        <v>0</v>
      </c>
      <c r="T257" s="385">
        <v>0</v>
      </c>
      <c r="U257">
        <v>0.3463180362860192</v>
      </c>
      <c r="V257"/>
      <c r="W257"/>
      <c r="X257" s="3"/>
      <c r="Y257" s="3"/>
    </row>
    <row r="258" spans="1:25" ht="15.75">
      <c r="A258" s="379" t="s">
        <v>1156</v>
      </c>
      <c r="B258" s="677"/>
      <c r="C258" s="678">
        <v>7582</v>
      </c>
      <c r="D258" s="679">
        <v>2017</v>
      </c>
      <c r="E258" s="679">
        <v>7568</v>
      </c>
      <c r="F258" s="679">
        <v>3492</v>
      </c>
      <c r="G258" s="679">
        <v>1819</v>
      </c>
      <c r="H258" s="679">
        <v>1246</v>
      </c>
      <c r="I258" s="679">
        <v>23724</v>
      </c>
      <c r="J258" s="679">
        <v>380</v>
      </c>
      <c r="K258" s="679">
        <v>0</v>
      </c>
      <c r="L258" s="679">
        <v>19</v>
      </c>
      <c r="M258" s="679">
        <v>0</v>
      </c>
      <c r="N258" s="679">
        <v>399</v>
      </c>
      <c r="O258" s="679">
        <v>0</v>
      </c>
      <c r="P258" s="679">
        <v>0</v>
      </c>
      <c r="Q258" s="679">
        <v>0</v>
      </c>
      <c r="R258" s="679">
        <v>0</v>
      </c>
      <c r="S258" s="679">
        <v>0</v>
      </c>
      <c r="T258" s="680">
        <v>0</v>
      </c>
      <c r="U258">
        <v>24123</v>
      </c>
      <c r="V258"/>
      <c r="W258"/>
    </row>
    <row r="259" spans="1:25" ht="15.75">
      <c r="A259" s="379" t="s">
        <v>1154</v>
      </c>
      <c r="B259" s="579"/>
      <c r="C259" s="580">
        <v>7843</v>
      </c>
      <c r="D259" s="581">
        <v>2317</v>
      </c>
      <c r="E259" s="581">
        <v>7808</v>
      </c>
      <c r="F259" s="581">
        <v>3770</v>
      </c>
      <c r="G259" s="581">
        <v>1942</v>
      </c>
      <c r="H259" s="581">
        <v>1434</v>
      </c>
      <c r="I259" s="581">
        <v>25114</v>
      </c>
      <c r="J259" s="581">
        <v>397</v>
      </c>
      <c r="K259" s="581">
        <v>0</v>
      </c>
      <c r="L259" s="581">
        <v>77</v>
      </c>
      <c r="M259" s="581">
        <v>0</v>
      </c>
      <c r="N259" s="581">
        <v>474</v>
      </c>
      <c r="O259" s="581">
        <v>0</v>
      </c>
      <c r="P259" s="581">
        <v>0</v>
      </c>
      <c r="Q259" s="581">
        <v>0</v>
      </c>
      <c r="R259" s="581">
        <v>0</v>
      </c>
      <c r="S259" s="581">
        <v>0</v>
      </c>
      <c r="T259" s="582">
        <v>0</v>
      </c>
      <c r="U259">
        <v>25588</v>
      </c>
      <c r="V259"/>
      <c r="W259"/>
    </row>
    <row r="260" spans="1:25" s="386" customFormat="1" ht="15.75">
      <c r="A260" s="387" t="s">
        <v>1158</v>
      </c>
      <c r="B260" s="681"/>
      <c r="C260" s="383">
        <v>3.442363492482195E-2</v>
      </c>
      <c r="D260" s="384">
        <v>0.14873574615765989</v>
      </c>
      <c r="E260" s="384">
        <v>3.1712473572938688E-2</v>
      </c>
      <c r="F260" s="384">
        <v>7.9610538373424966E-2</v>
      </c>
      <c r="G260" s="384">
        <v>6.7619571192963163E-2</v>
      </c>
      <c r="H260" s="384">
        <v>0.1508828250401284</v>
      </c>
      <c r="I260" s="384">
        <v>5.8590456921261171E-2</v>
      </c>
      <c r="J260" s="384">
        <v>4.4736842105263158E-2</v>
      </c>
      <c r="K260" s="384">
        <v>0</v>
      </c>
      <c r="L260" s="384">
        <v>3.0526315789473686</v>
      </c>
      <c r="M260" s="384">
        <v>0</v>
      </c>
      <c r="N260" s="384">
        <v>0.18796992481203006</v>
      </c>
      <c r="O260" s="384">
        <v>0</v>
      </c>
      <c r="P260" s="384">
        <v>0</v>
      </c>
      <c r="Q260" s="384">
        <v>0</v>
      </c>
      <c r="R260" s="384">
        <v>0</v>
      </c>
      <c r="S260" s="384">
        <v>0</v>
      </c>
      <c r="T260" s="385">
        <v>0</v>
      </c>
      <c r="U260">
        <v>6.0730423247523112E-2</v>
      </c>
      <c r="V260"/>
      <c r="W260"/>
      <c r="X260" s="3"/>
      <c r="Y260" s="3"/>
    </row>
    <row r="261" spans="1:25">
      <c r="A261" s="3"/>
      <c r="D261" s="3"/>
    </row>
    <row r="262" spans="1:25">
      <c r="A262" s="3"/>
      <c r="D262" s="3"/>
    </row>
    <row r="263" spans="1:25" s="386" customForma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3"/>
      <c r="D264" s="3"/>
    </row>
    <row r="265" spans="1:25">
      <c r="A265" s="3"/>
      <c r="D265" s="3"/>
    </row>
    <row r="266" spans="1:25" s="386" customForma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3"/>
      <c r="D267" s="3"/>
    </row>
    <row r="268" spans="1:25">
      <c r="A268" s="3"/>
      <c r="D268" s="3"/>
    </row>
    <row r="269" spans="1:25" s="386" customForma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3"/>
      <c r="D270" s="3"/>
    </row>
    <row r="271" spans="1:25">
      <c r="A271" s="3"/>
      <c r="D271" s="3"/>
    </row>
    <row r="272" spans="1:25" s="386" customForma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3"/>
      <c r="D273" s="3"/>
    </row>
    <row r="274" spans="1:25">
      <c r="A274" s="3"/>
      <c r="D274" s="3"/>
    </row>
    <row r="275" spans="1:25" s="386" customForma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3"/>
      <c r="D276" s="3"/>
    </row>
    <row r="277" spans="1:25">
      <c r="A277" s="3"/>
      <c r="D277" s="3"/>
    </row>
    <row r="278" spans="1:25" s="386" customForma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3"/>
      <c r="D279" s="3"/>
    </row>
    <row r="280" spans="1:25">
      <c r="A280" s="3"/>
      <c r="D280" s="3"/>
    </row>
    <row r="281" spans="1:25" s="386" customForma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3"/>
      <c r="D282" s="3"/>
    </row>
    <row r="283" spans="1:25">
      <c r="A283" s="3"/>
      <c r="D283" s="3"/>
    </row>
    <row r="284" spans="1:25" s="386" customForma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3"/>
      <c r="D285" s="3"/>
    </row>
    <row r="286" spans="1:25">
      <c r="A286" s="3"/>
      <c r="D286" s="3"/>
    </row>
    <row r="287" spans="1:25" s="386" customForma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3"/>
      <c r="D288" s="3"/>
    </row>
    <row r="289" spans="1:25">
      <c r="A289" s="3"/>
      <c r="D289" s="3"/>
    </row>
    <row r="290" spans="1:25" s="386" customForma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3"/>
      <c r="D291" s="3"/>
    </row>
    <row r="292" spans="1:25">
      <c r="A292" s="3"/>
      <c r="D292" s="3"/>
    </row>
    <row r="293" spans="1:25" s="386" customForma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3"/>
      <c r="D294" s="3"/>
    </row>
    <row r="295" spans="1:25">
      <c r="A295" s="3"/>
      <c r="D295" s="3"/>
    </row>
    <row r="296" spans="1:25" s="386" customForma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3"/>
      <c r="D297" s="3"/>
    </row>
    <row r="298" spans="1:25">
      <c r="A298" s="3"/>
      <c r="D298" s="3"/>
    </row>
    <row r="299" spans="1:25" s="386" customForma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3"/>
      <c r="D300" s="3"/>
    </row>
    <row r="301" spans="1:25">
      <c r="A301" s="3"/>
      <c r="D301" s="3"/>
    </row>
    <row r="302" spans="1:25" s="386" customForma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3"/>
      <c r="D303" s="3"/>
    </row>
    <row r="304" spans="1:25">
      <c r="A304" s="3"/>
      <c r="D304" s="3"/>
    </row>
    <row r="305" spans="1:25" s="386" customForma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3"/>
      <c r="D306" s="3"/>
    </row>
    <row r="307" spans="1:25">
      <c r="A307" s="3"/>
      <c r="D307" s="3"/>
    </row>
    <row r="308" spans="1:25" s="386" customForma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3"/>
      <c r="D309" s="3"/>
    </row>
    <row r="310" spans="1:25">
      <c r="A310" s="3"/>
      <c r="D310" s="3"/>
    </row>
    <row r="311" spans="1:25" s="386" customForma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3"/>
      <c r="D312" s="3"/>
    </row>
    <row r="313" spans="1:25">
      <c r="A313" s="3"/>
      <c r="D313" s="3"/>
    </row>
    <row r="314" spans="1:25" s="386" customForma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3"/>
      <c r="D315" s="3"/>
    </row>
    <row r="316" spans="1:25">
      <c r="A316" s="3"/>
      <c r="D316" s="3"/>
    </row>
    <row r="317" spans="1:25" s="386" customForma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3"/>
      <c r="D318" s="3"/>
    </row>
    <row r="319" spans="1:25">
      <c r="A319" s="3"/>
      <c r="D319" s="3"/>
    </row>
    <row r="320" spans="1:25" s="386" customForma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3"/>
      <c r="D321" s="3"/>
    </row>
    <row r="322" spans="1:25">
      <c r="A322" s="3"/>
      <c r="D322" s="3"/>
    </row>
    <row r="323" spans="1:25" s="386" customForma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3"/>
      <c r="D324" s="3"/>
    </row>
    <row r="325" spans="1:25">
      <c r="A325" s="3"/>
      <c r="D325" s="3"/>
    </row>
    <row r="326" spans="1:25" s="386" customForma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3"/>
      <c r="D327" s="3"/>
    </row>
    <row r="328" spans="1:25">
      <c r="A328" s="3"/>
      <c r="D328" s="3"/>
    </row>
    <row r="329" spans="1:25" s="386" customForma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3"/>
      <c r="D330" s="3"/>
    </row>
    <row r="331" spans="1:25">
      <c r="A331" s="3"/>
      <c r="D331" s="3"/>
    </row>
    <row r="332" spans="1:25" s="386" customForma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3"/>
      <c r="D333" s="3"/>
    </row>
    <row r="334" spans="1:25">
      <c r="A334" s="3"/>
      <c r="D334" s="3"/>
    </row>
    <row r="335" spans="1:25" s="386" customForma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3"/>
      <c r="D336" s="3"/>
    </row>
    <row r="337" spans="1:25">
      <c r="A337" s="3"/>
      <c r="D337" s="3"/>
    </row>
    <row r="338" spans="1:25" s="386" customForma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3"/>
      <c r="D339" s="3"/>
    </row>
    <row r="340" spans="1:25">
      <c r="A340" s="3"/>
      <c r="D340" s="3"/>
    </row>
    <row r="341" spans="1:25" s="386" customForma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3"/>
      <c r="D342" s="3"/>
    </row>
    <row r="343" spans="1:25">
      <c r="A343" s="3"/>
      <c r="D343" s="3"/>
    </row>
    <row r="344" spans="1:25" s="386" customForma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3"/>
      <c r="D345" s="3"/>
    </row>
    <row r="346" spans="1:25">
      <c r="A346" s="3"/>
      <c r="D346" s="3"/>
    </row>
    <row r="347" spans="1:25" s="386" customForma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3"/>
      <c r="D348" s="3"/>
    </row>
    <row r="349" spans="1:25">
      <c r="A349" s="3"/>
      <c r="D349" s="3"/>
    </row>
    <row r="350" spans="1:25" s="386" customForma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3"/>
      <c r="D351" s="3"/>
    </row>
    <row r="352" spans="1:25">
      <c r="A352" s="3"/>
      <c r="D352" s="3"/>
    </row>
    <row r="353" spans="1:25" s="386" customForma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3"/>
      <c r="D354" s="3"/>
    </row>
    <row r="355" spans="1:25">
      <c r="A355" s="3"/>
      <c r="D355" s="3"/>
    </row>
    <row r="356" spans="1:25" s="386" customForma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3"/>
      <c r="D357" s="3"/>
    </row>
    <row r="358" spans="1:25">
      <c r="A358" s="3"/>
      <c r="D358" s="3"/>
    </row>
    <row r="359" spans="1:25" s="386" customForma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3"/>
      <c r="D360" s="3"/>
    </row>
    <row r="361" spans="1:25">
      <c r="A361" s="3"/>
      <c r="D361" s="3"/>
    </row>
    <row r="362" spans="1:25" s="386" customForma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3"/>
      <c r="D363" s="3"/>
    </row>
    <row r="364" spans="1:25">
      <c r="A364" s="3"/>
      <c r="D364" s="3"/>
    </row>
    <row r="365" spans="1:25" s="386" customForma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3"/>
      <c r="D366" s="3"/>
    </row>
    <row r="367" spans="1:25">
      <c r="A367" s="3"/>
      <c r="D367" s="3"/>
    </row>
    <row r="368" spans="1:25" s="386" customForma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3"/>
      <c r="D369" s="3"/>
    </row>
    <row r="370" spans="1:25">
      <c r="A370" s="3"/>
      <c r="D370" s="3"/>
    </row>
    <row r="371" spans="1:25" s="386" customForma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3"/>
      <c r="D372" s="3"/>
    </row>
    <row r="373" spans="1:25">
      <c r="A373" s="3"/>
      <c r="D373" s="3"/>
    </row>
    <row r="374" spans="1:25" s="386" customForma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3"/>
      <c r="D375" s="3"/>
    </row>
    <row r="376" spans="1:25">
      <c r="A376" s="3"/>
      <c r="D376" s="3"/>
    </row>
    <row r="377" spans="1:25" s="386" customForma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3"/>
      <c r="D378" s="3"/>
    </row>
    <row r="379" spans="1:25">
      <c r="A379" s="3"/>
      <c r="D379" s="3"/>
    </row>
    <row r="380" spans="1:25" s="386" customForma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3"/>
      <c r="D381" s="3"/>
    </row>
    <row r="382" spans="1:25">
      <c r="A382" s="3"/>
      <c r="D382" s="3"/>
    </row>
    <row r="383" spans="1:25" s="386" customForma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3"/>
      <c r="D384" s="3"/>
    </row>
    <row r="385" spans="1:25">
      <c r="A385" s="3"/>
      <c r="D385" s="3"/>
    </row>
    <row r="386" spans="1:25" s="386" customForma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3"/>
      <c r="D387" s="3"/>
    </row>
    <row r="388" spans="1:25">
      <c r="A388" s="3"/>
      <c r="D388" s="3"/>
    </row>
    <row r="389" spans="1:25" s="386" customForma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3"/>
      <c r="D390" s="3"/>
    </row>
    <row r="391" spans="1:25">
      <c r="A391" s="3"/>
      <c r="D391" s="3"/>
    </row>
    <row r="392" spans="1:25" s="386" customForma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3"/>
      <c r="D393" s="3"/>
    </row>
    <row r="394" spans="1:25">
      <c r="A394" s="3"/>
      <c r="D394" s="3"/>
    </row>
    <row r="395" spans="1:25" s="386" customForma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3"/>
      <c r="D396" s="3"/>
    </row>
    <row r="397" spans="1:25">
      <c r="A397" s="3"/>
      <c r="D397" s="3"/>
    </row>
    <row r="398" spans="1:25" s="386" customForma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3"/>
      <c r="D399" s="3"/>
    </row>
    <row r="400" spans="1:25">
      <c r="A400" s="3"/>
      <c r="D400" s="3"/>
    </row>
    <row r="401" spans="1:25" s="386" customForma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3"/>
      <c r="D402" s="3"/>
    </row>
    <row r="403" spans="1:25">
      <c r="A403" s="3"/>
      <c r="D403" s="3"/>
    </row>
    <row r="404" spans="1:25" s="386" customForma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3"/>
      <c r="D405" s="3"/>
    </row>
    <row r="406" spans="1:25">
      <c r="A406" s="3"/>
      <c r="D406" s="3"/>
    </row>
    <row r="407" spans="1:25" s="386" customForma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3"/>
      <c r="D408" s="3"/>
    </row>
    <row r="409" spans="1:25">
      <c r="A409" s="3"/>
      <c r="D409" s="3"/>
    </row>
    <row r="410" spans="1:25" s="386" customForma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3"/>
      <c r="D411" s="3"/>
    </row>
    <row r="412" spans="1:25">
      <c r="A412" s="3"/>
      <c r="D412" s="3"/>
    </row>
    <row r="413" spans="1:25" s="386" customForma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3"/>
      <c r="D414" s="3"/>
    </row>
    <row r="415" spans="1:25">
      <c r="A415" s="3"/>
      <c r="D415" s="3"/>
    </row>
    <row r="416" spans="1:25" s="386" customForma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3"/>
      <c r="D417" s="3"/>
    </row>
    <row r="418" spans="1:25">
      <c r="A418" s="3"/>
      <c r="D418" s="3"/>
    </row>
    <row r="419" spans="1:25" s="386" customForma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3"/>
      <c r="D420" s="3"/>
    </row>
    <row r="421" spans="1:25">
      <c r="A421" s="3"/>
      <c r="D421" s="3"/>
    </row>
    <row r="422" spans="1:25" s="386" customForma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3"/>
      <c r="D423" s="3"/>
    </row>
    <row r="424" spans="1:25">
      <c r="A424" s="3"/>
      <c r="D424" s="3"/>
    </row>
    <row r="425" spans="1:25" s="386" customForma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3"/>
      <c r="D426" s="3"/>
    </row>
    <row r="427" spans="1:25">
      <c r="A427" s="3"/>
      <c r="D427" s="3"/>
    </row>
    <row r="428" spans="1:25" s="386" customForma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3"/>
      <c r="D429" s="3"/>
    </row>
    <row r="430" spans="1:25">
      <c r="A430" s="3"/>
      <c r="D430" s="3"/>
    </row>
    <row r="431" spans="1:25" s="386" customForma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3"/>
      <c r="D432" s="3"/>
    </row>
    <row r="433" spans="1:25">
      <c r="A433" s="3"/>
      <c r="D433" s="3"/>
    </row>
    <row r="434" spans="1:25" s="386" customForma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3"/>
      <c r="D435" s="3"/>
    </row>
    <row r="436" spans="1:25">
      <c r="A436" s="3"/>
      <c r="D436" s="3"/>
    </row>
    <row r="437" spans="1:25" s="386" customForma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3"/>
      <c r="D438" s="3"/>
    </row>
    <row r="439" spans="1:25">
      <c r="A439" s="3"/>
      <c r="D439" s="3"/>
    </row>
    <row r="440" spans="1:25" s="386" customForma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3"/>
      <c r="D441" s="3"/>
    </row>
    <row r="442" spans="1:25">
      <c r="A442" s="3"/>
      <c r="D442" s="3"/>
    </row>
    <row r="443" spans="1:25" s="386" customForma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3"/>
      <c r="D444" s="3"/>
    </row>
    <row r="445" spans="1:25">
      <c r="A445" s="3"/>
      <c r="D445" s="3"/>
    </row>
    <row r="446" spans="1:25" s="386" customForma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3"/>
      <c r="D447" s="3"/>
    </row>
    <row r="448" spans="1:25">
      <c r="A448" s="3"/>
      <c r="D448" s="3"/>
    </row>
    <row r="449" spans="1:25" s="386" customForma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3"/>
      <c r="D450" s="3"/>
    </row>
    <row r="451" spans="1:25">
      <c r="A451" s="3"/>
      <c r="D451" s="3"/>
    </row>
    <row r="452" spans="1:25" s="386" customForma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3"/>
      <c r="D453" s="3"/>
    </row>
    <row r="454" spans="1:25">
      <c r="A454" s="3"/>
      <c r="D454" s="3"/>
    </row>
    <row r="455" spans="1:25" s="386" customForma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3"/>
      <c r="D456" s="3"/>
    </row>
    <row r="457" spans="1:25">
      <c r="A457" s="3"/>
      <c r="D457" s="3"/>
    </row>
    <row r="458" spans="1:25" s="386" customForma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3"/>
      <c r="D459" s="3"/>
    </row>
    <row r="460" spans="1:25">
      <c r="A460" s="3"/>
      <c r="D460" s="3"/>
    </row>
    <row r="461" spans="1:25" s="386" customForma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3"/>
      <c r="D462" s="3"/>
    </row>
    <row r="463" spans="1:25">
      <c r="A463" s="3"/>
      <c r="D463" s="3"/>
    </row>
    <row r="464" spans="1:25" s="386" customForma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3"/>
      <c r="D465" s="3"/>
    </row>
    <row r="466" spans="1:25">
      <c r="A466" s="3"/>
      <c r="D466" s="3"/>
    </row>
    <row r="467" spans="1:25" s="386" customForma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3"/>
      <c r="D468" s="3"/>
    </row>
    <row r="469" spans="1:25">
      <c r="A469" s="3"/>
      <c r="D469" s="3"/>
    </row>
    <row r="470" spans="1:25" s="386" customForma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3"/>
      <c r="D471" s="3"/>
    </row>
    <row r="472" spans="1:25">
      <c r="A472" s="3"/>
      <c r="D472" s="3"/>
    </row>
    <row r="473" spans="1:25" s="386" customForma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3"/>
      <c r="D474" s="3"/>
    </row>
    <row r="475" spans="1:25">
      <c r="A475" s="3"/>
      <c r="D475" s="3"/>
    </row>
    <row r="476" spans="1:25" s="386" customForma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3"/>
      <c r="D477" s="3"/>
    </row>
    <row r="478" spans="1:25">
      <c r="A478" s="3"/>
      <c r="D478" s="3"/>
    </row>
    <row r="479" spans="1:25" s="386" customForma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3"/>
      <c r="D480" s="3"/>
    </row>
    <row r="481" spans="1:25">
      <c r="A481" s="3"/>
      <c r="D481" s="3"/>
    </row>
    <row r="482" spans="1:25" s="386" customForma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3"/>
      <c r="D483" s="3"/>
    </row>
    <row r="484" spans="1:25">
      <c r="A484" s="3"/>
      <c r="D484" s="3"/>
    </row>
    <row r="485" spans="1:25" s="386" customForma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3"/>
      <c r="D486" s="3"/>
    </row>
    <row r="487" spans="1:25">
      <c r="A487" s="3"/>
      <c r="D487" s="3"/>
    </row>
    <row r="488" spans="1:25" s="386" customForma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3"/>
      <c r="D489" s="3"/>
    </row>
    <row r="490" spans="1:25">
      <c r="A490" s="3"/>
      <c r="D490" s="3"/>
    </row>
    <row r="491" spans="1:25" s="386" customForma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3"/>
      <c r="D492" s="3"/>
    </row>
    <row r="493" spans="1:25">
      <c r="A493" s="3"/>
      <c r="D493" s="3"/>
    </row>
    <row r="494" spans="1:25" s="386" customForma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3"/>
      <c r="D495" s="3"/>
    </row>
    <row r="496" spans="1:25">
      <c r="A496" s="3"/>
      <c r="D496" s="3"/>
    </row>
    <row r="497" spans="1:25" s="386" customForma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3"/>
      <c r="D498" s="3"/>
    </row>
    <row r="499" spans="1:25">
      <c r="A499" s="3"/>
      <c r="D499" s="3"/>
    </row>
    <row r="500" spans="1:25" s="386" customForma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3"/>
      <c r="D501" s="3"/>
    </row>
    <row r="502" spans="1:25">
      <c r="A502" s="3"/>
      <c r="D502" s="3"/>
    </row>
    <row r="503" spans="1:25" s="386" customForma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3"/>
      <c r="D504" s="3"/>
    </row>
    <row r="505" spans="1:25">
      <c r="A505" s="3"/>
      <c r="D505" s="3"/>
    </row>
    <row r="506" spans="1:25" s="386" customForma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3"/>
      <c r="D507" s="3"/>
    </row>
    <row r="508" spans="1:25">
      <c r="A508" s="3"/>
      <c r="D508" s="3"/>
    </row>
    <row r="509" spans="1:25" s="386" customForma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3"/>
      <c r="D510" s="3"/>
    </row>
    <row r="511" spans="1:25">
      <c r="A511" s="3"/>
      <c r="D511" s="3"/>
    </row>
    <row r="512" spans="1:25" s="386" customForma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3"/>
      <c r="D513" s="3"/>
    </row>
    <row r="514" spans="1:25">
      <c r="A514" s="3"/>
      <c r="D514" s="3"/>
    </row>
    <row r="515" spans="1:25" s="386" customForma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3"/>
      <c r="D516" s="3"/>
    </row>
    <row r="517" spans="1:25">
      <c r="A517" s="3"/>
      <c r="D517" s="3"/>
    </row>
    <row r="518" spans="1:25" s="386" customForma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3"/>
      <c r="D519" s="3"/>
    </row>
    <row r="520" spans="1:25">
      <c r="A520" s="3"/>
      <c r="D520" s="3"/>
    </row>
    <row r="521" spans="1:25" s="386" customForma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3"/>
      <c r="D522" s="3"/>
    </row>
    <row r="523" spans="1:25">
      <c r="A523" s="3"/>
      <c r="D523" s="3"/>
    </row>
    <row r="524" spans="1:25" s="386" customForma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3"/>
      <c r="D525" s="3"/>
    </row>
    <row r="526" spans="1:25">
      <c r="A526" s="3"/>
      <c r="D526" s="3"/>
    </row>
    <row r="527" spans="1:25" s="386" customForma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3"/>
      <c r="D528" s="3"/>
    </row>
    <row r="529" spans="1:25">
      <c r="A529" s="3"/>
      <c r="D529" s="3"/>
    </row>
    <row r="530" spans="1:25" s="386" customForma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3"/>
      <c r="D531" s="3"/>
    </row>
    <row r="532" spans="1:25">
      <c r="A532" s="3"/>
      <c r="D532" s="3"/>
    </row>
    <row r="533" spans="1:25" s="386" customForma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3"/>
      <c r="D534" s="3"/>
    </row>
    <row r="535" spans="1:25">
      <c r="A535" s="3"/>
      <c r="D535" s="3"/>
    </row>
    <row r="536" spans="1:25" s="386" customForma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3"/>
      <c r="D537" s="3"/>
    </row>
    <row r="538" spans="1:25">
      <c r="A538" s="3"/>
      <c r="D538" s="3"/>
    </row>
    <row r="539" spans="1:25" s="386" customForma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3"/>
      <c r="D540" s="3"/>
    </row>
    <row r="541" spans="1:25">
      <c r="A541" s="3"/>
      <c r="D541" s="3"/>
    </row>
    <row r="542" spans="1:25" s="386" customForma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3"/>
      <c r="D543" s="3"/>
    </row>
    <row r="544" spans="1:25">
      <c r="A544" s="3"/>
      <c r="D544" s="3"/>
    </row>
    <row r="545" spans="1:25" s="386" customForma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3"/>
      <c r="D546" s="3"/>
    </row>
    <row r="547" spans="1:25">
      <c r="A547" s="3"/>
      <c r="D547" s="3"/>
    </row>
    <row r="548" spans="1:25" s="386" customForma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3"/>
      <c r="D549" s="3"/>
    </row>
    <row r="550" spans="1:25">
      <c r="A550" s="3"/>
      <c r="D550" s="3"/>
    </row>
    <row r="551" spans="1:25" s="386" customForma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3"/>
      <c r="D552" s="3"/>
    </row>
    <row r="553" spans="1:25">
      <c r="A553" s="3"/>
      <c r="D553" s="3"/>
    </row>
    <row r="554" spans="1:25" s="386" customForma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3"/>
      <c r="D555" s="3"/>
    </row>
    <row r="556" spans="1:25">
      <c r="A556" s="3"/>
      <c r="D556" s="3"/>
    </row>
    <row r="557" spans="1:25" s="386" customForma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3"/>
      <c r="D558" s="3"/>
    </row>
    <row r="559" spans="1:25">
      <c r="A559" s="3"/>
      <c r="D559" s="3"/>
    </row>
    <row r="560" spans="1:25" s="386" customForma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3"/>
      <c r="D561" s="3"/>
    </row>
    <row r="562" spans="1:25">
      <c r="A562" s="3"/>
      <c r="D562" s="3"/>
    </row>
    <row r="563" spans="1:25" s="386" customForma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3"/>
      <c r="D564" s="3"/>
    </row>
    <row r="565" spans="1:25">
      <c r="A565" s="3"/>
      <c r="D565" s="3"/>
    </row>
    <row r="566" spans="1:25" s="386" customForma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3"/>
      <c r="D567" s="3"/>
    </row>
    <row r="568" spans="1:25">
      <c r="A568" s="3"/>
      <c r="D568" s="3"/>
    </row>
    <row r="569" spans="1:25" s="386" customForma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3"/>
      <c r="D570" s="3"/>
    </row>
    <row r="571" spans="1:25">
      <c r="A571" s="3"/>
      <c r="D571" s="3"/>
    </row>
    <row r="572" spans="1:25" s="386" customForma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3"/>
      <c r="D573" s="3"/>
    </row>
    <row r="574" spans="1:25">
      <c r="A574" s="3"/>
      <c r="D574" s="3"/>
    </row>
    <row r="575" spans="1:25" s="386" customForma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3"/>
      <c r="D576" s="3"/>
    </row>
    <row r="577" spans="1:25">
      <c r="A577" s="3"/>
      <c r="D577" s="3"/>
    </row>
    <row r="578" spans="1:25" s="386" customForma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3"/>
      <c r="D579" s="3"/>
    </row>
    <row r="580" spans="1:25">
      <c r="A580" s="3"/>
      <c r="D580" s="3"/>
    </row>
    <row r="581" spans="1:25" s="386" customForma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3"/>
      <c r="D582" s="3"/>
    </row>
    <row r="583" spans="1:25">
      <c r="A583" s="3"/>
      <c r="D583" s="3"/>
    </row>
    <row r="584" spans="1:25" s="386" customForma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3"/>
      <c r="D585" s="3"/>
    </row>
    <row r="586" spans="1:25">
      <c r="A586" s="3"/>
      <c r="D586" s="3"/>
    </row>
    <row r="587" spans="1:25" s="386" customForma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3"/>
      <c r="D588" s="3"/>
    </row>
    <row r="589" spans="1:25">
      <c r="A589" s="3"/>
      <c r="D589" s="3"/>
    </row>
    <row r="590" spans="1:25" s="386" customForma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3"/>
      <c r="D591" s="3"/>
    </row>
    <row r="592" spans="1:25">
      <c r="A592" s="3"/>
      <c r="D592" s="3"/>
    </row>
    <row r="593" spans="1:25" s="386" customForma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3"/>
      <c r="D594" s="3"/>
    </row>
    <row r="595" spans="1:25">
      <c r="A595" s="3"/>
      <c r="D595" s="3"/>
    </row>
    <row r="596" spans="1:25" s="386" customForma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3"/>
      <c r="D597" s="3"/>
    </row>
    <row r="598" spans="1:25">
      <c r="A598" s="3"/>
      <c r="D598" s="3"/>
    </row>
    <row r="599" spans="1:25" s="386" customForma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3"/>
      <c r="D600" s="3"/>
    </row>
    <row r="601" spans="1:25">
      <c r="A601" s="3"/>
      <c r="D601" s="3"/>
    </row>
    <row r="602" spans="1:25" s="386" customForma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3"/>
      <c r="D603" s="3"/>
    </row>
    <row r="604" spans="1:25">
      <c r="A604" s="3"/>
      <c r="D604" s="3"/>
    </row>
    <row r="605" spans="1:25" s="386" customForma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3"/>
      <c r="D606" s="3"/>
    </row>
    <row r="607" spans="1:25">
      <c r="A607" s="3"/>
      <c r="D607" s="3"/>
    </row>
    <row r="608" spans="1:25" s="386" customForma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3"/>
      <c r="D609" s="3"/>
    </row>
    <row r="610" spans="1:25">
      <c r="A610" s="3"/>
      <c r="D610" s="3"/>
    </row>
    <row r="611" spans="1:25" s="386" customForma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3"/>
      <c r="D612" s="3"/>
    </row>
    <row r="613" spans="1:25">
      <c r="A613" s="3"/>
      <c r="D613" s="3"/>
    </row>
    <row r="614" spans="1:25" s="386" customForma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3"/>
      <c r="D615" s="3"/>
    </row>
    <row r="616" spans="1:25">
      <c r="A616" s="3"/>
      <c r="D616" s="3"/>
    </row>
    <row r="617" spans="1:25" s="386" customForma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3"/>
      <c r="D618" s="3"/>
    </row>
    <row r="619" spans="1:25">
      <c r="A619" s="3"/>
      <c r="D619" s="3"/>
    </row>
    <row r="620" spans="1:25" s="386" customForma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3"/>
      <c r="D621" s="3"/>
    </row>
    <row r="622" spans="1:25">
      <c r="A622" s="3"/>
      <c r="D622" s="3"/>
    </row>
    <row r="623" spans="1:25" s="386" customForma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3"/>
      <c r="D624" s="3"/>
    </row>
    <row r="625" spans="1:25">
      <c r="A625" s="3"/>
      <c r="D625" s="3"/>
    </row>
    <row r="626" spans="1:25" s="386" customForma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3"/>
      <c r="D627" s="3"/>
    </row>
    <row r="628" spans="1:25">
      <c r="A628" s="3"/>
      <c r="D628" s="3"/>
    </row>
    <row r="629" spans="1:25" s="386" customForma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3"/>
      <c r="D630" s="3"/>
    </row>
    <row r="631" spans="1:25">
      <c r="A631" s="3"/>
      <c r="D631" s="3"/>
    </row>
    <row r="632" spans="1:25" s="386" customForma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3"/>
      <c r="D633" s="3"/>
    </row>
    <row r="634" spans="1:25">
      <c r="A634" s="3"/>
      <c r="D634" s="3"/>
    </row>
    <row r="635" spans="1:25" s="386" customForma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3"/>
      <c r="D636" s="3"/>
    </row>
    <row r="637" spans="1:25">
      <c r="A637" s="3"/>
      <c r="D637" s="3"/>
    </row>
    <row r="638" spans="1:25" s="386" customForma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3"/>
      <c r="D639" s="3"/>
    </row>
    <row r="640" spans="1:25">
      <c r="A640" s="3"/>
      <c r="D640" s="3"/>
    </row>
    <row r="641" spans="1:25" s="386" customForma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3"/>
      <c r="D642" s="3"/>
    </row>
    <row r="643" spans="1:25">
      <c r="A643" s="3"/>
      <c r="D643" s="3"/>
    </row>
    <row r="644" spans="1:25" s="386" customForma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3"/>
      <c r="D645" s="3"/>
    </row>
    <row r="646" spans="1:25">
      <c r="A646" s="3"/>
      <c r="D646" s="3"/>
    </row>
    <row r="647" spans="1:25" s="386" customForma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3"/>
      <c r="D648" s="3"/>
    </row>
    <row r="649" spans="1:25">
      <c r="A649" s="3"/>
      <c r="D649" s="3"/>
    </row>
    <row r="650" spans="1:25" s="386" customForma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3"/>
      <c r="D651" s="3"/>
    </row>
    <row r="652" spans="1:25">
      <c r="A652" s="3"/>
      <c r="D652" s="3"/>
    </row>
    <row r="653" spans="1:25" s="386" customForma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3"/>
      <c r="D654" s="3"/>
    </row>
    <row r="655" spans="1:25">
      <c r="A655" s="3"/>
      <c r="D655" s="3"/>
    </row>
    <row r="656" spans="1:25" s="386" customForma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3"/>
      <c r="D657" s="3"/>
    </row>
    <row r="658" spans="1:25">
      <c r="A658" s="3"/>
      <c r="D658" s="3"/>
    </row>
    <row r="659" spans="1:25" s="386" customForma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3"/>
      <c r="D660" s="3"/>
    </row>
    <row r="661" spans="1:25">
      <c r="A661" s="3"/>
      <c r="D661" s="3"/>
    </row>
    <row r="662" spans="1:25" s="386" customForma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3"/>
      <c r="D663" s="3"/>
    </row>
    <row r="664" spans="1:25">
      <c r="A664" s="3"/>
      <c r="D664" s="3"/>
    </row>
    <row r="665" spans="1:25" s="386" customForma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3"/>
      <c r="D666" s="3"/>
    </row>
    <row r="667" spans="1:25">
      <c r="A667" s="3"/>
      <c r="D667" s="3"/>
    </row>
    <row r="668" spans="1:25" s="386" customForma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3"/>
      <c r="D669" s="3"/>
    </row>
    <row r="670" spans="1:25">
      <c r="A670" s="3"/>
      <c r="D670" s="3"/>
    </row>
    <row r="671" spans="1:25" s="386" customForma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3"/>
      <c r="D672" s="3"/>
    </row>
    <row r="673" spans="1:25">
      <c r="A673" s="3"/>
      <c r="D673" s="3"/>
    </row>
    <row r="674" spans="1:25" s="386" customForma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3"/>
      <c r="D675" s="3"/>
    </row>
    <row r="676" spans="1:25">
      <c r="A676" s="3"/>
      <c r="D676" s="3"/>
    </row>
    <row r="677" spans="1:25" s="386" customForma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3"/>
      <c r="D678" s="3"/>
    </row>
    <row r="679" spans="1:25">
      <c r="A679" s="3"/>
      <c r="D679" s="3"/>
    </row>
    <row r="680" spans="1:25" s="386" customForma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3"/>
      <c r="D681" s="3"/>
    </row>
    <row r="682" spans="1:25">
      <c r="A682" s="3"/>
      <c r="D682" s="3"/>
    </row>
    <row r="683" spans="1:25" s="386" customForma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3"/>
      <c r="D684" s="3"/>
    </row>
    <row r="685" spans="1:25">
      <c r="A685" s="3"/>
      <c r="D685" s="3"/>
    </row>
    <row r="686" spans="1:25" s="386" customForma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3"/>
      <c r="D687" s="3"/>
    </row>
    <row r="688" spans="1:25">
      <c r="A688" s="3"/>
      <c r="D688" s="3"/>
    </row>
    <row r="689" spans="1:25" s="386" customForma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3"/>
      <c r="D690" s="3"/>
    </row>
    <row r="691" spans="1:25">
      <c r="A691" s="3"/>
      <c r="D691" s="3"/>
    </row>
    <row r="692" spans="1:25" s="386" customForma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3"/>
      <c r="D693" s="3"/>
    </row>
    <row r="694" spans="1:25">
      <c r="A694" s="3"/>
      <c r="D694" s="3"/>
    </row>
    <row r="695" spans="1:25" s="386" customForma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3"/>
      <c r="D696" s="3"/>
    </row>
    <row r="697" spans="1:25">
      <c r="A697" s="3"/>
      <c r="D697" s="3"/>
    </row>
    <row r="698" spans="1:25" s="386" customForma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3"/>
      <c r="D699" s="3"/>
    </row>
    <row r="700" spans="1:25">
      <c r="A700" s="3"/>
      <c r="D700" s="3"/>
    </row>
    <row r="701" spans="1:25" s="386" customForma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3"/>
      <c r="D702" s="3"/>
    </row>
    <row r="703" spans="1:25">
      <c r="A703" s="3"/>
      <c r="D703" s="3"/>
    </row>
    <row r="704" spans="1:25" s="386" customForma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3"/>
      <c r="D705" s="3"/>
    </row>
    <row r="706" spans="1:25">
      <c r="A706" s="3"/>
      <c r="D706" s="3"/>
    </row>
    <row r="707" spans="1:25" s="386" customForma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3"/>
      <c r="D708" s="3"/>
    </row>
    <row r="709" spans="1:25">
      <c r="A709" s="3"/>
      <c r="D709" s="3"/>
    </row>
    <row r="710" spans="1:25" s="386" customForma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3"/>
      <c r="D711" s="3"/>
    </row>
    <row r="712" spans="1:25">
      <c r="A712" s="3"/>
      <c r="D712" s="3"/>
    </row>
    <row r="713" spans="1:25" s="386" customForma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3"/>
      <c r="D714" s="3"/>
    </row>
    <row r="715" spans="1:25">
      <c r="A715" s="3"/>
      <c r="D715" s="3"/>
    </row>
    <row r="716" spans="1:25" s="386" customForma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3"/>
      <c r="D717" s="3"/>
    </row>
    <row r="718" spans="1:25">
      <c r="A718" s="3"/>
      <c r="D718" s="3"/>
    </row>
    <row r="719" spans="1:25" s="386" customForma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3"/>
      <c r="D720" s="3"/>
    </row>
    <row r="721" spans="1:25">
      <c r="A721" s="3"/>
      <c r="D721" s="3"/>
    </row>
    <row r="722" spans="1:25" s="386" customForma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3"/>
      <c r="D723" s="3"/>
    </row>
    <row r="724" spans="1:25">
      <c r="A724" s="3"/>
      <c r="D724" s="3"/>
    </row>
    <row r="725" spans="1:25" s="386" customForma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3"/>
      <c r="D726" s="3"/>
    </row>
    <row r="727" spans="1:25">
      <c r="A727" s="3"/>
      <c r="D727" s="3"/>
    </row>
    <row r="728" spans="1:25" s="386" customForma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3"/>
      <c r="D729" s="3"/>
    </row>
    <row r="730" spans="1:25">
      <c r="A730" s="3"/>
      <c r="D730" s="3"/>
    </row>
    <row r="731" spans="1:25" s="386" customForma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3"/>
      <c r="D732" s="3"/>
    </row>
    <row r="733" spans="1:25">
      <c r="A733" s="3"/>
      <c r="D733" s="3"/>
    </row>
    <row r="734" spans="1:25" s="386" customForma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3"/>
      <c r="D735" s="3"/>
    </row>
    <row r="736" spans="1:25">
      <c r="A736" s="3"/>
      <c r="D736" s="3"/>
    </row>
    <row r="737" spans="1:25" s="386" customForma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3"/>
      <c r="D738" s="3"/>
    </row>
    <row r="739" spans="1:25">
      <c r="A739" s="3"/>
      <c r="D739" s="3"/>
    </row>
    <row r="740" spans="1:25" s="386" customForma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3"/>
      <c r="D741" s="3"/>
    </row>
    <row r="742" spans="1:25">
      <c r="A742" s="3"/>
      <c r="D742" s="3"/>
    </row>
    <row r="743" spans="1:25" s="386" customForma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3"/>
      <c r="D744" s="3"/>
    </row>
    <row r="745" spans="1:25">
      <c r="A745" s="3"/>
      <c r="D745" s="3"/>
    </row>
    <row r="746" spans="1:25" s="386" customForma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3"/>
      <c r="D747" s="3"/>
    </row>
    <row r="748" spans="1:25">
      <c r="A748" s="3"/>
      <c r="D748" s="3"/>
    </row>
    <row r="749" spans="1:25" s="386" customForma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3"/>
      <c r="D750" s="3"/>
    </row>
    <row r="751" spans="1:25">
      <c r="A751" s="3"/>
      <c r="D751" s="3"/>
    </row>
    <row r="752" spans="1:25" s="386" customForma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3"/>
      <c r="D753" s="3"/>
    </row>
    <row r="754" spans="1:25">
      <c r="A754" s="3"/>
      <c r="D754" s="3"/>
    </row>
    <row r="755" spans="1:25" s="386" customForma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3"/>
      <c r="D756" s="3"/>
    </row>
    <row r="757" spans="1:25">
      <c r="A757" s="3"/>
      <c r="D757" s="3"/>
    </row>
    <row r="758" spans="1:25" s="386" customForma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3"/>
      <c r="D759" s="3"/>
    </row>
    <row r="760" spans="1:25">
      <c r="A760" s="3"/>
      <c r="D760" s="3"/>
    </row>
    <row r="761" spans="1:25" s="386" customForma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3"/>
      <c r="D762" s="3"/>
    </row>
    <row r="763" spans="1:25">
      <c r="A763" s="3"/>
      <c r="D763" s="3"/>
    </row>
    <row r="764" spans="1:25" s="386" customForma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3"/>
      <c r="D765" s="3"/>
    </row>
    <row r="766" spans="1:25">
      <c r="A766" s="3"/>
      <c r="D766" s="3"/>
    </row>
    <row r="767" spans="1:25" s="386" customForma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3"/>
      <c r="D768" s="3"/>
    </row>
    <row r="769" spans="1:25">
      <c r="A769" s="3"/>
      <c r="D769" s="3"/>
    </row>
    <row r="770" spans="1:25" s="386" customForma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3"/>
      <c r="D771" s="3"/>
    </row>
    <row r="772" spans="1:25">
      <c r="A772" s="3"/>
      <c r="D772" s="3"/>
    </row>
    <row r="773" spans="1:25" s="386" customForma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3"/>
      <c r="D774" s="3"/>
    </row>
    <row r="775" spans="1:25">
      <c r="A775" s="3"/>
      <c r="D775" s="3"/>
    </row>
    <row r="776" spans="1:25" s="386" customForma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3"/>
      <c r="D777" s="3"/>
    </row>
    <row r="778" spans="1:25">
      <c r="A778" s="3"/>
      <c r="D778" s="3"/>
    </row>
    <row r="779" spans="1:25" s="386" customForma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3"/>
      <c r="D780" s="3"/>
    </row>
    <row r="781" spans="1:25">
      <c r="A781" s="3"/>
      <c r="D781" s="3"/>
    </row>
    <row r="782" spans="1:25" s="386" customForma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3"/>
      <c r="D783" s="3"/>
    </row>
    <row r="784" spans="1:25">
      <c r="A784" s="3"/>
      <c r="D784" s="3"/>
    </row>
    <row r="785" spans="1:25" s="386" customForma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3"/>
      <c r="D786" s="3"/>
    </row>
    <row r="787" spans="1:25">
      <c r="A787" s="3"/>
      <c r="D787" s="3"/>
    </row>
    <row r="788" spans="1:25" s="386" customForma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3"/>
      <c r="D789" s="3"/>
    </row>
    <row r="790" spans="1:25">
      <c r="A790" s="3"/>
      <c r="D790" s="3"/>
    </row>
    <row r="791" spans="1:25" s="386" customForma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3"/>
      <c r="D792" s="3"/>
    </row>
    <row r="793" spans="1:25">
      <c r="A793" s="3"/>
      <c r="D793" s="3"/>
    </row>
    <row r="794" spans="1:25" s="386" customForma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3"/>
      <c r="D795" s="3"/>
    </row>
    <row r="796" spans="1:25">
      <c r="A796" s="3"/>
      <c r="D796" s="3"/>
    </row>
    <row r="797" spans="1:25" s="386" customForma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3"/>
      <c r="D798" s="3"/>
    </row>
    <row r="799" spans="1:25">
      <c r="A799" s="3"/>
      <c r="D799" s="3"/>
    </row>
    <row r="800" spans="1:25" s="386" customForma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3"/>
      <c r="D801" s="3"/>
    </row>
    <row r="802" spans="1:25">
      <c r="A802" s="3"/>
      <c r="D802" s="3"/>
    </row>
    <row r="803" spans="1:25" s="386" customForma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3"/>
      <c r="D804" s="3"/>
    </row>
    <row r="805" spans="1:25">
      <c r="A805" s="3"/>
      <c r="D805" s="3"/>
    </row>
    <row r="806" spans="1:25" s="386" customForma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3"/>
      <c r="D807" s="3"/>
    </row>
    <row r="808" spans="1:25">
      <c r="A808" s="3"/>
      <c r="D808" s="3"/>
    </row>
    <row r="809" spans="1:25" s="386" customForma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3"/>
      <c r="D810" s="3"/>
    </row>
    <row r="811" spans="1:25">
      <c r="A811" s="3"/>
      <c r="D811" s="3"/>
    </row>
    <row r="812" spans="1:25" s="386" customForma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3"/>
      <c r="D813" s="3"/>
    </row>
    <row r="814" spans="1:25">
      <c r="A814" s="3"/>
      <c r="D814" s="3"/>
    </row>
    <row r="815" spans="1:25" s="386" customForma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3"/>
      <c r="D816" s="3"/>
    </row>
    <row r="817" spans="1:25">
      <c r="A817" s="3"/>
      <c r="D817" s="3"/>
    </row>
    <row r="818" spans="1:25" s="386" customForma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3"/>
      <c r="D819" s="3"/>
    </row>
    <row r="820" spans="1:25">
      <c r="A820" s="3"/>
      <c r="D820" s="3"/>
    </row>
    <row r="821" spans="1:25" s="386" customForma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3"/>
      <c r="D822" s="3"/>
    </row>
    <row r="823" spans="1:25">
      <c r="A823" s="3"/>
      <c r="D823" s="3"/>
    </row>
    <row r="824" spans="1:25" s="386" customForma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3"/>
      <c r="D825" s="3"/>
    </row>
    <row r="826" spans="1:25">
      <c r="A826" s="3"/>
      <c r="D826" s="3"/>
    </row>
    <row r="827" spans="1:25" s="386" customForma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3"/>
      <c r="D828" s="3"/>
    </row>
    <row r="829" spans="1:25">
      <c r="A829" s="3"/>
      <c r="D829" s="3"/>
    </row>
    <row r="830" spans="1:25" s="386" customForma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3"/>
      <c r="D831" s="3"/>
    </row>
    <row r="832" spans="1:25">
      <c r="A832" s="3"/>
      <c r="D832" s="3"/>
    </row>
    <row r="833" spans="1:25" s="386" customForma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3"/>
      <c r="D834" s="3"/>
    </row>
    <row r="835" spans="1:25">
      <c r="A835" s="3"/>
      <c r="D835" s="3"/>
    </row>
    <row r="836" spans="1:25" s="386" customForma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3"/>
      <c r="D837" s="3"/>
    </row>
    <row r="838" spans="1:25">
      <c r="A838" s="3"/>
      <c r="D838" s="3"/>
    </row>
    <row r="839" spans="1:25" s="386" customForma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3"/>
      <c r="D840" s="3"/>
    </row>
    <row r="841" spans="1:25">
      <c r="A841" s="3"/>
      <c r="D841" s="3"/>
    </row>
    <row r="842" spans="1:25" s="386" customForma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3"/>
      <c r="D843" s="3"/>
    </row>
    <row r="844" spans="1:25">
      <c r="A844" s="3"/>
      <c r="D844" s="3"/>
    </row>
    <row r="845" spans="1:25" s="386" customForma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3"/>
      <c r="D846" s="3"/>
    </row>
    <row r="847" spans="1:25">
      <c r="A847" s="3"/>
      <c r="D847" s="3"/>
    </row>
    <row r="848" spans="1:25" s="386" customForma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3"/>
      <c r="D849" s="3"/>
    </row>
    <row r="850" spans="1:25">
      <c r="A850" s="3"/>
      <c r="D850" s="3"/>
    </row>
    <row r="851" spans="1:25" s="386" customForma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3"/>
      <c r="D852" s="3"/>
    </row>
    <row r="853" spans="1:25">
      <c r="A853" s="3"/>
      <c r="D853" s="3"/>
    </row>
    <row r="854" spans="1:25" s="386" customForma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3"/>
      <c r="D855" s="3"/>
    </row>
    <row r="856" spans="1:25">
      <c r="A856" s="3"/>
      <c r="D856" s="3"/>
    </row>
    <row r="857" spans="1:25" s="386" customForma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3"/>
      <c r="D858" s="3"/>
    </row>
    <row r="859" spans="1:25">
      <c r="A859" s="3"/>
      <c r="D859" s="3"/>
    </row>
    <row r="860" spans="1:25" s="386" customForma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3"/>
      <c r="D861" s="3"/>
    </row>
    <row r="862" spans="1:25">
      <c r="A862" s="3"/>
      <c r="D862" s="3"/>
    </row>
    <row r="863" spans="1:25" s="386" customForma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3"/>
      <c r="D864" s="3"/>
    </row>
    <row r="865" spans="1:25">
      <c r="A865" s="3"/>
      <c r="D865" s="3"/>
    </row>
    <row r="866" spans="1:25" s="386" customForma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3"/>
      <c r="D867" s="3"/>
    </row>
    <row r="868" spans="1:25">
      <c r="A868" s="3"/>
      <c r="D868" s="3"/>
    </row>
    <row r="869" spans="1:25" s="386" customForma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3"/>
      <c r="D870" s="3"/>
    </row>
    <row r="871" spans="1:25">
      <c r="A871" s="3"/>
      <c r="D871" s="3"/>
    </row>
    <row r="872" spans="1:25" s="386" customForma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3"/>
      <c r="D873" s="3"/>
    </row>
    <row r="874" spans="1:25">
      <c r="A874" s="3"/>
      <c r="D874" s="3"/>
    </row>
    <row r="875" spans="1:25">
      <c r="A875" s="3"/>
      <c r="D875" s="3"/>
    </row>
    <row r="876" spans="1:25">
      <c r="A876" s="3"/>
      <c r="D876" s="3"/>
    </row>
    <row r="877" spans="1:25">
      <c r="A877" s="3"/>
      <c r="D877" s="3"/>
    </row>
    <row r="878" spans="1:25">
      <c r="A878" s="3"/>
      <c r="D878" s="3"/>
    </row>
    <row r="879" spans="1:25">
      <c r="A879" s="3"/>
      <c r="D879" s="3"/>
    </row>
    <row r="880" spans="1:25">
      <c r="A880" s="3"/>
      <c r="D880" s="3"/>
    </row>
    <row r="881" spans="1:4">
      <c r="A881" s="3"/>
      <c r="D881" s="3"/>
    </row>
    <row r="882" spans="1:4">
      <c r="A882" s="3"/>
      <c r="D882" s="3"/>
    </row>
    <row r="883" spans="1:4">
      <c r="A883" s="3"/>
      <c r="D883" s="3"/>
    </row>
    <row r="884" spans="1:4">
      <c r="A884" s="3"/>
      <c r="D884" s="3"/>
    </row>
    <row r="885" spans="1:4">
      <c r="A885" s="3"/>
      <c r="D885" s="3"/>
    </row>
    <row r="886" spans="1:4">
      <c r="A886" s="3"/>
      <c r="D886" s="3"/>
    </row>
    <row r="887" spans="1:4">
      <c r="A887" s="3"/>
      <c r="D887" s="3"/>
    </row>
    <row r="888" spans="1:4">
      <c r="A888" s="3"/>
      <c r="D888" s="3"/>
    </row>
    <row r="889" spans="1:4">
      <c r="A889" s="3"/>
      <c r="D889" s="3"/>
    </row>
    <row r="890" spans="1:4">
      <c r="A890" s="3"/>
      <c r="D890" s="3"/>
    </row>
    <row r="891" spans="1:4">
      <c r="A891" s="3"/>
      <c r="D891" s="3"/>
    </row>
    <row r="892" spans="1:4">
      <c r="A892" s="3"/>
      <c r="D892" s="3"/>
    </row>
    <row r="893" spans="1:4">
      <c r="A893" s="3"/>
      <c r="D893" s="3"/>
    </row>
    <row r="894" spans="1:4">
      <c r="A894" s="3"/>
      <c r="D894" s="3"/>
    </row>
    <row r="895" spans="1:4">
      <c r="A895" s="3"/>
      <c r="D895" s="3"/>
    </row>
    <row r="896" spans="1:4">
      <c r="A896" s="3"/>
      <c r="D896" s="3"/>
    </row>
    <row r="897" spans="1:4">
      <c r="A897" s="3"/>
      <c r="D897" s="3"/>
    </row>
    <row r="898" spans="1:4">
      <c r="A898" s="3"/>
      <c r="D898" s="3"/>
    </row>
    <row r="899" spans="1:4">
      <c r="A899" s="3"/>
      <c r="D899" s="3"/>
    </row>
    <row r="900" spans="1:4">
      <c r="A900" s="3"/>
      <c r="D900" s="3"/>
    </row>
    <row r="901" spans="1:4">
      <c r="A901" s="3"/>
      <c r="D901" s="3"/>
    </row>
    <row r="902" spans="1:4">
      <c r="A902" s="3"/>
      <c r="D902" s="3"/>
    </row>
    <row r="903" spans="1:4">
      <c r="A903" s="3"/>
      <c r="D903" s="3"/>
    </row>
    <row r="904" spans="1:4">
      <c r="A904" s="3"/>
      <c r="D904" s="3"/>
    </row>
    <row r="905" spans="1:4">
      <c r="A905" s="3"/>
      <c r="D905" s="3"/>
    </row>
    <row r="906" spans="1:4">
      <c r="A906" s="3"/>
      <c r="D906" s="3"/>
    </row>
    <row r="907" spans="1:4">
      <c r="A907" s="3"/>
      <c r="D907" s="3"/>
    </row>
    <row r="908" spans="1:4">
      <c r="A908" s="3"/>
      <c r="D908" s="3"/>
    </row>
    <row r="909" spans="1:4">
      <c r="A909" s="3"/>
      <c r="D909" s="3"/>
    </row>
    <row r="910" spans="1:4">
      <c r="A910" s="3"/>
      <c r="D910" s="3"/>
    </row>
    <row r="911" spans="1:4">
      <c r="A911" s="3"/>
      <c r="D911" s="3"/>
    </row>
    <row r="912" spans="1:4">
      <c r="A912" s="3"/>
      <c r="D912" s="3"/>
    </row>
    <row r="913" spans="1:4">
      <c r="A913" s="3"/>
      <c r="D913" s="3"/>
    </row>
    <row r="914" spans="1:4">
      <c r="A914" s="3"/>
      <c r="D914" s="3"/>
    </row>
    <row r="915" spans="1:4">
      <c r="A915" s="3"/>
      <c r="D915" s="3"/>
    </row>
    <row r="916" spans="1:4">
      <c r="A916" s="3"/>
      <c r="D916" s="3"/>
    </row>
    <row r="917" spans="1:4">
      <c r="A917" s="3"/>
      <c r="D917" s="3"/>
    </row>
    <row r="918" spans="1:4">
      <c r="A918" s="3"/>
      <c r="D918" s="3"/>
    </row>
    <row r="919" spans="1:4">
      <c r="A919" s="3"/>
      <c r="D919" s="3"/>
    </row>
    <row r="920" spans="1:4">
      <c r="A920" s="3"/>
      <c r="D920" s="3"/>
    </row>
    <row r="921" spans="1:4">
      <c r="A921" s="3"/>
      <c r="D921" s="3"/>
    </row>
    <row r="922" spans="1:4">
      <c r="A922" s="3"/>
      <c r="D922" s="3"/>
    </row>
    <row r="923" spans="1:4">
      <c r="A923" s="3"/>
      <c r="D923" s="3"/>
    </row>
    <row r="924" spans="1:4">
      <c r="A924" s="3"/>
      <c r="D924" s="3"/>
    </row>
    <row r="925" spans="1:4">
      <c r="A925" s="3"/>
      <c r="D925" s="3"/>
    </row>
    <row r="926" spans="1:4">
      <c r="A926" s="3"/>
      <c r="D926" s="3"/>
    </row>
    <row r="927" spans="1:4">
      <c r="A927" s="3"/>
      <c r="D927" s="3"/>
    </row>
    <row r="928" spans="1:4">
      <c r="A928" s="3"/>
      <c r="D928" s="3"/>
    </row>
    <row r="929" spans="1:4">
      <c r="A929" s="3"/>
      <c r="D929" s="3"/>
    </row>
    <row r="930" spans="1:4">
      <c r="A930" s="3"/>
      <c r="D930" s="3"/>
    </row>
    <row r="931" spans="1:4">
      <c r="A931" s="3"/>
      <c r="D931" s="3"/>
    </row>
    <row r="932" spans="1:4">
      <c r="A932" s="3"/>
      <c r="D932" s="3"/>
    </row>
    <row r="933" spans="1:4">
      <c r="A933" s="3"/>
      <c r="D933" s="3"/>
    </row>
    <row r="934" spans="1:4">
      <c r="A934" s="3"/>
      <c r="D934" s="3"/>
    </row>
    <row r="935" spans="1:4">
      <c r="A935" s="3"/>
      <c r="D935" s="3"/>
    </row>
    <row r="936" spans="1:4">
      <c r="A936" s="3"/>
      <c r="D936" s="3"/>
    </row>
    <row r="937" spans="1:4">
      <c r="A937" s="3"/>
      <c r="D937" s="3"/>
    </row>
    <row r="938" spans="1:4">
      <c r="A938" s="3"/>
      <c r="D938" s="3"/>
    </row>
    <row r="939" spans="1:4">
      <c r="A939" s="3"/>
      <c r="D939" s="3"/>
    </row>
    <row r="940" spans="1:4">
      <c r="A940" s="3"/>
      <c r="D940" s="3"/>
    </row>
    <row r="941" spans="1:4">
      <c r="A941" s="3"/>
      <c r="D941" s="3"/>
    </row>
    <row r="942" spans="1:4">
      <c r="A942" s="3"/>
      <c r="D942" s="3"/>
    </row>
    <row r="943" spans="1:4">
      <c r="A943" s="3"/>
      <c r="D943" s="3"/>
    </row>
    <row r="944" spans="1:4">
      <c r="A944" s="3"/>
      <c r="D944" s="3"/>
    </row>
    <row r="945" spans="1:4">
      <c r="A945" s="3"/>
      <c r="D945" s="3"/>
    </row>
    <row r="946" spans="1:4">
      <c r="A946" s="3"/>
      <c r="D946" s="3"/>
    </row>
    <row r="947" spans="1:4">
      <c r="A947" s="3"/>
      <c r="D947" s="3"/>
    </row>
    <row r="948" spans="1:4">
      <c r="A948" s="3"/>
      <c r="D948" s="3"/>
    </row>
    <row r="949" spans="1:4">
      <c r="A949" s="3"/>
      <c r="D949" s="3"/>
    </row>
    <row r="950" spans="1:4">
      <c r="A950" s="3"/>
      <c r="D950" s="3"/>
    </row>
    <row r="951" spans="1:4">
      <c r="A951" s="3"/>
      <c r="D951" s="3"/>
    </row>
    <row r="952" spans="1:4">
      <c r="A952" s="3"/>
      <c r="D952" s="3"/>
    </row>
    <row r="953" spans="1:4">
      <c r="A953" s="3"/>
      <c r="D953" s="3"/>
    </row>
    <row r="954" spans="1:4">
      <c r="A954" s="3"/>
      <c r="D954" s="3"/>
    </row>
    <row r="955" spans="1:4">
      <c r="A955" s="3"/>
      <c r="D955" s="3"/>
    </row>
    <row r="956" spans="1:4">
      <c r="A956" s="3"/>
      <c r="D956" s="3"/>
    </row>
    <row r="957" spans="1:4">
      <c r="A957" s="3"/>
      <c r="D957" s="3"/>
    </row>
    <row r="958" spans="1:4">
      <c r="A958" s="3"/>
      <c r="D958" s="3"/>
    </row>
    <row r="959" spans="1:4">
      <c r="A959" s="3"/>
      <c r="D959" s="3"/>
    </row>
    <row r="960" spans="1:4">
      <c r="A960" s="3"/>
      <c r="D960" s="3"/>
    </row>
    <row r="961" spans="1:4">
      <c r="A961" s="3"/>
      <c r="D961" s="3"/>
    </row>
    <row r="962" spans="1:4">
      <c r="A962" s="3"/>
      <c r="D962" s="3"/>
    </row>
    <row r="963" spans="1:4">
      <c r="A963" s="3"/>
      <c r="D963" s="3"/>
    </row>
    <row r="964" spans="1:4">
      <c r="A964" s="3"/>
      <c r="D964" s="3"/>
    </row>
    <row r="965" spans="1:4">
      <c r="A965" s="3"/>
      <c r="D965" s="3"/>
    </row>
    <row r="966" spans="1:4">
      <c r="A966" s="3"/>
      <c r="D966" s="3"/>
    </row>
    <row r="967" spans="1:4">
      <c r="A967" s="3"/>
      <c r="D967" s="3"/>
    </row>
    <row r="968" spans="1:4">
      <c r="A968" s="3"/>
      <c r="D968" s="3"/>
    </row>
    <row r="969" spans="1:4">
      <c r="A969" s="3"/>
      <c r="D969" s="3"/>
    </row>
    <row r="970" spans="1:4">
      <c r="A970" s="3"/>
      <c r="D970" s="3"/>
    </row>
    <row r="971" spans="1:4">
      <c r="A971" s="3"/>
      <c r="D971" s="3"/>
    </row>
    <row r="972" spans="1:4">
      <c r="A972" s="3"/>
      <c r="D972" s="3"/>
    </row>
    <row r="973" spans="1:4">
      <c r="A973" s="3"/>
      <c r="D973" s="3"/>
    </row>
    <row r="974" spans="1:4">
      <c r="A974" s="3"/>
      <c r="D974" s="3"/>
    </row>
    <row r="975" spans="1:4">
      <c r="A975" s="3"/>
      <c r="D975" s="3"/>
    </row>
    <row r="976" spans="1:4">
      <c r="A976" s="3"/>
      <c r="D976" s="3"/>
    </row>
    <row r="977" spans="1:4">
      <c r="A977" s="3"/>
      <c r="D977" s="3"/>
    </row>
    <row r="978" spans="1:4">
      <c r="A978" s="3"/>
      <c r="D978" s="3"/>
    </row>
    <row r="979" spans="1:4">
      <c r="A979" s="3"/>
      <c r="D979" s="3"/>
    </row>
    <row r="980" spans="1:4">
      <c r="A980" s="3"/>
      <c r="D980" s="3"/>
    </row>
    <row r="981" spans="1:4">
      <c r="A981" s="3"/>
      <c r="D981" s="3"/>
    </row>
    <row r="982" spans="1:4">
      <c r="A982" s="3"/>
      <c r="D982" s="3"/>
    </row>
    <row r="983" spans="1:4">
      <c r="A983" s="3"/>
      <c r="D983" s="3"/>
    </row>
    <row r="984" spans="1:4">
      <c r="A984" s="3"/>
      <c r="D984" s="3"/>
    </row>
    <row r="985" spans="1:4">
      <c r="A985" s="3"/>
      <c r="D985" s="3"/>
    </row>
    <row r="986" spans="1:4">
      <c r="A986" s="3"/>
      <c r="D986" s="3"/>
    </row>
    <row r="987" spans="1:4">
      <c r="A987" s="3"/>
      <c r="D987" s="3"/>
    </row>
    <row r="988" spans="1:4">
      <c r="A988" s="3"/>
      <c r="D988" s="3"/>
    </row>
    <row r="989" spans="1:4">
      <c r="A989" s="3"/>
      <c r="D989" s="3"/>
    </row>
    <row r="990" spans="1:4">
      <c r="A990" s="3"/>
      <c r="D990" s="3"/>
    </row>
    <row r="991" spans="1:4">
      <c r="A991" s="3"/>
      <c r="D991" s="3"/>
    </row>
    <row r="992" spans="1:4">
      <c r="A992" s="3"/>
      <c r="D992" s="3"/>
    </row>
    <row r="993" spans="1:4">
      <c r="A993" s="3"/>
      <c r="D993" s="3"/>
    </row>
    <row r="994" spans="1:4">
      <c r="A994" s="3"/>
      <c r="D994" s="3"/>
    </row>
    <row r="995" spans="1:4">
      <c r="A995" s="3"/>
      <c r="D995" s="3"/>
    </row>
    <row r="996" spans="1:4">
      <c r="A996" s="3"/>
      <c r="D996" s="3"/>
    </row>
    <row r="997" spans="1:4">
      <c r="A997" s="3"/>
      <c r="D997" s="3"/>
    </row>
    <row r="998" spans="1:4">
      <c r="A998" s="3"/>
      <c r="D998" s="3"/>
    </row>
    <row r="999" spans="1:4">
      <c r="A999" s="3"/>
      <c r="D999" s="3"/>
    </row>
    <row r="1000" spans="1:4">
      <c r="A1000" s="3"/>
      <c r="D1000" s="3"/>
    </row>
    <row r="1001" spans="1:4">
      <c r="A1001" s="3"/>
      <c r="D1001" s="3"/>
    </row>
    <row r="1002" spans="1:4">
      <c r="A1002" s="3"/>
      <c r="D1002" s="3"/>
    </row>
    <row r="1003" spans="1:4">
      <c r="A1003" s="3"/>
      <c r="D1003" s="3"/>
    </row>
    <row r="1004" spans="1:4">
      <c r="A1004" s="3"/>
      <c r="D1004" s="3"/>
    </row>
    <row r="1005" spans="1:4">
      <c r="A1005" s="3"/>
      <c r="D1005" s="3"/>
    </row>
    <row r="1006" spans="1:4">
      <c r="A1006" s="3"/>
      <c r="D1006" s="3"/>
    </row>
    <row r="1007" spans="1:4">
      <c r="A1007" s="3"/>
      <c r="D1007" s="3"/>
    </row>
    <row r="1008" spans="1:4">
      <c r="A1008" s="3"/>
      <c r="D1008" s="3"/>
    </row>
    <row r="1009" spans="1:4">
      <c r="A1009" s="3"/>
      <c r="D1009" s="3"/>
    </row>
    <row r="1010" spans="1:4">
      <c r="A1010" s="3"/>
      <c r="D1010" s="3"/>
    </row>
    <row r="1011" spans="1:4">
      <c r="A1011" s="3"/>
      <c r="D1011" s="3"/>
    </row>
    <row r="1012" spans="1:4">
      <c r="A1012" s="3"/>
      <c r="D1012" s="3"/>
    </row>
    <row r="1013" spans="1:4">
      <c r="A1013" s="3"/>
      <c r="D1013" s="3"/>
    </row>
    <row r="1014" spans="1:4">
      <c r="A1014" s="3"/>
      <c r="D1014" s="3"/>
    </row>
    <row r="1015" spans="1:4">
      <c r="A1015" s="3"/>
      <c r="D1015" s="3"/>
    </row>
    <row r="1016" spans="1:4">
      <c r="A1016" s="3"/>
      <c r="D1016" s="3"/>
    </row>
    <row r="1017" spans="1:4">
      <c r="A1017" s="3"/>
      <c r="D1017" s="3"/>
    </row>
    <row r="1018" spans="1:4">
      <c r="A1018" s="3"/>
      <c r="D1018" s="3"/>
    </row>
    <row r="1019" spans="1:4">
      <c r="A1019" s="3"/>
      <c r="D1019" s="3"/>
    </row>
    <row r="1020" spans="1:4">
      <c r="A1020" s="3"/>
      <c r="D1020" s="3"/>
    </row>
    <row r="1021" spans="1:4">
      <c r="A1021" s="3"/>
      <c r="D1021" s="3"/>
    </row>
    <row r="1022" spans="1:4">
      <c r="A1022" s="3"/>
      <c r="D1022" s="3"/>
    </row>
    <row r="1023" spans="1:4">
      <c r="A1023" s="3"/>
      <c r="D1023" s="3"/>
    </row>
    <row r="1024" spans="1:4">
      <c r="A1024" s="3"/>
      <c r="D1024" s="3"/>
    </row>
    <row r="1025" spans="1:4">
      <c r="A1025" s="3"/>
      <c r="D1025" s="3"/>
    </row>
    <row r="1026" spans="1:4">
      <c r="A1026" s="3"/>
      <c r="D1026" s="3"/>
    </row>
    <row r="1027" spans="1:4">
      <c r="A1027" s="3"/>
      <c r="D1027" s="3"/>
    </row>
    <row r="1028" spans="1:4">
      <c r="A1028" s="3"/>
      <c r="D1028" s="3"/>
    </row>
    <row r="1029" spans="1:4">
      <c r="A1029" s="3"/>
      <c r="D1029" s="3"/>
    </row>
    <row r="1030" spans="1:4">
      <c r="A1030" s="3"/>
      <c r="D1030" s="3"/>
    </row>
    <row r="1031" spans="1:4">
      <c r="A1031" s="3"/>
      <c r="D1031" s="3"/>
    </row>
    <row r="1032" spans="1:4">
      <c r="A1032" s="3"/>
      <c r="D1032" s="3"/>
    </row>
    <row r="1033" spans="1:4">
      <c r="A1033" s="3"/>
      <c r="D1033" s="3"/>
    </row>
    <row r="1034" spans="1:4">
      <c r="A1034" s="3"/>
      <c r="D1034" s="3"/>
    </row>
    <row r="1035" spans="1:4">
      <c r="A1035" s="3"/>
      <c r="D1035" s="3"/>
    </row>
    <row r="1036" spans="1:4">
      <c r="A1036" s="3"/>
      <c r="D1036" s="3"/>
    </row>
    <row r="1037" spans="1:4">
      <c r="A1037" s="3"/>
      <c r="D1037" s="3"/>
    </row>
    <row r="1038" spans="1:4">
      <c r="A1038" s="3"/>
      <c r="D1038" s="3"/>
    </row>
    <row r="1039" spans="1:4">
      <c r="A1039" s="3"/>
      <c r="D1039" s="3"/>
    </row>
    <row r="1040" spans="1:4">
      <c r="A1040" s="3"/>
      <c r="D1040" s="3"/>
    </row>
    <row r="1041" spans="1:4">
      <c r="A1041" s="3"/>
      <c r="D1041" s="3"/>
    </row>
    <row r="1042" spans="1:4">
      <c r="A1042" s="3"/>
      <c r="D1042" s="3"/>
    </row>
    <row r="1043" spans="1:4">
      <c r="A1043" s="3"/>
      <c r="D1043" s="3"/>
    </row>
    <row r="1044" spans="1:4">
      <c r="A1044" s="3"/>
      <c r="D1044" s="3"/>
    </row>
    <row r="1045" spans="1:4">
      <c r="A1045" s="3"/>
      <c r="D1045" s="3"/>
    </row>
    <row r="1046" spans="1:4">
      <c r="A1046" s="3"/>
      <c r="D1046" s="3"/>
    </row>
    <row r="1047" spans="1:4">
      <c r="A1047" s="3"/>
      <c r="D1047" s="3"/>
    </row>
    <row r="1048" spans="1:4">
      <c r="A1048" s="3"/>
      <c r="D1048" s="3"/>
    </row>
    <row r="1049" spans="1:4">
      <c r="A1049" s="3"/>
      <c r="D1049" s="3"/>
    </row>
    <row r="1050" spans="1:4">
      <c r="A1050" s="3"/>
      <c r="D1050" s="3"/>
    </row>
    <row r="1051" spans="1:4">
      <c r="A1051" s="3"/>
      <c r="D1051" s="3"/>
    </row>
    <row r="1052" spans="1:4">
      <c r="A1052" s="3"/>
      <c r="D1052" s="3"/>
    </row>
    <row r="1053" spans="1:4">
      <c r="A1053" s="3"/>
      <c r="D1053" s="3"/>
    </row>
    <row r="1054" spans="1:4">
      <c r="A1054" s="3"/>
      <c r="D1054" s="3"/>
    </row>
    <row r="1055" spans="1:4">
      <c r="A1055" s="3"/>
      <c r="D1055" s="3"/>
    </row>
    <row r="1056" spans="1:4">
      <c r="A1056" s="3"/>
      <c r="D1056" s="3"/>
    </row>
    <row r="1057" spans="1:4">
      <c r="A1057" s="3"/>
      <c r="D1057" s="3"/>
    </row>
    <row r="1058" spans="1:4">
      <c r="A1058" s="3"/>
      <c r="D1058" s="3"/>
    </row>
    <row r="1059" spans="1:4">
      <c r="A1059" s="3"/>
      <c r="D1059" s="3"/>
    </row>
    <row r="1060" spans="1:4">
      <c r="A1060" s="3"/>
      <c r="D1060" s="3"/>
    </row>
    <row r="1061" spans="1:4">
      <c r="A1061" s="3"/>
      <c r="D1061" s="3"/>
    </row>
    <row r="1062" spans="1:4">
      <c r="A1062" s="3"/>
      <c r="D1062" s="3"/>
    </row>
    <row r="1063" spans="1:4">
      <c r="A1063" s="3"/>
      <c r="D1063" s="3"/>
    </row>
    <row r="1064" spans="1:4">
      <c r="A1064" s="3"/>
      <c r="D1064" s="3"/>
    </row>
    <row r="1065" spans="1:4">
      <c r="A1065" s="3"/>
      <c r="D1065" s="3"/>
    </row>
    <row r="1066" spans="1:4">
      <c r="A1066" s="3"/>
      <c r="D1066" s="3"/>
    </row>
    <row r="1067" spans="1:4">
      <c r="A1067" s="3"/>
      <c r="D1067" s="3"/>
    </row>
    <row r="1068" spans="1:4">
      <c r="A1068" s="3"/>
      <c r="D1068" s="3"/>
    </row>
    <row r="1069" spans="1:4">
      <c r="A1069" s="3"/>
      <c r="D1069" s="3"/>
    </row>
    <row r="1070" spans="1:4">
      <c r="A1070" s="3"/>
      <c r="D1070" s="3"/>
    </row>
    <row r="1071" spans="1:4">
      <c r="A1071" s="3"/>
      <c r="D1071" s="3"/>
    </row>
    <row r="1072" spans="1:4">
      <c r="A1072" s="3"/>
      <c r="D1072" s="3"/>
    </row>
    <row r="1073" spans="1:4">
      <c r="A1073" s="3"/>
      <c r="D1073" s="3"/>
    </row>
    <row r="1074" spans="1:4">
      <c r="A1074" s="3"/>
      <c r="D1074" s="3"/>
    </row>
    <row r="1075" spans="1:4">
      <c r="A1075" s="3"/>
      <c r="D1075" s="3"/>
    </row>
    <row r="1076" spans="1:4">
      <c r="A1076" s="3"/>
      <c r="D1076" s="3"/>
    </row>
    <row r="1077" spans="1:4">
      <c r="A1077" s="3"/>
      <c r="D1077" s="3"/>
    </row>
    <row r="1078" spans="1:4">
      <c r="A1078" s="3"/>
      <c r="D1078" s="3"/>
    </row>
    <row r="1079" spans="1:4">
      <c r="A1079" s="3"/>
      <c r="D1079" s="3"/>
    </row>
    <row r="1080" spans="1:4">
      <c r="A1080" s="3"/>
      <c r="D1080" s="3"/>
    </row>
    <row r="1081" spans="1:4">
      <c r="A1081" s="3"/>
      <c r="D1081" s="3"/>
    </row>
    <row r="1082" spans="1:4">
      <c r="A1082" s="3"/>
      <c r="D1082" s="3"/>
    </row>
    <row r="1083" spans="1:4">
      <c r="A1083" s="3"/>
      <c r="D1083" s="3"/>
    </row>
    <row r="1084" spans="1:4">
      <c r="A1084" s="3"/>
      <c r="D1084" s="3"/>
    </row>
    <row r="1085" spans="1:4">
      <c r="A1085" s="3"/>
      <c r="D1085" s="3"/>
    </row>
    <row r="1086" spans="1:4">
      <c r="A1086" s="3"/>
      <c r="D1086" s="3"/>
    </row>
    <row r="1087" spans="1:4">
      <c r="A1087" s="3"/>
      <c r="D1087" s="3"/>
    </row>
    <row r="1088" spans="1:4">
      <c r="A1088" s="3"/>
      <c r="D1088" s="3"/>
    </row>
    <row r="1089" spans="1:4">
      <c r="A1089" s="3"/>
      <c r="D1089" s="3"/>
    </row>
    <row r="1090" spans="1:4">
      <c r="A1090" s="3"/>
      <c r="D1090" s="3"/>
    </row>
    <row r="1091" spans="1:4">
      <c r="A1091" s="3"/>
      <c r="D1091" s="3"/>
    </row>
    <row r="1092" spans="1:4">
      <c r="A1092" s="3"/>
      <c r="D1092" s="3"/>
    </row>
    <row r="1093" spans="1:4">
      <c r="A1093" s="3"/>
      <c r="D1093" s="3"/>
    </row>
    <row r="1094" spans="1:4">
      <c r="A1094" s="3"/>
      <c r="D1094" s="3"/>
    </row>
    <row r="1095" spans="1:4">
      <c r="A1095" s="3"/>
      <c r="D1095" s="3"/>
    </row>
    <row r="1096" spans="1:4">
      <c r="A1096" s="3"/>
      <c r="D1096" s="3"/>
    </row>
    <row r="1097" spans="1:4">
      <c r="A1097" s="3"/>
      <c r="D1097" s="3"/>
    </row>
    <row r="1098" spans="1:4">
      <c r="A1098" s="3"/>
      <c r="D1098" s="3"/>
    </row>
    <row r="1099" spans="1:4">
      <c r="A1099" s="3"/>
      <c r="D1099" s="3"/>
    </row>
    <row r="1100" spans="1:4">
      <c r="A1100" s="3"/>
      <c r="D1100" s="3"/>
    </row>
    <row r="1101" spans="1:4">
      <c r="A1101" s="3"/>
      <c r="D1101" s="3"/>
    </row>
    <row r="1102" spans="1:4">
      <c r="A1102" s="3"/>
      <c r="D1102" s="3"/>
    </row>
    <row r="1103" spans="1:4">
      <c r="A1103" s="3"/>
      <c r="D1103" s="3"/>
    </row>
    <row r="1104" spans="1:4">
      <c r="A1104" s="3"/>
      <c r="D1104" s="3"/>
    </row>
    <row r="1105" spans="1:4">
      <c r="A1105" s="3"/>
      <c r="D1105" s="3"/>
    </row>
    <row r="1106" spans="1:4">
      <c r="A1106" s="3"/>
      <c r="D1106" s="3"/>
    </row>
    <row r="1107" spans="1:4">
      <c r="A1107" s="3"/>
      <c r="D1107" s="3"/>
    </row>
    <row r="1108" spans="1:4">
      <c r="A1108" s="3"/>
      <c r="D1108" s="3"/>
    </row>
    <row r="1109" spans="1:4">
      <c r="A1109" s="3"/>
      <c r="D1109" s="3"/>
    </row>
    <row r="1110" spans="1:4">
      <c r="A1110" s="3"/>
      <c r="D1110" s="3"/>
    </row>
    <row r="1111" spans="1:4">
      <c r="A1111" s="3"/>
      <c r="D1111" s="3"/>
    </row>
    <row r="1112" spans="1:4">
      <c r="A1112" s="3"/>
      <c r="D1112" s="3"/>
    </row>
    <row r="1113" spans="1:4">
      <c r="A1113" s="3"/>
      <c r="D1113" s="3"/>
    </row>
    <row r="1114" spans="1:4">
      <c r="A1114" s="3"/>
      <c r="D1114" s="3"/>
    </row>
    <row r="1115" spans="1:4">
      <c r="A1115" s="3"/>
      <c r="D1115" s="3"/>
    </row>
    <row r="1116" spans="1:4">
      <c r="A1116" s="3"/>
      <c r="D1116" s="3"/>
    </row>
    <row r="1117" spans="1:4">
      <c r="A1117" s="3"/>
      <c r="D1117" s="3"/>
    </row>
    <row r="1118" spans="1:4">
      <c r="A1118" s="3"/>
      <c r="D1118" s="3"/>
    </row>
    <row r="1119" spans="1:4">
      <c r="A1119" s="3"/>
      <c r="D1119" s="3"/>
    </row>
    <row r="1120" spans="1:4">
      <c r="A1120" s="3"/>
      <c r="D1120" s="3"/>
    </row>
    <row r="1121" spans="1:4">
      <c r="A1121" s="3"/>
      <c r="D1121" s="3"/>
    </row>
    <row r="1122" spans="1:4">
      <c r="A1122" s="3"/>
      <c r="D1122" s="3"/>
    </row>
    <row r="1123" spans="1:4">
      <c r="A1123" s="3"/>
      <c r="D1123" s="3"/>
    </row>
    <row r="1124" spans="1:4">
      <c r="A1124" s="3"/>
      <c r="D1124" s="3"/>
    </row>
    <row r="1125" spans="1:4">
      <c r="A1125" s="3"/>
      <c r="D1125" s="3"/>
    </row>
    <row r="1126" spans="1:4">
      <c r="A1126" s="3"/>
      <c r="D1126" s="3"/>
    </row>
    <row r="1127" spans="1:4">
      <c r="A1127" s="3"/>
      <c r="D1127" s="3"/>
    </row>
    <row r="1128" spans="1:4">
      <c r="A1128" s="3"/>
      <c r="D1128" s="3"/>
    </row>
    <row r="1129" spans="1:4">
      <c r="A1129" s="3"/>
      <c r="D1129" s="3"/>
    </row>
    <row r="1130" spans="1:4">
      <c r="A1130" s="3"/>
      <c r="D1130" s="3"/>
    </row>
    <row r="1131" spans="1:4">
      <c r="A1131" s="3"/>
      <c r="D1131" s="3"/>
    </row>
    <row r="1132" spans="1:4">
      <c r="A1132" s="3"/>
      <c r="D1132" s="3"/>
    </row>
    <row r="1133" spans="1:4">
      <c r="A1133" s="3"/>
      <c r="D1133" s="3"/>
    </row>
    <row r="1134" spans="1:4">
      <c r="A1134" s="3"/>
      <c r="D1134" s="3"/>
    </row>
    <row r="1135" spans="1:4">
      <c r="A1135" s="3"/>
      <c r="D1135" s="3"/>
    </row>
    <row r="1136" spans="1:4">
      <c r="A1136" s="3"/>
      <c r="D1136" s="3"/>
    </row>
    <row r="1137" spans="1:4">
      <c r="A1137" s="3"/>
      <c r="D1137" s="3"/>
    </row>
    <row r="1138" spans="1:4">
      <c r="A1138" s="3"/>
      <c r="D1138" s="3"/>
    </row>
    <row r="1139" spans="1:4">
      <c r="A1139" s="3"/>
      <c r="D1139" s="3"/>
    </row>
    <row r="1140" spans="1:4">
      <c r="A1140" s="3"/>
      <c r="D1140" s="3"/>
    </row>
    <row r="1141" spans="1:4">
      <c r="A1141" s="3"/>
      <c r="D1141" s="3"/>
    </row>
    <row r="1142" spans="1:4">
      <c r="A1142" s="3"/>
      <c r="D1142" s="3"/>
    </row>
    <row r="1143" spans="1:4">
      <c r="A1143" s="3"/>
      <c r="D1143" s="3"/>
    </row>
    <row r="1144" spans="1:4">
      <c r="A1144" s="3"/>
      <c r="D1144" s="3"/>
    </row>
    <row r="1145" spans="1:4">
      <c r="A1145" s="3"/>
      <c r="D1145" s="3"/>
    </row>
    <row r="1146" spans="1:4">
      <c r="A1146" s="3"/>
      <c r="D1146" s="3"/>
    </row>
    <row r="1147" spans="1:4">
      <c r="A1147" s="3"/>
      <c r="D1147" s="3"/>
    </row>
    <row r="1148" spans="1:4">
      <c r="A1148" s="3"/>
      <c r="D1148" s="3"/>
    </row>
    <row r="1149" spans="1:4">
      <c r="A1149" s="3"/>
      <c r="D1149" s="3"/>
    </row>
    <row r="1150" spans="1:4">
      <c r="A1150" s="3"/>
      <c r="D1150" s="3"/>
    </row>
    <row r="1151" spans="1:4">
      <c r="A1151" s="3"/>
      <c r="D1151" s="3"/>
    </row>
    <row r="1152" spans="1:4">
      <c r="A1152" s="3"/>
      <c r="D1152" s="3"/>
    </row>
    <row r="1153" spans="1:4">
      <c r="A1153" s="3"/>
      <c r="D1153" s="3"/>
    </row>
    <row r="1154" spans="1:4">
      <c r="A1154" s="3"/>
      <c r="D1154" s="3"/>
    </row>
    <row r="1155" spans="1:4">
      <c r="A1155" s="3"/>
      <c r="D1155" s="3"/>
    </row>
    <row r="1156" spans="1:4">
      <c r="A1156" s="3"/>
      <c r="D1156" s="3"/>
    </row>
    <row r="1157" spans="1:4">
      <c r="A1157" s="3"/>
      <c r="D1157" s="3"/>
    </row>
    <row r="1158" spans="1:4">
      <c r="A1158" s="3"/>
      <c r="D1158" s="3"/>
    </row>
    <row r="1159" spans="1:4">
      <c r="A1159" s="3"/>
      <c r="D1159" s="3"/>
    </row>
    <row r="1160" spans="1:4">
      <c r="A1160" s="3"/>
      <c r="D1160" s="3"/>
    </row>
    <row r="1161" spans="1:4">
      <c r="A1161" s="3"/>
      <c r="D1161" s="3"/>
    </row>
    <row r="1162" spans="1:4">
      <c r="A1162" s="3"/>
      <c r="D1162" s="3"/>
    </row>
    <row r="1163" spans="1:4">
      <c r="A1163" s="3"/>
      <c r="D1163" s="3"/>
    </row>
    <row r="1164" spans="1:4">
      <c r="A1164" s="3"/>
      <c r="D1164" s="3"/>
    </row>
    <row r="1165" spans="1:4">
      <c r="A1165" s="3"/>
      <c r="D1165" s="3"/>
    </row>
    <row r="1166" spans="1:4">
      <c r="A1166" s="3"/>
      <c r="D1166" s="3"/>
    </row>
    <row r="1167" spans="1:4">
      <c r="A1167" s="3"/>
      <c r="D1167" s="3"/>
    </row>
    <row r="1168" spans="1:4">
      <c r="A1168" s="3"/>
      <c r="D1168" s="3"/>
    </row>
    <row r="1169" spans="1:4">
      <c r="A1169" s="3"/>
      <c r="D1169" s="3"/>
    </row>
    <row r="1170" spans="1:4">
      <c r="A1170" s="3"/>
      <c r="D1170" s="3"/>
    </row>
    <row r="1171" spans="1:4">
      <c r="A1171" s="3"/>
      <c r="D1171" s="3"/>
    </row>
    <row r="1172" spans="1:4">
      <c r="A1172" s="3"/>
      <c r="D1172" s="3"/>
    </row>
    <row r="1173" spans="1:4">
      <c r="A1173" s="3"/>
      <c r="D1173" s="3"/>
    </row>
    <row r="1174" spans="1:4">
      <c r="A1174" s="3"/>
      <c r="D1174" s="3"/>
    </row>
    <row r="1175" spans="1:4">
      <c r="A1175" s="3"/>
      <c r="D1175" s="3"/>
    </row>
    <row r="1176" spans="1:4">
      <c r="A1176" s="3"/>
      <c r="D1176" s="3"/>
    </row>
    <row r="1177" spans="1:4">
      <c r="A1177" s="3"/>
      <c r="D1177" s="3"/>
    </row>
    <row r="1178" spans="1:4">
      <c r="A1178" s="3"/>
      <c r="D1178" s="3"/>
    </row>
    <row r="1179" spans="1:4">
      <c r="A1179" s="3"/>
      <c r="D1179" s="3"/>
    </row>
    <row r="1180" spans="1:4">
      <c r="A1180" s="3"/>
      <c r="D1180" s="3"/>
    </row>
    <row r="1181" spans="1:4">
      <c r="A1181" s="3"/>
      <c r="D1181" s="3"/>
    </row>
    <row r="1182" spans="1:4">
      <c r="A1182" s="3"/>
      <c r="D1182" s="3"/>
    </row>
    <row r="1183" spans="1:4">
      <c r="A1183" s="3"/>
      <c r="D1183" s="3"/>
    </row>
    <row r="1184" spans="1:4">
      <c r="A1184" s="3"/>
      <c r="D1184" s="3"/>
    </row>
    <row r="1185" spans="1:4">
      <c r="A1185" s="3"/>
      <c r="D1185" s="3"/>
    </row>
    <row r="1186" spans="1:4">
      <c r="A1186" s="3"/>
      <c r="D1186" s="3"/>
    </row>
    <row r="1187" spans="1:4">
      <c r="A1187" s="3"/>
      <c r="D1187" s="3"/>
    </row>
    <row r="1188" spans="1:4">
      <c r="A1188" s="3"/>
      <c r="D1188" s="3"/>
    </row>
    <row r="1189" spans="1:4">
      <c r="A1189" s="3"/>
      <c r="D1189" s="3"/>
    </row>
    <row r="1190" spans="1:4">
      <c r="A1190" s="3"/>
      <c r="D1190" s="3"/>
    </row>
    <row r="1191" spans="1:4">
      <c r="A1191" s="3"/>
      <c r="D1191" s="3"/>
    </row>
    <row r="1192" spans="1:4">
      <c r="A1192" s="3"/>
      <c r="D1192" s="3"/>
    </row>
    <row r="1193" spans="1:4">
      <c r="A1193" s="3"/>
      <c r="D1193" s="3"/>
    </row>
    <row r="1194" spans="1:4">
      <c r="A1194" s="3"/>
      <c r="D1194" s="3"/>
    </row>
    <row r="1195" spans="1:4">
      <c r="A1195" s="3"/>
      <c r="D1195" s="3"/>
    </row>
    <row r="1196" spans="1:4">
      <c r="A1196" s="3"/>
      <c r="D1196" s="3"/>
    </row>
    <row r="1197" spans="1:4">
      <c r="A1197" s="3"/>
      <c r="D1197" s="3"/>
    </row>
    <row r="1198" spans="1:4">
      <c r="A1198" s="3"/>
      <c r="D1198" s="3"/>
    </row>
    <row r="1199" spans="1:4">
      <c r="A1199" s="3"/>
      <c r="D1199" s="3"/>
    </row>
    <row r="1200" spans="1:4">
      <c r="A1200" s="3"/>
      <c r="D1200" s="3"/>
    </row>
    <row r="1201" spans="1:4">
      <c r="A1201" s="3"/>
      <c r="D1201" s="3"/>
    </row>
    <row r="1202" spans="1:4">
      <c r="A1202" s="3"/>
      <c r="D1202" s="3"/>
    </row>
    <row r="1203" spans="1:4">
      <c r="A1203" s="3"/>
      <c r="D1203" s="3"/>
    </row>
    <row r="1204" spans="1:4">
      <c r="A1204" s="3"/>
      <c r="D1204" s="3"/>
    </row>
    <row r="1205" spans="1:4">
      <c r="A1205" s="3"/>
      <c r="D1205" s="3"/>
    </row>
    <row r="1206" spans="1:4">
      <c r="A1206" s="3"/>
      <c r="D1206" s="3"/>
    </row>
    <row r="1207" spans="1:4">
      <c r="A1207" s="3"/>
      <c r="D1207" s="3"/>
    </row>
    <row r="1208" spans="1:4">
      <c r="A1208" s="3"/>
      <c r="D1208" s="3"/>
    </row>
    <row r="1209" spans="1:4">
      <c r="A1209" s="3"/>
      <c r="D1209" s="3"/>
    </row>
    <row r="1210" spans="1:4">
      <c r="A1210" s="3"/>
      <c r="D1210" s="3"/>
    </row>
    <row r="1211" spans="1:4">
      <c r="A1211" s="3"/>
      <c r="D1211" s="3"/>
    </row>
    <row r="1212" spans="1:4">
      <c r="A1212" s="3"/>
      <c r="D1212" s="3"/>
    </row>
    <row r="1213" spans="1:4">
      <c r="A1213" s="3"/>
      <c r="D1213" s="3"/>
    </row>
    <row r="1214" spans="1:4">
      <c r="A1214" s="3"/>
      <c r="D1214" s="3"/>
    </row>
    <row r="1215" spans="1:4">
      <c r="A1215" s="3"/>
      <c r="D1215" s="3"/>
    </row>
    <row r="1216" spans="1:4">
      <c r="A1216" s="3"/>
      <c r="D1216" s="3"/>
    </row>
    <row r="1217" spans="1:4">
      <c r="A1217" s="3"/>
      <c r="D1217" s="3"/>
    </row>
    <row r="1218" spans="1:4">
      <c r="A1218" s="3"/>
      <c r="D1218" s="3"/>
    </row>
    <row r="1219" spans="1:4">
      <c r="A1219" s="3"/>
      <c r="D1219" s="3"/>
    </row>
    <row r="1220" spans="1:4">
      <c r="A1220" s="3"/>
      <c r="D1220" s="3"/>
    </row>
    <row r="1221" spans="1:4">
      <c r="A1221" s="3"/>
      <c r="D1221" s="3"/>
    </row>
    <row r="1222" spans="1:4">
      <c r="A1222" s="3"/>
      <c r="D1222" s="3"/>
    </row>
    <row r="1223" spans="1:4">
      <c r="A1223" s="3"/>
      <c r="D1223" s="3"/>
    </row>
    <row r="1224" spans="1:4">
      <c r="A1224" s="3"/>
      <c r="D1224" s="3"/>
    </row>
    <row r="1225" spans="1:4">
      <c r="A1225" s="3"/>
      <c r="D1225" s="3"/>
    </row>
    <row r="1226" spans="1:4">
      <c r="A1226" s="3"/>
      <c r="D1226" s="3"/>
    </row>
    <row r="1227" spans="1:4">
      <c r="A1227" s="3"/>
      <c r="D1227" s="3"/>
    </row>
    <row r="1228" spans="1:4">
      <c r="A1228" s="3"/>
      <c r="D1228" s="3"/>
    </row>
    <row r="1229" spans="1:4">
      <c r="A1229" s="3"/>
      <c r="D1229" s="3"/>
    </row>
    <row r="1230" spans="1:4">
      <c r="A1230" s="3"/>
      <c r="D1230" s="3"/>
    </row>
    <row r="1231" spans="1:4">
      <c r="A1231" s="3"/>
      <c r="D1231" s="3"/>
    </row>
    <row r="1232" spans="1:4">
      <c r="A1232" s="3"/>
      <c r="D1232" s="3"/>
    </row>
    <row r="1233" spans="1:4">
      <c r="A1233" s="3"/>
      <c r="D1233" s="3"/>
    </row>
    <row r="1234" spans="1:4">
      <c r="A1234" s="3"/>
      <c r="D1234" s="3"/>
    </row>
    <row r="1235" spans="1:4">
      <c r="A1235" s="3"/>
      <c r="D1235" s="3"/>
    </row>
    <row r="1236" spans="1:4">
      <c r="A1236" s="3"/>
      <c r="D1236" s="3"/>
    </row>
    <row r="1237" spans="1:4">
      <c r="A1237" s="3"/>
      <c r="D1237" s="3"/>
    </row>
    <row r="1238" spans="1:4">
      <c r="A1238" s="3"/>
      <c r="D1238" s="3"/>
    </row>
    <row r="1239" spans="1:4">
      <c r="A1239" s="3"/>
      <c r="D1239" s="3"/>
    </row>
    <row r="1240" spans="1:4">
      <c r="A1240" s="3"/>
      <c r="D1240" s="3"/>
    </row>
    <row r="1241" spans="1:4">
      <c r="A1241" s="3"/>
      <c r="D1241" s="3"/>
    </row>
    <row r="1242" spans="1:4">
      <c r="A1242" s="3"/>
      <c r="D1242" s="3"/>
    </row>
    <row r="1243" spans="1:4">
      <c r="A1243" s="3"/>
      <c r="D1243" s="3"/>
    </row>
    <row r="1244" spans="1:4">
      <c r="A1244" s="3"/>
      <c r="D1244" s="3"/>
    </row>
    <row r="1245" spans="1:4">
      <c r="A1245" s="3"/>
      <c r="D1245" s="3"/>
    </row>
    <row r="1246" spans="1:4">
      <c r="A1246" s="3"/>
      <c r="D1246" s="3"/>
    </row>
    <row r="1247" spans="1:4">
      <c r="A1247" s="3"/>
      <c r="D1247" s="3"/>
    </row>
    <row r="1248" spans="1:4">
      <c r="A1248" s="3"/>
      <c r="D1248" s="3"/>
    </row>
    <row r="1249" spans="1:4">
      <c r="A1249" s="3"/>
      <c r="D1249" s="3"/>
    </row>
    <row r="1250" spans="1:4">
      <c r="A1250" s="3"/>
      <c r="D1250" s="3"/>
    </row>
    <row r="1251" spans="1:4">
      <c r="A1251" s="3"/>
      <c r="D1251" s="3"/>
    </row>
    <row r="1252" spans="1:4">
      <c r="A1252" s="3"/>
      <c r="D1252" s="3"/>
    </row>
    <row r="1253" spans="1:4">
      <c r="A1253" s="3"/>
      <c r="D1253" s="3"/>
    </row>
    <row r="1254" spans="1:4">
      <c r="A1254" s="3"/>
      <c r="D1254" s="3"/>
    </row>
    <row r="1255" spans="1:4">
      <c r="A1255" s="3"/>
      <c r="D1255" s="3"/>
    </row>
    <row r="1256" spans="1:4">
      <c r="A1256" s="3"/>
      <c r="D1256" s="3"/>
    </row>
    <row r="1257" spans="1:4">
      <c r="A1257" s="3"/>
      <c r="D1257" s="3"/>
    </row>
    <row r="1258" spans="1:4">
      <c r="A1258" s="3"/>
      <c r="D1258" s="3"/>
    </row>
    <row r="1259" spans="1:4">
      <c r="A1259" s="3"/>
      <c r="D1259" s="3"/>
    </row>
    <row r="1260" spans="1:4">
      <c r="A1260" s="3"/>
      <c r="D1260" s="3"/>
    </row>
    <row r="1261" spans="1:4">
      <c r="A1261" s="3"/>
      <c r="D1261" s="3"/>
    </row>
    <row r="1262" spans="1:4">
      <c r="A1262" s="3"/>
      <c r="D1262" s="3"/>
    </row>
    <row r="1263" spans="1:4">
      <c r="A1263" s="3"/>
      <c r="D1263" s="3"/>
    </row>
    <row r="1264" spans="1:4">
      <c r="A1264" s="3"/>
      <c r="D1264" s="3"/>
    </row>
    <row r="1265" spans="1:4">
      <c r="A1265" s="3"/>
      <c r="D1265" s="3"/>
    </row>
    <row r="1266" spans="1:4">
      <c r="A1266" s="3"/>
      <c r="D1266" s="3"/>
    </row>
    <row r="1267" spans="1:4">
      <c r="A1267" s="3"/>
      <c r="D1267" s="3"/>
    </row>
    <row r="1268" spans="1:4">
      <c r="A1268" s="3"/>
      <c r="D1268" s="3"/>
    </row>
    <row r="1269" spans="1:4">
      <c r="A1269" s="3"/>
      <c r="D1269" s="3"/>
    </row>
    <row r="1270" spans="1:4">
      <c r="A1270" s="3"/>
      <c r="D1270" s="3"/>
    </row>
    <row r="1271" spans="1:4">
      <c r="A1271" s="3"/>
      <c r="D1271" s="3"/>
    </row>
    <row r="1272" spans="1:4">
      <c r="A1272" s="3"/>
      <c r="D1272" s="3"/>
    </row>
    <row r="1273" spans="1:4">
      <c r="A1273" s="3"/>
      <c r="D1273" s="3"/>
    </row>
    <row r="1274" spans="1:4">
      <c r="A1274" s="3"/>
      <c r="D1274" s="3"/>
    </row>
    <row r="1275" spans="1:4">
      <c r="A1275" s="3"/>
      <c r="D1275" s="3"/>
    </row>
    <row r="1276" spans="1:4">
      <c r="A1276" s="3"/>
      <c r="D1276" s="3"/>
    </row>
    <row r="1277" spans="1:4">
      <c r="A1277" s="3"/>
      <c r="D1277" s="3"/>
    </row>
    <row r="1278" spans="1:4">
      <c r="A1278" s="3"/>
      <c r="D1278" s="3"/>
    </row>
    <row r="1279" spans="1:4">
      <c r="A1279" s="3"/>
      <c r="D1279" s="3"/>
    </row>
    <row r="1280" spans="1:4">
      <c r="A1280" s="3"/>
      <c r="D1280" s="3"/>
    </row>
    <row r="1281" spans="1:4">
      <c r="A1281" s="3"/>
      <c r="D1281" s="3"/>
    </row>
    <row r="1282" spans="1:4">
      <c r="A1282" s="3"/>
      <c r="D1282" s="3"/>
    </row>
    <row r="1283" spans="1:4">
      <c r="A1283" s="3"/>
      <c r="D1283" s="3"/>
    </row>
    <row r="1284" spans="1:4">
      <c r="A1284" s="3"/>
      <c r="D1284" s="3"/>
    </row>
    <row r="1285" spans="1:4">
      <c r="A1285" s="3"/>
      <c r="D1285" s="3"/>
    </row>
    <row r="1286" spans="1:4">
      <c r="A1286" s="3"/>
      <c r="D1286" s="3"/>
    </row>
    <row r="1287" spans="1:4">
      <c r="A1287" s="3"/>
      <c r="D1287" s="3"/>
    </row>
    <row r="1288" spans="1:4">
      <c r="A1288" s="3"/>
      <c r="D1288" s="3"/>
    </row>
    <row r="1289" spans="1:4">
      <c r="A1289" s="3"/>
      <c r="D1289" s="3"/>
    </row>
    <row r="1290" spans="1:4">
      <c r="A1290" s="3"/>
      <c r="D1290" s="3"/>
    </row>
    <row r="1291" spans="1:4">
      <c r="A1291" s="3"/>
      <c r="D1291" s="3"/>
    </row>
    <row r="1292" spans="1:4">
      <c r="A1292" s="3"/>
      <c r="D1292" s="3"/>
    </row>
    <row r="1293" spans="1:4">
      <c r="A1293" s="3"/>
      <c r="D1293" s="3"/>
    </row>
    <row r="1294" spans="1:4">
      <c r="A1294" s="3"/>
      <c r="D1294" s="3"/>
    </row>
    <row r="1295" spans="1:4">
      <c r="A1295" s="3"/>
      <c r="D1295" s="3"/>
    </row>
    <row r="1296" spans="1:4">
      <c r="A1296" s="3"/>
      <c r="D1296" s="3"/>
    </row>
    <row r="1297" spans="1:4">
      <c r="A1297" s="3"/>
      <c r="D1297" s="3"/>
    </row>
    <row r="1298" spans="1:4">
      <c r="A1298" s="3"/>
      <c r="D1298" s="3"/>
    </row>
    <row r="1299" spans="1:4">
      <c r="A1299" s="3"/>
      <c r="D1299" s="3"/>
    </row>
    <row r="1300" spans="1:4">
      <c r="A1300" s="3"/>
      <c r="D1300" s="3"/>
    </row>
    <row r="1301" spans="1:4">
      <c r="A1301" s="3"/>
      <c r="D1301" s="3"/>
    </row>
    <row r="1302" spans="1:4">
      <c r="A1302" s="3"/>
      <c r="D1302" s="3"/>
    </row>
    <row r="1303" spans="1:4">
      <c r="A1303" s="3"/>
      <c r="D1303" s="3"/>
    </row>
    <row r="1304" spans="1:4">
      <c r="A1304" s="3"/>
      <c r="D1304" s="3"/>
    </row>
    <row r="1305" spans="1:4">
      <c r="A1305" s="3"/>
      <c r="D1305" s="3"/>
    </row>
    <row r="1306" spans="1:4">
      <c r="A1306" s="3"/>
      <c r="D1306" s="3"/>
    </row>
    <row r="1307" spans="1:4">
      <c r="A1307" s="3"/>
      <c r="D1307" s="3"/>
    </row>
    <row r="1308" spans="1:4">
      <c r="A1308" s="3"/>
      <c r="D1308" s="3"/>
    </row>
    <row r="1309" spans="1:4">
      <c r="A1309" s="3"/>
      <c r="D1309" s="3"/>
    </row>
    <row r="1310" spans="1:4">
      <c r="A1310" s="3"/>
      <c r="D1310" s="3"/>
    </row>
    <row r="1311" spans="1:4">
      <c r="A1311" s="3"/>
      <c r="D1311" s="3"/>
    </row>
    <row r="1312" spans="1:4">
      <c r="A1312" s="3"/>
      <c r="D1312" s="3"/>
    </row>
    <row r="1313" spans="1:4">
      <c r="A1313" s="3"/>
      <c r="D1313" s="3"/>
    </row>
    <row r="1314" spans="1:4">
      <c r="A1314" s="3"/>
      <c r="D1314" s="3"/>
    </row>
    <row r="1315" spans="1:4">
      <c r="A1315" s="3"/>
      <c r="D1315" s="3"/>
    </row>
    <row r="1316" spans="1:4">
      <c r="A1316" s="3"/>
      <c r="D1316" s="3"/>
    </row>
    <row r="1317" spans="1:4">
      <c r="A1317" s="3"/>
      <c r="D1317" s="3"/>
    </row>
    <row r="1318" spans="1:4">
      <c r="A1318" s="3"/>
      <c r="D1318" s="3"/>
    </row>
    <row r="1319" spans="1:4">
      <c r="A1319" s="3"/>
      <c r="D1319" s="3"/>
    </row>
    <row r="1320" spans="1:4">
      <c r="A1320" s="3"/>
      <c r="D1320" s="3"/>
    </row>
    <row r="1321" spans="1:4">
      <c r="A1321" s="3"/>
      <c r="D1321" s="3"/>
    </row>
    <row r="1322" spans="1:4">
      <c r="A1322" s="3"/>
      <c r="D1322" s="3"/>
    </row>
    <row r="1323" spans="1:4">
      <c r="A1323" s="3"/>
      <c r="D1323" s="3"/>
    </row>
    <row r="1324" spans="1:4">
      <c r="A1324" s="3"/>
      <c r="D1324" s="3"/>
    </row>
    <row r="1325" spans="1:4">
      <c r="A1325" s="3"/>
      <c r="D1325" s="3"/>
    </row>
    <row r="1326" spans="1:4">
      <c r="A1326" s="3"/>
      <c r="D1326" s="3"/>
    </row>
    <row r="1327" spans="1:4">
      <c r="A1327" s="3"/>
      <c r="D1327" s="3"/>
    </row>
    <row r="1328" spans="1:4">
      <c r="A1328" s="3"/>
      <c r="D1328" s="3"/>
    </row>
    <row r="1329" spans="1:4">
      <c r="A1329" s="3"/>
      <c r="D1329" s="3"/>
    </row>
    <row r="1330" spans="1:4">
      <c r="A1330" s="3"/>
      <c r="D1330" s="3"/>
    </row>
    <row r="1331" spans="1:4">
      <c r="A1331" s="3"/>
      <c r="D1331" s="3"/>
    </row>
    <row r="1332" spans="1:4">
      <c r="A1332" s="3"/>
      <c r="D1332" s="3"/>
    </row>
    <row r="1333" spans="1:4">
      <c r="A1333" s="3"/>
      <c r="D1333" s="3"/>
    </row>
    <row r="1334" spans="1:4">
      <c r="A1334" s="3"/>
      <c r="D1334" s="3"/>
    </row>
    <row r="1335" spans="1:4">
      <c r="A1335" s="3"/>
      <c r="D1335" s="3"/>
    </row>
    <row r="1336" spans="1:4">
      <c r="A1336" s="3"/>
      <c r="D1336" s="3"/>
    </row>
    <row r="1337" spans="1:4">
      <c r="A1337" s="3"/>
      <c r="D1337" s="3"/>
    </row>
    <row r="1338" spans="1:4">
      <c r="A1338" s="3"/>
      <c r="D1338" s="3"/>
    </row>
    <row r="1339" spans="1:4">
      <c r="A1339" s="3"/>
      <c r="D1339" s="3"/>
    </row>
    <row r="1340" spans="1:4">
      <c r="A1340" s="3"/>
      <c r="D1340" s="3"/>
    </row>
    <row r="1341" spans="1:4">
      <c r="A1341" s="3"/>
      <c r="D1341" s="3"/>
    </row>
    <row r="1342" spans="1:4">
      <c r="A1342" s="3"/>
      <c r="D1342" s="3"/>
    </row>
    <row r="1343" spans="1:4">
      <c r="A1343" s="3"/>
      <c r="D1343" s="3"/>
    </row>
    <row r="1344" spans="1:4">
      <c r="A1344" s="3"/>
      <c r="D1344" s="3"/>
    </row>
    <row r="1345" spans="1:4">
      <c r="A1345" s="3"/>
      <c r="D1345" s="3"/>
    </row>
    <row r="1346" spans="1:4">
      <c r="A1346" s="3"/>
      <c r="D1346" s="3"/>
    </row>
    <row r="1347" spans="1:4">
      <c r="A1347" s="3"/>
      <c r="D1347" s="3"/>
    </row>
    <row r="1348" spans="1:4">
      <c r="A1348" s="3"/>
      <c r="D1348" s="3"/>
    </row>
    <row r="1349" spans="1:4">
      <c r="A1349" s="3"/>
      <c r="D1349" s="3"/>
    </row>
    <row r="1350" spans="1:4">
      <c r="A1350" s="3"/>
      <c r="D1350" s="3"/>
    </row>
    <row r="1351" spans="1:4">
      <c r="A1351" s="3"/>
      <c r="D1351" s="3"/>
    </row>
    <row r="1352" spans="1:4">
      <c r="A1352" s="3"/>
      <c r="D1352" s="3"/>
    </row>
    <row r="1353" spans="1:4">
      <c r="A1353" s="3"/>
      <c r="D1353" s="3"/>
    </row>
    <row r="1354" spans="1:4">
      <c r="A1354" s="3"/>
      <c r="D1354" s="3"/>
    </row>
    <row r="1355" spans="1:4">
      <c r="A1355" s="3"/>
      <c r="D1355" s="3"/>
    </row>
    <row r="1356" spans="1:4">
      <c r="A1356" s="3"/>
      <c r="D1356" s="3"/>
    </row>
    <row r="1357" spans="1:4">
      <c r="A1357" s="3"/>
      <c r="D1357" s="3"/>
    </row>
    <row r="1358" spans="1:4">
      <c r="A1358" s="3"/>
      <c r="D1358" s="3"/>
    </row>
    <row r="1359" spans="1:4">
      <c r="A1359" s="3"/>
      <c r="D1359" s="3"/>
    </row>
    <row r="1360" spans="1:4">
      <c r="A1360" s="3"/>
      <c r="D1360" s="3"/>
    </row>
    <row r="1361" spans="1:4">
      <c r="A1361" s="3"/>
      <c r="D1361" s="3"/>
    </row>
    <row r="1362" spans="1:4">
      <c r="A1362" s="3"/>
      <c r="D1362" s="3"/>
    </row>
    <row r="1363" spans="1:4">
      <c r="A1363" s="3"/>
      <c r="D1363" s="3"/>
    </row>
    <row r="1364" spans="1:4">
      <c r="A1364" s="3"/>
      <c r="D1364" s="3"/>
    </row>
    <row r="1365" spans="1:4">
      <c r="A1365" s="3"/>
      <c r="D1365" s="3"/>
    </row>
    <row r="1366" spans="1:4">
      <c r="A1366" s="3"/>
      <c r="D1366" s="3"/>
    </row>
    <row r="1367" spans="1:4">
      <c r="A1367" s="3"/>
      <c r="D1367" s="3"/>
    </row>
    <row r="1368" spans="1:4">
      <c r="A1368" s="3"/>
      <c r="D1368" s="3"/>
    </row>
    <row r="1369" spans="1:4">
      <c r="A1369" s="3"/>
      <c r="D1369" s="3"/>
    </row>
    <row r="1370" spans="1:4">
      <c r="A1370" s="3"/>
      <c r="D1370" s="3"/>
    </row>
    <row r="1371" spans="1:4">
      <c r="A1371" s="3"/>
      <c r="D1371" s="3"/>
    </row>
    <row r="1372" spans="1:4">
      <c r="A1372" s="3"/>
      <c r="D1372" s="3"/>
    </row>
    <row r="1373" spans="1:4">
      <c r="A1373" s="3"/>
      <c r="D1373" s="3"/>
    </row>
    <row r="1374" spans="1:4">
      <c r="A1374" s="3"/>
      <c r="D1374" s="3"/>
    </row>
    <row r="1375" spans="1:4">
      <c r="A1375" s="3"/>
      <c r="D1375" s="3"/>
    </row>
    <row r="1376" spans="1:4">
      <c r="A1376" s="3"/>
      <c r="D1376" s="3"/>
    </row>
    <row r="1377" spans="1:4">
      <c r="A1377" s="3"/>
      <c r="D1377" s="3"/>
    </row>
    <row r="1378" spans="1:4">
      <c r="A1378" s="3"/>
      <c r="D1378" s="3"/>
    </row>
    <row r="1379" spans="1:4">
      <c r="A1379" s="3"/>
      <c r="D1379" s="3"/>
    </row>
    <row r="1380" spans="1:4">
      <c r="A1380" s="3"/>
      <c r="D1380" s="3"/>
    </row>
    <row r="1381" spans="1:4">
      <c r="A1381" s="3"/>
      <c r="D1381" s="3"/>
    </row>
    <row r="1382" spans="1:4">
      <c r="A1382" s="3"/>
      <c r="D1382" s="3"/>
    </row>
    <row r="1383" spans="1:4">
      <c r="A1383" s="3"/>
      <c r="D1383" s="3"/>
    </row>
    <row r="1384" spans="1:4">
      <c r="A1384" s="3"/>
      <c r="D1384" s="3"/>
    </row>
    <row r="1385" spans="1:4">
      <c r="A1385" s="3"/>
      <c r="D1385" s="3"/>
    </row>
    <row r="1386" spans="1:4">
      <c r="A1386" s="3"/>
      <c r="D1386" s="3"/>
    </row>
    <row r="1387" spans="1:4">
      <c r="A1387" s="3"/>
      <c r="D1387" s="3"/>
    </row>
    <row r="1388" spans="1:4">
      <c r="A1388" s="3"/>
      <c r="D1388" s="3"/>
    </row>
    <row r="1389" spans="1:4">
      <c r="A1389" s="3"/>
      <c r="D1389" s="3"/>
    </row>
    <row r="1390" spans="1:4">
      <c r="A1390" s="3"/>
      <c r="D1390" s="3"/>
    </row>
    <row r="1391" spans="1:4">
      <c r="A1391" s="3"/>
      <c r="D1391" s="3"/>
    </row>
    <row r="1392" spans="1:4">
      <c r="A1392" s="3"/>
      <c r="D1392" s="3"/>
    </row>
    <row r="1393" spans="1:4">
      <c r="A1393" s="3"/>
      <c r="D1393" s="3"/>
    </row>
    <row r="1394" spans="1:4">
      <c r="A1394" s="3"/>
      <c r="D1394" s="3"/>
    </row>
    <row r="1395" spans="1:4">
      <c r="A1395" s="3"/>
      <c r="D1395" s="3"/>
    </row>
    <row r="1396" spans="1:4">
      <c r="A1396" s="3"/>
      <c r="D1396" s="3"/>
    </row>
    <row r="1397" spans="1:4">
      <c r="A1397" s="3"/>
      <c r="D1397" s="3"/>
    </row>
    <row r="1398" spans="1:4">
      <c r="A1398" s="3"/>
      <c r="D1398" s="3"/>
    </row>
    <row r="1399" spans="1:4">
      <c r="A1399" s="3"/>
      <c r="D1399" s="3"/>
    </row>
    <row r="1400" spans="1:4">
      <c r="A1400" s="3"/>
      <c r="D1400" s="3"/>
    </row>
    <row r="1401" spans="1:4">
      <c r="A1401" s="3"/>
      <c r="D1401" s="3"/>
    </row>
    <row r="1402" spans="1:4">
      <c r="A1402" s="3"/>
      <c r="D1402" s="3"/>
    </row>
    <row r="1403" spans="1:4">
      <c r="A1403" s="3"/>
      <c r="D1403" s="3"/>
    </row>
    <row r="1404" spans="1:4">
      <c r="A1404" s="3"/>
      <c r="D1404" s="3"/>
    </row>
    <row r="1405" spans="1:4">
      <c r="A1405" s="3"/>
      <c r="D1405" s="3"/>
    </row>
    <row r="1406" spans="1:4">
      <c r="A1406" s="3"/>
      <c r="D1406" s="3"/>
    </row>
    <row r="1407" spans="1:4">
      <c r="A1407" s="3"/>
      <c r="D1407" s="3"/>
    </row>
    <row r="1408" spans="1:4">
      <c r="A1408" s="3"/>
      <c r="D1408" s="3"/>
    </row>
    <row r="1409" spans="1:4">
      <c r="A1409" s="3"/>
      <c r="D1409" s="3"/>
    </row>
    <row r="1410" spans="1:4">
      <c r="A1410" s="3"/>
      <c r="D1410" s="3"/>
    </row>
    <row r="1411" spans="1:4">
      <c r="A1411" s="3"/>
      <c r="D1411" s="3"/>
    </row>
    <row r="1412" spans="1:4">
      <c r="A1412" s="3"/>
      <c r="D1412" s="3"/>
    </row>
    <row r="1413" spans="1:4">
      <c r="A1413" s="3"/>
      <c r="D1413" s="3"/>
    </row>
    <row r="1414" spans="1:4">
      <c r="A1414" s="3"/>
      <c r="D1414" s="3"/>
    </row>
    <row r="1415" spans="1:4">
      <c r="A1415" s="3"/>
      <c r="D1415" s="3"/>
    </row>
    <row r="1416" spans="1:4">
      <c r="A1416" s="3"/>
      <c r="D1416" s="3"/>
    </row>
    <row r="1417" spans="1:4">
      <c r="A1417" s="3"/>
      <c r="D1417" s="3"/>
    </row>
    <row r="1418" spans="1:4">
      <c r="A1418" s="3"/>
      <c r="D1418" s="3"/>
    </row>
    <row r="1419" spans="1:4">
      <c r="A1419" s="3"/>
      <c r="D1419" s="3"/>
    </row>
    <row r="1420" spans="1:4">
      <c r="A1420" s="3"/>
      <c r="D1420" s="3"/>
    </row>
    <row r="1421" spans="1:4">
      <c r="A1421" s="3"/>
      <c r="D1421" s="3"/>
    </row>
    <row r="1422" spans="1:4">
      <c r="A1422" s="3"/>
      <c r="D1422" s="3"/>
    </row>
    <row r="1423" spans="1:4">
      <c r="A1423" s="3"/>
      <c r="D1423" s="3"/>
    </row>
    <row r="1424" spans="1:4">
      <c r="A1424" s="3"/>
      <c r="D1424" s="3"/>
    </row>
    <row r="1425" spans="1:4">
      <c r="A1425" s="3"/>
      <c r="D1425" s="3"/>
    </row>
    <row r="1426" spans="1:4">
      <c r="A1426" s="3"/>
      <c r="D1426" s="3"/>
    </row>
    <row r="1427" spans="1:4">
      <c r="A1427" s="3"/>
      <c r="D1427" s="3"/>
    </row>
    <row r="1428" spans="1:4">
      <c r="A1428" s="3"/>
      <c r="D1428" s="3"/>
    </row>
    <row r="1429" spans="1:4">
      <c r="A1429" s="3"/>
      <c r="D1429" s="3"/>
    </row>
    <row r="1430" spans="1:4">
      <c r="A1430" s="3"/>
      <c r="D1430" s="3"/>
    </row>
    <row r="1431" spans="1:4">
      <c r="A1431" s="3"/>
      <c r="D1431" s="3"/>
    </row>
    <row r="1432" spans="1:4">
      <c r="A1432" s="3"/>
      <c r="D1432" s="3"/>
    </row>
    <row r="1433" spans="1:4">
      <c r="A1433" s="3"/>
      <c r="D1433" s="3"/>
    </row>
    <row r="1434" spans="1:4">
      <c r="A1434" s="3"/>
      <c r="D1434" s="3"/>
    </row>
    <row r="1435" spans="1:4">
      <c r="A1435" s="3"/>
      <c r="D1435" s="3"/>
    </row>
    <row r="1436" spans="1:4">
      <c r="A1436" s="3"/>
      <c r="D1436" s="3"/>
    </row>
    <row r="1437" spans="1:4">
      <c r="A1437" s="3"/>
      <c r="D1437" s="3"/>
    </row>
    <row r="1438" spans="1:4">
      <c r="A1438" s="3"/>
      <c r="D1438" s="3"/>
    </row>
    <row r="1439" spans="1:4">
      <c r="A1439" s="3"/>
      <c r="D1439" s="3"/>
    </row>
    <row r="1440" spans="1:4">
      <c r="A1440" s="3"/>
      <c r="D1440" s="3"/>
    </row>
    <row r="1441" spans="1:4">
      <c r="A1441" s="3"/>
      <c r="D1441" s="3"/>
    </row>
    <row r="1442" spans="1:4">
      <c r="A1442" s="3"/>
      <c r="D1442" s="3"/>
    </row>
    <row r="1443" spans="1:4">
      <c r="A1443" s="3"/>
      <c r="D1443" s="3"/>
    </row>
    <row r="1444" spans="1:4">
      <c r="A1444" s="3"/>
      <c r="D1444" s="3"/>
    </row>
    <row r="1445" spans="1:4">
      <c r="A1445" s="3"/>
      <c r="D1445" s="3"/>
    </row>
    <row r="1446" spans="1:4">
      <c r="A1446" s="3"/>
      <c r="D1446" s="3"/>
    </row>
    <row r="1447" spans="1:4">
      <c r="A1447" s="3"/>
      <c r="D1447" s="3"/>
    </row>
    <row r="1448" spans="1:4">
      <c r="A1448" s="3"/>
      <c r="D1448" s="3"/>
    </row>
    <row r="1449" spans="1:4">
      <c r="A1449" s="3"/>
      <c r="D1449" s="3"/>
    </row>
    <row r="1450" spans="1:4">
      <c r="A1450" s="3"/>
      <c r="D1450" s="3"/>
    </row>
    <row r="1451" spans="1:4">
      <c r="A1451" s="3"/>
      <c r="D1451" s="3"/>
    </row>
    <row r="1452" spans="1:4">
      <c r="A1452" s="3"/>
      <c r="D1452" s="3"/>
    </row>
    <row r="1453" spans="1:4">
      <c r="A1453" s="3"/>
      <c r="D1453" s="3"/>
    </row>
    <row r="1454" spans="1:4">
      <c r="A1454" s="3"/>
      <c r="D1454" s="3"/>
    </row>
    <row r="1455" spans="1:4">
      <c r="A1455" s="3"/>
      <c r="D1455" s="3"/>
    </row>
    <row r="1456" spans="1:4">
      <c r="A1456" s="3"/>
      <c r="D1456" s="3"/>
    </row>
    <row r="1457" spans="1:4">
      <c r="A1457" s="3"/>
      <c r="D1457" s="3"/>
    </row>
    <row r="1458" spans="1:4">
      <c r="A1458" s="3"/>
      <c r="D1458" s="3"/>
    </row>
    <row r="1459" spans="1:4">
      <c r="A1459" s="3"/>
      <c r="D1459" s="3"/>
    </row>
    <row r="1460" spans="1:4">
      <c r="A1460" s="3"/>
      <c r="D1460" s="3"/>
    </row>
    <row r="1461" spans="1:4">
      <c r="A1461" s="3"/>
      <c r="D1461" s="3"/>
    </row>
    <row r="1462" spans="1:4">
      <c r="A1462" s="3"/>
      <c r="D1462" s="3"/>
    </row>
    <row r="1463" spans="1:4">
      <c r="A1463" s="3"/>
      <c r="D1463" s="3"/>
    </row>
    <row r="1464" spans="1:4">
      <c r="A1464" s="3"/>
      <c r="D1464" s="3"/>
    </row>
    <row r="1465" spans="1:4">
      <c r="A1465" s="3"/>
      <c r="D1465" s="3"/>
    </row>
    <row r="1466" spans="1:4">
      <c r="A1466" s="3"/>
      <c r="D1466" s="3"/>
    </row>
    <row r="1467" spans="1:4">
      <c r="A1467" s="3"/>
      <c r="D1467" s="3"/>
    </row>
    <row r="1468" spans="1:4">
      <c r="A1468" s="3"/>
      <c r="D1468" s="3"/>
    </row>
    <row r="1469" spans="1:4">
      <c r="A1469" s="3"/>
      <c r="D1469" s="3"/>
    </row>
    <row r="1470" spans="1:4">
      <c r="A1470" s="3"/>
      <c r="D1470" s="3"/>
    </row>
    <row r="1471" spans="1:4">
      <c r="A1471" s="3"/>
      <c r="D1471" s="3"/>
    </row>
    <row r="1472" spans="1:4">
      <c r="A1472" s="3"/>
      <c r="D1472" s="3"/>
    </row>
    <row r="1473" spans="1:4">
      <c r="A1473" s="3"/>
      <c r="D1473" s="3"/>
    </row>
    <row r="1474" spans="1:4">
      <c r="A1474" s="3"/>
      <c r="D1474" s="3"/>
    </row>
    <row r="1475" spans="1:4">
      <c r="A1475" s="3"/>
      <c r="D1475" s="3"/>
    </row>
    <row r="1476" spans="1:4">
      <c r="A1476" s="3"/>
      <c r="D1476" s="3"/>
    </row>
    <row r="1477" spans="1:4">
      <c r="A1477" s="3"/>
      <c r="D1477" s="3"/>
    </row>
    <row r="1478" spans="1:4">
      <c r="A1478" s="3"/>
      <c r="D1478" s="3"/>
    </row>
    <row r="1479" spans="1:4">
      <c r="A1479" s="3"/>
      <c r="D1479" s="3"/>
    </row>
    <row r="1480" spans="1:4">
      <c r="A1480" s="3"/>
      <c r="D1480" s="3"/>
    </row>
    <row r="1481" spans="1:4">
      <c r="A1481" s="3"/>
      <c r="D1481" s="3"/>
    </row>
    <row r="1482" spans="1:4">
      <c r="A1482" s="3"/>
      <c r="D1482" s="3"/>
    </row>
    <row r="1483" spans="1:4">
      <c r="A1483" s="3"/>
      <c r="D1483" s="3"/>
    </row>
    <row r="1484" spans="1:4">
      <c r="A1484" s="3"/>
      <c r="D1484" s="3"/>
    </row>
    <row r="1485" spans="1:4">
      <c r="A1485" s="3"/>
      <c r="D1485" s="3"/>
    </row>
    <row r="1486" spans="1:4">
      <c r="A1486" s="3"/>
      <c r="D1486" s="3"/>
    </row>
    <row r="1487" spans="1:4">
      <c r="A1487" s="3"/>
      <c r="D1487" s="3"/>
    </row>
    <row r="1488" spans="1:4">
      <c r="A1488" s="3"/>
      <c r="D1488" s="3"/>
    </row>
    <row r="1489" spans="1:4">
      <c r="A1489" s="3"/>
      <c r="D1489" s="3"/>
    </row>
    <row r="1490" spans="1:4">
      <c r="A1490" s="3"/>
      <c r="D1490" s="3"/>
    </row>
    <row r="1491" spans="1:4">
      <c r="A1491" s="3"/>
      <c r="D1491" s="3"/>
    </row>
    <row r="1492" spans="1:4">
      <c r="A1492" s="3"/>
      <c r="D1492" s="3"/>
    </row>
    <row r="1493" spans="1:4">
      <c r="A1493" s="3"/>
      <c r="D1493" s="3"/>
    </row>
    <row r="1494" spans="1:4">
      <c r="A1494" s="3"/>
      <c r="D1494" s="3"/>
    </row>
    <row r="1495" spans="1:4">
      <c r="A1495" s="3"/>
      <c r="D1495" s="3"/>
    </row>
    <row r="1496" spans="1:4">
      <c r="A1496" s="3"/>
      <c r="D1496" s="3"/>
    </row>
    <row r="1497" spans="1:4">
      <c r="A1497" s="3"/>
      <c r="D1497" s="3"/>
    </row>
    <row r="1498" spans="1:4">
      <c r="A1498" s="3"/>
      <c r="D1498" s="3"/>
    </row>
    <row r="1499" spans="1:4">
      <c r="A1499" s="3"/>
      <c r="D1499" s="3"/>
    </row>
    <row r="1500" spans="1:4">
      <c r="A1500" s="3"/>
      <c r="D1500" s="3"/>
    </row>
    <row r="1501" spans="1:4">
      <c r="A1501" s="3"/>
      <c r="D1501" s="3"/>
    </row>
    <row r="1502" spans="1:4">
      <c r="A1502" s="3"/>
      <c r="D1502" s="3"/>
    </row>
    <row r="1503" spans="1:4">
      <c r="A1503" s="3"/>
      <c r="D1503" s="3"/>
    </row>
    <row r="1504" spans="1:4">
      <c r="A1504" s="3"/>
      <c r="D1504" s="3"/>
    </row>
    <row r="1505" spans="1:4">
      <c r="A1505" s="3"/>
      <c r="D1505" s="3"/>
    </row>
    <row r="1506" spans="1:4">
      <c r="A1506" s="3"/>
      <c r="D1506" s="3"/>
    </row>
    <row r="1507" spans="1:4">
      <c r="A1507" s="3"/>
      <c r="D1507" s="3"/>
    </row>
    <row r="1508" spans="1:4">
      <c r="A1508" s="3"/>
      <c r="D1508" s="3"/>
    </row>
    <row r="1509" spans="1:4">
      <c r="A1509" s="3"/>
      <c r="D1509" s="3"/>
    </row>
    <row r="1510" spans="1:4">
      <c r="A1510" s="3"/>
      <c r="D1510" s="3"/>
    </row>
    <row r="1511" spans="1:4">
      <c r="A1511" s="3"/>
      <c r="D1511" s="3"/>
    </row>
    <row r="1512" spans="1:4">
      <c r="A1512" s="3"/>
      <c r="D1512" s="3"/>
    </row>
    <row r="1513" spans="1:4">
      <c r="A1513" s="3"/>
      <c r="D1513" s="3"/>
    </row>
    <row r="1514" spans="1:4">
      <c r="A1514" s="3"/>
      <c r="D1514" s="3"/>
    </row>
    <row r="1515" spans="1:4">
      <c r="A1515" s="3"/>
      <c r="D1515" s="3"/>
    </row>
    <row r="1516" spans="1:4">
      <c r="A1516" s="3"/>
      <c r="D1516" s="3"/>
    </row>
    <row r="1517" spans="1:4">
      <c r="A1517" s="3"/>
      <c r="D1517" s="3"/>
    </row>
    <row r="1518" spans="1:4">
      <c r="A1518" s="3"/>
      <c r="D1518" s="3"/>
    </row>
    <row r="1519" spans="1:4">
      <c r="A1519" s="3"/>
      <c r="D1519" s="3"/>
    </row>
    <row r="1520" spans="1:4">
      <c r="A1520" s="3"/>
      <c r="D1520" s="3"/>
    </row>
    <row r="1521" spans="1:4">
      <c r="A1521" s="3"/>
      <c r="D1521" s="3"/>
    </row>
    <row r="1522" spans="1:4">
      <c r="A1522" s="3"/>
      <c r="D1522" s="3"/>
    </row>
    <row r="1523" spans="1:4">
      <c r="A1523" s="3"/>
      <c r="D1523" s="3"/>
    </row>
    <row r="1524" spans="1:4">
      <c r="A1524" s="3"/>
      <c r="D1524" s="3"/>
    </row>
    <row r="1525" spans="1:4">
      <c r="A1525" s="3"/>
      <c r="D1525" s="3"/>
    </row>
    <row r="1526" spans="1:4">
      <c r="A1526" s="3"/>
      <c r="D1526" s="3"/>
    </row>
    <row r="1527" spans="1:4">
      <c r="A1527" s="3"/>
      <c r="D1527" s="3"/>
    </row>
    <row r="1528" spans="1:4">
      <c r="A1528" s="3"/>
      <c r="D1528" s="3"/>
    </row>
    <row r="1529" spans="1:4">
      <c r="A1529" s="3"/>
      <c r="D1529" s="3"/>
    </row>
    <row r="1530" spans="1:4">
      <c r="A1530" s="3"/>
      <c r="D1530" s="3"/>
    </row>
    <row r="1531" spans="1:4">
      <c r="A1531" s="3"/>
      <c r="D1531" s="3"/>
    </row>
    <row r="1532" spans="1:4">
      <c r="A1532" s="3"/>
      <c r="D1532" s="3"/>
    </row>
    <row r="1533" spans="1:4">
      <c r="A1533" s="3"/>
      <c r="D1533" s="3"/>
    </row>
    <row r="1534" spans="1:4">
      <c r="A1534" s="3"/>
      <c r="D1534" s="3"/>
    </row>
    <row r="1535" spans="1:4">
      <c r="A1535" s="3"/>
      <c r="D1535" s="3"/>
    </row>
    <row r="1536" spans="1:4">
      <c r="A1536" s="3"/>
      <c r="D1536" s="3"/>
    </row>
    <row r="1537" spans="1:4">
      <c r="A1537" s="3"/>
      <c r="D1537" s="3"/>
    </row>
    <row r="1538" spans="1:4">
      <c r="A1538" s="3"/>
      <c r="D1538" s="3"/>
    </row>
    <row r="1539" spans="1:4">
      <c r="A1539" s="3"/>
      <c r="D1539" s="3"/>
    </row>
    <row r="1540" spans="1:4">
      <c r="A1540" s="3"/>
      <c r="D1540" s="3"/>
    </row>
    <row r="1541" spans="1:4">
      <c r="A1541" s="3"/>
      <c r="D1541" s="3"/>
    </row>
    <row r="1542" spans="1:4">
      <c r="A1542" s="3"/>
      <c r="D1542" s="3"/>
    </row>
    <row r="1543" spans="1:4">
      <c r="A1543" s="3"/>
      <c r="D1543" s="3"/>
    </row>
    <row r="1544" spans="1:4">
      <c r="A1544" s="3"/>
      <c r="D1544" s="3"/>
    </row>
    <row r="1545" spans="1:4">
      <c r="A1545" s="3"/>
      <c r="D1545" s="3"/>
    </row>
    <row r="1546" spans="1:4">
      <c r="A1546" s="3"/>
      <c r="D1546" s="3"/>
    </row>
    <row r="1547" spans="1:4">
      <c r="A1547" s="3"/>
      <c r="D1547" s="3"/>
    </row>
    <row r="1548" spans="1:4">
      <c r="A1548" s="3"/>
      <c r="D1548" s="3"/>
    </row>
    <row r="1549" spans="1:4">
      <c r="A1549" s="3"/>
      <c r="D1549" s="3"/>
    </row>
    <row r="1550" spans="1:4">
      <c r="A1550" s="3"/>
      <c r="D1550" s="3"/>
    </row>
    <row r="1551" spans="1:4">
      <c r="A1551" s="3"/>
      <c r="D1551" s="3"/>
    </row>
    <row r="1552" spans="1:4">
      <c r="A1552" s="3"/>
      <c r="D1552" s="3"/>
    </row>
    <row r="1553" spans="1:4">
      <c r="A1553" s="3"/>
      <c r="D1553" s="3"/>
    </row>
    <row r="1554" spans="1:4">
      <c r="A1554" s="3"/>
      <c r="D1554" s="3"/>
    </row>
    <row r="1555" spans="1:4">
      <c r="A1555" s="3"/>
      <c r="D1555" s="3"/>
    </row>
    <row r="1556" spans="1:4">
      <c r="A1556" s="3"/>
      <c r="D1556" s="3"/>
    </row>
    <row r="1557" spans="1:4">
      <c r="A1557" s="3"/>
      <c r="D1557" s="3"/>
    </row>
    <row r="1558" spans="1:4">
      <c r="A1558" s="3"/>
      <c r="D1558" s="3"/>
    </row>
    <row r="1559" spans="1:4">
      <c r="A1559" s="3"/>
      <c r="D1559" s="3"/>
    </row>
    <row r="1560" spans="1:4">
      <c r="A1560" s="3"/>
      <c r="D1560" s="3"/>
    </row>
    <row r="1561" spans="1:4">
      <c r="A1561" s="3"/>
      <c r="D1561" s="3"/>
    </row>
    <row r="1562" spans="1:4">
      <c r="A1562" s="3"/>
      <c r="D1562" s="3"/>
    </row>
    <row r="1563" spans="1:4">
      <c r="A1563" s="3"/>
      <c r="D1563" s="3"/>
    </row>
    <row r="1564" spans="1:4">
      <c r="A1564" s="3"/>
      <c r="D1564" s="3"/>
    </row>
    <row r="1565" spans="1:4">
      <c r="A1565" s="3"/>
      <c r="D1565" s="3"/>
    </row>
    <row r="1566" spans="1:4">
      <c r="A1566" s="3"/>
      <c r="D1566" s="3"/>
    </row>
    <row r="1567" spans="1:4">
      <c r="A1567" s="3"/>
      <c r="D1567" s="3"/>
    </row>
    <row r="1568" spans="1:4">
      <c r="A1568" s="3"/>
      <c r="D1568" s="3"/>
    </row>
    <row r="1569" spans="1:4">
      <c r="A1569" s="3"/>
      <c r="D1569" s="3"/>
    </row>
    <row r="1570" spans="1:4">
      <c r="A1570" s="3"/>
      <c r="D1570" s="3"/>
    </row>
    <row r="1571" spans="1:4">
      <c r="A1571" s="3"/>
      <c r="D1571" s="3"/>
    </row>
    <row r="1572" spans="1:4">
      <c r="A1572" s="3"/>
      <c r="D1572" s="3"/>
    </row>
    <row r="1573" spans="1:4">
      <c r="A1573" s="3"/>
      <c r="D1573" s="3"/>
    </row>
    <row r="1574" spans="1:4">
      <c r="A1574" s="3"/>
      <c r="D1574" s="3"/>
    </row>
    <row r="1575" spans="1:4">
      <c r="A1575" s="3"/>
      <c r="D1575" s="3"/>
    </row>
    <row r="1576" spans="1:4">
      <c r="A1576" s="3"/>
      <c r="D1576" s="3"/>
    </row>
    <row r="1577" spans="1:4">
      <c r="A1577" s="3"/>
      <c r="D1577" s="3"/>
    </row>
    <row r="1578" spans="1:4">
      <c r="A1578" s="3"/>
      <c r="D1578" s="3"/>
    </row>
    <row r="1579" spans="1:4">
      <c r="A1579" s="3"/>
      <c r="D1579" s="3"/>
    </row>
    <row r="1580" spans="1:4">
      <c r="A1580" s="3"/>
      <c r="D1580" s="3"/>
    </row>
    <row r="1581" spans="1:4">
      <c r="A1581" s="3"/>
      <c r="D1581" s="3"/>
    </row>
    <row r="1582" spans="1:4">
      <c r="A1582" s="3"/>
      <c r="D1582" s="3"/>
    </row>
    <row r="1583" spans="1:4">
      <c r="A1583" s="3"/>
      <c r="D1583" s="3"/>
    </row>
    <row r="1584" spans="1:4">
      <c r="A1584" s="3"/>
      <c r="D1584" s="3"/>
    </row>
    <row r="1585" spans="1:4">
      <c r="A1585" s="3"/>
      <c r="D1585" s="3"/>
    </row>
    <row r="1586" spans="1:4">
      <c r="A1586" s="3"/>
      <c r="D1586" s="3"/>
    </row>
    <row r="1587" spans="1:4">
      <c r="A1587" s="3"/>
      <c r="D1587" s="3"/>
    </row>
    <row r="1588" spans="1:4">
      <c r="A1588" s="3"/>
      <c r="D1588" s="3"/>
    </row>
    <row r="1589" spans="1:4">
      <c r="A1589" s="3"/>
      <c r="D1589" s="3"/>
    </row>
    <row r="1590" spans="1:4">
      <c r="A1590" s="3"/>
      <c r="D1590" s="3"/>
    </row>
    <row r="1591" spans="1:4">
      <c r="A1591" s="3"/>
      <c r="D1591" s="3"/>
    </row>
    <row r="1592" spans="1:4">
      <c r="A1592" s="3"/>
      <c r="D1592" s="3"/>
    </row>
    <row r="1593" spans="1:4">
      <c r="A1593" s="3"/>
      <c r="D1593" s="3"/>
    </row>
    <row r="1594" spans="1:4">
      <c r="A1594" s="3"/>
      <c r="D1594" s="3"/>
    </row>
    <row r="1595" spans="1:4">
      <c r="A1595" s="3"/>
      <c r="D1595" s="3"/>
    </row>
    <row r="1596" spans="1:4">
      <c r="A1596" s="3"/>
      <c r="D1596" s="3"/>
    </row>
    <row r="1597" spans="1:4">
      <c r="A1597" s="3"/>
      <c r="D1597" s="3"/>
    </row>
    <row r="1598" spans="1:4">
      <c r="A1598" s="3"/>
      <c r="D1598" s="3"/>
    </row>
    <row r="1599" spans="1:4">
      <c r="A1599" s="3"/>
      <c r="D1599" s="3"/>
    </row>
    <row r="1600" spans="1:4">
      <c r="A1600" s="3"/>
      <c r="D1600" s="3"/>
    </row>
    <row r="1601" spans="1:4">
      <c r="A1601" s="3"/>
      <c r="D1601" s="3"/>
    </row>
    <row r="1602" spans="1:4">
      <c r="A1602" s="3"/>
      <c r="D1602" s="3"/>
    </row>
    <row r="1603" spans="1:4">
      <c r="A1603" s="3"/>
      <c r="D1603" s="3"/>
    </row>
    <row r="1604" spans="1:4">
      <c r="A1604" s="3"/>
      <c r="D1604" s="3"/>
    </row>
    <row r="1605" spans="1:4">
      <c r="A1605" s="3"/>
      <c r="D1605" s="3"/>
    </row>
    <row r="1606" spans="1:4">
      <c r="A1606" s="3"/>
      <c r="D1606" s="3"/>
    </row>
    <row r="1607" spans="1:4">
      <c r="A1607" s="3"/>
      <c r="D1607" s="3"/>
    </row>
    <row r="1608" spans="1:4">
      <c r="A1608" s="3"/>
      <c r="D1608" s="3"/>
    </row>
    <row r="1609" spans="1:4">
      <c r="A1609" s="3"/>
      <c r="D1609" s="3"/>
    </row>
    <row r="1610" spans="1:4">
      <c r="A1610" s="3"/>
      <c r="D1610" s="3"/>
    </row>
    <row r="1611" spans="1:4">
      <c r="A1611" s="3"/>
      <c r="D1611" s="3"/>
    </row>
    <row r="1612" spans="1:4">
      <c r="A1612" s="3"/>
      <c r="D1612" s="3"/>
    </row>
    <row r="1613" spans="1:4">
      <c r="A1613" s="3"/>
      <c r="D1613" s="3"/>
    </row>
    <row r="1614" spans="1:4">
      <c r="A1614" s="3"/>
      <c r="D1614" s="3"/>
    </row>
    <row r="1615" spans="1:4">
      <c r="A1615" s="3"/>
      <c r="D1615" s="3"/>
    </row>
    <row r="1616" spans="1:4">
      <c r="A1616" s="3"/>
      <c r="D1616" s="3"/>
    </row>
    <row r="1617" spans="1:4">
      <c r="A1617" s="3"/>
      <c r="D1617" s="3"/>
    </row>
    <row r="1618" spans="1:4">
      <c r="A1618" s="3"/>
      <c r="D1618" s="3"/>
    </row>
    <row r="1619" spans="1:4">
      <c r="A1619" s="3"/>
      <c r="D1619" s="3"/>
    </row>
    <row r="1620" spans="1:4">
      <c r="A1620" s="3"/>
      <c r="D1620" s="3"/>
    </row>
    <row r="1621" spans="1:4">
      <c r="A1621" s="3"/>
      <c r="D1621" s="3"/>
    </row>
    <row r="1622" spans="1:4">
      <c r="A1622" s="3"/>
      <c r="D1622" s="3"/>
    </row>
    <row r="1623" spans="1:4">
      <c r="A1623" s="3"/>
      <c r="D1623" s="3"/>
    </row>
    <row r="1624" spans="1:4">
      <c r="A1624" s="3"/>
      <c r="D1624" s="3"/>
    </row>
    <row r="1625" spans="1:4">
      <c r="A1625" s="3"/>
      <c r="D1625" s="3"/>
    </row>
    <row r="1626" spans="1:4">
      <c r="A1626" s="3"/>
      <c r="D1626" s="3"/>
    </row>
    <row r="1627" spans="1:4">
      <c r="A1627" s="3"/>
      <c r="D1627" s="3"/>
    </row>
    <row r="1628" spans="1:4">
      <c r="A1628" s="3"/>
      <c r="D1628" s="3"/>
    </row>
    <row r="1629" spans="1:4">
      <c r="A1629" s="3"/>
      <c r="D1629" s="3"/>
    </row>
    <row r="1630" spans="1:4">
      <c r="A1630" s="3"/>
      <c r="D1630" s="3"/>
    </row>
    <row r="1631" spans="1:4">
      <c r="A1631" s="3"/>
      <c r="D1631" s="3"/>
    </row>
    <row r="1632" spans="1:4">
      <c r="A1632" s="3"/>
      <c r="D1632" s="3"/>
    </row>
    <row r="1633" spans="1:4">
      <c r="A1633" s="3"/>
      <c r="D1633" s="3"/>
    </row>
    <row r="1634" spans="1:4">
      <c r="A1634" s="3"/>
      <c r="D1634" s="3"/>
    </row>
    <row r="1635" spans="1:4">
      <c r="A1635" s="3"/>
      <c r="D1635" s="3"/>
    </row>
    <row r="1636" spans="1:4">
      <c r="A1636" s="3"/>
      <c r="D1636" s="3"/>
    </row>
    <row r="1637" spans="1:4">
      <c r="A1637" s="3"/>
      <c r="D1637" s="3"/>
    </row>
    <row r="1638" spans="1:4">
      <c r="A1638" s="3"/>
      <c r="D1638" s="3"/>
    </row>
    <row r="1639" spans="1:4">
      <c r="A1639" s="3"/>
      <c r="D1639" s="3"/>
    </row>
    <row r="1640" spans="1:4">
      <c r="A1640" s="3"/>
      <c r="D1640" s="3"/>
    </row>
    <row r="1641" spans="1:4">
      <c r="A1641" s="3"/>
      <c r="D1641" s="3"/>
    </row>
    <row r="1642" spans="1:4">
      <c r="A1642" s="3"/>
      <c r="D1642" s="3"/>
    </row>
    <row r="1643" spans="1:4">
      <c r="A1643" s="3"/>
      <c r="D1643" s="3"/>
    </row>
    <row r="1644" spans="1:4">
      <c r="A1644" s="3"/>
      <c r="D1644" s="3"/>
    </row>
    <row r="1645" spans="1:4">
      <c r="A1645" s="3"/>
      <c r="D1645" s="3"/>
    </row>
    <row r="1646" spans="1:4">
      <c r="A1646" s="3"/>
      <c r="D1646" s="3"/>
    </row>
    <row r="1647" spans="1:4">
      <c r="A1647" s="3"/>
      <c r="D1647" s="3"/>
    </row>
    <row r="1648" spans="1:4">
      <c r="A1648" s="3"/>
      <c r="D1648" s="3"/>
    </row>
    <row r="1649" spans="1:4">
      <c r="A1649" s="3"/>
      <c r="D1649" s="3"/>
    </row>
    <row r="1650" spans="1:4">
      <c r="A1650" s="3"/>
      <c r="D1650" s="3"/>
    </row>
    <row r="1651" spans="1:4">
      <c r="A1651" s="3"/>
      <c r="D1651" s="3"/>
    </row>
    <row r="1652" spans="1:4">
      <c r="A1652" s="3"/>
      <c r="D1652" s="3"/>
    </row>
    <row r="1653" spans="1:4">
      <c r="A1653" s="3"/>
      <c r="D1653" s="3"/>
    </row>
    <row r="1654" spans="1:4">
      <c r="A1654" s="3"/>
      <c r="D1654" s="3"/>
    </row>
    <row r="1655" spans="1:4">
      <c r="A1655" s="3"/>
      <c r="D1655" s="3"/>
    </row>
    <row r="1656" spans="1:4">
      <c r="A1656" s="3"/>
      <c r="D1656" s="3"/>
    </row>
    <row r="1657" spans="1:4">
      <c r="A1657" s="3"/>
      <c r="D1657" s="3"/>
    </row>
    <row r="1658" spans="1:4">
      <c r="A1658" s="3"/>
      <c r="D1658" s="3"/>
    </row>
    <row r="1659" spans="1:4">
      <c r="A1659" s="3"/>
      <c r="D1659" s="3"/>
    </row>
    <row r="1660" spans="1:4">
      <c r="A1660" s="3"/>
      <c r="D1660" s="3"/>
    </row>
    <row r="1661" spans="1:4">
      <c r="A1661" s="3"/>
      <c r="D1661" s="3"/>
    </row>
    <row r="1662" spans="1:4">
      <c r="A1662" s="3"/>
      <c r="D1662" s="3"/>
    </row>
    <row r="1663" spans="1:4">
      <c r="A1663" s="3"/>
      <c r="D1663" s="3"/>
    </row>
    <row r="1664" spans="1:4">
      <c r="A1664" s="3"/>
      <c r="D1664" s="3"/>
    </row>
    <row r="1665" spans="1:4">
      <c r="A1665" s="3"/>
      <c r="D1665" s="3"/>
    </row>
    <row r="1666" spans="1:4">
      <c r="A1666" s="3"/>
      <c r="D1666" s="3"/>
    </row>
    <row r="1667" spans="1:4">
      <c r="A1667" s="3"/>
      <c r="D1667" s="3"/>
    </row>
    <row r="1668" spans="1:4">
      <c r="A1668" s="3"/>
      <c r="D1668" s="3"/>
    </row>
    <row r="1669" spans="1:4">
      <c r="A1669" s="3"/>
      <c r="D1669" s="3"/>
    </row>
    <row r="1670" spans="1:4">
      <c r="A1670" s="3"/>
      <c r="D1670" s="3"/>
    </row>
    <row r="1671" spans="1:4">
      <c r="A1671" s="3"/>
      <c r="D1671" s="3"/>
    </row>
    <row r="1672" spans="1:4">
      <c r="A1672" s="3"/>
      <c r="D1672" s="3"/>
    </row>
    <row r="1673" spans="1:4">
      <c r="A1673" s="3"/>
      <c r="D1673" s="3"/>
    </row>
    <row r="1674" spans="1:4">
      <c r="A1674" s="3"/>
      <c r="D1674" s="3"/>
    </row>
    <row r="1675" spans="1:4">
      <c r="A1675" s="3"/>
      <c r="D1675" s="3"/>
    </row>
    <row r="1676" spans="1:4">
      <c r="A1676" s="3"/>
      <c r="D1676" s="3"/>
    </row>
    <row r="1677" spans="1:4">
      <c r="A1677" s="3"/>
      <c r="D1677" s="3"/>
    </row>
    <row r="1678" spans="1:4">
      <c r="A1678" s="3"/>
      <c r="D1678" s="3"/>
    </row>
    <row r="1679" spans="1:4">
      <c r="A1679" s="3"/>
      <c r="D1679" s="3"/>
    </row>
    <row r="1680" spans="1:4">
      <c r="A1680" s="3"/>
      <c r="D1680" s="3"/>
    </row>
    <row r="1681" spans="1:4">
      <c r="A1681" s="3"/>
      <c r="D1681" s="3"/>
    </row>
    <row r="1682" spans="1:4">
      <c r="A1682" s="3"/>
      <c r="D1682" s="3"/>
    </row>
    <row r="1683" spans="1:4">
      <c r="A1683" s="3"/>
      <c r="D1683" s="3"/>
    </row>
    <row r="1684" spans="1:4">
      <c r="A1684" s="3"/>
      <c r="D1684" s="3"/>
    </row>
    <row r="1685" spans="1:4">
      <c r="A1685" s="3"/>
      <c r="D1685" s="3"/>
    </row>
    <row r="1686" spans="1:4">
      <c r="A1686" s="3"/>
      <c r="D1686" s="3"/>
    </row>
    <row r="1687" spans="1:4">
      <c r="A1687" s="3"/>
      <c r="D1687" s="3"/>
    </row>
    <row r="1688" spans="1:4">
      <c r="A1688" s="3"/>
      <c r="D1688" s="3"/>
    </row>
    <row r="1689" spans="1:4">
      <c r="A1689" s="3"/>
      <c r="D1689" s="3"/>
    </row>
    <row r="1690" spans="1:4">
      <c r="A1690" s="3"/>
      <c r="D1690" s="3"/>
    </row>
    <row r="1691" spans="1:4">
      <c r="A1691" s="3"/>
      <c r="D1691" s="3"/>
    </row>
    <row r="1692" spans="1:4">
      <c r="A1692" s="3"/>
      <c r="D1692" s="3"/>
    </row>
    <row r="1693" spans="1:4">
      <c r="A1693" s="3"/>
      <c r="D1693" s="3"/>
    </row>
    <row r="1694" spans="1:4">
      <c r="A1694" s="3"/>
      <c r="D1694" s="3"/>
    </row>
    <row r="1695" spans="1:4">
      <c r="A1695" s="3"/>
      <c r="D1695" s="3"/>
    </row>
    <row r="1696" spans="1:4">
      <c r="A1696" s="3"/>
      <c r="D1696" s="3"/>
    </row>
    <row r="1697" spans="1:4">
      <c r="A1697" s="3"/>
      <c r="D1697" s="3"/>
    </row>
    <row r="1698" spans="1:4">
      <c r="A1698" s="3"/>
      <c r="D1698" s="3"/>
    </row>
    <row r="1699" spans="1:4">
      <c r="A1699" s="3"/>
      <c r="D1699" s="3"/>
    </row>
    <row r="1700" spans="1:4">
      <c r="A1700" s="3"/>
      <c r="D1700" s="3"/>
    </row>
    <row r="1701" spans="1:4">
      <c r="A1701" s="3"/>
      <c r="D1701" s="3"/>
    </row>
    <row r="1702" spans="1:4">
      <c r="A1702" s="3"/>
      <c r="D1702" s="3"/>
    </row>
    <row r="1703" spans="1:4">
      <c r="A1703" s="3"/>
      <c r="D1703" s="3"/>
    </row>
    <row r="1704" spans="1:4">
      <c r="A1704" s="3"/>
      <c r="D1704" s="3"/>
    </row>
    <row r="1705" spans="1:4">
      <c r="A1705" s="3"/>
      <c r="D1705" s="3"/>
    </row>
    <row r="1706" spans="1:4">
      <c r="A1706" s="3"/>
      <c r="D1706" s="3"/>
    </row>
    <row r="1707" spans="1:4">
      <c r="A1707" s="3"/>
      <c r="D1707" s="3"/>
    </row>
    <row r="1708" spans="1:4">
      <c r="A1708" s="3"/>
      <c r="D1708" s="3"/>
    </row>
    <row r="1709" spans="1:4">
      <c r="A1709" s="3"/>
      <c r="D1709" s="3"/>
    </row>
    <row r="1710" spans="1:4">
      <c r="A1710" s="3"/>
      <c r="D1710" s="3"/>
    </row>
    <row r="1711" spans="1:4">
      <c r="A1711" s="3"/>
      <c r="D1711" s="3"/>
    </row>
    <row r="1712" spans="1:4">
      <c r="A1712" s="3"/>
      <c r="D1712" s="3"/>
    </row>
    <row r="1713" spans="1:4">
      <c r="A1713" s="3"/>
      <c r="D1713" s="3"/>
    </row>
    <row r="1714" spans="1:4">
      <c r="A1714" s="3"/>
      <c r="D1714" s="3"/>
    </row>
    <row r="1715" spans="1:4">
      <c r="A1715" s="3"/>
      <c r="D1715" s="3"/>
    </row>
    <row r="1716" spans="1:4">
      <c r="A1716" s="3"/>
      <c r="D1716" s="3"/>
    </row>
    <row r="1717" spans="1:4">
      <c r="A1717" s="3"/>
      <c r="D1717" s="3"/>
    </row>
    <row r="1718" spans="1:4">
      <c r="A1718" s="3"/>
      <c r="D1718" s="3"/>
    </row>
    <row r="1719" spans="1:4">
      <c r="A1719" s="3"/>
      <c r="D1719" s="3"/>
    </row>
    <row r="1720" spans="1:4">
      <c r="A1720" s="3"/>
      <c r="D1720" s="3"/>
    </row>
    <row r="1721" spans="1:4">
      <c r="A1721" s="3"/>
      <c r="D1721" s="3"/>
    </row>
    <row r="1722" spans="1:4">
      <c r="A1722" s="3"/>
      <c r="D1722" s="3"/>
    </row>
    <row r="1723" spans="1:4">
      <c r="A1723" s="3"/>
      <c r="D1723" s="3"/>
    </row>
    <row r="1724" spans="1:4">
      <c r="A1724" s="3"/>
      <c r="D1724" s="3"/>
    </row>
    <row r="1725" spans="1:4">
      <c r="A1725" s="3"/>
      <c r="D1725" s="3"/>
    </row>
    <row r="1726" spans="1:4">
      <c r="A1726" s="3"/>
      <c r="D1726" s="3"/>
    </row>
    <row r="1727" spans="1:4">
      <c r="A1727" s="3"/>
      <c r="D1727" s="3"/>
    </row>
    <row r="1728" spans="1:4">
      <c r="A1728" s="3"/>
      <c r="D1728" s="3"/>
    </row>
    <row r="1729" spans="1:4">
      <c r="A1729" s="3"/>
      <c r="D1729" s="3"/>
    </row>
    <row r="1730" spans="1:4">
      <c r="A1730" s="3"/>
      <c r="D1730" s="3"/>
    </row>
    <row r="1731" spans="1:4">
      <c r="A1731" s="3"/>
      <c r="D1731" s="3"/>
    </row>
    <row r="1732" spans="1:4">
      <c r="A1732" s="3"/>
      <c r="D1732" s="3"/>
    </row>
    <row r="1733" spans="1:4">
      <c r="A1733" s="3"/>
      <c r="D1733" s="3"/>
    </row>
    <row r="1734" spans="1:4">
      <c r="A1734" s="3"/>
      <c r="D1734" s="3"/>
    </row>
    <row r="1735" spans="1:4">
      <c r="A1735" s="3"/>
      <c r="D1735" s="3"/>
    </row>
    <row r="1736" spans="1:4">
      <c r="A1736" s="3"/>
      <c r="D1736" s="3"/>
    </row>
    <row r="1737" spans="1:4">
      <c r="A1737" s="3"/>
      <c r="D1737" s="3"/>
    </row>
    <row r="1738" spans="1:4">
      <c r="A1738" s="3"/>
      <c r="D1738" s="3"/>
    </row>
    <row r="1739" spans="1:4">
      <c r="A1739" s="3"/>
      <c r="D1739" s="3"/>
    </row>
    <row r="1740" spans="1:4">
      <c r="A1740" s="3"/>
      <c r="D1740" s="3"/>
    </row>
    <row r="1741" spans="1:4">
      <c r="A1741" s="3"/>
      <c r="D1741" s="3"/>
    </row>
    <row r="1742" spans="1:4">
      <c r="A1742" s="3"/>
      <c r="D1742" s="3"/>
    </row>
    <row r="1743" spans="1:4">
      <c r="A1743" s="3"/>
      <c r="D1743" s="3"/>
    </row>
    <row r="1744" spans="1:4">
      <c r="A1744" s="3"/>
      <c r="D1744" s="3"/>
    </row>
    <row r="1745" spans="1:4">
      <c r="A1745" s="3"/>
      <c r="D1745" s="3"/>
    </row>
    <row r="1746" spans="1:4">
      <c r="A1746" s="3"/>
      <c r="D1746" s="3"/>
    </row>
    <row r="1747" spans="1:4">
      <c r="A1747" s="3"/>
      <c r="D1747" s="3"/>
    </row>
    <row r="1748" spans="1:4">
      <c r="A1748" s="3"/>
      <c r="D1748" s="3"/>
    </row>
    <row r="1749" spans="1:4">
      <c r="A1749" s="3"/>
      <c r="D1749" s="3"/>
    </row>
    <row r="1750" spans="1:4">
      <c r="A1750" s="3"/>
      <c r="D1750" s="3"/>
    </row>
    <row r="1751" spans="1:4">
      <c r="A1751" s="3"/>
      <c r="D1751" s="3"/>
    </row>
    <row r="1752" spans="1:4">
      <c r="A1752" s="3"/>
      <c r="D1752" s="3"/>
    </row>
    <row r="1753" spans="1:4">
      <c r="A1753" s="3"/>
      <c r="D1753" s="3"/>
    </row>
    <row r="1754" spans="1:4">
      <c r="A1754" s="3"/>
      <c r="D1754" s="3"/>
    </row>
    <row r="1755" spans="1:4">
      <c r="A1755" s="3"/>
      <c r="D1755" s="3"/>
    </row>
    <row r="1756" spans="1:4">
      <c r="A1756" s="3"/>
      <c r="D1756" s="3"/>
    </row>
    <row r="1757" spans="1:4">
      <c r="A1757" s="3"/>
      <c r="D1757" s="3"/>
    </row>
    <row r="1758" spans="1:4">
      <c r="A1758" s="3"/>
      <c r="D1758" s="3"/>
    </row>
    <row r="1759" spans="1:4">
      <c r="A1759" s="3"/>
      <c r="D1759" s="3"/>
    </row>
    <row r="1760" spans="1:4">
      <c r="A1760" s="3"/>
      <c r="D1760" s="3"/>
    </row>
    <row r="1761" spans="1:4">
      <c r="A1761" s="3"/>
      <c r="D1761" s="3"/>
    </row>
    <row r="1762" spans="1:4">
      <c r="A1762" s="3"/>
      <c r="D1762" s="3"/>
    </row>
    <row r="1763" spans="1:4">
      <c r="A1763" s="3"/>
      <c r="D1763" s="3"/>
    </row>
    <row r="1764" spans="1:4">
      <c r="A1764" s="3"/>
      <c r="D1764" s="3"/>
    </row>
    <row r="1765" spans="1:4">
      <c r="A1765" s="3"/>
      <c r="D1765" s="3"/>
    </row>
    <row r="1766" spans="1:4">
      <c r="A1766" s="3"/>
      <c r="D1766" s="3"/>
    </row>
    <row r="1767" spans="1:4">
      <c r="A1767" s="3"/>
      <c r="D1767" s="3"/>
    </row>
    <row r="1768" spans="1:4">
      <c r="A1768" s="3"/>
      <c r="D1768" s="3"/>
    </row>
    <row r="1769" spans="1:4">
      <c r="A1769" s="3"/>
      <c r="D1769" s="3"/>
    </row>
    <row r="1770" spans="1:4">
      <c r="A1770" s="3"/>
      <c r="D1770" s="3"/>
    </row>
    <row r="1771" spans="1:4">
      <c r="A1771" s="3"/>
      <c r="D1771" s="3"/>
    </row>
    <row r="1772" spans="1:4">
      <c r="A1772" s="3"/>
      <c r="D1772" s="3"/>
    </row>
    <row r="1773" spans="1:4">
      <c r="A1773" s="3"/>
      <c r="D1773" s="3"/>
    </row>
    <row r="1774" spans="1:4">
      <c r="A1774" s="3"/>
      <c r="D1774" s="3"/>
    </row>
    <row r="1775" spans="1:4">
      <c r="A1775" s="3"/>
      <c r="D1775" s="3"/>
    </row>
    <row r="1776" spans="1:4">
      <c r="A1776" s="3"/>
      <c r="D1776" s="3"/>
    </row>
    <row r="1777" spans="1:4">
      <c r="A1777" s="3"/>
      <c r="D1777" s="3"/>
    </row>
    <row r="1778" spans="1:4">
      <c r="A1778" s="3"/>
      <c r="D1778" s="3"/>
    </row>
    <row r="1779" spans="1:4">
      <c r="A1779" s="3"/>
      <c r="D1779" s="3"/>
    </row>
    <row r="1780" spans="1:4">
      <c r="A1780" s="3"/>
      <c r="D1780" s="3"/>
    </row>
    <row r="1781" spans="1:4">
      <c r="A1781" s="3"/>
      <c r="D1781" s="3"/>
    </row>
    <row r="1782" spans="1:4">
      <c r="A1782" s="3"/>
      <c r="D1782" s="3"/>
    </row>
    <row r="1783" spans="1:4">
      <c r="A1783" s="3"/>
      <c r="D1783" s="3"/>
    </row>
    <row r="1784" spans="1:4">
      <c r="A1784" s="3"/>
      <c r="D1784" s="3"/>
    </row>
    <row r="1785" spans="1:4">
      <c r="A1785" s="3"/>
      <c r="D1785" s="3"/>
    </row>
    <row r="1786" spans="1:4">
      <c r="A1786" s="3"/>
      <c r="D1786" s="3"/>
    </row>
    <row r="1787" spans="1:4">
      <c r="A1787" s="3"/>
      <c r="D1787" s="3"/>
    </row>
    <row r="1788" spans="1:4">
      <c r="A1788" s="3"/>
      <c r="D1788" s="3"/>
    </row>
    <row r="1789" spans="1:4">
      <c r="A1789" s="3"/>
      <c r="D1789" s="3"/>
    </row>
    <row r="1790" spans="1:4">
      <c r="A1790" s="3"/>
      <c r="D1790" s="3"/>
    </row>
    <row r="1791" spans="1:4">
      <c r="A1791" s="3"/>
      <c r="D1791" s="3"/>
    </row>
    <row r="1792" spans="1:4">
      <c r="A1792" s="3"/>
      <c r="D1792" s="3"/>
    </row>
    <row r="1793" spans="1:4">
      <c r="A1793" s="3"/>
      <c r="D1793" s="3"/>
    </row>
    <row r="1794" spans="1:4">
      <c r="A1794" s="3"/>
      <c r="D1794" s="3"/>
    </row>
    <row r="1795" spans="1:4">
      <c r="A1795" s="3"/>
      <c r="D1795" s="3"/>
    </row>
    <row r="1796" spans="1:4">
      <c r="A1796" s="3"/>
      <c r="D1796" s="3"/>
    </row>
    <row r="1797" spans="1:4">
      <c r="A1797" s="3"/>
      <c r="D1797" s="3"/>
    </row>
    <row r="1798" spans="1:4">
      <c r="A1798" s="3"/>
      <c r="D1798" s="3"/>
    </row>
    <row r="1799" spans="1:4">
      <c r="A1799" s="3"/>
      <c r="D1799" s="3"/>
    </row>
    <row r="1800" spans="1:4">
      <c r="A1800" s="3"/>
      <c r="D1800" s="3"/>
    </row>
    <row r="1801" spans="1:4">
      <c r="A1801" s="3"/>
      <c r="D1801" s="3"/>
    </row>
    <row r="1802" spans="1:4">
      <c r="A1802" s="3"/>
      <c r="D1802" s="3"/>
    </row>
    <row r="1803" spans="1:4">
      <c r="A1803" s="3"/>
      <c r="D1803" s="3"/>
    </row>
    <row r="1804" spans="1:4">
      <c r="A1804" s="3"/>
      <c r="D1804" s="3"/>
    </row>
    <row r="1805" spans="1:4">
      <c r="A1805" s="3"/>
      <c r="D1805" s="3"/>
    </row>
    <row r="1806" spans="1:4">
      <c r="A1806" s="3"/>
      <c r="D1806" s="3"/>
    </row>
    <row r="1807" spans="1:4">
      <c r="A1807" s="3"/>
      <c r="D1807" s="3"/>
    </row>
    <row r="1808" spans="1:4">
      <c r="A1808" s="3"/>
      <c r="D1808" s="3"/>
    </row>
    <row r="1809" spans="1:4">
      <c r="A1809" s="3"/>
      <c r="D1809" s="3"/>
    </row>
    <row r="1810" spans="1:4">
      <c r="A1810" s="3"/>
      <c r="D1810" s="3"/>
    </row>
    <row r="1811" spans="1:4">
      <c r="A1811" s="3"/>
      <c r="D1811" s="3"/>
    </row>
    <row r="1812" spans="1:4">
      <c r="A1812" s="3"/>
      <c r="D1812" s="3"/>
    </row>
    <row r="1813" spans="1:4">
      <c r="A1813" s="3"/>
      <c r="D1813" s="3"/>
    </row>
    <row r="1814" spans="1:4">
      <c r="A1814" s="3"/>
      <c r="D1814" s="3"/>
    </row>
    <row r="1815" spans="1:4">
      <c r="A1815" s="3"/>
      <c r="D1815" s="3"/>
    </row>
    <row r="1816" spans="1:4">
      <c r="A1816" s="3"/>
      <c r="D1816" s="3"/>
    </row>
    <row r="1817" spans="1:4">
      <c r="A1817" s="3"/>
      <c r="D1817" s="3"/>
    </row>
    <row r="1818" spans="1:4">
      <c r="A1818" s="3"/>
      <c r="D1818" s="3"/>
    </row>
    <row r="1819" spans="1:4">
      <c r="A1819" s="3"/>
      <c r="D1819" s="3"/>
    </row>
    <row r="1820" spans="1:4">
      <c r="A1820" s="3"/>
      <c r="D1820" s="3"/>
    </row>
    <row r="1821" spans="1:4">
      <c r="A1821" s="3"/>
      <c r="D1821" s="3"/>
    </row>
    <row r="1822" spans="1:4">
      <c r="A1822" s="3"/>
      <c r="D1822" s="3"/>
    </row>
    <row r="1823" spans="1:4">
      <c r="A1823" s="3"/>
      <c r="D1823" s="3"/>
    </row>
    <row r="1824" spans="1:4">
      <c r="A1824" s="3"/>
      <c r="D1824" s="3"/>
    </row>
    <row r="1825" spans="1:4">
      <c r="A1825" s="3"/>
      <c r="D1825" s="3"/>
    </row>
    <row r="1826" spans="1:4">
      <c r="A1826" s="3"/>
      <c r="D1826" s="3"/>
    </row>
    <row r="1827" spans="1:4">
      <c r="A1827" s="3"/>
      <c r="D1827" s="3"/>
    </row>
    <row r="1828" spans="1:4">
      <c r="A1828" s="3"/>
      <c r="D1828" s="3"/>
    </row>
    <row r="1829" spans="1:4">
      <c r="A1829" s="3"/>
      <c r="D1829" s="3"/>
    </row>
    <row r="1830" spans="1:4">
      <c r="A1830" s="3"/>
      <c r="D1830" s="3"/>
    </row>
    <row r="1831" spans="1:4">
      <c r="A1831" s="3"/>
      <c r="D1831" s="3"/>
    </row>
    <row r="1832" spans="1:4">
      <c r="A1832" s="3"/>
      <c r="D1832" s="3"/>
    </row>
    <row r="1833" spans="1:4">
      <c r="A1833" s="3"/>
      <c r="D1833" s="3"/>
    </row>
    <row r="1834" spans="1:4">
      <c r="A1834" s="3"/>
      <c r="D1834" s="3"/>
    </row>
    <row r="1835" spans="1:4">
      <c r="A1835" s="3"/>
      <c r="D1835" s="3"/>
    </row>
    <row r="1836" spans="1:4">
      <c r="A1836" s="3"/>
      <c r="D1836" s="3"/>
    </row>
    <row r="1837" spans="1:4">
      <c r="A1837" s="3"/>
      <c r="D1837" s="3"/>
    </row>
    <row r="1838" spans="1:4">
      <c r="A1838" s="3"/>
      <c r="D1838" s="3"/>
    </row>
    <row r="1839" spans="1:4">
      <c r="A1839" s="3"/>
      <c r="D1839" s="3"/>
    </row>
    <row r="1840" spans="1:4">
      <c r="A1840" s="3"/>
      <c r="D1840" s="3"/>
    </row>
    <row r="1841" spans="1:4">
      <c r="A1841" s="3"/>
      <c r="D1841" s="3"/>
    </row>
    <row r="1842" spans="1:4">
      <c r="A1842" s="3"/>
      <c r="D1842" s="3"/>
    </row>
    <row r="1843" spans="1:4">
      <c r="A1843" s="3"/>
      <c r="D1843" s="3"/>
    </row>
    <row r="1844" spans="1:4">
      <c r="A1844" s="3"/>
      <c r="D1844" s="3"/>
    </row>
    <row r="1845" spans="1:4">
      <c r="A1845" s="3"/>
      <c r="D1845" s="3"/>
    </row>
    <row r="1846" spans="1:4">
      <c r="A1846" s="3"/>
      <c r="D1846" s="3"/>
    </row>
    <row r="1847" spans="1:4">
      <c r="A1847" s="3"/>
      <c r="D1847" s="3"/>
    </row>
    <row r="1848" spans="1:4">
      <c r="A1848" s="3"/>
      <c r="D1848" s="3"/>
    </row>
    <row r="1849" spans="1:4">
      <c r="A1849" s="3"/>
      <c r="D1849" s="3"/>
    </row>
    <row r="1850" spans="1:4">
      <c r="A1850" s="3"/>
      <c r="D1850" s="3"/>
    </row>
    <row r="1851" spans="1:4">
      <c r="A1851" s="3"/>
      <c r="D1851" s="3"/>
    </row>
    <row r="1852" spans="1:4">
      <c r="A1852" s="3"/>
      <c r="D1852" s="3"/>
    </row>
    <row r="1853" spans="1:4">
      <c r="A1853" s="3"/>
      <c r="D1853" s="3"/>
    </row>
    <row r="1854" spans="1:4">
      <c r="A1854" s="3"/>
      <c r="D1854" s="3"/>
    </row>
    <row r="1855" spans="1:4">
      <c r="A1855" s="3"/>
      <c r="D1855" s="3"/>
    </row>
    <row r="1856" spans="1:4">
      <c r="A1856" s="3"/>
      <c r="D1856" s="3"/>
    </row>
    <row r="1857" spans="1:4">
      <c r="A1857" s="3"/>
      <c r="D1857" s="3"/>
    </row>
    <row r="1858" spans="1:4">
      <c r="A1858" s="3"/>
      <c r="D1858" s="3"/>
    </row>
    <row r="1859" spans="1:4">
      <c r="A1859" s="3"/>
      <c r="D1859" s="3"/>
    </row>
    <row r="1860" spans="1:4">
      <c r="A1860" s="3"/>
      <c r="D1860" s="3"/>
    </row>
    <row r="1861" spans="1:4">
      <c r="A1861" s="3"/>
      <c r="D1861" s="3"/>
    </row>
    <row r="1862" spans="1:4">
      <c r="A1862" s="3"/>
      <c r="D1862" s="3"/>
    </row>
    <row r="1863" spans="1:4">
      <c r="A1863" s="3"/>
      <c r="D1863" s="3"/>
    </row>
    <row r="1864" spans="1:4">
      <c r="A1864" s="3"/>
      <c r="D1864" s="3"/>
    </row>
    <row r="1865" spans="1:4">
      <c r="A1865" s="3"/>
      <c r="D1865" s="3"/>
    </row>
    <row r="1866" spans="1:4">
      <c r="A1866" s="3"/>
      <c r="D1866" s="3"/>
    </row>
    <row r="1867" spans="1:4">
      <c r="A1867" s="3"/>
      <c r="D1867" s="3"/>
    </row>
    <row r="1868" spans="1:4">
      <c r="A1868" s="3"/>
      <c r="D1868" s="3"/>
    </row>
    <row r="1869" spans="1:4">
      <c r="A1869" s="3"/>
      <c r="D1869" s="3"/>
    </row>
    <row r="1870" spans="1:4">
      <c r="A1870" s="3"/>
      <c r="D1870" s="3"/>
    </row>
    <row r="1871" spans="1:4">
      <c r="A1871" s="3"/>
      <c r="D1871" s="3"/>
    </row>
    <row r="1872" spans="1:4">
      <c r="A1872" s="3"/>
      <c r="D1872" s="3"/>
    </row>
    <row r="1873" spans="1:4">
      <c r="A1873" s="3"/>
      <c r="D1873" s="3"/>
    </row>
    <row r="1874" spans="1:4">
      <c r="A1874" s="3"/>
      <c r="D1874" s="3"/>
    </row>
    <row r="1875" spans="1:4">
      <c r="A1875" s="3"/>
      <c r="D1875" s="3"/>
    </row>
    <row r="1876" spans="1:4">
      <c r="A1876" s="3"/>
      <c r="D1876" s="3"/>
    </row>
    <row r="1877" spans="1:4">
      <c r="A1877" s="3"/>
      <c r="D1877" s="3"/>
    </row>
    <row r="1878" spans="1:4">
      <c r="A1878" s="3"/>
      <c r="D1878" s="3"/>
    </row>
    <row r="1879" spans="1:4">
      <c r="A1879" s="3"/>
      <c r="D1879" s="3"/>
    </row>
    <row r="1880" spans="1:4">
      <c r="A1880" s="3"/>
      <c r="D1880" s="3"/>
    </row>
    <row r="1881" spans="1:4">
      <c r="A1881" s="3"/>
      <c r="D1881" s="3"/>
    </row>
    <row r="1882" spans="1:4">
      <c r="A1882" s="3"/>
      <c r="D1882" s="3"/>
    </row>
    <row r="1883" spans="1:4">
      <c r="A1883" s="3"/>
      <c r="D1883" s="3"/>
    </row>
    <row r="1884" spans="1:4">
      <c r="A1884" s="3"/>
      <c r="D1884" s="3"/>
    </row>
    <row r="1885" spans="1:4">
      <c r="A1885" s="3"/>
      <c r="D1885" s="3"/>
    </row>
    <row r="1886" spans="1:4">
      <c r="A1886" s="3"/>
      <c r="D1886" s="3"/>
    </row>
    <row r="1887" spans="1:4">
      <c r="A1887" s="3"/>
      <c r="D1887" s="3"/>
    </row>
    <row r="1888" spans="1:4">
      <c r="A1888" s="3"/>
      <c r="D1888" s="3"/>
    </row>
    <row r="1889" spans="1:4">
      <c r="A1889" s="3"/>
      <c r="D1889" s="3"/>
    </row>
    <row r="1890" spans="1:4">
      <c r="A1890" s="3"/>
      <c r="D1890" s="3"/>
    </row>
    <row r="1891" spans="1:4">
      <c r="A1891" s="3"/>
      <c r="D1891" s="3"/>
    </row>
    <row r="1892" spans="1:4">
      <c r="A1892" s="3"/>
      <c r="D1892" s="3"/>
    </row>
    <row r="1893" spans="1:4">
      <c r="A1893" s="3"/>
      <c r="D1893" s="3"/>
    </row>
    <row r="1894" spans="1:4">
      <c r="A1894" s="3"/>
      <c r="D1894" s="3"/>
    </row>
    <row r="1895" spans="1:4">
      <c r="A1895" s="3"/>
      <c r="D1895" s="3"/>
    </row>
    <row r="1896" spans="1:4">
      <c r="A1896" s="3"/>
      <c r="D1896" s="3"/>
    </row>
    <row r="1897" spans="1:4">
      <c r="A1897" s="3"/>
      <c r="D1897" s="3"/>
    </row>
    <row r="1898" spans="1:4">
      <c r="A1898" s="3"/>
      <c r="D1898" s="3"/>
    </row>
    <row r="1899" spans="1:4">
      <c r="A1899" s="3"/>
      <c r="D1899" s="3"/>
    </row>
    <row r="1900" spans="1:4">
      <c r="A1900" s="3"/>
      <c r="D1900" s="3"/>
    </row>
    <row r="1901" spans="1:4">
      <c r="A1901" s="3"/>
      <c r="D1901" s="3"/>
    </row>
    <row r="1902" spans="1:4">
      <c r="A1902" s="3"/>
      <c r="D1902" s="3"/>
    </row>
    <row r="1903" spans="1:4">
      <c r="A1903" s="3"/>
      <c r="D1903" s="3"/>
    </row>
    <row r="1904" spans="1:4">
      <c r="A1904" s="3"/>
      <c r="D1904" s="3"/>
    </row>
    <row r="1905" spans="1:4">
      <c r="A1905" s="3"/>
      <c r="D1905" s="3"/>
    </row>
    <row r="1906" spans="1:4">
      <c r="A1906" s="3"/>
      <c r="D1906" s="3"/>
    </row>
    <row r="1907" spans="1:4">
      <c r="A1907" s="3"/>
      <c r="D1907" s="3"/>
    </row>
    <row r="1908" spans="1:4">
      <c r="A1908" s="3"/>
      <c r="D1908" s="3"/>
    </row>
    <row r="1909" spans="1:4">
      <c r="A1909" s="3"/>
      <c r="D1909" s="3"/>
    </row>
    <row r="1910" spans="1:4">
      <c r="A1910" s="3"/>
      <c r="D1910" s="3"/>
    </row>
    <row r="1911" spans="1:4">
      <c r="A1911" s="3"/>
      <c r="D1911" s="3"/>
    </row>
    <row r="1912" spans="1:4">
      <c r="A1912" s="3"/>
      <c r="D1912" s="3"/>
    </row>
    <row r="1913" spans="1:4">
      <c r="A1913" s="3"/>
      <c r="D1913" s="3"/>
    </row>
    <row r="1914" spans="1:4">
      <c r="A1914" s="3"/>
      <c r="D1914" s="3"/>
    </row>
    <row r="1915" spans="1:4">
      <c r="A1915" s="3"/>
      <c r="D1915" s="3"/>
    </row>
    <row r="1916" spans="1:4">
      <c r="A1916" s="3"/>
      <c r="D1916" s="3"/>
    </row>
    <row r="1917" spans="1:4">
      <c r="A1917" s="3"/>
      <c r="D1917" s="3"/>
    </row>
    <row r="1918" spans="1:4">
      <c r="A1918" s="3"/>
      <c r="D1918" s="3"/>
    </row>
    <row r="1919" spans="1:4">
      <c r="A1919" s="3"/>
      <c r="D1919" s="3"/>
    </row>
    <row r="1920" spans="1:4">
      <c r="A1920" s="3"/>
      <c r="D1920" s="3"/>
    </row>
    <row r="1921" spans="1:4">
      <c r="A1921" s="3"/>
      <c r="D1921" s="3"/>
    </row>
    <row r="1922" spans="1:4">
      <c r="A1922" s="3"/>
      <c r="D1922" s="3"/>
    </row>
    <row r="1923" spans="1:4">
      <c r="A1923" s="3"/>
      <c r="D1923" s="3"/>
    </row>
    <row r="1924" spans="1:4">
      <c r="A1924" s="3"/>
      <c r="D1924" s="3"/>
    </row>
    <row r="1925" spans="1:4">
      <c r="A1925" s="3"/>
      <c r="D1925" s="3"/>
    </row>
    <row r="1926" spans="1:4">
      <c r="A1926" s="3"/>
      <c r="D1926" s="3"/>
    </row>
    <row r="1927" spans="1:4">
      <c r="A1927" s="3"/>
      <c r="D1927" s="3"/>
    </row>
    <row r="1928" spans="1:4">
      <c r="A1928" s="3"/>
      <c r="D1928" s="3"/>
    </row>
    <row r="1929" spans="1:4">
      <c r="A1929" s="3"/>
      <c r="D1929" s="3"/>
    </row>
    <row r="1930" spans="1:4">
      <c r="A1930" s="3"/>
      <c r="D1930" s="3"/>
    </row>
    <row r="1931" spans="1:4">
      <c r="A1931" s="3"/>
      <c r="D1931" s="3"/>
    </row>
    <row r="1932" spans="1:4">
      <c r="A1932" s="3"/>
      <c r="D1932" s="3"/>
    </row>
    <row r="1933" spans="1:4">
      <c r="A1933" s="3"/>
      <c r="D1933" s="3"/>
    </row>
    <row r="1934" spans="1:4">
      <c r="A1934" s="3"/>
      <c r="D1934" s="3"/>
    </row>
    <row r="1935" spans="1:4">
      <c r="A1935" s="3"/>
      <c r="D1935" s="3"/>
    </row>
    <row r="1936" spans="1:4">
      <c r="A1936" s="3"/>
      <c r="D1936" s="3"/>
    </row>
    <row r="1937" spans="1:4">
      <c r="A1937" s="3"/>
      <c r="D1937" s="3"/>
    </row>
    <row r="1938" spans="1:4">
      <c r="A1938" s="3"/>
      <c r="D1938" s="3"/>
    </row>
    <row r="1939" spans="1:4">
      <c r="A1939" s="3"/>
      <c r="D1939" s="3"/>
    </row>
    <row r="1940" spans="1:4">
      <c r="A1940" s="3"/>
      <c r="D1940" s="3"/>
    </row>
    <row r="1941" spans="1:4">
      <c r="A1941" s="3"/>
      <c r="D1941" s="3"/>
    </row>
    <row r="1942" spans="1:4">
      <c r="A1942" s="3"/>
      <c r="D1942" s="3"/>
    </row>
    <row r="1943" spans="1:4">
      <c r="A1943" s="3"/>
      <c r="D1943" s="3"/>
    </row>
    <row r="1944" spans="1:4">
      <c r="A1944" s="3"/>
      <c r="D1944" s="3"/>
    </row>
    <row r="1945" spans="1:4">
      <c r="A1945" s="3"/>
      <c r="D1945" s="3"/>
    </row>
    <row r="1946" spans="1:4">
      <c r="A1946" s="3"/>
      <c r="D1946" s="3"/>
    </row>
    <row r="1947" spans="1:4">
      <c r="A1947" s="3"/>
      <c r="D1947" s="3"/>
    </row>
    <row r="1948" spans="1:4">
      <c r="A1948" s="3"/>
      <c r="D1948" s="3"/>
    </row>
    <row r="1949" spans="1:4">
      <c r="A1949" s="3"/>
      <c r="D1949" s="3"/>
    </row>
    <row r="1950" spans="1:4">
      <c r="A1950" s="3"/>
      <c r="D1950" s="3"/>
    </row>
    <row r="1951" spans="1:4">
      <c r="A1951" s="3"/>
      <c r="D1951" s="3"/>
    </row>
    <row r="1952" spans="1:4">
      <c r="A1952" s="3"/>
      <c r="D1952" s="3"/>
    </row>
    <row r="1953" spans="1:4">
      <c r="A1953" s="3"/>
      <c r="D1953" s="3"/>
    </row>
    <row r="1954" spans="1:4">
      <c r="A1954" s="3"/>
      <c r="D1954" s="3"/>
    </row>
    <row r="1955" spans="1:4">
      <c r="A1955" s="3"/>
      <c r="D1955" s="3"/>
    </row>
    <row r="1956" spans="1:4">
      <c r="A1956" s="3"/>
      <c r="D1956" s="3"/>
    </row>
    <row r="1957" spans="1:4">
      <c r="A1957" s="3"/>
      <c r="D1957" s="3"/>
    </row>
    <row r="1958" spans="1:4">
      <c r="A1958" s="3"/>
      <c r="D1958" s="3"/>
    </row>
    <row r="1959" spans="1:4">
      <c r="A1959" s="3"/>
      <c r="D1959" s="3"/>
    </row>
    <row r="1960" spans="1:4">
      <c r="A1960" s="3"/>
      <c r="D1960" s="3"/>
    </row>
    <row r="1961" spans="1:4">
      <c r="A1961" s="3"/>
      <c r="D1961" s="3"/>
    </row>
    <row r="1962" spans="1:4">
      <c r="A1962" s="3"/>
      <c r="D1962" s="3"/>
    </row>
    <row r="1963" spans="1:4">
      <c r="A1963" s="3"/>
      <c r="D1963" s="3"/>
    </row>
    <row r="1964" spans="1:4">
      <c r="A1964" s="3"/>
      <c r="D1964" s="3"/>
    </row>
    <row r="1965" spans="1:4">
      <c r="A1965" s="3"/>
      <c r="D1965" s="3"/>
    </row>
    <row r="1966" spans="1:4">
      <c r="A1966" s="3"/>
      <c r="D1966" s="3"/>
    </row>
    <row r="1967" spans="1:4">
      <c r="A1967" s="3"/>
      <c r="D1967" s="3"/>
    </row>
    <row r="1968" spans="1:4">
      <c r="A1968" s="3"/>
      <c r="D1968" s="3"/>
    </row>
    <row r="1969" spans="1:4">
      <c r="A1969" s="3"/>
      <c r="D1969" s="3"/>
    </row>
    <row r="1970" spans="1:4">
      <c r="A1970" s="3"/>
      <c r="D1970" s="3"/>
    </row>
    <row r="1971" spans="1:4">
      <c r="A1971" s="3"/>
      <c r="D1971" s="3"/>
    </row>
    <row r="1972" spans="1:4">
      <c r="A1972" s="3"/>
      <c r="D1972" s="3"/>
    </row>
    <row r="1973" spans="1:4">
      <c r="A1973" s="3"/>
      <c r="D1973" s="3"/>
    </row>
    <row r="1974" spans="1:4">
      <c r="A1974" s="3"/>
      <c r="D1974" s="3"/>
    </row>
    <row r="1975" spans="1:4">
      <c r="A1975" s="3"/>
      <c r="D1975" s="3"/>
    </row>
    <row r="1976" spans="1:4">
      <c r="A1976" s="3"/>
      <c r="D1976" s="3"/>
    </row>
    <row r="1977" spans="1:4">
      <c r="A1977" s="3"/>
      <c r="D1977" s="3"/>
    </row>
    <row r="1978" spans="1:4">
      <c r="A1978" s="3"/>
      <c r="D1978" s="3"/>
    </row>
    <row r="1979" spans="1:4">
      <c r="A1979" s="3"/>
      <c r="D1979" s="3"/>
    </row>
    <row r="1980" spans="1:4">
      <c r="A1980" s="3"/>
      <c r="D1980" s="3"/>
    </row>
    <row r="1981" spans="1:4">
      <c r="A1981" s="3"/>
      <c r="D1981" s="3"/>
    </row>
    <row r="1982" spans="1:4">
      <c r="A1982" s="3"/>
      <c r="D1982" s="3"/>
    </row>
    <row r="1983" spans="1:4">
      <c r="A1983" s="3"/>
      <c r="D1983" s="3"/>
    </row>
    <row r="1984" spans="1:4">
      <c r="A1984" s="3"/>
      <c r="D1984" s="3"/>
    </row>
    <row r="1985" spans="1:4">
      <c r="A1985" s="3"/>
      <c r="D1985" s="3"/>
    </row>
    <row r="1986" spans="1:4">
      <c r="A1986" s="3"/>
      <c r="D1986" s="3"/>
    </row>
    <row r="1987" spans="1:4">
      <c r="A1987" s="3"/>
      <c r="D1987" s="3"/>
    </row>
    <row r="1988" spans="1:4">
      <c r="A1988" s="3"/>
      <c r="D1988" s="3"/>
    </row>
    <row r="1989" spans="1:4">
      <c r="A1989" s="3"/>
      <c r="D1989" s="3"/>
    </row>
    <row r="1990" spans="1:4">
      <c r="A1990" s="3"/>
      <c r="D1990" s="3"/>
    </row>
    <row r="1991" spans="1:4">
      <c r="A1991" s="3"/>
      <c r="D1991" s="3"/>
    </row>
    <row r="1992" spans="1:4">
      <c r="A1992" s="3"/>
      <c r="D1992" s="3"/>
    </row>
    <row r="1993" spans="1:4">
      <c r="A1993" s="3"/>
      <c r="D1993" s="3"/>
    </row>
    <row r="1994" spans="1:4">
      <c r="A1994" s="3"/>
      <c r="D1994" s="3"/>
    </row>
    <row r="1995" spans="1:4">
      <c r="A1995" s="3"/>
      <c r="D1995" s="3"/>
    </row>
    <row r="1996" spans="1:4">
      <c r="A1996" s="3"/>
      <c r="D1996" s="3"/>
    </row>
    <row r="1997" spans="1:4">
      <c r="A1997" s="3"/>
      <c r="D1997" s="3"/>
    </row>
    <row r="1998" spans="1:4">
      <c r="A1998" s="3"/>
      <c r="D1998" s="3"/>
    </row>
    <row r="1999" spans="1:4">
      <c r="A1999" s="3"/>
      <c r="D1999" s="3"/>
    </row>
    <row r="2000" spans="1:4">
      <c r="A2000" s="3"/>
      <c r="D2000" s="3"/>
    </row>
    <row r="2001" spans="1:4">
      <c r="A2001" s="3"/>
      <c r="D2001" s="3"/>
    </row>
    <row r="2002" spans="1:4">
      <c r="A2002" s="3"/>
      <c r="D2002" s="3"/>
    </row>
    <row r="2003" spans="1:4">
      <c r="A2003" s="3"/>
      <c r="D2003" s="3"/>
    </row>
    <row r="2004" spans="1:4">
      <c r="A2004" s="3"/>
      <c r="D2004" s="3"/>
    </row>
    <row r="2005" spans="1:4">
      <c r="A2005" s="3"/>
      <c r="D2005" s="3"/>
    </row>
    <row r="2006" spans="1:4">
      <c r="A2006" s="3"/>
      <c r="D2006" s="3"/>
    </row>
    <row r="2007" spans="1:4">
      <c r="A2007" s="3"/>
      <c r="D2007" s="3"/>
    </row>
    <row r="2008" spans="1:4">
      <c r="A2008" s="3"/>
      <c r="D2008" s="3"/>
    </row>
    <row r="2009" spans="1:4">
      <c r="A2009" s="3"/>
      <c r="D2009" s="3"/>
    </row>
    <row r="2010" spans="1:4">
      <c r="A2010" s="3"/>
      <c r="D2010" s="3"/>
    </row>
    <row r="2011" spans="1:4">
      <c r="A2011" s="3"/>
      <c r="D2011" s="3"/>
    </row>
    <row r="2012" spans="1:4">
      <c r="A2012" s="3"/>
      <c r="D2012" s="3"/>
    </row>
    <row r="2013" spans="1:4">
      <c r="A2013" s="3"/>
      <c r="D2013" s="3"/>
    </row>
    <row r="2014" spans="1:4">
      <c r="A2014" s="3"/>
      <c r="D2014" s="3"/>
    </row>
    <row r="2015" spans="1:4">
      <c r="A2015" s="3"/>
      <c r="D2015" s="3"/>
    </row>
    <row r="2016" spans="1:4">
      <c r="A2016" s="3"/>
      <c r="D2016" s="3"/>
    </row>
    <row r="2017" spans="1:4">
      <c r="A2017" s="3"/>
      <c r="D2017" s="3"/>
    </row>
    <row r="2018" spans="1:4">
      <c r="A2018" s="3"/>
      <c r="D2018" s="3"/>
    </row>
    <row r="2019" spans="1:4">
      <c r="A2019" s="3"/>
      <c r="D2019" s="3"/>
    </row>
    <row r="2020" spans="1:4">
      <c r="A2020" s="3"/>
      <c r="D2020" s="3"/>
    </row>
    <row r="2021" spans="1:4">
      <c r="A2021" s="3"/>
      <c r="D2021" s="3"/>
    </row>
    <row r="2022" spans="1:4">
      <c r="A2022" s="3"/>
      <c r="D2022" s="3"/>
    </row>
    <row r="2023" spans="1:4">
      <c r="A2023" s="3"/>
      <c r="D2023" s="3"/>
    </row>
    <row r="2024" spans="1:4">
      <c r="A2024" s="3"/>
      <c r="D2024" s="3"/>
    </row>
    <row r="2025" spans="1:4">
      <c r="A2025" s="3"/>
      <c r="D2025" s="3"/>
    </row>
    <row r="2026" spans="1:4">
      <c r="A2026" s="3"/>
      <c r="D2026" s="3"/>
    </row>
    <row r="2027" spans="1:4">
      <c r="A2027" s="3"/>
      <c r="D2027" s="3"/>
    </row>
    <row r="2028" spans="1:4">
      <c r="A2028" s="3"/>
      <c r="D2028" s="3"/>
    </row>
    <row r="2029" spans="1:4">
      <c r="A2029" s="3"/>
      <c r="D2029" s="3"/>
    </row>
    <row r="2030" spans="1:4">
      <c r="A2030" s="3"/>
      <c r="D2030" s="3"/>
    </row>
    <row r="2031" spans="1:4">
      <c r="A2031" s="3"/>
      <c r="D2031" s="3"/>
    </row>
    <row r="2032" spans="1:4">
      <c r="A2032" s="3"/>
      <c r="D2032" s="3"/>
    </row>
    <row r="2033" spans="1:4">
      <c r="A2033" s="3"/>
      <c r="D2033" s="3"/>
    </row>
    <row r="2034" spans="1:4">
      <c r="A2034" s="3"/>
      <c r="D2034" s="3"/>
    </row>
    <row r="2035" spans="1:4">
      <c r="A2035" s="3"/>
      <c r="D2035" s="3"/>
    </row>
    <row r="2036" spans="1:4">
      <c r="A2036" s="3"/>
      <c r="D2036" s="3"/>
    </row>
    <row r="2037" spans="1:4">
      <c r="A2037" s="3"/>
      <c r="D2037" s="3"/>
    </row>
    <row r="2038" spans="1:4">
      <c r="A2038" s="3"/>
      <c r="D2038" s="3"/>
    </row>
    <row r="2039" spans="1:4">
      <c r="A2039" s="3"/>
      <c r="D2039" s="3"/>
    </row>
    <row r="2040" spans="1:4">
      <c r="A2040" s="3"/>
      <c r="D2040" s="3"/>
    </row>
    <row r="2041" spans="1:4">
      <c r="A2041" s="3"/>
      <c r="D2041" s="3"/>
    </row>
    <row r="2042" spans="1:4">
      <c r="A2042" s="3"/>
      <c r="D2042" s="3"/>
    </row>
    <row r="2043" spans="1:4">
      <c r="A2043" s="3"/>
      <c r="D2043" s="3"/>
    </row>
    <row r="2044" spans="1:4">
      <c r="A2044" s="3"/>
      <c r="D2044" s="3"/>
    </row>
    <row r="2045" spans="1:4">
      <c r="A2045" s="3"/>
      <c r="D2045" s="3"/>
    </row>
    <row r="2046" spans="1:4">
      <c r="A2046" s="3"/>
      <c r="D2046" s="3"/>
    </row>
    <row r="2047" spans="1:4">
      <c r="A2047" s="3"/>
      <c r="D2047" s="3"/>
    </row>
    <row r="2048" spans="1:4">
      <c r="A2048" s="3"/>
      <c r="D2048" s="3"/>
    </row>
    <row r="2049" spans="1:4">
      <c r="A2049" s="3"/>
      <c r="D2049" s="3"/>
    </row>
    <row r="2050" spans="1:4">
      <c r="A2050" s="3"/>
      <c r="D2050" s="3"/>
    </row>
    <row r="2051" spans="1:4">
      <c r="A2051" s="3"/>
      <c r="D2051" s="3"/>
    </row>
    <row r="2052" spans="1:4">
      <c r="A2052" s="3"/>
      <c r="D2052" s="3"/>
    </row>
    <row r="2053" spans="1:4">
      <c r="A2053" s="3"/>
      <c r="D2053" s="3"/>
    </row>
    <row r="2054" spans="1:4">
      <c r="A2054" s="3"/>
      <c r="D2054" s="3"/>
    </row>
    <row r="2055" spans="1:4">
      <c r="A2055" s="3"/>
      <c r="D2055" s="3"/>
    </row>
    <row r="2056" spans="1:4">
      <c r="A2056" s="3"/>
      <c r="D2056" s="3"/>
    </row>
    <row r="2057" spans="1:4">
      <c r="A2057" s="3"/>
      <c r="D2057" s="3"/>
    </row>
    <row r="2058" spans="1:4">
      <c r="A2058" s="3"/>
      <c r="D2058" s="3"/>
    </row>
    <row r="2059" spans="1:4">
      <c r="A2059" s="3"/>
      <c r="D2059" s="3"/>
    </row>
    <row r="2060" spans="1:4">
      <c r="A2060" s="3"/>
      <c r="D2060" s="3"/>
    </row>
    <row r="2061" spans="1:4">
      <c r="A2061" s="3"/>
      <c r="D2061" s="3"/>
    </row>
    <row r="2062" spans="1:4">
      <c r="A2062" s="3"/>
      <c r="D2062" s="3"/>
    </row>
    <row r="2063" spans="1:4">
      <c r="A2063" s="3"/>
      <c r="D2063" s="3"/>
    </row>
    <row r="2064" spans="1:4">
      <c r="A2064" s="3"/>
      <c r="D2064" s="3"/>
    </row>
    <row r="2065" spans="1:4">
      <c r="A2065" s="3"/>
      <c r="D2065" s="3"/>
    </row>
    <row r="2066" spans="1:4">
      <c r="A2066" s="3"/>
      <c r="D2066" s="3"/>
    </row>
    <row r="2067" spans="1:4">
      <c r="A2067" s="3"/>
      <c r="D2067" s="3"/>
    </row>
    <row r="2068" spans="1:4">
      <c r="A2068" s="3"/>
      <c r="D2068" s="3"/>
    </row>
    <row r="2069" spans="1:4">
      <c r="A2069" s="3"/>
      <c r="D2069" s="3"/>
    </row>
    <row r="2070" spans="1:4">
      <c r="A2070" s="3"/>
      <c r="D2070" s="3"/>
    </row>
    <row r="2071" spans="1:4">
      <c r="A2071" s="3"/>
      <c r="D2071" s="3"/>
    </row>
    <row r="2072" spans="1:4">
      <c r="A2072" s="3"/>
      <c r="D2072" s="3"/>
    </row>
    <row r="2073" spans="1:4">
      <c r="A2073" s="3"/>
      <c r="D2073" s="3"/>
    </row>
    <row r="2074" spans="1:4">
      <c r="A2074" s="3"/>
      <c r="D2074" s="3"/>
    </row>
    <row r="2075" spans="1:4">
      <c r="A2075" s="3"/>
      <c r="D2075" s="3"/>
    </row>
    <row r="2076" spans="1:4">
      <c r="A2076" s="3"/>
      <c r="D2076" s="3"/>
    </row>
    <row r="2077" spans="1:4">
      <c r="A2077" s="3"/>
      <c r="D2077" s="3"/>
    </row>
    <row r="2078" spans="1:4">
      <c r="A2078" s="3"/>
      <c r="D2078" s="3"/>
    </row>
    <row r="2079" spans="1:4">
      <c r="A2079" s="3"/>
      <c r="D2079" s="3"/>
    </row>
    <row r="2080" spans="1:4">
      <c r="A2080" s="3"/>
      <c r="D2080" s="3"/>
    </row>
    <row r="2081" spans="1:4">
      <c r="A2081" s="3"/>
      <c r="D2081" s="3"/>
    </row>
    <row r="2082" spans="1:4">
      <c r="A2082" s="3"/>
      <c r="D2082" s="3"/>
    </row>
    <row r="2083" spans="1:4">
      <c r="A2083" s="3"/>
      <c r="D2083" s="3"/>
    </row>
    <row r="2084" spans="1:4">
      <c r="A2084" s="3"/>
      <c r="D2084" s="3"/>
    </row>
    <row r="2085" spans="1:4">
      <c r="A2085" s="3"/>
      <c r="D2085" s="3"/>
    </row>
    <row r="2086" spans="1:4">
      <c r="A2086" s="3"/>
      <c r="D2086" s="3"/>
    </row>
    <row r="2087" spans="1:4">
      <c r="A2087" s="3"/>
      <c r="D2087" s="3"/>
    </row>
    <row r="2088" spans="1:4">
      <c r="A2088" s="3"/>
      <c r="D2088" s="3"/>
    </row>
    <row r="2089" spans="1:4">
      <c r="A2089" s="3"/>
      <c r="D2089" s="3"/>
    </row>
    <row r="2090" spans="1:4">
      <c r="A2090" s="3"/>
      <c r="D2090" s="3"/>
    </row>
    <row r="2091" spans="1:4">
      <c r="A2091" s="3"/>
      <c r="D2091" s="3"/>
    </row>
    <row r="2092" spans="1:4">
      <c r="A2092" s="3"/>
      <c r="D2092" s="3"/>
    </row>
    <row r="2093" spans="1:4">
      <c r="A2093" s="3"/>
      <c r="D2093" s="3"/>
    </row>
    <row r="2094" spans="1:4">
      <c r="A2094" s="3"/>
      <c r="D2094" s="3"/>
    </row>
    <row r="2095" spans="1:4">
      <c r="A2095" s="3"/>
      <c r="D2095" s="3"/>
    </row>
    <row r="2096" spans="1:4">
      <c r="A2096" s="3"/>
      <c r="D2096" s="3"/>
    </row>
    <row r="2097" spans="1:4">
      <c r="A2097" s="3"/>
      <c r="D2097" s="3"/>
    </row>
    <row r="2098" spans="1:4">
      <c r="A2098" s="3"/>
      <c r="D2098" s="3"/>
    </row>
    <row r="2099" spans="1:4">
      <c r="A2099" s="3"/>
      <c r="D2099" s="3"/>
    </row>
    <row r="2100" spans="1:4">
      <c r="A2100" s="3"/>
      <c r="D2100" s="3"/>
    </row>
    <row r="2101" spans="1:4">
      <c r="A2101" s="3"/>
      <c r="D2101" s="3"/>
    </row>
    <row r="2102" spans="1:4">
      <c r="A2102" s="3"/>
      <c r="D2102" s="3"/>
    </row>
    <row r="2103" spans="1:4">
      <c r="A2103" s="3"/>
      <c r="D2103" s="3"/>
    </row>
    <row r="2104" spans="1:4">
      <c r="A2104" s="3"/>
      <c r="D2104" s="3"/>
    </row>
    <row r="2105" spans="1:4">
      <c r="A2105" s="3"/>
      <c r="D2105" s="3"/>
    </row>
    <row r="2106" spans="1:4">
      <c r="A2106" s="3"/>
      <c r="D2106" s="3"/>
    </row>
    <row r="2107" spans="1:4">
      <c r="A2107" s="3"/>
      <c r="D2107" s="3"/>
    </row>
    <row r="2108" spans="1:4">
      <c r="A2108" s="3"/>
      <c r="D2108" s="3"/>
    </row>
    <row r="2109" spans="1:4">
      <c r="A2109" s="3"/>
      <c r="D2109" s="3"/>
    </row>
    <row r="2110" spans="1:4">
      <c r="A2110" s="3"/>
      <c r="D2110" s="3"/>
    </row>
    <row r="2111" spans="1:4">
      <c r="A2111" s="3"/>
      <c r="D2111" s="3"/>
    </row>
    <row r="2112" spans="1:4">
      <c r="A2112" s="3"/>
      <c r="D2112" s="3"/>
    </row>
    <row r="2113" spans="1:4">
      <c r="A2113" s="3"/>
      <c r="D2113" s="3"/>
    </row>
    <row r="2114" spans="1:4">
      <c r="A2114" s="3"/>
      <c r="D2114" s="3"/>
    </row>
    <row r="2115" spans="1:4">
      <c r="A2115" s="3"/>
      <c r="D2115" s="3"/>
    </row>
    <row r="2116" spans="1:4">
      <c r="A2116" s="3"/>
      <c r="D2116" s="3"/>
    </row>
    <row r="2117" spans="1:4">
      <c r="A2117" s="3"/>
      <c r="D2117" s="3"/>
    </row>
    <row r="2118" spans="1:4">
      <c r="A2118" s="3"/>
      <c r="D2118" s="3"/>
    </row>
    <row r="2119" spans="1:4">
      <c r="A2119" s="3"/>
      <c r="D2119" s="3"/>
    </row>
    <row r="2120" spans="1:4">
      <c r="A2120" s="3"/>
      <c r="D2120" s="3"/>
    </row>
    <row r="2121" spans="1:4">
      <c r="A2121" s="3"/>
      <c r="D2121" s="3"/>
    </row>
    <row r="2122" spans="1:4">
      <c r="A2122" s="3"/>
      <c r="D2122" s="3"/>
    </row>
    <row r="2123" spans="1:4">
      <c r="A2123" s="3"/>
      <c r="D2123" s="3"/>
    </row>
    <row r="2124" spans="1:4">
      <c r="A2124" s="3"/>
      <c r="D2124" s="3"/>
    </row>
    <row r="2125" spans="1:4">
      <c r="A2125" s="3"/>
      <c r="D2125" s="3"/>
    </row>
    <row r="2126" spans="1:4">
      <c r="A2126" s="3"/>
      <c r="D2126" s="3"/>
    </row>
    <row r="2127" spans="1:4">
      <c r="A2127" s="3"/>
      <c r="D2127" s="3"/>
    </row>
    <row r="2128" spans="1:4">
      <c r="A2128" s="3"/>
      <c r="D2128" s="3"/>
    </row>
    <row r="2129" spans="1:4">
      <c r="A2129" s="3"/>
      <c r="D2129" s="3"/>
    </row>
    <row r="2130" spans="1:4">
      <c r="A2130" s="3"/>
      <c r="D2130" s="3"/>
    </row>
    <row r="2131" spans="1:4">
      <c r="A2131" s="3"/>
      <c r="D2131" s="3"/>
    </row>
    <row r="2132" spans="1:4">
      <c r="A2132" s="3"/>
      <c r="D2132" s="3"/>
    </row>
    <row r="2133" spans="1:4">
      <c r="A2133" s="3"/>
      <c r="D2133" s="3"/>
    </row>
    <row r="2134" spans="1:4">
      <c r="A2134" s="3"/>
      <c r="D2134" s="3"/>
    </row>
    <row r="2135" spans="1:4">
      <c r="A2135" s="3"/>
      <c r="D2135" s="3"/>
    </row>
    <row r="2136" spans="1:4">
      <c r="A2136" s="3"/>
      <c r="D2136" s="3"/>
    </row>
    <row r="2137" spans="1:4">
      <c r="A2137" s="3"/>
      <c r="D2137" s="3"/>
    </row>
    <row r="2138" spans="1:4">
      <c r="A2138" s="3"/>
      <c r="D2138" s="3"/>
    </row>
    <row r="2139" spans="1:4">
      <c r="A2139" s="3"/>
      <c r="D2139" s="3"/>
    </row>
    <row r="2140" spans="1:4">
      <c r="A2140" s="3"/>
      <c r="D2140" s="3"/>
    </row>
    <row r="2141" spans="1:4">
      <c r="A2141" s="3"/>
      <c r="D2141" s="3"/>
    </row>
    <row r="2142" spans="1:4">
      <c r="A2142" s="3"/>
      <c r="D2142" s="3"/>
    </row>
    <row r="2143" spans="1:4">
      <c r="A2143" s="3"/>
      <c r="D2143" s="3"/>
    </row>
    <row r="2144" spans="1:4">
      <c r="A2144" s="3"/>
      <c r="D2144" s="3"/>
    </row>
    <row r="2145" spans="1:4">
      <c r="A2145" s="3"/>
      <c r="D2145" s="3"/>
    </row>
    <row r="2146" spans="1:4">
      <c r="A2146" s="3"/>
      <c r="D2146" s="3"/>
    </row>
    <row r="2147" spans="1:4">
      <c r="A2147" s="3"/>
      <c r="D2147" s="3"/>
    </row>
    <row r="2148" spans="1:4">
      <c r="A2148" s="3"/>
      <c r="D2148" s="3"/>
    </row>
    <row r="2149" spans="1:4">
      <c r="A2149" s="3"/>
      <c r="D2149" s="3"/>
    </row>
    <row r="2150" spans="1:4">
      <c r="A2150" s="3"/>
      <c r="D2150" s="3"/>
    </row>
    <row r="2151" spans="1:4">
      <c r="A2151" s="3"/>
      <c r="D2151" s="3"/>
    </row>
    <row r="2152" spans="1:4">
      <c r="A2152" s="3"/>
      <c r="D2152" s="3"/>
    </row>
    <row r="2153" spans="1:4">
      <c r="A2153" s="3"/>
      <c r="D2153" s="3"/>
    </row>
    <row r="2154" spans="1:4">
      <c r="A2154" s="3"/>
      <c r="D2154" s="3"/>
    </row>
    <row r="2155" spans="1:4">
      <c r="A2155" s="3"/>
      <c r="D2155" s="3"/>
    </row>
    <row r="2156" spans="1:4">
      <c r="A2156" s="3"/>
      <c r="D2156" s="3"/>
    </row>
    <row r="2157" spans="1:4">
      <c r="A2157" s="3"/>
      <c r="D2157" s="3"/>
    </row>
    <row r="2158" spans="1:4">
      <c r="A2158" s="3"/>
      <c r="D2158" s="3"/>
    </row>
    <row r="2159" spans="1:4">
      <c r="A2159" s="3"/>
      <c r="D2159" s="3"/>
    </row>
    <row r="2160" spans="1:4">
      <c r="A2160" s="3"/>
      <c r="D2160" s="3"/>
    </row>
    <row r="2161" spans="1:4">
      <c r="A2161" s="3"/>
      <c r="D2161" s="3"/>
    </row>
    <row r="2162" spans="1:4">
      <c r="A2162" s="3"/>
      <c r="D2162" s="3"/>
    </row>
    <row r="2163" spans="1:4">
      <c r="A2163" s="3"/>
      <c r="D2163" s="3"/>
    </row>
    <row r="2164" spans="1:4">
      <c r="A2164" s="3"/>
      <c r="D2164" s="3"/>
    </row>
    <row r="2165" spans="1:4">
      <c r="A2165" s="3"/>
      <c r="D2165" s="3"/>
    </row>
    <row r="2166" spans="1:4">
      <c r="A2166" s="3"/>
      <c r="D2166" s="3"/>
    </row>
    <row r="2167" spans="1:4">
      <c r="A2167" s="3"/>
      <c r="D2167" s="3"/>
    </row>
    <row r="2168" spans="1:4">
      <c r="A2168" s="3"/>
      <c r="D2168" s="3"/>
    </row>
    <row r="2169" spans="1:4">
      <c r="A2169" s="3"/>
      <c r="D2169" s="3"/>
    </row>
    <row r="2170" spans="1:4">
      <c r="A2170" s="3"/>
      <c r="D2170" s="3"/>
    </row>
    <row r="2171" spans="1:4">
      <c r="A2171" s="3"/>
      <c r="D2171" s="3"/>
    </row>
    <row r="2172" spans="1:4">
      <c r="A2172" s="3"/>
      <c r="D2172" s="3"/>
    </row>
    <row r="2173" spans="1:4">
      <c r="A2173" s="3"/>
      <c r="D2173" s="3"/>
    </row>
    <row r="2174" spans="1:4">
      <c r="A2174" s="3"/>
      <c r="D2174" s="3"/>
    </row>
    <row r="2175" spans="1:4">
      <c r="A2175" s="3"/>
      <c r="D2175" s="3"/>
    </row>
    <row r="2176" spans="1:4">
      <c r="A2176" s="3"/>
      <c r="D2176" s="3"/>
    </row>
    <row r="2177" spans="1:4">
      <c r="A2177" s="3"/>
      <c r="D2177" s="3"/>
    </row>
    <row r="2178" spans="1:4">
      <c r="A2178" s="3"/>
      <c r="D2178" s="3"/>
    </row>
    <row r="2179" spans="1:4">
      <c r="A2179" s="3"/>
      <c r="D2179" s="3"/>
    </row>
    <row r="2180" spans="1:4">
      <c r="A2180" s="3"/>
      <c r="D2180" s="3"/>
    </row>
    <row r="2181" spans="1:4">
      <c r="A2181" s="3"/>
      <c r="D2181" s="3"/>
    </row>
    <row r="2182" spans="1:4">
      <c r="A2182" s="3"/>
      <c r="D2182" s="3"/>
    </row>
    <row r="2183" spans="1:4">
      <c r="A2183" s="3"/>
      <c r="D2183" s="3"/>
    </row>
    <row r="2184" spans="1:4">
      <c r="A2184" s="3"/>
      <c r="D2184" s="3"/>
    </row>
    <row r="2185" spans="1:4">
      <c r="A2185" s="3"/>
      <c r="D2185" s="3"/>
    </row>
    <row r="2186" spans="1:4">
      <c r="A2186" s="3"/>
      <c r="D2186" s="3"/>
    </row>
    <row r="2187" spans="1:4">
      <c r="A2187" s="3"/>
      <c r="D2187" s="3"/>
    </row>
    <row r="2188" spans="1:4">
      <c r="A2188" s="3"/>
      <c r="D2188" s="3"/>
    </row>
    <row r="2189" spans="1:4">
      <c r="A2189" s="3"/>
      <c r="D2189" s="3"/>
    </row>
    <row r="2190" spans="1:4">
      <c r="A2190" s="3"/>
      <c r="D2190" s="3"/>
    </row>
    <row r="2191" spans="1:4">
      <c r="A2191" s="3"/>
      <c r="D2191" s="3"/>
    </row>
    <row r="2192" spans="1:4">
      <c r="A2192" s="3"/>
      <c r="D2192" s="3"/>
    </row>
    <row r="2193" spans="1:4">
      <c r="A2193" s="3"/>
      <c r="D2193" s="3"/>
    </row>
    <row r="2194" spans="1:4">
      <c r="A2194" s="3"/>
      <c r="D2194" s="3"/>
    </row>
    <row r="2195" spans="1:4">
      <c r="A2195" s="3"/>
      <c r="D2195" s="3"/>
    </row>
    <row r="2196" spans="1:4">
      <c r="A2196" s="3"/>
      <c r="D2196" s="3"/>
    </row>
    <row r="2197" spans="1:4">
      <c r="A2197" s="3"/>
      <c r="D2197" s="3"/>
    </row>
    <row r="2198" spans="1:4">
      <c r="A2198" s="3"/>
      <c r="D2198" s="3"/>
    </row>
    <row r="2199" spans="1:4">
      <c r="A2199" s="3"/>
      <c r="D2199" s="3"/>
    </row>
    <row r="2200" spans="1:4">
      <c r="A2200" s="3"/>
      <c r="D2200" s="3"/>
    </row>
    <row r="2201" spans="1:4">
      <c r="A2201" s="3"/>
      <c r="D2201" s="3"/>
    </row>
    <row r="2202" spans="1:4">
      <c r="A2202" s="3"/>
      <c r="D2202" s="3"/>
    </row>
    <row r="2203" spans="1:4">
      <c r="A2203" s="3"/>
      <c r="D2203" s="3"/>
    </row>
    <row r="2204" spans="1:4">
      <c r="A2204" s="3"/>
      <c r="D2204" s="3"/>
    </row>
    <row r="2205" spans="1:4">
      <c r="A2205" s="3"/>
      <c r="D2205" s="3"/>
    </row>
    <row r="2206" spans="1:4">
      <c r="A2206" s="3"/>
      <c r="D2206" s="3"/>
    </row>
    <row r="2207" spans="1:4">
      <c r="A2207" s="3"/>
      <c r="D2207" s="3"/>
    </row>
    <row r="2208" spans="1:4">
      <c r="A2208" s="3"/>
      <c r="D2208" s="3"/>
    </row>
    <row r="2209" spans="1:4">
      <c r="A2209" s="3"/>
      <c r="D2209" s="3"/>
    </row>
    <row r="2210" spans="1:4">
      <c r="A2210" s="3"/>
      <c r="D2210" s="3"/>
    </row>
    <row r="2211" spans="1:4">
      <c r="A2211" s="3"/>
      <c r="D2211" s="3"/>
    </row>
    <row r="2212" spans="1:4">
      <c r="A2212" s="3"/>
      <c r="D2212" s="3"/>
    </row>
    <row r="2213" spans="1:4">
      <c r="A2213" s="3"/>
      <c r="D2213" s="3"/>
    </row>
    <row r="2214" spans="1:4">
      <c r="A2214" s="3"/>
      <c r="D2214" s="3"/>
    </row>
    <row r="2215" spans="1:4">
      <c r="A2215" s="3"/>
      <c r="D2215" s="3"/>
    </row>
    <row r="2216" spans="1:4">
      <c r="A2216" s="3"/>
      <c r="D2216" s="3"/>
    </row>
    <row r="2217" spans="1:4">
      <c r="A2217" s="3"/>
      <c r="D2217" s="3"/>
    </row>
    <row r="2218" spans="1:4">
      <c r="A2218" s="3"/>
      <c r="D2218" s="3"/>
    </row>
    <row r="2219" spans="1:4">
      <c r="A2219" s="3"/>
      <c r="D2219" s="3"/>
    </row>
    <row r="2220" spans="1:4">
      <c r="A2220" s="3"/>
      <c r="D2220" s="3"/>
    </row>
    <row r="2221" spans="1:4">
      <c r="A2221" s="3"/>
      <c r="D2221" s="3"/>
    </row>
    <row r="2222" spans="1:4">
      <c r="A2222" s="3"/>
      <c r="D2222" s="3"/>
    </row>
    <row r="2223" spans="1:4">
      <c r="A2223" s="3"/>
      <c r="D2223" s="3"/>
    </row>
    <row r="2224" spans="1:4">
      <c r="A2224" s="3"/>
      <c r="D2224" s="3"/>
    </row>
    <row r="2225" spans="1:4">
      <c r="A2225" s="3"/>
      <c r="D2225" s="3"/>
    </row>
    <row r="2226" spans="1:4">
      <c r="A2226" s="3"/>
      <c r="D2226" s="3"/>
    </row>
    <row r="2227" spans="1:4">
      <c r="A2227" s="3"/>
      <c r="D2227" s="3"/>
    </row>
    <row r="2228" spans="1:4">
      <c r="A2228" s="3"/>
      <c r="D2228" s="3"/>
    </row>
    <row r="2229" spans="1:4">
      <c r="A2229" s="3"/>
      <c r="D2229" s="3"/>
    </row>
    <row r="2230" spans="1:4">
      <c r="A2230" s="3"/>
      <c r="D2230" s="3"/>
    </row>
    <row r="2231" spans="1:4">
      <c r="A2231" s="3"/>
      <c r="D2231" s="3"/>
    </row>
    <row r="2232" spans="1:4">
      <c r="A2232" s="3"/>
      <c r="D2232" s="3"/>
    </row>
    <row r="2233" spans="1:4">
      <c r="A2233" s="3"/>
      <c r="D2233" s="3"/>
    </row>
    <row r="2234" spans="1:4">
      <c r="A2234" s="3"/>
      <c r="D2234" s="3"/>
    </row>
    <row r="2235" spans="1:4">
      <c r="A2235" s="3"/>
      <c r="D2235" s="3"/>
    </row>
    <row r="2236" spans="1:4">
      <c r="A2236" s="3"/>
      <c r="D2236" s="3"/>
    </row>
    <row r="2237" spans="1:4">
      <c r="A2237" s="3"/>
      <c r="D2237" s="3"/>
    </row>
    <row r="2238" spans="1:4">
      <c r="A2238" s="3"/>
      <c r="D2238" s="3"/>
    </row>
    <row r="2239" spans="1:4">
      <c r="A2239" s="3"/>
      <c r="D2239" s="3"/>
    </row>
    <row r="2240" spans="1:4">
      <c r="A2240" s="3"/>
      <c r="D2240" s="3"/>
    </row>
    <row r="2241" spans="1:4">
      <c r="A2241" s="3"/>
      <c r="D2241" s="3"/>
    </row>
    <row r="2242" spans="1:4">
      <c r="A2242" s="3"/>
      <c r="D2242" s="3"/>
    </row>
    <row r="2243" spans="1:4">
      <c r="A2243" s="3"/>
      <c r="D2243" s="3"/>
    </row>
    <row r="2244" spans="1:4">
      <c r="A2244" s="3"/>
      <c r="D2244" s="3"/>
    </row>
    <row r="2245" spans="1:4">
      <c r="A2245" s="3"/>
      <c r="D2245" s="3"/>
    </row>
    <row r="2246" spans="1:4">
      <c r="A2246" s="3"/>
      <c r="D2246" s="3"/>
    </row>
    <row r="2247" spans="1:4">
      <c r="A2247" s="3"/>
      <c r="D2247" s="3"/>
    </row>
    <row r="2248" spans="1:4">
      <c r="A2248" s="3"/>
      <c r="D2248" s="3"/>
    </row>
    <row r="2249" spans="1:4">
      <c r="A2249" s="3"/>
      <c r="D2249" s="3"/>
    </row>
    <row r="2250" spans="1:4">
      <c r="A2250" s="3"/>
      <c r="D2250" s="3"/>
    </row>
    <row r="2251" spans="1:4">
      <c r="A2251" s="3"/>
      <c r="D2251" s="3"/>
    </row>
    <row r="2252" spans="1:4">
      <c r="A2252" s="3"/>
      <c r="D2252" s="3"/>
    </row>
    <row r="2253" spans="1:4">
      <c r="A2253" s="3"/>
      <c r="D2253" s="3"/>
    </row>
    <row r="2254" spans="1:4">
      <c r="A2254" s="3"/>
      <c r="D2254" s="3"/>
    </row>
    <row r="2255" spans="1:4">
      <c r="A2255" s="3"/>
      <c r="D2255" s="3"/>
    </row>
    <row r="2256" spans="1:4">
      <c r="A2256" s="3"/>
      <c r="D2256" s="3"/>
    </row>
    <row r="2257" spans="1:4">
      <c r="A2257" s="3"/>
      <c r="D2257" s="3"/>
    </row>
    <row r="2258" spans="1:4">
      <c r="A2258" s="3"/>
      <c r="D2258" s="3"/>
    </row>
    <row r="2259" spans="1:4">
      <c r="A2259" s="3"/>
      <c r="D2259" s="3"/>
    </row>
    <row r="2260" spans="1:4">
      <c r="A2260" s="3"/>
      <c r="D2260" s="3"/>
    </row>
    <row r="2261" spans="1:4">
      <c r="A2261" s="3"/>
      <c r="D2261" s="3"/>
    </row>
    <row r="2262" spans="1:4">
      <c r="A2262" s="3"/>
      <c r="D2262" s="3"/>
    </row>
    <row r="2263" spans="1:4">
      <c r="A2263" s="3"/>
      <c r="D2263" s="3"/>
    </row>
    <row r="2264" spans="1:4">
      <c r="A2264" s="3"/>
      <c r="D2264" s="3"/>
    </row>
    <row r="2265" spans="1:4">
      <c r="A2265" s="3"/>
      <c r="D2265" s="3"/>
    </row>
    <row r="2266" spans="1:4">
      <c r="A2266" s="3"/>
      <c r="D2266" s="3"/>
    </row>
    <row r="2267" spans="1:4">
      <c r="A2267" s="3"/>
      <c r="D2267" s="3"/>
    </row>
    <row r="2268" spans="1:4">
      <c r="A2268" s="3"/>
      <c r="D2268" s="3"/>
    </row>
    <row r="2269" spans="1:4">
      <c r="A2269" s="3"/>
      <c r="D2269" s="3"/>
    </row>
    <row r="2270" spans="1:4">
      <c r="A2270" s="3"/>
      <c r="D2270" s="3"/>
    </row>
    <row r="2271" spans="1:4">
      <c r="A2271" s="3"/>
      <c r="D2271" s="3"/>
    </row>
    <row r="2272" spans="1:4">
      <c r="A2272" s="3"/>
      <c r="D2272" s="3"/>
    </row>
    <row r="2273" spans="1:4">
      <c r="A2273" s="3"/>
      <c r="D2273" s="3"/>
    </row>
    <row r="2274" spans="1:4">
      <c r="A2274" s="3"/>
      <c r="D2274" s="3"/>
    </row>
    <row r="2275" spans="1:4">
      <c r="A2275" s="3"/>
      <c r="D2275" s="3"/>
    </row>
    <row r="2276" spans="1:4">
      <c r="A2276" s="3"/>
      <c r="D2276" s="3"/>
    </row>
    <row r="2277" spans="1:4">
      <c r="A2277" s="3"/>
      <c r="D2277" s="3"/>
    </row>
    <row r="2278" spans="1:4">
      <c r="A2278" s="3"/>
      <c r="D2278" s="3"/>
    </row>
    <row r="2279" spans="1:4">
      <c r="A2279" s="3"/>
      <c r="D2279" s="3"/>
    </row>
    <row r="2280" spans="1:4">
      <c r="A2280" s="3"/>
      <c r="D2280" s="3"/>
    </row>
    <row r="2281" spans="1:4">
      <c r="A2281" s="3"/>
      <c r="D2281" s="3"/>
    </row>
    <row r="2282" spans="1:4">
      <c r="A2282" s="3"/>
      <c r="D2282" s="3"/>
    </row>
    <row r="2283" spans="1:4">
      <c r="A2283" s="3"/>
      <c r="D2283" s="3"/>
    </row>
    <row r="2284" spans="1:4">
      <c r="A2284" s="3"/>
      <c r="D2284" s="3"/>
    </row>
    <row r="2285" spans="1:4">
      <c r="A2285" s="3"/>
      <c r="D2285" s="3"/>
    </row>
    <row r="2286" spans="1:4">
      <c r="A2286" s="3"/>
      <c r="D2286" s="3"/>
    </row>
    <row r="2287" spans="1:4">
      <c r="A2287" s="3"/>
      <c r="D2287" s="3"/>
    </row>
    <row r="2288" spans="1:4">
      <c r="A2288" s="3"/>
      <c r="D2288" s="3"/>
    </row>
    <row r="2289" spans="1:4">
      <c r="A2289" s="3"/>
      <c r="D2289" s="3"/>
    </row>
    <row r="2290" spans="1:4">
      <c r="A2290" s="3"/>
      <c r="D2290" s="3"/>
    </row>
    <row r="2291" spans="1:4">
      <c r="A2291" s="3"/>
      <c r="D2291" s="3"/>
    </row>
    <row r="2292" spans="1:4">
      <c r="A2292" s="3"/>
      <c r="D2292" s="3"/>
    </row>
    <row r="2293" spans="1:4">
      <c r="A2293" s="3"/>
      <c r="D2293" s="3"/>
    </row>
    <row r="2294" spans="1:4">
      <c r="A2294" s="3"/>
      <c r="D2294" s="3"/>
    </row>
    <row r="2295" spans="1:4">
      <c r="A2295" s="3"/>
      <c r="D2295" s="3"/>
    </row>
    <row r="2296" spans="1:4">
      <c r="A2296" s="3"/>
      <c r="D2296" s="3"/>
    </row>
    <row r="2297" spans="1:4">
      <c r="A2297" s="3"/>
      <c r="D2297" s="3"/>
    </row>
    <row r="2298" spans="1:4">
      <c r="A2298" s="3"/>
      <c r="D2298" s="3"/>
    </row>
    <row r="2299" spans="1:4">
      <c r="A2299" s="3"/>
      <c r="D2299" s="3"/>
    </row>
    <row r="2300" spans="1:4">
      <c r="A2300" s="3"/>
      <c r="D2300" s="3"/>
    </row>
    <row r="2301" spans="1:4">
      <c r="A2301" s="3"/>
      <c r="D2301" s="3"/>
    </row>
    <row r="2302" spans="1:4">
      <c r="A2302" s="3"/>
      <c r="D2302" s="3"/>
    </row>
    <row r="2303" spans="1:4">
      <c r="A2303" s="3"/>
      <c r="D2303" s="3"/>
    </row>
    <row r="2304" spans="1:4">
      <c r="A2304" s="3"/>
      <c r="D2304" s="3"/>
    </row>
    <row r="2305" spans="1:4">
      <c r="A2305" s="3"/>
      <c r="D2305" s="3"/>
    </row>
    <row r="2306" spans="1:4">
      <c r="A2306" s="3"/>
      <c r="D2306" s="3"/>
    </row>
    <row r="2307" spans="1:4">
      <c r="A2307" s="3"/>
      <c r="D2307" s="3"/>
    </row>
    <row r="2308" spans="1:4">
      <c r="A2308" s="3"/>
      <c r="D2308" s="3"/>
    </row>
    <row r="2309" spans="1:4">
      <c r="A2309" s="3"/>
      <c r="D2309" s="3"/>
    </row>
    <row r="2310" spans="1:4">
      <c r="A2310" s="3"/>
      <c r="D2310" s="3"/>
    </row>
    <row r="2311" spans="1:4">
      <c r="A2311" s="3"/>
      <c r="D2311" s="3"/>
    </row>
    <row r="2312" spans="1:4">
      <c r="A2312" s="3"/>
      <c r="D2312" s="3"/>
    </row>
    <row r="2313" spans="1:4">
      <c r="A2313" s="3"/>
      <c r="D2313" s="3"/>
    </row>
    <row r="2314" spans="1:4">
      <c r="A2314" s="3"/>
      <c r="D2314" s="3"/>
    </row>
    <row r="2315" spans="1:4">
      <c r="A2315" s="3"/>
      <c r="D2315" s="3"/>
    </row>
    <row r="2316" spans="1:4">
      <c r="A2316" s="3"/>
      <c r="D2316" s="3"/>
    </row>
    <row r="2317" spans="1:4">
      <c r="A2317" s="3"/>
      <c r="D2317" s="3"/>
    </row>
    <row r="2318" spans="1:4">
      <c r="A2318" s="3"/>
      <c r="D2318" s="3"/>
    </row>
    <row r="2319" spans="1:4">
      <c r="A2319" s="3"/>
      <c r="D2319" s="3"/>
    </row>
    <row r="2320" spans="1:4">
      <c r="A2320" s="3"/>
      <c r="D2320" s="3"/>
    </row>
    <row r="2321" spans="1:4">
      <c r="A2321" s="3"/>
      <c r="D2321" s="3"/>
    </row>
    <row r="2322" spans="1:4">
      <c r="A2322" s="3"/>
      <c r="D2322" s="3"/>
    </row>
    <row r="2323" spans="1:4">
      <c r="A2323" s="3"/>
      <c r="D2323" s="3"/>
    </row>
    <row r="2324" spans="1:4">
      <c r="A2324" s="3"/>
      <c r="D2324" s="3"/>
    </row>
    <row r="2325" spans="1:4">
      <c r="A2325" s="3"/>
      <c r="D2325" s="3"/>
    </row>
    <row r="2326" spans="1:4">
      <c r="A2326" s="3"/>
      <c r="D2326" s="3"/>
    </row>
    <row r="2327" spans="1:4">
      <c r="A2327" s="3"/>
      <c r="D2327" s="3"/>
    </row>
    <row r="2328" spans="1:4">
      <c r="A2328" s="3"/>
      <c r="D2328" s="3"/>
    </row>
    <row r="2329" spans="1:4">
      <c r="A2329" s="3"/>
      <c r="D2329" s="3"/>
    </row>
    <row r="2330" spans="1:4">
      <c r="A2330" s="3"/>
      <c r="D2330" s="3"/>
    </row>
    <row r="2331" spans="1:4">
      <c r="A2331" s="3"/>
      <c r="D2331" s="3"/>
    </row>
    <row r="2332" spans="1:4">
      <c r="A2332" s="3"/>
      <c r="D2332" s="3"/>
    </row>
    <row r="2333" spans="1:4">
      <c r="A2333" s="3"/>
      <c r="D2333" s="3"/>
    </row>
    <row r="2334" spans="1:4">
      <c r="A2334" s="3"/>
      <c r="D2334" s="3"/>
    </row>
    <row r="2335" spans="1:4">
      <c r="A2335" s="3"/>
      <c r="D2335" s="3"/>
    </row>
    <row r="2336" spans="1:4">
      <c r="A2336" s="3"/>
      <c r="D2336" s="3"/>
    </row>
    <row r="2337" spans="1:4">
      <c r="A2337" s="3"/>
      <c r="D2337" s="3"/>
    </row>
    <row r="2338" spans="1:4">
      <c r="A2338" s="3"/>
      <c r="D2338" s="3"/>
    </row>
    <row r="2339" spans="1:4">
      <c r="A2339" s="3"/>
      <c r="D2339" s="3"/>
    </row>
    <row r="2340" spans="1:4">
      <c r="A2340" s="3"/>
      <c r="D2340" s="3"/>
    </row>
    <row r="2341" spans="1:4">
      <c r="A2341" s="3"/>
      <c r="D2341" s="3"/>
    </row>
    <row r="2342" spans="1:4">
      <c r="A2342" s="3"/>
      <c r="D2342" s="3"/>
    </row>
    <row r="2343" spans="1:4">
      <c r="A2343" s="3"/>
      <c r="D2343" s="3"/>
    </row>
    <row r="2344" spans="1:4">
      <c r="A2344" s="3"/>
      <c r="D2344" s="3"/>
    </row>
    <row r="2345" spans="1:4">
      <c r="A2345" s="3"/>
      <c r="D2345" s="3"/>
    </row>
    <row r="2346" spans="1:4">
      <c r="A2346" s="3"/>
      <c r="D2346" s="3"/>
    </row>
    <row r="2347" spans="1:4">
      <c r="A2347" s="3"/>
      <c r="D2347" s="3"/>
    </row>
    <row r="2348" spans="1:4">
      <c r="A2348" s="3"/>
      <c r="D2348" s="3"/>
    </row>
    <row r="2349" spans="1:4">
      <c r="A2349" s="3"/>
      <c r="D2349" s="3"/>
    </row>
    <row r="2350" spans="1:4">
      <c r="A2350" s="3"/>
      <c r="D2350" s="3"/>
    </row>
    <row r="2351" spans="1:4">
      <c r="A2351" s="3"/>
      <c r="D2351" s="3"/>
    </row>
    <row r="2352" spans="1:4">
      <c r="A2352" s="3"/>
      <c r="D2352" s="3"/>
    </row>
    <row r="2353" spans="1:4">
      <c r="A2353" s="3"/>
      <c r="D2353" s="3"/>
    </row>
    <row r="2354" spans="1:4">
      <c r="A2354" s="3"/>
      <c r="D2354" s="3"/>
    </row>
    <row r="2355" spans="1:4">
      <c r="A2355" s="3"/>
      <c r="D2355" s="3"/>
    </row>
    <row r="2356" spans="1:4">
      <c r="A2356" s="3"/>
      <c r="D2356" s="3"/>
    </row>
    <row r="2357" spans="1:4">
      <c r="A2357" s="3"/>
      <c r="D2357" s="3"/>
    </row>
    <row r="2358" spans="1:4">
      <c r="A2358" s="3"/>
      <c r="D2358" s="3"/>
    </row>
    <row r="2359" spans="1:4">
      <c r="A2359" s="3"/>
      <c r="D2359" s="3"/>
    </row>
    <row r="2360" spans="1:4">
      <c r="A2360" s="3"/>
      <c r="D2360" s="3"/>
    </row>
    <row r="2361" spans="1:4">
      <c r="A2361" s="3"/>
      <c r="D2361" s="3"/>
    </row>
    <row r="2362" spans="1:4">
      <c r="A2362" s="3"/>
      <c r="D2362" s="3"/>
    </row>
    <row r="2363" spans="1:4">
      <c r="A2363" s="3"/>
      <c r="D2363" s="3"/>
    </row>
    <row r="2364" spans="1:4">
      <c r="A2364" s="3"/>
      <c r="D2364" s="3"/>
    </row>
    <row r="2365" spans="1:4">
      <c r="A2365" s="3"/>
      <c r="D2365" s="3"/>
    </row>
    <row r="2366" spans="1:4">
      <c r="A2366" s="3"/>
      <c r="D2366" s="3"/>
    </row>
    <row r="2367" spans="1:4">
      <c r="A2367" s="3"/>
      <c r="D2367" s="3"/>
    </row>
    <row r="2368" spans="1:4">
      <c r="A2368" s="3"/>
      <c r="D2368" s="3"/>
    </row>
    <row r="2369" spans="1:4">
      <c r="A2369" s="3"/>
      <c r="D2369" s="3"/>
    </row>
    <row r="2370" spans="1:4">
      <c r="A2370" s="3"/>
      <c r="D2370" s="3"/>
    </row>
    <row r="2371" spans="1:4">
      <c r="A2371" s="3"/>
      <c r="D2371" s="3"/>
    </row>
    <row r="2372" spans="1:4">
      <c r="A2372" s="3"/>
      <c r="D2372" s="3"/>
    </row>
    <row r="2373" spans="1:4">
      <c r="A2373" s="3"/>
      <c r="D2373" s="3"/>
    </row>
    <row r="2374" spans="1:4">
      <c r="A2374" s="3"/>
      <c r="D2374" s="3"/>
    </row>
    <row r="2375" spans="1:4">
      <c r="A2375" s="3"/>
      <c r="D2375" s="3"/>
    </row>
    <row r="2376" spans="1:4">
      <c r="A2376" s="3"/>
      <c r="D2376" s="3"/>
    </row>
    <row r="2377" spans="1:4">
      <c r="A2377" s="3"/>
      <c r="D2377" s="3"/>
    </row>
    <row r="2378" spans="1:4">
      <c r="A2378" s="3"/>
      <c r="D2378" s="3"/>
    </row>
    <row r="2379" spans="1:4">
      <c r="A2379" s="3"/>
      <c r="D2379" s="3"/>
    </row>
    <row r="2380" spans="1:4">
      <c r="A2380" s="3"/>
      <c r="D2380" s="3"/>
    </row>
    <row r="2381" spans="1:4">
      <c r="A2381" s="3"/>
      <c r="D2381" s="3"/>
    </row>
    <row r="2382" spans="1:4">
      <c r="A2382" s="3"/>
      <c r="D2382" s="3"/>
    </row>
    <row r="2383" spans="1:4">
      <c r="A2383" s="3"/>
      <c r="D2383" s="3"/>
    </row>
    <row r="2384" spans="1:4">
      <c r="A2384" s="3"/>
      <c r="D2384" s="3"/>
    </row>
    <row r="2385" spans="1:4">
      <c r="A2385" s="3"/>
      <c r="D2385" s="3"/>
    </row>
    <row r="2386" spans="1:4">
      <c r="A2386" s="3"/>
      <c r="D2386" s="3"/>
    </row>
    <row r="2387" spans="1:4">
      <c r="A2387" s="3"/>
      <c r="D2387" s="3"/>
    </row>
    <row r="2388" spans="1:4">
      <c r="A2388" s="3"/>
      <c r="D2388" s="3"/>
    </row>
    <row r="2389" spans="1:4">
      <c r="A2389" s="3"/>
      <c r="D2389" s="3"/>
    </row>
    <row r="2390" spans="1:4">
      <c r="A2390" s="3"/>
      <c r="D2390" s="3"/>
    </row>
    <row r="2391" spans="1:4">
      <c r="A2391" s="3"/>
      <c r="D2391" s="3"/>
    </row>
    <row r="2392" spans="1:4">
      <c r="A2392" s="3"/>
      <c r="D2392" s="3"/>
    </row>
    <row r="2393" spans="1:4">
      <c r="A2393" s="3"/>
      <c r="D2393" s="3"/>
    </row>
    <row r="2394" spans="1:4">
      <c r="A2394" s="3"/>
      <c r="D2394" s="3"/>
    </row>
    <row r="2395" spans="1:4">
      <c r="A2395" s="3"/>
      <c r="D2395" s="3"/>
    </row>
    <row r="2396" spans="1:4">
      <c r="A2396" s="3"/>
      <c r="D2396" s="3"/>
    </row>
    <row r="2397" spans="1:4">
      <c r="A2397" s="3"/>
      <c r="D2397" s="3"/>
    </row>
    <row r="2398" spans="1:4">
      <c r="A2398" s="3"/>
      <c r="D2398" s="3"/>
    </row>
    <row r="2399" spans="1:4">
      <c r="A2399" s="3"/>
      <c r="D2399" s="3"/>
    </row>
    <row r="2400" spans="1:4">
      <c r="A2400" s="3"/>
      <c r="D2400" s="3"/>
    </row>
    <row r="2401" spans="1:4">
      <c r="A2401" s="3"/>
      <c r="D2401" s="3"/>
    </row>
    <row r="2402" spans="1:4">
      <c r="A2402" s="3"/>
      <c r="D2402" s="3"/>
    </row>
    <row r="2403" spans="1:4">
      <c r="A2403" s="3"/>
      <c r="D2403" s="3"/>
    </row>
    <row r="2404" spans="1:4">
      <c r="A2404" s="3"/>
      <c r="D2404" s="3"/>
    </row>
    <row r="2405" spans="1:4">
      <c r="A2405" s="3"/>
      <c r="D2405" s="3"/>
    </row>
    <row r="2406" spans="1:4">
      <c r="A2406" s="3"/>
      <c r="D2406" s="3"/>
    </row>
    <row r="2407" spans="1:4">
      <c r="A2407" s="3"/>
      <c r="D2407" s="3"/>
    </row>
    <row r="2408" spans="1:4">
      <c r="A2408" s="3"/>
      <c r="D2408" s="3"/>
    </row>
    <row r="2409" spans="1:4">
      <c r="A2409" s="3"/>
      <c r="D2409" s="3"/>
    </row>
    <row r="2410" spans="1:4">
      <c r="A2410" s="3"/>
      <c r="D2410" s="3"/>
    </row>
    <row r="2411" spans="1:4">
      <c r="A2411" s="3"/>
      <c r="D2411" s="3"/>
    </row>
    <row r="2412" spans="1:4">
      <c r="A2412" s="3"/>
      <c r="D2412" s="3"/>
    </row>
    <row r="2413" spans="1:4">
      <c r="A2413" s="3"/>
      <c r="D2413" s="3"/>
    </row>
    <row r="2414" spans="1:4">
      <c r="A2414" s="3"/>
      <c r="D2414" s="3"/>
    </row>
    <row r="2415" spans="1:4">
      <c r="A2415" s="3"/>
      <c r="D2415" s="3"/>
    </row>
    <row r="2416" spans="1:4">
      <c r="A2416" s="3"/>
      <c r="D2416" s="3"/>
    </row>
    <row r="2417" spans="1:4">
      <c r="A2417" s="3"/>
      <c r="D2417" s="3"/>
    </row>
    <row r="2418" spans="1:4">
      <c r="A2418" s="3"/>
      <c r="D2418" s="3"/>
    </row>
    <row r="2419" spans="1:4">
      <c r="A2419" s="3"/>
      <c r="D2419" s="3"/>
    </row>
    <row r="2420" spans="1:4">
      <c r="A2420" s="3"/>
      <c r="D2420" s="3"/>
    </row>
    <row r="2421" spans="1:4">
      <c r="A2421" s="3"/>
      <c r="D2421" s="3"/>
    </row>
    <row r="2422" spans="1:4">
      <c r="A2422" s="3"/>
      <c r="D2422" s="3"/>
    </row>
    <row r="2423" spans="1:4">
      <c r="A2423" s="3"/>
      <c r="D2423" s="3"/>
    </row>
    <row r="2424" spans="1:4">
      <c r="A2424" s="3"/>
      <c r="D2424" s="3"/>
    </row>
    <row r="2425" spans="1:4">
      <c r="A2425" s="3"/>
      <c r="D2425" s="3"/>
    </row>
    <row r="2426" spans="1:4">
      <c r="A2426" s="3"/>
      <c r="D2426" s="3"/>
    </row>
    <row r="2427" spans="1:4">
      <c r="A2427" s="3"/>
      <c r="D2427" s="3"/>
    </row>
    <row r="2428" spans="1:4">
      <c r="A2428" s="3"/>
      <c r="D2428" s="3"/>
    </row>
    <row r="2429" spans="1:4">
      <c r="A2429" s="3"/>
      <c r="D2429" s="3"/>
    </row>
    <row r="2430" spans="1:4">
      <c r="A2430" s="3"/>
      <c r="D2430" s="3"/>
    </row>
    <row r="2431" spans="1:4">
      <c r="A2431" s="3"/>
      <c r="D2431" s="3"/>
    </row>
    <row r="2432" spans="1:4">
      <c r="A2432" s="3"/>
      <c r="D2432" s="3"/>
    </row>
    <row r="2433" spans="1:4">
      <c r="A2433" s="3"/>
      <c r="D2433" s="3"/>
    </row>
    <row r="2434" spans="1:4">
      <c r="A2434" s="3"/>
      <c r="D2434" s="3"/>
    </row>
    <row r="2435" spans="1:4">
      <c r="A2435" s="3"/>
      <c r="D2435" s="3"/>
    </row>
    <row r="2436" spans="1:4">
      <c r="A2436" s="3"/>
      <c r="D2436" s="3"/>
    </row>
    <row r="2437" spans="1:4">
      <c r="A2437" s="3"/>
      <c r="D2437" s="3"/>
    </row>
    <row r="2438" spans="1:4">
      <c r="A2438" s="3"/>
      <c r="D2438" s="3"/>
    </row>
    <row r="2439" spans="1:4">
      <c r="A2439" s="3"/>
      <c r="D2439" s="3"/>
    </row>
    <row r="2440" spans="1:4">
      <c r="A2440" s="3"/>
      <c r="D2440" s="3"/>
    </row>
    <row r="2441" spans="1:4">
      <c r="A2441" s="3"/>
      <c r="D2441" s="3"/>
    </row>
    <row r="2442" spans="1:4">
      <c r="A2442" s="3"/>
      <c r="D2442" s="3"/>
    </row>
    <row r="2443" spans="1:4">
      <c r="A2443" s="3"/>
      <c r="D2443" s="3"/>
    </row>
    <row r="2444" spans="1:4">
      <c r="A2444" s="3"/>
      <c r="D2444" s="3"/>
    </row>
    <row r="2445" spans="1:4">
      <c r="A2445" s="3"/>
      <c r="D2445" s="3"/>
    </row>
    <row r="2446" spans="1:4">
      <c r="A2446" s="3"/>
      <c r="D2446" s="3"/>
    </row>
    <row r="2447" spans="1:4">
      <c r="A2447" s="3"/>
      <c r="D2447" s="3"/>
    </row>
    <row r="2448" spans="1:4">
      <c r="A2448" s="3"/>
      <c r="D2448" s="3"/>
    </row>
    <row r="2449" spans="1:4">
      <c r="A2449" s="3"/>
      <c r="D2449" s="3"/>
    </row>
    <row r="2450" spans="1:4">
      <c r="A2450" s="3"/>
      <c r="D2450" s="3"/>
    </row>
    <row r="2451" spans="1:4">
      <c r="A2451" s="3"/>
      <c r="D2451" s="3"/>
    </row>
    <row r="2452" spans="1:4">
      <c r="A2452" s="3"/>
      <c r="D2452" s="3"/>
    </row>
    <row r="2453" spans="1:4">
      <c r="A2453" s="3"/>
      <c r="D2453" s="3"/>
    </row>
    <row r="2454" spans="1:4">
      <c r="A2454" s="3"/>
      <c r="D2454" s="3"/>
    </row>
    <row r="2455" spans="1:4">
      <c r="A2455" s="3"/>
      <c r="D2455" s="3"/>
    </row>
    <row r="2456" spans="1:4">
      <c r="A2456" s="3"/>
      <c r="D2456" s="3"/>
    </row>
    <row r="2457" spans="1:4">
      <c r="A2457" s="3"/>
      <c r="D2457" s="3"/>
    </row>
    <row r="2458" spans="1:4">
      <c r="A2458" s="3"/>
      <c r="D2458" s="3"/>
    </row>
    <row r="2459" spans="1:4">
      <c r="A2459" s="3"/>
      <c r="D2459" s="3"/>
    </row>
    <row r="2460" spans="1:4">
      <c r="A2460" s="3"/>
      <c r="D2460" s="3"/>
    </row>
    <row r="2461" spans="1:4">
      <c r="A2461" s="3"/>
      <c r="D2461" s="3"/>
    </row>
    <row r="2462" spans="1:4">
      <c r="A2462" s="3"/>
      <c r="D2462" s="3"/>
    </row>
    <row r="2463" spans="1:4">
      <c r="A2463" s="3"/>
      <c r="D2463" s="3"/>
    </row>
    <row r="2464" spans="1:4">
      <c r="A2464" s="3"/>
      <c r="D2464" s="3"/>
    </row>
    <row r="2465" spans="1:4">
      <c r="A2465" s="3"/>
      <c r="D2465" s="3"/>
    </row>
    <row r="2466" spans="1:4">
      <c r="A2466" s="3"/>
      <c r="D2466" s="3"/>
    </row>
    <row r="2467" spans="1:4">
      <c r="A2467" s="3"/>
      <c r="D2467" s="3"/>
    </row>
    <row r="2468" spans="1:4">
      <c r="A2468" s="3"/>
      <c r="D2468" s="3"/>
    </row>
    <row r="2469" spans="1:4">
      <c r="A2469" s="3"/>
      <c r="D2469" s="3"/>
    </row>
    <row r="2470" spans="1:4">
      <c r="A2470" s="3"/>
      <c r="D2470" s="3"/>
    </row>
    <row r="2471" spans="1:4">
      <c r="A2471" s="3"/>
      <c r="D2471" s="3"/>
    </row>
    <row r="2472" spans="1:4">
      <c r="A2472" s="3"/>
      <c r="D2472" s="3"/>
    </row>
    <row r="2473" spans="1:4">
      <c r="A2473" s="3"/>
      <c r="D2473" s="3"/>
    </row>
    <row r="2474" spans="1:4">
      <c r="A2474" s="3"/>
      <c r="D2474" s="3"/>
    </row>
    <row r="2475" spans="1:4">
      <c r="A2475" s="3"/>
      <c r="D2475" s="3"/>
    </row>
    <row r="2476" spans="1:4">
      <c r="A2476" s="3"/>
      <c r="D2476" s="3"/>
    </row>
    <row r="2477" spans="1:4">
      <c r="A2477" s="3"/>
      <c r="D2477" s="3"/>
    </row>
    <row r="2478" spans="1:4">
      <c r="A2478" s="3"/>
      <c r="D2478" s="3"/>
    </row>
    <row r="2479" spans="1:4">
      <c r="A2479" s="3"/>
      <c r="D2479" s="3"/>
    </row>
    <row r="2480" spans="1:4">
      <c r="A2480" s="3"/>
      <c r="D2480" s="3"/>
    </row>
    <row r="2481" spans="1:4">
      <c r="A2481" s="3"/>
      <c r="D2481" s="3"/>
    </row>
    <row r="2482" spans="1:4">
      <c r="A2482" s="3"/>
      <c r="D2482" s="3"/>
    </row>
    <row r="2483" spans="1:4">
      <c r="A2483" s="3"/>
      <c r="D2483" s="3"/>
    </row>
    <row r="2484" spans="1:4">
      <c r="A2484" s="3"/>
      <c r="D2484" s="3"/>
    </row>
    <row r="2485" spans="1:4">
      <c r="A2485" s="3"/>
      <c r="D2485" s="3"/>
    </row>
    <row r="2486" spans="1:4">
      <c r="A2486" s="3"/>
      <c r="D2486" s="3"/>
    </row>
    <row r="2487" spans="1:4">
      <c r="A2487" s="3"/>
      <c r="D2487" s="3"/>
    </row>
    <row r="2488" spans="1:4">
      <c r="A2488" s="3"/>
      <c r="D2488" s="3"/>
    </row>
    <row r="2489" spans="1:4">
      <c r="A2489" s="3"/>
      <c r="D2489" s="3"/>
    </row>
    <row r="2490" spans="1:4">
      <c r="A2490" s="3"/>
      <c r="D2490" s="3"/>
    </row>
    <row r="2491" spans="1:4">
      <c r="A2491" s="3"/>
      <c r="D2491" s="3"/>
    </row>
    <row r="2492" spans="1:4">
      <c r="A2492" s="3"/>
      <c r="D2492" s="3"/>
    </row>
    <row r="2493" spans="1:4">
      <c r="A2493" s="3"/>
      <c r="D2493" s="3"/>
    </row>
    <row r="2494" spans="1:4">
      <c r="A2494" s="3"/>
      <c r="D2494" s="3"/>
    </row>
    <row r="2495" spans="1:4">
      <c r="A2495" s="3"/>
      <c r="D2495" s="3"/>
    </row>
    <row r="2496" spans="1:4">
      <c r="A2496" s="3"/>
      <c r="D2496" s="3"/>
    </row>
    <row r="2497" spans="1:4">
      <c r="A2497" s="3"/>
      <c r="D2497" s="3"/>
    </row>
    <row r="2498" spans="1:4">
      <c r="A2498" s="3"/>
      <c r="D2498" s="3"/>
    </row>
    <row r="2499" spans="1:4">
      <c r="A2499" s="3"/>
      <c r="D2499" s="3"/>
    </row>
    <row r="2500" spans="1:4">
      <c r="A2500" s="3"/>
      <c r="D2500" s="3"/>
    </row>
    <row r="2501" spans="1:4">
      <c r="A2501" s="3"/>
      <c r="D2501" s="3"/>
    </row>
    <row r="2502" spans="1:4">
      <c r="A2502" s="3"/>
      <c r="D2502" s="3"/>
    </row>
    <row r="2503" spans="1:4">
      <c r="A2503" s="3"/>
      <c r="D2503" s="3"/>
    </row>
    <row r="2504" spans="1:4">
      <c r="A2504" s="3"/>
      <c r="D2504" s="3"/>
    </row>
    <row r="2505" spans="1:4">
      <c r="A2505" s="3"/>
      <c r="D2505" s="3"/>
    </row>
    <row r="2506" spans="1:4">
      <c r="A2506" s="3"/>
      <c r="D2506" s="3"/>
    </row>
    <row r="2507" spans="1:4">
      <c r="A2507" s="3"/>
      <c r="D2507" s="3"/>
    </row>
    <row r="2508" spans="1:4">
      <c r="A2508" s="3"/>
      <c r="D2508" s="3"/>
    </row>
    <row r="2509" spans="1:4">
      <c r="A2509" s="3"/>
      <c r="D2509" s="3"/>
    </row>
    <row r="2510" spans="1:4">
      <c r="A2510" s="3"/>
      <c r="D2510" s="3"/>
    </row>
    <row r="2511" spans="1:4">
      <c r="A2511" s="3"/>
      <c r="D2511" s="3"/>
    </row>
    <row r="2512" spans="1:4">
      <c r="A2512" s="3"/>
      <c r="D2512" s="3"/>
    </row>
    <row r="2513" spans="1:4">
      <c r="A2513" s="3"/>
      <c r="D2513" s="3"/>
    </row>
    <row r="2514" spans="1:4">
      <c r="A2514" s="3"/>
      <c r="D2514" s="3"/>
    </row>
    <row r="2515" spans="1:4">
      <c r="A2515" s="3"/>
      <c r="D2515" s="3"/>
    </row>
    <row r="2516" spans="1:4">
      <c r="A2516" s="3"/>
      <c r="D2516" s="3"/>
    </row>
    <row r="2517" spans="1:4">
      <c r="A2517" s="3"/>
      <c r="D2517" s="3"/>
    </row>
    <row r="2518" spans="1:4">
      <c r="A2518" s="3"/>
      <c r="D2518" s="3"/>
    </row>
    <row r="2519" spans="1:4">
      <c r="A2519" s="3"/>
      <c r="D2519" s="3"/>
    </row>
    <row r="2520" spans="1:4">
      <c r="A2520" s="3"/>
      <c r="D2520" s="3"/>
    </row>
    <row r="2521" spans="1:4">
      <c r="A2521" s="3"/>
      <c r="D2521" s="3"/>
    </row>
    <row r="2522" spans="1:4">
      <c r="A2522" s="3"/>
      <c r="D2522" s="3"/>
    </row>
    <row r="2523" spans="1:4">
      <c r="A2523" s="3"/>
      <c r="D2523" s="3"/>
    </row>
    <row r="2524" spans="1:4">
      <c r="A2524" s="3"/>
      <c r="D2524" s="3"/>
    </row>
    <row r="2525" spans="1:4">
      <c r="A2525" s="3"/>
      <c r="D2525" s="3"/>
    </row>
    <row r="2526" spans="1:4">
      <c r="A2526" s="3"/>
      <c r="D2526" s="3"/>
    </row>
    <row r="2527" spans="1:4">
      <c r="A2527" s="3"/>
      <c r="D2527" s="3"/>
    </row>
    <row r="2528" spans="1:4">
      <c r="A2528" s="3"/>
      <c r="D2528" s="3"/>
    </row>
    <row r="2529" spans="1:4">
      <c r="A2529" s="3"/>
      <c r="D2529" s="3"/>
    </row>
    <row r="2530" spans="1:4">
      <c r="A2530" s="3"/>
      <c r="D2530" s="3"/>
    </row>
    <row r="2531" spans="1:4">
      <c r="A2531" s="3"/>
      <c r="D2531" s="3"/>
    </row>
    <row r="2532" spans="1:4">
      <c r="A2532" s="3"/>
      <c r="D2532" s="3"/>
    </row>
    <row r="2533" spans="1:4">
      <c r="A2533" s="3"/>
      <c r="D2533" s="3"/>
    </row>
    <row r="2534" spans="1:4">
      <c r="A2534" s="3"/>
      <c r="D2534" s="3"/>
    </row>
    <row r="2535" spans="1:4">
      <c r="A2535" s="3"/>
      <c r="D2535" s="3"/>
    </row>
    <row r="2536" spans="1:4">
      <c r="A2536" s="3"/>
      <c r="D2536" s="3"/>
    </row>
    <row r="2537" spans="1:4">
      <c r="A2537" s="3"/>
      <c r="D2537" s="3"/>
    </row>
    <row r="2538" spans="1:4">
      <c r="A2538" s="3"/>
      <c r="D2538" s="3"/>
    </row>
    <row r="2539" spans="1:4">
      <c r="A2539" s="3"/>
      <c r="D2539" s="3"/>
    </row>
    <row r="2540" spans="1:4">
      <c r="A2540" s="3"/>
      <c r="D2540" s="3"/>
    </row>
    <row r="2541" spans="1:4">
      <c r="A2541" s="3"/>
      <c r="D2541" s="3"/>
    </row>
    <row r="2542" spans="1:4">
      <c r="A2542" s="3"/>
      <c r="D2542" s="3"/>
    </row>
    <row r="2543" spans="1:4">
      <c r="A2543" s="3"/>
      <c r="D2543" s="3"/>
    </row>
    <row r="2544" spans="1:4">
      <c r="A2544" s="3"/>
      <c r="D2544" s="3"/>
    </row>
    <row r="2545" spans="1:4">
      <c r="A2545" s="3"/>
      <c r="D2545" s="3"/>
    </row>
    <row r="2546" spans="1:4">
      <c r="A2546" s="3"/>
      <c r="D2546" s="3"/>
    </row>
    <row r="2547" spans="1:4">
      <c r="A2547" s="3"/>
      <c r="D2547" s="3"/>
    </row>
    <row r="2548" spans="1:4">
      <c r="A2548" s="3"/>
      <c r="D2548" s="3"/>
    </row>
    <row r="2549" spans="1:4">
      <c r="A2549" s="3"/>
      <c r="D2549" s="3"/>
    </row>
    <row r="2550" spans="1:4">
      <c r="A2550" s="3"/>
      <c r="D2550" s="3"/>
    </row>
    <row r="2551" spans="1:4">
      <c r="A2551" s="3"/>
      <c r="D2551" s="3"/>
    </row>
    <row r="2552" spans="1:4">
      <c r="A2552" s="3"/>
      <c r="D2552" s="3"/>
    </row>
    <row r="2553" spans="1:4">
      <c r="A2553" s="3"/>
      <c r="D2553" s="3"/>
    </row>
    <row r="2554" spans="1:4">
      <c r="A2554" s="3"/>
      <c r="D2554" s="3"/>
    </row>
    <row r="2555" spans="1:4">
      <c r="A2555" s="3"/>
      <c r="D2555" s="3"/>
    </row>
    <row r="2556" spans="1:4">
      <c r="A2556" s="3"/>
      <c r="D2556" s="3"/>
    </row>
    <row r="2557" spans="1:4">
      <c r="A2557" s="3"/>
      <c r="D2557" s="3"/>
    </row>
    <row r="2558" spans="1:4">
      <c r="A2558" s="3"/>
      <c r="D2558" s="3"/>
    </row>
    <row r="2559" spans="1:4">
      <c r="A2559" s="3"/>
      <c r="D2559" s="3"/>
    </row>
    <row r="2560" spans="1:4">
      <c r="A2560" s="3"/>
      <c r="D2560" s="3"/>
    </row>
    <row r="2561" spans="1:4">
      <c r="A2561" s="3"/>
      <c r="D2561" s="3"/>
    </row>
    <row r="2562" spans="1:4">
      <c r="A2562" s="3"/>
      <c r="D2562" s="3"/>
    </row>
    <row r="2563" spans="1:4">
      <c r="A2563" s="3"/>
      <c r="D2563" s="3"/>
    </row>
    <row r="2564" spans="1:4">
      <c r="A2564" s="3"/>
      <c r="D2564" s="3"/>
    </row>
    <row r="2565" spans="1:4">
      <c r="A2565" s="3"/>
      <c r="D2565" s="3"/>
    </row>
    <row r="2566" spans="1:4">
      <c r="A2566" s="3"/>
      <c r="D2566" s="3"/>
    </row>
    <row r="2567" spans="1:4">
      <c r="A2567" s="3"/>
      <c r="D2567" s="3"/>
    </row>
    <row r="2568" spans="1:4">
      <c r="A2568" s="3"/>
      <c r="D2568" s="3"/>
    </row>
    <row r="2569" spans="1:4">
      <c r="A2569" s="3"/>
      <c r="D2569" s="3"/>
    </row>
    <row r="2570" spans="1:4">
      <c r="A2570" s="3"/>
      <c r="D2570" s="3"/>
    </row>
    <row r="2571" spans="1:4">
      <c r="A2571" s="3"/>
      <c r="D2571" s="3"/>
    </row>
    <row r="2572" spans="1:4">
      <c r="A2572" s="3"/>
      <c r="D2572" s="3"/>
    </row>
    <row r="2573" spans="1:4">
      <c r="A2573" s="3"/>
      <c r="D2573" s="3"/>
    </row>
    <row r="2574" spans="1:4">
      <c r="A2574" s="3"/>
      <c r="D2574" s="3"/>
    </row>
    <row r="2575" spans="1:4">
      <c r="A2575" s="3"/>
      <c r="D2575" s="3"/>
    </row>
    <row r="2576" spans="1:4">
      <c r="A2576" s="3"/>
      <c r="D2576" s="3"/>
    </row>
    <row r="2577" spans="1:4">
      <c r="A2577" s="3"/>
      <c r="D2577" s="3"/>
    </row>
    <row r="2578" spans="1:4">
      <c r="A2578" s="3"/>
      <c r="D2578" s="3"/>
    </row>
    <row r="2579" spans="1:4">
      <c r="A2579" s="3"/>
      <c r="D2579" s="3"/>
    </row>
    <row r="2580" spans="1:4">
      <c r="A2580" s="3"/>
      <c r="D2580" s="3"/>
    </row>
    <row r="2581" spans="1:4">
      <c r="A2581" s="3"/>
      <c r="D2581" s="3"/>
    </row>
    <row r="2582" spans="1:4">
      <c r="A2582" s="3"/>
      <c r="D2582" s="3"/>
    </row>
    <row r="2583" spans="1:4">
      <c r="A2583" s="3"/>
      <c r="D2583" s="3"/>
    </row>
    <row r="2584" spans="1:4">
      <c r="A2584" s="3"/>
      <c r="D2584" s="3"/>
    </row>
    <row r="2585" spans="1:4">
      <c r="A2585" s="3"/>
      <c r="D2585" s="3"/>
    </row>
    <row r="2586" spans="1:4">
      <c r="A2586" s="3"/>
      <c r="D2586" s="3"/>
    </row>
    <row r="2587" spans="1:4">
      <c r="A2587" s="3"/>
      <c r="D2587" s="3"/>
    </row>
    <row r="2588" spans="1:4">
      <c r="A2588" s="3"/>
      <c r="D2588" s="3"/>
    </row>
    <row r="2589" spans="1:4">
      <c r="A2589" s="3"/>
      <c r="D2589" s="3"/>
    </row>
    <row r="2590" spans="1:4">
      <c r="A2590" s="3"/>
      <c r="D2590" s="3"/>
    </row>
    <row r="2591" spans="1:4">
      <c r="A2591" s="3"/>
      <c r="D2591" s="3"/>
    </row>
    <row r="2592" spans="1:4">
      <c r="A2592" s="3"/>
      <c r="D2592" s="3"/>
    </row>
    <row r="2593" spans="1:4">
      <c r="A2593" s="3"/>
      <c r="D2593" s="3"/>
    </row>
    <row r="2594" spans="1:4">
      <c r="A2594" s="3"/>
      <c r="D2594" s="3"/>
    </row>
    <row r="2595" spans="1:4">
      <c r="A2595" s="3"/>
      <c r="D2595" s="3"/>
    </row>
    <row r="2596" spans="1:4">
      <c r="A2596" s="3"/>
      <c r="D2596" s="3"/>
    </row>
    <row r="2597" spans="1:4">
      <c r="A2597" s="3"/>
      <c r="D2597" s="3"/>
    </row>
    <row r="2598" spans="1:4">
      <c r="A2598" s="3"/>
      <c r="D2598" s="3"/>
    </row>
    <row r="2599" spans="1:4">
      <c r="A2599" s="3"/>
      <c r="D2599" s="3"/>
    </row>
    <row r="2600" spans="1:4">
      <c r="A2600" s="3"/>
      <c r="D2600" s="3"/>
    </row>
    <row r="2601" spans="1:4">
      <c r="A2601" s="3"/>
      <c r="D2601" s="3"/>
    </row>
    <row r="2602" spans="1:4">
      <c r="A2602" s="3"/>
      <c r="D2602" s="3"/>
    </row>
    <row r="2603" spans="1:4">
      <c r="A2603" s="3"/>
      <c r="D2603" s="3"/>
    </row>
    <row r="2604" spans="1:4">
      <c r="A2604" s="3"/>
      <c r="D2604" s="3"/>
    </row>
    <row r="2605" spans="1:4">
      <c r="A2605" s="3"/>
      <c r="D2605" s="3"/>
    </row>
    <row r="2606" spans="1:4">
      <c r="A2606" s="3"/>
      <c r="D2606" s="3"/>
    </row>
    <row r="2607" spans="1:4">
      <c r="A2607" s="3"/>
      <c r="D2607" s="3"/>
    </row>
    <row r="2608" spans="1:4">
      <c r="A2608" s="3"/>
      <c r="D2608" s="3"/>
    </row>
    <row r="2609" spans="1:4">
      <c r="A2609" s="3"/>
      <c r="D2609" s="3"/>
    </row>
    <row r="2610" spans="1:4">
      <c r="A2610" s="3"/>
      <c r="D2610" s="3"/>
    </row>
    <row r="2611" spans="1:4">
      <c r="A2611" s="3"/>
      <c r="D2611" s="3"/>
    </row>
    <row r="2612" spans="1:4">
      <c r="A2612" s="3"/>
      <c r="D2612" s="3"/>
    </row>
    <row r="2613" spans="1:4">
      <c r="A2613" s="3"/>
      <c r="D2613" s="3"/>
    </row>
    <row r="2614" spans="1:4">
      <c r="A2614" s="3"/>
      <c r="D2614" s="3"/>
    </row>
    <row r="2615" spans="1:4">
      <c r="A2615" s="3"/>
      <c r="D2615" s="3"/>
    </row>
    <row r="2616" spans="1:4">
      <c r="A2616" s="3"/>
      <c r="D2616" s="3"/>
    </row>
    <row r="2617" spans="1:4">
      <c r="A2617" s="3"/>
      <c r="D2617" s="3"/>
    </row>
    <row r="2618" spans="1:4">
      <c r="A2618" s="3"/>
      <c r="D2618" s="3"/>
    </row>
    <row r="2619" spans="1:4">
      <c r="A2619" s="3"/>
      <c r="D2619" s="3"/>
    </row>
    <row r="2620" spans="1:4">
      <c r="A2620" s="3"/>
      <c r="D2620" s="3"/>
    </row>
    <row r="2621" spans="1:4">
      <c r="A2621" s="3"/>
      <c r="D2621" s="3"/>
    </row>
    <row r="2622" spans="1:4">
      <c r="A2622" s="3"/>
      <c r="D2622" s="3"/>
    </row>
    <row r="2623" spans="1:4">
      <c r="A2623" s="3"/>
      <c r="D2623" s="3"/>
    </row>
    <row r="2624" spans="1:4">
      <c r="A2624" s="3"/>
      <c r="D2624" s="3"/>
    </row>
    <row r="2625" spans="1:4">
      <c r="A2625" s="3"/>
      <c r="D2625" s="3"/>
    </row>
    <row r="2626" spans="1:4">
      <c r="A2626" s="3"/>
      <c r="D2626" s="3"/>
    </row>
    <row r="2627" spans="1:4">
      <c r="A2627" s="3"/>
      <c r="D2627" s="3"/>
    </row>
    <row r="2628" spans="1:4">
      <c r="A2628" s="3"/>
      <c r="D2628" s="3"/>
    </row>
    <row r="2629" spans="1:4">
      <c r="A2629" s="3"/>
      <c r="D2629" s="3"/>
    </row>
    <row r="2630" spans="1:4">
      <c r="A2630" s="3"/>
      <c r="D2630" s="3"/>
    </row>
    <row r="2631" spans="1:4">
      <c r="A2631" s="3"/>
      <c r="D2631" s="3"/>
    </row>
    <row r="2632" spans="1:4">
      <c r="A2632" s="3"/>
      <c r="D2632" s="3"/>
    </row>
    <row r="2633" spans="1:4">
      <c r="A2633" s="3"/>
      <c r="D2633" s="3"/>
    </row>
    <row r="2634" spans="1:4">
      <c r="A2634" s="3"/>
      <c r="D2634" s="3"/>
    </row>
    <row r="2635" spans="1:4">
      <c r="A2635" s="3"/>
      <c r="D2635" s="3"/>
    </row>
    <row r="2636" spans="1:4">
      <c r="A2636" s="3"/>
      <c r="D2636" s="3"/>
    </row>
    <row r="2637" spans="1:4">
      <c r="A2637" s="3"/>
      <c r="D2637" s="3"/>
    </row>
    <row r="2638" spans="1:4">
      <c r="A2638" s="3"/>
      <c r="D2638" s="3"/>
    </row>
    <row r="2639" spans="1:4">
      <c r="A2639" s="3"/>
      <c r="D2639" s="3"/>
    </row>
    <row r="2640" spans="1:4">
      <c r="A2640" s="3"/>
      <c r="D2640" s="3"/>
    </row>
    <row r="2641" spans="1:4">
      <c r="A2641" s="3"/>
      <c r="D2641" s="3"/>
    </row>
    <row r="2642" spans="1:4">
      <c r="A2642" s="3"/>
      <c r="D2642" s="3"/>
    </row>
    <row r="2643" spans="1:4">
      <c r="A2643" s="3"/>
      <c r="D2643" s="3"/>
    </row>
    <row r="2644" spans="1:4">
      <c r="A2644" s="3"/>
      <c r="D2644" s="3"/>
    </row>
    <row r="2645" spans="1:4">
      <c r="A2645" s="3"/>
      <c r="D2645" s="3"/>
    </row>
    <row r="2646" spans="1:4">
      <c r="A2646" s="3"/>
      <c r="D2646" s="3"/>
    </row>
    <row r="2647" spans="1:4">
      <c r="A2647" s="3"/>
      <c r="D2647" s="3"/>
    </row>
    <row r="2648" spans="1:4">
      <c r="A2648" s="3"/>
      <c r="D2648" s="3"/>
    </row>
    <row r="2649" spans="1:4">
      <c r="A2649" s="3"/>
      <c r="D2649" s="3"/>
    </row>
    <row r="2650" spans="1:4">
      <c r="A2650" s="3"/>
      <c r="D2650" s="3"/>
    </row>
    <row r="2651" spans="1:4">
      <c r="A2651" s="3"/>
      <c r="D2651" s="3"/>
    </row>
    <row r="2652" spans="1:4">
      <c r="A2652" s="3"/>
      <c r="D2652" s="3"/>
    </row>
    <row r="2653" spans="1:4">
      <c r="A2653" s="3"/>
      <c r="D2653" s="3"/>
    </row>
    <row r="2654" spans="1:4">
      <c r="A2654" s="3"/>
      <c r="D2654" s="3"/>
    </row>
    <row r="2655" spans="1:4">
      <c r="A2655" s="3"/>
      <c r="D2655" s="3"/>
    </row>
    <row r="2656" spans="1:4">
      <c r="A2656" s="3"/>
      <c r="D2656" s="3"/>
    </row>
    <row r="2657" spans="1:4">
      <c r="A2657" s="3"/>
      <c r="D2657" s="3"/>
    </row>
    <row r="2658" spans="1:4">
      <c r="A2658" s="3"/>
      <c r="D2658" s="3"/>
    </row>
    <row r="2659" spans="1:4">
      <c r="A2659" s="3"/>
      <c r="D2659" s="3"/>
    </row>
    <row r="2660" spans="1:4">
      <c r="A2660" s="3"/>
      <c r="D2660" s="3"/>
    </row>
    <row r="2661" spans="1:4">
      <c r="A2661" s="3"/>
      <c r="D2661" s="3"/>
    </row>
    <row r="2662" spans="1:4">
      <c r="A2662" s="3"/>
      <c r="D2662" s="3"/>
    </row>
    <row r="2663" spans="1:4">
      <c r="A2663" s="3"/>
      <c r="D2663" s="3"/>
    </row>
    <row r="2664" spans="1:4">
      <c r="A2664" s="3"/>
      <c r="D2664" s="3"/>
    </row>
    <row r="2665" spans="1:4">
      <c r="A2665" s="3"/>
      <c r="D2665" s="3"/>
    </row>
    <row r="2666" spans="1:4">
      <c r="A2666" s="3"/>
      <c r="D2666" s="3"/>
    </row>
    <row r="2667" spans="1:4">
      <c r="A2667" s="3"/>
      <c r="D2667" s="3"/>
    </row>
    <row r="2668" spans="1:4">
      <c r="A2668" s="3"/>
      <c r="D2668" s="3"/>
    </row>
    <row r="2669" spans="1:4">
      <c r="A2669" s="3"/>
      <c r="D2669" s="3"/>
    </row>
    <row r="2670" spans="1:4">
      <c r="A2670" s="3"/>
      <c r="D2670" s="3"/>
    </row>
    <row r="2671" spans="1:4">
      <c r="A2671" s="3"/>
      <c r="D2671" s="3"/>
    </row>
    <row r="2672" spans="1:4">
      <c r="A2672" s="3"/>
      <c r="D2672" s="3"/>
    </row>
    <row r="2673" spans="1:4">
      <c r="A2673" s="3"/>
      <c r="D2673" s="3"/>
    </row>
    <row r="2674" spans="1:4">
      <c r="A2674" s="3"/>
      <c r="D2674" s="3"/>
    </row>
    <row r="2675" spans="1:4">
      <c r="A2675" s="3"/>
      <c r="D2675" s="3"/>
    </row>
    <row r="2676" spans="1:4">
      <c r="A2676" s="3"/>
      <c r="D2676" s="3"/>
    </row>
    <row r="2677" spans="1:4">
      <c r="A2677" s="3"/>
      <c r="D2677" s="3"/>
    </row>
    <row r="2678" spans="1:4">
      <c r="A2678" s="3"/>
      <c r="D2678" s="3"/>
    </row>
    <row r="2679" spans="1:4">
      <c r="A2679" s="3"/>
      <c r="D2679" s="3"/>
    </row>
    <row r="2680" spans="1:4">
      <c r="A2680" s="3"/>
      <c r="D2680" s="3"/>
    </row>
    <row r="2681" spans="1:4">
      <c r="A2681" s="3"/>
      <c r="D2681" s="3"/>
    </row>
    <row r="2682" spans="1:4">
      <c r="A2682" s="3"/>
      <c r="D2682" s="3"/>
    </row>
    <row r="2683" spans="1:4">
      <c r="A2683" s="3"/>
      <c r="D2683" s="3"/>
    </row>
    <row r="2684" spans="1:4">
      <c r="A2684" s="3"/>
      <c r="D2684" s="3"/>
    </row>
    <row r="2685" spans="1:4">
      <c r="A2685" s="3"/>
      <c r="D2685" s="3"/>
    </row>
    <row r="2686" spans="1:4">
      <c r="A2686" s="3"/>
      <c r="D2686" s="3"/>
    </row>
    <row r="2687" spans="1:4">
      <c r="A2687" s="3"/>
      <c r="D2687" s="3"/>
    </row>
    <row r="2688" spans="1:4">
      <c r="A2688" s="3"/>
      <c r="D2688" s="3"/>
    </row>
    <row r="2689" spans="1:4">
      <c r="A2689" s="3"/>
      <c r="D2689" s="3"/>
    </row>
    <row r="2690" spans="1:4">
      <c r="A2690" s="3"/>
      <c r="D2690" s="3"/>
    </row>
    <row r="2691" spans="1:4">
      <c r="A2691" s="3"/>
      <c r="D2691" s="3"/>
    </row>
    <row r="2692" spans="1:4">
      <c r="A2692" s="3"/>
      <c r="D2692" s="3"/>
    </row>
    <row r="2693" spans="1:4">
      <c r="A2693" s="3"/>
      <c r="D2693" s="3"/>
    </row>
    <row r="2694" spans="1:4">
      <c r="A2694" s="3"/>
      <c r="D2694" s="3"/>
    </row>
    <row r="2695" spans="1:4">
      <c r="A2695" s="3"/>
      <c r="D2695" s="3"/>
    </row>
    <row r="2696" spans="1:4">
      <c r="A2696" s="3"/>
      <c r="D2696" s="3"/>
    </row>
    <row r="2697" spans="1:4">
      <c r="A2697" s="3"/>
      <c r="D2697" s="3"/>
    </row>
    <row r="2698" spans="1:4">
      <c r="A2698" s="3"/>
      <c r="D2698" s="3"/>
    </row>
    <row r="2699" spans="1:4">
      <c r="A2699" s="3"/>
      <c r="D2699" s="3"/>
    </row>
    <row r="2700" spans="1:4">
      <c r="A2700" s="3"/>
      <c r="D2700" s="3"/>
    </row>
    <row r="2701" spans="1:4">
      <c r="A2701" s="3"/>
      <c r="D2701" s="3"/>
    </row>
    <row r="2702" spans="1:4">
      <c r="A2702" s="3"/>
      <c r="D2702" s="3"/>
    </row>
    <row r="2703" spans="1:4">
      <c r="A2703" s="3"/>
      <c r="D2703" s="3"/>
    </row>
    <row r="2704" spans="1:4">
      <c r="A2704" s="3"/>
      <c r="D2704" s="3"/>
    </row>
    <row r="2705" spans="1:4">
      <c r="A2705" s="3"/>
      <c r="D2705" s="3"/>
    </row>
    <row r="2706" spans="1:4">
      <c r="A2706" s="3"/>
      <c r="D2706" s="3"/>
    </row>
    <row r="2707" spans="1:4">
      <c r="A2707" s="3"/>
      <c r="D2707" s="3"/>
    </row>
    <row r="2708" spans="1:4">
      <c r="A2708" s="3"/>
      <c r="D2708" s="3"/>
    </row>
    <row r="2709" spans="1:4">
      <c r="A2709" s="3"/>
      <c r="D2709" s="3"/>
    </row>
    <row r="2710" spans="1:4">
      <c r="A2710" s="3"/>
      <c r="D2710" s="3"/>
    </row>
    <row r="2711" spans="1:4">
      <c r="A2711" s="3"/>
      <c r="D2711" s="3"/>
    </row>
    <row r="2712" spans="1:4">
      <c r="A2712" s="3"/>
      <c r="D2712" s="3"/>
    </row>
    <row r="2713" spans="1:4">
      <c r="A2713" s="3"/>
      <c r="D2713" s="3"/>
    </row>
    <row r="2714" spans="1:4">
      <c r="A2714" s="3"/>
      <c r="D2714" s="3"/>
    </row>
    <row r="2715" spans="1:4">
      <c r="A2715" s="3"/>
      <c r="D2715" s="3"/>
    </row>
    <row r="2716" spans="1:4">
      <c r="A2716" s="3"/>
      <c r="D2716" s="3"/>
    </row>
    <row r="2717" spans="1:4">
      <c r="A2717" s="3"/>
      <c r="D2717" s="3"/>
    </row>
    <row r="2718" spans="1:4">
      <c r="A2718" s="3"/>
      <c r="D2718" s="3"/>
    </row>
    <row r="2719" spans="1:4">
      <c r="A2719" s="3"/>
      <c r="D2719" s="3"/>
    </row>
    <row r="2720" spans="1:4">
      <c r="A2720" s="3"/>
      <c r="D2720" s="3"/>
    </row>
    <row r="2721" spans="1:4">
      <c r="A2721" s="3"/>
      <c r="D2721" s="3"/>
    </row>
    <row r="2722" spans="1:4">
      <c r="A2722" s="3"/>
      <c r="D2722" s="3"/>
    </row>
    <row r="2723" spans="1:4">
      <c r="A2723" s="3"/>
      <c r="D2723" s="3"/>
    </row>
    <row r="2724" spans="1:4">
      <c r="A2724" s="3"/>
      <c r="D2724" s="3"/>
    </row>
    <row r="2725" spans="1:4">
      <c r="A2725" s="3"/>
      <c r="D2725" s="3"/>
    </row>
    <row r="2726" spans="1:4">
      <c r="A2726" s="3"/>
      <c r="D2726" s="3"/>
    </row>
    <row r="2727" spans="1:4">
      <c r="A2727" s="3"/>
      <c r="D2727" s="3"/>
    </row>
    <row r="2728" spans="1:4">
      <c r="A2728" s="3"/>
      <c r="D2728" s="3"/>
    </row>
    <row r="2729" spans="1:4">
      <c r="A2729" s="3"/>
      <c r="D2729" s="3"/>
    </row>
    <row r="2730" spans="1:4">
      <c r="A2730" s="3"/>
      <c r="D2730" s="3"/>
    </row>
    <row r="2731" spans="1:4">
      <c r="A2731" s="3"/>
      <c r="D2731" s="3"/>
    </row>
    <row r="2732" spans="1:4">
      <c r="A2732" s="3"/>
      <c r="D2732" s="3"/>
    </row>
    <row r="2733" spans="1:4">
      <c r="A2733" s="3"/>
      <c r="D2733" s="3"/>
    </row>
    <row r="2734" spans="1:4">
      <c r="A2734" s="3"/>
      <c r="D2734" s="3"/>
    </row>
    <row r="2735" spans="1:4">
      <c r="A2735" s="3"/>
      <c r="D2735" s="3"/>
    </row>
    <row r="2736" spans="1:4">
      <c r="A2736" s="3"/>
      <c r="D2736" s="3"/>
    </row>
    <row r="2737" spans="1:4">
      <c r="A2737" s="3"/>
      <c r="D2737" s="3"/>
    </row>
    <row r="2738" spans="1:4">
      <c r="A2738" s="3"/>
      <c r="D2738" s="3"/>
    </row>
    <row r="2739" spans="1:4">
      <c r="A2739" s="3"/>
      <c r="D2739" s="3"/>
    </row>
    <row r="2740" spans="1:4">
      <c r="A2740" s="3"/>
      <c r="D2740" s="3"/>
    </row>
    <row r="2741" spans="1:4">
      <c r="A2741" s="3"/>
      <c r="D2741" s="3"/>
    </row>
    <row r="2742" spans="1:4">
      <c r="A2742" s="3"/>
      <c r="D2742" s="3"/>
    </row>
    <row r="2743" spans="1:4">
      <c r="A2743" s="3"/>
      <c r="D2743" s="3"/>
    </row>
    <row r="2744" spans="1:4">
      <c r="A2744" s="3"/>
      <c r="D2744" s="3"/>
    </row>
    <row r="2745" spans="1:4">
      <c r="A2745" s="3"/>
      <c r="D2745" s="3"/>
    </row>
    <row r="2746" spans="1:4">
      <c r="A2746" s="3"/>
      <c r="D2746" s="3"/>
    </row>
    <row r="2747" spans="1:4">
      <c r="A2747" s="3"/>
      <c r="D2747" s="3"/>
    </row>
    <row r="2748" spans="1:4">
      <c r="A2748" s="3"/>
      <c r="D2748" s="3"/>
    </row>
    <row r="2749" spans="1:4">
      <c r="A2749" s="3"/>
      <c r="D2749" s="3"/>
    </row>
    <row r="2750" spans="1:4">
      <c r="A2750" s="3"/>
      <c r="D2750" s="3"/>
    </row>
    <row r="2751" spans="1:4">
      <c r="A2751" s="3"/>
      <c r="D2751" s="3"/>
    </row>
    <row r="2752" spans="1:4">
      <c r="A2752" s="3"/>
      <c r="D2752" s="3"/>
    </row>
    <row r="2753" spans="1:4">
      <c r="A2753" s="3"/>
      <c r="D2753" s="3"/>
    </row>
    <row r="2754" spans="1:4">
      <c r="A2754" s="3"/>
      <c r="D2754" s="3"/>
    </row>
    <row r="2755" spans="1:4">
      <c r="A2755" s="3"/>
      <c r="D2755" s="3"/>
    </row>
    <row r="2756" spans="1:4">
      <c r="A2756" s="3"/>
      <c r="D2756" s="3"/>
    </row>
    <row r="2757" spans="1:4">
      <c r="A2757" s="3"/>
      <c r="D2757" s="3"/>
    </row>
    <row r="2758" spans="1:4">
      <c r="A2758" s="3"/>
      <c r="D2758" s="3"/>
    </row>
    <row r="2759" spans="1:4">
      <c r="A2759" s="3"/>
      <c r="D2759" s="3"/>
    </row>
    <row r="2760" spans="1:4">
      <c r="A2760" s="3"/>
      <c r="D2760" s="3"/>
    </row>
    <row r="2761" spans="1:4">
      <c r="A2761" s="3"/>
      <c r="D2761" s="3"/>
    </row>
    <row r="2762" spans="1:4">
      <c r="A2762" s="3"/>
      <c r="D2762" s="3"/>
    </row>
    <row r="2763" spans="1:4">
      <c r="A2763" s="3"/>
      <c r="D2763" s="3"/>
    </row>
    <row r="2764" spans="1:4">
      <c r="A2764" s="3"/>
      <c r="D2764" s="3"/>
    </row>
    <row r="2765" spans="1:4">
      <c r="A2765" s="3"/>
      <c r="D2765" s="3"/>
    </row>
    <row r="2766" spans="1:4">
      <c r="A2766" s="3"/>
      <c r="D2766" s="3"/>
    </row>
    <row r="2767" spans="1:4">
      <c r="A2767" s="3"/>
      <c r="D2767" s="3"/>
    </row>
    <row r="2768" spans="1:4">
      <c r="A2768" s="3"/>
      <c r="D2768" s="3"/>
    </row>
    <row r="2769" spans="1:4">
      <c r="A2769" s="3"/>
      <c r="D2769" s="3"/>
    </row>
    <row r="2770" spans="1:4">
      <c r="A2770" s="3"/>
      <c r="D2770" s="3"/>
    </row>
    <row r="2771" spans="1:4">
      <c r="A2771" s="3"/>
      <c r="D2771" s="3"/>
    </row>
    <row r="2772" spans="1:4">
      <c r="A2772" s="3"/>
      <c r="D2772" s="3"/>
    </row>
    <row r="2773" spans="1:4">
      <c r="A2773" s="3"/>
      <c r="D2773" s="3"/>
    </row>
    <row r="2774" spans="1:4">
      <c r="A2774" s="3"/>
      <c r="D2774" s="3"/>
    </row>
    <row r="2775" spans="1:4">
      <c r="A2775" s="3"/>
      <c r="D2775" s="3"/>
    </row>
    <row r="2776" spans="1:4">
      <c r="A2776" s="3"/>
      <c r="D2776" s="3"/>
    </row>
    <row r="2777" spans="1:4">
      <c r="A2777" s="3"/>
      <c r="D2777" s="3"/>
    </row>
    <row r="2778" spans="1:4">
      <c r="A2778" s="3"/>
      <c r="D2778" s="3"/>
    </row>
    <row r="2779" spans="1:4">
      <c r="A2779" s="3"/>
      <c r="D2779" s="3"/>
    </row>
    <row r="2780" spans="1:4">
      <c r="A2780" s="3"/>
      <c r="D2780" s="3"/>
    </row>
    <row r="2781" spans="1:4">
      <c r="A2781" s="3"/>
      <c r="D2781" s="3"/>
    </row>
    <row r="2782" spans="1:4">
      <c r="A2782" s="3"/>
      <c r="D2782" s="3"/>
    </row>
    <row r="2783" spans="1:4">
      <c r="A2783" s="3"/>
      <c r="D2783" s="3"/>
    </row>
    <row r="2784" spans="1:4">
      <c r="A2784" s="3"/>
      <c r="D2784" s="3"/>
    </row>
    <row r="2785" spans="1:4">
      <c r="A2785" s="3"/>
      <c r="D2785" s="3"/>
    </row>
    <row r="2786" spans="1:4">
      <c r="A2786" s="3"/>
      <c r="D2786" s="3"/>
    </row>
    <row r="2787" spans="1:4">
      <c r="A2787" s="3"/>
      <c r="D2787" s="3"/>
    </row>
    <row r="2788" spans="1:4">
      <c r="A2788" s="3"/>
      <c r="D2788" s="3"/>
    </row>
    <row r="2789" spans="1:4">
      <c r="A2789" s="3"/>
      <c r="D2789" s="3"/>
    </row>
    <row r="2790" spans="1:4">
      <c r="A2790" s="3"/>
      <c r="D2790" s="3"/>
    </row>
    <row r="2791" spans="1:4">
      <c r="A2791" s="3"/>
      <c r="D2791" s="3"/>
    </row>
    <row r="2792" spans="1:4">
      <c r="A2792" s="3"/>
      <c r="D2792" s="3"/>
    </row>
    <row r="2793" spans="1:4">
      <c r="A2793" s="3"/>
      <c r="D2793" s="3"/>
    </row>
    <row r="2794" spans="1:4">
      <c r="A2794" s="3"/>
      <c r="D2794" s="3"/>
    </row>
    <row r="2795" spans="1:4">
      <c r="A2795" s="3"/>
      <c r="D2795" s="3"/>
    </row>
    <row r="2796" spans="1:4">
      <c r="A2796" s="3"/>
      <c r="D2796" s="3"/>
    </row>
    <row r="2797" spans="1:4">
      <c r="A2797" s="3"/>
      <c r="D2797" s="3"/>
    </row>
    <row r="2798" spans="1:4">
      <c r="A2798" s="3"/>
      <c r="D2798" s="3"/>
    </row>
    <row r="2799" spans="1:4">
      <c r="A2799" s="3"/>
      <c r="D2799" s="3"/>
    </row>
    <row r="2800" spans="1:4">
      <c r="A2800" s="3"/>
      <c r="D2800" s="3"/>
    </row>
    <row r="2801" spans="1:4">
      <c r="A2801" s="3"/>
      <c r="D2801" s="3"/>
    </row>
    <row r="2802" spans="1:4">
      <c r="A2802" s="3"/>
      <c r="D2802" s="3"/>
    </row>
    <row r="2803" spans="1:4">
      <c r="A2803" s="3"/>
      <c r="D2803" s="3"/>
    </row>
    <row r="2804" spans="1:4">
      <c r="A2804" s="3"/>
      <c r="D2804" s="3"/>
    </row>
    <row r="2805" spans="1:4">
      <c r="A2805" s="3"/>
      <c r="D2805" s="3"/>
    </row>
    <row r="2806" spans="1:4">
      <c r="A2806" s="3"/>
      <c r="D2806" s="3"/>
    </row>
    <row r="2807" spans="1:4">
      <c r="A2807" s="3"/>
      <c r="D2807" s="3"/>
    </row>
    <row r="2808" spans="1:4">
      <c r="A2808" s="3"/>
      <c r="D2808" s="3"/>
    </row>
    <row r="2809" spans="1:4">
      <c r="A2809" s="3"/>
      <c r="D2809" s="3"/>
    </row>
    <row r="2810" spans="1:4">
      <c r="A2810" s="3"/>
      <c r="D2810" s="3"/>
    </row>
    <row r="2811" spans="1:4">
      <c r="A2811" s="3"/>
      <c r="D2811" s="3"/>
    </row>
    <row r="2812" spans="1:4">
      <c r="A2812" s="3"/>
      <c r="D2812" s="3"/>
    </row>
    <row r="2813" spans="1:4">
      <c r="A2813" s="3"/>
      <c r="D2813" s="3"/>
    </row>
    <row r="2814" spans="1:4">
      <c r="A2814" s="3"/>
      <c r="D2814" s="3"/>
    </row>
    <row r="2815" spans="1:4">
      <c r="A2815" s="3"/>
      <c r="D2815" s="3"/>
    </row>
    <row r="2816" spans="1:4">
      <c r="A2816" s="3"/>
      <c r="D2816" s="3"/>
    </row>
    <row r="2817" spans="1:4">
      <c r="A2817" s="3"/>
      <c r="D2817" s="3"/>
    </row>
    <row r="2818" spans="1:4">
      <c r="A2818" s="3"/>
      <c r="D2818" s="3"/>
    </row>
    <row r="2819" spans="1:4">
      <c r="A2819" s="3"/>
      <c r="D2819" s="3"/>
    </row>
    <row r="2820" spans="1:4">
      <c r="A2820" s="3"/>
      <c r="D2820" s="3"/>
    </row>
    <row r="2821" spans="1:4">
      <c r="A2821" s="3"/>
      <c r="D2821" s="3"/>
    </row>
    <row r="2822" spans="1:4">
      <c r="A2822" s="3"/>
      <c r="D2822" s="3"/>
    </row>
    <row r="2823" spans="1:4">
      <c r="A2823" s="3"/>
      <c r="D2823" s="3"/>
    </row>
    <row r="2824" spans="1:4">
      <c r="A2824" s="3"/>
      <c r="D2824" s="3"/>
    </row>
    <row r="2825" spans="1:4">
      <c r="A2825" s="3"/>
      <c r="D2825" s="3"/>
    </row>
    <row r="2826" spans="1:4">
      <c r="A2826" s="3"/>
      <c r="D2826" s="3"/>
    </row>
    <row r="2827" spans="1:4">
      <c r="A2827" s="3"/>
      <c r="D2827" s="3"/>
    </row>
    <row r="2828" spans="1:4">
      <c r="A2828" s="3"/>
      <c r="D2828" s="3"/>
    </row>
    <row r="2829" spans="1:4">
      <c r="A2829" s="3"/>
      <c r="D2829" s="3"/>
    </row>
    <row r="2830" spans="1:4">
      <c r="A2830" s="3"/>
      <c r="D2830" s="3"/>
    </row>
    <row r="2831" spans="1:4">
      <c r="A2831" s="3"/>
      <c r="D2831" s="3"/>
    </row>
    <row r="2832" spans="1:4">
      <c r="A2832" s="3"/>
      <c r="D2832" s="3"/>
    </row>
    <row r="2833" spans="1:4">
      <c r="A2833" s="3"/>
      <c r="D2833" s="3"/>
    </row>
    <row r="2834" spans="1:4">
      <c r="A2834" s="3"/>
      <c r="D2834" s="3"/>
    </row>
    <row r="2835" spans="1:4">
      <c r="A2835" s="3"/>
      <c r="D2835" s="3"/>
    </row>
    <row r="2836" spans="1:4">
      <c r="A2836" s="3"/>
      <c r="D2836" s="3"/>
    </row>
    <row r="2837" spans="1:4">
      <c r="A2837" s="3"/>
      <c r="D2837" s="3"/>
    </row>
    <row r="2838" spans="1:4">
      <c r="A2838" s="3"/>
      <c r="D2838" s="3"/>
    </row>
    <row r="2839" spans="1:4">
      <c r="A2839" s="3"/>
      <c r="D2839" s="3"/>
    </row>
    <row r="2840" spans="1:4">
      <c r="A2840" s="3"/>
      <c r="D2840" s="3"/>
    </row>
    <row r="2841" spans="1:4">
      <c r="A2841" s="3"/>
      <c r="D2841" s="3"/>
    </row>
    <row r="2842" spans="1:4">
      <c r="A2842" s="3"/>
      <c r="D2842" s="3"/>
    </row>
    <row r="2843" spans="1:4">
      <c r="A2843" s="3"/>
      <c r="D2843" s="3"/>
    </row>
    <row r="2844" spans="1:4">
      <c r="A2844" s="3"/>
      <c r="D2844" s="3"/>
    </row>
    <row r="2845" spans="1:4">
      <c r="A2845" s="3"/>
      <c r="D2845" s="3"/>
    </row>
    <row r="2846" spans="1:4">
      <c r="A2846" s="3"/>
      <c r="D2846" s="3"/>
    </row>
    <row r="2847" spans="1:4">
      <c r="A2847" s="3"/>
      <c r="D2847" s="3"/>
    </row>
    <row r="2848" spans="1:4">
      <c r="A2848" s="3"/>
      <c r="D2848" s="3"/>
    </row>
    <row r="2849" spans="1:4">
      <c r="A2849" s="3"/>
      <c r="D2849" s="3"/>
    </row>
    <row r="2850" spans="1:4">
      <c r="A2850" s="3"/>
      <c r="D2850" s="3"/>
    </row>
    <row r="2851" spans="1:4">
      <c r="A2851" s="3"/>
      <c r="D2851" s="3"/>
    </row>
    <row r="2852" spans="1:4">
      <c r="A2852" s="3"/>
      <c r="D2852" s="3"/>
    </row>
    <row r="2853" spans="1:4">
      <c r="A2853" s="3"/>
      <c r="D2853" s="3"/>
    </row>
    <row r="2854" spans="1:4">
      <c r="A2854" s="3"/>
      <c r="D2854" s="3"/>
    </row>
    <row r="2855" spans="1:4">
      <c r="A2855" s="3"/>
      <c r="D2855" s="3"/>
    </row>
    <row r="2856" spans="1:4">
      <c r="A2856" s="3"/>
      <c r="D2856" s="3"/>
    </row>
    <row r="2857" spans="1:4">
      <c r="A2857" s="3"/>
      <c r="D2857" s="3"/>
    </row>
    <row r="2858" spans="1:4">
      <c r="A2858" s="3"/>
      <c r="D2858" s="3"/>
    </row>
    <row r="2859" spans="1:4">
      <c r="A2859" s="3"/>
      <c r="D2859" s="3"/>
    </row>
    <row r="2860" spans="1:4">
      <c r="A2860" s="3"/>
      <c r="D2860" s="3"/>
    </row>
    <row r="2861" spans="1:4">
      <c r="A2861" s="3"/>
      <c r="D2861" s="3"/>
    </row>
    <row r="2862" spans="1:4">
      <c r="A2862" s="3"/>
      <c r="D2862" s="3"/>
    </row>
    <row r="2863" spans="1:4">
      <c r="A2863" s="3"/>
      <c r="D2863" s="3"/>
    </row>
    <row r="2864" spans="1:4">
      <c r="A2864" s="3"/>
      <c r="D2864" s="3"/>
    </row>
    <row r="2865" spans="1:4">
      <c r="A2865" s="3"/>
      <c r="D2865" s="3"/>
    </row>
    <row r="2866" spans="1:4">
      <c r="A2866" s="3"/>
      <c r="D2866" s="3"/>
    </row>
    <row r="2867" spans="1:4">
      <c r="A2867" s="3"/>
      <c r="D2867" s="3"/>
    </row>
    <row r="2868" spans="1:4">
      <c r="A2868" s="3"/>
      <c r="D2868" s="3"/>
    </row>
    <row r="2869" spans="1:4">
      <c r="A2869" s="3"/>
      <c r="D2869" s="3"/>
    </row>
    <row r="2870" spans="1:4">
      <c r="A2870" s="3"/>
      <c r="D2870" s="3"/>
    </row>
    <row r="2871" spans="1:4">
      <c r="A2871" s="3"/>
      <c r="D2871" s="3"/>
    </row>
    <row r="2872" spans="1:4">
      <c r="A2872" s="3"/>
      <c r="D2872" s="3"/>
    </row>
    <row r="2873" spans="1:4">
      <c r="A2873" s="3"/>
      <c r="D2873" s="3"/>
    </row>
    <row r="2874" spans="1:4">
      <c r="A2874" s="3"/>
      <c r="D2874" s="3"/>
    </row>
    <row r="2875" spans="1:4">
      <c r="A2875" s="3"/>
      <c r="D2875" s="3"/>
    </row>
    <row r="2876" spans="1:4">
      <c r="A2876" s="3"/>
      <c r="D2876" s="3"/>
    </row>
    <row r="2877" spans="1:4">
      <c r="A2877" s="3"/>
      <c r="D2877" s="3"/>
    </row>
    <row r="2878" spans="1:4">
      <c r="A2878" s="3"/>
      <c r="D2878" s="3"/>
    </row>
    <row r="2879" spans="1:4">
      <c r="A2879" s="3"/>
      <c r="D2879" s="3"/>
    </row>
    <row r="2880" spans="1:4">
      <c r="A2880" s="3"/>
      <c r="D2880" s="3"/>
    </row>
    <row r="2881" spans="1:4">
      <c r="A2881" s="3"/>
      <c r="D2881" s="3"/>
    </row>
    <row r="2882" spans="1:4">
      <c r="A2882" s="3"/>
      <c r="D2882" s="3"/>
    </row>
    <row r="2883" spans="1:4">
      <c r="A2883" s="3"/>
      <c r="D2883" s="3"/>
    </row>
    <row r="2884" spans="1:4">
      <c r="A2884" s="3"/>
      <c r="D2884" s="3"/>
    </row>
    <row r="2885" spans="1:4">
      <c r="A2885" s="3"/>
      <c r="D2885" s="3"/>
    </row>
    <row r="2886" spans="1:4">
      <c r="A2886" s="3"/>
      <c r="D2886" s="3"/>
    </row>
    <row r="2887" spans="1:4">
      <c r="A2887" s="3"/>
      <c r="D2887" s="3"/>
    </row>
    <row r="2888" spans="1:4">
      <c r="A2888" s="3"/>
      <c r="D2888" s="3"/>
    </row>
    <row r="2889" spans="1:4">
      <c r="A2889" s="3"/>
      <c r="D2889" s="3"/>
    </row>
    <row r="2890" spans="1:4">
      <c r="A2890" s="3"/>
      <c r="D2890" s="3"/>
    </row>
    <row r="2891" spans="1:4">
      <c r="A2891" s="3"/>
      <c r="D2891" s="3"/>
    </row>
    <row r="2892" spans="1:4">
      <c r="A2892" s="3"/>
      <c r="D2892" s="3"/>
    </row>
    <row r="2893" spans="1:4">
      <c r="A2893" s="3"/>
      <c r="D2893" s="3"/>
    </row>
    <row r="2894" spans="1:4">
      <c r="A2894" s="3"/>
      <c r="D2894" s="3"/>
    </row>
    <row r="2895" spans="1:4">
      <c r="A2895" s="3"/>
      <c r="D2895" s="3"/>
    </row>
    <row r="2896" spans="1:4">
      <c r="A2896" s="3"/>
      <c r="D2896" s="3"/>
    </row>
    <row r="2897" spans="1:4">
      <c r="A2897" s="3"/>
      <c r="D2897" s="3"/>
    </row>
    <row r="2898" spans="1:4">
      <c r="A2898" s="3"/>
      <c r="D2898" s="3"/>
    </row>
    <row r="2899" spans="1:4">
      <c r="A2899" s="3"/>
      <c r="D2899" s="3"/>
    </row>
    <row r="2900" spans="1:4">
      <c r="A2900" s="3"/>
      <c r="D2900" s="3"/>
    </row>
    <row r="2901" spans="1:4">
      <c r="A2901" s="3"/>
      <c r="D2901" s="3"/>
    </row>
    <row r="2902" spans="1:4">
      <c r="A2902" s="3"/>
      <c r="D2902" s="3"/>
    </row>
    <row r="2903" spans="1:4">
      <c r="A2903" s="3"/>
      <c r="D2903" s="3"/>
    </row>
    <row r="2904" spans="1:4">
      <c r="A2904" s="3"/>
      <c r="D2904" s="3"/>
    </row>
    <row r="2905" spans="1:4">
      <c r="A2905" s="3"/>
      <c r="D2905" s="3"/>
    </row>
    <row r="2906" spans="1:4">
      <c r="A2906" s="3"/>
      <c r="D2906" s="3"/>
    </row>
    <row r="2907" spans="1:4">
      <c r="A2907" s="3"/>
      <c r="D2907" s="3"/>
    </row>
    <row r="2908" spans="1:4">
      <c r="A2908" s="3"/>
      <c r="D2908" s="3"/>
    </row>
    <row r="2909" spans="1:4">
      <c r="A2909" s="3"/>
      <c r="D2909" s="3"/>
    </row>
    <row r="2910" spans="1:4">
      <c r="A2910" s="3"/>
      <c r="D2910" s="3"/>
    </row>
    <row r="2911" spans="1:4">
      <c r="A2911" s="3"/>
      <c r="D2911" s="3"/>
    </row>
    <row r="2912" spans="1:4">
      <c r="A2912" s="3"/>
      <c r="D2912" s="3"/>
    </row>
    <row r="2913" spans="1:4">
      <c r="A2913" s="3"/>
      <c r="D2913" s="3"/>
    </row>
    <row r="2914" spans="1:4">
      <c r="A2914" s="3"/>
      <c r="D2914" s="3"/>
    </row>
    <row r="2915" spans="1:4">
      <c r="A2915" s="3"/>
      <c r="D2915" s="3"/>
    </row>
    <row r="2916" spans="1:4">
      <c r="A2916" s="3"/>
      <c r="D2916" s="3"/>
    </row>
    <row r="2917" spans="1:4">
      <c r="A2917" s="3"/>
      <c r="D2917" s="3"/>
    </row>
    <row r="2918" spans="1:4">
      <c r="A2918" s="3"/>
      <c r="D2918" s="3"/>
    </row>
    <row r="2919" spans="1:4">
      <c r="A2919" s="3"/>
      <c r="D2919" s="3"/>
    </row>
    <row r="2920" spans="1:4">
      <c r="A2920" s="3"/>
      <c r="D2920" s="3"/>
    </row>
    <row r="2921" spans="1:4">
      <c r="A2921" s="3"/>
      <c r="D2921" s="3"/>
    </row>
    <row r="2922" spans="1:4">
      <c r="A2922" s="3"/>
      <c r="D2922" s="3"/>
    </row>
    <row r="2923" spans="1:4">
      <c r="A2923" s="3"/>
      <c r="D2923" s="3"/>
    </row>
    <row r="2924" spans="1:4">
      <c r="A2924" s="3"/>
      <c r="D2924" s="3"/>
    </row>
    <row r="2925" spans="1:4">
      <c r="A2925" s="3"/>
      <c r="D2925" s="3"/>
    </row>
    <row r="2926" spans="1:4">
      <c r="A2926" s="3"/>
      <c r="D2926" s="3"/>
    </row>
    <row r="2927" spans="1:4">
      <c r="A2927" s="3"/>
      <c r="D2927" s="3"/>
    </row>
    <row r="2928" spans="1:4">
      <c r="A2928" s="3"/>
      <c r="D2928" s="3"/>
    </row>
    <row r="2929" spans="1:4">
      <c r="A2929" s="3"/>
      <c r="D2929" s="3"/>
    </row>
    <row r="2930" spans="1:4">
      <c r="A2930" s="3"/>
      <c r="D2930" s="3"/>
    </row>
    <row r="2931" spans="1:4">
      <c r="A2931" s="3"/>
      <c r="D2931" s="3"/>
    </row>
    <row r="2932" spans="1:4">
      <c r="A2932" s="3"/>
      <c r="D2932" s="3"/>
    </row>
    <row r="2933" spans="1:4">
      <c r="A2933" s="3"/>
      <c r="D2933" s="3"/>
    </row>
    <row r="2934" spans="1:4">
      <c r="A2934" s="3"/>
      <c r="D2934" s="3"/>
    </row>
    <row r="2935" spans="1:4">
      <c r="A2935" s="3"/>
      <c r="D2935" s="3"/>
    </row>
    <row r="2936" spans="1:4">
      <c r="A2936" s="3"/>
      <c r="D2936" s="3"/>
    </row>
    <row r="2937" spans="1:4">
      <c r="A2937" s="3"/>
      <c r="D2937" s="3"/>
    </row>
    <row r="2938" spans="1:4">
      <c r="A2938" s="3"/>
      <c r="D2938" s="3"/>
    </row>
    <row r="2939" spans="1:4">
      <c r="A2939" s="3"/>
      <c r="D2939" s="3"/>
    </row>
    <row r="2940" spans="1:4">
      <c r="A2940" s="3"/>
      <c r="D2940" s="3"/>
    </row>
    <row r="2941" spans="1:4">
      <c r="A2941" s="3"/>
      <c r="D2941" s="3"/>
    </row>
    <row r="2942" spans="1:4">
      <c r="A2942" s="3"/>
      <c r="D2942" s="3"/>
    </row>
    <row r="2943" spans="1:4">
      <c r="A2943" s="3"/>
      <c r="D2943" s="3"/>
    </row>
    <row r="2944" spans="1:4">
      <c r="A2944" s="3"/>
      <c r="D2944" s="3"/>
    </row>
    <row r="2945" spans="1:4">
      <c r="A2945" s="3"/>
      <c r="D2945" s="3"/>
    </row>
    <row r="2946" spans="1:4">
      <c r="A2946" s="3"/>
      <c r="D2946" s="3"/>
    </row>
    <row r="2947" spans="1:4">
      <c r="A2947" s="3"/>
      <c r="D2947" s="3"/>
    </row>
    <row r="2948" spans="1:4">
      <c r="A2948" s="3"/>
      <c r="D2948" s="3"/>
    </row>
    <row r="2949" spans="1:4">
      <c r="A2949" s="3"/>
      <c r="D2949" s="3"/>
    </row>
    <row r="2950" spans="1:4">
      <c r="A2950" s="3"/>
      <c r="D2950" s="3"/>
    </row>
    <row r="2951" spans="1:4">
      <c r="A2951" s="3"/>
      <c r="D2951" s="3"/>
    </row>
    <row r="2952" spans="1:4">
      <c r="A2952" s="3"/>
      <c r="D2952" s="3"/>
    </row>
    <row r="2953" spans="1:4">
      <c r="A2953" s="3"/>
      <c r="D2953" s="3"/>
    </row>
    <row r="2954" spans="1:4">
      <c r="A2954" s="3"/>
      <c r="D2954" s="3"/>
    </row>
    <row r="2955" spans="1:4">
      <c r="A2955" s="3"/>
      <c r="D2955" s="3"/>
    </row>
    <row r="2956" spans="1:4">
      <c r="A2956" s="3"/>
      <c r="D2956" s="3"/>
    </row>
    <row r="2957" spans="1:4">
      <c r="A2957" s="3"/>
      <c r="D2957" s="3"/>
    </row>
    <row r="2958" spans="1:4">
      <c r="A2958" s="3"/>
      <c r="D2958" s="3"/>
    </row>
    <row r="2959" spans="1:4">
      <c r="A2959" s="3"/>
      <c r="D2959" s="3"/>
    </row>
    <row r="2960" spans="1:4">
      <c r="A2960" s="3"/>
      <c r="D2960" s="3"/>
    </row>
    <row r="2961" spans="1:4">
      <c r="A2961" s="3"/>
      <c r="D2961" s="3"/>
    </row>
    <row r="2962" spans="1:4">
      <c r="A2962" s="3"/>
      <c r="D2962" s="3"/>
    </row>
    <row r="2963" spans="1:4">
      <c r="A2963" s="3"/>
      <c r="D2963" s="3"/>
    </row>
    <row r="2964" spans="1:4">
      <c r="A2964" s="3"/>
      <c r="D2964" s="3"/>
    </row>
    <row r="2965" spans="1:4">
      <c r="A2965" s="3"/>
      <c r="D2965" s="3"/>
    </row>
    <row r="2966" spans="1:4">
      <c r="A2966" s="3"/>
      <c r="D2966" s="3"/>
    </row>
    <row r="2967" spans="1:4">
      <c r="A2967" s="3"/>
      <c r="D2967" s="3"/>
    </row>
    <row r="2968" spans="1:4">
      <c r="A2968" s="3"/>
      <c r="D2968" s="3"/>
    </row>
    <row r="2969" spans="1:4">
      <c r="A2969" s="3"/>
      <c r="D2969" s="3"/>
    </row>
    <row r="2970" spans="1:4">
      <c r="A2970" s="3"/>
      <c r="D2970" s="3"/>
    </row>
    <row r="2971" spans="1:4">
      <c r="A2971" s="3"/>
      <c r="D2971" s="3"/>
    </row>
    <row r="2972" spans="1:4">
      <c r="A2972" s="3"/>
      <c r="D2972" s="3"/>
    </row>
    <row r="2973" spans="1:4">
      <c r="A2973" s="3"/>
      <c r="D2973" s="3"/>
    </row>
    <row r="2974" spans="1:4">
      <c r="A2974" s="3"/>
      <c r="D2974" s="3"/>
    </row>
    <row r="2975" spans="1:4">
      <c r="A2975" s="3"/>
      <c r="D2975" s="3"/>
    </row>
    <row r="2976" spans="1:4">
      <c r="A2976" s="3"/>
      <c r="D2976" s="3"/>
    </row>
    <row r="2977" spans="1:4">
      <c r="A2977" s="3"/>
      <c r="D2977" s="3"/>
    </row>
    <row r="2978" spans="1:4">
      <c r="A2978" s="3"/>
      <c r="D2978" s="3"/>
    </row>
    <row r="2979" spans="1:4">
      <c r="A2979" s="3"/>
      <c r="D2979" s="3"/>
    </row>
    <row r="2980" spans="1:4">
      <c r="A2980" s="3"/>
      <c r="D2980" s="3"/>
    </row>
    <row r="2981" spans="1:4">
      <c r="A2981" s="3"/>
      <c r="D2981" s="3"/>
    </row>
    <row r="2982" spans="1:4">
      <c r="A2982" s="3"/>
      <c r="D2982" s="3"/>
    </row>
    <row r="2983" spans="1:4">
      <c r="A2983" s="3"/>
      <c r="D2983" s="3"/>
    </row>
    <row r="2984" spans="1:4">
      <c r="A2984" s="3"/>
      <c r="D2984" s="3"/>
    </row>
    <row r="2985" spans="1:4">
      <c r="A2985" s="3"/>
      <c r="D2985" s="3"/>
    </row>
    <row r="2986" spans="1:4">
      <c r="A2986" s="3"/>
      <c r="D2986" s="3"/>
    </row>
    <row r="2987" spans="1:4">
      <c r="A2987" s="3"/>
      <c r="D2987" s="3"/>
    </row>
    <row r="2988" spans="1:4">
      <c r="A2988" s="3"/>
      <c r="D2988" s="3"/>
    </row>
    <row r="2989" spans="1:4">
      <c r="A2989" s="3"/>
      <c r="D2989" s="3"/>
    </row>
    <row r="2990" spans="1:4">
      <c r="A2990" s="3"/>
      <c r="D2990" s="3"/>
    </row>
    <row r="2991" spans="1:4">
      <c r="A2991" s="3"/>
      <c r="D2991" s="3"/>
    </row>
    <row r="2992" spans="1:4">
      <c r="A2992" s="3"/>
      <c r="D2992" s="3"/>
    </row>
    <row r="2993" spans="1:4">
      <c r="A2993" s="3"/>
      <c r="D2993" s="3"/>
    </row>
    <row r="2994" spans="1:4">
      <c r="A2994" s="3"/>
      <c r="D2994" s="3"/>
    </row>
    <row r="2995" spans="1:4">
      <c r="A2995" s="3"/>
      <c r="D2995" s="3"/>
    </row>
    <row r="2996" spans="1:4">
      <c r="A2996" s="3"/>
      <c r="D2996" s="3"/>
    </row>
    <row r="2997" spans="1:4">
      <c r="A2997" s="3"/>
      <c r="D2997" s="3"/>
    </row>
    <row r="2998" spans="1:4">
      <c r="A2998" s="3"/>
      <c r="D2998" s="3"/>
    </row>
    <row r="2999" spans="1:4">
      <c r="A2999" s="3"/>
      <c r="D2999" s="3"/>
    </row>
    <row r="3000" spans="1:4">
      <c r="A3000" s="3"/>
      <c r="D3000" s="3"/>
    </row>
    <row r="3001" spans="1:4">
      <c r="A3001" s="3"/>
      <c r="D3001" s="3"/>
    </row>
    <row r="3002" spans="1:4">
      <c r="A3002" s="3"/>
      <c r="D3002" s="3"/>
    </row>
    <row r="3003" spans="1:4">
      <c r="A3003" s="3"/>
      <c r="D3003" s="3"/>
    </row>
    <row r="3004" spans="1:4">
      <c r="A3004" s="3"/>
      <c r="D3004" s="3"/>
    </row>
    <row r="3005" spans="1:4">
      <c r="A3005" s="3"/>
      <c r="D3005" s="3"/>
    </row>
    <row r="3006" spans="1:4">
      <c r="A3006" s="3"/>
      <c r="D3006" s="3"/>
    </row>
    <row r="3007" spans="1:4">
      <c r="A3007" s="3"/>
      <c r="D3007" s="3"/>
    </row>
    <row r="3008" spans="1:4">
      <c r="A3008" s="3"/>
      <c r="D3008" s="3"/>
    </row>
    <row r="3009" spans="1:4">
      <c r="A3009" s="3"/>
      <c r="D3009" s="3"/>
    </row>
    <row r="3010" spans="1:4">
      <c r="A3010" s="3"/>
      <c r="D3010" s="3"/>
    </row>
    <row r="3011" spans="1:4">
      <c r="A3011" s="3"/>
      <c r="D3011" s="3"/>
    </row>
    <row r="3012" spans="1:4">
      <c r="A3012" s="3"/>
      <c r="D3012" s="3"/>
    </row>
    <row r="3013" spans="1:4">
      <c r="A3013" s="3"/>
      <c r="D3013" s="3"/>
    </row>
    <row r="3014" spans="1:4">
      <c r="A3014" s="3"/>
      <c r="D3014" s="3"/>
    </row>
    <row r="3015" spans="1:4">
      <c r="A3015" s="3"/>
      <c r="D3015" s="3"/>
    </row>
    <row r="3016" spans="1:4">
      <c r="A3016" s="3"/>
      <c r="D3016" s="3"/>
    </row>
    <row r="3017" spans="1:4">
      <c r="A3017" s="3"/>
      <c r="D3017" s="3"/>
    </row>
    <row r="3018" spans="1:4">
      <c r="A3018" s="3"/>
      <c r="D3018" s="3"/>
    </row>
    <row r="3019" spans="1:4">
      <c r="A3019" s="3"/>
      <c r="D3019" s="3"/>
    </row>
    <row r="3020" spans="1:4">
      <c r="A3020" s="3"/>
      <c r="D3020" s="3"/>
    </row>
    <row r="3021" spans="1:4">
      <c r="A3021" s="3"/>
      <c r="D3021" s="3"/>
    </row>
    <row r="3022" spans="1:4">
      <c r="A3022" s="3"/>
      <c r="D3022" s="3"/>
    </row>
    <row r="3023" spans="1:4">
      <c r="A3023" s="3"/>
      <c r="D3023" s="3"/>
    </row>
    <row r="3024" spans="1:4">
      <c r="A3024" s="3"/>
      <c r="D3024" s="3"/>
    </row>
    <row r="3025" spans="1:4">
      <c r="A3025" s="3"/>
      <c r="D3025" s="3"/>
    </row>
    <row r="3026" spans="1:4">
      <c r="A3026" s="3"/>
      <c r="D3026" s="3"/>
    </row>
    <row r="3027" spans="1:4">
      <c r="A3027" s="3"/>
      <c r="D3027" s="3"/>
    </row>
    <row r="3028" spans="1:4">
      <c r="A3028" s="3"/>
      <c r="D3028" s="3"/>
    </row>
    <row r="3029" spans="1:4">
      <c r="A3029" s="3"/>
      <c r="D3029" s="3"/>
    </row>
    <row r="3030" spans="1:4">
      <c r="A3030" s="3"/>
      <c r="D3030" s="3"/>
    </row>
    <row r="3031" spans="1:4">
      <c r="A3031" s="3"/>
      <c r="D3031" s="3"/>
    </row>
    <row r="3032" spans="1:4">
      <c r="A3032" s="3"/>
      <c r="D3032" s="3"/>
    </row>
    <row r="3033" spans="1:4">
      <c r="A3033" s="3"/>
      <c r="D3033" s="3"/>
    </row>
    <row r="3034" spans="1:4">
      <c r="A3034" s="3"/>
      <c r="D3034" s="3"/>
    </row>
    <row r="3035" spans="1:4">
      <c r="A3035" s="3"/>
      <c r="D3035" s="3"/>
    </row>
    <row r="3036" spans="1:4">
      <c r="A3036" s="3"/>
      <c r="D3036" s="3"/>
    </row>
    <row r="3037" spans="1:4">
      <c r="A3037" s="3"/>
      <c r="D3037" s="3"/>
    </row>
    <row r="3038" spans="1:4">
      <c r="A3038" s="3"/>
      <c r="D3038" s="3"/>
    </row>
    <row r="3039" spans="1:4">
      <c r="A3039" s="3"/>
      <c r="D3039" s="3"/>
    </row>
    <row r="3040" spans="1:4">
      <c r="A3040" s="3"/>
      <c r="D3040" s="3"/>
    </row>
    <row r="3041" spans="1:4">
      <c r="A3041" s="3"/>
      <c r="D3041" s="3"/>
    </row>
    <row r="3042" spans="1:4">
      <c r="A3042" s="3"/>
      <c r="D3042" s="3"/>
    </row>
    <row r="3043" spans="1:4">
      <c r="A3043" s="3"/>
      <c r="D3043" s="3"/>
    </row>
    <row r="3044" spans="1:4">
      <c r="A3044" s="3"/>
      <c r="D3044" s="3"/>
    </row>
    <row r="3045" spans="1:4">
      <c r="A3045" s="3"/>
      <c r="D3045" s="3"/>
    </row>
    <row r="3046" spans="1:4">
      <c r="A3046" s="3"/>
      <c r="D3046" s="3"/>
    </row>
    <row r="3047" spans="1:4">
      <c r="A3047" s="3"/>
      <c r="D3047" s="3"/>
    </row>
    <row r="3048" spans="1:4">
      <c r="A3048" s="3"/>
      <c r="D3048" s="3"/>
    </row>
    <row r="3049" spans="1:4">
      <c r="A3049" s="3"/>
      <c r="D3049" s="3"/>
    </row>
    <row r="3050" spans="1:4">
      <c r="A3050" s="3"/>
      <c r="D3050" s="3"/>
    </row>
    <row r="3051" spans="1:4">
      <c r="A3051" s="3"/>
      <c r="D3051" s="3"/>
    </row>
    <row r="3052" spans="1:4">
      <c r="A3052" s="3"/>
      <c r="D3052" s="3"/>
    </row>
    <row r="3053" spans="1:4">
      <c r="A3053" s="3"/>
      <c r="D3053" s="3"/>
    </row>
    <row r="3054" spans="1:4">
      <c r="A3054" s="3"/>
      <c r="D3054" s="3"/>
    </row>
    <row r="3055" spans="1:4">
      <c r="A3055" s="3"/>
      <c r="D3055" s="3"/>
    </row>
    <row r="3056" spans="1:4">
      <c r="A3056" s="3"/>
      <c r="D3056" s="3"/>
    </row>
    <row r="3057" spans="1:4">
      <c r="A3057" s="3"/>
      <c r="D3057" s="3"/>
    </row>
    <row r="3058" spans="1:4">
      <c r="A3058" s="3"/>
      <c r="D3058" s="3"/>
    </row>
    <row r="3059" spans="1:4">
      <c r="A3059" s="3"/>
      <c r="D3059" s="3"/>
    </row>
    <row r="3060" spans="1:4">
      <c r="A3060" s="3"/>
      <c r="D3060" s="3"/>
    </row>
    <row r="3061" spans="1:4">
      <c r="A3061" s="3"/>
      <c r="D3061" s="3"/>
    </row>
    <row r="3062" spans="1:4">
      <c r="A3062" s="3"/>
      <c r="D3062" s="3"/>
    </row>
    <row r="3063" spans="1:4">
      <c r="A3063" s="3"/>
      <c r="D3063" s="3"/>
    </row>
    <row r="3064" spans="1:4">
      <c r="A3064" s="3"/>
      <c r="D3064" s="3"/>
    </row>
    <row r="3065" spans="1:4">
      <c r="A3065" s="3"/>
      <c r="D3065" s="3"/>
    </row>
    <row r="3066" spans="1:4">
      <c r="A3066" s="3"/>
      <c r="D3066" s="3"/>
    </row>
    <row r="3067" spans="1:4">
      <c r="A3067" s="3"/>
      <c r="D3067" s="3"/>
    </row>
    <row r="3068" spans="1:4">
      <c r="A3068" s="3"/>
      <c r="D3068" s="3"/>
    </row>
    <row r="3069" spans="1:4">
      <c r="A3069" s="3"/>
      <c r="D3069" s="3"/>
    </row>
    <row r="3070" spans="1:4">
      <c r="A3070" s="3"/>
      <c r="D3070" s="3"/>
    </row>
    <row r="3071" spans="1:4">
      <c r="A3071" s="3"/>
      <c r="D3071" s="3"/>
    </row>
    <row r="3072" spans="1:4">
      <c r="A3072" s="3"/>
      <c r="D3072" s="3"/>
    </row>
    <row r="3073" spans="1:4">
      <c r="A3073" s="3"/>
      <c r="D3073" s="3"/>
    </row>
    <row r="3074" spans="1:4">
      <c r="A3074" s="3"/>
      <c r="D3074" s="3"/>
    </row>
    <row r="3075" spans="1:4">
      <c r="A3075" s="3"/>
      <c r="D3075" s="3"/>
    </row>
    <row r="3076" spans="1:4">
      <c r="A3076" s="3"/>
      <c r="D3076" s="3"/>
    </row>
    <row r="3077" spans="1:4">
      <c r="A3077" s="3"/>
      <c r="D3077" s="3"/>
    </row>
    <row r="3078" spans="1:4">
      <c r="A3078" s="3"/>
      <c r="D3078" s="3"/>
    </row>
    <row r="3079" spans="1:4">
      <c r="A3079" s="3"/>
      <c r="D3079" s="3"/>
    </row>
    <row r="3080" spans="1:4">
      <c r="A3080" s="3"/>
      <c r="D3080" s="3"/>
    </row>
    <row r="3081" spans="1:4">
      <c r="A3081" s="3"/>
      <c r="D3081" s="3"/>
    </row>
    <row r="3082" spans="1:4">
      <c r="A3082" s="3"/>
      <c r="D3082" s="3"/>
    </row>
    <row r="3083" spans="1:4">
      <c r="A3083" s="3"/>
      <c r="D3083" s="3"/>
    </row>
    <row r="3084" spans="1:4">
      <c r="A3084" s="3"/>
      <c r="D3084" s="3"/>
    </row>
    <row r="3085" spans="1:4">
      <c r="A3085" s="3"/>
      <c r="D3085" s="3"/>
    </row>
    <row r="3086" spans="1:4">
      <c r="A3086" s="3"/>
      <c r="D3086" s="3"/>
    </row>
    <row r="3087" spans="1:4">
      <c r="A3087" s="3"/>
      <c r="D3087" s="3"/>
    </row>
    <row r="3088" spans="1:4">
      <c r="A3088" s="3"/>
      <c r="D3088" s="3"/>
    </row>
    <row r="3089" spans="1:4">
      <c r="A3089" s="3"/>
      <c r="D3089" s="3"/>
    </row>
    <row r="3090" spans="1:4">
      <c r="A3090" s="3"/>
      <c r="D3090" s="3"/>
    </row>
    <row r="3091" spans="1:4">
      <c r="A3091" s="3"/>
      <c r="D3091" s="3"/>
    </row>
    <row r="3092" spans="1:4">
      <c r="A3092" s="3"/>
      <c r="D3092" s="3"/>
    </row>
    <row r="3093" spans="1:4">
      <c r="A3093" s="3"/>
      <c r="D3093" s="3"/>
    </row>
    <row r="3094" spans="1:4">
      <c r="A3094" s="3"/>
      <c r="D3094" s="3"/>
    </row>
    <row r="3095" spans="1:4">
      <c r="A3095" s="3"/>
      <c r="D3095" s="3"/>
    </row>
    <row r="3096" spans="1:4">
      <c r="A3096" s="3"/>
      <c r="D3096" s="3"/>
    </row>
    <row r="3097" spans="1:4">
      <c r="A3097" s="3"/>
      <c r="D3097" s="3"/>
    </row>
    <row r="3098" spans="1:4">
      <c r="A3098" s="3"/>
      <c r="D3098" s="3"/>
    </row>
    <row r="3099" spans="1:4">
      <c r="A3099" s="3"/>
      <c r="D3099" s="3"/>
    </row>
    <row r="3100" spans="1:4">
      <c r="A3100" s="3"/>
      <c r="D3100" s="3"/>
    </row>
    <row r="3101" spans="1:4">
      <c r="A3101" s="3"/>
      <c r="D3101" s="3"/>
    </row>
    <row r="3102" spans="1:4">
      <c r="A3102" s="3"/>
      <c r="D3102" s="3"/>
    </row>
    <row r="3103" spans="1:4">
      <c r="A3103" s="3"/>
      <c r="D3103" s="3"/>
    </row>
    <row r="3104" spans="1:4">
      <c r="A3104" s="3"/>
      <c r="D3104" s="3"/>
    </row>
    <row r="3105" spans="1:4">
      <c r="A3105" s="3"/>
      <c r="D3105" s="3"/>
    </row>
    <row r="3106" spans="1:4">
      <c r="A3106" s="3"/>
      <c r="D3106" s="3"/>
    </row>
    <row r="3107" spans="1:4">
      <c r="A3107" s="3"/>
      <c r="D3107" s="3"/>
    </row>
    <row r="3108" spans="1:4">
      <c r="A3108" s="3"/>
      <c r="D3108" s="3"/>
    </row>
    <row r="3109" spans="1:4">
      <c r="A3109" s="3"/>
      <c r="D3109" s="3"/>
    </row>
    <row r="3110" spans="1:4">
      <c r="A3110" s="3"/>
      <c r="D3110" s="3"/>
    </row>
    <row r="3111" spans="1:4">
      <c r="A3111" s="3"/>
      <c r="D3111" s="3"/>
    </row>
    <row r="3112" spans="1:4">
      <c r="A3112" s="3"/>
      <c r="D3112" s="3"/>
    </row>
    <row r="3113" spans="1:4">
      <c r="A3113" s="3"/>
      <c r="D3113" s="3"/>
    </row>
    <row r="3114" spans="1:4">
      <c r="A3114" s="3"/>
      <c r="D3114" s="3"/>
    </row>
    <row r="3115" spans="1:4">
      <c r="A3115" s="3"/>
      <c r="D3115" s="3"/>
    </row>
    <row r="3116" spans="1:4">
      <c r="A3116" s="3"/>
      <c r="D3116" s="3"/>
    </row>
    <row r="3117" spans="1:4">
      <c r="A3117" s="3"/>
      <c r="D3117" s="3"/>
    </row>
    <row r="3118" spans="1:4">
      <c r="A3118" s="3"/>
      <c r="D3118" s="3"/>
    </row>
    <row r="3119" spans="1:4">
      <c r="A3119" s="3"/>
      <c r="D3119" s="3"/>
    </row>
    <row r="3120" spans="1:4">
      <c r="A3120" s="3"/>
      <c r="D3120" s="3"/>
    </row>
    <row r="3121" spans="1:4">
      <c r="A3121" s="3"/>
      <c r="D3121" s="3"/>
    </row>
    <row r="3122" spans="1:4">
      <c r="A3122" s="3"/>
      <c r="D3122" s="3"/>
    </row>
    <row r="3123" spans="1:4">
      <c r="A3123" s="3"/>
      <c r="D3123" s="3"/>
    </row>
    <row r="3124" spans="1:4">
      <c r="A3124" s="3"/>
      <c r="D3124" s="3"/>
    </row>
    <row r="3125" spans="1:4">
      <c r="A3125" s="3"/>
      <c r="D3125" s="3"/>
    </row>
    <row r="3126" spans="1:4">
      <c r="A3126" s="3"/>
      <c r="D3126" s="3"/>
    </row>
    <row r="3127" spans="1:4">
      <c r="A3127" s="3"/>
      <c r="D3127" s="3"/>
    </row>
    <row r="3128" spans="1:4">
      <c r="A3128" s="3"/>
      <c r="D3128" s="3"/>
    </row>
    <row r="3129" spans="1:4">
      <c r="A3129" s="3"/>
      <c r="D3129" s="3"/>
    </row>
    <row r="3130" spans="1:4">
      <c r="A3130" s="3"/>
      <c r="D3130" s="3"/>
    </row>
    <row r="3131" spans="1:4">
      <c r="A3131" s="3"/>
      <c r="D3131" s="3"/>
    </row>
    <row r="3132" spans="1:4">
      <c r="A3132" s="3"/>
      <c r="D3132" s="3"/>
    </row>
    <row r="3133" spans="1:4">
      <c r="A3133" s="3"/>
      <c r="D3133" s="3"/>
    </row>
    <row r="3134" spans="1:4">
      <c r="A3134" s="3"/>
      <c r="D3134" s="3"/>
    </row>
    <row r="3135" spans="1:4">
      <c r="A3135" s="3"/>
      <c r="D3135" s="3"/>
    </row>
    <row r="3136" spans="1:4">
      <c r="A3136" s="3"/>
      <c r="D3136" s="3"/>
    </row>
    <row r="3137" spans="1:4">
      <c r="A3137" s="3"/>
      <c r="D3137" s="3"/>
    </row>
    <row r="3138" spans="1:4">
      <c r="A3138" s="3"/>
      <c r="D3138" s="3"/>
    </row>
    <row r="3139" spans="1:4">
      <c r="A3139" s="3"/>
      <c r="D3139" s="3"/>
    </row>
    <row r="3140" spans="1:4">
      <c r="A3140" s="3"/>
      <c r="D3140" s="3"/>
    </row>
    <row r="3141" spans="1:4">
      <c r="A3141" s="3"/>
      <c r="D3141" s="3"/>
    </row>
    <row r="3142" spans="1:4">
      <c r="A3142" s="3"/>
      <c r="D3142" s="3"/>
    </row>
    <row r="3143" spans="1:4">
      <c r="A3143" s="3"/>
      <c r="D3143" s="3"/>
    </row>
    <row r="3144" spans="1:4">
      <c r="A3144" s="3"/>
      <c r="D3144" s="3"/>
    </row>
    <row r="3145" spans="1:4">
      <c r="A3145" s="3"/>
      <c r="D3145" s="3"/>
    </row>
    <row r="3146" spans="1:4">
      <c r="A3146" s="3"/>
      <c r="D3146" s="3"/>
    </row>
    <row r="3147" spans="1:4">
      <c r="A3147" s="3"/>
      <c r="D3147" s="3"/>
    </row>
    <row r="3148" spans="1:4">
      <c r="A3148" s="3"/>
      <c r="D3148" s="3"/>
    </row>
    <row r="3149" spans="1:4">
      <c r="A3149" s="3"/>
      <c r="D3149" s="3"/>
    </row>
    <row r="3150" spans="1:4">
      <c r="A3150" s="3"/>
      <c r="D3150" s="3"/>
    </row>
    <row r="3151" spans="1:4">
      <c r="A3151" s="3"/>
      <c r="D3151" s="3"/>
    </row>
    <row r="3152" spans="1:4">
      <c r="A3152" s="3"/>
      <c r="D3152" s="3"/>
    </row>
    <row r="3153" spans="1:4">
      <c r="A3153" s="3"/>
      <c r="D3153" s="3"/>
    </row>
    <row r="3154" spans="1:4">
      <c r="A3154" s="3"/>
      <c r="D3154" s="3"/>
    </row>
    <row r="3155" spans="1:4">
      <c r="A3155" s="3"/>
      <c r="D3155" s="3"/>
    </row>
    <row r="3156" spans="1:4">
      <c r="A3156" s="3"/>
      <c r="D3156" s="3"/>
    </row>
    <row r="3157" spans="1:4">
      <c r="A3157" s="3"/>
      <c r="D3157" s="3"/>
    </row>
    <row r="3158" spans="1:4">
      <c r="A3158" s="3"/>
      <c r="D3158" s="3"/>
    </row>
    <row r="3159" spans="1:4">
      <c r="A3159" s="3"/>
      <c r="D3159" s="3"/>
    </row>
    <row r="3160" spans="1:4">
      <c r="A3160" s="3"/>
      <c r="D3160" s="3"/>
    </row>
    <row r="3161" spans="1:4">
      <c r="A3161" s="3"/>
      <c r="D3161" s="3"/>
    </row>
    <row r="3162" spans="1:4">
      <c r="A3162" s="3"/>
      <c r="D3162" s="3"/>
    </row>
    <row r="3163" spans="1:4">
      <c r="A3163" s="3"/>
      <c r="D3163" s="3"/>
    </row>
    <row r="3164" spans="1:4">
      <c r="A3164" s="3"/>
      <c r="D3164" s="3"/>
    </row>
    <row r="3165" spans="1:4">
      <c r="A3165" s="3"/>
      <c r="D3165" s="3"/>
    </row>
    <row r="3166" spans="1:4">
      <c r="A3166" s="3"/>
      <c r="D3166" s="3"/>
    </row>
    <row r="3167" spans="1:4">
      <c r="A3167" s="3"/>
      <c r="D3167" s="3"/>
    </row>
    <row r="3168" spans="1:4">
      <c r="A3168" s="3"/>
      <c r="D3168" s="3"/>
    </row>
    <row r="3169" spans="1:4">
      <c r="A3169" s="3"/>
      <c r="D3169" s="3"/>
    </row>
    <row r="3170" spans="1:4">
      <c r="A3170" s="3"/>
      <c r="D3170" s="3"/>
    </row>
    <row r="3171" spans="1:4">
      <c r="A3171" s="3"/>
      <c r="D3171" s="3"/>
    </row>
    <row r="3172" spans="1:4">
      <c r="A3172" s="3"/>
      <c r="D3172" s="3"/>
    </row>
    <row r="3173" spans="1:4">
      <c r="A3173" s="3"/>
      <c r="D3173" s="3"/>
    </row>
    <row r="3174" spans="1:4">
      <c r="A3174" s="3"/>
      <c r="D3174" s="3"/>
    </row>
    <row r="3175" spans="1:4">
      <c r="A3175" s="3"/>
      <c r="D3175" s="3"/>
    </row>
    <row r="3176" spans="1:4">
      <c r="A3176" s="3"/>
      <c r="D3176" s="3"/>
    </row>
    <row r="3177" spans="1:4">
      <c r="A3177" s="3"/>
      <c r="D3177" s="3"/>
    </row>
    <row r="3178" spans="1:4">
      <c r="A3178" s="3"/>
      <c r="D3178" s="3"/>
    </row>
    <row r="3179" spans="1:4">
      <c r="A3179" s="3"/>
      <c r="D3179" s="3"/>
    </row>
    <row r="3180" spans="1:4">
      <c r="A3180" s="3"/>
      <c r="D3180" s="3"/>
    </row>
    <row r="3181" spans="1:4">
      <c r="A3181" s="3"/>
      <c r="D3181" s="3"/>
    </row>
    <row r="3182" spans="1:4">
      <c r="A3182" s="3"/>
      <c r="D3182" s="3"/>
    </row>
    <row r="3183" spans="1:4">
      <c r="A3183" s="3"/>
      <c r="D3183" s="3"/>
    </row>
    <row r="3184" spans="1:4">
      <c r="A3184" s="3"/>
      <c r="D3184" s="3"/>
    </row>
    <row r="3185" spans="1:4">
      <c r="A3185" s="3"/>
      <c r="D3185" s="3"/>
    </row>
    <row r="3186" spans="1:4">
      <c r="A3186" s="3"/>
      <c r="D3186" s="3"/>
    </row>
    <row r="3187" spans="1:4">
      <c r="A3187" s="3"/>
      <c r="D3187" s="3"/>
    </row>
    <row r="3188" spans="1:4">
      <c r="A3188" s="3"/>
      <c r="D3188" s="3"/>
    </row>
    <row r="3189" spans="1:4">
      <c r="A3189" s="3"/>
      <c r="D3189" s="3"/>
    </row>
    <row r="3190" spans="1:4">
      <c r="A3190" s="3"/>
      <c r="D3190" s="3"/>
    </row>
    <row r="3191" spans="1:4">
      <c r="A3191" s="3"/>
      <c r="D3191" s="3"/>
    </row>
    <row r="3192" spans="1:4">
      <c r="A3192" s="3"/>
      <c r="D3192" s="3"/>
    </row>
    <row r="3193" spans="1:4">
      <c r="A3193" s="3"/>
      <c r="D3193" s="3"/>
    </row>
    <row r="3194" spans="1:4">
      <c r="A3194" s="3"/>
      <c r="D3194" s="3"/>
    </row>
    <row r="3195" spans="1:4">
      <c r="A3195" s="3"/>
      <c r="D3195" s="3"/>
    </row>
    <row r="3196" spans="1:4">
      <c r="A3196" s="3"/>
      <c r="D3196" s="3"/>
    </row>
    <row r="3197" spans="1:4">
      <c r="A3197" s="3"/>
      <c r="D3197" s="3"/>
    </row>
    <row r="3198" spans="1:4">
      <c r="A3198" s="3"/>
      <c r="D3198" s="3"/>
    </row>
    <row r="3199" spans="1:4">
      <c r="A3199" s="3"/>
      <c r="D3199" s="3"/>
    </row>
    <row r="3200" spans="1:4">
      <c r="A3200" s="3"/>
      <c r="D3200" s="3"/>
    </row>
    <row r="3201" spans="1:4">
      <c r="A3201" s="3"/>
      <c r="D3201" s="3"/>
    </row>
    <row r="3202" spans="1:4">
      <c r="A3202" s="3"/>
      <c r="D3202" s="3"/>
    </row>
    <row r="3203" spans="1:4">
      <c r="A3203" s="3"/>
      <c r="D3203" s="3"/>
    </row>
    <row r="3204" spans="1:4">
      <c r="A3204" s="3"/>
      <c r="D3204" s="3"/>
    </row>
    <row r="3205" spans="1:4">
      <c r="A3205" s="3"/>
      <c r="D3205" s="3"/>
    </row>
    <row r="3206" spans="1:4">
      <c r="A3206" s="3"/>
      <c r="D3206" s="3"/>
    </row>
    <row r="3207" spans="1:4">
      <c r="A3207" s="3"/>
      <c r="D3207" s="3"/>
    </row>
    <row r="3208" spans="1:4">
      <c r="A3208" s="3"/>
      <c r="D3208" s="3"/>
    </row>
    <row r="3209" spans="1:4">
      <c r="A3209" s="3"/>
      <c r="D3209" s="3"/>
    </row>
    <row r="3210" spans="1:4">
      <c r="A3210" s="3"/>
      <c r="D3210" s="3"/>
    </row>
    <row r="3211" spans="1:4">
      <c r="A3211" s="3"/>
      <c r="D3211" s="3"/>
    </row>
    <row r="3212" spans="1:4">
      <c r="A3212" s="3"/>
      <c r="D3212" s="3"/>
    </row>
    <row r="3213" spans="1:4">
      <c r="A3213" s="3"/>
      <c r="D3213" s="3"/>
    </row>
    <row r="3214" spans="1:4">
      <c r="A3214" s="3"/>
      <c r="D3214" s="3"/>
    </row>
    <row r="3215" spans="1:4">
      <c r="A3215" s="3"/>
      <c r="D3215" s="3"/>
    </row>
    <row r="3216" spans="1:4">
      <c r="A3216" s="3"/>
      <c r="D3216" s="3"/>
    </row>
    <row r="3217" spans="1:4">
      <c r="A3217" s="3"/>
      <c r="D3217" s="3"/>
    </row>
    <row r="3218" spans="1:4">
      <c r="A3218" s="3"/>
      <c r="D3218" s="3"/>
    </row>
    <row r="3219" spans="1:4">
      <c r="A3219" s="3"/>
      <c r="D3219" s="3"/>
    </row>
    <row r="3220" spans="1:4">
      <c r="A3220" s="3"/>
      <c r="D3220" s="3"/>
    </row>
    <row r="3221" spans="1:4">
      <c r="A3221" s="3"/>
      <c r="D3221" s="3"/>
    </row>
    <row r="3222" spans="1:4">
      <c r="A3222" s="3"/>
      <c r="D3222" s="3"/>
    </row>
    <row r="3223" spans="1:4">
      <c r="A3223" s="3"/>
      <c r="D3223" s="3"/>
    </row>
    <row r="3224" spans="1:4">
      <c r="A3224" s="3"/>
      <c r="D3224" s="3"/>
    </row>
    <row r="3225" spans="1:4">
      <c r="A3225" s="3"/>
      <c r="D3225" s="3"/>
    </row>
    <row r="3226" spans="1:4">
      <c r="A3226" s="3"/>
      <c r="D3226" s="3"/>
    </row>
    <row r="3227" spans="1:4">
      <c r="A3227" s="3"/>
      <c r="D3227" s="3"/>
    </row>
    <row r="3228" spans="1:4">
      <c r="A3228" s="3"/>
      <c r="D3228" s="3"/>
    </row>
    <row r="3229" spans="1:4">
      <c r="A3229" s="3"/>
      <c r="D3229" s="3"/>
    </row>
    <row r="3230" spans="1:4">
      <c r="A3230" s="3"/>
      <c r="D3230" s="3"/>
    </row>
    <row r="3231" spans="1:4">
      <c r="A3231" s="3"/>
      <c r="D3231" s="3"/>
    </row>
    <row r="3232" spans="1:4">
      <c r="A3232" s="3"/>
      <c r="D3232" s="3"/>
    </row>
    <row r="3233" spans="1:4">
      <c r="A3233" s="3"/>
      <c r="D3233" s="3"/>
    </row>
    <row r="3234" spans="1:4">
      <c r="A3234" s="3"/>
      <c r="D3234" s="3"/>
    </row>
    <row r="3235" spans="1:4">
      <c r="A3235" s="3"/>
      <c r="D3235" s="3"/>
    </row>
    <row r="3236" spans="1:4">
      <c r="A3236" s="3"/>
      <c r="D3236" s="3"/>
    </row>
    <row r="3237" spans="1:4">
      <c r="A3237" s="3"/>
      <c r="D3237" s="3"/>
    </row>
    <row r="3238" spans="1:4">
      <c r="A3238" s="3"/>
      <c r="D3238" s="3"/>
    </row>
    <row r="3239" spans="1:4">
      <c r="A3239" s="3"/>
      <c r="D3239" s="3"/>
    </row>
    <row r="3240" spans="1:4">
      <c r="A3240" s="3"/>
      <c r="D3240" s="3"/>
    </row>
    <row r="3241" spans="1:4">
      <c r="A3241" s="3"/>
      <c r="D3241" s="3"/>
    </row>
    <row r="3242" spans="1:4">
      <c r="A3242" s="3"/>
      <c r="D3242" s="3"/>
    </row>
    <row r="3243" spans="1:4">
      <c r="A3243" s="3"/>
      <c r="D3243" s="3"/>
    </row>
    <row r="3244" spans="1:4">
      <c r="A3244" s="3"/>
      <c r="D3244" s="3"/>
    </row>
    <row r="3245" spans="1:4">
      <c r="A3245" s="3"/>
      <c r="D3245" s="3"/>
    </row>
    <row r="3246" spans="1:4">
      <c r="A3246" s="3"/>
      <c r="D3246" s="3"/>
    </row>
    <row r="3247" spans="1:4">
      <c r="A3247" s="3"/>
      <c r="D3247" s="3"/>
    </row>
    <row r="3248" spans="1:4">
      <c r="A3248" s="3"/>
      <c r="D3248" s="3"/>
    </row>
    <row r="3249" spans="1:4">
      <c r="A3249" s="3"/>
      <c r="D3249" s="3"/>
    </row>
    <row r="3250" spans="1:4">
      <c r="A3250" s="3"/>
      <c r="D3250" s="3"/>
    </row>
    <row r="3251" spans="1:4">
      <c r="A3251" s="3"/>
      <c r="D3251" s="3"/>
    </row>
    <row r="3252" spans="1:4">
      <c r="A3252" s="3"/>
      <c r="D3252" s="3"/>
    </row>
    <row r="3253" spans="1:4">
      <c r="A3253" s="3"/>
      <c r="D3253" s="3"/>
    </row>
    <row r="3254" spans="1:4">
      <c r="A3254" s="3"/>
      <c r="D3254" s="3"/>
    </row>
    <row r="3255" spans="1:4">
      <c r="A3255" s="3"/>
      <c r="D3255" s="3"/>
    </row>
    <row r="3256" spans="1:4">
      <c r="A3256" s="3"/>
      <c r="D3256" s="3"/>
    </row>
    <row r="3257" spans="1:4">
      <c r="A3257" s="3"/>
      <c r="D3257" s="3"/>
    </row>
    <row r="3258" spans="1:4">
      <c r="A3258" s="3"/>
      <c r="D3258" s="3"/>
    </row>
    <row r="3259" spans="1:4">
      <c r="A3259" s="3"/>
      <c r="D3259" s="3"/>
    </row>
    <row r="3260" spans="1:4">
      <c r="A3260" s="3"/>
      <c r="D3260" s="3"/>
    </row>
    <row r="3261" spans="1:4">
      <c r="A3261" s="3"/>
      <c r="D3261" s="3"/>
    </row>
    <row r="3262" spans="1:4">
      <c r="A3262" s="3"/>
      <c r="D3262" s="3"/>
    </row>
    <row r="3263" spans="1:4">
      <c r="A3263" s="3"/>
      <c r="D3263" s="3"/>
    </row>
    <row r="3264" spans="1:4">
      <c r="A3264" s="3"/>
      <c r="D3264" s="3"/>
    </row>
    <row r="3265" spans="1:4">
      <c r="A3265" s="3"/>
      <c r="D3265" s="3"/>
    </row>
    <row r="3266" spans="1:4">
      <c r="A3266" s="3"/>
      <c r="D3266" s="3"/>
    </row>
    <row r="3267" spans="1:4">
      <c r="A3267" s="3"/>
      <c r="D3267" s="3"/>
    </row>
    <row r="3268" spans="1:4">
      <c r="A3268" s="3"/>
      <c r="D3268" s="3"/>
    </row>
    <row r="3269" spans="1:4">
      <c r="A3269" s="3"/>
      <c r="D3269" s="3"/>
    </row>
    <row r="3270" spans="1:4">
      <c r="A3270" s="3"/>
      <c r="D3270" s="3"/>
    </row>
    <row r="3271" spans="1:4">
      <c r="A3271" s="3"/>
      <c r="D3271" s="3"/>
    </row>
    <row r="3272" spans="1:4">
      <c r="A3272" s="3"/>
      <c r="D3272" s="3"/>
    </row>
    <row r="3273" spans="1:4">
      <c r="A3273" s="3"/>
      <c r="D3273" s="3"/>
    </row>
    <row r="3274" spans="1:4">
      <c r="A3274" s="3"/>
      <c r="D3274" s="3"/>
    </row>
    <row r="3275" spans="1:4">
      <c r="A3275" s="3"/>
      <c r="D3275" s="3"/>
    </row>
    <row r="3276" spans="1:4">
      <c r="A3276" s="3"/>
      <c r="D3276" s="3"/>
    </row>
    <row r="3277" spans="1:4">
      <c r="A3277" s="3"/>
      <c r="D3277" s="3"/>
    </row>
    <row r="3278" spans="1:4">
      <c r="A3278" s="3"/>
      <c r="D3278" s="3"/>
    </row>
    <row r="3279" spans="1:4">
      <c r="A3279" s="3"/>
      <c r="D3279" s="3"/>
    </row>
    <row r="3280" spans="1:4">
      <c r="A3280" s="3"/>
      <c r="D3280" s="3"/>
    </row>
    <row r="3281" spans="1:4">
      <c r="A3281" s="3"/>
      <c r="D3281" s="3"/>
    </row>
    <row r="3282" spans="1:4">
      <c r="A3282" s="3"/>
      <c r="D3282" s="3"/>
    </row>
    <row r="3283" spans="1:4">
      <c r="A3283" s="3"/>
      <c r="D3283" s="3"/>
    </row>
    <row r="3284" spans="1:4">
      <c r="A3284" s="3"/>
      <c r="D3284" s="3"/>
    </row>
    <row r="3285" spans="1:4">
      <c r="A3285" s="3"/>
      <c r="D3285" s="3"/>
    </row>
    <row r="3286" spans="1:4">
      <c r="A3286" s="3"/>
      <c r="D3286" s="3"/>
    </row>
    <row r="3287" spans="1:4">
      <c r="A3287" s="3"/>
      <c r="D3287" s="3"/>
    </row>
    <row r="3288" spans="1:4">
      <c r="A3288" s="3"/>
      <c r="D3288" s="3"/>
    </row>
    <row r="3289" spans="1:4">
      <c r="A3289" s="3"/>
      <c r="D3289" s="3"/>
    </row>
    <row r="3290" spans="1:4">
      <c r="A3290" s="3"/>
      <c r="D3290" s="3"/>
    </row>
    <row r="3291" spans="1:4">
      <c r="A3291" s="3"/>
      <c r="D3291" s="3"/>
    </row>
    <row r="3292" spans="1:4">
      <c r="A3292" s="3"/>
      <c r="D3292" s="3"/>
    </row>
    <row r="3293" spans="1:4">
      <c r="A3293" s="3"/>
      <c r="D3293" s="3"/>
    </row>
    <row r="3294" spans="1:4">
      <c r="A3294" s="3"/>
      <c r="D3294" s="3"/>
    </row>
    <row r="3295" spans="1:4">
      <c r="A3295" s="3"/>
      <c r="D3295" s="3"/>
    </row>
    <row r="3296" spans="1:4">
      <c r="A3296" s="3"/>
      <c r="D3296" s="3"/>
    </row>
    <row r="3297" spans="1:4">
      <c r="A3297" s="3"/>
      <c r="D3297" s="3"/>
    </row>
    <row r="3298" spans="1:4">
      <c r="A3298" s="3"/>
      <c r="D3298" s="3"/>
    </row>
    <row r="3299" spans="1:4">
      <c r="A3299" s="3"/>
      <c r="D3299" s="3"/>
    </row>
    <row r="3300" spans="1:4">
      <c r="A3300" s="3"/>
      <c r="D3300" s="3"/>
    </row>
    <row r="3301" spans="1:4">
      <c r="A3301" s="3"/>
      <c r="D3301" s="3"/>
    </row>
    <row r="3302" spans="1:4">
      <c r="A3302" s="3"/>
      <c r="D3302" s="3"/>
    </row>
    <row r="3303" spans="1:4">
      <c r="A3303" s="3"/>
      <c r="D3303" s="3"/>
    </row>
    <row r="3304" spans="1:4">
      <c r="A3304" s="3"/>
      <c r="D3304" s="3"/>
    </row>
    <row r="3305" spans="1:4">
      <c r="A3305" s="3"/>
      <c r="D3305" s="3"/>
    </row>
    <row r="3306" spans="1:4">
      <c r="A3306" s="3"/>
      <c r="D3306" s="3"/>
    </row>
    <row r="3307" spans="1:4">
      <c r="A3307" s="3"/>
      <c r="D3307" s="3"/>
    </row>
    <row r="3308" spans="1:4">
      <c r="A3308" s="3"/>
      <c r="D3308" s="3"/>
    </row>
    <row r="3309" spans="1:4">
      <c r="A3309" s="3"/>
      <c r="D3309" s="3"/>
    </row>
    <row r="3310" spans="1:4">
      <c r="A3310" s="3"/>
      <c r="D3310" s="3"/>
    </row>
    <row r="3311" spans="1:4">
      <c r="A3311" s="3"/>
      <c r="D3311" s="3"/>
    </row>
    <row r="3312" spans="1:4">
      <c r="A3312" s="3"/>
      <c r="D3312" s="3"/>
    </row>
    <row r="3313" spans="1:4">
      <c r="A3313" s="3"/>
      <c r="D3313" s="3"/>
    </row>
    <row r="3314" spans="1:4">
      <c r="A3314" s="3"/>
      <c r="D3314" s="3"/>
    </row>
    <row r="3315" spans="1:4">
      <c r="A3315" s="3"/>
      <c r="D3315" s="3"/>
    </row>
    <row r="3316" spans="1:4">
      <c r="A3316" s="3"/>
      <c r="D3316" s="3"/>
    </row>
    <row r="3317" spans="1:4">
      <c r="A3317" s="3"/>
      <c r="D3317" s="3"/>
    </row>
    <row r="3318" spans="1:4">
      <c r="A3318" s="3"/>
      <c r="D3318" s="3"/>
    </row>
    <row r="3319" spans="1:4">
      <c r="A3319" s="3"/>
      <c r="D3319" s="3"/>
    </row>
    <row r="3320" spans="1:4">
      <c r="A3320" s="3"/>
      <c r="D3320" s="3"/>
    </row>
    <row r="3321" spans="1:4">
      <c r="A3321" s="3"/>
      <c r="D3321" s="3"/>
    </row>
    <row r="3322" spans="1:4">
      <c r="A3322" s="3"/>
      <c r="D3322" s="3"/>
    </row>
    <row r="3323" spans="1:4">
      <c r="A3323" s="3"/>
      <c r="D3323" s="3"/>
    </row>
    <row r="3324" spans="1:4">
      <c r="A3324" s="3"/>
      <c r="D3324" s="3"/>
    </row>
    <row r="3325" spans="1:4">
      <c r="A3325" s="3"/>
      <c r="D3325" s="3"/>
    </row>
    <row r="3326" spans="1:4">
      <c r="A3326" s="3"/>
      <c r="D3326" s="3"/>
    </row>
    <row r="3327" spans="1:4">
      <c r="A3327" s="3"/>
      <c r="D3327" s="3"/>
    </row>
    <row r="3328" spans="1:4">
      <c r="A3328" s="3"/>
      <c r="D3328" s="3"/>
    </row>
    <row r="3329" spans="1:4">
      <c r="A3329" s="3"/>
      <c r="D3329" s="3"/>
    </row>
    <row r="3330" spans="1:4">
      <c r="A3330" s="3"/>
      <c r="D3330" s="3"/>
    </row>
    <row r="3331" spans="1:4">
      <c r="A3331" s="3"/>
      <c r="D3331" s="3"/>
    </row>
    <row r="3332" spans="1:4">
      <c r="A3332" s="3"/>
      <c r="D3332" s="3"/>
    </row>
    <row r="3333" spans="1:4">
      <c r="A3333" s="3"/>
      <c r="D3333" s="3"/>
    </row>
    <row r="3334" spans="1:4">
      <c r="A3334" s="3"/>
      <c r="D3334" s="3"/>
    </row>
    <row r="3335" spans="1:4">
      <c r="A3335" s="3"/>
      <c r="D3335" s="3"/>
    </row>
    <row r="3336" spans="1:4">
      <c r="A3336" s="3"/>
      <c r="D3336" s="3"/>
    </row>
    <row r="3337" spans="1:4">
      <c r="A3337" s="3"/>
      <c r="D3337" s="3"/>
    </row>
    <row r="3338" spans="1:4">
      <c r="A3338" s="3"/>
      <c r="D3338" s="3"/>
    </row>
    <row r="3339" spans="1:4">
      <c r="A3339" s="3"/>
      <c r="D3339" s="3"/>
    </row>
    <row r="3340" spans="1:4">
      <c r="A3340" s="3"/>
      <c r="D3340" s="3"/>
    </row>
    <row r="3341" spans="1:4">
      <c r="A3341" s="3"/>
      <c r="D3341" s="3"/>
    </row>
    <row r="3342" spans="1:4">
      <c r="A3342" s="3"/>
      <c r="D3342" s="3"/>
    </row>
    <row r="3343" spans="1:4">
      <c r="A3343" s="3"/>
      <c r="D3343" s="3"/>
    </row>
    <row r="3344" spans="1:4">
      <c r="A3344" s="3"/>
      <c r="D3344" s="3"/>
    </row>
    <row r="3345" spans="1:4">
      <c r="A3345" s="3"/>
      <c r="D3345" s="3"/>
    </row>
    <row r="3346" spans="1:4">
      <c r="A3346" s="3"/>
      <c r="D3346" s="3"/>
    </row>
    <row r="3347" spans="1:4">
      <c r="A3347" s="3"/>
      <c r="D3347" s="3"/>
    </row>
    <row r="3348" spans="1:4">
      <c r="A3348" s="3"/>
      <c r="D3348" s="3"/>
    </row>
    <row r="3349" spans="1:4">
      <c r="A3349" s="3"/>
      <c r="D3349" s="3"/>
    </row>
    <row r="3350" spans="1:4">
      <c r="A3350" s="3"/>
      <c r="D3350" s="3"/>
    </row>
    <row r="3351" spans="1:4">
      <c r="A3351" s="3"/>
      <c r="D3351" s="3"/>
    </row>
    <row r="3352" spans="1:4">
      <c r="A3352" s="3"/>
      <c r="D3352" s="3"/>
    </row>
    <row r="3353" spans="1:4">
      <c r="A3353" s="3"/>
      <c r="D3353" s="3"/>
    </row>
    <row r="3354" spans="1:4">
      <c r="A3354" s="3"/>
      <c r="D3354" s="3"/>
    </row>
    <row r="3355" spans="1:4">
      <c r="A3355" s="3"/>
      <c r="D3355" s="3"/>
    </row>
    <row r="3356" spans="1:4">
      <c r="A3356" s="3"/>
      <c r="D3356" s="3"/>
    </row>
    <row r="3357" spans="1:4">
      <c r="A3357" s="3"/>
      <c r="D3357" s="3"/>
    </row>
    <row r="3358" spans="1:4">
      <c r="A3358" s="3"/>
      <c r="D3358" s="3"/>
    </row>
    <row r="3359" spans="1:4">
      <c r="A3359" s="3"/>
      <c r="D3359" s="3"/>
    </row>
    <row r="3360" spans="1:4">
      <c r="A3360" s="3"/>
      <c r="D3360" s="3"/>
    </row>
    <row r="3361" spans="1:4">
      <c r="A3361" s="3"/>
      <c r="D3361" s="3"/>
    </row>
    <row r="3362" spans="1:4">
      <c r="A3362" s="3"/>
      <c r="D3362" s="3"/>
    </row>
    <row r="3363" spans="1:4">
      <c r="A3363" s="3"/>
      <c r="D3363" s="3"/>
    </row>
    <row r="3364" spans="1:4">
      <c r="A3364" s="3"/>
      <c r="D3364" s="3"/>
    </row>
    <row r="3365" spans="1:4">
      <c r="A3365" s="3"/>
      <c r="D3365" s="3"/>
    </row>
    <row r="3366" spans="1:4">
      <c r="A3366" s="3"/>
      <c r="D3366" s="3"/>
    </row>
    <row r="3367" spans="1:4">
      <c r="A3367" s="3"/>
      <c r="D3367" s="3"/>
    </row>
    <row r="3368" spans="1:4">
      <c r="A3368" s="3"/>
      <c r="D3368" s="3"/>
    </row>
    <row r="3369" spans="1:4">
      <c r="A3369" s="3"/>
      <c r="D3369" s="3"/>
    </row>
    <row r="3370" spans="1:4">
      <c r="A3370" s="3"/>
      <c r="D3370" s="3"/>
    </row>
    <row r="3371" spans="1:4">
      <c r="A3371" s="3"/>
      <c r="D3371" s="3"/>
    </row>
    <row r="3372" spans="1:4">
      <c r="A3372" s="3"/>
      <c r="D3372" s="3"/>
    </row>
    <row r="3373" spans="1:4">
      <c r="A3373" s="3"/>
      <c r="D3373" s="3"/>
    </row>
    <row r="3374" spans="1:4">
      <c r="A3374" s="3"/>
      <c r="D3374" s="3"/>
    </row>
    <row r="3375" spans="1:4">
      <c r="A3375" s="3"/>
      <c r="D3375" s="3"/>
    </row>
    <row r="3376" spans="1:4">
      <c r="A3376" s="3"/>
      <c r="D3376" s="3"/>
    </row>
    <row r="3377" spans="1:4">
      <c r="A3377" s="3"/>
      <c r="D3377" s="3"/>
    </row>
    <row r="3378" spans="1:4">
      <c r="A3378" s="3"/>
      <c r="D3378" s="3"/>
    </row>
    <row r="3379" spans="1:4">
      <c r="A3379" s="3"/>
      <c r="D3379" s="3"/>
    </row>
    <row r="3380" spans="1:4">
      <c r="A3380" s="3"/>
      <c r="D3380" s="3"/>
    </row>
    <row r="3381" spans="1:4">
      <c r="A3381" s="3"/>
      <c r="D3381" s="3"/>
    </row>
    <row r="3382" spans="1:4">
      <c r="A3382" s="3"/>
      <c r="D3382" s="3"/>
    </row>
    <row r="3383" spans="1:4">
      <c r="A3383" s="3"/>
      <c r="D3383" s="3"/>
    </row>
    <row r="3384" spans="1:4">
      <c r="A3384" s="3"/>
      <c r="D3384" s="3"/>
    </row>
    <row r="3385" spans="1:4">
      <c r="A3385" s="3"/>
      <c r="D3385" s="3"/>
    </row>
    <row r="3386" spans="1:4">
      <c r="A3386" s="3"/>
      <c r="D3386" s="3"/>
    </row>
    <row r="3387" spans="1:4">
      <c r="A3387" s="3"/>
      <c r="D3387" s="3"/>
    </row>
    <row r="3388" spans="1:4">
      <c r="A3388" s="3"/>
      <c r="D3388" s="3"/>
    </row>
    <row r="3389" spans="1:4">
      <c r="A3389" s="3"/>
      <c r="D3389" s="3"/>
    </row>
    <row r="3390" spans="1:4">
      <c r="A3390" s="3"/>
      <c r="D3390" s="3"/>
    </row>
    <row r="3391" spans="1:4">
      <c r="A3391" s="3"/>
      <c r="D3391" s="3"/>
    </row>
    <row r="3392" spans="1:4">
      <c r="A3392" s="3"/>
      <c r="D3392" s="3"/>
    </row>
    <row r="3393" spans="1:4">
      <c r="A3393" s="3"/>
      <c r="D3393" s="3"/>
    </row>
    <row r="3394" spans="1:4">
      <c r="A3394" s="3"/>
      <c r="D3394" s="3"/>
    </row>
    <row r="3395" spans="1:4">
      <c r="A3395" s="3"/>
      <c r="D3395" s="3"/>
    </row>
    <row r="3396" spans="1:4">
      <c r="A3396" s="3"/>
      <c r="D3396" s="3"/>
    </row>
    <row r="3397" spans="1:4">
      <c r="A3397" s="3"/>
      <c r="D3397" s="3"/>
    </row>
    <row r="3398" spans="1:4">
      <c r="A3398" s="3"/>
      <c r="D3398" s="3"/>
    </row>
    <row r="3399" spans="1:4">
      <c r="A3399" s="3"/>
      <c r="D3399" s="3"/>
    </row>
    <row r="3400" spans="1:4">
      <c r="A3400" s="3"/>
      <c r="D3400" s="3"/>
    </row>
    <row r="3401" spans="1:4">
      <c r="A3401" s="3"/>
      <c r="D3401" s="3"/>
    </row>
    <row r="3402" spans="1:4">
      <c r="A3402" s="3"/>
      <c r="D3402" s="3"/>
    </row>
    <row r="3403" spans="1:4">
      <c r="A3403" s="3"/>
      <c r="D3403" s="3"/>
    </row>
    <row r="3404" spans="1:4">
      <c r="A3404" s="3"/>
      <c r="D3404" s="3"/>
    </row>
    <row r="3405" spans="1:4">
      <c r="A3405" s="3"/>
      <c r="D3405" s="3"/>
    </row>
    <row r="3406" spans="1:4">
      <c r="A3406" s="3"/>
      <c r="D3406" s="3"/>
    </row>
    <row r="3407" spans="1:4">
      <c r="A3407" s="3"/>
      <c r="D3407" s="3"/>
    </row>
    <row r="3408" spans="1:4">
      <c r="A3408" s="3"/>
      <c r="D3408" s="3"/>
    </row>
    <row r="3409" spans="1:4">
      <c r="A3409" s="3"/>
      <c r="D3409" s="3"/>
    </row>
    <row r="3410" spans="1:4">
      <c r="A3410" s="3"/>
      <c r="D3410" s="3"/>
    </row>
    <row r="3411" spans="1:4">
      <c r="A3411" s="3"/>
      <c r="D3411" s="3"/>
    </row>
    <row r="3412" spans="1:4">
      <c r="A3412" s="3"/>
      <c r="D3412" s="3"/>
    </row>
    <row r="3413" spans="1:4">
      <c r="A3413" s="3"/>
      <c r="D3413" s="3"/>
    </row>
    <row r="3414" spans="1:4">
      <c r="A3414" s="3"/>
      <c r="D3414" s="3"/>
    </row>
    <row r="3415" spans="1:4">
      <c r="A3415" s="3"/>
      <c r="D3415" s="3"/>
    </row>
    <row r="3416" spans="1:4">
      <c r="A3416" s="3"/>
      <c r="D3416" s="3"/>
    </row>
    <row r="3417" spans="1:4">
      <c r="A3417" s="3"/>
      <c r="D3417" s="3"/>
    </row>
    <row r="3418" spans="1:4">
      <c r="A3418" s="3"/>
      <c r="D3418" s="3"/>
    </row>
    <row r="3419" spans="1:4">
      <c r="A3419" s="3"/>
      <c r="D3419" s="3"/>
    </row>
    <row r="3420" spans="1:4">
      <c r="A3420" s="3"/>
      <c r="D3420" s="3"/>
    </row>
    <row r="3421" spans="1:4">
      <c r="A3421" s="3"/>
      <c r="D3421" s="3"/>
    </row>
    <row r="3422" spans="1:4">
      <c r="A3422" s="3"/>
      <c r="D3422" s="3"/>
    </row>
    <row r="3423" spans="1:4">
      <c r="A3423" s="3"/>
      <c r="D3423" s="3"/>
    </row>
    <row r="3424" spans="1:4">
      <c r="A3424" s="3"/>
      <c r="D3424" s="3"/>
    </row>
    <row r="3425" spans="1:4">
      <c r="A3425" s="3"/>
      <c r="D3425" s="3"/>
    </row>
    <row r="3426" spans="1:4">
      <c r="A3426" s="3"/>
      <c r="D3426" s="3"/>
    </row>
    <row r="3427" spans="1:4">
      <c r="A3427" s="3"/>
      <c r="D3427" s="3"/>
    </row>
    <row r="3428" spans="1:4">
      <c r="A3428" s="3"/>
      <c r="D3428" s="3"/>
    </row>
    <row r="3429" spans="1:4">
      <c r="A3429" s="3"/>
      <c r="D3429" s="3"/>
    </row>
    <row r="3430" spans="1:4">
      <c r="A3430" s="3"/>
      <c r="D3430" s="3"/>
    </row>
    <row r="3431" spans="1:4">
      <c r="A3431" s="3"/>
      <c r="D3431" s="3"/>
    </row>
    <row r="3432" spans="1:4">
      <c r="A3432" s="3"/>
      <c r="D3432" s="3"/>
    </row>
    <row r="3433" spans="1:4">
      <c r="A3433" s="3"/>
      <c r="D3433" s="3"/>
    </row>
    <row r="3434" spans="1:4">
      <c r="A3434" s="3"/>
      <c r="D3434" s="3"/>
    </row>
    <row r="3435" spans="1:4">
      <c r="A3435" s="3"/>
      <c r="D3435" s="3"/>
    </row>
    <row r="3436" spans="1:4">
      <c r="A3436" s="3"/>
      <c r="D3436" s="3"/>
    </row>
    <row r="3437" spans="1:4">
      <c r="A3437" s="3"/>
      <c r="D3437" s="3"/>
    </row>
    <row r="3438" spans="1:4">
      <c r="A3438" s="3"/>
      <c r="D3438" s="3"/>
    </row>
    <row r="3439" spans="1:4">
      <c r="A3439" s="3"/>
      <c r="D3439" s="3"/>
    </row>
    <row r="3440" spans="1:4">
      <c r="A3440" s="3"/>
      <c r="D3440" s="3"/>
    </row>
    <row r="3441" spans="1:4">
      <c r="A3441" s="3"/>
      <c r="D3441" s="3"/>
    </row>
    <row r="3442" spans="1:4">
      <c r="A3442" s="3"/>
      <c r="D3442" s="3"/>
    </row>
    <row r="3443" spans="1:4">
      <c r="A3443" s="3"/>
      <c r="D3443" s="3"/>
    </row>
    <row r="3444" spans="1:4">
      <c r="A3444" s="3"/>
      <c r="D3444" s="3"/>
    </row>
    <row r="3445" spans="1:4">
      <c r="A3445" s="3"/>
      <c r="D3445" s="3"/>
    </row>
    <row r="3446" spans="1:4">
      <c r="A3446" s="3"/>
      <c r="D3446" s="3"/>
    </row>
    <row r="3447" spans="1:4">
      <c r="A3447" s="3"/>
      <c r="D3447" s="3"/>
    </row>
    <row r="3448" spans="1:4">
      <c r="A3448" s="3"/>
      <c r="D3448" s="3"/>
    </row>
    <row r="3449" spans="1:4">
      <c r="A3449" s="3"/>
      <c r="D3449" s="3"/>
    </row>
    <row r="3450" spans="1:4">
      <c r="A3450" s="3"/>
      <c r="D3450" s="3"/>
    </row>
    <row r="3451" spans="1:4">
      <c r="A3451" s="3"/>
      <c r="D3451" s="3"/>
    </row>
    <row r="3452" spans="1:4">
      <c r="A3452" s="3"/>
      <c r="D3452" s="3"/>
    </row>
    <row r="3453" spans="1:4">
      <c r="A3453" s="3"/>
      <c r="D3453" s="3"/>
    </row>
    <row r="3454" spans="1:4">
      <c r="A3454" s="3"/>
      <c r="D3454" s="3"/>
    </row>
    <row r="3455" spans="1:4">
      <c r="A3455" s="3"/>
      <c r="D3455" s="3"/>
    </row>
    <row r="3456" spans="1:4">
      <c r="A3456" s="3"/>
      <c r="D3456" s="3"/>
    </row>
    <row r="3457" spans="1:4">
      <c r="A3457" s="3"/>
      <c r="D3457" s="3"/>
    </row>
    <row r="3458" spans="1:4">
      <c r="A3458" s="3"/>
      <c r="D3458" s="3"/>
    </row>
    <row r="3459" spans="1:4">
      <c r="A3459" s="3"/>
      <c r="D3459" s="3"/>
    </row>
    <row r="3460" spans="1:4">
      <c r="A3460" s="3"/>
      <c r="D3460" s="3"/>
    </row>
    <row r="3461" spans="1:4">
      <c r="A3461" s="3"/>
      <c r="D3461" s="3"/>
    </row>
    <row r="3462" spans="1:4">
      <c r="A3462" s="3"/>
      <c r="D3462" s="3"/>
    </row>
    <row r="3463" spans="1:4">
      <c r="A3463" s="3"/>
      <c r="D3463" s="3"/>
    </row>
    <row r="3464" spans="1:4">
      <c r="A3464" s="3"/>
      <c r="D3464" s="3"/>
    </row>
    <row r="3465" spans="1:4">
      <c r="A3465" s="3"/>
      <c r="D3465" s="3"/>
    </row>
    <row r="3466" spans="1:4">
      <c r="A3466" s="3"/>
      <c r="D3466" s="3"/>
    </row>
    <row r="3467" spans="1:4">
      <c r="A3467" s="3"/>
      <c r="D3467" s="3"/>
    </row>
    <row r="3468" spans="1:4">
      <c r="A3468" s="3"/>
      <c r="D3468" s="3"/>
    </row>
    <row r="3469" spans="1:4">
      <c r="A3469" s="3"/>
      <c r="D3469" s="3"/>
    </row>
    <row r="3470" spans="1:4">
      <c r="A3470" s="3"/>
      <c r="D3470" s="3"/>
    </row>
    <row r="3471" spans="1:4">
      <c r="A3471" s="3"/>
      <c r="D3471" s="3"/>
    </row>
    <row r="3472" spans="1:4">
      <c r="A3472" s="3"/>
      <c r="D3472" s="3"/>
    </row>
    <row r="3473" spans="1:4">
      <c r="A3473" s="3"/>
      <c r="D3473" s="3"/>
    </row>
    <row r="3474" spans="1:4">
      <c r="A3474" s="3"/>
      <c r="D3474" s="3"/>
    </row>
    <row r="3475" spans="1:4">
      <c r="A3475" s="3"/>
      <c r="D3475" s="3"/>
    </row>
    <row r="3476" spans="1:4">
      <c r="A3476" s="3"/>
      <c r="D3476" s="3"/>
    </row>
    <row r="3477" spans="1:4">
      <c r="A3477" s="3"/>
      <c r="D3477" s="3"/>
    </row>
    <row r="3478" spans="1:4">
      <c r="A3478" s="3"/>
      <c r="D3478" s="3"/>
    </row>
    <row r="3479" spans="1:4">
      <c r="A3479" s="3"/>
      <c r="D3479" s="3"/>
    </row>
    <row r="3480" spans="1:4">
      <c r="A3480" s="3"/>
      <c r="D3480" s="3"/>
    </row>
    <row r="3481" spans="1:4">
      <c r="A3481" s="3"/>
      <c r="D3481" s="3"/>
    </row>
    <row r="3482" spans="1:4">
      <c r="A3482" s="3"/>
      <c r="D3482" s="3"/>
    </row>
    <row r="3483" spans="1:4">
      <c r="A3483" s="3"/>
      <c r="D3483" s="3"/>
    </row>
    <row r="3484" spans="1:4">
      <c r="A3484" s="3"/>
      <c r="D3484" s="3"/>
    </row>
    <row r="3485" spans="1:4">
      <c r="A3485" s="3"/>
      <c r="D3485" s="3"/>
    </row>
    <row r="3486" spans="1:4">
      <c r="A3486" s="3"/>
      <c r="D3486" s="3"/>
    </row>
    <row r="3487" spans="1:4">
      <c r="A3487" s="3"/>
      <c r="D3487" s="3"/>
    </row>
    <row r="3488" spans="1:4">
      <c r="A3488" s="3"/>
      <c r="D3488" s="3"/>
    </row>
    <row r="3489" spans="1:4">
      <c r="A3489" s="3"/>
      <c r="D3489" s="3"/>
    </row>
    <row r="3490" spans="1:4">
      <c r="A3490" s="3"/>
      <c r="D3490" s="3"/>
    </row>
    <row r="3491" spans="1:4">
      <c r="A3491" s="3"/>
      <c r="D3491" s="3"/>
    </row>
    <row r="3492" spans="1:4">
      <c r="A3492" s="3"/>
      <c r="D3492" s="3"/>
    </row>
    <row r="3493" spans="1:4">
      <c r="A3493" s="3"/>
      <c r="D3493" s="3"/>
    </row>
    <row r="3494" spans="1:4">
      <c r="A3494" s="3"/>
      <c r="D3494" s="3"/>
    </row>
    <row r="3495" spans="1:4">
      <c r="A3495" s="3"/>
      <c r="D3495" s="3"/>
    </row>
    <row r="3496" spans="1:4">
      <c r="A3496" s="3"/>
      <c r="D3496" s="3"/>
    </row>
    <row r="3497" spans="1:4">
      <c r="A3497" s="3"/>
      <c r="D3497" s="3"/>
    </row>
    <row r="3498" spans="1:4">
      <c r="A3498" s="3"/>
      <c r="D3498" s="3"/>
    </row>
    <row r="3499" spans="1:4">
      <c r="A3499" s="3"/>
      <c r="D3499" s="3"/>
    </row>
    <row r="3500" spans="1:4">
      <c r="A3500" s="3"/>
      <c r="D3500" s="3"/>
    </row>
    <row r="3501" spans="1:4">
      <c r="A3501" s="3"/>
      <c r="D3501" s="3"/>
    </row>
    <row r="3502" spans="1:4">
      <c r="A3502" s="3"/>
      <c r="D3502" s="3"/>
    </row>
    <row r="3503" spans="1:4">
      <c r="A3503" s="3"/>
      <c r="D3503" s="3"/>
    </row>
    <row r="3504" spans="1:4">
      <c r="A3504" s="3"/>
      <c r="D3504" s="3"/>
    </row>
    <row r="3505" spans="1:4">
      <c r="A3505" s="3"/>
      <c r="D3505" s="3"/>
    </row>
    <row r="3506" spans="1:4">
      <c r="A3506" s="3"/>
      <c r="D3506" s="3"/>
    </row>
    <row r="3507" spans="1:4">
      <c r="A3507" s="3"/>
      <c r="D3507" s="3"/>
    </row>
    <row r="3508" spans="1:4">
      <c r="A3508" s="3"/>
      <c r="D3508" s="3"/>
    </row>
    <row r="3509" spans="1:4">
      <c r="A3509" s="3"/>
      <c r="D3509" s="3"/>
    </row>
    <row r="3510" spans="1:4">
      <c r="A3510" s="3"/>
      <c r="D3510" s="3"/>
    </row>
    <row r="3511" spans="1:4">
      <c r="A3511" s="3"/>
      <c r="D3511" s="3"/>
    </row>
    <row r="3512" spans="1:4">
      <c r="A3512" s="3"/>
      <c r="D3512" s="3"/>
    </row>
    <row r="3513" spans="1:4">
      <c r="A3513" s="3"/>
      <c r="D3513" s="3"/>
    </row>
    <row r="3514" spans="1:4">
      <c r="A3514" s="3"/>
      <c r="D3514" s="3"/>
    </row>
    <row r="3515" spans="1:4">
      <c r="A3515" s="3"/>
      <c r="D3515" s="3"/>
    </row>
    <row r="3516" spans="1:4">
      <c r="A3516" s="3"/>
      <c r="D3516" s="3"/>
    </row>
    <row r="3517" spans="1:4">
      <c r="A3517" s="3"/>
      <c r="D3517" s="3"/>
    </row>
    <row r="3518" spans="1:4">
      <c r="A3518" s="3"/>
      <c r="D3518" s="3"/>
    </row>
    <row r="3519" spans="1:4">
      <c r="A3519" s="3"/>
      <c r="D3519" s="3"/>
    </row>
    <row r="3520" spans="1:4">
      <c r="A3520" s="3"/>
      <c r="D3520" s="3"/>
    </row>
    <row r="3521" spans="1:4">
      <c r="A3521" s="3"/>
      <c r="D3521" s="3"/>
    </row>
    <row r="3522" spans="1:4">
      <c r="A3522" s="3"/>
      <c r="D3522" s="3"/>
    </row>
    <row r="3523" spans="1:4">
      <c r="A3523" s="3"/>
      <c r="D3523" s="3"/>
    </row>
    <row r="3524" spans="1:4">
      <c r="A3524" s="3"/>
      <c r="D3524" s="3"/>
    </row>
    <row r="3525" spans="1:4">
      <c r="A3525" s="3"/>
      <c r="D3525" s="3"/>
    </row>
    <row r="3526" spans="1:4">
      <c r="A3526" s="3"/>
      <c r="D3526" s="3"/>
    </row>
    <row r="3527" spans="1:4">
      <c r="A3527" s="3"/>
      <c r="D3527" s="3"/>
    </row>
    <row r="3528" spans="1:4">
      <c r="A3528" s="3"/>
      <c r="D3528" s="3"/>
    </row>
    <row r="3529" spans="1:4">
      <c r="A3529" s="3"/>
      <c r="D3529" s="3"/>
    </row>
    <row r="3530" spans="1:4">
      <c r="A3530" s="3"/>
      <c r="D3530" s="3"/>
    </row>
    <row r="3531" spans="1:4">
      <c r="A3531" s="3"/>
      <c r="D3531" s="3"/>
    </row>
    <row r="3532" spans="1:4">
      <c r="A3532" s="3"/>
      <c r="D3532" s="3"/>
    </row>
    <row r="3533" spans="1:4">
      <c r="A3533" s="3"/>
      <c r="D3533" s="3"/>
    </row>
    <row r="3534" spans="1:4">
      <c r="A3534" s="3"/>
      <c r="D3534" s="3"/>
    </row>
    <row r="3535" spans="1:4">
      <c r="A3535" s="3"/>
      <c r="D3535" s="3"/>
    </row>
    <row r="3536" spans="1:4">
      <c r="A3536" s="3"/>
      <c r="D3536" s="3"/>
    </row>
    <row r="3537" spans="1:4">
      <c r="A3537" s="3"/>
      <c r="D3537" s="3"/>
    </row>
    <row r="3538" spans="1:4">
      <c r="A3538" s="3"/>
      <c r="D3538" s="3"/>
    </row>
    <row r="3539" spans="1:4">
      <c r="A3539" s="3"/>
      <c r="D3539" s="3"/>
    </row>
    <row r="3540" spans="1:4">
      <c r="A3540" s="3"/>
      <c r="D3540" s="3"/>
    </row>
    <row r="3541" spans="1:4">
      <c r="A3541" s="3"/>
      <c r="D3541" s="3"/>
    </row>
    <row r="3542" spans="1:4">
      <c r="A3542" s="3"/>
      <c r="D3542" s="3"/>
    </row>
    <row r="3543" spans="1:4">
      <c r="A3543" s="3"/>
      <c r="D3543" s="3"/>
    </row>
    <row r="3544" spans="1:4">
      <c r="A3544" s="3"/>
      <c r="D3544" s="3"/>
    </row>
    <row r="3545" spans="1:4">
      <c r="A3545" s="3"/>
      <c r="D3545" s="3"/>
    </row>
    <row r="3546" spans="1:4">
      <c r="A3546" s="3"/>
      <c r="D3546" s="3"/>
    </row>
    <row r="3547" spans="1:4">
      <c r="A3547" s="3"/>
      <c r="D3547" s="3"/>
    </row>
    <row r="3548" spans="1:4">
      <c r="A3548" s="3"/>
      <c r="D3548" s="3"/>
    </row>
    <row r="3549" spans="1:4">
      <c r="A3549" s="3"/>
      <c r="D3549" s="3"/>
    </row>
    <row r="3550" spans="1:4">
      <c r="A3550" s="3"/>
      <c r="D3550" s="3"/>
    </row>
    <row r="3551" spans="1:4">
      <c r="A3551" s="3"/>
      <c r="D3551" s="3"/>
    </row>
    <row r="3552" spans="1:4">
      <c r="A3552" s="3"/>
      <c r="D3552" s="3"/>
    </row>
    <row r="3553" spans="1:4">
      <c r="A3553" s="3"/>
      <c r="D3553" s="3"/>
    </row>
    <row r="3554" spans="1:4">
      <c r="A3554" s="3"/>
      <c r="D3554" s="3"/>
    </row>
    <row r="3555" spans="1:4">
      <c r="A3555" s="3"/>
      <c r="D3555" s="3"/>
    </row>
    <row r="3556" spans="1:4">
      <c r="A3556" s="3"/>
      <c r="D3556" s="3"/>
    </row>
    <row r="3557" spans="1:4">
      <c r="A3557" s="3"/>
      <c r="D3557" s="3"/>
    </row>
    <row r="3558" spans="1:4">
      <c r="A3558" s="3"/>
      <c r="D3558" s="3"/>
    </row>
    <row r="3559" spans="1:4">
      <c r="A3559" s="3"/>
      <c r="D3559" s="3"/>
    </row>
    <row r="3560" spans="1:4">
      <c r="A3560" s="3"/>
      <c r="D3560" s="3"/>
    </row>
    <row r="3561" spans="1:4">
      <c r="A3561" s="3"/>
      <c r="D3561" s="3"/>
    </row>
    <row r="3562" spans="1:4">
      <c r="A3562" s="3"/>
      <c r="D3562" s="3"/>
    </row>
    <row r="3563" spans="1:4">
      <c r="A3563" s="3"/>
      <c r="D3563" s="3"/>
    </row>
    <row r="3564" spans="1:4">
      <c r="A3564" s="3"/>
      <c r="D3564" s="3"/>
    </row>
    <row r="3565" spans="1:4">
      <c r="A3565" s="3"/>
      <c r="D3565" s="3"/>
    </row>
    <row r="3566" spans="1:4">
      <c r="A3566" s="3"/>
      <c r="D3566" s="3"/>
    </row>
    <row r="3567" spans="1:4">
      <c r="A3567" s="3"/>
      <c r="D3567" s="3"/>
    </row>
    <row r="3568" spans="1:4">
      <c r="A3568" s="3"/>
      <c r="D3568" s="3"/>
    </row>
    <row r="3569" spans="1:4">
      <c r="A3569" s="3"/>
      <c r="D3569" s="3"/>
    </row>
    <row r="3570" spans="1:4">
      <c r="A3570" s="3"/>
      <c r="D3570" s="3"/>
    </row>
    <row r="3571" spans="1:4">
      <c r="A3571" s="3"/>
      <c r="D3571" s="3"/>
    </row>
    <row r="3572" spans="1:4">
      <c r="A3572" s="3"/>
      <c r="D3572" s="3"/>
    </row>
    <row r="3573" spans="1:4">
      <c r="A3573" s="3"/>
      <c r="D3573" s="3"/>
    </row>
    <row r="3574" spans="1:4">
      <c r="A3574" s="3"/>
      <c r="D3574" s="3"/>
    </row>
    <row r="3575" spans="1:4">
      <c r="A3575" s="3"/>
      <c r="D3575" s="3"/>
    </row>
    <row r="3576" spans="1:4">
      <c r="A3576" s="3"/>
      <c r="D3576" s="3"/>
    </row>
    <row r="3577" spans="1:4">
      <c r="A3577" s="3"/>
      <c r="D3577" s="3"/>
    </row>
    <row r="3578" spans="1:4">
      <c r="A3578" s="3"/>
      <c r="D3578" s="3"/>
    </row>
    <row r="3579" spans="1:4">
      <c r="A3579" s="3"/>
      <c r="D3579" s="3"/>
    </row>
    <row r="3580" spans="1:4">
      <c r="A3580" s="3"/>
      <c r="D3580" s="3"/>
    </row>
    <row r="3581" spans="1:4">
      <c r="A3581" s="3"/>
      <c r="D3581" s="3"/>
    </row>
    <row r="3582" spans="1:4">
      <c r="A3582" s="3"/>
      <c r="D3582" s="3"/>
    </row>
    <row r="3583" spans="1:4">
      <c r="A3583" s="3"/>
      <c r="D3583" s="3"/>
    </row>
    <row r="3584" spans="1:4">
      <c r="A3584" s="3"/>
      <c r="D3584" s="3"/>
    </row>
    <row r="3585" spans="1:4">
      <c r="A3585" s="3"/>
      <c r="D3585" s="3"/>
    </row>
    <row r="3586" spans="1:4">
      <c r="A3586" s="3"/>
      <c r="D3586" s="3"/>
    </row>
    <row r="3587" spans="1:4">
      <c r="A3587" s="3"/>
      <c r="D3587" s="3"/>
    </row>
    <row r="3588" spans="1:4">
      <c r="A3588" s="3"/>
      <c r="D3588" s="3"/>
    </row>
    <row r="3589" spans="1:4">
      <c r="A3589" s="3"/>
      <c r="D3589" s="3"/>
    </row>
    <row r="3590" spans="1:4">
      <c r="A3590" s="3"/>
      <c r="D3590" s="3"/>
    </row>
    <row r="3591" spans="1:4">
      <c r="A3591" s="3"/>
      <c r="D3591" s="3"/>
    </row>
    <row r="3592" spans="1:4">
      <c r="A3592" s="3"/>
      <c r="D3592" s="3"/>
    </row>
    <row r="3593" spans="1:4">
      <c r="A3593" s="3"/>
      <c r="D3593" s="3"/>
    </row>
    <row r="3594" spans="1:4">
      <c r="A3594" s="3"/>
      <c r="D3594" s="3"/>
    </row>
    <row r="3595" spans="1:4">
      <c r="A3595" s="3"/>
      <c r="D3595" s="3"/>
    </row>
    <row r="3596" spans="1:4">
      <c r="A3596" s="3"/>
      <c r="D3596" s="3"/>
    </row>
    <row r="3597" spans="1:4">
      <c r="A3597" s="3"/>
      <c r="D3597" s="3"/>
    </row>
    <row r="3598" spans="1:4">
      <c r="A3598" s="3"/>
      <c r="D3598" s="3"/>
    </row>
    <row r="3599" spans="1:4">
      <c r="A3599" s="3"/>
      <c r="D3599" s="3"/>
    </row>
    <row r="3600" spans="1:4">
      <c r="A3600" s="3"/>
      <c r="D3600" s="3"/>
    </row>
    <row r="3601" spans="1:4">
      <c r="A3601" s="3"/>
      <c r="D3601" s="3"/>
    </row>
    <row r="3602" spans="1:4">
      <c r="A3602" s="3"/>
      <c r="D3602" s="3"/>
    </row>
    <row r="3603" spans="1:4">
      <c r="A3603" s="3"/>
      <c r="D3603" s="3"/>
    </row>
    <row r="3604" spans="1:4">
      <c r="A3604" s="3"/>
      <c r="D3604" s="3"/>
    </row>
    <row r="3605" spans="1:4">
      <c r="A3605" s="3"/>
      <c r="D3605" s="3"/>
    </row>
    <row r="3606" spans="1:4">
      <c r="A3606" s="3"/>
      <c r="D3606" s="3"/>
    </row>
    <row r="3607" spans="1:4">
      <c r="A3607" s="3"/>
      <c r="D3607" s="3"/>
    </row>
    <row r="3608" spans="1:4">
      <c r="A3608" s="3"/>
      <c r="D3608" s="3"/>
    </row>
    <row r="3609" spans="1:4">
      <c r="A3609" s="3"/>
      <c r="D3609" s="3"/>
    </row>
    <row r="3610" spans="1:4">
      <c r="A3610" s="3"/>
      <c r="D3610" s="3"/>
    </row>
    <row r="3611" spans="1:4">
      <c r="A3611" s="3"/>
      <c r="D3611" s="3"/>
    </row>
    <row r="3612" spans="1:4">
      <c r="A3612" s="3"/>
      <c r="D3612" s="3"/>
    </row>
    <row r="3613" spans="1:4">
      <c r="A3613" s="3"/>
      <c r="D3613" s="3"/>
    </row>
    <row r="3614" spans="1:4">
      <c r="A3614" s="3"/>
      <c r="D3614" s="3"/>
    </row>
    <row r="3615" spans="1:4">
      <c r="A3615" s="3"/>
      <c r="D3615" s="3"/>
    </row>
    <row r="3616" spans="1:4">
      <c r="A3616" s="3"/>
      <c r="D3616" s="3"/>
    </row>
    <row r="3617" spans="1:4">
      <c r="A3617" s="3"/>
      <c r="D3617" s="3"/>
    </row>
    <row r="3618" spans="1:4">
      <c r="A3618" s="3"/>
      <c r="D3618" s="3"/>
    </row>
    <row r="3619" spans="1:4">
      <c r="A3619" s="3"/>
      <c r="D3619" s="3"/>
    </row>
    <row r="3620" spans="1:4">
      <c r="A3620" s="3"/>
      <c r="D3620" s="3"/>
    </row>
    <row r="3621" spans="1:4">
      <c r="A3621" s="3"/>
      <c r="D3621" s="3"/>
    </row>
    <row r="3622" spans="1:4">
      <c r="A3622" s="3"/>
      <c r="D3622" s="3"/>
    </row>
    <row r="3623" spans="1:4">
      <c r="A3623" s="3"/>
      <c r="D3623" s="3"/>
    </row>
    <row r="3624" spans="1:4">
      <c r="A3624" s="3"/>
      <c r="D3624" s="3"/>
    </row>
    <row r="3625" spans="1:4">
      <c r="A3625" s="3"/>
      <c r="D3625" s="3"/>
    </row>
    <row r="3626" spans="1:4">
      <c r="A3626" s="3"/>
      <c r="D3626" s="3"/>
    </row>
    <row r="3627" spans="1:4">
      <c r="A3627" s="3"/>
      <c r="D3627" s="3"/>
    </row>
    <row r="3628" spans="1:4">
      <c r="A3628" s="3"/>
      <c r="D3628" s="3"/>
    </row>
    <row r="3629" spans="1:4">
      <c r="A3629" s="3"/>
      <c r="D3629" s="3"/>
    </row>
    <row r="3630" spans="1:4">
      <c r="A3630" s="3"/>
      <c r="D3630" s="3"/>
    </row>
    <row r="3631" spans="1:4">
      <c r="A3631" s="3"/>
      <c r="D3631" s="3"/>
    </row>
    <row r="3632" spans="1:4">
      <c r="A3632" s="3"/>
      <c r="D3632" s="3"/>
    </row>
    <row r="3633" spans="1:4">
      <c r="A3633" s="3"/>
      <c r="D3633" s="3"/>
    </row>
    <row r="3634" spans="1:4">
      <c r="A3634" s="3"/>
      <c r="D3634" s="3"/>
    </row>
    <row r="3635" spans="1:4">
      <c r="A3635" s="3"/>
      <c r="D3635" s="3"/>
    </row>
    <row r="3636" spans="1:4">
      <c r="A3636" s="3"/>
      <c r="D3636" s="3"/>
    </row>
    <row r="3637" spans="1:4">
      <c r="A3637" s="3"/>
      <c r="D3637" s="3"/>
    </row>
    <row r="3638" spans="1:4">
      <c r="A3638" s="3"/>
      <c r="D3638" s="3"/>
    </row>
    <row r="3639" spans="1:4">
      <c r="A3639" s="3"/>
      <c r="D3639" s="3"/>
    </row>
    <row r="3640" spans="1:4">
      <c r="A3640" s="3"/>
      <c r="D3640" s="3"/>
    </row>
    <row r="3641" spans="1:4">
      <c r="A3641" s="3"/>
      <c r="D3641" s="3"/>
    </row>
    <row r="3642" spans="1:4">
      <c r="A3642" s="3"/>
      <c r="D3642" s="3"/>
    </row>
    <row r="3643" spans="1:4">
      <c r="A3643" s="3"/>
      <c r="D3643" s="3"/>
    </row>
    <row r="3644" spans="1:4">
      <c r="A3644" s="3"/>
      <c r="D3644" s="3"/>
    </row>
    <row r="3645" spans="1:4">
      <c r="A3645" s="3"/>
      <c r="D3645" s="3"/>
    </row>
    <row r="3646" spans="1:4">
      <c r="A3646" s="3"/>
      <c r="D3646" s="3"/>
    </row>
    <row r="3647" spans="1:4">
      <c r="A3647" s="3"/>
      <c r="D3647" s="3"/>
    </row>
    <row r="3648" spans="1:4">
      <c r="A3648" s="3"/>
      <c r="D3648" s="3"/>
    </row>
    <row r="3649" spans="1:4">
      <c r="A3649" s="3"/>
      <c r="D3649" s="3"/>
    </row>
    <row r="3650" spans="1:4">
      <c r="A3650" s="3"/>
      <c r="D3650" s="3"/>
    </row>
    <row r="3651" spans="1:4">
      <c r="A3651" s="3"/>
      <c r="D3651" s="3"/>
    </row>
    <row r="3652" spans="1:4">
      <c r="A3652" s="3"/>
      <c r="D3652" s="3"/>
    </row>
    <row r="3653" spans="1:4">
      <c r="A3653" s="3"/>
      <c r="D3653" s="3"/>
    </row>
    <row r="3654" spans="1:4">
      <c r="A3654" s="3"/>
      <c r="D3654" s="3"/>
    </row>
    <row r="3655" spans="1:4">
      <c r="A3655" s="3"/>
      <c r="D3655" s="3"/>
    </row>
    <row r="3656" spans="1:4">
      <c r="A3656" s="3"/>
      <c r="D3656" s="3"/>
    </row>
    <row r="3657" spans="1:4">
      <c r="A3657" s="3"/>
      <c r="D3657" s="3"/>
    </row>
    <row r="3658" spans="1:4">
      <c r="A3658" s="3"/>
      <c r="D3658" s="3"/>
    </row>
    <row r="3659" spans="1:4">
      <c r="A3659" s="3"/>
      <c r="D3659" s="3"/>
    </row>
    <row r="3660" spans="1:4">
      <c r="A3660" s="3"/>
      <c r="D3660" s="3"/>
    </row>
    <row r="3661" spans="1:4">
      <c r="A3661" s="3"/>
      <c r="D3661" s="3"/>
    </row>
    <row r="3662" spans="1:4">
      <c r="A3662" s="3"/>
      <c r="D3662" s="3"/>
    </row>
    <row r="3663" spans="1:4">
      <c r="A3663" s="3"/>
      <c r="D3663" s="3"/>
    </row>
    <row r="3664" spans="1:4">
      <c r="A3664" s="3"/>
      <c r="D3664" s="3"/>
    </row>
    <row r="3665" spans="1:4">
      <c r="A3665" s="3"/>
      <c r="D3665" s="3"/>
    </row>
    <row r="3666" spans="1:4">
      <c r="A3666" s="3"/>
      <c r="D3666" s="3"/>
    </row>
    <row r="3667" spans="1:4">
      <c r="A3667" s="3"/>
      <c r="D3667" s="3"/>
    </row>
    <row r="3668" spans="1:4">
      <c r="A3668" s="3"/>
      <c r="D3668" s="3"/>
    </row>
    <row r="3669" spans="1:4">
      <c r="A3669" s="3"/>
      <c r="D3669" s="3"/>
    </row>
    <row r="3670" spans="1:4">
      <c r="A3670" s="3"/>
      <c r="D3670" s="3"/>
    </row>
    <row r="3671" spans="1:4">
      <c r="A3671" s="3"/>
      <c r="D3671" s="3"/>
    </row>
    <row r="3672" spans="1:4">
      <c r="A3672" s="3"/>
      <c r="D3672" s="3"/>
    </row>
    <row r="3673" spans="1:4">
      <c r="A3673" s="3"/>
      <c r="D3673" s="3"/>
    </row>
    <row r="3674" spans="1:4">
      <c r="A3674" s="3"/>
      <c r="D3674" s="3"/>
    </row>
    <row r="3675" spans="1:4">
      <c r="A3675" s="3"/>
      <c r="D3675" s="3"/>
    </row>
    <row r="3676" spans="1:4">
      <c r="A3676" s="3"/>
      <c r="D3676" s="3"/>
    </row>
    <row r="3677" spans="1:4">
      <c r="A3677" s="3"/>
      <c r="D3677" s="3"/>
    </row>
    <row r="3678" spans="1:4">
      <c r="A3678" s="3"/>
      <c r="D3678" s="3"/>
    </row>
    <row r="3679" spans="1:4">
      <c r="A3679" s="3"/>
      <c r="D3679" s="3"/>
    </row>
    <row r="3680" spans="1:4">
      <c r="A3680" s="3"/>
      <c r="D3680" s="3"/>
    </row>
    <row r="3681" spans="1:4">
      <c r="A3681" s="3"/>
      <c r="D3681" s="3"/>
    </row>
    <row r="3682" spans="1:4">
      <c r="A3682" s="3"/>
      <c r="D3682" s="3"/>
    </row>
    <row r="3683" spans="1:4">
      <c r="A3683" s="3"/>
      <c r="D3683" s="3"/>
    </row>
    <row r="3684" spans="1:4">
      <c r="A3684" s="3"/>
      <c r="D3684" s="3"/>
    </row>
    <row r="3685" spans="1:4">
      <c r="A3685" s="3"/>
      <c r="D3685" s="3"/>
    </row>
    <row r="3686" spans="1:4">
      <c r="A3686" s="3"/>
      <c r="D3686" s="3"/>
    </row>
    <row r="3687" spans="1:4">
      <c r="A3687" s="3"/>
      <c r="D3687" s="3"/>
    </row>
    <row r="3688" spans="1:4">
      <c r="A3688" s="3"/>
      <c r="D3688" s="3"/>
    </row>
    <row r="3689" spans="1:4">
      <c r="A3689" s="3"/>
      <c r="D3689" s="3"/>
    </row>
    <row r="3690" spans="1:4">
      <c r="A3690" s="3"/>
      <c r="D3690" s="3"/>
    </row>
    <row r="3691" spans="1:4">
      <c r="A3691" s="3"/>
      <c r="D3691" s="3"/>
    </row>
    <row r="3692" spans="1:4">
      <c r="A3692" s="3"/>
      <c r="D3692" s="3"/>
    </row>
    <row r="3693" spans="1:4">
      <c r="A3693" s="3"/>
      <c r="D3693" s="3"/>
    </row>
    <row r="3694" spans="1:4">
      <c r="A3694" s="3"/>
      <c r="D3694" s="3"/>
    </row>
    <row r="3695" spans="1:4">
      <c r="A3695" s="3"/>
      <c r="D3695" s="3"/>
    </row>
    <row r="3696" spans="1:4">
      <c r="A3696" s="3"/>
      <c r="D3696" s="3"/>
    </row>
    <row r="3697" spans="1:4">
      <c r="A3697" s="3"/>
      <c r="D3697" s="3"/>
    </row>
    <row r="3698" spans="1:4">
      <c r="A3698" s="3"/>
      <c r="D3698" s="3"/>
    </row>
    <row r="3699" spans="1:4">
      <c r="A3699" s="3"/>
      <c r="D3699" s="3"/>
    </row>
    <row r="3700" spans="1:4">
      <c r="A3700" s="3"/>
      <c r="D3700" s="3"/>
    </row>
    <row r="3701" spans="1:4">
      <c r="A3701" s="3"/>
      <c r="D3701" s="3"/>
    </row>
    <row r="3702" spans="1:4">
      <c r="A3702" s="3"/>
      <c r="D3702" s="3"/>
    </row>
    <row r="3703" spans="1:4">
      <c r="A3703" s="3"/>
      <c r="D3703" s="3"/>
    </row>
    <row r="3704" spans="1:4">
      <c r="A3704" s="3"/>
      <c r="D3704" s="3"/>
    </row>
    <row r="3705" spans="1:4">
      <c r="A3705" s="3"/>
      <c r="D3705" s="3"/>
    </row>
    <row r="3706" spans="1:4">
      <c r="A3706" s="3"/>
      <c r="D3706" s="3"/>
    </row>
    <row r="3707" spans="1:4">
      <c r="A3707" s="3"/>
      <c r="D3707" s="3"/>
    </row>
    <row r="3708" spans="1:4">
      <c r="A3708" s="3"/>
      <c r="D3708" s="3"/>
    </row>
    <row r="3709" spans="1:4">
      <c r="A3709" s="3"/>
      <c r="D3709" s="3"/>
    </row>
    <row r="3710" spans="1:4">
      <c r="A3710" s="3"/>
      <c r="D3710" s="3"/>
    </row>
    <row r="3711" spans="1:4">
      <c r="A3711" s="3"/>
      <c r="D3711" s="3"/>
    </row>
    <row r="3712" spans="1:4">
      <c r="A3712" s="3"/>
      <c r="D3712" s="3"/>
    </row>
    <row r="3713" spans="1:4">
      <c r="A3713" s="3"/>
      <c r="D3713" s="3"/>
    </row>
    <row r="3714" spans="1:4">
      <c r="A3714" s="3"/>
      <c r="D3714" s="3"/>
    </row>
    <row r="3715" spans="1:4">
      <c r="A3715" s="3"/>
      <c r="D3715" s="3"/>
    </row>
    <row r="3716" spans="1:4">
      <c r="A3716" s="3"/>
      <c r="D3716" s="3"/>
    </row>
    <row r="3717" spans="1:4">
      <c r="A3717" s="3"/>
      <c r="D3717" s="3"/>
    </row>
    <row r="3718" spans="1:4">
      <c r="A3718" s="3"/>
      <c r="D3718" s="3"/>
    </row>
    <row r="3719" spans="1:4">
      <c r="A3719" s="3"/>
      <c r="D3719" s="3"/>
    </row>
    <row r="3720" spans="1:4">
      <c r="A3720" s="3"/>
      <c r="D3720" s="3"/>
    </row>
    <row r="3721" spans="1:4">
      <c r="A3721" s="3"/>
      <c r="D3721" s="3"/>
    </row>
    <row r="3722" spans="1:4">
      <c r="A3722" s="3"/>
      <c r="D3722" s="3"/>
    </row>
    <row r="3723" spans="1:4">
      <c r="A3723" s="3"/>
      <c r="D3723" s="3"/>
    </row>
    <row r="3724" spans="1:4">
      <c r="A3724" s="3"/>
      <c r="D3724" s="3"/>
    </row>
    <row r="3725" spans="1:4">
      <c r="A3725" s="3"/>
      <c r="D3725" s="3"/>
    </row>
    <row r="3726" spans="1:4">
      <c r="A3726" s="3"/>
      <c r="D3726" s="3"/>
    </row>
    <row r="3727" spans="1:4">
      <c r="A3727" s="3"/>
      <c r="D3727" s="3"/>
    </row>
    <row r="3728" spans="1:4">
      <c r="A3728" s="3"/>
      <c r="D3728" s="3"/>
    </row>
    <row r="3729" spans="1:4">
      <c r="A3729" s="3"/>
      <c r="D3729" s="3"/>
    </row>
    <row r="3730" spans="1:4">
      <c r="A3730" s="3"/>
      <c r="D3730" s="3"/>
    </row>
    <row r="3731" spans="1:4">
      <c r="A3731" s="3"/>
      <c r="D3731" s="3"/>
    </row>
    <row r="3732" spans="1:4">
      <c r="A3732" s="3"/>
      <c r="D3732" s="3"/>
    </row>
    <row r="3733" spans="1:4">
      <c r="A3733" s="3"/>
      <c r="D3733" s="3"/>
    </row>
    <row r="3734" spans="1:4">
      <c r="A3734" s="3"/>
      <c r="D3734" s="3"/>
    </row>
    <row r="3735" spans="1:4">
      <c r="A3735" s="3"/>
      <c r="D3735" s="3"/>
    </row>
    <row r="3736" spans="1:4">
      <c r="A3736" s="3"/>
      <c r="D3736" s="3"/>
    </row>
    <row r="3737" spans="1:4">
      <c r="A3737" s="3"/>
      <c r="D3737" s="3"/>
    </row>
    <row r="3738" spans="1:4">
      <c r="A3738" s="3"/>
      <c r="D3738" s="3"/>
    </row>
    <row r="3739" spans="1:4">
      <c r="A3739" s="3"/>
      <c r="D3739" s="3"/>
    </row>
    <row r="3740" spans="1:4">
      <c r="A3740" s="3"/>
      <c r="D3740" s="3"/>
    </row>
    <row r="3741" spans="1:4">
      <c r="A3741" s="3"/>
      <c r="D3741" s="3"/>
    </row>
    <row r="3742" spans="1:4">
      <c r="A3742" s="3"/>
      <c r="D3742" s="3"/>
    </row>
    <row r="3743" spans="1:4">
      <c r="A3743" s="3"/>
      <c r="D3743" s="3"/>
    </row>
    <row r="3744" spans="1:4">
      <c r="A3744" s="3"/>
      <c r="D3744" s="3"/>
    </row>
    <row r="3745" spans="1:4">
      <c r="A3745" s="3"/>
      <c r="D3745" s="3"/>
    </row>
    <row r="3746" spans="1:4">
      <c r="A3746" s="3"/>
      <c r="D3746" s="3"/>
    </row>
    <row r="3747" spans="1:4">
      <c r="A3747" s="3"/>
      <c r="D3747" s="3"/>
    </row>
    <row r="3748" spans="1:4">
      <c r="A3748" s="3"/>
      <c r="D3748" s="3"/>
    </row>
    <row r="3749" spans="1:4">
      <c r="A3749" s="3"/>
      <c r="D3749" s="3"/>
    </row>
    <row r="3750" spans="1:4">
      <c r="A3750" s="3"/>
      <c r="D3750" s="3"/>
    </row>
    <row r="3751" spans="1:4">
      <c r="A3751" s="3"/>
      <c r="D3751" s="3"/>
    </row>
    <row r="3752" spans="1:4">
      <c r="A3752" s="3"/>
      <c r="D3752" s="3"/>
    </row>
    <row r="3753" spans="1:4">
      <c r="A3753" s="3"/>
      <c r="D3753" s="3"/>
    </row>
    <row r="3754" spans="1:4">
      <c r="A3754" s="3"/>
      <c r="D3754" s="3"/>
    </row>
    <row r="3755" spans="1:4">
      <c r="A3755" s="3"/>
      <c r="D3755" s="3"/>
    </row>
    <row r="3756" spans="1:4">
      <c r="A3756" s="3"/>
      <c r="D3756" s="3"/>
    </row>
    <row r="3757" spans="1:4">
      <c r="A3757" s="3"/>
      <c r="D3757" s="3"/>
    </row>
    <row r="3758" spans="1:4">
      <c r="A3758" s="3"/>
      <c r="D3758" s="3"/>
    </row>
    <row r="3759" spans="1:4">
      <c r="A3759" s="3"/>
      <c r="D3759" s="3"/>
    </row>
    <row r="3760" spans="1:4">
      <c r="A3760" s="3"/>
      <c r="D3760" s="3"/>
    </row>
    <row r="3761" spans="1:4">
      <c r="A3761" s="3"/>
      <c r="D3761" s="3"/>
    </row>
    <row r="3762" spans="1:4">
      <c r="A3762" s="3"/>
      <c r="D3762" s="3"/>
    </row>
    <row r="3763" spans="1:4">
      <c r="A3763" s="3"/>
      <c r="D3763" s="3"/>
    </row>
    <row r="3764" spans="1:4">
      <c r="A3764" s="3"/>
      <c r="D3764" s="3"/>
    </row>
    <row r="3765" spans="1:4">
      <c r="A3765" s="3"/>
      <c r="D3765" s="3"/>
    </row>
    <row r="3766" spans="1:4">
      <c r="A3766" s="3"/>
      <c r="D3766" s="3"/>
    </row>
    <row r="3767" spans="1:4">
      <c r="A3767" s="3"/>
      <c r="D3767" s="3"/>
    </row>
    <row r="3768" spans="1:4">
      <c r="A3768" s="3"/>
      <c r="D3768" s="3"/>
    </row>
    <row r="3769" spans="1:4">
      <c r="A3769" s="3"/>
      <c r="D3769" s="3"/>
    </row>
    <row r="3770" spans="1:4">
      <c r="A3770" s="3"/>
      <c r="D3770" s="3"/>
    </row>
    <row r="3771" spans="1:4">
      <c r="A3771" s="3"/>
      <c r="D3771" s="3"/>
    </row>
    <row r="3772" spans="1:4">
      <c r="A3772" s="3"/>
      <c r="D3772" s="3"/>
    </row>
    <row r="3773" spans="1:4">
      <c r="A3773" s="3"/>
      <c r="D3773" s="3"/>
    </row>
    <row r="3774" spans="1:4">
      <c r="A3774" s="3"/>
      <c r="D3774" s="3"/>
    </row>
    <row r="3775" spans="1:4">
      <c r="A3775" s="3"/>
      <c r="D3775" s="3"/>
    </row>
    <row r="3776" spans="1:4">
      <c r="A3776" s="3"/>
      <c r="D3776" s="3"/>
    </row>
    <row r="3777" spans="1:4">
      <c r="A3777" s="3"/>
      <c r="D3777" s="3"/>
    </row>
    <row r="3778" spans="1:4">
      <c r="A3778" s="3"/>
      <c r="D3778" s="3"/>
    </row>
    <row r="3779" spans="1:4">
      <c r="A3779" s="3"/>
      <c r="D3779" s="3"/>
    </row>
    <row r="3780" spans="1:4">
      <c r="A3780" s="3"/>
      <c r="D3780" s="3"/>
    </row>
    <row r="3781" spans="1:4">
      <c r="A3781" s="3"/>
      <c r="D3781" s="3"/>
    </row>
    <row r="3782" spans="1:4">
      <c r="A3782" s="3"/>
      <c r="D3782" s="3"/>
    </row>
    <row r="3783" spans="1:4">
      <c r="A3783" s="3"/>
      <c r="D3783" s="3"/>
    </row>
    <row r="3784" spans="1:4">
      <c r="A3784" s="3"/>
      <c r="D3784" s="3"/>
    </row>
    <row r="3785" spans="1:4">
      <c r="A3785" s="3"/>
      <c r="D3785" s="3"/>
    </row>
    <row r="3786" spans="1:4">
      <c r="A3786" s="3"/>
      <c r="D3786" s="3"/>
    </row>
    <row r="3787" spans="1:4">
      <c r="A3787" s="3"/>
      <c r="D3787" s="3"/>
    </row>
    <row r="3788" spans="1:4">
      <c r="A3788" s="3"/>
      <c r="D3788" s="3"/>
    </row>
    <row r="3789" spans="1:4">
      <c r="A3789" s="3"/>
      <c r="D3789" s="3"/>
    </row>
    <row r="3790" spans="1:4">
      <c r="A3790" s="3"/>
      <c r="D3790" s="3"/>
    </row>
    <row r="3791" spans="1:4">
      <c r="A3791" s="3"/>
      <c r="D3791" s="3"/>
    </row>
    <row r="3792" spans="1:4">
      <c r="A3792" s="3"/>
      <c r="D3792" s="3"/>
    </row>
    <row r="3793" spans="1:4">
      <c r="A3793" s="3"/>
      <c r="D3793" s="3"/>
    </row>
    <row r="3794" spans="1:4">
      <c r="A3794" s="3"/>
      <c r="D3794" s="3"/>
    </row>
    <row r="3795" spans="1:4">
      <c r="A3795" s="3"/>
      <c r="D3795" s="3"/>
    </row>
    <row r="3796" spans="1:4">
      <c r="A3796" s="3"/>
      <c r="D3796" s="3"/>
    </row>
    <row r="3797" spans="1:4">
      <c r="A3797" s="3"/>
      <c r="D3797" s="3"/>
    </row>
    <row r="3798" spans="1:4">
      <c r="A3798" s="3"/>
      <c r="D3798" s="3"/>
    </row>
    <row r="3799" spans="1:4">
      <c r="A3799" s="3"/>
      <c r="D3799" s="3"/>
    </row>
    <row r="3800" spans="1:4">
      <c r="A3800" s="3"/>
      <c r="D3800" s="3"/>
    </row>
    <row r="3801" spans="1:4">
      <c r="A3801" s="3"/>
      <c r="D3801" s="3"/>
    </row>
    <row r="3802" spans="1:4">
      <c r="A3802" s="3"/>
      <c r="D3802" s="3"/>
    </row>
    <row r="3803" spans="1:4">
      <c r="A3803" s="3"/>
      <c r="D3803" s="3"/>
    </row>
    <row r="3804" spans="1:4">
      <c r="A3804" s="3"/>
      <c r="D3804" s="3"/>
    </row>
    <row r="3805" spans="1:4">
      <c r="A3805" s="3"/>
      <c r="D3805" s="3"/>
    </row>
    <row r="3806" spans="1:4">
      <c r="A3806" s="3"/>
      <c r="D3806" s="3"/>
    </row>
    <row r="3807" spans="1:4">
      <c r="A3807" s="3"/>
      <c r="D3807" s="3"/>
    </row>
    <row r="3808" spans="1:4">
      <c r="A3808" s="3"/>
      <c r="D3808" s="3"/>
    </row>
    <row r="3809" spans="1:4">
      <c r="A3809" s="3"/>
      <c r="D3809" s="3"/>
    </row>
    <row r="3810" spans="1:4">
      <c r="A3810" s="3"/>
      <c r="D3810" s="3"/>
    </row>
    <row r="3811" spans="1:4">
      <c r="A3811" s="3"/>
      <c r="D3811" s="3"/>
    </row>
    <row r="3812" spans="1:4">
      <c r="A3812" s="3"/>
      <c r="D3812" s="3"/>
    </row>
    <row r="3813" spans="1:4">
      <c r="A3813" s="3"/>
      <c r="D3813" s="3"/>
    </row>
    <row r="3814" spans="1:4">
      <c r="A3814" s="3"/>
      <c r="D3814" s="3"/>
    </row>
    <row r="3815" spans="1:4">
      <c r="A3815" s="3"/>
      <c r="D3815" s="3"/>
    </row>
    <row r="3816" spans="1:4">
      <c r="A3816" s="3"/>
      <c r="D3816" s="3"/>
    </row>
    <row r="3817" spans="1:4">
      <c r="A3817" s="3"/>
      <c r="D3817" s="3"/>
    </row>
    <row r="3818" spans="1:4">
      <c r="A3818" s="3"/>
      <c r="D3818" s="3"/>
    </row>
    <row r="3819" spans="1:4">
      <c r="A3819" s="3"/>
      <c r="D3819" s="3"/>
    </row>
    <row r="3820" spans="1:4">
      <c r="A3820" s="3"/>
      <c r="D3820" s="3"/>
    </row>
    <row r="3821" spans="1:4">
      <c r="A3821" s="3"/>
      <c r="D3821" s="3"/>
    </row>
    <row r="3822" spans="1:4">
      <c r="A3822" s="3"/>
      <c r="D3822" s="3"/>
    </row>
    <row r="3823" spans="1:4">
      <c r="A3823" s="3"/>
      <c r="D3823" s="3"/>
    </row>
    <row r="3824" spans="1:4">
      <c r="A3824" s="3"/>
      <c r="D3824" s="3"/>
    </row>
    <row r="3825" spans="1:4">
      <c r="A3825" s="3"/>
      <c r="D3825" s="3"/>
    </row>
    <row r="3826" spans="1:4">
      <c r="A3826" s="3"/>
      <c r="D3826" s="3"/>
    </row>
    <row r="3827" spans="1:4">
      <c r="A3827" s="3"/>
      <c r="D3827" s="3"/>
    </row>
    <row r="3828" spans="1:4">
      <c r="A3828" s="3"/>
      <c r="D3828" s="3"/>
    </row>
    <row r="3829" spans="1:4">
      <c r="A3829" s="3"/>
      <c r="D3829" s="3"/>
    </row>
    <row r="3830" spans="1:4">
      <c r="A3830" s="3"/>
      <c r="D3830" s="3"/>
    </row>
    <row r="3831" spans="1:4">
      <c r="A3831" s="3"/>
      <c r="D3831" s="3"/>
    </row>
    <row r="3832" spans="1:4">
      <c r="A3832" s="3"/>
      <c r="D3832" s="3"/>
    </row>
    <row r="3833" spans="1:4">
      <c r="A3833" s="3"/>
      <c r="D3833" s="3"/>
    </row>
    <row r="3834" spans="1:4">
      <c r="A3834" s="3"/>
      <c r="D3834" s="3"/>
    </row>
    <row r="3835" spans="1:4">
      <c r="A3835" s="3"/>
      <c r="D3835" s="3"/>
    </row>
    <row r="3836" spans="1:4">
      <c r="A3836" s="3"/>
      <c r="D3836" s="3"/>
    </row>
    <row r="3837" spans="1:4">
      <c r="A3837" s="3"/>
      <c r="D3837" s="3"/>
    </row>
    <row r="3838" spans="1:4">
      <c r="A3838" s="3"/>
      <c r="D3838" s="3"/>
    </row>
    <row r="3839" spans="1:4">
      <c r="A3839" s="3"/>
      <c r="D3839" s="3"/>
    </row>
    <row r="3840" spans="1:4">
      <c r="A3840" s="3"/>
      <c r="D3840" s="3"/>
    </row>
    <row r="3841" spans="1:4">
      <c r="A3841" s="3"/>
      <c r="D3841" s="3"/>
    </row>
    <row r="3842" spans="1:4">
      <c r="A3842" s="3"/>
      <c r="D3842" s="3"/>
    </row>
    <row r="3843" spans="1:4">
      <c r="A3843" s="3"/>
      <c r="D3843" s="3"/>
    </row>
    <row r="3844" spans="1:4">
      <c r="A3844" s="3"/>
      <c r="D3844" s="3"/>
    </row>
    <row r="3845" spans="1:4">
      <c r="A3845" s="3"/>
      <c r="D3845" s="3"/>
    </row>
    <row r="3846" spans="1:4">
      <c r="A3846" s="3"/>
      <c r="D3846" s="3"/>
    </row>
    <row r="3847" spans="1:4">
      <c r="A3847" s="3"/>
      <c r="D3847" s="3"/>
    </row>
    <row r="3848" spans="1:4">
      <c r="A3848" s="3"/>
      <c r="D3848" s="3"/>
    </row>
    <row r="3849" spans="1:4">
      <c r="A3849" s="3"/>
      <c r="D3849" s="3"/>
    </row>
    <row r="3850" spans="1:4">
      <c r="A3850" s="3"/>
      <c r="D3850" s="3"/>
    </row>
    <row r="3851" spans="1:4">
      <c r="A3851" s="3"/>
      <c r="D3851" s="3"/>
    </row>
    <row r="3852" spans="1:4">
      <c r="A3852" s="3"/>
      <c r="D3852" s="3"/>
    </row>
    <row r="3853" spans="1:4">
      <c r="A3853" s="3"/>
      <c r="D3853" s="3"/>
    </row>
    <row r="3854" spans="1:4">
      <c r="A3854" s="3"/>
      <c r="D3854" s="3"/>
    </row>
    <row r="3855" spans="1:4">
      <c r="A3855" s="3"/>
      <c r="D3855" s="3"/>
    </row>
    <row r="3856" spans="1:4">
      <c r="A3856" s="3"/>
      <c r="D3856" s="3"/>
    </row>
    <row r="3857" spans="1:4">
      <c r="A3857" s="3"/>
      <c r="D3857" s="3"/>
    </row>
    <row r="3858" spans="1:4">
      <c r="A3858" s="3"/>
      <c r="D3858" s="3"/>
    </row>
    <row r="3859" spans="1:4">
      <c r="A3859" s="3"/>
      <c r="D3859" s="3"/>
    </row>
    <row r="3860" spans="1:4">
      <c r="A3860" s="3"/>
      <c r="D3860" s="3"/>
    </row>
    <row r="3861" spans="1:4">
      <c r="A3861" s="3"/>
      <c r="D3861" s="3"/>
    </row>
    <row r="3862" spans="1:4">
      <c r="A3862" s="3"/>
      <c r="D3862" s="3"/>
    </row>
    <row r="3863" spans="1:4">
      <c r="A3863" s="3"/>
      <c r="D3863" s="3"/>
    </row>
    <row r="3864" spans="1:4">
      <c r="A3864" s="3"/>
      <c r="D3864" s="3"/>
    </row>
    <row r="3865" spans="1:4">
      <c r="A3865" s="3"/>
      <c r="D3865" s="3"/>
    </row>
    <row r="3866" spans="1:4">
      <c r="A3866" s="3"/>
      <c r="D3866" s="3"/>
    </row>
    <row r="3867" spans="1:4">
      <c r="A3867" s="3"/>
      <c r="D3867" s="3"/>
    </row>
    <row r="3868" spans="1:4">
      <c r="A3868" s="3"/>
      <c r="D3868" s="3"/>
    </row>
    <row r="3869" spans="1:4">
      <c r="A3869" s="3"/>
      <c r="D3869" s="3"/>
    </row>
    <row r="3870" spans="1:4">
      <c r="A3870" s="3"/>
      <c r="D3870" s="3"/>
    </row>
    <row r="3871" spans="1:4">
      <c r="A3871" s="3"/>
      <c r="D3871" s="3"/>
    </row>
    <row r="3872" spans="1:4">
      <c r="A3872" s="3"/>
      <c r="D3872" s="3"/>
    </row>
    <row r="3873" spans="1:4">
      <c r="A3873" s="3"/>
      <c r="D3873" s="3"/>
    </row>
    <row r="3874" spans="1:4">
      <c r="A3874" s="3"/>
      <c r="D3874" s="3"/>
    </row>
    <row r="3875" spans="1:4">
      <c r="A3875" s="3"/>
      <c r="D3875" s="3"/>
    </row>
    <row r="3876" spans="1:4">
      <c r="A3876" s="3"/>
      <c r="D3876" s="3"/>
    </row>
    <row r="3877" spans="1:4">
      <c r="A3877" s="3"/>
      <c r="D3877" s="3"/>
    </row>
    <row r="3878" spans="1:4">
      <c r="A3878" s="3"/>
      <c r="D3878" s="3"/>
    </row>
    <row r="3879" spans="1:4">
      <c r="A3879" s="3"/>
      <c r="D3879" s="3"/>
    </row>
    <row r="3880" spans="1:4">
      <c r="A3880" s="3"/>
      <c r="D3880" s="3"/>
    </row>
    <row r="3881" spans="1:4">
      <c r="A3881" s="3"/>
      <c r="D3881" s="3"/>
    </row>
    <row r="3882" spans="1:4">
      <c r="A3882" s="3"/>
      <c r="D3882" s="3"/>
    </row>
    <row r="3883" spans="1:4">
      <c r="A3883" s="3"/>
      <c r="D3883" s="3"/>
    </row>
    <row r="3884" spans="1:4">
      <c r="A3884" s="3"/>
      <c r="D3884" s="3"/>
    </row>
    <row r="3885" spans="1:4">
      <c r="A3885" s="3"/>
      <c r="D3885" s="3"/>
    </row>
    <row r="3886" spans="1:4">
      <c r="A3886" s="3"/>
      <c r="D3886" s="3"/>
    </row>
    <row r="3887" spans="1:4">
      <c r="A3887" s="3"/>
      <c r="D3887" s="3"/>
    </row>
    <row r="3888" spans="1:4">
      <c r="A3888" s="3"/>
      <c r="D3888" s="3"/>
    </row>
    <row r="3889" spans="1:4">
      <c r="A3889" s="3"/>
      <c r="D3889" s="3"/>
    </row>
    <row r="3890" spans="1:4">
      <c r="A3890" s="3"/>
      <c r="D3890" s="3"/>
    </row>
    <row r="3891" spans="1:4">
      <c r="A3891" s="3"/>
      <c r="D3891" s="3"/>
    </row>
    <row r="3892" spans="1:4">
      <c r="A3892" s="3"/>
      <c r="D3892" s="3"/>
    </row>
    <row r="3893" spans="1:4">
      <c r="A3893" s="3"/>
      <c r="D3893" s="3"/>
    </row>
    <row r="3894" spans="1:4">
      <c r="A3894" s="3"/>
      <c r="D3894" s="3"/>
    </row>
    <row r="3895" spans="1:4">
      <c r="A3895" s="3"/>
      <c r="D3895" s="3"/>
    </row>
    <row r="3896" spans="1:4">
      <c r="A3896" s="3"/>
      <c r="D3896" s="3"/>
    </row>
    <row r="3897" spans="1:4">
      <c r="A3897" s="3"/>
      <c r="D3897" s="3"/>
    </row>
    <row r="3898" spans="1:4">
      <c r="A3898" s="3"/>
      <c r="D3898" s="3"/>
    </row>
    <row r="3899" spans="1:4">
      <c r="A3899" s="3"/>
      <c r="D3899" s="3"/>
    </row>
    <row r="3900" spans="1:4">
      <c r="A3900" s="3"/>
      <c r="D3900" s="3"/>
    </row>
    <row r="3901" spans="1:4">
      <c r="A3901" s="3"/>
      <c r="D3901" s="3"/>
    </row>
    <row r="3902" spans="1:4">
      <c r="A3902" s="3"/>
      <c r="D3902" s="3"/>
    </row>
    <row r="3903" spans="1:4">
      <c r="A3903" s="3"/>
      <c r="D3903" s="3"/>
    </row>
    <row r="3904" spans="1:4">
      <c r="A3904" s="3"/>
      <c r="D3904" s="3"/>
    </row>
    <row r="3905" spans="1:4">
      <c r="A3905" s="3"/>
      <c r="D3905" s="3"/>
    </row>
    <row r="3906" spans="1:4">
      <c r="A3906" s="3"/>
      <c r="D3906" s="3"/>
    </row>
    <row r="3907" spans="1:4">
      <c r="A3907" s="3"/>
      <c r="D3907" s="3"/>
    </row>
    <row r="3908" spans="1:4">
      <c r="A3908" s="3"/>
      <c r="D3908" s="3"/>
    </row>
    <row r="3909" spans="1:4">
      <c r="A3909" s="3"/>
      <c r="D3909" s="3"/>
    </row>
    <row r="3910" spans="1:4">
      <c r="A3910" s="3"/>
      <c r="D3910" s="3"/>
    </row>
    <row r="3911" spans="1:4">
      <c r="A3911" s="3"/>
      <c r="D3911" s="3"/>
    </row>
    <row r="3912" spans="1:4">
      <c r="A3912" s="3"/>
      <c r="D3912" s="3"/>
    </row>
    <row r="3913" spans="1:4">
      <c r="A3913" s="3"/>
      <c r="D3913" s="3"/>
    </row>
    <row r="3914" spans="1:4">
      <c r="A3914" s="3"/>
      <c r="D3914" s="3"/>
    </row>
    <row r="3915" spans="1:4">
      <c r="A3915" s="3"/>
      <c r="D3915" s="3"/>
    </row>
    <row r="3916" spans="1:4">
      <c r="A3916" s="3"/>
      <c r="D3916" s="3"/>
    </row>
    <row r="3917" spans="1:4">
      <c r="A3917" s="3"/>
      <c r="D3917" s="3"/>
    </row>
    <row r="3918" spans="1:4">
      <c r="A3918" s="3"/>
      <c r="D3918" s="3"/>
    </row>
    <row r="3919" spans="1:4">
      <c r="A3919" s="3"/>
      <c r="D3919" s="3"/>
    </row>
    <row r="3920" spans="1:4">
      <c r="A3920" s="3"/>
      <c r="D3920" s="3"/>
    </row>
    <row r="3921" spans="1:4">
      <c r="A3921" s="3"/>
      <c r="D3921" s="3"/>
    </row>
    <row r="3922" spans="1:4">
      <c r="A3922" s="3"/>
      <c r="D3922" s="3"/>
    </row>
    <row r="3923" spans="1:4">
      <c r="A3923" s="3"/>
      <c r="D3923" s="3"/>
    </row>
    <row r="3924" spans="1:4">
      <c r="A3924" s="3"/>
      <c r="D3924" s="3"/>
    </row>
    <row r="3925" spans="1:4">
      <c r="A3925" s="3"/>
      <c r="D3925" s="3"/>
    </row>
    <row r="3926" spans="1:4">
      <c r="A3926" s="3"/>
      <c r="D3926" s="3"/>
    </row>
    <row r="3927" spans="1:4">
      <c r="A3927" s="3"/>
      <c r="D3927" s="3"/>
    </row>
    <row r="3928" spans="1:4">
      <c r="A3928" s="3"/>
      <c r="D3928" s="3"/>
    </row>
    <row r="3929" spans="1:4">
      <c r="A3929" s="3"/>
      <c r="D3929" s="3"/>
    </row>
    <row r="3930" spans="1:4">
      <c r="A3930" s="3"/>
      <c r="D3930" s="3"/>
    </row>
    <row r="3931" spans="1:4">
      <c r="A3931" s="3"/>
      <c r="D3931" s="3"/>
    </row>
    <row r="3932" spans="1:4">
      <c r="A3932" s="3"/>
      <c r="D3932" s="3"/>
    </row>
    <row r="3933" spans="1:4">
      <c r="A3933" s="3"/>
      <c r="D3933" s="3"/>
    </row>
    <row r="3934" spans="1:4">
      <c r="A3934" s="3"/>
      <c r="D3934" s="3"/>
    </row>
    <row r="3935" spans="1:4">
      <c r="A3935" s="3"/>
      <c r="D3935" s="3"/>
    </row>
    <row r="3936" spans="1:4">
      <c r="A3936" s="3"/>
      <c r="D3936" s="3"/>
    </row>
    <row r="3937" spans="1:4">
      <c r="A3937" s="3"/>
      <c r="D3937" s="3"/>
    </row>
    <row r="3938" spans="1:4">
      <c r="A3938" s="3"/>
      <c r="D3938" s="3"/>
    </row>
    <row r="3939" spans="1:4">
      <c r="A3939" s="3"/>
      <c r="D3939" s="3"/>
    </row>
    <row r="3940" spans="1:4">
      <c r="A3940" s="3"/>
      <c r="D3940" s="3"/>
    </row>
    <row r="3941" spans="1:4">
      <c r="A3941" s="3"/>
      <c r="D3941" s="3"/>
    </row>
    <row r="3942" spans="1:4">
      <c r="A3942" s="3"/>
      <c r="D3942" s="3"/>
    </row>
    <row r="3943" spans="1:4">
      <c r="A3943" s="3"/>
      <c r="D3943" s="3"/>
    </row>
    <row r="3944" spans="1:4">
      <c r="A3944" s="3"/>
      <c r="D3944" s="3"/>
    </row>
    <row r="3945" spans="1:4">
      <c r="A3945" s="3"/>
      <c r="D3945" s="3"/>
    </row>
    <row r="3946" spans="1:4">
      <c r="A3946" s="3"/>
      <c r="D3946" s="3"/>
    </row>
    <row r="3947" spans="1:4">
      <c r="A3947" s="3"/>
      <c r="D3947" s="3"/>
    </row>
    <row r="3948" spans="1:4">
      <c r="A3948" s="3"/>
      <c r="D3948" s="3"/>
    </row>
    <row r="3949" spans="1:4">
      <c r="A3949" s="3"/>
      <c r="D3949" s="3"/>
    </row>
    <row r="3950" spans="1:4">
      <c r="A3950" s="3"/>
      <c r="D3950" s="3"/>
    </row>
    <row r="3951" spans="1:4">
      <c r="A3951" s="3"/>
      <c r="D3951" s="3"/>
    </row>
    <row r="3952" spans="1:4">
      <c r="A3952" s="3"/>
      <c r="D3952" s="3"/>
    </row>
    <row r="3953" spans="1:4">
      <c r="A3953" s="3"/>
      <c r="D3953" s="3"/>
    </row>
    <row r="3954" spans="1:4">
      <c r="A3954" s="3"/>
      <c r="D3954" s="3"/>
    </row>
    <row r="3955" spans="1:4">
      <c r="A3955" s="3"/>
      <c r="D3955" s="3"/>
    </row>
    <row r="3956" spans="1:4">
      <c r="A3956" s="3"/>
      <c r="D3956" s="3"/>
    </row>
    <row r="3957" spans="1:4">
      <c r="A3957" s="3"/>
      <c r="D3957" s="3"/>
    </row>
    <row r="3958" spans="1:4">
      <c r="A3958" s="3"/>
      <c r="D3958" s="3"/>
    </row>
    <row r="3959" spans="1:4">
      <c r="A3959" s="3"/>
      <c r="D3959" s="3"/>
    </row>
    <row r="3960" spans="1:4">
      <c r="A3960" s="3"/>
      <c r="D3960" s="3"/>
    </row>
    <row r="3961" spans="1:4">
      <c r="A3961" s="3"/>
      <c r="D3961" s="3"/>
    </row>
    <row r="3962" spans="1:4">
      <c r="A3962" s="3"/>
      <c r="D3962" s="3"/>
    </row>
    <row r="3963" spans="1:4">
      <c r="A3963" s="3"/>
      <c r="D3963" s="3"/>
    </row>
    <row r="3964" spans="1:4">
      <c r="A3964" s="3"/>
      <c r="D3964" s="3"/>
    </row>
    <row r="3965" spans="1:4">
      <c r="A3965" s="3"/>
      <c r="D3965" s="3"/>
    </row>
    <row r="3966" spans="1:4">
      <c r="A3966" s="3"/>
      <c r="D3966" s="3"/>
    </row>
    <row r="3967" spans="1:4">
      <c r="A3967" s="3"/>
      <c r="D3967" s="3"/>
    </row>
    <row r="3968" spans="1:4">
      <c r="A3968" s="3"/>
      <c r="D3968" s="3"/>
    </row>
    <row r="3969" spans="1:4">
      <c r="A3969" s="3"/>
      <c r="D3969" s="3"/>
    </row>
    <row r="3970" spans="1:4">
      <c r="A3970" s="3"/>
      <c r="D3970" s="3"/>
    </row>
    <row r="3971" spans="1:4">
      <c r="A3971" s="3"/>
      <c r="D3971" s="3"/>
    </row>
    <row r="3972" spans="1:4">
      <c r="A3972" s="3"/>
      <c r="D3972" s="3"/>
    </row>
    <row r="3973" spans="1:4">
      <c r="A3973" s="3"/>
      <c r="D3973" s="3"/>
    </row>
    <row r="3974" spans="1:4">
      <c r="A3974" s="3"/>
      <c r="D3974" s="3"/>
    </row>
    <row r="3975" spans="1:4">
      <c r="A3975" s="3"/>
      <c r="D3975" s="3"/>
    </row>
    <row r="3976" spans="1:4">
      <c r="A3976" s="3"/>
      <c r="D3976" s="3"/>
    </row>
    <row r="3977" spans="1:4">
      <c r="A3977" s="3"/>
      <c r="D3977" s="3"/>
    </row>
    <row r="3978" spans="1:4">
      <c r="A3978" s="3"/>
      <c r="D3978" s="3"/>
    </row>
    <row r="3979" spans="1:4">
      <c r="A3979" s="3"/>
      <c r="D3979" s="3"/>
    </row>
    <row r="3980" spans="1:4">
      <c r="A3980" s="3"/>
      <c r="D3980" s="3"/>
    </row>
    <row r="3981" spans="1:4">
      <c r="A3981" s="3"/>
      <c r="D3981" s="3"/>
    </row>
    <row r="3982" spans="1:4">
      <c r="A3982" s="3"/>
      <c r="D3982" s="3"/>
    </row>
    <row r="3983" spans="1:4">
      <c r="A3983" s="3"/>
      <c r="D3983" s="3"/>
    </row>
    <row r="3984" spans="1:4">
      <c r="A3984" s="3"/>
      <c r="D3984" s="3"/>
    </row>
    <row r="3985" spans="1:4">
      <c r="A3985" s="3"/>
      <c r="D3985" s="3"/>
    </row>
    <row r="3986" spans="1:4">
      <c r="A3986" s="3"/>
      <c r="D3986" s="3"/>
    </row>
    <row r="3987" spans="1:4">
      <c r="A3987" s="3"/>
      <c r="D3987" s="3"/>
    </row>
    <row r="3988" spans="1:4">
      <c r="A3988" s="3"/>
      <c r="D3988" s="3"/>
    </row>
    <row r="3989" spans="1:4">
      <c r="A3989" s="3"/>
      <c r="D3989" s="3"/>
    </row>
    <row r="3990" spans="1:4">
      <c r="A3990" s="3"/>
      <c r="D3990" s="3"/>
    </row>
    <row r="3991" spans="1:4">
      <c r="A3991" s="3"/>
      <c r="D3991" s="3"/>
    </row>
    <row r="3992" spans="1:4">
      <c r="A3992" s="3"/>
      <c r="D3992" s="3"/>
    </row>
    <row r="3993" spans="1:4">
      <c r="A3993" s="3"/>
      <c r="D3993" s="3"/>
    </row>
    <row r="3994" spans="1:4">
      <c r="A3994" s="3"/>
      <c r="D3994" s="3"/>
    </row>
    <row r="3995" spans="1:4">
      <c r="A3995" s="3"/>
      <c r="D3995" s="3"/>
    </row>
    <row r="3996" spans="1:4">
      <c r="A3996" s="3"/>
      <c r="D3996" s="3"/>
    </row>
    <row r="3997" spans="1:4">
      <c r="A3997" s="3"/>
      <c r="D3997" s="3"/>
    </row>
    <row r="3998" spans="1:4">
      <c r="A3998" s="3"/>
      <c r="D3998" s="3"/>
    </row>
    <row r="3999" spans="1:4">
      <c r="A3999" s="3"/>
      <c r="D3999" s="3"/>
    </row>
    <row r="4000" spans="1:4">
      <c r="A4000" s="3"/>
      <c r="D4000" s="3"/>
    </row>
    <row r="4001" spans="1:4">
      <c r="A4001" s="3"/>
      <c r="D4001" s="3"/>
    </row>
    <row r="4002" spans="1:4">
      <c r="A4002" s="3"/>
      <c r="D4002" s="3"/>
    </row>
    <row r="4003" spans="1:4">
      <c r="A4003" s="3"/>
      <c r="D4003" s="3"/>
    </row>
    <row r="4004" spans="1:4">
      <c r="A4004" s="3"/>
      <c r="D4004" s="3"/>
    </row>
    <row r="4005" spans="1:4">
      <c r="A4005" s="3"/>
      <c r="D4005" s="3"/>
    </row>
    <row r="4006" spans="1:4">
      <c r="A4006" s="3"/>
      <c r="D4006" s="3"/>
    </row>
    <row r="4007" spans="1:4">
      <c r="A4007" s="3"/>
      <c r="D4007" s="3"/>
    </row>
    <row r="4008" spans="1:4">
      <c r="A4008" s="3"/>
      <c r="D4008" s="3"/>
    </row>
    <row r="4009" spans="1:4">
      <c r="A4009" s="3"/>
      <c r="D4009" s="3"/>
    </row>
    <row r="4010" spans="1:4">
      <c r="A4010" s="3"/>
      <c r="D4010" s="3"/>
    </row>
    <row r="4011" spans="1:4">
      <c r="A4011" s="3"/>
      <c r="D4011" s="3"/>
    </row>
    <row r="4012" spans="1:4">
      <c r="A4012" s="3"/>
      <c r="D4012" s="3"/>
    </row>
    <row r="4013" spans="1:4">
      <c r="A4013" s="3"/>
      <c r="D4013" s="3"/>
    </row>
    <row r="4014" spans="1:4">
      <c r="A4014" s="3"/>
      <c r="D4014" s="3"/>
    </row>
    <row r="4015" spans="1:4">
      <c r="A4015" s="3"/>
      <c r="D4015" s="3"/>
    </row>
    <row r="4016" spans="1:4">
      <c r="A4016" s="3"/>
      <c r="D4016" s="3"/>
    </row>
    <row r="4017" spans="1:4">
      <c r="A4017" s="3"/>
      <c r="D4017" s="3"/>
    </row>
    <row r="4018" spans="1:4">
      <c r="A4018" s="3"/>
      <c r="D4018" s="3"/>
    </row>
    <row r="4019" spans="1:4">
      <c r="A4019" s="3"/>
      <c r="D4019" s="3"/>
    </row>
    <row r="4020" spans="1:4">
      <c r="A4020" s="3"/>
      <c r="D4020" s="3"/>
    </row>
    <row r="4021" spans="1:4">
      <c r="A4021" s="3"/>
      <c r="D4021" s="3"/>
    </row>
    <row r="4022" spans="1:4">
      <c r="A4022" s="3"/>
      <c r="D4022" s="3"/>
    </row>
    <row r="4023" spans="1:4">
      <c r="A4023" s="3"/>
      <c r="D4023" s="3"/>
    </row>
    <row r="4024" spans="1:4">
      <c r="A4024" s="3"/>
      <c r="D4024" s="3"/>
    </row>
    <row r="4025" spans="1:4">
      <c r="A4025" s="3"/>
      <c r="D4025" s="3"/>
    </row>
    <row r="4026" spans="1:4">
      <c r="A4026" s="3"/>
      <c r="D4026" s="3"/>
    </row>
    <row r="4027" spans="1:4">
      <c r="A4027" s="3"/>
      <c r="D4027" s="3"/>
    </row>
    <row r="4028" spans="1:4">
      <c r="A4028" s="3"/>
      <c r="D4028" s="3"/>
    </row>
    <row r="4029" spans="1:4">
      <c r="A4029" s="3"/>
      <c r="D4029" s="3"/>
    </row>
    <row r="4030" spans="1:4">
      <c r="A4030" s="3"/>
      <c r="D4030" s="3"/>
    </row>
    <row r="4031" spans="1:4">
      <c r="A4031" s="3"/>
      <c r="D4031" s="3"/>
    </row>
    <row r="4032" spans="1:4">
      <c r="A4032" s="3"/>
      <c r="D4032" s="3"/>
    </row>
    <row r="4033" spans="1:4">
      <c r="A4033" s="3"/>
      <c r="D4033" s="3"/>
    </row>
    <row r="4034" spans="1:4">
      <c r="A4034" s="3"/>
      <c r="D4034" s="3"/>
    </row>
    <row r="4035" spans="1:4">
      <c r="A4035" s="3"/>
      <c r="D4035" s="3"/>
    </row>
    <row r="4036" spans="1:4">
      <c r="A4036" s="3"/>
      <c r="D4036" s="3"/>
    </row>
    <row r="4037" spans="1:4">
      <c r="A4037" s="3"/>
      <c r="D4037" s="3"/>
    </row>
    <row r="4038" spans="1:4">
      <c r="A4038" s="3"/>
      <c r="D4038" s="3"/>
    </row>
    <row r="4039" spans="1:4">
      <c r="A4039" s="3"/>
      <c r="D4039" s="3"/>
    </row>
    <row r="4040" spans="1:4">
      <c r="A4040" s="3"/>
      <c r="D4040" s="3"/>
    </row>
    <row r="4041" spans="1:4">
      <c r="A4041" s="3"/>
      <c r="D4041" s="3"/>
    </row>
    <row r="4042" spans="1:4">
      <c r="A4042" s="3"/>
      <c r="D4042" s="3"/>
    </row>
    <row r="4043" spans="1:4">
      <c r="A4043" s="3"/>
      <c r="D4043" s="3"/>
    </row>
    <row r="4044" spans="1:4">
      <c r="A4044" s="3"/>
      <c r="D4044" s="3"/>
    </row>
    <row r="4045" spans="1:4">
      <c r="A4045" s="3"/>
      <c r="D4045" s="3"/>
    </row>
    <row r="4046" spans="1:4">
      <c r="A4046" s="3"/>
      <c r="D4046" s="3"/>
    </row>
    <row r="4047" spans="1:4">
      <c r="A4047" s="3"/>
      <c r="D4047" s="3"/>
    </row>
    <row r="4048" spans="1:4">
      <c r="A4048" s="3"/>
      <c r="D4048" s="3"/>
    </row>
    <row r="4049" spans="1:4">
      <c r="A4049" s="3"/>
      <c r="D4049" s="3"/>
    </row>
    <row r="4050" spans="1:4">
      <c r="A4050" s="3"/>
      <c r="D4050" s="3"/>
    </row>
    <row r="4051" spans="1:4">
      <c r="A4051" s="3"/>
      <c r="D4051" s="3"/>
    </row>
    <row r="4052" spans="1:4">
      <c r="A4052" s="3"/>
      <c r="D4052" s="3"/>
    </row>
    <row r="4053" spans="1:4">
      <c r="A4053" s="3"/>
      <c r="D4053" s="3"/>
    </row>
    <row r="4054" spans="1:4">
      <c r="A4054" s="3"/>
      <c r="D4054" s="3"/>
    </row>
    <row r="4055" spans="1:4">
      <c r="A4055" s="3"/>
      <c r="D4055" s="3"/>
    </row>
    <row r="4056" spans="1:4">
      <c r="A4056" s="3"/>
      <c r="D4056" s="3"/>
    </row>
    <row r="4057" spans="1:4">
      <c r="A4057" s="3"/>
      <c r="D4057" s="3"/>
    </row>
    <row r="4058" spans="1:4">
      <c r="A4058" s="3"/>
      <c r="D4058" s="3"/>
    </row>
    <row r="4059" spans="1:4">
      <c r="A4059" s="3"/>
      <c r="D4059" s="3"/>
    </row>
    <row r="4060" spans="1:4">
      <c r="A4060" s="3"/>
      <c r="D4060" s="3"/>
    </row>
    <row r="4061" spans="1:4">
      <c r="A4061" s="3"/>
      <c r="D4061" s="3"/>
    </row>
    <row r="4062" spans="1:4">
      <c r="A4062" s="3"/>
      <c r="D4062" s="3"/>
    </row>
    <row r="4063" spans="1:4">
      <c r="A4063" s="3"/>
      <c r="D4063" s="3"/>
    </row>
    <row r="4064" spans="1:4">
      <c r="A4064" s="3"/>
      <c r="D4064" s="3"/>
    </row>
    <row r="4065" spans="1:4">
      <c r="A4065" s="3"/>
      <c r="D4065" s="3"/>
    </row>
    <row r="4066" spans="1:4">
      <c r="A4066" s="3"/>
      <c r="D4066" s="3"/>
    </row>
    <row r="4067" spans="1:4">
      <c r="A4067" s="3"/>
      <c r="D4067" s="3"/>
    </row>
    <row r="4068" spans="1:4">
      <c r="A4068" s="3"/>
      <c r="D4068" s="3"/>
    </row>
    <row r="4069" spans="1:4">
      <c r="A4069" s="3"/>
      <c r="D4069" s="3"/>
    </row>
    <row r="4070" spans="1:4">
      <c r="A4070" s="3"/>
      <c r="D4070" s="3"/>
    </row>
    <row r="4071" spans="1:4">
      <c r="A4071" s="3"/>
      <c r="D4071" s="3"/>
    </row>
    <row r="4072" spans="1:4">
      <c r="A4072" s="3"/>
      <c r="D4072" s="3"/>
    </row>
    <row r="4073" spans="1:4">
      <c r="A4073" s="3"/>
      <c r="D4073" s="3"/>
    </row>
    <row r="4074" spans="1:4">
      <c r="A4074" s="3"/>
      <c r="D4074" s="3"/>
    </row>
    <row r="4075" spans="1:4">
      <c r="A4075" s="3"/>
      <c r="D4075" s="3"/>
    </row>
    <row r="4076" spans="1:4">
      <c r="A4076" s="3"/>
      <c r="D4076" s="3"/>
    </row>
    <row r="4077" spans="1:4">
      <c r="A4077" s="3"/>
      <c r="D4077" s="3"/>
    </row>
    <row r="4078" spans="1:4">
      <c r="A4078" s="3"/>
      <c r="D4078" s="3"/>
    </row>
    <row r="4079" spans="1:4">
      <c r="A4079" s="3"/>
      <c r="D4079" s="3"/>
    </row>
    <row r="4080" spans="1:4">
      <c r="A4080" s="3"/>
      <c r="D4080" s="3"/>
    </row>
    <row r="4081" spans="1:4">
      <c r="A4081" s="3"/>
      <c r="D4081" s="3"/>
    </row>
    <row r="4082" spans="1:4">
      <c r="A4082" s="3"/>
      <c r="D4082" s="3"/>
    </row>
    <row r="4083" spans="1:4">
      <c r="A4083" s="3"/>
      <c r="D4083" s="3"/>
    </row>
    <row r="4084" spans="1:4">
      <c r="A4084" s="3"/>
      <c r="D4084" s="3"/>
    </row>
    <row r="4085" spans="1:4">
      <c r="A4085" s="3"/>
      <c r="D4085" s="3"/>
    </row>
    <row r="4086" spans="1:4">
      <c r="A4086" s="3"/>
      <c r="D4086" s="3"/>
    </row>
    <row r="4087" spans="1:4">
      <c r="A4087" s="3"/>
      <c r="D4087" s="3"/>
    </row>
    <row r="4088" spans="1:4">
      <c r="A4088" s="3"/>
      <c r="D4088" s="3"/>
    </row>
    <row r="4089" spans="1:4">
      <c r="A4089" s="3"/>
      <c r="D4089" s="3"/>
    </row>
    <row r="4090" spans="1:4">
      <c r="A4090" s="3"/>
      <c r="D4090" s="3"/>
    </row>
    <row r="4091" spans="1:4">
      <c r="A4091" s="3"/>
      <c r="D4091" s="3"/>
    </row>
    <row r="4092" spans="1:4">
      <c r="A4092" s="3"/>
      <c r="D4092" s="3"/>
    </row>
    <row r="4093" spans="1:4">
      <c r="A4093" s="3"/>
      <c r="D4093" s="3"/>
    </row>
    <row r="4094" spans="1:4">
      <c r="A4094" s="3"/>
      <c r="D4094" s="3"/>
    </row>
    <row r="4095" spans="1:4">
      <c r="A4095" s="3"/>
      <c r="D4095" s="3"/>
    </row>
    <row r="4096" spans="1:4">
      <c r="A4096" s="3"/>
      <c r="D4096" s="3"/>
    </row>
    <row r="4097" spans="1:4">
      <c r="A4097" s="3"/>
      <c r="D4097" s="3"/>
    </row>
    <row r="4098" spans="1:4">
      <c r="A4098" s="3"/>
      <c r="D4098" s="3"/>
    </row>
    <row r="4099" spans="1:4">
      <c r="A4099" s="3"/>
      <c r="D4099" s="3"/>
    </row>
    <row r="4100" spans="1:4">
      <c r="A4100" s="3"/>
      <c r="D4100" s="3"/>
    </row>
    <row r="4101" spans="1:4">
      <c r="A4101" s="3"/>
      <c r="D4101" s="3"/>
    </row>
    <row r="4102" spans="1:4">
      <c r="A4102" s="3"/>
      <c r="D4102" s="3"/>
    </row>
    <row r="4103" spans="1:4">
      <c r="A4103" s="3"/>
      <c r="D4103" s="3"/>
    </row>
    <row r="4104" spans="1:4">
      <c r="A4104" s="3"/>
      <c r="D4104" s="3"/>
    </row>
    <row r="4105" spans="1:4">
      <c r="A4105" s="3"/>
      <c r="D4105" s="3"/>
    </row>
    <row r="4106" spans="1:4">
      <c r="A4106" s="3"/>
      <c r="D4106" s="3"/>
    </row>
    <row r="4107" spans="1:4">
      <c r="A4107" s="3"/>
      <c r="D4107" s="3"/>
    </row>
    <row r="4108" spans="1:4">
      <c r="A4108" s="3"/>
      <c r="D4108" s="3"/>
    </row>
    <row r="4109" spans="1:4">
      <c r="A4109" s="3"/>
      <c r="D4109" s="3"/>
    </row>
    <row r="4110" spans="1:4">
      <c r="A4110" s="3"/>
      <c r="D4110" s="3"/>
    </row>
    <row r="4111" spans="1:4">
      <c r="A4111" s="3"/>
      <c r="D4111" s="3"/>
    </row>
    <row r="4112" spans="1:4">
      <c r="A4112" s="3"/>
      <c r="D4112" s="3"/>
    </row>
    <row r="4113" spans="1:4">
      <c r="A4113" s="3"/>
      <c r="D4113" s="3"/>
    </row>
    <row r="4114" spans="1:4">
      <c r="A4114" s="3"/>
      <c r="D4114" s="3"/>
    </row>
    <row r="4115" spans="1:4">
      <c r="A4115" s="3"/>
      <c r="D4115" s="3"/>
    </row>
    <row r="4116" spans="1:4">
      <c r="A4116" s="3"/>
      <c r="D4116" s="3"/>
    </row>
    <row r="4117" spans="1:4">
      <c r="A4117" s="3"/>
      <c r="D4117" s="3"/>
    </row>
    <row r="4118" spans="1:4">
      <c r="A4118" s="3"/>
      <c r="D4118" s="3"/>
    </row>
    <row r="4119" spans="1:4">
      <c r="A4119" s="3"/>
      <c r="D4119" s="3"/>
    </row>
    <row r="4120" spans="1:4">
      <c r="A4120" s="3"/>
      <c r="D4120" s="3"/>
    </row>
    <row r="4121" spans="1:4">
      <c r="A4121" s="3"/>
      <c r="D4121" s="3"/>
    </row>
    <row r="4122" spans="1:4">
      <c r="A4122" s="3"/>
      <c r="D4122" s="3"/>
    </row>
    <row r="4123" spans="1:4">
      <c r="A4123" s="3"/>
      <c r="D4123" s="3"/>
    </row>
    <row r="4124" spans="1:4">
      <c r="A4124" s="3"/>
      <c r="D4124" s="3"/>
    </row>
    <row r="4125" spans="1:4">
      <c r="A4125" s="3"/>
      <c r="D4125" s="3"/>
    </row>
    <row r="4126" spans="1:4">
      <c r="A4126" s="3"/>
      <c r="D4126" s="3"/>
    </row>
    <row r="4127" spans="1:4">
      <c r="A4127" s="3"/>
      <c r="D4127" s="3"/>
    </row>
    <row r="4128" spans="1:4">
      <c r="A4128" s="3"/>
      <c r="D4128" s="3"/>
    </row>
    <row r="4129" spans="1:4">
      <c r="A4129" s="3"/>
      <c r="D4129" s="3"/>
    </row>
    <row r="4130" spans="1:4">
      <c r="A4130" s="3"/>
      <c r="D4130" s="3"/>
    </row>
    <row r="4131" spans="1:4">
      <c r="A4131" s="3"/>
      <c r="D4131" s="3"/>
    </row>
    <row r="4132" spans="1:4">
      <c r="A4132" s="3"/>
      <c r="D4132" s="3"/>
    </row>
    <row r="4133" spans="1:4">
      <c r="A4133" s="3"/>
      <c r="D4133" s="3"/>
    </row>
    <row r="4134" spans="1:4">
      <c r="A4134" s="3"/>
      <c r="D4134" s="3"/>
    </row>
    <row r="4135" spans="1:4">
      <c r="A4135" s="3"/>
      <c r="D4135" s="3"/>
    </row>
    <row r="4136" spans="1:4">
      <c r="A4136" s="3"/>
      <c r="D4136" s="3"/>
    </row>
    <row r="4137" spans="1:4">
      <c r="A4137" s="3"/>
      <c r="D4137" s="3"/>
    </row>
    <row r="4138" spans="1:4">
      <c r="A4138" s="3"/>
      <c r="D4138" s="3"/>
    </row>
    <row r="4139" spans="1:4">
      <c r="A4139" s="3"/>
      <c r="D4139" s="3"/>
    </row>
    <row r="4140" spans="1:4">
      <c r="A4140" s="3"/>
      <c r="D4140" s="3"/>
    </row>
    <row r="4141" spans="1:4">
      <c r="A4141" s="3"/>
      <c r="D4141" s="3"/>
    </row>
    <row r="4142" spans="1:4">
      <c r="A4142" s="3"/>
      <c r="D4142" s="3"/>
    </row>
    <row r="4143" spans="1:4">
      <c r="A4143" s="3"/>
      <c r="D4143" s="3"/>
    </row>
    <row r="4144" spans="1:4">
      <c r="A4144" s="3"/>
      <c r="D4144" s="3"/>
    </row>
    <row r="4145" spans="1:4">
      <c r="A4145" s="3"/>
      <c r="D4145" s="3"/>
    </row>
    <row r="4146" spans="1:4">
      <c r="A4146" s="3"/>
      <c r="D4146" s="3"/>
    </row>
    <row r="4147" spans="1:4">
      <c r="A4147" s="3"/>
      <c r="D4147" s="3"/>
    </row>
    <row r="4148" spans="1:4">
      <c r="A4148" s="3"/>
      <c r="D4148" s="3"/>
    </row>
    <row r="4149" spans="1:4">
      <c r="A4149" s="3"/>
      <c r="D4149" s="3"/>
    </row>
    <row r="4150" spans="1:4">
      <c r="A4150" s="3"/>
      <c r="D4150" s="3"/>
    </row>
    <row r="4151" spans="1:4">
      <c r="A4151" s="3"/>
      <c r="D4151" s="3"/>
    </row>
    <row r="4152" spans="1:4">
      <c r="A4152" s="3"/>
      <c r="D4152" s="3"/>
    </row>
    <row r="4153" spans="1:4">
      <c r="A4153" s="3"/>
      <c r="D4153" s="3"/>
    </row>
    <row r="4154" spans="1:4">
      <c r="A4154" s="3"/>
      <c r="D4154" s="3"/>
    </row>
    <row r="4155" spans="1:4">
      <c r="A4155" s="3"/>
      <c r="D4155" s="3"/>
    </row>
    <row r="4156" spans="1:4">
      <c r="A4156" s="3"/>
      <c r="D4156" s="3"/>
    </row>
    <row r="4157" spans="1:4">
      <c r="A4157" s="3"/>
      <c r="D4157" s="3"/>
    </row>
    <row r="4158" spans="1:4">
      <c r="A4158" s="3"/>
      <c r="D4158" s="3"/>
    </row>
    <row r="4159" spans="1:4">
      <c r="A4159" s="3"/>
      <c r="D4159" s="3"/>
    </row>
    <row r="4160" spans="1:4">
      <c r="A4160" s="3"/>
      <c r="D4160" s="3"/>
    </row>
    <row r="4161" spans="1:4">
      <c r="A4161" s="3"/>
      <c r="D4161" s="3"/>
    </row>
    <row r="4162" spans="1:4">
      <c r="A4162" s="3"/>
      <c r="D4162" s="3"/>
    </row>
    <row r="4163" spans="1:4">
      <c r="A4163" s="3"/>
      <c r="D4163" s="3"/>
    </row>
    <row r="4164" spans="1:4">
      <c r="A4164" s="3"/>
      <c r="D4164" s="3"/>
    </row>
    <row r="4165" spans="1:4">
      <c r="A4165" s="3"/>
      <c r="D4165" s="3"/>
    </row>
    <row r="4166" spans="1:4">
      <c r="A4166" s="3"/>
      <c r="D4166" s="3"/>
    </row>
    <row r="4167" spans="1:4">
      <c r="A4167" s="3"/>
      <c r="D4167" s="3"/>
    </row>
    <row r="4168" spans="1:4">
      <c r="A4168" s="3"/>
      <c r="D4168" s="3"/>
    </row>
    <row r="4169" spans="1:4">
      <c r="A4169" s="3"/>
      <c r="D4169" s="3"/>
    </row>
    <row r="4170" spans="1:4">
      <c r="A4170" s="3"/>
      <c r="D4170" s="3"/>
    </row>
    <row r="4171" spans="1:4">
      <c r="A4171" s="3"/>
      <c r="D4171" s="3"/>
    </row>
    <row r="4172" spans="1:4">
      <c r="A4172" s="3"/>
      <c r="D4172" s="3"/>
    </row>
    <row r="4173" spans="1:4">
      <c r="A4173" s="3"/>
      <c r="D4173" s="3"/>
    </row>
    <row r="4174" spans="1:4">
      <c r="A4174" s="3"/>
      <c r="D4174" s="3"/>
    </row>
    <row r="4175" spans="1:4">
      <c r="A4175" s="3"/>
      <c r="D4175" s="3"/>
    </row>
    <row r="4176" spans="1:4">
      <c r="A4176" s="3"/>
      <c r="D4176" s="3"/>
    </row>
    <row r="4177" spans="1:4">
      <c r="A4177" s="3"/>
      <c r="D4177" s="3"/>
    </row>
    <row r="4178" spans="1:4">
      <c r="A4178" s="3"/>
      <c r="D4178" s="3"/>
    </row>
    <row r="4179" spans="1:4">
      <c r="A4179" s="3"/>
      <c r="D4179" s="3"/>
    </row>
    <row r="4180" spans="1:4">
      <c r="A4180" s="3"/>
      <c r="D4180" s="3"/>
    </row>
    <row r="4181" spans="1:4">
      <c r="A4181" s="3"/>
      <c r="D4181" s="3"/>
    </row>
    <row r="4182" spans="1:4">
      <c r="A4182" s="3"/>
      <c r="D4182" s="3"/>
    </row>
    <row r="4183" spans="1:4">
      <c r="A4183" s="3"/>
      <c r="D4183" s="3"/>
    </row>
    <row r="4184" spans="1:4">
      <c r="A4184" s="3"/>
      <c r="D4184" s="3"/>
    </row>
    <row r="4185" spans="1:4">
      <c r="A4185" s="3"/>
      <c r="D4185" s="3"/>
    </row>
    <row r="4186" spans="1:4">
      <c r="A4186" s="3"/>
      <c r="D4186" s="3"/>
    </row>
    <row r="4187" spans="1:4">
      <c r="A4187" s="3"/>
      <c r="D4187" s="3"/>
    </row>
    <row r="4188" spans="1:4">
      <c r="A4188" s="3"/>
      <c r="D4188" s="3"/>
    </row>
    <row r="4189" spans="1:4">
      <c r="A4189" s="3"/>
      <c r="D4189" s="3"/>
    </row>
    <row r="4190" spans="1:4">
      <c r="A4190" s="3"/>
      <c r="D4190" s="3"/>
    </row>
    <row r="4191" spans="1:4">
      <c r="A4191" s="3"/>
      <c r="D4191" s="3"/>
    </row>
    <row r="4192" spans="1:4">
      <c r="A4192" s="3"/>
      <c r="D4192" s="3"/>
    </row>
    <row r="4193" spans="1:4">
      <c r="A4193" s="3"/>
      <c r="D4193" s="3"/>
    </row>
    <row r="4194" spans="1:4">
      <c r="A4194" s="3"/>
      <c r="D4194" s="3"/>
    </row>
    <row r="4195" spans="1:4">
      <c r="A4195" s="3"/>
      <c r="D4195" s="3"/>
    </row>
    <row r="4196" spans="1:4">
      <c r="A4196" s="3"/>
      <c r="D4196" s="3"/>
    </row>
    <row r="4197" spans="1:4">
      <c r="A4197" s="3"/>
      <c r="D4197" s="3"/>
    </row>
    <row r="4198" spans="1:4">
      <c r="A4198" s="3"/>
      <c r="D4198" s="3"/>
    </row>
    <row r="4199" spans="1:4">
      <c r="A4199" s="3"/>
      <c r="D4199" s="3"/>
    </row>
    <row r="4200" spans="1:4">
      <c r="A4200" s="3"/>
      <c r="D4200" s="3"/>
    </row>
    <row r="4201" spans="1:4">
      <c r="A4201" s="3"/>
      <c r="D4201" s="3"/>
    </row>
    <row r="4202" spans="1:4">
      <c r="A4202" s="3"/>
      <c r="D4202" s="3"/>
    </row>
    <row r="4203" spans="1:4">
      <c r="A4203" s="3"/>
      <c r="D4203" s="3"/>
    </row>
    <row r="4204" spans="1:4">
      <c r="A4204" s="3"/>
      <c r="D4204" s="3"/>
    </row>
    <row r="4205" spans="1:4">
      <c r="A4205" s="3"/>
      <c r="D4205" s="3"/>
    </row>
    <row r="4206" spans="1:4">
      <c r="A4206" s="3"/>
      <c r="D4206" s="3"/>
    </row>
    <row r="4207" spans="1:4">
      <c r="A4207" s="3"/>
      <c r="D4207" s="3"/>
    </row>
    <row r="4208" spans="1:4">
      <c r="A4208" s="3"/>
      <c r="D4208" s="3"/>
    </row>
    <row r="4209" spans="1:4">
      <c r="A4209" s="3"/>
      <c r="D4209" s="3"/>
    </row>
    <row r="4210" spans="1:4">
      <c r="A4210" s="3"/>
      <c r="D4210" s="3"/>
    </row>
    <row r="4211" spans="1:4">
      <c r="A4211" s="3"/>
      <c r="D4211" s="3"/>
    </row>
    <row r="4212" spans="1:4">
      <c r="A4212" s="3"/>
      <c r="D4212" s="3"/>
    </row>
    <row r="4213" spans="1:4">
      <c r="A4213" s="3"/>
      <c r="D4213" s="3"/>
    </row>
    <row r="4214" spans="1:4">
      <c r="A4214" s="3"/>
      <c r="D4214" s="3"/>
    </row>
    <row r="4215" spans="1:4">
      <c r="A4215" s="3"/>
      <c r="D4215" s="3"/>
    </row>
    <row r="4216" spans="1:4">
      <c r="A4216" s="3"/>
      <c r="D4216" s="3"/>
    </row>
    <row r="4217" spans="1:4">
      <c r="A4217" s="3"/>
      <c r="D4217" s="3"/>
    </row>
    <row r="4218" spans="1:4">
      <c r="A4218" s="3"/>
      <c r="D4218" s="3"/>
    </row>
    <row r="4219" spans="1:4">
      <c r="A4219" s="3"/>
      <c r="D4219" s="3"/>
    </row>
    <row r="4220" spans="1:4">
      <c r="A4220" s="3"/>
      <c r="D4220" s="3"/>
    </row>
    <row r="4221" spans="1:4">
      <c r="A4221" s="3"/>
      <c r="D4221" s="3"/>
    </row>
    <row r="4222" spans="1:4">
      <c r="A4222" s="3"/>
      <c r="D4222" s="3"/>
    </row>
    <row r="4223" spans="1:4">
      <c r="A4223" s="3"/>
      <c r="D4223" s="3"/>
    </row>
    <row r="4224" spans="1:4">
      <c r="A4224" s="3"/>
      <c r="D4224" s="3"/>
    </row>
    <row r="4225" spans="1:4">
      <c r="A4225" s="3"/>
      <c r="D4225" s="3"/>
    </row>
    <row r="4226" spans="1:4">
      <c r="A4226" s="3"/>
      <c r="D4226" s="3"/>
    </row>
    <row r="4227" spans="1:4">
      <c r="A4227" s="3"/>
      <c r="D4227" s="3"/>
    </row>
    <row r="4228" spans="1:4">
      <c r="A4228" s="3"/>
      <c r="D4228" s="3"/>
    </row>
    <row r="4229" spans="1:4">
      <c r="A4229" s="3"/>
      <c r="D4229" s="3"/>
    </row>
    <row r="4230" spans="1:4">
      <c r="A4230" s="3"/>
      <c r="D4230" s="3"/>
    </row>
    <row r="4231" spans="1:4">
      <c r="A4231" s="3"/>
      <c r="D4231" s="3"/>
    </row>
    <row r="4232" spans="1:4">
      <c r="A4232" s="3"/>
      <c r="D4232" s="3"/>
    </row>
    <row r="4233" spans="1:4">
      <c r="A4233" s="3"/>
      <c r="D4233" s="3"/>
    </row>
    <row r="4234" spans="1:4">
      <c r="A4234" s="3"/>
      <c r="D4234" s="3"/>
    </row>
    <row r="4235" spans="1:4">
      <c r="A4235" s="3"/>
      <c r="D4235" s="3"/>
    </row>
    <row r="4236" spans="1:4">
      <c r="A4236" s="3"/>
      <c r="D4236" s="3"/>
    </row>
    <row r="4237" spans="1:4">
      <c r="A4237" s="3"/>
      <c r="D4237" s="3"/>
    </row>
    <row r="4238" spans="1:4">
      <c r="A4238" s="3"/>
      <c r="D4238" s="3"/>
    </row>
    <row r="4239" spans="1:4">
      <c r="A4239" s="3"/>
      <c r="D4239" s="3"/>
    </row>
    <row r="4240" spans="1:4">
      <c r="A4240" s="3"/>
      <c r="D4240" s="3"/>
    </row>
    <row r="4241" spans="1:4">
      <c r="A4241" s="3"/>
      <c r="D4241" s="3"/>
    </row>
    <row r="4242" spans="1:4">
      <c r="A4242" s="3"/>
      <c r="D4242" s="3"/>
    </row>
    <row r="4243" spans="1:4">
      <c r="A4243" s="3"/>
      <c r="D4243" s="3"/>
    </row>
    <row r="4244" spans="1:4">
      <c r="A4244" s="3"/>
      <c r="D4244" s="3"/>
    </row>
    <row r="4245" spans="1:4">
      <c r="A4245" s="3"/>
      <c r="D4245" s="3"/>
    </row>
    <row r="4246" spans="1:4">
      <c r="A4246" s="3"/>
      <c r="D4246" s="3"/>
    </row>
    <row r="4247" spans="1:4">
      <c r="A4247" s="3"/>
      <c r="D4247" s="3"/>
    </row>
    <row r="4248" spans="1:4">
      <c r="A4248" s="3"/>
      <c r="D4248" s="3"/>
    </row>
    <row r="4249" spans="1:4">
      <c r="A4249" s="3"/>
      <c r="D4249" s="3"/>
    </row>
    <row r="4250" spans="1:4">
      <c r="A4250" s="3"/>
      <c r="D4250" s="3"/>
    </row>
    <row r="4251" spans="1:4">
      <c r="A4251" s="3"/>
      <c r="D4251" s="3"/>
    </row>
    <row r="4252" spans="1:4">
      <c r="A4252" s="3"/>
      <c r="D4252" s="3"/>
    </row>
    <row r="4253" spans="1:4">
      <c r="A4253" s="3"/>
      <c r="D4253" s="3"/>
    </row>
    <row r="4254" spans="1:4">
      <c r="A4254" s="3"/>
      <c r="D4254" s="3"/>
    </row>
    <row r="4255" spans="1:4">
      <c r="A4255" s="3"/>
      <c r="D4255" s="3"/>
    </row>
    <row r="4256" spans="1:4">
      <c r="A4256" s="3"/>
      <c r="D4256" s="3"/>
    </row>
    <row r="4257" spans="1:4">
      <c r="A4257" s="3"/>
      <c r="D4257" s="3"/>
    </row>
    <row r="4258" spans="1:4">
      <c r="A4258" s="3"/>
      <c r="D4258" s="3"/>
    </row>
    <row r="4259" spans="1:4">
      <c r="A4259" s="3"/>
      <c r="D4259" s="3"/>
    </row>
    <row r="4260" spans="1:4">
      <c r="A4260" s="3"/>
      <c r="D4260" s="3"/>
    </row>
    <row r="4261" spans="1:4">
      <c r="A4261" s="3"/>
      <c r="D4261" s="3"/>
    </row>
    <row r="4262" spans="1:4">
      <c r="A4262" s="3"/>
      <c r="D4262" s="3"/>
    </row>
    <row r="4263" spans="1:4">
      <c r="A4263" s="3"/>
      <c r="D4263" s="3"/>
    </row>
    <row r="4264" spans="1:4">
      <c r="A4264" s="3"/>
      <c r="D4264" s="3"/>
    </row>
    <row r="4265" spans="1:4">
      <c r="A4265" s="3"/>
      <c r="D4265" s="3"/>
    </row>
    <row r="4266" spans="1:4">
      <c r="A4266" s="3"/>
      <c r="D4266" s="3"/>
    </row>
    <row r="4267" spans="1:4">
      <c r="A4267" s="3"/>
      <c r="D4267" s="3"/>
    </row>
    <row r="4268" spans="1:4">
      <c r="A4268" s="3"/>
      <c r="D4268" s="3"/>
    </row>
    <row r="4269" spans="1:4">
      <c r="A4269" s="3"/>
      <c r="D4269" s="3"/>
    </row>
    <row r="4270" spans="1:4">
      <c r="A4270" s="3"/>
      <c r="D4270" s="3"/>
    </row>
    <row r="4271" spans="1:4">
      <c r="A4271" s="3"/>
      <c r="D4271" s="3"/>
    </row>
    <row r="4272" spans="1:4">
      <c r="A4272" s="3"/>
      <c r="D4272" s="3"/>
    </row>
    <row r="4273" spans="1:4">
      <c r="A4273" s="3"/>
      <c r="D4273" s="3"/>
    </row>
    <row r="4274" spans="1:4">
      <c r="A4274" s="3"/>
      <c r="D4274" s="3"/>
    </row>
    <row r="4275" spans="1:4">
      <c r="A4275" s="3"/>
      <c r="D4275" s="3"/>
    </row>
    <row r="4276" spans="1:4">
      <c r="A4276" s="3"/>
      <c r="D4276" s="3"/>
    </row>
    <row r="4277" spans="1:4">
      <c r="A4277" s="3"/>
      <c r="D4277" s="3"/>
    </row>
    <row r="4278" spans="1:4">
      <c r="A4278" s="3"/>
      <c r="D4278" s="3"/>
    </row>
    <row r="4279" spans="1:4">
      <c r="A4279" s="3"/>
      <c r="D4279" s="3"/>
    </row>
    <row r="4280" spans="1:4">
      <c r="A4280" s="3"/>
      <c r="D4280" s="3"/>
    </row>
    <row r="4281" spans="1:4">
      <c r="A4281" s="3"/>
      <c r="D4281" s="3"/>
    </row>
    <row r="4282" spans="1:4">
      <c r="A4282" s="3"/>
      <c r="D4282" s="3"/>
    </row>
    <row r="4283" spans="1:4">
      <c r="A4283" s="3"/>
      <c r="D4283" s="3"/>
    </row>
    <row r="4284" spans="1:4">
      <c r="A4284" s="3"/>
      <c r="D4284" s="3"/>
    </row>
    <row r="4285" spans="1:4">
      <c r="A4285" s="3"/>
      <c r="D4285" s="3"/>
    </row>
    <row r="4286" spans="1:4">
      <c r="A4286" s="3"/>
      <c r="D4286" s="3"/>
    </row>
    <row r="4287" spans="1:4">
      <c r="A4287" s="3"/>
      <c r="D4287" s="3"/>
    </row>
    <row r="4288" spans="1:4">
      <c r="A4288" s="3"/>
      <c r="D4288" s="3"/>
    </row>
    <row r="4289" spans="1:4">
      <c r="A4289" s="3"/>
      <c r="D4289" s="3"/>
    </row>
    <row r="4290" spans="1:4">
      <c r="A4290" s="3"/>
      <c r="D4290" s="3"/>
    </row>
    <row r="4291" spans="1:4">
      <c r="A4291" s="3"/>
      <c r="D4291" s="3"/>
    </row>
    <row r="4292" spans="1:4">
      <c r="A4292" s="3"/>
      <c r="D4292" s="3"/>
    </row>
    <row r="4293" spans="1:4">
      <c r="A4293" s="3"/>
      <c r="D4293" s="3"/>
    </row>
    <row r="4294" spans="1:4">
      <c r="A4294" s="3"/>
      <c r="D4294" s="3"/>
    </row>
    <row r="4295" spans="1:4">
      <c r="A4295" s="3"/>
      <c r="D4295" s="3"/>
    </row>
    <row r="4296" spans="1:4">
      <c r="A4296" s="3"/>
      <c r="D4296" s="3"/>
    </row>
    <row r="4297" spans="1:4">
      <c r="A4297" s="3"/>
      <c r="D4297" s="3"/>
    </row>
    <row r="4298" spans="1:4">
      <c r="A4298" s="3"/>
      <c r="D4298" s="3"/>
    </row>
    <row r="4299" spans="1:4">
      <c r="A4299" s="3"/>
      <c r="D4299" s="3"/>
    </row>
    <row r="4300" spans="1:4">
      <c r="A4300" s="3"/>
      <c r="D4300" s="3"/>
    </row>
    <row r="4301" spans="1:4">
      <c r="A4301" s="3"/>
      <c r="D4301" s="3"/>
    </row>
    <row r="4302" spans="1:4">
      <c r="A4302" s="3"/>
      <c r="D4302" s="3"/>
    </row>
    <row r="4303" spans="1:4">
      <c r="A4303" s="3"/>
      <c r="D4303" s="3"/>
    </row>
    <row r="4304" spans="1:4">
      <c r="A4304" s="3"/>
      <c r="D4304" s="3"/>
    </row>
    <row r="4305" spans="1:4">
      <c r="A4305" s="3"/>
      <c r="D4305" s="3"/>
    </row>
    <row r="4306" spans="1:4">
      <c r="A4306" s="3"/>
      <c r="D4306" s="3"/>
    </row>
    <row r="4307" spans="1:4">
      <c r="A4307" s="3"/>
      <c r="D4307" s="3"/>
    </row>
    <row r="4308" spans="1:4">
      <c r="A4308" s="3"/>
      <c r="D4308" s="3"/>
    </row>
    <row r="4309" spans="1:4">
      <c r="A4309" s="3"/>
      <c r="D4309" s="3"/>
    </row>
    <row r="4310" spans="1:4">
      <c r="A4310" s="3"/>
      <c r="D4310" s="3"/>
    </row>
    <row r="4311" spans="1:4">
      <c r="A4311" s="3"/>
      <c r="D4311" s="3"/>
    </row>
    <row r="4312" spans="1:4">
      <c r="A4312" s="3"/>
      <c r="D4312" s="3"/>
    </row>
    <row r="4313" spans="1:4">
      <c r="A4313" s="3"/>
      <c r="D4313" s="3"/>
    </row>
    <row r="4314" spans="1:4">
      <c r="A4314" s="3"/>
      <c r="D4314" s="3"/>
    </row>
    <row r="4315" spans="1:4">
      <c r="A4315" s="3"/>
      <c r="D4315" s="3"/>
    </row>
    <row r="4316" spans="1:4">
      <c r="A4316" s="3"/>
      <c r="D4316" s="3"/>
    </row>
    <row r="4317" spans="1:4">
      <c r="A4317" s="3"/>
      <c r="D4317" s="3"/>
    </row>
    <row r="4318" spans="1:4">
      <c r="A4318" s="3"/>
      <c r="D4318" s="3"/>
    </row>
    <row r="4319" spans="1:4">
      <c r="A4319" s="3"/>
      <c r="D4319" s="3"/>
    </row>
    <row r="4320" spans="1:4">
      <c r="A4320" s="3"/>
      <c r="D4320" s="3"/>
    </row>
    <row r="4321" spans="1:4">
      <c r="A4321" s="3"/>
      <c r="D4321" s="3"/>
    </row>
    <row r="4322" spans="1:4">
      <c r="A4322" s="3"/>
      <c r="D4322" s="3"/>
    </row>
    <row r="4323" spans="1:4">
      <c r="A4323" s="3"/>
      <c r="D4323" s="3"/>
    </row>
    <row r="4324" spans="1:4">
      <c r="A4324" s="3"/>
      <c r="D4324" s="3"/>
    </row>
    <row r="4325" spans="1:4">
      <c r="A4325" s="3"/>
      <c r="D4325" s="3"/>
    </row>
    <row r="4326" spans="1:4">
      <c r="A4326" s="3"/>
      <c r="D4326" s="3"/>
    </row>
    <row r="4327" spans="1:4">
      <c r="A4327" s="3"/>
      <c r="D4327" s="3"/>
    </row>
    <row r="4328" spans="1:4">
      <c r="A4328" s="3"/>
      <c r="D4328" s="3"/>
    </row>
    <row r="4329" spans="1:4">
      <c r="A4329" s="3"/>
      <c r="D4329" s="3"/>
    </row>
    <row r="4330" spans="1:4">
      <c r="A4330" s="3"/>
      <c r="D4330" s="3"/>
    </row>
    <row r="4331" spans="1:4">
      <c r="A4331" s="3"/>
      <c r="D4331" s="3"/>
    </row>
    <row r="4332" spans="1:4">
      <c r="A4332" s="3"/>
      <c r="D4332" s="3"/>
    </row>
    <row r="4333" spans="1:4">
      <c r="A4333" s="3"/>
      <c r="D4333" s="3"/>
    </row>
    <row r="4334" spans="1:4">
      <c r="A4334" s="3"/>
      <c r="D4334" s="3"/>
    </row>
    <row r="4335" spans="1:4">
      <c r="A4335" s="3"/>
      <c r="D4335" s="3"/>
    </row>
    <row r="4336" spans="1:4">
      <c r="A4336" s="3"/>
      <c r="D4336" s="3"/>
    </row>
    <row r="4337" spans="1:4">
      <c r="A4337" s="3"/>
      <c r="D4337" s="3"/>
    </row>
    <row r="4338" spans="1:4">
      <c r="A4338" s="3"/>
      <c r="D4338" s="3"/>
    </row>
    <row r="4339" spans="1:4">
      <c r="A4339" s="3"/>
      <c r="D4339" s="3"/>
    </row>
    <row r="4340" spans="1:4">
      <c r="A4340" s="3"/>
      <c r="D4340" s="3"/>
    </row>
    <row r="4341" spans="1:4">
      <c r="A4341" s="3"/>
      <c r="D4341" s="3"/>
    </row>
    <row r="4342" spans="1:4">
      <c r="A4342" s="3"/>
      <c r="D4342" s="3"/>
    </row>
    <row r="4343" spans="1:4">
      <c r="A4343" s="3"/>
      <c r="D4343" s="3"/>
    </row>
    <row r="4344" spans="1:4">
      <c r="A4344" s="3"/>
      <c r="D4344" s="3"/>
    </row>
    <row r="4345" spans="1:4">
      <c r="A4345" s="3"/>
      <c r="D4345" s="3"/>
    </row>
    <row r="4346" spans="1:4">
      <c r="A4346" s="3"/>
      <c r="D4346" s="3"/>
    </row>
    <row r="4347" spans="1:4">
      <c r="A4347" s="3"/>
      <c r="D4347" s="3"/>
    </row>
    <row r="4348" spans="1:4">
      <c r="A4348" s="3"/>
      <c r="D4348" s="3"/>
    </row>
    <row r="4349" spans="1:4">
      <c r="A4349" s="3"/>
      <c r="D4349" s="3"/>
    </row>
    <row r="4350" spans="1:4">
      <c r="A4350" s="3"/>
      <c r="D4350" s="3"/>
    </row>
    <row r="4351" spans="1:4">
      <c r="A4351" s="3"/>
      <c r="D4351" s="3"/>
    </row>
    <row r="4352" spans="1:4">
      <c r="A4352" s="3"/>
      <c r="D4352" s="3"/>
    </row>
    <row r="4353" spans="1:4">
      <c r="A4353" s="3"/>
      <c r="D4353" s="3"/>
    </row>
    <row r="4354" spans="1:4">
      <c r="A4354" s="3"/>
      <c r="D4354" s="3"/>
    </row>
    <row r="4355" spans="1:4">
      <c r="A4355" s="3"/>
      <c r="D4355" s="3"/>
    </row>
    <row r="4356" spans="1:4">
      <c r="A4356" s="3"/>
      <c r="D4356" s="3"/>
    </row>
    <row r="4357" spans="1:4">
      <c r="A4357" s="3"/>
      <c r="D4357" s="3"/>
    </row>
    <row r="4358" spans="1:4">
      <c r="A4358" s="3"/>
      <c r="D4358" s="3"/>
    </row>
    <row r="4359" spans="1:4">
      <c r="A4359" s="3"/>
      <c r="D4359" s="3"/>
    </row>
    <row r="4360" spans="1:4">
      <c r="A4360" s="3"/>
      <c r="D4360" s="3"/>
    </row>
    <row r="4361" spans="1:4">
      <c r="A4361" s="3"/>
      <c r="D4361" s="3"/>
    </row>
    <row r="4362" spans="1:4">
      <c r="A4362" s="3"/>
      <c r="D4362" s="3"/>
    </row>
    <row r="4363" spans="1:4">
      <c r="A4363" s="3"/>
      <c r="D4363" s="3"/>
    </row>
    <row r="4364" spans="1:4">
      <c r="A4364" s="3"/>
      <c r="D4364" s="3"/>
    </row>
    <row r="4365" spans="1:4">
      <c r="A4365" s="3"/>
      <c r="D4365" s="3"/>
    </row>
    <row r="4366" spans="1:4">
      <c r="A4366" s="3"/>
      <c r="D4366" s="3"/>
    </row>
    <row r="4367" spans="1:4">
      <c r="A4367" s="3"/>
      <c r="D4367" s="3"/>
    </row>
    <row r="4368" spans="1:4">
      <c r="A4368" s="3"/>
      <c r="D4368" s="3"/>
    </row>
    <row r="4369" spans="1:4">
      <c r="A4369" s="3"/>
      <c r="D4369" s="3"/>
    </row>
    <row r="4370" spans="1:4">
      <c r="A4370" s="3"/>
      <c r="D4370" s="3"/>
    </row>
    <row r="4371" spans="1:4">
      <c r="A4371" s="3"/>
      <c r="D4371" s="3"/>
    </row>
    <row r="4372" spans="1:4">
      <c r="A4372" s="3"/>
      <c r="D4372" s="3"/>
    </row>
    <row r="4373" spans="1:4">
      <c r="A4373" s="3"/>
      <c r="D4373" s="3"/>
    </row>
    <row r="4374" spans="1:4">
      <c r="A4374" s="3"/>
      <c r="D4374" s="3"/>
    </row>
    <row r="4375" spans="1:4">
      <c r="A4375" s="3"/>
      <c r="D4375" s="3"/>
    </row>
    <row r="4376" spans="1:4">
      <c r="A4376" s="3"/>
      <c r="D4376" s="3"/>
    </row>
    <row r="4377" spans="1:4">
      <c r="A4377" s="3"/>
      <c r="D4377" s="3"/>
    </row>
    <row r="4378" spans="1:4">
      <c r="A4378" s="3"/>
      <c r="D4378" s="3"/>
    </row>
    <row r="4379" spans="1:4">
      <c r="A4379" s="3"/>
      <c r="D4379" s="3"/>
    </row>
    <row r="4380" spans="1:4">
      <c r="A4380" s="3"/>
      <c r="D4380" s="3"/>
    </row>
    <row r="4381" spans="1:4">
      <c r="A4381" s="3"/>
      <c r="D4381" s="3"/>
    </row>
    <row r="4382" spans="1:4">
      <c r="A4382" s="3"/>
      <c r="D4382" s="3"/>
    </row>
    <row r="4383" spans="1:4">
      <c r="A4383" s="3"/>
      <c r="D4383" s="3"/>
    </row>
    <row r="4384" spans="1:4">
      <c r="A4384" s="3"/>
      <c r="D4384" s="3"/>
    </row>
    <row r="4385" spans="1:4">
      <c r="A4385" s="3"/>
      <c r="D4385" s="3"/>
    </row>
    <row r="4386" spans="1:4">
      <c r="A4386" s="3"/>
      <c r="D4386" s="3"/>
    </row>
    <row r="4387" spans="1:4">
      <c r="A4387" s="3"/>
      <c r="D4387" s="3"/>
    </row>
    <row r="4388" spans="1:4">
      <c r="A4388" s="3"/>
      <c r="D4388" s="3"/>
    </row>
    <row r="4389" spans="1:4">
      <c r="A4389" s="3"/>
      <c r="D4389" s="3"/>
    </row>
    <row r="4390" spans="1:4">
      <c r="A4390" s="3"/>
      <c r="D4390" s="3"/>
    </row>
    <row r="4391" spans="1:4">
      <c r="A4391" s="3"/>
      <c r="D4391" s="3"/>
    </row>
    <row r="4392" spans="1:4">
      <c r="A4392" s="3"/>
      <c r="D4392" s="3"/>
    </row>
    <row r="4393" spans="1:4">
      <c r="A4393" s="3"/>
      <c r="D4393" s="3"/>
    </row>
    <row r="4394" spans="1:4">
      <c r="A4394" s="3"/>
      <c r="D4394" s="3"/>
    </row>
    <row r="4395" spans="1:4">
      <c r="A4395" s="3"/>
      <c r="D4395" s="3"/>
    </row>
    <row r="4396" spans="1:4">
      <c r="A4396" s="3"/>
      <c r="D4396" s="3"/>
    </row>
    <row r="4397" spans="1:4">
      <c r="A4397" s="3"/>
      <c r="D4397" s="3"/>
    </row>
    <row r="4398" spans="1:4">
      <c r="A4398" s="3"/>
      <c r="D4398" s="3"/>
    </row>
    <row r="4399" spans="1:4">
      <c r="A4399" s="3"/>
      <c r="D4399" s="3"/>
    </row>
    <row r="4400" spans="1:4">
      <c r="A4400" s="3"/>
      <c r="D4400" s="3"/>
    </row>
    <row r="4401" spans="1:4">
      <c r="A4401" s="3"/>
      <c r="D4401" s="3"/>
    </row>
    <row r="4402" spans="1:4">
      <c r="A4402" s="3"/>
      <c r="D4402" s="3"/>
    </row>
    <row r="4403" spans="1:4">
      <c r="A4403" s="3"/>
      <c r="D4403" s="3"/>
    </row>
    <row r="4404" spans="1:4">
      <c r="A4404" s="3"/>
      <c r="D4404" s="3"/>
    </row>
    <row r="4405" spans="1:4">
      <c r="A4405" s="3"/>
      <c r="D4405" s="3"/>
    </row>
    <row r="4406" spans="1:4">
      <c r="A4406" s="3"/>
      <c r="D4406" s="3"/>
    </row>
    <row r="4407" spans="1:4">
      <c r="A4407" s="3"/>
      <c r="D4407" s="3"/>
    </row>
    <row r="4408" spans="1:4">
      <c r="A4408" s="3"/>
      <c r="D4408" s="3"/>
    </row>
    <row r="4409" spans="1:4">
      <c r="A4409" s="3"/>
      <c r="D4409" s="3"/>
    </row>
    <row r="4410" spans="1:4">
      <c r="A4410" s="3"/>
      <c r="D4410" s="3"/>
    </row>
    <row r="4411" spans="1:4">
      <c r="A4411" s="3"/>
      <c r="D4411" s="3"/>
    </row>
    <row r="4412" spans="1:4">
      <c r="A4412" s="3"/>
      <c r="D4412" s="3"/>
    </row>
    <row r="4413" spans="1:4">
      <c r="A4413" s="3"/>
      <c r="D4413" s="3"/>
    </row>
    <row r="4414" spans="1:4">
      <c r="A4414" s="3"/>
      <c r="D4414" s="3"/>
    </row>
    <row r="4415" spans="1:4">
      <c r="A4415" s="3"/>
      <c r="D4415" s="3"/>
    </row>
    <row r="4416" spans="1:4">
      <c r="A4416" s="3"/>
      <c r="D4416" s="3"/>
    </row>
    <row r="4417" spans="1:4">
      <c r="A4417" s="3"/>
      <c r="D4417" s="3"/>
    </row>
    <row r="4418" spans="1:4">
      <c r="A4418" s="3"/>
      <c r="D4418" s="3"/>
    </row>
    <row r="4419" spans="1:4">
      <c r="A4419" s="3"/>
      <c r="D4419" s="3"/>
    </row>
    <row r="4420" spans="1:4">
      <c r="A4420" s="3"/>
      <c r="D4420" s="3"/>
    </row>
    <row r="4421" spans="1:4">
      <c r="A4421" s="3"/>
      <c r="D4421" s="3"/>
    </row>
    <row r="4422" spans="1:4">
      <c r="A4422" s="3"/>
      <c r="D4422" s="3"/>
    </row>
    <row r="4423" spans="1:4">
      <c r="A4423" s="3"/>
      <c r="D4423" s="3"/>
    </row>
    <row r="4424" spans="1:4">
      <c r="A4424" s="3"/>
      <c r="D4424" s="3"/>
    </row>
    <row r="4425" spans="1:4">
      <c r="A4425" s="3"/>
      <c r="D4425" s="3"/>
    </row>
    <row r="4426" spans="1:4">
      <c r="A4426" s="3"/>
      <c r="D4426" s="3"/>
    </row>
    <row r="4427" spans="1:4">
      <c r="A4427" s="3"/>
      <c r="D4427" s="3"/>
    </row>
    <row r="4428" spans="1:4">
      <c r="A4428" s="3"/>
      <c r="D4428" s="3"/>
    </row>
    <row r="4429" spans="1:4">
      <c r="A4429" s="3"/>
      <c r="D4429" s="3"/>
    </row>
    <row r="4430" spans="1:4">
      <c r="A4430" s="3"/>
      <c r="D4430" s="3"/>
    </row>
    <row r="4431" spans="1:4">
      <c r="A4431" s="3"/>
      <c r="D4431" s="3"/>
    </row>
    <row r="4432" spans="1:4">
      <c r="A4432" s="3"/>
      <c r="D4432" s="3"/>
    </row>
    <row r="4433" spans="1:4">
      <c r="A4433" s="3"/>
      <c r="D4433" s="3"/>
    </row>
    <row r="4434" spans="1:4">
      <c r="A4434" s="3"/>
      <c r="D4434" s="3"/>
    </row>
    <row r="4435" spans="1:4">
      <c r="A4435" s="3"/>
      <c r="D4435" s="3"/>
    </row>
    <row r="4436" spans="1:4">
      <c r="A4436" s="3"/>
      <c r="D4436" s="3"/>
    </row>
    <row r="4437" spans="1:4">
      <c r="A4437" s="3"/>
      <c r="D4437" s="3"/>
    </row>
    <row r="4438" spans="1:4">
      <c r="A4438" s="3"/>
      <c r="D4438" s="3"/>
    </row>
    <row r="4439" spans="1:4">
      <c r="A4439" s="3"/>
      <c r="D4439" s="3"/>
    </row>
    <row r="4440" spans="1:4">
      <c r="A4440" s="3"/>
      <c r="D4440" s="3"/>
    </row>
    <row r="4441" spans="1:4">
      <c r="A4441" s="3"/>
      <c r="D4441" s="3"/>
    </row>
    <row r="4442" spans="1:4">
      <c r="A4442" s="3"/>
      <c r="D4442" s="3"/>
    </row>
    <row r="4443" spans="1:4">
      <c r="A4443" s="3"/>
      <c r="D4443" s="3"/>
    </row>
    <row r="4444" spans="1:4">
      <c r="A4444" s="3"/>
      <c r="D4444" s="3"/>
    </row>
    <row r="4445" spans="1:4">
      <c r="A4445" s="3"/>
      <c r="D4445" s="3"/>
    </row>
    <row r="4446" spans="1:4">
      <c r="A4446" s="3"/>
      <c r="D4446" s="3"/>
    </row>
    <row r="4447" spans="1:4">
      <c r="A4447" s="3"/>
      <c r="D4447" s="3"/>
    </row>
    <row r="4448" spans="1:4">
      <c r="A4448" s="3"/>
      <c r="D4448" s="3"/>
    </row>
    <row r="4449" spans="1:4">
      <c r="A4449" s="3"/>
      <c r="D4449" s="3"/>
    </row>
    <row r="4450" spans="1:4">
      <c r="A4450" s="3"/>
      <c r="D4450" s="3"/>
    </row>
    <row r="4451" spans="1:4">
      <c r="A4451" s="3"/>
      <c r="D4451" s="3"/>
    </row>
    <row r="4452" spans="1:4">
      <c r="A4452" s="3"/>
      <c r="D4452" s="3"/>
    </row>
    <row r="4453" spans="1:4">
      <c r="A4453" s="3"/>
      <c r="D4453" s="3"/>
    </row>
    <row r="4454" spans="1:4">
      <c r="A4454" s="3"/>
      <c r="D4454" s="3"/>
    </row>
    <row r="4455" spans="1:4">
      <c r="A4455" s="3"/>
      <c r="D4455" s="3"/>
    </row>
    <row r="4456" spans="1:4">
      <c r="A4456" s="3"/>
      <c r="D4456" s="3"/>
    </row>
    <row r="4457" spans="1:4">
      <c r="A4457" s="3"/>
      <c r="D4457" s="3"/>
    </row>
    <row r="4458" spans="1:4">
      <c r="A4458" s="3"/>
      <c r="D4458" s="3"/>
    </row>
    <row r="4459" spans="1:4">
      <c r="A4459" s="3"/>
      <c r="D4459" s="3"/>
    </row>
    <row r="4460" spans="1:4">
      <c r="A4460" s="3"/>
      <c r="D4460" s="3"/>
    </row>
    <row r="4461" spans="1:4">
      <c r="A4461" s="3"/>
      <c r="D4461" s="3"/>
    </row>
    <row r="4462" spans="1:4">
      <c r="A4462" s="3"/>
      <c r="D4462" s="3"/>
    </row>
    <row r="4463" spans="1:4">
      <c r="A4463" s="3"/>
      <c r="D4463" s="3"/>
    </row>
    <row r="4464" spans="1:4">
      <c r="A4464" s="3"/>
      <c r="D4464" s="3"/>
    </row>
    <row r="4465" spans="1:4">
      <c r="A4465" s="3"/>
      <c r="D4465" s="3"/>
    </row>
    <row r="4466" spans="1:4">
      <c r="A4466" s="3"/>
      <c r="D4466" s="3"/>
    </row>
    <row r="4467" spans="1:4">
      <c r="A4467" s="3"/>
      <c r="D4467" s="3"/>
    </row>
    <row r="4468" spans="1:4">
      <c r="A4468" s="3"/>
      <c r="D4468" s="3"/>
    </row>
    <row r="4469" spans="1:4">
      <c r="A4469" s="3"/>
      <c r="D4469" s="3"/>
    </row>
    <row r="4470" spans="1:4">
      <c r="A4470" s="3"/>
      <c r="D4470" s="3"/>
    </row>
    <row r="4471" spans="1:4">
      <c r="A4471" s="3"/>
      <c r="D4471" s="3"/>
    </row>
    <row r="4472" spans="1:4">
      <c r="A4472" s="3"/>
      <c r="D4472" s="3"/>
    </row>
    <row r="4473" spans="1:4">
      <c r="A4473" s="3"/>
      <c r="D4473" s="3"/>
    </row>
    <row r="4474" spans="1:4">
      <c r="A4474" s="3"/>
      <c r="D4474" s="3"/>
    </row>
    <row r="4475" spans="1:4">
      <c r="A4475" s="3"/>
      <c r="D4475" s="3"/>
    </row>
    <row r="4476" spans="1:4">
      <c r="A4476" s="3"/>
      <c r="D4476" s="3"/>
    </row>
    <row r="4477" spans="1:4">
      <c r="A4477" s="3"/>
      <c r="D4477" s="3"/>
    </row>
    <row r="4478" spans="1:4">
      <c r="A4478" s="3"/>
      <c r="D4478" s="3"/>
    </row>
    <row r="4479" spans="1:4">
      <c r="A4479" s="3"/>
      <c r="D4479" s="3"/>
    </row>
    <row r="4480" spans="1:4">
      <c r="A4480" s="3"/>
      <c r="D4480" s="3"/>
    </row>
    <row r="4481" spans="1:4">
      <c r="A4481" s="3"/>
      <c r="D4481" s="3"/>
    </row>
    <row r="4482" spans="1:4">
      <c r="A4482" s="3"/>
      <c r="D4482" s="3"/>
    </row>
    <row r="4483" spans="1:4">
      <c r="A4483" s="3"/>
      <c r="D4483" s="3"/>
    </row>
    <row r="4484" spans="1:4">
      <c r="A4484" s="3"/>
      <c r="D4484" s="3"/>
    </row>
    <row r="4485" spans="1:4">
      <c r="A4485" s="3"/>
      <c r="D4485" s="3"/>
    </row>
    <row r="4486" spans="1:4">
      <c r="A4486" s="3"/>
      <c r="D4486" s="3"/>
    </row>
    <row r="4487" spans="1:4">
      <c r="A4487" s="3"/>
      <c r="D4487" s="3"/>
    </row>
    <row r="4488" spans="1:4">
      <c r="A4488" s="3"/>
      <c r="D4488" s="3"/>
    </row>
    <row r="4489" spans="1:4">
      <c r="A4489" s="3"/>
      <c r="D4489" s="3"/>
    </row>
    <row r="4490" spans="1:4">
      <c r="A4490" s="3"/>
      <c r="D4490" s="3"/>
    </row>
    <row r="4491" spans="1:4">
      <c r="A4491" s="3"/>
      <c r="D4491" s="3"/>
    </row>
    <row r="4492" spans="1:4">
      <c r="A4492" s="3"/>
      <c r="D4492" s="3"/>
    </row>
    <row r="4493" spans="1:4">
      <c r="A4493" s="3"/>
      <c r="D4493" s="3"/>
    </row>
    <row r="4494" spans="1:4">
      <c r="A4494" s="3"/>
      <c r="D4494" s="3"/>
    </row>
    <row r="4495" spans="1:4">
      <c r="A4495" s="3"/>
      <c r="D4495" s="3"/>
    </row>
    <row r="4496" spans="1:4">
      <c r="A4496" s="3"/>
      <c r="D4496" s="3"/>
    </row>
    <row r="4497" spans="1:4">
      <c r="A4497" s="3"/>
      <c r="D4497" s="3"/>
    </row>
    <row r="4498" spans="1:4">
      <c r="A4498" s="3"/>
      <c r="D4498" s="3"/>
    </row>
    <row r="4499" spans="1:4">
      <c r="A4499" s="3"/>
      <c r="D4499" s="3"/>
    </row>
    <row r="4500" spans="1:4">
      <c r="A4500" s="3"/>
      <c r="D4500" s="3"/>
    </row>
    <row r="4501" spans="1:4">
      <c r="A4501" s="3"/>
      <c r="D4501" s="3"/>
    </row>
    <row r="4502" spans="1:4">
      <c r="A4502" s="3"/>
      <c r="D4502" s="3"/>
    </row>
    <row r="4503" spans="1:4">
      <c r="A4503" s="3"/>
      <c r="D4503" s="3"/>
    </row>
    <row r="4504" spans="1:4">
      <c r="A4504" s="3"/>
      <c r="D4504" s="3"/>
    </row>
    <row r="4505" spans="1:4">
      <c r="A4505" s="3"/>
      <c r="D4505" s="3"/>
    </row>
    <row r="4506" spans="1:4">
      <c r="A4506" s="3"/>
      <c r="D4506" s="3"/>
    </row>
    <row r="4507" spans="1:4">
      <c r="A4507" s="3"/>
      <c r="D4507" s="3"/>
    </row>
    <row r="4508" spans="1:4">
      <c r="A4508" s="3"/>
      <c r="D4508" s="3"/>
    </row>
    <row r="4509" spans="1:4">
      <c r="A4509" s="3"/>
      <c r="D4509" s="3"/>
    </row>
    <row r="4510" spans="1:4">
      <c r="A4510" s="3"/>
      <c r="D4510" s="3"/>
    </row>
    <row r="4511" spans="1:4">
      <c r="A4511" s="3"/>
      <c r="D4511" s="3"/>
    </row>
    <row r="4512" spans="1:4">
      <c r="A4512" s="3"/>
      <c r="D4512" s="3"/>
    </row>
    <row r="4513" spans="1:4">
      <c r="A4513" s="3"/>
      <c r="D4513" s="3"/>
    </row>
    <row r="4514" spans="1:4">
      <c r="A4514" s="3"/>
      <c r="D4514" s="3"/>
    </row>
    <row r="4515" spans="1:4">
      <c r="A4515" s="3"/>
      <c r="D4515" s="3"/>
    </row>
    <row r="4516" spans="1:4">
      <c r="A4516" s="3"/>
      <c r="D4516" s="3"/>
    </row>
    <row r="4517" spans="1:4">
      <c r="A4517" s="3"/>
      <c r="D4517" s="3"/>
    </row>
    <row r="4518" spans="1:4">
      <c r="A4518" s="3"/>
      <c r="D4518" s="3"/>
    </row>
    <row r="4519" spans="1:4">
      <c r="A4519" s="3"/>
      <c r="D4519" s="3"/>
    </row>
    <row r="4520" spans="1:4">
      <c r="A4520" s="3"/>
      <c r="D4520" s="3"/>
    </row>
    <row r="4521" spans="1:4">
      <c r="A4521" s="3"/>
      <c r="D4521" s="3"/>
    </row>
    <row r="4522" spans="1:4">
      <c r="A4522" s="3"/>
      <c r="D4522" s="3"/>
    </row>
    <row r="4523" spans="1:4">
      <c r="A4523" s="3"/>
      <c r="D4523" s="3"/>
    </row>
    <row r="4524" spans="1:4">
      <c r="A4524" s="3"/>
      <c r="D4524" s="3"/>
    </row>
    <row r="4525" spans="1:4">
      <c r="A4525" s="3"/>
      <c r="D4525" s="3"/>
    </row>
    <row r="4526" spans="1:4">
      <c r="A4526" s="3"/>
      <c r="D4526" s="3"/>
    </row>
    <row r="4527" spans="1:4">
      <c r="A4527" s="3"/>
      <c r="D4527" s="3"/>
    </row>
    <row r="4528" spans="1:4">
      <c r="A4528" s="3"/>
      <c r="D4528" s="3"/>
    </row>
    <row r="4529" spans="1:4">
      <c r="A4529" s="3"/>
      <c r="D4529" s="3"/>
    </row>
    <row r="4530" spans="1:4">
      <c r="A4530" s="3"/>
      <c r="D4530" s="3"/>
    </row>
    <row r="4531" spans="1:4">
      <c r="A4531" s="3"/>
      <c r="D4531" s="3"/>
    </row>
    <row r="4532" spans="1:4">
      <c r="A4532" s="3"/>
      <c r="D4532" s="3"/>
    </row>
    <row r="4533" spans="1:4">
      <c r="A4533" s="3"/>
      <c r="D4533" s="3"/>
    </row>
    <row r="4534" spans="1:4">
      <c r="A4534" s="3"/>
      <c r="D4534" s="3"/>
    </row>
    <row r="4535" spans="1:4">
      <c r="A4535" s="3"/>
      <c r="D4535" s="3"/>
    </row>
    <row r="4536" spans="1:4">
      <c r="A4536" s="3"/>
      <c r="D4536" s="3"/>
    </row>
    <row r="4537" spans="1:4">
      <c r="A4537" s="3"/>
      <c r="D4537" s="3"/>
    </row>
    <row r="4538" spans="1:4">
      <c r="A4538" s="3"/>
      <c r="D4538" s="3"/>
    </row>
    <row r="4539" spans="1:4">
      <c r="A4539" s="3"/>
      <c r="D4539" s="3"/>
    </row>
    <row r="4540" spans="1:4">
      <c r="A4540" s="3"/>
      <c r="D4540" s="3"/>
    </row>
    <row r="4541" spans="1:4">
      <c r="A4541" s="3"/>
      <c r="D4541" s="3"/>
    </row>
    <row r="4542" spans="1:4">
      <c r="A4542" s="3"/>
      <c r="D4542" s="3"/>
    </row>
    <row r="4543" spans="1:4">
      <c r="A4543" s="3"/>
      <c r="D4543" s="3"/>
    </row>
    <row r="4544" spans="1:4">
      <c r="A4544" s="3"/>
      <c r="D4544" s="3"/>
    </row>
    <row r="4545" spans="1:4">
      <c r="A4545" s="3"/>
      <c r="D4545" s="3"/>
    </row>
    <row r="4546" spans="1:4">
      <c r="A4546" s="3"/>
      <c r="D4546" s="3"/>
    </row>
    <row r="4547" spans="1:4">
      <c r="A4547" s="3"/>
      <c r="D4547" s="3"/>
    </row>
    <row r="4548" spans="1:4">
      <c r="A4548" s="3"/>
      <c r="D4548" s="3"/>
    </row>
    <row r="4549" spans="1:4">
      <c r="A4549" s="3"/>
      <c r="D4549" s="3"/>
    </row>
    <row r="4550" spans="1:4">
      <c r="A4550" s="3"/>
      <c r="D4550" s="3"/>
    </row>
    <row r="4551" spans="1:4">
      <c r="A4551" s="3"/>
      <c r="D4551" s="3"/>
    </row>
    <row r="4552" spans="1:4">
      <c r="A4552" s="3"/>
      <c r="D4552" s="3"/>
    </row>
    <row r="4553" spans="1:4">
      <c r="A4553" s="3"/>
      <c r="D4553" s="3"/>
    </row>
    <row r="4554" spans="1:4">
      <c r="A4554" s="3"/>
      <c r="D4554" s="3"/>
    </row>
    <row r="4555" spans="1:4">
      <c r="A4555" s="3"/>
      <c r="D4555" s="3"/>
    </row>
    <row r="4556" spans="1:4">
      <c r="A4556" s="3"/>
      <c r="D4556" s="3"/>
    </row>
    <row r="4557" spans="1:4">
      <c r="A4557" s="3"/>
      <c r="D4557" s="3"/>
    </row>
    <row r="4558" spans="1:4">
      <c r="A4558" s="3"/>
      <c r="D4558" s="3"/>
    </row>
    <row r="4559" spans="1:4">
      <c r="A4559" s="3"/>
      <c r="D4559" s="3"/>
    </row>
    <row r="4560" spans="1:4">
      <c r="A4560" s="3"/>
      <c r="D4560" s="3"/>
    </row>
    <row r="4561" spans="1:4">
      <c r="A4561" s="3"/>
      <c r="D4561" s="3"/>
    </row>
    <row r="4562" spans="1:4">
      <c r="A4562" s="3"/>
      <c r="D4562" s="3"/>
    </row>
    <row r="4563" spans="1:4">
      <c r="A4563" s="3"/>
      <c r="D4563" s="3"/>
    </row>
    <row r="4564" spans="1:4">
      <c r="A4564" s="3"/>
      <c r="D4564" s="3"/>
    </row>
    <row r="4565" spans="1:4">
      <c r="A4565" s="3"/>
      <c r="D4565" s="3"/>
    </row>
    <row r="4566" spans="1:4">
      <c r="A4566" s="3"/>
      <c r="D4566" s="3"/>
    </row>
    <row r="4567" spans="1:4">
      <c r="A4567" s="3"/>
      <c r="D4567" s="3"/>
    </row>
    <row r="4568" spans="1:4">
      <c r="A4568" s="3"/>
      <c r="D4568" s="3"/>
    </row>
    <row r="4569" spans="1:4">
      <c r="A4569" s="3"/>
      <c r="D4569" s="3"/>
    </row>
    <row r="4570" spans="1:4">
      <c r="A4570" s="3"/>
      <c r="D4570" s="3"/>
    </row>
    <row r="4571" spans="1:4">
      <c r="A4571" s="3"/>
      <c r="D4571" s="3"/>
    </row>
    <row r="4572" spans="1:4">
      <c r="A4572" s="3"/>
      <c r="D4572" s="3"/>
    </row>
    <row r="4573" spans="1:4">
      <c r="A4573" s="3"/>
      <c r="D4573" s="3"/>
    </row>
    <row r="4574" spans="1:4">
      <c r="A4574" s="3"/>
      <c r="D4574" s="3"/>
    </row>
    <row r="4575" spans="1:4">
      <c r="A4575" s="3"/>
      <c r="D4575" s="3"/>
    </row>
    <row r="4576" spans="1:4">
      <c r="A4576" s="3"/>
      <c r="D4576" s="3"/>
    </row>
    <row r="4577" spans="1:4">
      <c r="A4577" s="3"/>
      <c r="D4577" s="3"/>
    </row>
    <row r="4578" spans="1:4">
      <c r="A4578" s="3"/>
      <c r="D4578" s="3"/>
    </row>
    <row r="4579" spans="1:4">
      <c r="A4579" s="3"/>
      <c r="D4579" s="3"/>
    </row>
    <row r="4580" spans="1:4">
      <c r="A4580" s="3"/>
      <c r="D4580" s="3"/>
    </row>
    <row r="4581" spans="1:4">
      <c r="A4581" s="3"/>
      <c r="D4581" s="3"/>
    </row>
    <row r="4582" spans="1:4">
      <c r="A4582" s="3"/>
      <c r="D4582" s="3"/>
    </row>
    <row r="4583" spans="1:4">
      <c r="A4583" s="3"/>
      <c r="D4583" s="3"/>
    </row>
    <row r="4584" spans="1:4">
      <c r="A4584" s="3"/>
      <c r="D4584" s="3"/>
    </row>
    <row r="4585" spans="1:4">
      <c r="A4585" s="3"/>
      <c r="D4585" s="3"/>
    </row>
    <row r="4586" spans="1:4">
      <c r="A4586" s="3"/>
      <c r="D4586" s="3"/>
    </row>
    <row r="4587" spans="1:4">
      <c r="A4587" s="3"/>
      <c r="D4587" s="3"/>
    </row>
    <row r="4588" spans="1:4">
      <c r="A4588" s="3"/>
      <c r="D4588" s="3"/>
    </row>
    <row r="4589" spans="1:4">
      <c r="A4589" s="3"/>
      <c r="D4589" s="3"/>
    </row>
    <row r="4590" spans="1:4">
      <c r="A4590" s="3"/>
      <c r="D4590" s="3"/>
    </row>
    <row r="4591" spans="1:4">
      <c r="A4591" s="3"/>
      <c r="D4591" s="3"/>
    </row>
    <row r="4592" spans="1:4">
      <c r="A4592" s="3"/>
      <c r="D4592" s="3"/>
    </row>
    <row r="4593" spans="1:4">
      <c r="A4593" s="3"/>
      <c r="D4593" s="3"/>
    </row>
    <row r="4594" spans="1:4">
      <c r="A4594" s="3"/>
      <c r="D4594" s="3"/>
    </row>
    <row r="4595" spans="1:4">
      <c r="A4595" s="3"/>
      <c r="D4595" s="3"/>
    </row>
    <row r="4596" spans="1:4">
      <c r="A4596" s="3"/>
      <c r="D4596" s="3"/>
    </row>
    <row r="4597" spans="1:4">
      <c r="A4597" s="3"/>
      <c r="D4597" s="3"/>
    </row>
    <row r="4598" spans="1:4">
      <c r="A4598" s="3"/>
      <c r="D4598" s="3"/>
    </row>
    <row r="4599" spans="1:4">
      <c r="A4599" s="3"/>
      <c r="D4599" s="3"/>
    </row>
    <row r="4600" spans="1:4">
      <c r="A4600" s="3"/>
      <c r="D4600" s="3"/>
    </row>
    <row r="4601" spans="1:4">
      <c r="A4601" s="3"/>
      <c r="D4601" s="3"/>
    </row>
    <row r="4602" spans="1:4">
      <c r="A4602" s="3"/>
      <c r="D4602" s="3"/>
    </row>
    <row r="4603" spans="1:4">
      <c r="A4603" s="3"/>
      <c r="D4603" s="3"/>
    </row>
    <row r="4604" spans="1:4">
      <c r="A4604" s="3"/>
      <c r="D4604" s="3"/>
    </row>
    <row r="4605" spans="1:4">
      <c r="A4605" s="3"/>
      <c r="D4605" s="3"/>
    </row>
    <row r="4606" spans="1:4">
      <c r="A4606" s="3"/>
      <c r="D4606" s="3"/>
    </row>
    <row r="4607" spans="1:4">
      <c r="A4607" s="3"/>
      <c r="D4607" s="3"/>
    </row>
    <row r="4608" spans="1:4">
      <c r="A4608" s="3"/>
      <c r="D4608" s="3"/>
    </row>
    <row r="4609" spans="1:4">
      <c r="A4609" s="3"/>
      <c r="D4609" s="3"/>
    </row>
    <row r="4610" spans="1:4">
      <c r="A4610" s="3"/>
      <c r="D4610" s="3"/>
    </row>
    <row r="4611" spans="1:4">
      <c r="A4611" s="3"/>
      <c r="D4611" s="3"/>
    </row>
    <row r="4612" spans="1:4">
      <c r="A4612" s="3"/>
      <c r="D4612" s="3"/>
    </row>
    <row r="4613" spans="1:4">
      <c r="A4613" s="3"/>
      <c r="D4613" s="3"/>
    </row>
    <row r="4614" spans="1:4">
      <c r="A4614" s="3"/>
      <c r="D4614" s="3"/>
    </row>
    <row r="4615" spans="1:4">
      <c r="A4615" s="3"/>
      <c r="D4615" s="3"/>
    </row>
    <row r="4616" spans="1:4">
      <c r="A4616" s="3"/>
      <c r="D4616" s="3"/>
    </row>
    <row r="4617" spans="1:4">
      <c r="A4617" s="3"/>
      <c r="D4617" s="3"/>
    </row>
    <row r="4618" spans="1:4">
      <c r="A4618" s="3"/>
      <c r="D4618" s="3"/>
    </row>
    <row r="4619" spans="1:4">
      <c r="A4619" s="3"/>
      <c r="D4619" s="3"/>
    </row>
    <row r="4620" spans="1:4">
      <c r="A4620" s="3"/>
      <c r="D4620" s="3"/>
    </row>
    <row r="4621" spans="1:4">
      <c r="A4621" s="3"/>
      <c r="D4621" s="3"/>
    </row>
    <row r="4622" spans="1:4">
      <c r="A4622" s="3"/>
      <c r="D4622" s="3"/>
    </row>
    <row r="4623" spans="1:4">
      <c r="A4623" s="3"/>
      <c r="D4623" s="3"/>
    </row>
    <row r="4624" spans="1:4">
      <c r="A4624" s="3"/>
      <c r="D4624" s="3"/>
    </row>
    <row r="4625" spans="1:4">
      <c r="A4625" s="3"/>
      <c r="D4625" s="3"/>
    </row>
    <row r="4626" spans="1:4">
      <c r="A4626" s="3"/>
      <c r="D4626" s="3"/>
    </row>
    <row r="4627" spans="1:4">
      <c r="A4627" s="3"/>
      <c r="D4627" s="3"/>
    </row>
    <row r="4628" spans="1:4">
      <c r="A4628" s="3"/>
      <c r="D4628" s="3"/>
    </row>
    <row r="4629" spans="1:4">
      <c r="A4629" s="3"/>
      <c r="D4629" s="3"/>
    </row>
    <row r="4630" spans="1:4">
      <c r="A4630" s="3"/>
      <c r="D4630" s="3"/>
    </row>
    <row r="4631" spans="1:4">
      <c r="A4631" s="3"/>
      <c r="D4631" s="3"/>
    </row>
    <row r="4632" spans="1:4">
      <c r="A4632" s="3"/>
      <c r="D4632" s="3"/>
    </row>
    <row r="4633" spans="1:4">
      <c r="A4633" s="3"/>
      <c r="D4633" s="3"/>
    </row>
    <row r="4634" spans="1:4">
      <c r="A4634" s="3"/>
      <c r="D4634" s="3"/>
    </row>
    <row r="4635" spans="1:4">
      <c r="A4635" s="3"/>
      <c r="D4635" s="3"/>
    </row>
    <row r="4636" spans="1:4">
      <c r="A4636" s="3"/>
      <c r="D4636" s="3"/>
    </row>
    <row r="4637" spans="1:4">
      <c r="A4637" s="3"/>
      <c r="D4637" s="3"/>
    </row>
    <row r="4638" spans="1:4">
      <c r="A4638" s="3"/>
      <c r="D4638" s="3"/>
    </row>
    <row r="4639" spans="1:4">
      <c r="A4639" s="3"/>
      <c r="D4639" s="3"/>
    </row>
    <row r="4640" spans="1:4">
      <c r="A4640" s="3"/>
      <c r="D4640" s="3"/>
    </row>
    <row r="4641" spans="1:4">
      <c r="A4641" s="3"/>
      <c r="D4641" s="3"/>
    </row>
    <row r="4642" spans="1:4">
      <c r="A4642" s="3"/>
      <c r="D4642" s="3"/>
    </row>
    <row r="4643" spans="1:4">
      <c r="A4643" s="3"/>
      <c r="D4643" s="3"/>
    </row>
    <row r="4644" spans="1:4">
      <c r="A4644" s="3"/>
      <c r="D4644" s="3"/>
    </row>
    <row r="4645" spans="1:4">
      <c r="A4645" s="3"/>
      <c r="D4645" s="3"/>
    </row>
    <row r="4646" spans="1:4">
      <c r="A4646" s="3"/>
      <c r="D4646" s="3"/>
    </row>
    <row r="4647" spans="1:4">
      <c r="A4647" s="3"/>
      <c r="D4647" s="3"/>
    </row>
    <row r="4648" spans="1:4">
      <c r="A4648" s="3"/>
      <c r="D4648" s="3"/>
    </row>
    <row r="4649" spans="1:4">
      <c r="A4649" s="3"/>
      <c r="D4649" s="3"/>
    </row>
    <row r="4650" spans="1:4">
      <c r="A4650" s="3"/>
      <c r="D4650" s="3"/>
    </row>
    <row r="4651" spans="1:4">
      <c r="A4651" s="3"/>
      <c r="D4651" s="3"/>
    </row>
    <row r="4652" spans="1:4">
      <c r="A4652" s="3"/>
      <c r="D4652" s="3"/>
    </row>
    <row r="4653" spans="1:4">
      <c r="A4653" s="3"/>
      <c r="D4653" s="3"/>
    </row>
    <row r="4654" spans="1:4">
      <c r="A4654" s="3"/>
      <c r="D4654" s="3"/>
    </row>
    <row r="4655" spans="1:4">
      <c r="A4655" s="3"/>
      <c r="D4655" s="3"/>
    </row>
    <row r="4656" spans="1:4">
      <c r="A4656" s="3"/>
      <c r="D4656" s="3"/>
    </row>
    <row r="4657" spans="1:4">
      <c r="A4657" s="3"/>
      <c r="D4657" s="3"/>
    </row>
    <row r="4658" spans="1:4">
      <c r="A4658" s="3"/>
      <c r="D4658" s="3"/>
    </row>
    <row r="4659" spans="1:4">
      <c r="A4659" s="3"/>
      <c r="D4659" s="3"/>
    </row>
    <row r="4660" spans="1:4">
      <c r="A4660" s="3"/>
      <c r="D4660" s="3"/>
    </row>
    <row r="4661" spans="1:4">
      <c r="A4661" s="3"/>
      <c r="D4661" s="3"/>
    </row>
    <row r="4662" spans="1:4">
      <c r="A4662" s="3"/>
      <c r="D4662" s="3"/>
    </row>
    <row r="4663" spans="1:4">
      <c r="A4663" s="3"/>
      <c r="D4663" s="3"/>
    </row>
    <row r="4664" spans="1:4">
      <c r="A4664" s="3"/>
      <c r="D4664" s="3"/>
    </row>
    <row r="4665" spans="1:4">
      <c r="A4665" s="3"/>
      <c r="D4665" s="3"/>
    </row>
    <row r="4666" spans="1:4">
      <c r="A4666" s="3"/>
      <c r="D4666" s="3"/>
    </row>
    <row r="4667" spans="1:4">
      <c r="A4667" s="3"/>
      <c r="D4667" s="3"/>
    </row>
    <row r="4668" spans="1:4">
      <c r="A4668" s="3"/>
      <c r="D4668" s="3"/>
    </row>
    <row r="4669" spans="1:4">
      <c r="A4669" s="3"/>
      <c r="D4669" s="3"/>
    </row>
    <row r="4670" spans="1:4">
      <c r="A4670" s="3"/>
      <c r="D4670" s="3"/>
    </row>
    <row r="4671" spans="1:4">
      <c r="A4671" s="3"/>
      <c r="D4671" s="3"/>
    </row>
    <row r="4672" spans="1:4">
      <c r="A4672" s="3"/>
      <c r="D4672" s="3"/>
    </row>
    <row r="4673" spans="1:4">
      <c r="A4673" s="3"/>
      <c r="D4673" s="3"/>
    </row>
    <row r="4674" spans="1:4">
      <c r="A4674" s="3"/>
      <c r="D4674" s="3"/>
    </row>
    <row r="4675" spans="1:4">
      <c r="A4675" s="3"/>
      <c r="D4675" s="3"/>
    </row>
    <row r="4676" spans="1:4">
      <c r="A4676" s="3"/>
      <c r="D4676" s="3"/>
    </row>
    <row r="4677" spans="1:4">
      <c r="A4677" s="3"/>
      <c r="D4677" s="3"/>
    </row>
    <row r="4678" spans="1:4">
      <c r="A4678" s="3"/>
      <c r="D4678" s="3"/>
    </row>
    <row r="4679" spans="1:4">
      <c r="A4679" s="3"/>
      <c r="D4679" s="3"/>
    </row>
    <row r="4680" spans="1:4">
      <c r="A4680" s="3"/>
      <c r="D4680" s="3"/>
    </row>
    <row r="4681" spans="1:4">
      <c r="A4681" s="3"/>
      <c r="D4681" s="3"/>
    </row>
    <row r="4682" spans="1:4">
      <c r="A4682" s="3"/>
      <c r="D4682" s="3"/>
    </row>
    <row r="4683" spans="1:4">
      <c r="A4683" s="3"/>
      <c r="D4683" s="3"/>
    </row>
    <row r="4684" spans="1:4">
      <c r="A4684" s="3"/>
      <c r="D4684" s="3"/>
    </row>
    <row r="4685" spans="1:4">
      <c r="A4685" s="3"/>
      <c r="D4685" s="3"/>
    </row>
    <row r="4686" spans="1:4">
      <c r="A4686" s="3"/>
      <c r="D4686" s="3"/>
    </row>
    <row r="4687" spans="1:4">
      <c r="A4687" s="3"/>
      <c r="D4687" s="3"/>
    </row>
    <row r="4688" spans="1:4">
      <c r="A4688" s="3"/>
      <c r="D4688" s="3"/>
    </row>
    <row r="4689" spans="1:4">
      <c r="A4689" s="3"/>
      <c r="D4689" s="3"/>
    </row>
    <row r="4690" spans="1:4">
      <c r="A4690" s="3"/>
      <c r="D4690" s="3"/>
    </row>
    <row r="4691" spans="1:4">
      <c r="A4691" s="3"/>
      <c r="D4691" s="3"/>
    </row>
    <row r="4692" spans="1:4">
      <c r="A4692" s="3"/>
      <c r="D4692" s="3"/>
    </row>
    <row r="4693" spans="1:4">
      <c r="A4693" s="3"/>
      <c r="D4693" s="3"/>
    </row>
    <row r="4694" spans="1:4">
      <c r="A4694" s="3"/>
      <c r="D4694" s="3"/>
    </row>
    <row r="4695" spans="1:4">
      <c r="A4695" s="3"/>
      <c r="D4695" s="3"/>
    </row>
    <row r="4696" spans="1:4">
      <c r="A4696" s="3"/>
      <c r="D4696" s="3"/>
    </row>
    <row r="4697" spans="1:4">
      <c r="A4697" s="3"/>
      <c r="D4697" s="3"/>
    </row>
    <row r="4698" spans="1:4">
      <c r="A4698" s="3"/>
      <c r="D4698" s="3"/>
    </row>
    <row r="4699" spans="1:4">
      <c r="A4699" s="3"/>
      <c r="D4699" s="3"/>
    </row>
    <row r="4700" spans="1:4">
      <c r="A4700" s="3"/>
      <c r="D4700" s="3"/>
    </row>
    <row r="4701" spans="1:4">
      <c r="A4701" s="3"/>
      <c r="D4701" s="3"/>
    </row>
    <row r="4702" spans="1:4">
      <c r="A4702" s="3"/>
      <c r="D4702" s="3"/>
    </row>
    <row r="4703" spans="1:4">
      <c r="A4703" s="3"/>
      <c r="D4703" s="3"/>
    </row>
    <row r="4704" spans="1:4">
      <c r="A4704" s="3"/>
      <c r="D4704" s="3"/>
    </row>
    <row r="4705" spans="1:4">
      <c r="A4705" s="3"/>
      <c r="D4705" s="3"/>
    </row>
    <row r="4706" spans="1:4">
      <c r="A4706" s="3"/>
      <c r="D4706" s="3"/>
    </row>
    <row r="4707" spans="1:4">
      <c r="A4707" s="3"/>
      <c r="D4707" s="3"/>
    </row>
    <row r="4708" spans="1:4">
      <c r="A4708" s="3"/>
      <c r="D4708" s="3"/>
    </row>
    <row r="4709" spans="1:4">
      <c r="A4709" s="3"/>
      <c r="D4709" s="3"/>
    </row>
    <row r="4710" spans="1:4">
      <c r="A4710" s="3"/>
      <c r="D4710" s="3"/>
    </row>
    <row r="4711" spans="1:4">
      <c r="A4711" s="3"/>
      <c r="D4711" s="3"/>
    </row>
    <row r="4712" spans="1:4">
      <c r="A4712" s="3"/>
      <c r="D4712" s="3"/>
    </row>
    <row r="4713" spans="1:4">
      <c r="A4713" s="3"/>
      <c r="D4713" s="3"/>
    </row>
    <row r="4714" spans="1:4">
      <c r="A4714" s="3"/>
      <c r="D4714" s="3"/>
    </row>
    <row r="4715" spans="1:4">
      <c r="A4715" s="3"/>
      <c r="D4715" s="3"/>
    </row>
    <row r="4716" spans="1:4">
      <c r="A4716" s="3"/>
      <c r="D4716" s="3"/>
    </row>
    <row r="4717" spans="1:4">
      <c r="A4717" s="3"/>
      <c r="D4717" s="3"/>
    </row>
    <row r="4718" spans="1:4">
      <c r="A4718" s="3"/>
      <c r="D4718" s="3"/>
    </row>
    <row r="4719" spans="1:4">
      <c r="A4719" s="3"/>
      <c r="D4719" s="3"/>
    </row>
    <row r="4720" spans="1:4">
      <c r="A4720" s="3"/>
      <c r="D4720" s="3"/>
    </row>
    <row r="4721" spans="1:4">
      <c r="A4721" s="3"/>
      <c r="D4721" s="3"/>
    </row>
    <row r="4722" spans="1:4">
      <c r="A4722" s="3"/>
      <c r="D4722" s="3"/>
    </row>
    <row r="4723" spans="1:4">
      <c r="A4723" s="3"/>
      <c r="D4723" s="3"/>
    </row>
    <row r="4724" spans="1:4">
      <c r="A4724" s="3"/>
      <c r="D4724" s="3"/>
    </row>
    <row r="4725" spans="1:4">
      <c r="A4725" s="3"/>
      <c r="D4725" s="3"/>
    </row>
    <row r="4726" spans="1:4">
      <c r="A4726" s="3"/>
      <c r="D4726" s="3"/>
    </row>
    <row r="4727" spans="1:4">
      <c r="A4727" s="3"/>
      <c r="D4727" s="3"/>
    </row>
    <row r="4728" spans="1:4">
      <c r="A4728" s="3"/>
      <c r="D4728" s="3"/>
    </row>
    <row r="4729" spans="1:4">
      <c r="A4729" s="3"/>
      <c r="D4729" s="3"/>
    </row>
    <row r="4730" spans="1:4">
      <c r="A4730" s="3"/>
      <c r="D4730" s="3"/>
    </row>
    <row r="4731" spans="1:4">
      <c r="A4731" s="3"/>
      <c r="D4731" s="3"/>
    </row>
    <row r="4732" spans="1:4">
      <c r="A4732" s="3"/>
      <c r="D4732" s="3"/>
    </row>
    <row r="4733" spans="1:4">
      <c r="A4733" s="3"/>
      <c r="D4733" s="3"/>
    </row>
    <row r="4734" spans="1:4">
      <c r="A4734" s="3"/>
      <c r="D4734" s="3"/>
    </row>
    <row r="4735" spans="1:4">
      <c r="A4735" s="3"/>
      <c r="D4735" s="3"/>
    </row>
    <row r="4736" spans="1:4">
      <c r="A4736" s="3"/>
      <c r="D4736" s="3"/>
    </row>
    <row r="4737" spans="1:4">
      <c r="A4737" s="3"/>
      <c r="D4737" s="3"/>
    </row>
    <row r="4738" spans="1:4">
      <c r="A4738" s="3"/>
      <c r="D4738" s="3"/>
    </row>
    <row r="4739" spans="1:4">
      <c r="A4739" s="3"/>
      <c r="D4739" s="3"/>
    </row>
    <row r="4740" spans="1:4">
      <c r="A4740" s="3"/>
      <c r="D4740" s="3"/>
    </row>
    <row r="4741" spans="1:4">
      <c r="A4741" s="3"/>
      <c r="D4741" s="3"/>
    </row>
    <row r="4742" spans="1:4">
      <c r="A4742" s="3"/>
      <c r="D4742" s="3"/>
    </row>
    <row r="4743" spans="1:4">
      <c r="A4743" s="3"/>
      <c r="D4743" s="3"/>
    </row>
    <row r="4744" spans="1:4">
      <c r="A4744" s="3"/>
      <c r="D4744" s="3"/>
    </row>
    <row r="4745" spans="1:4">
      <c r="A4745" s="3"/>
      <c r="D4745" s="3"/>
    </row>
    <row r="4746" spans="1:4">
      <c r="A4746" s="3"/>
      <c r="D4746" s="3"/>
    </row>
    <row r="4747" spans="1:4">
      <c r="A4747" s="3"/>
      <c r="D4747" s="3"/>
    </row>
    <row r="4748" spans="1:4">
      <c r="A4748" s="3"/>
      <c r="D4748" s="3"/>
    </row>
    <row r="4749" spans="1:4">
      <c r="A4749" s="3"/>
      <c r="D4749" s="3"/>
    </row>
    <row r="4750" spans="1:4">
      <c r="A4750" s="3"/>
      <c r="D4750" s="3"/>
    </row>
    <row r="4751" spans="1:4">
      <c r="A4751" s="3"/>
      <c r="D4751" s="3"/>
    </row>
    <row r="4752" spans="1:4">
      <c r="A4752" s="3"/>
      <c r="D4752" s="3"/>
    </row>
    <row r="4753" spans="1:4">
      <c r="A4753" s="3"/>
      <c r="D4753" s="3"/>
    </row>
    <row r="4754" spans="1:4">
      <c r="A4754" s="3"/>
      <c r="D4754" s="3"/>
    </row>
    <row r="4755" spans="1:4">
      <c r="A4755" s="3"/>
      <c r="D4755" s="3"/>
    </row>
    <row r="4756" spans="1:4">
      <c r="A4756" s="3"/>
      <c r="D4756" s="3"/>
    </row>
    <row r="4757" spans="1:4">
      <c r="A4757" s="3"/>
      <c r="D4757" s="3"/>
    </row>
    <row r="4758" spans="1:4">
      <c r="A4758" s="3"/>
      <c r="D4758" s="3"/>
    </row>
    <row r="4759" spans="1:4">
      <c r="A4759" s="3"/>
      <c r="D4759" s="3"/>
    </row>
    <row r="4760" spans="1:4">
      <c r="A4760" s="3"/>
      <c r="D4760" s="3"/>
    </row>
    <row r="4761" spans="1:4">
      <c r="A4761" s="3"/>
      <c r="D4761" s="3"/>
    </row>
    <row r="4762" spans="1:4">
      <c r="A4762" s="3"/>
      <c r="D4762" s="3"/>
    </row>
    <row r="4763" spans="1:4">
      <c r="A4763" s="3"/>
      <c r="D4763" s="3"/>
    </row>
    <row r="4764" spans="1:4">
      <c r="A4764" s="3"/>
      <c r="D4764" s="3"/>
    </row>
    <row r="4765" spans="1:4">
      <c r="A4765" s="3"/>
      <c r="D4765" s="3"/>
    </row>
    <row r="4766" spans="1:4">
      <c r="A4766" s="3"/>
      <c r="D4766" s="3"/>
    </row>
    <row r="4767" spans="1:4">
      <c r="A4767" s="3"/>
      <c r="D4767" s="3"/>
    </row>
    <row r="4768" spans="1:4">
      <c r="A4768" s="3"/>
      <c r="D4768" s="3"/>
    </row>
    <row r="4769" spans="1:4">
      <c r="A4769" s="3"/>
      <c r="D4769" s="3"/>
    </row>
    <row r="4770" spans="1:4">
      <c r="A4770" s="3"/>
      <c r="D4770" s="3"/>
    </row>
    <row r="4771" spans="1:4">
      <c r="A4771" s="3"/>
      <c r="D4771" s="3"/>
    </row>
    <row r="4772" spans="1:4">
      <c r="A4772" s="3"/>
      <c r="D4772" s="3"/>
    </row>
    <row r="4773" spans="1:4">
      <c r="A4773" s="3"/>
      <c r="D4773" s="3"/>
    </row>
    <row r="4774" spans="1:4">
      <c r="A4774" s="3"/>
      <c r="D4774" s="3"/>
    </row>
    <row r="4775" spans="1:4">
      <c r="A4775" s="3"/>
      <c r="D4775" s="3"/>
    </row>
    <row r="4776" spans="1:4">
      <c r="A4776" s="3"/>
      <c r="D4776" s="3"/>
    </row>
    <row r="4777" spans="1:4">
      <c r="A4777" s="3"/>
      <c r="D4777" s="3"/>
    </row>
    <row r="4778" spans="1:4">
      <c r="A4778" s="3"/>
      <c r="D4778" s="3"/>
    </row>
    <row r="4779" spans="1:4">
      <c r="A4779" s="3"/>
      <c r="D4779" s="3"/>
    </row>
    <row r="4780" spans="1:4">
      <c r="A4780" s="3"/>
      <c r="D4780" s="3"/>
    </row>
    <row r="4781" spans="1:4">
      <c r="A4781" s="3"/>
      <c r="D4781" s="3"/>
    </row>
    <row r="4782" spans="1:4">
      <c r="A4782" s="3"/>
      <c r="D4782" s="3"/>
    </row>
    <row r="4783" spans="1:4">
      <c r="A4783" s="3"/>
      <c r="D4783" s="3"/>
    </row>
    <row r="4784" spans="1:4">
      <c r="A4784" s="3"/>
      <c r="D4784" s="3"/>
    </row>
    <row r="4785" spans="1:4">
      <c r="A4785" s="3"/>
      <c r="D4785" s="3"/>
    </row>
    <row r="4786" spans="1:4">
      <c r="A4786" s="3"/>
      <c r="D4786" s="3"/>
    </row>
    <row r="4787" spans="1:4">
      <c r="A4787" s="3"/>
      <c r="D4787" s="3"/>
    </row>
    <row r="4788" spans="1:4">
      <c r="A4788" s="3"/>
      <c r="D4788" s="3"/>
    </row>
    <row r="4789" spans="1:4">
      <c r="A4789" s="3"/>
      <c r="D4789" s="3"/>
    </row>
    <row r="4790" spans="1:4">
      <c r="A4790" s="3"/>
      <c r="D4790" s="3"/>
    </row>
    <row r="4791" spans="1:4">
      <c r="A4791" s="3"/>
      <c r="D4791" s="3"/>
    </row>
    <row r="4792" spans="1:4">
      <c r="A4792" s="3"/>
      <c r="D4792" s="3"/>
    </row>
    <row r="4793" spans="1:4">
      <c r="A4793" s="3"/>
      <c r="D4793" s="3"/>
    </row>
    <row r="4794" spans="1:4">
      <c r="A4794" s="3"/>
      <c r="D4794" s="3"/>
    </row>
    <row r="4795" spans="1:4">
      <c r="A4795" s="3"/>
      <c r="D4795" s="3"/>
    </row>
    <row r="4796" spans="1:4">
      <c r="A4796" s="3"/>
      <c r="D4796" s="3"/>
    </row>
    <row r="4797" spans="1:4">
      <c r="A4797" s="3"/>
      <c r="D4797" s="3"/>
    </row>
    <row r="4798" spans="1:4">
      <c r="A4798" s="3"/>
      <c r="D4798" s="3"/>
    </row>
    <row r="4799" spans="1:4">
      <c r="A4799" s="3"/>
      <c r="D4799" s="3"/>
    </row>
    <row r="4800" spans="1:4">
      <c r="A4800" s="3"/>
      <c r="D4800" s="3"/>
    </row>
    <row r="4801" spans="1:4">
      <c r="A4801" s="3"/>
      <c r="D4801" s="3"/>
    </row>
    <row r="4802" spans="1:4">
      <c r="A4802" s="3"/>
      <c r="D4802" s="3"/>
    </row>
    <row r="4803" spans="1:4">
      <c r="A4803" s="3"/>
      <c r="D4803" s="3"/>
    </row>
    <row r="4804" spans="1:4">
      <c r="A4804" s="3"/>
      <c r="D4804" s="3"/>
    </row>
    <row r="4805" spans="1:4">
      <c r="A4805" s="3"/>
      <c r="D4805" s="3"/>
    </row>
    <row r="4806" spans="1:4">
      <c r="A4806" s="3"/>
      <c r="D4806" s="3"/>
    </row>
    <row r="4807" spans="1:4">
      <c r="A4807" s="3"/>
      <c r="D4807" s="3"/>
    </row>
    <row r="4808" spans="1:4">
      <c r="A4808" s="3"/>
      <c r="D4808" s="3"/>
    </row>
    <row r="4809" spans="1:4">
      <c r="A4809" s="3"/>
      <c r="D4809" s="3"/>
    </row>
    <row r="4810" spans="1:4">
      <c r="A4810" s="3"/>
      <c r="D4810" s="3"/>
    </row>
    <row r="4811" spans="1:4">
      <c r="A4811" s="3"/>
      <c r="D4811" s="3"/>
    </row>
    <row r="4812" spans="1:4">
      <c r="A4812" s="3"/>
      <c r="D4812" s="3"/>
    </row>
    <row r="4813" spans="1:4">
      <c r="A4813" s="3"/>
      <c r="D4813" s="3"/>
    </row>
    <row r="4814" spans="1:4">
      <c r="A4814" s="3"/>
      <c r="D4814" s="3"/>
    </row>
    <row r="4815" spans="1:4">
      <c r="A4815" s="3"/>
      <c r="D4815" s="3"/>
    </row>
    <row r="4816" spans="1:4">
      <c r="A4816" s="3"/>
      <c r="D4816" s="3"/>
    </row>
    <row r="4817" spans="1:4">
      <c r="A4817" s="3"/>
      <c r="D4817" s="3"/>
    </row>
    <row r="4818" spans="1:4">
      <c r="A4818" s="3"/>
      <c r="D4818" s="3"/>
    </row>
    <row r="4819" spans="1:4">
      <c r="A4819" s="3"/>
      <c r="D4819" s="3"/>
    </row>
    <row r="4820" spans="1:4">
      <c r="A4820" s="3"/>
      <c r="D4820" s="3"/>
    </row>
    <row r="4821" spans="1:4">
      <c r="A4821" s="3"/>
      <c r="D4821" s="3"/>
    </row>
    <row r="4822" spans="1:4">
      <c r="A4822" s="3"/>
      <c r="D4822" s="3"/>
    </row>
    <row r="4823" spans="1:4">
      <c r="A4823" s="3"/>
      <c r="D4823" s="3"/>
    </row>
    <row r="4824" spans="1:4">
      <c r="A4824" s="3"/>
      <c r="D4824" s="3"/>
    </row>
    <row r="4825" spans="1:4">
      <c r="A4825" s="3"/>
      <c r="D4825" s="3"/>
    </row>
    <row r="4826" spans="1:4">
      <c r="A4826" s="3"/>
      <c r="D4826" s="3"/>
    </row>
    <row r="4827" spans="1:4">
      <c r="A4827" s="3"/>
      <c r="D4827" s="3"/>
    </row>
    <row r="4828" spans="1:4">
      <c r="A4828" s="3"/>
      <c r="D4828" s="3"/>
    </row>
    <row r="4829" spans="1:4">
      <c r="A4829" s="3"/>
      <c r="D4829" s="3"/>
    </row>
    <row r="4830" spans="1:4">
      <c r="A4830" s="3"/>
      <c r="D4830" s="3"/>
    </row>
    <row r="4831" spans="1:4">
      <c r="A4831" s="3"/>
      <c r="D4831" s="3"/>
    </row>
    <row r="4832" spans="1:4">
      <c r="A4832" s="3"/>
      <c r="D4832" s="3"/>
    </row>
    <row r="4833" spans="1:4">
      <c r="A4833" s="3"/>
      <c r="D4833" s="3"/>
    </row>
    <row r="4834" spans="1:4">
      <c r="A4834" s="3"/>
      <c r="D4834" s="3"/>
    </row>
    <row r="4835" spans="1:4">
      <c r="A4835" s="3"/>
      <c r="D4835" s="3"/>
    </row>
    <row r="4836" spans="1:4">
      <c r="A4836" s="3"/>
      <c r="D4836" s="3"/>
    </row>
    <row r="4837" spans="1:4">
      <c r="A4837" s="3"/>
      <c r="D4837" s="3"/>
    </row>
    <row r="4838" spans="1:4">
      <c r="A4838" s="3"/>
      <c r="D4838" s="3"/>
    </row>
    <row r="4839" spans="1:4">
      <c r="A4839" s="3"/>
      <c r="D4839" s="3"/>
    </row>
    <row r="4840" spans="1:4">
      <c r="A4840" s="3"/>
      <c r="D4840" s="3"/>
    </row>
    <row r="4841" spans="1:4">
      <c r="A4841" s="3"/>
      <c r="D4841" s="3"/>
    </row>
    <row r="4842" spans="1:4">
      <c r="A4842" s="3"/>
      <c r="D4842" s="3"/>
    </row>
    <row r="4843" spans="1:4">
      <c r="A4843" s="3"/>
      <c r="D4843" s="3"/>
    </row>
    <row r="4844" spans="1:4">
      <c r="A4844" s="3"/>
      <c r="D4844" s="3"/>
    </row>
    <row r="4845" spans="1:4">
      <c r="A4845" s="3"/>
      <c r="D4845" s="3"/>
    </row>
    <row r="4846" spans="1:4">
      <c r="A4846" s="3"/>
      <c r="D4846" s="3"/>
    </row>
    <row r="4847" spans="1:4">
      <c r="A4847" s="3"/>
      <c r="D4847" s="3"/>
    </row>
    <row r="4848" spans="1:4">
      <c r="A4848" s="3"/>
      <c r="D4848" s="3"/>
    </row>
    <row r="4849" spans="1:4">
      <c r="A4849" s="3"/>
      <c r="D4849" s="3"/>
    </row>
    <row r="4850" spans="1:4">
      <c r="A4850" s="3"/>
      <c r="D4850" s="3"/>
    </row>
    <row r="4851" spans="1:4">
      <c r="A4851" s="3"/>
      <c r="D4851" s="3"/>
    </row>
    <row r="4852" spans="1:4">
      <c r="A4852" s="3"/>
      <c r="D4852" s="3"/>
    </row>
    <row r="4853" spans="1:4">
      <c r="A4853" s="3"/>
      <c r="D4853" s="3"/>
    </row>
    <row r="4854" spans="1:4">
      <c r="A4854" s="3"/>
      <c r="D4854" s="3"/>
    </row>
    <row r="4855" spans="1:4">
      <c r="A4855" s="3"/>
      <c r="D4855" s="3"/>
    </row>
    <row r="4856" spans="1:4">
      <c r="A4856" s="3"/>
      <c r="D4856" s="3"/>
    </row>
    <row r="4857" spans="1:4">
      <c r="A4857" s="3"/>
      <c r="D4857" s="3"/>
    </row>
    <row r="4858" spans="1:4">
      <c r="A4858" s="3"/>
      <c r="D4858" s="3"/>
    </row>
    <row r="4859" spans="1:4">
      <c r="A4859" s="3"/>
      <c r="D4859" s="3"/>
    </row>
    <row r="4860" spans="1:4">
      <c r="A4860" s="3"/>
      <c r="D4860" s="3"/>
    </row>
    <row r="4861" spans="1:4">
      <c r="A4861" s="3"/>
      <c r="D4861" s="3"/>
    </row>
    <row r="4862" spans="1:4">
      <c r="A4862" s="3"/>
      <c r="D4862" s="3"/>
    </row>
    <row r="4863" spans="1:4">
      <c r="A4863" s="3"/>
      <c r="D4863" s="3"/>
    </row>
    <row r="4864" spans="1:4">
      <c r="A4864" s="3"/>
      <c r="D4864" s="3"/>
    </row>
    <row r="4865" spans="1:4">
      <c r="A4865" s="3"/>
      <c r="D4865" s="3"/>
    </row>
    <row r="4866" spans="1:4">
      <c r="A4866" s="3"/>
      <c r="D4866" s="3"/>
    </row>
    <row r="4867" spans="1:4">
      <c r="A4867" s="3"/>
      <c r="D4867" s="3"/>
    </row>
    <row r="4868" spans="1:4">
      <c r="A4868" s="3"/>
      <c r="D4868" s="3"/>
    </row>
    <row r="4869" spans="1:4">
      <c r="A4869" s="3"/>
      <c r="D4869" s="3"/>
    </row>
    <row r="4870" spans="1:4">
      <c r="A4870" s="3"/>
      <c r="D4870" s="3"/>
    </row>
    <row r="4871" spans="1:4">
      <c r="A4871" s="3"/>
      <c r="D4871" s="3"/>
    </row>
    <row r="4872" spans="1:4">
      <c r="A4872" s="3"/>
      <c r="D4872" s="3"/>
    </row>
    <row r="4873" spans="1:4">
      <c r="A4873" s="3"/>
      <c r="D4873" s="3"/>
    </row>
    <row r="4874" spans="1:4">
      <c r="A4874" s="3"/>
      <c r="D4874" s="3"/>
    </row>
    <row r="4875" spans="1:4">
      <c r="A4875" s="3"/>
      <c r="D4875" s="3"/>
    </row>
    <row r="4876" spans="1:4">
      <c r="A4876" s="3"/>
      <c r="D4876" s="3"/>
    </row>
    <row r="4877" spans="1:4">
      <c r="A4877" s="3"/>
      <c r="D4877" s="3"/>
    </row>
    <row r="4878" spans="1:4">
      <c r="A4878" s="3"/>
      <c r="D4878" s="3"/>
    </row>
    <row r="4879" spans="1:4">
      <c r="A4879" s="3"/>
      <c r="D4879" s="3"/>
    </row>
    <row r="4880" spans="1:4">
      <c r="A4880" s="3"/>
      <c r="D4880" s="3"/>
    </row>
    <row r="4881" spans="1:4">
      <c r="A4881" s="3"/>
      <c r="D4881" s="3"/>
    </row>
    <row r="4882" spans="1:4">
      <c r="A4882" s="3"/>
      <c r="D4882" s="3"/>
    </row>
    <row r="4883" spans="1:4">
      <c r="A4883" s="3"/>
      <c r="D4883" s="3"/>
    </row>
    <row r="4884" spans="1:4">
      <c r="A4884" s="3"/>
      <c r="D4884" s="3"/>
    </row>
    <row r="4885" spans="1:4">
      <c r="A4885" s="3"/>
      <c r="D4885" s="3"/>
    </row>
    <row r="4886" spans="1:4">
      <c r="A4886" s="3"/>
      <c r="D4886" s="3"/>
    </row>
    <row r="4887" spans="1:4">
      <c r="A4887" s="3"/>
      <c r="D4887" s="3"/>
    </row>
    <row r="4888" spans="1:4">
      <c r="A4888" s="3"/>
      <c r="D4888" s="3"/>
    </row>
    <row r="4889" spans="1:4">
      <c r="A4889" s="3"/>
      <c r="D4889" s="3"/>
    </row>
    <row r="4890" spans="1:4">
      <c r="A4890" s="3"/>
      <c r="D4890" s="3"/>
    </row>
    <row r="4891" spans="1:4">
      <c r="A4891" s="3"/>
      <c r="D4891" s="3"/>
    </row>
    <row r="4892" spans="1:4">
      <c r="A4892" s="3"/>
      <c r="D4892" s="3"/>
    </row>
    <row r="4893" spans="1:4">
      <c r="A4893" s="3"/>
      <c r="D4893" s="3"/>
    </row>
    <row r="4894" spans="1:4">
      <c r="A4894" s="3"/>
      <c r="D4894" s="3"/>
    </row>
    <row r="4895" spans="1:4">
      <c r="A4895" s="3"/>
      <c r="D4895" s="3"/>
    </row>
    <row r="4896" spans="1:4">
      <c r="A4896" s="3"/>
      <c r="D4896" s="3"/>
    </row>
    <row r="4897" spans="1:4">
      <c r="A4897" s="3"/>
      <c r="D4897" s="3"/>
    </row>
    <row r="4898" spans="1:4">
      <c r="A4898" s="3"/>
      <c r="D4898" s="3"/>
    </row>
    <row r="4899" spans="1:4">
      <c r="A4899" s="3"/>
      <c r="D4899" s="3"/>
    </row>
    <row r="4900" spans="1:4">
      <c r="A4900" s="3"/>
      <c r="D4900" s="3"/>
    </row>
    <row r="4901" spans="1:4">
      <c r="A4901" s="3"/>
      <c r="D4901" s="3"/>
    </row>
    <row r="4902" spans="1:4">
      <c r="A4902" s="3"/>
      <c r="D4902" s="3"/>
    </row>
    <row r="4903" spans="1:4">
      <c r="A4903" s="3"/>
      <c r="D4903" s="3"/>
    </row>
    <row r="4904" spans="1:4">
      <c r="A4904" s="3"/>
      <c r="D4904" s="3"/>
    </row>
    <row r="4905" spans="1:4">
      <c r="A4905" s="3"/>
      <c r="D4905" s="3"/>
    </row>
    <row r="4906" spans="1:4">
      <c r="A4906" s="3"/>
      <c r="D4906" s="3"/>
    </row>
    <row r="4907" spans="1:4">
      <c r="A4907" s="3"/>
      <c r="D4907" s="3"/>
    </row>
    <row r="4908" spans="1:4">
      <c r="A4908" s="3"/>
      <c r="D4908" s="3"/>
    </row>
    <row r="4909" spans="1:4">
      <c r="A4909" s="3"/>
      <c r="D4909" s="3"/>
    </row>
    <row r="4910" spans="1:4">
      <c r="A4910" s="3"/>
      <c r="D4910" s="3"/>
    </row>
    <row r="4911" spans="1:4">
      <c r="A4911" s="3"/>
      <c r="D4911" s="3"/>
    </row>
    <row r="4912" spans="1:4">
      <c r="A4912" s="3"/>
      <c r="D4912" s="3"/>
    </row>
    <row r="4913" spans="1:4">
      <c r="A4913" s="3"/>
      <c r="D4913" s="3"/>
    </row>
    <row r="4914" spans="1:4">
      <c r="A4914" s="3"/>
      <c r="D4914" s="3"/>
    </row>
    <row r="4915" spans="1:4">
      <c r="A4915" s="3"/>
      <c r="D4915" s="3"/>
    </row>
    <row r="4916" spans="1:4">
      <c r="A4916" s="3"/>
      <c r="D4916" s="3"/>
    </row>
    <row r="4917" spans="1:4">
      <c r="A4917" s="3"/>
      <c r="D4917" s="3"/>
    </row>
    <row r="4918" spans="1:4">
      <c r="A4918" s="3"/>
      <c r="D4918" s="3"/>
    </row>
    <row r="4919" spans="1:4">
      <c r="A4919" s="3"/>
      <c r="D4919" s="3"/>
    </row>
    <row r="4920" spans="1:4">
      <c r="A4920" s="3"/>
      <c r="D4920" s="3"/>
    </row>
    <row r="4921" spans="1:4">
      <c r="A4921" s="3"/>
      <c r="D4921" s="3"/>
    </row>
    <row r="4922" spans="1:4">
      <c r="A4922" s="3"/>
      <c r="D4922" s="3"/>
    </row>
    <row r="4923" spans="1:4">
      <c r="A4923" s="3"/>
      <c r="D4923" s="3"/>
    </row>
    <row r="4924" spans="1:4">
      <c r="A4924" s="3"/>
      <c r="D4924" s="3"/>
    </row>
    <row r="4925" spans="1:4">
      <c r="A4925" s="3"/>
      <c r="D4925" s="3"/>
    </row>
    <row r="4926" spans="1:4">
      <c r="A4926" s="3"/>
      <c r="D4926" s="3"/>
    </row>
    <row r="4927" spans="1:4">
      <c r="A4927" s="3"/>
      <c r="D4927" s="3"/>
    </row>
    <row r="4928" spans="1:4">
      <c r="A4928" s="3"/>
      <c r="D4928" s="3"/>
    </row>
    <row r="4929" spans="1:4">
      <c r="A4929" s="3"/>
      <c r="D4929" s="3"/>
    </row>
    <row r="4930" spans="1:4">
      <c r="A4930" s="3"/>
      <c r="D4930" s="3"/>
    </row>
    <row r="4931" spans="1:4">
      <c r="A4931" s="3"/>
      <c r="D4931" s="3"/>
    </row>
    <row r="4932" spans="1:4">
      <c r="A4932" s="3"/>
      <c r="D4932" s="3"/>
    </row>
    <row r="4933" spans="1:4">
      <c r="A4933" s="3"/>
      <c r="D4933" s="3"/>
    </row>
    <row r="4934" spans="1:4">
      <c r="A4934" s="3"/>
      <c r="D4934" s="3"/>
    </row>
    <row r="4935" spans="1:4">
      <c r="A4935" s="3"/>
      <c r="D4935" s="3"/>
    </row>
    <row r="4936" spans="1:4">
      <c r="A4936" s="3"/>
      <c r="D4936" s="3"/>
    </row>
    <row r="4937" spans="1:4">
      <c r="A4937" s="3"/>
      <c r="D4937" s="3"/>
    </row>
    <row r="4938" spans="1:4">
      <c r="A4938" s="3"/>
      <c r="D4938" s="3"/>
    </row>
    <row r="4939" spans="1:4">
      <c r="A4939" s="3"/>
      <c r="D4939" s="3"/>
    </row>
    <row r="4940" spans="1:4">
      <c r="A4940" s="3"/>
      <c r="D4940" s="3"/>
    </row>
    <row r="4941" spans="1:4">
      <c r="A4941" s="3"/>
      <c r="D4941" s="3"/>
    </row>
    <row r="4942" spans="1:4">
      <c r="A4942" s="3"/>
      <c r="D4942" s="3"/>
    </row>
    <row r="4943" spans="1:4">
      <c r="A4943" s="3"/>
      <c r="D4943" s="3"/>
    </row>
    <row r="4944" spans="1:4">
      <c r="A4944" s="3"/>
      <c r="D4944" s="3"/>
    </row>
    <row r="4945" spans="1:4">
      <c r="A4945" s="3"/>
      <c r="D4945" s="3"/>
    </row>
    <row r="4946" spans="1:4">
      <c r="A4946" s="3"/>
      <c r="D4946" s="3"/>
    </row>
    <row r="4947" spans="1:4">
      <c r="A4947" s="3"/>
      <c r="D4947" s="3"/>
    </row>
    <row r="4948" spans="1:4">
      <c r="A4948" s="3"/>
      <c r="D4948" s="3"/>
    </row>
    <row r="4949" spans="1:4">
      <c r="A4949" s="3"/>
      <c r="D4949" s="3"/>
    </row>
    <row r="4950" spans="1:4">
      <c r="A4950" s="3"/>
      <c r="D4950" s="3"/>
    </row>
    <row r="4951" spans="1:4">
      <c r="A4951" s="3"/>
      <c r="D4951" s="3"/>
    </row>
    <row r="4952" spans="1:4">
      <c r="A4952" s="3"/>
      <c r="D4952" s="3"/>
    </row>
    <row r="4953" spans="1:4">
      <c r="A4953" s="3"/>
      <c r="D4953" s="3"/>
    </row>
    <row r="4954" spans="1:4">
      <c r="A4954" s="3"/>
      <c r="D4954" s="3"/>
    </row>
    <row r="4955" spans="1:4">
      <c r="A4955" s="3"/>
      <c r="D4955" s="3"/>
    </row>
    <row r="4956" spans="1:4">
      <c r="A4956" s="3"/>
      <c r="D4956" s="3"/>
    </row>
    <row r="4957" spans="1:4">
      <c r="A4957" s="3"/>
      <c r="D4957" s="3"/>
    </row>
    <row r="4958" spans="1:4">
      <c r="A4958" s="3"/>
      <c r="D4958" s="3"/>
    </row>
    <row r="4959" spans="1:4">
      <c r="A4959" s="3"/>
      <c r="D4959" s="3"/>
    </row>
    <row r="4960" spans="1:4">
      <c r="A4960" s="3"/>
      <c r="D4960" s="3"/>
    </row>
    <row r="4961" spans="1:4">
      <c r="A4961" s="3"/>
      <c r="D4961" s="3"/>
    </row>
    <row r="4962" spans="1:4">
      <c r="A4962" s="3"/>
      <c r="D4962" s="3"/>
    </row>
    <row r="4963" spans="1:4">
      <c r="A4963" s="3"/>
      <c r="D4963" s="3"/>
    </row>
    <row r="4964" spans="1:4">
      <c r="A4964" s="3"/>
      <c r="D4964" s="3"/>
    </row>
    <row r="4965" spans="1:4">
      <c r="A4965" s="3"/>
      <c r="D4965" s="3"/>
    </row>
    <row r="4966" spans="1:4">
      <c r="A4966" s="3"/>
      <c r="D4966" s="3"/>
    </row>
    <row r="4967" spans="1:4">
      <c r="A4967" s="3"/>
      <c r="D4967" s="3"/>
    </row>
    <row r="4968" spans="1:4">
      <c r="A4968" s="3"/>
      <c r="D4968" s="3"/>
    </row>
    <row r="4969" spans="1:4">
      <c r="A4969" s="3"/>
      <c r="D4969" s="3"/>
    </row>
    <row r="4970" spans="1:4">
      <c r="A4970" s="3"/>
      <c r="D4970" s="3"/>
    </row>
    <row r="4971" spans="1:4">
      <c r="A4971" s="3"/>
      <c r="D4971" s="3"/>
    </row>
    <row r="4972" spans="1:4">
      <c r="A4972" s="3"/>
      <c r="D4972" s="3"/>
    </row>
    <row r="4973" spans="1:4">
      <c r="A4973" s="3"/>
      <c r="D4973" s="3"/>
    </row>
    <row r="4974" spans="1:4">
      <c r="A4974" s="3"/>
      <c r="D4974" s="3"/>
    </row>
    <row r="4975" spans="1:4">
      <c r="A4975" s="3"/>
      <c r="D4975" s="3"/>
    </row>
    <row r="4976" spans="1:4">
      <c r="A4976" s="3"/>
      <c r="D4976" s="3"/>
    </row>
    <row r="4977" spans="1:4">
      <c r="A4977" s="3"/>
      <c r="D4977" s="3"/>
    </row>
    <row r="4978" spans="1:4">
      <c r="A4978" s="3"/>
      <c r="D4978" s="3"/>
    </row>
    <row r="4979" spans="1:4">
      <c r="A4979" s="3"/>
      <c r="D4979" s="3"/>
    </row>
    <row r="4980" spans="1:4">
      <c r="A4980" s="3"/>
      <c r="D4980" s="3"/>
    </row>
    <row r="4981" spans="1:4">
      <c r="A4981" s="3"/>
      <c r="D4981" s="3"/>
    </row>
    <row r="4982" spans="1:4">
      <c r="A4982" s="3"/>
      <c r="D4982" s="3"/>
    </row>
    <row r="4983" spans="1:4">
      <c r="A4983" s="3"/>
      <c r="D4983" s="3"/>
    </row>
    <row r="4984" spans="1:4">
      <c r="A4984" s="3"/>
      <c r="D4984" s="3"/>
    </row>
    <row r="4985" spans="1:4">
      <c r="A4985" s="3"/>
      <c r="D4985" s="3"/>
    </row>
    <row r="4986" spans="1:4">
      <c r="A4986" s="3"/>
      <c r="D4986" s="3"/>
    </row>
    <row r="4987" spans="1:4">
      <c r="A4987" s="3"/>
      <c r="D4987" s="3"/>
    </row>
    <row r="4988" spans="1:4">
      <c r="A4988" s="3"/>
      <c r="D4988" s="3"/>
    </row>
    <row r="4989" spans="1:4">
      <c r="A4989" s="3"/>
      <c r="D4989" s="3"/>
    </row>
    <row r="4990" spans="1:4">
      <c r="A4990" s="3"/>
      <c r="D4990" s="3"/>
    </row>
    <row r="4991" spans="1:4">
      <c r="A4991" s="3"/>
      <c r="D4991" s="3"/>
    </row>
    <row r="4992" spans="1:4">
      <c r="A4992" s="3"/>
      <c r="D4992" s="3"/>
    </row>
    <row r="4993" spans="1:4">
      <c r="A4993" s="3"/>
      <c r="D4993" s="3"/>
    </row>
    <row r="4994" spans="1:4">
      <c r="A4994" s="3"/>
      <c r="D4994" s="3"/>
    </row>
    <row r="4995" spans="1:4">
      <c r="A4995" s="3"/>
      <c r="D4995" s="3"/>
    </row>
    <row r="4996" spans="1:4">
      <c r="A4996" s="3"/>
      <c r="D4996" s="3"/>
    </row>
    <row r="4997" spans="1:4">
      <c r="A4997" s="3"/>
      <c r="D4997" s="3"/>
    </row>
    <row r="4998" spans="1:4">
      <c r="A4998" s="3"/>
      <c r="D4998" s="3"/>
    </row>
    <row r="4999" spans="1:4">
      <c r="A4999" s="3"/>
      <c r="D4999" s="3"/>
    </row>
    <row r="5000" spans="1:4">
      <c r="A5000" s="3"/>
      <c r="D5000" s="3"/>
    </row>
    <row r="5001" spans="1:4">
      <c r="A5001" s="3"/>
      <c r="D5001" s="3"/>
    </row>
    <row r="5002" spans="1:4">
      <c r="A5002" s="3"/>
      <c r="D5002" s="3"/>
    </row>
    <row r="5003" spans="1:4">
      <c r="A5003" s="3"/>
      <c r="D5003" s="3"/>
    </row>
    <row r="5004" spans="1:4">
      <c r="A5004" s="3"/>
      <c r="D5004" s="3"/>
    </row>
    <row r="5005" spans="1:4">
      <c r="A5005" s="3"/>
      <c r="D5005" s="3"/>
    </row>
    <row r="5006" spans="1:4">
      <c r="A5006" s="3"/>
      <c r="D5006" s="3"/>
    </row>
    <row r="5007" spans="1:4">
      <c r="A5007" s="3"/>
      <c r="D5007" s="3"/>
    </row>
    <row r="5008" spans="1:4">
      <c r="A5008" s="3"/>
      <c r="D5008" s="3"/>
    </row>
    <row r="5009" spans="1:4">
      <c r="A5009" s="3"/>
      <c r="D5009" s="3"/>
    </row>
    <row r="5010" spans="1:4">
      <c r="A5010" s="3"/>
      <c r="D5010" s="3"/>
    </row>
    <row r="5011" spans="1:4">
      <c r="A5011" s="3"/>
      <c r="D5011" s="3"/>
    </row>
    <row r="5012" spans="1:4">
      <c r="A5012" s="3"/>
      <c r="D5012" s="3"/>
    </row>
    <row r="5013" spans="1:4">
      <c r="A5013" s="3"/>
      <c r="D5013" s="3"/>
    </row>
    <row r="5014" spans="1:4">
      <c r="A5014" s="3"/>
      <c r="D5014" s="3"/>
    </row>
    <row r="5015" spans="1:4">
      <c r="A5015" s="3"/>
      <c r="D5015" s="3"/>
    </row>
    <row r="5016" spans="1:4">
      <c r="A5016" s="3"/>
      <c r="D5016" s="3"/>
    </row>
    <row r="5017" spans="1:4">
      <c r="A5017" s="3"/>
      <c r="D5017" s="3"/>
    </row>
    <row r="5018" spans="1:4">
      <c r="A5018" s="3"/>
      <c r="D5018" s="3"/>
    </row>
    <row r="5019" spans="1:4">
      <c r="A5019" s="3"/>
      <c r="D5019" s="3"/>
    </row>
    <row r="5020" spans="1:4">
      <c r="A5020" s="3"/>
      <c r="D5020" s="3"/>
    </row>
    <row r="5021" spans="1:4">
      <c r="A5021" s="3"/>
      <c r="D5021" s="3"/>
    </row>
    <row r="5022" spans="1:4">
      <c r="A5022" s="3"/>
      <c r="D5022" s="3"/>
    </row>
    <row r="5023" spans="1:4">
      <c r="A5023" s="3"/>
      <c r="D5023" s="3"/>
    </row>
    <row r="5024" spans="1:4">
      <c r="A5024" s="3"/>
      <c r="D5024" s="3"/>
    </row>
    <row r="5025" spans="1:4">
      <c r="A5025" s="3"/>
      <c r="D5025" s="3"/>
    </row>
    <row r="5026" spans="1:4">
      <c r="A5026" s="3"/>
      <c r="D5026" s="3"/>
    </row>
    <row r="5027" spans="1:4">
      <c r="A5027" s="3"/>
      <c r="D5027" s="3"/>
    </row>
    <row r="5028" spans="1:4">
      <c r="A5028" s="3"/>
      <c r="D5028" s="3"/>
    </row>
    <row r="5029" spans="1:4">
      <c r="A5029" s="3"/>
      <c r="D5029" s="3"/>
    </row>
    <row r="5030" spans="1:4">
      <c r="A5030" s="3"/>
      <c r="D5030" s="3"/>
    </row>
    <row r="5031" spans="1:4">
      <c r="A5031" s="3"/>
      <c r="D5031" s="3"/>
    </row>
    <row r="5032" spans="1:4">
      <c r="A5032" s="3"/>
      <c r="D5032" s="3"/>
    </row>
    <row r="5033" spans="1:4">
      <c r="A5033" s="3"/>
      <c r="D5033" s="3"/>
    </row>
    <row r="5034" spans="1:4">
      <c r="A5034" s="3"/>
      <c r="D5034" s="3"/>
    </row>
    <row r="5035" spans="1:4">
      <c r="A5035" s="3"/>
      <c r="D5035" s="3"/>
    </row>
    <row r="5036" spans="1:4">
      <c r="A5036" s="3"/>
      <c r="D5036" s="3"/>
    </row>
    <row r="5037" spans="1:4">
      <c r="A5037" s="3"/>
      <c r="D5037" s="3"/>
    </row>
    <row r="5038" spans="1:4">
      <c r="A5038" s="3"/>
      <c r="D5038" s="3"/>
    </row>
    <row r="5039" spans="1:4">
      <c r="A5039" s="3"/>
      <c r="D5039" s="3"/>
    </row>
    <row r="5040" spans="1:4">
      <c r="A5040" s="3"/>
      <c r="D5040" s="3"/>
    </row>
    <row r="5041" spans="1:4">
      <c r="A5041" s="3"/>
      <c r="D5041" s="3"/>
    </row>
    <row r="5042" spans="1:4">
      <c r="A5042" s="3"/>
      <c r="D5042" s="3"/>
    </row>
    <row r="5043" spans="1:4">
      <c r="A5043" s="3"/>
      <c r="D5043" s="3"/>
    </row>
    <row r="5044" spans="1:4">
      <c r="A5044" s="3"/>
      <c r="D5044" s="3"/>
    </row>
    <row r="5045" spans="1:4">
      <c r="A5045" s="3"/>
      <c r="D5045" s="3"/>
    </row>
    <row r="5046" spans="1:4">
      <c r="A5046" s="3"/>
      <c r="D5046" s="3"/>
    </row>
    <row r="5047" spans="1:4">
      <c r="A5047" s="3"/>
      <c r="D5047" s="3"/>
    </row>
    <row r="5048" spans="1:4">
      <c r="A5048" s="3"/>
      <c r="D5048" s="3"/>
    </row>
    <row r="5049" spans="1:4">
      <c r="A5049" s="3"/>
      <c r="D5049" s="3"/>
    </row>
    <row r="5050" spans="1:4">
      <c r="A5050" s="3"/>
      <c r="D5050" s="3"/>
    </row>
    <row r="5051" spans="1:4">
      <c r="A5051" s="3"/>
      <c r="D5051" s="3"/>
    </row>
    <row r="5052" spans="1:4">
      <c r="A5052" s="3"/>
      <c r="D5052" s="3"/>
    </row>
    <row r="5053" spans="1:4">
      <c r="A5053" s="3"/>
      <c r="D5053" s="3"/>
    </row>
    <row r="5054" spans="1:4">
      <c r="A5054" s="3"/>
      <c r="D5054" s="3"/>
    </row>
    <row r="5055" spans="1:4">
      <c r="A5055" s="3"/>
      <c r="D5055" s="3"/>
    </row>
    <row r="5056" spans="1:4">
      <c r="A5056" s="3"/>
      <c r="D5056" s="3"/>
    </row>
    <row r="5057" spans="1:4">
      <c r="A5057" s="3"/>
      <c r="D5057" s="3"/>
    </row>
    <row r="5058" spans="1:4">
      <c r="A5058" s="3"/>
      <c r="D5058" s="3"/>
    </row>
    <row r="5059" spans="1:4">
      <c r="A5059" s="3"/>
      <c r="D5059" s="3"/>
    </row>
    <row r="5060" spans="1:4">
      <c r="A5060" s="3"/>
      <c r="D5060" s="3"/>
    </row>
    <row r="5061" spans="1:4">
      <c r="A5061" s="3"/>
      <c r="D5061" s="3"/>
    </row>
    <row r="5062" spans="1:4">
      <c r="A5062" s="3"/>
      <c r="D5062" s="3"/>
    </row>
    <row r="5063" spans="1:4">
      <c r="A5063" s="3"/>
      <c r="D5063" s="3"/>
    </row>
    <row r="5064" spans="1:4">
      <c r="A5064" s="3"/>
      <c r="D5064" s="3"/>
    </row>
    <row r="5065" spans="1:4">
      <c r="A5065" s="3"/>
      <c r="D5065" s="3"/>
    </row>
    <row r="5066" spans="1:4">
      <c r="A5066" s="3"/>
      <c r="D5066" s="3"/>
    </row>
    <row r="5067" spans="1:4">
      <c r="A5067" s="3"/>
      <c r="D5067" s="3"/>
    </row>
    <row r="5068" spans="1:4">
      <c r="A5068" s="3"/>
      <c r="D5068" s="3"/>
    </row>
    <row r="5069" spans="1:4">
      <c r="A5069" s="3"/>
      <c r="D5069" s="3"/>
    </row>
    <row r="5070" spans="1:4">
      <c r="A5070" s="3"/>
      <c r="D5070" s="3"/>
    </row>
    <row r="5071" spans="1:4">
      <c r="A5071" s="3"/>
      <c r="D5071" s="3"/>
    </row>
    <row r="5072" spans="1:4">
      <c r="A5072" s="3"/>
      <c r="D5072" s="3"/>
    </row>
    <row r="5073" spans="1:4">
      <c r="A5073" s="3"/>
      <c r="D5073" s="3"/>
    </row>
    <row r="5074" spans="1:4">
      <c r="A5074" s="3"/>
      <c r="D5074" s="3"/>
    </row>
    <row r="5075" spans="1:4">
      <c r="A5075" s="3"/>
      <c r="D5075" s="3"/>
    </row>
    <row r="5076" spans="1:4">
      <c r="A5076" s="3"/>
      <c r="D5076" s="3"/>
    </row>
    <row r="5077" spans="1:4">
      <c r="A5077" s="3"/>
      <c r="D5077" s="3"/>
    </row>
    <row r="5078" spans="1:4">
      <c r="A5078" s="3"/>
      <c r="D5078" s="3"/>
    </row>
    <row r="5079" spans="1:4">
      <c r="A5079" s="3"/>
      <c r="D5079" s="3"/>
    </row>
    <row r="5080" spans="1:4">
      <c r="A5080" s="3"/>
      <c r="D5080" s="3"/>
    </row>
    <row r="5081" spans="1:4">
      <c r="A5081" s="3"/>
      <c r="D5081" s="3"/>
    </row>
    <row r="5082" spans="1:4">
      <c r="A5082" s="3"/>
      <c r="D5082" s="3"/>
    </row>
    <row r="5083" spans="1:4">
      <c r="A5083" s="3"/>
      <c r="D5083" s="3"/>
    </row>
    <row r="5084" spans="1:4">
      <c r="A5084" s="3"/>
      <c r="D5084" s="3"/>
    </row>
    <row r="5085" spans="1:4">
      <c r="A5085" s="3"/>
      <c r="D5085" s="3"/>
    </row>
    <row r="5086" spans="1:4">
      <c r="A5086" s="3"/>
      <c r="D5086" s="3"/>
    </row>
    <row r="5087" spans="1:4">
      <c r="A5087" s="3"/>
      <c r="D5087" s="3"/>
    </row>
    <row r="5088" spans="1:4">
      <c r="A5088" s="3"/>
      <c r="D5088" s="3"/>
    </row>
    <row r="5089" spans="1:4">
      <c r="A5089" s="3"/>
      <c r="D5089" s="3"/>
    </row>
    <row r="5090" spans="1:4">
      <c r="A5090" s="3"/>
      <c r="D5090" s="3"/>
    </row>
    <row r="5091" spans="1:4">
      <c r="A5091" s="3"/>
      <c r="D5091" s="3"/>
    </row>
    <row r="5092" spans="1:4">
      <c r="A5092" s="3"/>
      <c r="D5092" s="3"/>
    </row>
    <row r="5093" spans="1:4">
      <c r="A5093" s="3"/>
      <c r="D5093" s="3"/>
    </row>
    <row r="5094" spans="1:4">
      <c r="A5094" s="3"/>
      <c r="D5094" s="3"/>
    </row>
    <row r="5095" spans="1:4">
      <c r="A5095" s="3"/>
      <c r="D5095" s="3"/>
    </row>
    <row r="5096" spans="1:4">
      <c r="A5096" s="3"/>
      <c r="D5096" s="3"/>
    </row>
    <row r="5097" spans="1:4">
      <c r="A5097" s="3"/>
      <c r="D5097" s="3"/>
    </row>
    <row r="5098" spans="1:4">
      <c r="A5098" s="3"/>
      <c r="D5098" s="3"/>
    </row>
    <row r="5099" spans="1:4">
      <c r="A5099" s="3"/>
      <c r="D5099" s="3"/>
    </row>
    <row r="5100" spans="1:4">
      <c r="A5100" s="3"/>
      <c r="D5100" s="3"/>
    </row>
    <row r="5101" spans="1:4">
      <c r="A5101" s="3"/>
      <c r="D5101" s="3"/>
    </row>
    <row r="5102" spans="1:4">
      <c r="A5102" s="3"/>
      <c r="D5102" s="3"/>
    </row>
    <row r="5103" spans="1:4">
      <c r="A5103" s="3"/>
      <c r="D5103" s="3"/>
    </row>
    <row r="5104" spans="1:4">
      <c r="A5104" s="3"/>
      <c r="D5104" s="3"/>
    </row>
    <row r="5105" spans="1:4">
      <c r="A5105" s="3"/>
      <c r="D5105" s="3"/>
    </row>
    <row r="5106" spans="1:4">
      <c r="A5106" s="3"/>
      <c r="D5106" s="3"/>
    </row>
    <row r="5107" spans="1:4">
      <c r="A5107" s="3"/>
      <c r="D5107" s="3"/>
    </row>
    <row r="5108" spans="1:4">
      <c r="A5108" s="3"/>
      <c r="D5108" s="3"/>
    </row>
    <row r="5109" spans="1:4">
      <c r="A5109" s="3"/>
      <c r="D5109" s="3"/>
    </row>
    <row r="5110" spans="1:4">
      <c r="A5110" s="3"/>
      <c r="D5110" s="3"/>
    </row>
    <row r="5111" spans="1:4">
      <c r="A5111" s="3"/>
      <c r="D5111" s="3"/>
    </row>
    <row r="5112" spans="1:4">
      <c r="A5112" s="3"/>
      <c r="D5112" s="3"/>
    </row>
    <row r="5113" spans="1:4">
      <c r="A5113" s="3"/>
      <c r="D5113" s="3"/>
    </row>
    <row r="5114" spans="1:4">
      <c r="A5114" s="3"/>
      <c r="D5114" s="3"/>
    </row>
    <row r="5115" spans="1:4">
      <c r="A5115" s="3"/>
      <c r="D5115" s="3"/>
    </row>
    <row r="5116" spans="1:4">
      <c r="A5116" s="3"/>
      <c r="D5116" s="3"/>
    </row>
    <row r="5117" spans="1:4">
      <c r="A5117" s="3"/>
      <c r="D5117" s="3"/>
    </row>
    <row r="5118" spans="1:4">
      <c r="A5118" s="3"/>
      <c r="D5118" s="3"/>
    </row>
    <row r="5119" spans="1:4">
      <c r="A5119" s="3"/>
      <c r="D5119" s="3"/>
    </row>
    <row r="5120" spans="1:4">
      <c r="A5120" s="3"/>
      <c r="D5120" s="3"/>
    </row>
    <row r="5121" spans="1:4">
      <c r="A5121" s="3"/>
      <c r="D5121" s="3"/>
    </row>
    <row r="5122" spans="1:4">
      <c r="A5122" s="3"/>
      <c r="D5122" s="3"/>
    </row>
    <row r="5123" spans="1:4">
      <c r="A5123" s="3"/>
      <c r="D5123" s="3"/>
    </row>
    <row r="5124" spans="1:4">
      <c r="A5124" s="3"/>
      <c r="D5124" s="3"/>
    </row>
    <row r="5125" spans="1:4">
      <c r="A5125" s="3"/>
      <c r="D5125" s="3"/>
    </row>
    <row r="5126" spans="1:4">
      <c r="A5126" s="3"/>
      <c r="D5126" s="3"/>
    </row>
    <row r="5127" spans="1:4">
      <c r="A5127" s="3"/>
      <c r="D5127" s="3"/>
    </row>
    <row r="5128" spans="1:4">
      <c r="A5128" s="3"/>
      <c r="D5128" s="3"/>
    </row>
    <row r="5129" spans="1:4">
      <c r="A5129" s="3"/>
      <c r="D5129" s="3"/>
    </row>
    <row r="5130" spans="1:4">
      <c r="A5130" s="3"/>
      <c r="D5130" s="3"/>
    </row>
    <row r="5131" spans="1:4">
      <c r="A5131" s="3"/>
      <c r="D5131" s="3"/>
    </row>
    <row r="5132" spans="1:4">
      <c r="A5132" s="3"/>
      <c r="D5132" s="3"/>
    </row>
    <row r="5133" spans="1:4">
      <c r="A5133" s="3"/>
      <c r="D5133" s="3"/>
    </row>
    <row r="5134" spans="1:4">
      <c r="A5134" s="3"/>
      <c r="D5134" s="3"/>
    </row>
    <row r="5135" spans="1:4">
      <c r="A5135" s="3"/>
      <c r="D5135" s="3"/>
    </row>
    <row r="5136" spans="1:4">
      <c r="A5136" s="3"/>
      <c r="D5136" s="3"/>
    </row>
    <row r="5137" spans="1:4">
      <c r="A5137" s="3"/>
      <c r="D5137" s="3"/>
    </row>
    <row r="5138" spans="1:4">
      <c r="A5138" s="3"/>
      <c r="D5138" s="3"/>
    </row>
    <row r="5139" spans="1:4">
      <c r="A5139" s="3"/>
      <c r="D5139" s="3"/>
    </row>
    <row r="5140" spans="1:4">
      <c r="A5140" s="3"/>
      <c r="D5140" s="3"/>
    </row>
    <row r="5141" spans="1:4">
      <c r="A5141" s="3"/>
      <c r="D5141" s="3"/>
    </row>
    <row r="5142" spans="1:4">
      <c r="A5142" s="3"/>
      <c r="D5142" s="3"/>
    </row>
    <row r="5143" spans="1:4">
      <c r="A5143" s="3"/>
      <c r="D5143" s="3"/>
    </row>
    <row r="5144" spans="1:4">
      <c r="A5144" s="3"/>
      <c r="D5144" s="3"/>
    </row>
    <row r="5145" spans="1:4">
      <c r="A5145" s="3"/>
      <c r="D5145" s="3"/>
    </row>
    <row r="5146" spans="1:4">
      <c r="A5146" s="3"/>
      <c r="D5146" s="3"/>
    </row>
    <row r="5147" spans="1:4">
      <c r="A5147" s="3"/>
      <c r="D5147" s="3"/>
    </row>
    <row r="5148" spans="1:4">
      <c r="A5148" s="3"/>
      <c r="D5148" s="3"/>
    </row>
    <row r="5149" spans="1:4">
      <c r="A5149" s="3"/>
      <c r="D5149" s="3"/>
    </row>
    <row r="5150" spans="1:4">
      <c r="A5150" s="3"/>
      <c r="D5150" s="3"/>
    </row>
    <row r="5151" spans="1:4">
      <c r="A5151" s="3"/>
      <c r="D5151" s="3"/>
    </row>
    <row r="5152" spans="1:4">
      <c r="A5152" s="3"/>
      <c r="D5152" s="3"/>
    </row>
    <row r="5153" spans="1:4">
      <c r="A5153" s="3"/>
      <c r="D5153" s="3"/>
    </row>
    <row r="5154" spans="1:4">
      <c r="A5154" s="3"/>
      <c r="D5154" s="3"/>
    </row>
    <row r="5155" spans="1:4">
      <c r="A5155" s="3"/>
      <c r="D5155" s="3"/>
    </row>
    <row r="5156" spans="1:4">
      <c r="A5156" s="3"/>
      <c r="D5156" s="3"/>
    </row>
    <row r="5157" spans="1:4">
      <c r="A5157" s="3"/>
      <c r="D5157" s="3"/>
    </row>
    <row r="5158" spans="1:4">
      <c r="A5158" s="3"/>
      <c r="D5158" s="3"/>
    </row>
    <row r="5159" spans="1:4">
      <c r="A5159" s="3"/>
      <c r="D5159" s="3"/>
    </row>
    <row r="5160" spans="1:4">
      <c r="A5160" s="3"/>
      <c r="D5160" s="3"/>
    </row>
    <row r="5161" spans="1:4">
      <c r="A5161" s="3"/>
      <c r="D5161" s="3"/>
    </row>
    <row r="5162" spans="1:4">
      <c r="A5162" s="3"/>
      <c r="D5162" s="3"/>
    </row>
    <row r="5163" spans="1:4">
      <c r="A5163" s="3"/>
      <c r="D5163" s="3"/>
    </row>
    <row r="5164" spans="1:4">
      <c r="A5164" s="3"/>
      <c r="D5164" s="3"/>
    </row>
    <row r="5165" spans="1:4">
      <c r="A5165" s="3"/>
      <c r="D5165" s="3"/>
    </row>
    <row r="5166" spans="1:4">
      <c r="A5166" s="3"/>
      <c r="D5166" s="3"/>
    </row>
    <row r="5167" spans="1:4">
      <c r="A5167" s="3"/>
      <c r="D5167" s="3"/>
    </row>
    <row r="5168" spans="1:4">
      <c r="A5168" s="3"/>
      <c r="D5168" s="3"/>
    </row>
    <row r="5169" spans="1:4">
      <c r="A5169" s="3"/>
      <c r="D5169" s="3"/>
    </row>
    <row r="5170" spans="1:4">
      <c r="A5170" s="3"/>
      <c r="D5170" s="3"/>
    </row>
    <row r="5171" spans="1:4">
      <c r="A5171" s="3"/>
      <c r="D5171" s="3"/>
    </row>
    <row r="5172" spans="1:4">
      <c r="A5172" s="3"/>
      <c r="D5172" s="3"/>
    </row>
    <row r="5173" spans="1:4">
      <c r="A5173" s="3"/>
      <c r="D5173" s="3"/>
    </row>
    <row r="5174" spans="1:4">
      <c r="A5174" s="3"/>
      <c r="D5174" s="3"/>
    </row>
    <row r="5175" spans="1:4">
      <c r="A5175" s="3"/>
      <c r="D5175" s="3"/>
    </row>
    <row r="5176" spans="1:4">
      <c r="A5176" s="3"/>
      <c r="D5176" s="3"/>
    </row>
    <row r="5177" spans="1:4">
      <c r="A5177" s="3"/>
      <c r="D5177" s="3"/>
    </row>
    <row r="5178" spans="1:4">
      <c r="A5178" s="3"/>
      <c r="D5178" s="3"/>
    </row>
    <row r="5179" spans="1:4">
      <c r="A5179" s="3"/>
      <c r="D5179" s="3"/>
    </row>
    <row r="5180" spans="1:4">
      <c r="A5180" s="3"/>
      <c r="D5180" s="3"/>
    </row>
    <row r="5181" spans="1:4">
      <c r="A5181" s="3"/>
      <c r="D5181" s="3"/>
    </row>
    <row r="5182" spans="1:4">
      <c r="A5182" s="3"/>
      <c r="D5182" s="3"/>
    </row>
    <row r="5183" spans="1:4">
      <c r="A5183" s="3"/>
      <c r="D5183" s="3"/>
    </row>
    <row r="5184" spans="1:4">
      <c r="A5184" s="3"/>
      <c r="D5184" s="3"/>
    </row>
    <row r="5185" spans="1:4">
      <c r="A5185" s="3"/>
      <c r="D5185" s="3"/>
    </row>
    <row r="5186" spans="1:4">
      <c r="A5186" s="3"/>
      <c r="D5186" s="3"/>
    </row>
    <row r="5187" spans="1:4">
      <c r="A5187" s="3"/>
      <c r="D5187" s="3"/>
    </row>
    <row r="5188" spans="1:4">
      <c r="A5188" s="3"/>
      <c r="D5188" s="3"/>
    </row>
    <row r="5189" spans="1:4">
      <c r="A5189" s="3"/>
      <c r="D5189" s="3"/>
    </row>
    <row r="5190" spans="1:4">
      <c r="A5190" s="3"/>
      <c r="D5190" s="3"/>
    </row>
    <row r="5191" spans="1:4">
      <c r="A5191" s="3"/>
      <c r="D5191" s="3"/>
    </row>
    <row r="5192" spans="1:4">
      <c r="A5192" s="3"/>
      <c r="D5192" s="3"/>
    </row>
    <row r="5193" spans="1:4">
      <c r="A5193" s="3"/>
      <c r="D5193" s="3"/>
    </row>
    <row r="5194" spans="1:4">
      <c r="A5194" s="3"/>
      <c r="D5194" s="3"/>
    </row>
    <row r="5195" spans="1:4">
      <c r="A5195" s="3"/>
      <c r="D5195" s="3"/>
    </row>
    <row r="5196" spans="1:4">
      <c r="A5196" s="3"/>
      <c r="D5196" s="3"/>
    </row>
    <row r="5197" spans="1:4">
      <c r="A5197" s="3"/>
      <c r="D5197" s="3"/>
    </row>
    <row r="5198" spans="1:4">
      <c r="A5198" s="3"/>
      <c r="D5198" s="3"/>
    </row>
    <row r="5199" spans="1:4">
      <c r="A5199" s="3"/>
      <c r="D5199" s="3"/>
    </row>
    <row r="5200" spans="1:4">
      <c r="A5200" s="3"/>
      <c r="D5200" s="3"/>
    </row>
    <row r="5201" spans="1:4">
      <c r="A5201" s="3"/>
      <c r="D5201" s="3"/>
    </row>
    <row r="5202" spans="1:4">
      <c r="A5202" s="3"/>
      <c r="D5202" s="3"/>
    </row>
    <row r="5203" spans="1:4">
      <c r="A5203" s="3"/>
      <c r="D5203" s="3"/>
    </row>
    <row r="5204" spans="1:4">
      <c r="A5204" s="3"/>
      <c r="D5204" s="3"/>
    </row>
    <row r="5205" spans="1:4">
      <c r="A5205" s="3"/>
      <c r="D5205" s="3"/>
    </row>
    <row r="5206" spans="1:4">
      <c r="A5206" s="3"/>
      <c r="D5206" s="3"/>
    </row>
    <row r="5207" spans="1:4">
      <c r="A5207" s="3"/>
      <c r="D5207" s="3"/>
    </row>
    <row r="5208" spans="1:4">
      <c r="A5208" s="3"/>
      <c r="D5208" s="3"/>
    </row>
    <row r="5209" spans="1:4">
      <c r="A5209" s="3"/>
      <c r="D5209" s="3"/>
    </row>
    <row r="5210" spans="1:4">
      <c r="A5210" s="3"/>
      <c r="D5210" s="3"/>
    </row>
    <row r="5211" spans="1:4">
      <c r="A5211" s="3"/>
      <c r="D5211" s="3"/>
    </row>
    <row r="5212" spans="1:4">
      <c r="A5212" s="3"/>
      <c r="D5212" s="3"/>
    </row>
    <row r="5213" spans="1:4">
      <c r="A5213" s="3"/>
      <c r="D5213" s="3"/>
    </row>
    <row r="5214" spans="1:4">
      <c r="A5214" s="3"/>
      <c r="D5214" s="3"/>
    </row>
    <row r="5215" spans="1:4">
      <c r="A5215" s="3"/>
      <c r="D5215" s="3"/>
    </row>
    <row r="5216" spans="1:4">
      <c r="A5216" s="3"/>
      <c r="D5216" s="3"/>
    </row>
    <row r="5217" spans="1:4">
      <c r="A5217" s="3"/>
      <c r="D5217" s="3"/>
    </row>
    <row r="5218" spans="1:4">
      <c r="A5218" s="3"/>
      <c r="D5218" s="3"/>
    </row>
    <row r="5219" spans="1:4">
      <c r="A5219" s="3"/>
      <c r="D5219" s="3"/>
    </row>
    <row r="5220" spans="1:4">
      <c r="A5220" s="3"/>
      <c r="D5220" s="3"/>
    </row>
    <row r="5221" spans="1:4">
      <c r="A5221" s="3"/>
      <c r="D5221" s="3"/>
    </row>
    <row r="5222" spans="1:4">
      <c r="A5222" s="3"/>
      <c r="D5222" s="3"/>
    </row>
    <row r="5223" spans="1:4">
      <c r="A5223" s="3"/>
      <c r="D5223" s="3"/>
    </row>
    <row r="5224" spans="1:4">
      <c r="A5224" s="3"/>
      <c r="D5224" s="3"/>
    </row>
    <row r="5225" spans="1:4">
      <c r="A5225" s="3"/>
      <c r="D5225" s="3"/>
    </row>
    <row r="5226" spans="1:4">
      <c r="A5226" s="3"/>
      <c r="D5226" s="3"/>
    </row>
    <row r="5227" spans="1:4">
      <c r="A5227" s="3"/>
      <c r="D5227" s="3"/>
    </row>
    <row r="5228" spans="1:4">
      <c r="A5228" s="3"/>
      <c r="D5228" s="3"/>
    </row>
    <row r="5229" spans="1:4">
      <c r="A5229" s="3"/>
      <c r="D5229" s="3"/>
    </row>
    <row r="5230" spans="1:4">
      <c r="A5230" s="3"/>
      <c r="D5230" s="3"/>
    </row>
    <row r="5231" spans="1:4">
      <c r="A5231" s="3"/>
      <c r="D5231" s="3"/>
    </row>
    <row r="5232" spans="1:4">
      <c r="A5232" s="3"/>
      <c r="D5232" s="3"/>
    </row>
    <row r="5233" spans="1:4">
      <c r="A5233" s="3"/>
      <c r="D5233" s="3"/>
    </row>
    <row r="5234" spans="1:4">
      <c r="A5234" s="3"/>
      <c r="D5234" s="3"/>
    </row>
    <row r="5235" spans="1:4">
      <c r="A5235" s="3"/>
      <c r="D5235" s="3"/>
    </row>
    <row r="5236" spans="1:4">
      <c r="A5236" s="3"/>
      <c r="D5236" s="3"/>
    </row>
    <row r="5237" spans="1:4">
      <c r="A5237" s="3"/>
      <c r="D5237" s="3"/>
    </row>
    <row r="5238" spans="1:4">
      <c r="A5238" s="3"/>
      <c r="D5238" s="3"/>
    </row>
    <row r="5239" spans="1:4">
      <c r="A5239" s="3"/>
      <c r="D5239" s="3"/>
    </row>
    <row r="5240" spans="1:4">
      <c r="A5240" s="3"/>
      <c r="D5240" s="3"/>
    </row>
    <row r="5241" spans="1:4">
      <c r="A5241" s="3"/>
      <c r="D5241" s="3"/>
    </row>
    <row r="5242" spans="1:4">
      <c r="A5242" s="3"/>
      <c r="D5242" s="3"/>
    </row>
    <row r="5243" spans="1:4">
      <c r="A5243" s="3"/>
      <c r="D5243" s="3"/>
    </row>
    <row r="5244" spans="1:4">
      <c r="A5244" s="3"/>
      <c r="D5244" s="3"/>
    </row>
    <row r="5245" spans="1:4">
      <c r="A5245" s="3"/>
      <c r="D5245" s="3"/>
    </row>
    <row r="5246" spans="1:4">
      <c r="A5246" s="3"/>
      <c r="D5246" s="3"/>
    </row>
    <row r="5247" spans="1:4">
      <c r="A5247" s="3"/>
      <c r="D5247" s="3"/>
    </row>
    <row r="5248" spans="1:4">
      <c r="A5248" s="3"/>
      <c r="D5248" s="3"/>
    </row>
    <row r="5249" spans="1:4">
      <c r="A5249" s="3"/>
      <c r="D5249" s="3"/>
    </row>
    <row r="5250" spans="1:4">
      <c r="A5250" s="3"/>
      <c r="D5250" s="3"/>
    </row>
    <row r="5251" spans="1:4">
      <c r="A5251" s="3"/>
      <c r="D5251" s="3"/>
    </row>
    <row r="5252" spans="1:4">
      <c r="A5252" s="3"/>
      <c r="D5252" s="3"/>
    </row>
    <row r="5253" spans="1:4">
      <c r="A5253" s="3"/>
      <c r="D5253" s="3"/>
    </row>
    <row r="5254" spans="1:4">
      <c r="A5254" s="3"/>
      <c r="D5254" s="3"/>
    </row>
    <row r="5255" spans="1:4">
      <c r="A5255" s="3"/>
      <c r="D5255" s="3"/>
    </row>
    <row r="5256" spans="1:4">
      <c r="A5256" s="3"/>
      <c r="D5256" s="3"/>
    </row>
    <row r="5257" spans="1:4">
      <c r="A5257" s="3"/>
      <c r="D5257" s="3"/>
    </row>
    <row r="5258" spans="1:4">
      <c r="A5258" s="3"/>
      <c r="D5258" s="3"/>
    </row>
    <row r="5259" spans="1:4">
      <c r="A5259" s="3"/>
      <c r="D5259" s="3"/>
    </row>
    <row r="5260" spans="1:4">
      <c r="A5260" s="3"/>
      <c r="D5260" s="3"/>
    </row>
    <row r="5261" spans="1:4">
      <c r="A5261" s="3"/>
      <c r="D5261" s="3"/>
    </row>
    <row r="5262" spans="1:4">
      <c r="A5262" s="3"/>
      <c r="D5262" s="3"/>
    </row>
    <row r="5263" spans="1:4">
      <c r="A5263" s="3"/>
      <c r="D5263" s="3"/>
    </row>
    <row r="5264" spans="1:4">
      <c r="A5264" s="3"/>
      <c r="D5264" s="3"/>
    </row>
    <row r="5265" spans="1:4">
      <c r="A5265" s="3"/>
      <c r="D5265" s="3"/>
    </row>
    <row r="5266" spans="1:4">
      <c r="A5266" s="3"/>
      <c r="D5266" s="3"/>
    </row>
    <row r="5267" spans="1:4">
      <c r="A5267" s="3"/>
      <c r="D5267" s="3"/>
    </row>
    <row r="5268" spans="1:4">
      <c r="A5268" s="3"/>
      <c r="D5268" s="3"/>
    </row>
    <row r="5269" spans="1:4">
      <c r="A5269" s="3"/>
      <c r="D5269" s="3"/>
    </row>
    <row r="5270" spans="1:4">
      <c r="A5270" s="3"/>
      <c r="D5270" s="3"/>
    </row>
    <row r="5271" spans="1:4">
      <c r="A5271" s="3"/>
      <c r="D5271" s="3"/>
    </row>
    <row r="5272" spans="1:4">
      <c r="A5272" s="3"/>
      <c r="D5272" s="3"/>
    </row>
    <row r="5273" spans="1:4">
      <c r="A5273" s="3"/>
      <c r="D5273" s="3"/>
    </row>
    <row r="5274" spans="1:4">
      <c r="A5274" s="3"/>
      <c r="D5274" s="3"/>
    </row>
    <row r="5275" spans="1:4">
      <c r="A5275" s="3"/>
      <c r="D5275" s="3"/>
    </row>
    <row r="5276" spans="1:4">
      <c r="A5276" s="3"/>
      <c r="D5276" s="3"/>
    </row>
    <row r="5277" spans="1:4">
      <c r="A5277" s="3"/>
      <c r="D5277" s="3"/>
    </row>
    <row r="5278" spans="1:4">
      <c r="A5278" s="3"/>
      <c r="D5278" s="3"/>
    </row>
    <row r="5279" spans="1:4">
      <c r="A5279" s="3"/>
      <c r="D5279" s="3"/>
    </row>
    <row r="5280" spans="1:4">
      <c r="A5280" s="3"/>
      <c r="D5280" s="3"/>
    </row>
    <row r="5281" spans="1:4">
      <c r="A5281" s="3"/>
      <c r="D5281" s="3"/>
    </row>
    <row r="5282" spans="1:4">
      <c r="A5282" s="3"/>
      <c r="D5282" s="3"/>
    </row>
    <row r="5283" spans="1:4">
      <c r="A5283" s="3"/>
      <c r="D5283" s="3"/>
    </row>
    <row r="5284" spans="1:4">
      <c r="A5284" s="3"/>
      <c r="D5284" s="3"/>
    </row>
    <row r="5285" spans="1:4">
      <c r="A5285" s="3"/>
      <c r="D5285" s="3"/>
    </row>
    <row r="5286" spans="1:4">
      <c r="A5286" s="3"/>
      <c r="D5286" s="3"/>
    </row>
    <row r="5287" spans="1:4">
      <c r="A5287" s="3"/>
      <c r="D5287" s="3"/>
    </row>
    <row r="5288" spans="1:4">
      <c r="A5288" s="3"/>
      <c r="D5288" s="3"/>
    </row>
    <row r="5289" spans="1:4">
      <c r="A5289" s="3"/>
      <c r="D5289" s="3"/>
    </row>
    <row r="5290" spans="1:4">
      <c r="A5290" s="3"/>
      <c r="D5290" s="3"/>
    </row>
    <row r="5291" spans="1:4">
      <c r="A5291" s="3"/>
      <c r="D5291" s="3"/>
    </row>
    <row r="5292" spans="1:4">
      <c r="A5292" s="3"/>
      <c r="D5292" s="3"/>
    </row>
    <row r="5293" spans="1:4">
      <c r="A5293" s="3"/>
      <c r="D5293" s="3"/>
    </row>
    <row r="5294" spans="1:4">
      <c r="A5294" s="3"/>
      <c r="D5294" s="3"/>
    </row>
    <row r="5295" spans="1:4">
      <c r="A5295" s="3"/>
      <c r="D5295" s="3"/>
    </row>
    <row r="5296" spans="1:4">
      <c r="A5296" s="3"/>
      <c r="D5296" s="3"/>
    </row>
    <row r="5297" spans="1:4">
      <c r="A5297" s="3"/>
      <c r="D5297" s="3"/>
    </row>
    <row r="5298" spans="1:4">
      <c r="A5298" s="3"/>
      <c r="D5298" s="3"/>
    </row>
    <row r="5299" spans="1:4">
      <c r="A5299" s="3"/>
      <c r="D5299" s="3"/>
    </row>
    <row r="5300" spans="1:4">
      <c r="A5300" s="3"/>
      <c r="D5300" s="3"/>
    </row>
    <row r="5301" spans="1:4">
      <c r="A5301" s="3"/>
      <c r="D5301" s="3"/>
    </row>
    <row r="5302" spans="1:4">
      <c r="A5302" s="3"/>
      <c r="D5302" s="3"/>
    </row>
    <row r="5303" spans="1:4">
      <c r="A5303" s="3"/>
      <c r="D5303" s="3"/>
    </row>
    <row r="5304" spans="1:4">
      <c r="A5304" s="3"/>
      <c r="D5304" s="3"/>
    </row>
    <row r="5305" spans="1:4">
      <c r="A5305" s="3"/>
      <c r="D5305" s="3"/>
    </row>
    <row r="5306" spans="1:4">
      <c r="A5306" s="3"/>
      <c r="D5306" s="3"/>
    </row>
    <row r="5307" spans="1:4">
      <c r="A5307" s="3"/>
      <c r="D5307" s="3"/>
    </row>
    <row r="5308" spans="1:4">
      <c r="A5308" s="3"/>
      <c r="D5308" s="3"/>
    </row>
    <row r="5309" spans="1:4">
      <c r="A5309" s="3"/>
      <c r="D5309" s="3"/>
    </row>
    <row r="5310" spans="1:4">
      <c r="A5310" s="3"/>
      <c r="D5310" s="3"/>
    </row>
    <row r="5311" spans="1:4">
      <c r="A5311" s="3"/>
      <c r="D5311" s="3"/>
    </row>
    <row r="5312" spans="1:4">
      <c r="A5312" s="3"/>
      <c r="D5312" s="3"/>
    </row>
    <row r="5313" spans="1:4">
      <c r="A5313" s="3"/>
      <c r="D5313" s="3"/>
    </row>
    <row r="5314" spans="1:4">
      <c r="A5314" s="3"/>
      <c r="D5314" s="3"/>
    </row>
    <row r="5315" spans="1:4">
      <c r="A5315" s="3"/>
      <c r="D5315" s="3"/>
    </row>
    <row r="5316" spans="1:4">
      <c r="A5316" s="3"/>
      <c r="D5316" s="3"/>
    </row>
    <row r="5317" spans="1:4">
      <c r="A5317" s="3"/>
      <c r="D5317" s="3"/>
    </row>
    <row r="5318" spans="1:4">
      <c r="A5318" s="3"/>
      <c r="D5318" s="3"/>
    </row>
    <row r="5319" spans="1:4">
      <c r="A5319" s="3"/>
      <c r="D5319" s="3"/>
    </row>
    <row r="5320" spans="1:4">
      <c r="A5320" s="3"/>
      <c r="D5320" s="3"/>
    </row>
    <row r="5321" spans="1:4">
      <c r="A5321" s="3"/>
      <c r="D5321" s="3"/>
    </row>
    <row r="5322" spans="1:4">
      <c r="A5322" s="3"/>
      <c r="D5322" s="3"/>
    </row>
    <row r="5323" spans="1:4">
      <c r="A5323" s="3"/>
      <c r="D5323" s="3"/>
    </row>
    <row r="5324" spans="1:4">
      <c r="A5324" s="3"/>
      <c r="D5324" s="3"/>
    </row>
    <row r="5325" spans="1:4">
      <c r="A5325" s="3"/>
      <c r="D5325" s="3"/>
    </row>
    <row r="5326" spans="1:4">
      <c r="A5326" s="3"/>
      <c r="D5326" s="3"/>
    </row>
    <row r="5327" spans="1:4">
      <c r="A5327" s="3"/>
      <c r="D5327" s="3"/>
    </row>
    <row r="5328" spans="1:4">
      <c r="A5328" s="3"/>
      <c r="D5328" s="3"/>
    </row>
    <row r="5329" spans="1:4">
      <c r="A5329" s="3"/>
      <c r="D5329" s="3"/>
    </row>
    <row r="5330" spans="1:4">
      <c r="A5330" s="3"/>
      <c r="D5330" s="3"/>
    </row>
    <row r="5331" spans="1:4">
      <c r="A5331" s="3"/>
      <c r="D5331" s="3"/>
    </row>
    <row r="5332" spans="1:4">
      <c r="A5332" s="3"/>
      <c r="D5332" s="3"/>
    </row>
    <row r="5333" spans="1:4">
      <c r="A5333" s="3"/>
      <c r="D5333" s="3"/>
    </row>
    <row r="5334" spans="1:4">
      <c r="A5334" s="3"/>
      <c r="D5334" s="3"/>
    </row>
    <row r="5335" spans="1:4">
      <c r="A5335" s="3"/>
      <c r="D5335" s="3"/>
    </row>
    <row r="5336" spans="1:4">
      <c r="A5336" s="3"/>
      <c r="D5336" s="3"/>
    </row>
    <row r="5337" spans="1:4">
      <c r="A5337" s="3"/>
      <c r="D5337" s="3"/>
    </row>
    <row r="5338" spans="1:4">
      <c r="A5338" s="3"/>
      <c r="D5338" s="3"/>
    </row>
    <row r="5339" spans="1:4">
      <c r="A5339" s="3"/>
      <c r="D5339" s="3"/>
    </row>
    <row r="5340" spans="1:4">
      <c r="A5340" s="3"/>
      <c r="D5340" s="3"/>
    </row>
    <row r="5341" spans="1:4">
      <c r="A5341" s="3"/>
      <c r="D5341" s="3"/>
    </row>
    <row r="5342" spans="1:4">
      <c r="A5342" s="3"/>
      <c r="D5342" s="3"/>
    </row>
    <row r="5343" spans="1:4">
      <c r="A5343" s="3"/>
      <c r="D5343" s="3"/>
    </row>
    <row r="5344" spans="1:4">
      <c r="A5344" s="3"/>
      <c r="D5344" s="3"/>
    </row>
    <row r="5345" spans="1:4">
      <c r="A5345" s="3"/>
      <c r="D5345" s="3"/>
    </row>
    <row r="5346" spans="1:4">
      <c r="A5346" s="3"/>
      <c r="D5346" s="3"/>
    </row>
    <row r="5347" spans="1:4">
      <c r="A5347" s="3"/>
      <c r="D5347" s="3"/>
    </row>
    <row r="5348" spans="1:4">
      <c r="A5348" s="3"/>
      <c r="D5348" s="3"/>
    </row>
    <row r="5349" spans="1:4">
      <c r="A5349" s="3"/>
      <c r="D5349" s="3"/>
    </row>
    <row r="5350" spans="1:4">
      <c r="A5350" s="3"/>
      <c r="D5350" s="3"/>
    </row>
    <row r="5351" spans="1:4">
      <c r="A5351" s="3"/>
      <c r="D5351" s="3"/>
    </row>
    <row r="5352" spans="1:4">
      <c r="A5352" s="3"/>
      <c r="D5352" s="3"/>
    </row>
    <row r="5353" spans="1:4">
      <c r="A5353" s="3"/>
      <c r="D5353" s="3"/>
    </row>
    <row r="5354" spans="1:4">
      <c r="A5354" s="3"/>
      <c r="D5354" s="3"/>
    </row>
    <row r="5355" spans="1:4">
      <c r="A5355" s="3"/>
      <c r="D5355" s="3"/>
    </row>
    <row r="5356" spans="1:4">
      <c r="A5356" s="3"/>
      <c r="D5356" s="3"/>
    </row>
    <row r="5357" spans="1:4">
      <c r="A5357" s="3"/>
      <c r="D5357" s="3"/>
    </row>
    <row r="5358" spans="1:4">
      <c r="A5358" s="3"/>
      <c r="D5358" s="3"/>
    </row>
    <row r="5359" spans="1:4">
      <c r="A5359" s="3"/>
      <c r="D5359" s="3"/>
    </row>
    <row r="5360" spans="1:4">
      <c r="A5360" s="3"/>
      <c r="D5360" s="3"/>
    </row>
    <row r="5361" spans="1:4">
      <c r="A5361" s="3"/>
      <c r="D5361" s="3"/>
    </row>
    <row r="5362" spans="1:4">
      <c r="A5362" s="3"/>
      <c r="D5362" s="3"/>
    </row>
    <row r="5363" spans="1:4">
      <c r="A5363" s="3"/>
      <c r="D5363" s="3"/>
    </row>
    <row r="5364" spans="1:4">
      <c r="A5364" s="3"/>
      <c r="D5364" s="3"/>
    </row>
    <row r="5365" spans="1:4">
      <c r="A5365" s="3"/>
      <c r="D5365" s="3"/>
    </row>
    <row r="5366" spans="1:4">
      <c r="A5366" s="3"/>
      <c r="D5366" s="3"/>
    </row>
    <row r="5367" spans="1:4">
      <c r="A5367" s="3"/>
      <c r="D5367" s="3"/>
    </row>
    <row r="5368" spans="1:4">
      <c r="A5368" s="3"/>
      <c r="D5368" s="3"/>
    </row>
    <row r="5369" spans="1:4">
      <c r="A5369" s="3"/>
      <c r="D5369" s="3"/>
    </row>
    <row r="5370" spans="1:4">
      <c r="A5370" s="3"/>
      <c r="D5370" s="3"/>
    </row>
    <row r="5371" spans="1:4">
      <c r="A5371" s="3"/>
      <c r="D5371" s="3"/>
    </row>
    <row r="5372" spans="1:4">
      <c r="A5372" s="3"/>
      <c r="D5372" s="3"/>
    </row>
    <row r="5373" spans="1:4">
      <c r="A5373" s="3"/>
      <c r="D5373" s="3"/>
    </row>
    <row r="5374" spans="1:4">
      <c r="A5374" s="3"/>
      <c r="D5374" s="3"/>
    </row>
    <row r="5375" spans="1:4">
      <c r="A5375" s="3"/>
      <c r="D5375" s="3"/>
    </row>
    <row r="5376" spans="1:4">
      <c r="A5376" s="3"/>
      <c r="D5376" s="3"/>
    </row>
    <row r="5377" spans="1:4">
      <c r="A5377" s="3"/>
      <c r="D5377" s="3"/>
    </row>
    <row r="5378" spans="1:4">
      <c r="A5378" s="3"/>
      <c r="D5378" s="3"/>
    </row>
    <row r="5379" spans="1:4">
      <c r="A5379" s="3"/>
      <c r="D5379" s="3"/>
    </row>
    <row r="5380" spans="1:4">
      <c r="A5380" s="3"/>
      <c r="D5380" s="3"/>
    </row>
    <row r="5381" spans="1:4">
      <c r="A5381" s="3"/>
      <c r="D5381" s="3"/>
    </row>
    <row r="5382" spans="1:4">
      <c r="A5382" s="3"/>
      <c r="D5382" s="3"/>
    </row>
    <row r="5383" spans="1:4">
      <c r="A5383" s="3"/>
      <c r="D5383" s="3"/>
    </row>
    <row r="5384" spans="1:4">
      <c r="A5384" s="3"/>
      <c r="D5384" s="3"/>
    </row>
    <row r="5385" spans="1:4">
      <c r="A5385" s="3"/>
      <c r="D5385" s="3"/>
    </row>
    <row r="5386" spans="1:4">
      <c r="A5386" s="3"/>
      <c r="D5386" s="3"/>
    </row>
    <row r="5387" spans="1:4">
      <c r="A5387" s="3"/>
      <c r="D5387" s="3"/>
    </row>
    <row r="5388" spans="1:4">
      <c r="A5388" s="3"/>
      <c r="D5388" s="3"/>
    </row>
    <row r="5389" spans="1:4">
      <c r="A5389" s="3"/>
      <c r="D5389" s="3"/>
    </row>
    <row r="5390" spans="1:4">
      <c r="A5390" s="3"/>
      <c r="D5390" s="3"/>
    </row>
    <row r="5391" spans="1:4">
      <c r="A5391" s="3"/>
      <c r="D5391" s="3"/>
    </row>
    <row r="5392" spans="1:4">
      <c r="A5392" s="3"/>
      <c r="D5392" s="3"/>
    </row>
    <row r="5393" spans="1:4">
      <c r="A5393" s="3"/>
      <c r="D5393" s="3"/>
    </row>
    <row r="5394" spans="1:4">
      <c r="A5394" s="3"/>
      <c r="D5394" s="3"/>
    </row>
    <row r="5395" spans="1:4">
      <c r="A5395" s="3"/>
      <c r="D5395" s="3"/>
    </row>
    <row r="5396" spans="1:4">
      <c r="A5396" s="3"/>
      <c r="D5396" s="3"/>
    </row>
    <row r="5397" spans="1:4">
      <c r="A5397" s="3"/>
      <c r="D5397" s="3"/>
    </row>
    <row r="5398" spans="1:4">
      <c r="A5398" s="3"/>
      <c r="D5398" s="3"/>
    </row>
    <row r="5399" spans="1:4">
      <c r="A5399" s="3"/>
      <c r="D5399" s="3"/>
    </row>
    <row r="5400" spans="1:4">
      <c r="A5400" s="3"/>
      <c r="D5400" s="3"/>
    </row>
    <row r="5401" spans="1:4">
      <c r="A5401" s="3"/>
      <c r="D5401" s="3"/>
    </row>
    <row r="5402" spans="1:4">
      <c r="A5402" s="3"/>
      <c r="D5402" s="3"/>
    </row>
    <row r="5403" spans="1:4">
      <c r="A5403" s="3"/>
      <c r="D5403" s="3"/>
    </row>
    <row r="5404" spans="1:4">
      <c r="A5404" s="3"/>
      <c r="D5404" s="3"/>
    </row>
    <row r="5405" spans="1:4">
      <c r="A5405" s="3"/>
      <c r="D5405" s="3"/>
    </row>
    <row r="5406" spans="1:4">
      <c r="A5406" s="3"/>
      <c r="D5406" s="3"/>
    </row>
    <row r="5407" spans="1:4">
      <c r="A5407" s="3"/>
      <c r="D5407" s="3"/>
    </row>
    <row r="5408" spans="1:4">
      <c r="A5408" s="3"/>
      <c r="D5408" s="3"/>
    </row>
    <row r="5409" spans="1:4">
      <c r="A5409" s="3"/>
      <c r="D5409" s="3"/>
    </row>
    <row r="5410" spans="1:4">
      <c r="A5410" s="3"/>
      <c r="D5410" s="3"/>
    </row>
    <row r="5411" spans="1:4">
      <c r="A5411" s="3"/>
      <c r="D5411" s="3"/>
    </row>
    <row r="5412" spans="1:4">
      <c r="A5412" s="3"/>
      <c r="D5412" s="3"/>
    </row>
    <row r="5413" spans="1:4">
      <c r="A5413" s="3"/>
      <c r="D5413" s="3"/>
    </row>
    <row r="5414" spans="1:4">
      <c r="A5414" s="3"/>
      <c r="D5414" s="3"/>
    </row>
    <row r="5415" spans="1:4">
      <c r="A5415" s="3"/>
      <c r="D5415" s="3"/>
    </row>
    <row r="5416" spans="1:4">
      <c r="A5416" s="3"/>
      <c r="D5416" s="3"/>
    </row>
    <row r="5417" spans="1:4">
      <c r="A5417" s="3"/>
      <c r="D5417" s="3"/>
    </row>
    <row r="5418" spans="1:4">
      <c r="A5418" s="3"/>
      <c r="D5418" s="3"/>
    </row>
    <row r="5419" spans="1:4">
      <c r="A5419" s="3"/>
      <c r="D5419" s="3"/>
    </row>
    <row r="5420" spans="1:4">
      <c r="A5420" s="3"/>
      <c r="D5420" s="3"/>
    </row>
    <row r="5421" spans="1:4">
      <c r="A5421" s="3"/>
      <c r="D5421" s="3"/>
    </row>
    <row r="5422" spans="1:4">
      <c r="A5422" s="3"/>
      <c r="D5422" s="3"/>
    </row>
    <row r="5423" spans="1:4">
      <c r="A5423" s="3"/>
      <c r="D5423" s="3"/>
    </row>
    <row r="5424" spans="1:4">
      <c r="A5424" s="3"/>
      <c r="D5424" s="3"/>
    </row>
    <row r="5425" spans="1:4">
      <c r="A5425" s="3"/>
      <c r="D5425" s="3"/>
    </row>
    <row r="5426" spans="1:4">
      <c r="A5426" s="3"/>
      <c r="D5426" s="3"/>
    </row>
    <row r="5427" spans="1:4">
      <c r="A5427" s="3"/>
      <c r="D5427" s="3"/>
    </row>
    <row r="5428" spans="1:4">
      <c r="A5428" s="3"/>
      <c r="D5428" s="3"/>
    </row>
    <row r="5429" spans="1:4">
      <c r="A5429" s="3"/>
      <c r="D5429" s="3"/>
    </row>
    <row r="5430" spans="1:4">
      <c r="A5430" s="3"/>
      <c r="D5430" s="3"/>
    </row>
    <row r="5431" spans="1:4">
      <c r="A5431" s="3"/>
      <c r="D5431" s="3"/>
    </row>
    <row r="5432" spans="1:4">
      <c r="A5432" s="3"/>
      <c r="D5432" s="3"/>
    </row>
    <row r="5433" spans="1:4">
      <c r="A5433" s="3"/>
      <c r="D5433" s="3"/>
    </row>
    <row r="5434" spans="1:4">
      <c r="A5434" s="3"/>
      <c r="D5434" s="3"/>
    </row>
    <row r="5435" spans="1:4">
      <c r="A5435" s="3"/>
      <c r="D5435" s="3"/>
    </row>
    <row r="5436" spans="1:4">
      <c r="A5436" s="3"/>
      <c r="D5436" s="3"/>
    </row>
    <row r="5437" spans="1:4">
      <c r="A5437" s="3"/>
      <c r="D5437" s="3"/>
    </row>
    <row r="5438" spans="1:4">
      <c r="A5438" s="3"/>
      <c r="D5438" s="3"/>
    </row>
    <row r="5439" spans="1:4">
      <c r="A5439" s="3"/>
      <c r="D5439" s="3"/>
    </row>
    <row r="5440" spans="1:4">
      <c r="A5440" s="3"/>
      <c r="D5440" s="3"/>
    </row>
    <row r="5441" spans="1:4">
      <c r="A5441" s="3"/>
      <c r="D5441" s="3"/>
    </row>
    <row r="5442" spans="1:4">
      <c r="A5442" s="3"/>
      <c r="D5442" s="3"/>
    </row>
    <row r="5443" spans="1:4">
      <c r="A5443" s="3"/>
      <c r="D5443" s="3"/>
    </row>
    <row r="5444" spans="1:4">
      <c r="A5444" s="3"/>
      <c r="D5444" s="3"/>
    </row>
    <row r="5445" spans="1:4">
      <c r="A5445" s="3"/>
      <c r="D5445" s="3"/>
    </row>
    <row r="5446" spans="1:4">
      <c r="A5446" s="3"/>
      <c r="D5446" s="3"/>
    </row>
    <row r="5447" spans="1:4">
      <c r="A5447" s="3"/>
      <c r="D5447" s="3"/>
    </row>
    <row r="5448" spans="1:4">
      <c r="A5448" s="3"/>
      <c r="D5448" s="3"/>
    </row>
    <row r="5449" spans="1:4">
      <c r="A5449" s="3"/>
      <c r="D5449" s="3"/>
    </row>
    <row r="5450" spans="1:4">
      <c r="A5450" s="3"/>
      <c r="D5450" s="3"/>
    </row>
    <row r="5451" spans="1:4">
      <c r="A5451" s="3"/>
      <c r="D5451" s="3"/>
    </row>
    <row r="5452" spans="1:4">
      <c r="A5452" s="3"/>
      <c r="D5452" s="3"/>
    </row>
    <row r="5453" spans="1:4">
      <c r="A5453" s="3"/>
      <c r="D5453" s="3"/>
    </row>
    <row r="5454" spans="1:4">
      <c r="A5454" s="3"/>
      <c r="D5454" s="3"/>
    </row>
    <row r="5455" spans="1:4">
      <c r="A5455" s="3"/>
      <c r="D5455" s="3"/>
    </row>
    <row r="5456" spans="1:4">
      <c r="A5456" s="3"/>
      <c r="D5456" s="3"/>
    </row>
    <row r="5457" spans="1:4">
      <c r="A5457" s="3"/>
      <c r="D5457" s="3"/>
    </row>
    <row r="5458" spans="1:4">
      <c r="A5458" s="3"/>
      <c r="D5458" s="3"/>
    </row>
    <row r="5459" spans="1:4">
      <c r="A5459" s="3"/>
      <c r="D5459" s="3"/>
    </row>
    <row r="5460" spans="1:4">
      <c r="A5460" s="3"/>
      <c r="D5460" s="3"/>
    </row>
    <row r="5461" spans="1:4">
      <c r="A5461" s="3"/>
      <c r="D5461" s="3"/>
    </row>
    <row r="5462" spans="1:4">
      <c r="A5462" s="3"/>
      <c r="D5462" s="3"/>
    </row>
    <row r="5463" spans="1:4">
      <c r="A5463" s="3"/>
      <c r="D5463" s="3"/>
    </row>
    <row r="5464" spans="1:4">
      <c r="A5464" s="3"/>
      <c r="D5464" s="3"/>
    </row>
    <row r="5465" spans="1:4">
      <c r="A5465" s="3"/>
      <c r="D5465" s="3"/>
    </row>
    <row r="5466" spans="1:4">
      <c r="A5466" s="3"/>
      <c r="D5466" s="3"/>
    </row>
    <row r="5467" spans="1:4">
      <c r="A5467" s="3"/>
      <c r="D5467" s="3"/>
    </row>
    <row r="5468" spans="1:4">
      <c r="A5468" s="3"/>
      <c r="D5468" s="3"/>
    </row>
    <row r="5469" spans="1:4">
      <c r="A5469" s="3"/>
      <c r="D5469" s="3"/>
    </row>
    <row r="5470" spans="1:4">
      <c r="A5470" s="3"/>
      <c r="D5470" s="3"/>
    </row>
    <row r="5471" spans="1:4">
      <c r="A5471" s="3"/>
      <c r="D5471" s="3"/>
    </row>
    <row r="5472" spans="1:4">
      <c r="A5472" s="3"/>
      <c r="D5472" s="3"/>
    </row>
    <row r="5473" spans="1:4">
      <c r="A5473" s="3"/>
      <c r="D5473" s="3"/>
    </row>
    <row r="5474" spans="1:4">
      <c r="A5474" s="3"/>
      <c r="D5474" s="3"/>
    </row>
    <row r="5475" spans="1:4">
      <c r="A5475" s="3"/>
      <c r="D5475" s="3"/>
    </row>
    <row r="5476" spans="1:4">
      <c r="A5476" s="3"/>
      <c r="D5476" s="3"/>
    </row>
    <row r="5477" spans="1:4">
      <c r="A5477" s="3"/>
      <c r="D5477" s="3"/>
    </row>
    <row r="5478" spans="1:4">
      <c r="A5478" s="3"/>
      <c r="D5478" s="3"/>
    </row>
    <row r="5479" spans="1:4">
      <c r="A5479" s="3"/>
      <c r="D5479" s="3"/>
    </row>
    <row r="5480" spans="1:4">
      <c r="A5480" s="3"/>
      <c r="D5480" s="3"/>
    </row>
    <row r="5481" spans="1:4">
      <c r="A5481" s="3"/>
      <c r="D5481" s="3"/>
    </row>
    <row r="5482" spans="1:4">
      <c r="A5482" s="3"/>
      <c r="D5482" s="3"/>
    </row>
    <row r="5483" spans="1:4">
      <c r="A5483" s="3"/>
      <c r="D5483" s="3"/>
    </row>
    <row r="5484" spans="1:4">
      <c r="A5484" s="3"/>
      <c r="D5484" s="3"/>
    </row>
    <row r="5485" spans="1:4">
      <c r="A5485" s="3"/>
      <c r="D5485" s="3"/>
    </row>
    <row r="5486" spans="1:4">
      <c r="A5486" s="3"/>
      <c r="D5486" s="3"/>
    </row>
    <row r="5487" spans="1:4">
      <c r="A5487" s="3"/>
      <c r="D5487" s="3"/>
    </row>
    <row r="5488" spans="1:4">
      <c r="A5488" s="3"/>
      <c r="D5488" s="3"/>
    </row>
    <row r="5489" spans="1:4">
      <c r="A5489" s="3"/>
      <c r="D5489" s="3"/>
    </row>
    <row r="5490" spans="1:4">
      <c r="A5490" s="3"/>
      <c r="D5490" s="3"/>
    </row>
    <row r="5491" spans="1:4">
      <c r="A5491" s="3"/>
      <c r="D5491" s="3"/>
    </row>
    <row r="5492" spans="1:4">
      <c r="A5492" s="3"/>
      <c r="D5492" s="3"/>
    </row>
    <row r="5493" spans="1:4">
      <c r="A5493" s="3"/>
      <c r="D5493" s="3"/>
    </row>
    <row r="5494" spans="1:4">
      <c r="A5494" s="3"/>
      <c r="D5494" s="3"/>
    </row>
    <row r="5495" spans="1:4">
      <c r="A5495" s="3"/>
      <c r="D5495" s="3"/>
    </row>
    <row r="5496" spans="1:4">
      <c r="A5496" s="3"/>
      <c r="D5496" s="3"/>
    </row>
    <row r="5497" spans="1:4">
      <c r="A5497" s="3"/>
      <c r="D5497" s="3"/>
    </row>
    <row r="5498" spans="1:4">
      <c r="A5498" s="3"/>
      <c r="D5498" s="3"/>
    </row>
    <row r="5499" spans="1:4">
      <c r="A5499" s="3"/>
      <c r="D5499" s="3"/>
    </row>
    <row r="5500" spans="1:4">
      <c r="A5500" s="3"/>
      <c r="D5500" s="3"/>
    </row>
    <row r="5501" spans="1:4">
      <c r="A5501" s="3"/>
      <c r="D5501" s="3"/>
    </row>
    <row r="5502" spans="1:4">
      <c r="A5502" s="3"/>
      <c r="D5502" s="3"/>
    </row>
    <row r="5503" spans="1:4">
      <c r="A5503" s="3"/>
      <c r="D5503" s="3"/>
    </row>
    <row r="5504" spans="1:4">
      <c r="A5504" s="3"/>
      <c r="D5504" s="3"/>
    </row>
    <row r="5505" spans="1:4">
      <c r="A5505" s="3"/>
      <c r="D5505" s="3"/>
    </row>
    <row r="5506" spans="1:4">
      <c r="A5506" s="3"/>
      <c r="D5506" s="3"/>
    </row>
    <row r="5507" spans="1:4">
      <c r="A5507" s="3"/>
      <c r="D5507" s="3"/>
    </row>
    <row r="5508" spans="1:4">
      <c r="A5508" s="3"/>
      <c r="D5508" s="3"/>
    </row>
    <row r="5509" spans="1:4">
      <c r="A5509" s="3"/>
      <c r="D5509" s="3"/>
    </row>
    <row r="5510" spans="1:4">
      <c r="A5510" s="3"/>
      <c r="D5510" s="3"/>
    </row>
    <row r="5511" spans="1:4">
      <c r="A5511" s="3"/>
      <c r="D5511" s="3"/>
    </row>
    <row r="5512" spans="1:4">
      <c r="A5512" s="3"/>
      <c r="D5512" s="3"/>
    </row>
    <row r="5513" spans="1:4">
      <c r="A5513" s="3"/>
      <c r="D5513" s="3"/>
    </row>
    <row r="5514" spans="1:4">
      <c r="A5514" s="3"/>
      <c r="D5514" s="3"/>
    </row>
    <row r="5515" spans="1:4">
      <c r="A5515" s="3"/>
      <c r="D5515" s="3"/>
    </row>
    <row r="5516" spans="1:4">
      <c r="A5516" s="3"/>
      <c r="D5516" s="3"/>
    </row>
    <row r="5517" spans="1:4">
      <c r="A5517" s="3"/>
      <c r="D5517" s="3"/>
    </row>
    <row r="5518" spans="1:4">
      <c r="A5518" s="3"/>
      <c r="D5518" s="3"/>
    </row>
    <row r="5519" spans="1:4">
      <c r="A5519" s="3"/>
      <c r="D5519" s="3"/>
    </row>
    <row r="5520" spans="1:4">
      <c r="A5520" s="3"/>
      <c r="D5520" s="3"/>
    </row>
    <row r="5521" spans="1:4">
      <c r="A5521" s="3"/>
      <c r="D5521" s="3"/>
    </row>
    <row r="5522" spans="1:4">
      <c r="A5522" s="3"/>
      <c r="D5522" s="3"/>
    </row>
    <row r="5523" spans="1:4">
      <c r="A5523" s="3"/>
      <c r="D5523" s="3"/>
    </row>
    <row r="5524" spans="1:4">
      <c r="A5524" s="3"/>
      <c r="D5524" s="3"/>
    </row>
    <row r="5525" spans="1:4">
      <c r="A5525" s="3"/>
      <c r="D5525" s="3"/>
    </row>
    <row r="5526" spans="1:4">
      <c r="A5526" s="3"/>
      <c r="D5526" s="3"/>
    </row>
    <row r="5527" spans="1:4">
      <c r="A5527" s="3"/>
      <c r="D5527" s="3"/>
    </row>
    <row r="5528" spans="1:4">
      <c r="A5528" s="3"/>
      <c r="D5528" s="3"/>
    </row>
    <row r="5529" spans="1:4">
      <c r="A5529" s="3"/>
      <c r="D5529" s="3"/>
    </row>
    <row r="5530" spans="1:4">
      <c r="A5530" s="3"/>
      <c r="D5530" s="3"/>
    </row>
    <row r="5531" spans="1:4">
      <c r="A5531" s="3"/>
      <c r="D5531" s="3"/>
    </row>
    <row r="5532" spans="1:4">
      <c r="A5532" s="3"/>
      <c r="D5532" s="3"/>
    </row>
    <row r="5533" spans="1:4">
      <c r="A5533" s="3"/>
      <c r="D5533" s="3"/>
    </row>
    <row r="5534" spans="1:4">
      <c r="A5534" s="3"/>
      <c r="D5534" s="3"/>
    </row>
    <row r="5535" spans="1:4">
      <c r="A5535" s="3"/>
      <c r="D5535" s="3"/>
    </row>
    <row r="5536" spans="1:4">
      <c r="A5536" s="3"/>
      <c r="D5536" s="3"/>
    </row>
    <row r="5537" spans="1:4">
      <c r="A5537" s="3"/>
      <c r="D5537" s="3"/>
    </row>
    <row r="5538" spans="1:4">
      <c r="A5538" s="3"/>
      <c r="D5538" s="3"/>
    </row>
    <row r="5539" spans="1:4">
      <c r="A5539" s="3"/>
      <c r="D5539" s="3"/>
    </row>
    <row r="5540" spans="1:4">
      <c r="A5540" s="3"/>
      <c r="D5540" s="3"/>
    </row>
    <row r="5541" spans="1:4">
      <c r="A5541" s="3"/>
      <c r="D5541" s="3"/>
    </row>
    <row r="5542" spans="1:4">
      <c r="A5542" s="3"/>
      <c r="D5542" s="3"/>
    </row>
    <row r="5543" spans="1:4">
      <c r="A5543" s="3"/>
      <c r="D5543" s="3"/>
    </row>
    <row r="5544" spans="1:4">
      <c r="A5544" s="3"/>
      <c r="D5544" s="3"/>
    </row>
    <row r="5545" spans="1:4">
      <c r="A5545" s="3"/>
      <c r="D5545" s="3"/>
    </row>
    <row r="5546" spans="1:4">
      <c r="A5546" s="3"/>
      <c r="D5546" s="3"/>
    </row>
    <row r="5547" spans="1:4">
      <c r="A5547" s="3"/>
      <c r="D5547" s="3"/>
    </row>
    <row r="5548" spans="1:4">
      <c r="A5548" s="3"/>
      <c r="D5548" s="3"/>
    </row>
    <row r="5549" spans="1:4">
      <c r="A5549" s="3"/>
      <c r="D5549" s="3"/>
    </row>
    <row r="5550" spans="1:4">
      <c r="A5550" s="3"/>
      <c r="D5550" s="3"/>
    </row>
    <row r="5551" spans="1:4">
      <c r="A5551" s="3"/>
      <c r="D5551" s="3"/>
    </row>
    <row r="5552" spans="1:4">
      <c r="A5552" s="3"/>
      <c r="D5552" s="3"/>
    </row>
    <row r="5553" spans="1:4">
      <c r="A5553" s="3"/>
      <c r="D5553" s="3"/>
    </row>
    <row r="5554" spans="1:4">
      <c r="A5554" s="3"/>
      <c r="D5554" s="3"/>
    </row>
    <row r="5555" spans="1:4">
      <c r="A5555" s="3"/>
      <c r="D5555" s="3"/>
    </row>
    <row r="5556" spans="1:4">
      <c r="A5556" s="3"/>
      <c r="D5556" s="3"/>
    </row>
    <row r="5557" spans="1:4">
      <c r="A5557" s="3"/>
      <c r="D5557" s="3"/>
    </row>
    <row r="5558" spans="1:4">
      <c r="A5558" s="3"/>
      <c r="D5558" s="3"/>
    </row>
    <row r="5559" spans="1:4">
      <c r="A5559" s="3"/>
      <c r="D5559" s="3"/>
    </row>
    <row r="5560" spans="1:4">
      <c r="A5560" s="3"/>
      <c r="D5560" s="3"/>
    </row>
    <row r="5561" spans="1:4">
      <c r="A5561" s="3"/>
      <c r="D5561" s="3"/>
    </row>
    <row r="5562" spans="1:4">
      <c r="A5562" s="3"/>
      <c r="D5562" s="3"/>
    </row>
    <row r="5563" spans="1:4">
      <c r="A5563" s="3"/>
      <c r="D5563" s="3"/>
    </row>
    <row r="5564" spans="1:4">
      <c r="A5564" s="3"/>
      <c r="D5564" s="3"/>
    </row>
    <row r="5565" spans="1:4">
      <c r="A5565" s="3"/>
      <c r="D5565" s="3"/>
    </row>
    <row r="5566" spans="1:4">
      <c r="A5566" s="3"/>
      <c r="D5566" s="3"/>
    </row>
    <row r="5567" spans="1:4">
      <c r="A5567" s="3"/>
      <c r="D5567" s="3"/>
    </row>
    <row r="5568" spans="1:4">
      <c r="A5568" s="3"/>
      <c r="D5568" s="3"/>
    </row>
    <row r="5569" spans="1:4">
      <c r="A5569" s="3"/>
      <c r="D5569" s="3"/>
    </row>
    <row r="5570" spans="1:4">
      <c r="A5570" s="3"/>
      <c r="D5570" s="3"/>
    </row>
    <row r="5571" spans="1:4">
      <c r="A5571" s="3"/>
      <c r="D5571" s="3"/>
    </row>
    <row r="5572" spans="1:4">
      <c r="A5572" s="3"/>
      <c r="D5572" s="3"/>
    </row>
    <row r="5573" spans="1:4">
      <c r="A5573" s="3"/>
      <c r="D5573" s="3"/>
    </row>
    <row r="5574" spans="1:4">
      <c r="A5574" s="3"/>
      <c r="D5574" s="3"/>
    </row>
    <row r="5575" spans="1:4">
      <c r="A5575" s="3"/>
      <c r="D5575" s="3"/>
    </row>
    <row r="5576" spans="1:4">
      <c r="A5576" s="3"/>
      <c r="D5576" s="3"/>
    </row>
    <row r="5577" spans="1:4">
      <c r="A5577" s="3"/>
      <c r="D5577" s="3"/>
    </row>
    <row r="5578" spans="1:4">
      <c r="A5578" s="3"/>
      <c r="D5578" s="3"/>
    </row>
    <row r="5579" spans="1:4">
      <c r="A5579" s="3"/>
      <c r="D5579" s="3"/>
    </row>
    <row r="5580" spans="1:4">
      <c r="A5580" s="3"/>
      <c r="D5580" s="3"/>
    </row>
    <row r="5581" spans="1:4">
      <c r="A5581" s="3"/>
      <c r="D5581" s="3"/>
    </row>
    <row r="5582" spans="1:4">
      <c r="A5582" s="3"/>
      <c r="D5582" s="3"/>
    </row>
    <row r="5583" spans="1:4">
      <c r="A5583" s="3"/>
      <c r="D5583" s="3"/>
    </row>
    <row r="5584" spans="1:4">
      <c r="A5584" s="3"/>
      <c r="D5584" s="3"/>
    </row>
    <row r="5585" spans="1:4">
      <c r="A5585" s="3"/>
      <c r="D5585" s="3"/>
    </row>
    <row r="5586" spans="1:4">
      <c r="A5586" s="3"/>
      <c r="D5586" s="3"/>
    </row>
    <row r="5587" spans="1:4">
      <c r="A5587" s="3"/>
      <c r="D5587" s="3"/>
    </row>
    <row r="5588" spans="1:4">
      <c r="A5588" s="3"/>
      <c r="D5588" s="3"/>
    </row>
    <row r="5589" spans="1:4">
      <c r="A5589" s="3"/>
      <c r="D5589" s="3"/>
    </row>
    <row r="5590" spans="1:4">
      <c r="A5590" s="3"/>
      <c r="D5590" s="3"/>
    </row>
    <row r="5591" spans="1:4">
      <c r="A5591" s="3"/>
      <c r="D5591" s="3"/>
    </row>
    <row r="5592" spans="1:4">
      <c r="A5592" s="3"/>
      <c r="D5592" s="3"/>
    </row>
    <row r="5593" spans="1:4">
      <c r="A5593" s="3"/>
      <c r="D5593" s="3"/>
    </row>
    <row r="5594" spans="1:4">
      <c r="A5594" s="3"/>
      <c r="D5594" s="3"/>
    </row>
    <row r="5595" spans="1:4">
      <c r="A5595" s="3"/>
      <c r="D5595" s="3"/>
    </row>
    <row r="5596" spans="1:4">
      <c r="A5596" s="3"/>
      <c r="D5596" s="3"/>
    </row>
    <row r="5597" spans="1:4">
      <c r="A5597" s="3"/>
      <c r="D5597" s="3"/>
    </row>
    <row r="5598" spans="1:4">
      <c r="A5598" s="3"/>
      <c r="D5598" s="3"/>
    </row>
    <row r="5599" spans="1:4">
      <c r="A5599" s="3"/>
      <c r="D5599" s="3"/>
    </row>
    <row r="5600" spans="1:4">
      <c r="A5600" s="3"/>
      <c r="D5600" s="3"/>
    </row>
    <row r="5601" spans="1:4">
      <c r="A5601" s="3"/>
      <c r="D5601" s="3"/>
    </row>
    <row r="5602" spans="1:4">
      <c r="A5602" s="3"/>
      <c r="D5602" s="3"/>
    </row>
    <row r="5603" spans="1:4">
      <c r="A5603" s="3"/>
      <c r="D5603" s="3"/>
    </row>
    <row r="5604" spans="1:4">
      <c r="A5604" s="3"/>
      <c r="D5604" s="3"/>
    </row>
    <row r="5605" spans="1:4">
      <c r="A5605" s="3"/>
      <c r="D5605" s="3"/>
    </row>
    <row r="5606" spans="1:4">
      <c r="A5606" s="3"/>
      <c r="D5606" s="3"/>
    </row>
    <row r="5607" spans="1:4">
      <c r="A5607" s="3"/>
      <c r="D5607" s="3"/>
    </row>
    <row r="5608" spans="1:4">
      <c r="A5608" s="3"/>
      <c r="D5608" s="3"/>
    </row>
    <row r="5609" spans="1:4">
      <c r="A5609" s="3"/>
      <c r="D5609" s="3"/>
    </row>
    <row r="5610" spans="1:4">
      <c r="A5610" s="3"/>
      <c r="D5610" s="3"/>
    </row>
    <row r="5611" spans="1:4">
      <c r="A5611" s="3"/>
      <c r="D5611" s="3"/>
    </row>
    <row r="5612" spans="1:4">
      <c r="A5612" s="3"/>
      <c r="D5612" s="3"/>
    </row>
    <row r="5613" spans="1:4">
      <c r="A5613" s="3"/>
      <c r="D5613" s="3"/>
    </row>
    <row r="5614" spans="1:4">
      <c r="A5614" s="3"/>
      <c r="D5614" s="3"/>
    </row>
    <row r="5615" spans="1:4">
      <c r="A5615" s="3"/>
      <c r="D5615" s="3"/>
    </row>
    <row r="5616" spans="1:4">
      <c r="A5616" s="3"/>
      <c r="D5616" s="3"/>
    </row>
    <row r="5617" spans="1:4">
      <c r="A5617" s="3"/>
      <c r="D5617" s="3"/>
    </row>
    <row r="5618" spans="1:4">
      <c r="A5618" s="3"/>
      <c r="D5618" s="3"/>
    </row>
    <row r="5619" spans="1:4">
      <c r="A5619" s="3"/>
      <c r="D5619" s="3"/>
    </row>
    <row r="5620" spans="1:4">
      <c r="A5620" s="3"/>
      <c r="D5620" s="3"/>
    </row>
    <row r="5621" spans="1:4">
      <c r="A5621" s="3"/>
      <c r="D5621" s="3"/>
    </row>
    <row r="5622" spans="1:4">
      <c r="A5622" s="3"/>
      <c r="D5622" s="3"/>
    </row>
    <row r="5623" spans="1:4">
      <c r="A5623" s="3"/>
      <c r="D5623" s="3"/>
    </row>
    <row r="5624" spans="1:4">
      <c r="A5624" s="3"/>
      <c r="D5624" s="3"/>
    </row>
    <row r="5625" spans="1:4">
      <c r="A5625" s="3"/>
      <c r="D5625" s="3"/>
    </row>
    <row r="5626" spans="1:4">
      <c r="A5626" s="3"/>
      <c r="D5626" s="3"/>
    </row>
    <row r="5627" spans="1:4">
      <c r="A5627" s="3"/>
      <c r="D5627" s="3"/>
    </row>
    <row r="5628" spans="1:4">
      <c r="A5628" s="3"/>
      <c r="D5628" s="3"/>
    </row>
    <row r="5629" spans="1:4">
      <c r="A5629" s="3"/>
      <c r="D5629" s="3"/>
    </row>
    <row r="5630" spans="1:4">
      <c r="A5630" s="3"/>
      <c r="D5630" s="3"/>
    </row>
    <row r="5631" spans="1:4">
      <c r="A5631" s="3"/>
      <c r="D5631" s="3"/>
    </row>
    <row r="5632" spans="1:4">
      <c r="A5632" s="3"/>
      <c r="D5632" s="3"/>
    </row>
    <row r="5633" spans="1:4">
      <c r="A5633" s="3"/>
      <c r="D5633" s="3"/>
    </row>
    <row r="5634" spans="1:4">
      <c r="A5634" s="3"/>
      <c r="D5634" s="3"/>
    </row>
    <row r="5635" spans="1:4">
      <c r="A5635" s="3"/>
      <c r="D5635" s="3"/>
    </row>
    <row r="5636" spans="1:4">
      <c r="A5636" s="3"/>
      <c r="D5636" s="3"/>
    </row>
    <row r="5637" spans="1:4">
      <c r="A5637" s="3"/>
      <c r="D5637" s="3"/>
    </row>
    <row r="5638" spans="1:4">
      <c r="A5638" s="3"/>
      <c r="D5638" s="3"/>
    </row>
    <row r="5639" spans="1:4">
      <c r="A5639" s="3"/>
      <c r="D5639" s="3"/>
    </row>
    <row r="5640" spans="1:4">
      <c r="A5640" s="3"/>
      <c r="D5640" s="3"/>
    </row>
    <row r="5641" spans="1:4">
      <c r="A5641" s="3"/>
      <c r="D5641" s="3"/>
    </row>
    <row r="5642" spans="1:4">
      <c r="A5642" s="3"/>
      <c r="D5642" s="3"/>
    </row>
    <row r="5643" spans="1:4">
      <c r="A5643" s="3"/>
      <c r="D5643" s="3"/>
    </row>
    <row r="5644" spans="1:4">
      <c r="A5644" s="3"/>
      <c r="D5644" s="3"/>
    </row>
    <row r="5645" spans="1:4">
      <c r="A5645" s="3"/>
      <c r="D5645" s="3"/>
    </row>
    <row r="5646" spans="1:4">
      <c r="A5646" s="3"/>
      <c r="D5646" s="3"/>
    </row>
    <row r="5647" spans="1:4">
      <c r="A5647" s="3"/>
      <c r="D5647" s="3"/>
    </row>
    <row r="5648" spans="1:4">
      <c r="A5648" s="3"/>
      <c r="D5648" s="3"/>
    </row>
    <row r="5649" spans="1:4">
      <c r="A5649" s="3"/>
      <c r="D5649" s="3"/>
    </row>
    <row r="5650" spans="1:4">
      <c r="A5650" s="3"/>
      <c r="D5650" s="3"/>
    </row>
    <row r="5651" spans="1:4">
      <c r="A5651" s="3"/>
      <c r="D5651" s="3"/>
    </row>
    <row r="5652" spans="1:4">
      <c r="A5652" s="3"/>
      <c r="D5652" s="3"/>
    </row>
    <row r="5653" spans="1:4">
      <c r="A5653" s="3"/>
      <c r="D5653" s="3"/>
    </row>
    <row r="5654" spans="1:4">
      <c r="A5654" s="3"/>
      <c r="D5654" s="3"/>
    </row>
    <row r="5655" spans="1:4">
      <c r="A5655" s="3"/>
      <c r="D5655" s="3"/>
    </row>
    <row r="5656" spans="1:4">
      <c r="A5656" s="3"/>
      <c r="D5656" s="3"/>
    </row>
    <row r="5657" spans="1:4">
      <c r="A5657" s="3"/>
      <c r="D5657" s="3"/>
    </row>
    <row r="5658" spans="1:4">
      <c r="A5658" s="3"/>
      <c r="D5658" s="3"/>
    </row>
    <row r="5659" spans="1:4">
      <c r="A5659" s="3"/>
      <c r="D5659" s="3"/>
    </row>
    <row r="5660" spans="1:4">
      <c r="A5660" s="3"/>
      <c r="D5660" s="3"/>
    </row>
    <row r="5661" spans="1:4">
      <c r="A5661" s="3"/>
      <c r="D5661" s="3"/>
    </row>
    <row r="5662" spans="1:4">
      <c r="A5662" s="3"/>
      <c r="D5662" s="3"/>
    </row>
    <row r="5663" spans="1:4">
      <c r="A5663" s="3"/>
      <c r="D5663" s="3"/>
    </row>
    <row r="5664" spans="1:4">
      <c r="A5664" s="3"/>
      <c r="D5664" s="3"/>
    </row>
    <row r="5665" spans="1:4">
      <c r="A5665" s="3"/>
      <c r="D5665" s="3"/>
    </row>
    <row r="5666" spans="1:4">
      <c r="A5666" s="3"/>
      <c r="D5666" s="3"/>
    </row>
    <row r="5667" spans="1:4">
      <c r="A5667" s="3"/>
      <c r="D5667" s="3"/>
    </row>
    <row r="5668" spans="1:4">
      <c r="A5668" s="3"/>
      <c r="D5668" s="3"/>
    </row>
    <row r="5669" spans="1:4">
      <c r="A5669" s="3"/>
      <c r="D5669" s="3"/>
    </row>
    <row r="5670" spans="1:4">
      <c r="A5670" s="3"/>
      <c r="D5670" s="3"/>
    </row>
    <row r="5671" spans="1:4">
      <c r="A5671" s="3"/>
      <c r="D5671" s="3"/>
    </row>
    <row r="5672" spans="1:4">
      <c r="A5672" s="3"/>
      <c r="D5672" s="3"/>
    </row>
    <row r="5673" spans="1:4">
      <c r="A5673" s="3"/>
      <c r="D5673" s="3"/>
    </row>
    <row r="5674" spans="1:4">
      <c r="A5674" s="3"/>
      <c r="D5674" s="3"/>
    </row>
    <row r="5675" spans="1:4">
      <c r="A5675" s="3"/>
      <c r="D5675" s="3"/>
    </row>
    <row r="5676" spans="1:4">
      <c r="A5676" s="3"/>
      <c r="D5676" s="3"/>
    </row>
    <row r="5677" spans="1:4">
      <c r="A5677" s="3"/>
      <c r="D5677" s="3"/>
    </row>
    <row r="5678" spans="1:4">
      <c r="A5678" s="3"/>
      <c r="D5678" s="3"/>
    </row>
    <row r="5679" spans="1:4">
      <c r="A5679" s="3"/>
      <c r="D5679" s="3"/>
    </row>
    <row r="5680" spans="1:4">
      <c r="A5680" s="3"/>
      <c r="D5680" s="3"/>
    </row>
    <row r="5681" spans="1:4">
      <c r="A5681" s="3"/>
      <c r="D5681" s="3"/>
    </row>
    <row r="5682" spans="1:4">
      <c r="A5682" s="3"/>
      <c r="D5682" s="3"/>
    </row>
    <row r="5683" spans="1:4">
      <c r="A5683" s="3"/>
      <c r="D5683" s="3"/>
    </row>
    <row r="5684" spans="1:4">
      <c r="A5684" s="3"/>
      <c r="D5684" s="3"/>
    </row>
    <row r="5685" spans="1:4">
      <c r="A5685" s="3"/>
      <c r="D5685" s="3"/>
    </row>
    <row r="5686" spans="1:4">
      <c r="A5686" s="3"/>
      <c r="D5686" s="3"/>
    </row>
    <row r="5687" spans="1:4">
      <c r="A5687" s="3"/>
      <c r="D5687" s="3"/>
    </row>
    <row r="5688" spans="1:4">
      <c r="A5688" s="3"/>
      <c r="D5688" s="3"/>
    </row>
    <row r="5689" spans="1:4">
      <c r="A5689" s="3"/>
      <c r="D5689" s="3"/>
    </row>
    <row r="5690" spans="1:4">
      <c r="A5690" s="3"/>
      <c r="D5690" s="3"/>
    </row>
    <row r="5691" spans="1:4">
      <c r="A5691" s="3"/>
      <c r="D5691" s="3"/>
    </row>
    <row r="5692" spans="1:4">
      <c r="A5692" s="3"/>
      <c r="D5692" s="3"/>
    </row>
    <row r="5693" spans="1:4">
      <c r="A5693" s="3"/>
      <c r="D5693" s="3"/>
    </row>
    <row r="5694" spans="1:4">
      <c r="A5694" s="3"/>
      <c r="D5694" s="3"/>
    </row>
    <row r="5695" spans="1:4">
      <c r="A5695" s="3"/>
      <c r="D5695" s="3"/>
    </row>
    <row r="5696" spans="1:4">
      <c r="A5696" s="3"/>
      <c r="D5696" s="3"/>
    </row>
    <row r="5697" spans="1:4">
      <c r="A5697" s="3"/>
      <c r="D5697" s="3"/>
    </row>
    <row r="5698" spans="1:4">
      <c r="A5698" s="3"/>
      <c r="D5698" s="3"/>
    </row>
    <row r="5699" spans="1:4">
      <c r="A5699" s="3"/>
      <c r="D5699" s="3"/>
    </row>
    <row r="5700" spans="1:4">
      <c r="A5700" s="3"/>
      <c r="D5700" s="3"/>
    </row>
    <row r="5701" spans="1:4">
      <c r="A5701" s="3"/>
      <c r="D5701" s="3"/>
    </row>
    <row r="5702" spans="1:4">
      <c r="A5702" s="3"/>
      <c r="D5702" s="3"/>
    </row>
    <row r="5703" spans="1:4">
      <c r="A5703" s="3"/>
      <c r="D5703" s="3"/>
    </row>
    <row r="5704" spans="1:4">
      <c r="A5704" s="3"/>
      <c r="D5704" s="3"/>
    </row>
    <row r="5705" spans="1:4">
      <c r="A5705" s="3"/>
      <c r="D5705" s="3"/>
    </row>
    <row r="5706" spans="1:4">
      <c r="A5706" s="3"/>
      <c r="D5706" s="3"/>
    </row>
    <row r="5707" spans="1:4">
      <c r="A5707" s="3"/>
      <c r="D5707" s="3"/>
    </row>
    <row r="5708" spans="1:4">
      <c r="A5708" s="3"/>
      <c r="D5708" s="3"/>
    </row>
    <row r="5709" spans="1:4">
      <c r="A5709" s="3"/>
      <c r="D5709" s="3"/>
    </row>
    <row r="5710" spans="1:4">
      <c r="A5710" s="3"/>
      <c r="D5710" s="3"/>
    </row>
    <row r="5711" spans="1:4">
      <c r="A5711" s="3"/>
      <c r="D5711" s="3"/>
    </row>
    <row r="5712" spans="1:4">
      <c r="A5712" s="3"/>
      <c r="D5712" s="3"/>
    </row>
    <row r="5713" spans="1:4">
      <c r="A5713" s="3"/>
      <c r="D5713" s="3"/>
    </row>
    <row r="5714" spans="1:4">
      <c r="A5714" s="3"/>
      <c r="D5714" s="3"/>
    </row>
    <row r="5715" spans="1:4">
      <c r="A5715" s="3"/>
      <c r="D5715" s="3"/>
    </row>
    <row r="5716" spans="1:4">
      <c r="A5716" s="3"/>
      <c r="D5716" s="3"/>
    </row>
    <row r="5717" spans="1:4">
      <c r="A5717" s="3"/>
      <c r="D5717" s="3"/>
    </row>
    <row r="5718" spans="1:4">
      <c r="A5718" s="3"/>
      <c r="D5718" s="3"/>
    </row>
    <row r="5719" spans="1:4">
      <c r="A5719" s="3"/>
      <c r="D5719" s="3"/>
    </row>
    <row r="5720" spans="1:4">
      <c r="A5720" s="3"/>
      <c r="D5720" s="3"/>
    </row>
    <row r="5721" spans="1:4">
      <c r="A5721" s="3"/>
      <c r="D5721" s="3"/>
    </row>
    <row r="5722" spans="1:4">
      <c r="A5722" s="3"/>
      <c r="D5722" s="3"/>
    </row>
    <row r="5723" spans="1:4">
      <c r="A5723" s="3"/>
      <c r="D5723" s="3"/>
    </row>
    <row r="5724" spans="1:4">
      <c r="A5724" s="3"/>
      <c r="D5724" s="3"/>
    </row>
    <row r="5725" spans="1:4">
      <c r="A5725" s="3"/>
      <c r="D5725" s="3"/>
    </row>
    <row r="5726" spans="1:4">
      <c r="A5726" s="3"/>
      <c r="D5726" s="3"/>
    </row>
    <row r="5727" spans="1:4">
      <c r="A5727" s="3"/>
      <c r="D5727" s="3"/>
    </row>
    <row r="5728" spans="1:4">
      <c r="A5728" s="3"/>
      <c r="D5728" s="3"/>
    </row>
    <row r="5729" spans="1:4">
      <c r="A5729" s="3"/>
      <c r="D5729" s="3"/>
    </row>
    <row r="5730" spans="1:4">
      <c r="A5730" s="3"/>
      <c r="D5730" s="3"/>
    </row>
    <row r="5731" spans="1:4">
      <c r="A5731" s="3"/>
      <c r="D5731" s="3"/>
    </row>
    <row r="5732" spans="1:4">
      <c r="A5732" s="3"/>
      <c r="D5732" s="3"/>
    </row>
    <row r="5733" spans="1:4">
      <c r="A5733" s="3"/>
      <c r="D5733" s="3"/>
    </row>
    <row r="5734" spans="1:4">
      <c r="A5734" s="3"/>
      <c r="D5734" s="3"/>
    </row>
    <row r="5735" spans="1:4">
      <c r="A5735" s="3"/>
      <c r="D5735" s="3"/>
    </row>
    <row r="5736" spans="1:4">
      <c r="A5736" s="3"/>
      <c r="D5736" s="3"/>
    </row>
    <row r="5737" spans="1:4">
      <c r="A5737" s="3"/>
      <c r="D5737" s="3"/>
    </row>
    <row r="5738" spans="1:4">
      <c r="A5738" s="3"/>
      <c r="D5738" s="3"/>
    </row>
    <row r="5739" spans="1:4">
      <c r="A5739" s="3"/>
      <c r="D5739" s="3"/>
    </row>
    <row r="5740" spans="1:4">
      <c r="A5740" s="3"/>
      <c r="D5740" s="3"/>
    </row>
    <row r="5741" spans="1:4">
      <c r="A5741" s="3"/>
      <c r="D5741" s="3"/>
    </row>
    <row r="5742" spans="1:4">
      <c r="A5742" s="3"/>
      <c r="D5742" s="3"/>
    </row>
    <row r="5743" spans="1:4">
      <c r="A5743" s="3"/>
      <c r="D5743" s="3"/>
    </row>
    <row r="5744" spans="1:4">
      <c r="A5744" s="3"/>
      <c r="D5744" s="3"/>
    </row>
    <row r="5745" spans="1:4">
      <c r="A5745" s="3"/>
      <c r="D5745" s="3"/>
    </row>
    <row r="5746" spans="1:4">
      <c r="A5746" s="3"/>
      <c r="D5746" s="3"/>
    </row>
    <row r="5747" spans="1:4">
      <c r="A5747" s="3"/>
      <c r="D5747" s="3"/>
    </row>
    <row r="5748" spans="1:4">
      <c r="A5748" s="3"/>
      <c r="D5748" s="3"/>
    </row>
    <row r="5749" spans="1:4">
      <c r="A5749" s="3"/>
      <c r="D5749" s="3"/>
    </row>
    <row r="5750" spans="1:4">
      <c r="A5750" s="3"/>
      <c r="D5750" s="3"/>
    </row>
    <row r="5751" spans="1:4">
      <c r="A5751" s="3"/>
      <c r="D5751" s="3"/>
    </row>
    <row r="5752" spans="1:4">
      <c r="A5752" s="3"/>
      <c r="D5752" s="3"/>
    </row>
    <row r="5753" spans="1:4">
      <c r="A5753" s="3"/>
      <c r="D5753" s="3"/>
    </row>
    <row r="5754" spans="1:4">
      <c r="A5754" s="3"/>
      <c r="D5754" s="3"/>
    </row>
    <row r="5755" spans="1:4">
      <c r="A5755" s="3"/>
      <c r="D5755" s="3"/>
    </row>
    <row r="5756" spans="1:4">
      <c r="A5756" s="3"/>
      <c r="D5756" s="3"/>
    </row>
    <row r="5757" spans="1:4">
      <c r="A5757" s="3"/>
      <c r="D5757" s="3"/>
    </row>
    <row r="5758" spans="1:4">
      <c r="A5758" s="3"/>
      <c r="D5758" s="3"/>
    </row>
    <row r="5759" spans="1:4">
      <c r="A5759" s="3"/>
      <c r="D5759" s="3"/>
    </row>
    <row r="5760" spans="1:4">
      <c r="A5760" s="3"/>
      <c r="D5760" s="3"/>
    </row>
    <row r="5761" spans="1:4">
      <c r="A5761" s="3"/>
      <c r="D5761" s="3"/>
    </row>
    <row r="5762" spans="1:4">
      <c r="A5762" s="3"/>
      <c r="D5762" s="3"/>
    </row>
    <row r="5763" spans="1:4">
      <c r="A5763" s="3"/>
      <c r="D5763" s="3"/>
    </row>
    <row r="5764" spans="1:4">
      <c r="A5764" s="3"/>
      <c r="D5764" s="3"/>
    </row>
    <row r="5765" spans="1:4">
      <c r="A5765" s="3"/>
      <c r="D5765" s="3"/>
    </row>
    <row r="5766" spans="1:4">
      <c r="A5766" s="3"/>
      <c r="D5766" s="3"/>
    </row>
    <row r="5767" spans="1:4">
      <c r="A5767" s="3"/>
      <c r="D5767" s="3"/>
    </row>
    <row r="5768" spans="1:4">
      <c r="A5768" s="3"/>
      <c r="D5768" s="3"/>
    </row>
    <row r="5769" spans="1:4">
      <c r="A5769" s="3"/>
      <c r="D5769" s="3"/>
    </row>
    <row r="5770" spans="1:4">
      <c r="A5770" s="3"/>
      <c r="D5770" s="3"/>
    </row>
    <row r="5771" spans="1:4">
      <c r="A5771" s="3"/>
      <c r="D5771" s="3"/>
    </row>
    <row r="5772" spans="1:4">
      <c r="A5772" s="3"/>
      <c r="D5772" s="3"/>
    </row>
    <row r="5773" spans="1:4">
      <c r="A5773" s="3"/>
      <c r="D5773" s="3"/>
    </row>
    <row r="5774" spans="1:4">
      <c r="A5774" s="3"/>
      <c r="D5774" s="3"/>
    </row>
    <row r="5775" spans="1:4">
      <c r="A5775" s="3"/>
      <c r="D5775" s="3"/>
    </row>
    <row r="5776" spans="1:4">
      <c r="A5776" s="3"/>
      <c r="D5776" s="3"/>
    </row>
    <row r="5777" spans="1:4">
      <c r="A5777" s="3"/>
      <c r="D5777" s="3"/>
    </row>
    <row r="5778" spans="1:4">
      <c r="A5778" s="3"/>
      <c r="D5778" s="3"/>
    </row>
    <row r="5779" spans="1:4">
      <c r="A5779" s="3"/>
      <c r="D5779" s="3"/>
    </row>
    <row r="5780" spans="1:4">
      <c r="A5780" s="3"/>
      <c r="D5780" s="3"/>
    </row>
    <row r="5781" spans="1:4">
      <c r="A5781" s="3"/>
      <c r="D5781" s="3"/>
    </row>
    <row r="5782" spans="1:4">
      <c r="A5782" s="3"/>
      <c r="D5782" s="3"/>
    </row>
    <row r="5783" spans="1:4">
      <c r="A5783" s="3"/>
      <c r="D5783" s="3"/>
    </row>
    <row r="5784" spans="1:4">
      <c r="A5784" s="3"/>
      <c r="D5784" s="3"/>
    </row>
    <row r="5785" spans="1:4">
      <c r="A5785" s="3"/>
      <c r="D5785" s="3"/>
    </row>
    <row r="5786" spans="1:4">
      <c r="A5786" s="3"/>
      <c r="D5786" s="3"/>
    </row>
    <row r="5787" spans="1:4">
      <c r="A5787" s="3"/>
      <c r="D5787" s="3"/>
    </row>
    <row r="5788" spans="1:4">
      <c r="A5788" s="3"/>
      <c r="D5788" s="3"/>
    </row>
    <row r="5789" spans="1:4">
      <c r="A5789" s="3"/>
      <c r="D5789" s="3"/>
    </row>
    <row r="5790" spans="1:4">
      <c r="A5790" s="3"/>
      <c r="D5790" s="3"/>
    </row>
    <row r="5791" spans="1:4">
      <c r="A5791" s="3"/>
      <c r="D5791" s="3"/>
    </row>
    <row r="5792" spans="1:4">
      <c r="A5792" s="3"/>
      <c r="D5792" s="3"/>
    </row>
    <row r="5793" spans="1:4">
      <c r="A5793" s="3"/>
      <c r="D5793" s="3"/>
    </row>
    <row r="5794" spans="1:4">
      <c r="A5794" s="3"/>
      <c r="D5794" s="3"/>
    </row>
    <row r="5795" spans="1:4">
      <c r="A5795" s="3"/>
      <c r="D5795" s="3"/>
    </row>
    <row r="5796" spans="1:4">
      <c r="A5796" s="3"/>
      <c r="D5796" s="3"/>
    </row>
    <row r="5797" spans="1:4">
      <c r="A5797" s="3"/>
      <c r="D5797" s="3"/>
    </row>
    <row r="5798" spans="1:4">
      <c r="A5798" s="3"/>
      <c r="D5798" s="3"/>
    </row>
    <row r="5799" spans="1:4">
      <c r="A5799" s="3"/>
      <c r="D5799" s="3"/>
    </row>
    <row r="5800" spans="1:4">
      <c r="A5800" s="3"/>
      <c r="D5800" s="3"/>
    </row>
    <row r="5801" spans="1:4">
      <c r="A5801" s="3"/>
      <c r="D5801" s="3"/>
    </row>
    <row r="5802" spans="1:4">
      <c r="A5802" s="3"/>
      <c r="D5802" s="3"/>
    </row>
    <row r="5803" spans="1:4">
      <c r="A5803" s="3"/>
      <c r="D5803" s="3"/>
    </row>
    <row r="5804" spans="1:4">
      <c r="A5804" s="3"/>
      <c r="D5804" s="3"/>
    </row>
    <row r="5805" spans="1:4">
      <c r="A5805" s="3"/>
      <c r="D5805" s="3"/>
    </row>
    <row r="5806" spans="1:4">
      <c r="A5806" s="3"/>
      <c r="D5806" s="3"/>
    </row>
    <row r="5807" spans="1:4">
      <c r="A5807" s="3"/>
      <c r="D5807" s="3"/>
    </row>
    <row r="5808" spans="1:4">
      <c r="A5808" s="3"/>
      <c r="D5808" s="3"/>
    </row>
    <row r="5809" spans="1:4">
      <c r="A5809" s="3"/>
      <c r="D5809" s="3"/>
    </row>
    <row r="5810" spans="1:4">
      <c r="A5810" s="3"/>
      <c r="D5810" s="3"/>
    </row>
    <row r="5811" spans="1:4">
      <c r="A5811" s="3"/>
      <c r="D5811" s="3"/>
    </row>
    <row r="5812" spans="1:4">
      <c r="A5812" s="3"/>
      <c r="D5812" s="3"/>
    </row>
    <row r="5813" spans="1:4">
      <c r="A5813" s="3"/>
      <c r="D5813" s="3"/>
    </row>
    <row r="5814" spans="1:4">
      <c r="A5814" s="3"/>
      <c r="D5814" s="3"/>
    </row>
    <row r="5815" spans="1:4">
      <c r="A5815" s="3"/>
      <c r="D5815" s="3"/>
    </row>
    <row r="5816" spans="1:4">
      <c r="A5816" s="3"/>
      <c r="D5816" s="3"/>
    </row>
    <row r="5817" spans="1:4">
      <c r="A5817" s="3"/>
      <c r="D5817" s="3"/>
    </row>
    <row r="5818" spans="1:4">
      <c r="A5818" s="3"/>
      <c r="D5818" s="3"/>
    </row>
    <row r="5819" spans="1:4">
      <c r="A5819" s="3"/>
      <c r="D5819" s="3"/>
    </row>
    <row r="5820" spans="1:4">
      <c r="A5820" s="3"/>
      <c r="D5820" s="3"/>
    </row>
    <row r="5821" spans="1:4">
      <c r="A5821" s="3"/>
      <c r="D5821" s="3"/>
    </row>
    <row r="5822" spans="1:4">
      <c r="A5822" s="3"/>
      <c r="D5822" s="3"/>
    </row>
    <row r="5823" spans="1:4">
      <c r="A5823" s="3"/>
      <c r="D5823" s="3"/>
    </row>
    <row r="5824" spans="1:4">
      <c r="A5824" s="3"/>
      <c r="D5824" s="3"/>
    </row>
    <row r="5825" spans="1:4">
      <c r="A5825" s="3"/>
      <c r="D5825" s="3"/>
    </row>
    <row r="5826" spans="1:4">
      <c r="A5826" s="3"/>
      <c r="D5826" s="3"/>
    </row>
    <row r="5827" spans="1:4">
      <c r="A5827" s="3"/>
      <c r="D5827" s="3"/>
    </row>
    <row r="5828" spans="1:4">
      <c r="A5828" s="3"/>
      <c r="D5828" s="3"/>
    </row>
    <row r="5829" spans="1:4">
      <c r="A5829" s="3"/>
      <c r="D5829" s="3"/>
    </row>
    <row r="5830" spans="1:4">
      <c r="A5830" s="3"/>
      <c r="D5830" s="3"/>
    </row>
    <row r="5831" spans="1:4">
      <c r="A5831" s="3"/>
      <c r="D5831" s="3"/>
    </row>
    <row r="5832" spans="1:4">
      <c r="A5832" s="3"/>
      <c r="D5832" s="3"/>
    </row>
    <row r="5833" spans="1:4">
      <c r="A5833" s="3"/>
      <c r="D5833" s="3"/>
    </row>
    <row r="5834" spans="1:4">
      <c r="A5834" s="3"/>
      <c r="D5834" s="3"/>
    </row>
    <row r="5835" spans="1:4">
      <c r="A5835" s="3"/>
      <c r="D5835" s="3"/>
    </row>
    <row r="5836" spans="1:4">
      <c r="A5836" s="3"/>
      <c r="D5836" s="3"/>
    </row>
    <row r="5837" spans="1:4">
      <c r="A5837" s="3"/>
      <c r="D5837" s="3"/>
    </row>
    <row r="5838" spans="1:4">
      <c r="A5838" s="3"/>
      <c r="D5838" s="3"/>
    </row>
    <row r="5839" spans="1:4">
      <c r="A5839" s="3"/>
      <c r="D5839" s="3"/>
    </row>
    <row r="5840" spans="1:4">
      <c r="A5840" s="3"/>
      <c r="D5840" s="3"/>
    </row>
    <row r="5841" spans="1:4">
      <c r="A5841" s="3"/>
      <c r="D5841" s="3"/>
    </row>
    <row r="5842" spans="1:4">
      <c r="A5842" s="3"/>
      <c r="D5842" s="3"/>
    </row>
    <row r="5843" spans="1:4">
      <c r="A5843" s="3"/>
      <c r="D5843" s="3"/>
    </row>
    <row r="5844" spans="1:4">
      <c r="A5844" s="3"/>
      <c r="D5844" s="3"/>
    </row>
    <row r="5845" spans="1:4">
      <c r="A5845" s="3"/>
      <c r="D5845" s="3"/>
    </row>
    <row r="5846" spans="1:4">
      <c r="A5846" s="3"/>
      <c r="D5846" s="3"/>
    </row>
    <row r="5847" spans="1:4">
      <c r="A5847" s="3"/>
      <c r="D5847" s="3"/>
    </row>
    <row r="5848" spans="1:4">
      <c r="A5848" s="3"/>
      <c r="D5848" s="3"/>
    </row>
    <row r="5849" spans="1:4">
      <c r="A5849" s="3"/>
      <c r="D5849" s="3"/>
    </row>
    <row r="5850" spans="1:4">
      <c r="A5850" s="3"/>
      <c r="D5850" s="3"/>
    </row>
    <row r="5851" spans="1:4">
      <c r="A5851" s="3"/>
      <c r="D5851" s="3"/>
    </row>
    <row r="5852" spans="1:4">
      <c r="A5852" s="3"/>
      <c r="D5852" s="3"/>
    </row>
    <row r="5853" spans="1:4">
      <c r="A5853" s="3"/>
      <c r="D5853" s="3"/>
    </row>
    <row r="5854" spans="1:4">
      <c r="A5854" s="3"/>
      <c r="D5854" s="3"/>
    </row>
    <row r="5855" spans="1:4">
      <c r="A5855" s="3"/>
      <c r="D5855" s="3"/>
    </row>
    <row r="5856" spans="1:4">
      <c r="A5856" s="3"/>
      <c r="D5856" s="3"/>
    </row>
    <row r="5857" spans="1:4">
      <c r="A5857" s="3"/>
      <c r="D5857" s="3"/>
    </row>
    <row r="5858" spans="1:4">
      <c r="A5858" s="3"/>
      <c r="D5858" s="3"/>
    </row>
    <row r="5859" spans="1:4">
      <c r="A5859" s="3"/>
      <c r="D5859" s="3"/>
    </row>
    <row r="5860" spans="1:4">
      <c r="A5860" s="3"/>
      <c r="D5860" s="3"/>
    </row>
    <row r="5861" spans="1:4">
      <c r="A5861" s="3"/>
      <c r="D5861" s="3"/>
    </row>
    <row r="5862" spans="1:4">
      <c r="A5862" s="3"/>
      <c r="D5862" s="3"/>
    </row>
    <row r="5863" spans="1:4">
      <c r="A5863" s="3"/>
      <c r="D5863" s="3"/>
    </row>
    <row r="5864" spans="1:4">
      <c r="A5864" s="3"/>
      <c r="D5864" s="3"/>
    </row>
    <row r="5865" spans="1:4">
      <c r="A5865" s="3"/>
      <c r="D5865" s="3"/>
    </row>
    <row r="5866" spans="1:4">
      <c r="A5866" s="3"/>
      <c r="D5866" s="3"/>
    </row>
    <row r="5867" spans="1:4">
      <c r="A5867" s="3"/>
      <c r="D5867" s="3"/>
    </row>
    <row r="5868" spans="1:4">
      <c r="A5868" s="3"/>
      <c r="D5868" s="3"/>
    </row>
    <row r="5869" spans="1:4">
      <c r="A5869" s="3"/>
      <c r="D5869" s="3"/>
    </row>
    <row r="5870" spans="1:4">
      <c r="A5870" s="3"/>
      <c r="D5870" s="3"/>
    </row>
    <row r="5871" spans="1:4">
      <c r="A5871" s="3"/>
      <c r="D5871" s="3"/>
    </row>
    <row r="5872" spans="1:4">
      <c r="A5872" s="3"/>
      <c r="D5872" s="3"/>
    </row>
    <row r="5873" spans="1:4">
      <c r="A5873" s="3"/>
      <c r="D5873" s="3"/>
    </row>
    <row r="5874" spans="1:4">
      <c r="A5874" s="3"/>
      <c r="D5874" s="3"/>
    </row>
    <row r="5875" spans="1:4">
      <c r="A5875" s="3"/>
      <c r="D5875" s="3"/>
    </row>
    <row r="5876" spans="1:4">
      <c r="A5876" s="3"/>
      <c r="D5876" s="3"/>
    </row>
    <row r="5877" spans="1:4">
      <c r="A5877" s="3"/>
      <c r="D5877" s="3"/>
    </row>
    <row r="5878" spans="1:4">
      <c r="A5878" s="3"/>
      <c r="D5878" s="3"/>
    </row>
    <row r="5879" spans="1:4">
      <c r="A5879" s="3"/>
      <c r="D5879" s="3"/>
    </row>
    <row r="5880" spans="1:4">
      <c r="A5880" s="3"/>
      <c r="D5880" s="3"/>
    </row>
    <row r="5881" spans="1:4">
      <c r="A5881" s="3"/>
      <c r="D5881" s="3"/>
    </row>
    <row r="5882" spans="1:4">
      <c r="A5882" s="3"/>
      <c r="D5882" s="3"/>
    </row>
    <row r="5883" spans="1:4">
      <c r="A5883" s="3"/>
      <c r="D5883" s="3"/>
    </row>
    <row r="5884" spans="1:4">
      <c r="A5884" s="3"/>
      <c r="D5884" s="3"/>
    </row>
    <row r="5885" spans="1:4">
      <c r="A5885" s="3"/>
      <c r="D5885" s="3"/>
    </row>
    <row r="5886" spans="1:4">
      <c r="A5886" s="3"/>
      <c r="D5886" s="3"/>
    </row>
    <row r="5887" spans="1:4">
      <c r="A5887" s="3"/>
      <c r="D5887" s="3"/>
    </row>
    <row r="5888" spans="1:4">
      <c r="A5888" s="3"/>
      <c r="D5888" s="3"/>
    </row>
    <row r="5889" spans="1:4">
      <c r="A5889" s="3"/>
      <c r="D5889" s="3"/>
    </row>
    <row r="5890" spans="1:4">
      <c r="A5890" s="3"/>
      <c r="D5890" s="3"/>
    </row>
    <row r="5891" spans="1:4">
      <c r="A5891" s="3"/>
      <c r="D5891" s="3"/>
    </row>
    <row r="5892" spans="1:4">
      <c r="A5892" s="3"/>
      <c r="D5892" s="3"/>
    </row>
    <row r="5893" spans="1:4">
      <c r="A5893" s="3"/>
      <c r="D5893" s="3"/>
    </row>
    <row r="5894" spans="1:4">
      <c r="A5894" s="3"/>
      <c r="D5894" s="3"/>
    </row>
    <row r="5895" spans="1:4">
      <c r="A5895" s="3"/>
      <c r="D5895" s="3"/>
    </row>
    <row r="5896" spans="1:4">
      <c r="A5896" s="3"/>
      <c r="D5896" s="3"/>
    </row>
    <row r="5897" spans="1:4">
      <c r="A5897" s="3"/>
      <c r="D5897" s="3"/>
    </row>
    <row r="5898" spans="1:4">
      <c r="A5898" s="3"/>
      <c r="D5898" s="3"/>
    </row>
    <row r="5899" spans="1:4">
      <c r="A5899" s="3"/>
      <c r="D5899" s="3"/>
    </row>
    <row r="5900" spans="1:4">
      <c r="A5900" s="3"/>
      <c r="D5900" s="3"/>
    </row>
    <row r="5901" spans="1:4">
      <c r="A5901" s="3"/>
      <c r="D5901" s="3"/>
    </row>
    <row r="5902" spans="1:4">
      <c r="A5902" s="3"/>
      <c r="D5902" s="3"/>
    </row>
    <row r="5903" spans="1:4">
      <c r="A5903" s="3"/>
      <c r="D5903" s="3"/>
    </row>
    <row r="5904" spans="1:4">
      <c r="A5904" s="3"/>
      <c r="D5904" s="3"/>
    </row>
    <row r="5905" spans="1:4">
      <c r="A5905" s="3"/>
      <c r="D5905" s="3"/>
    </row>
    <row r="5906" spans="1:4">
      <c r="A5906" s="3"/>
      <c r="D5906" s="3"/>
    </row>
    <row r="5907" spans="1:4">
      <c r="A5907" s="3"/>
      <c r="D5907" s="3"/>
    </row>
    <row r="5908" spans="1:4">
      <c r="A5908" s="3"/>
      <c r="D5908" s="3"/>
    </row>
    <row r="5909" spans="1:4">
      <c r="A5909" s="3"/>
      <c r="D5909" s="3"/>
    </row>
    <row r="5910" spans="1:4">
      <c r="A5910" s="3"/>
      <c r="D5910" s="3"/>
    </row>
    <row r="5911" spans="1:4">
      <c r="A5911" s="3"/>
      <c r="D5911" s="3"/>
    </row>
    <row r="5912" spans="1:4">
      <c r="A5912" s="3"/>
      <c r="D5912" s="3"/>
    </row>
    <row r="5913" spans="1:4">
      <c r="A5913" s="3"/>
      <c r="D5913" s="3"/>
    </row>
    <row r="5914" spans="1:4">
      <c r="A5914" s="3"/>
      <c r="D5914" s="3"/>
    </row>
    <row r="5915" spans="1:4">
      <c r="A5915" s="3"/>
      <c r="D5915" s="3"/>
    </row>
    <row r="5916" spans="1:4">
      <c r="A5916" s="3"/>
      <c r="D5916" s="3"/>
    </row>
    <row r="5917" spans="1:4">
      <c r="A5917" s="3"/>
      <c r="D5917" s="3"/>
    </row>
    <row r="5918" spans="1:4">
      <c r="A5918" s="3"/>
      <c r="D5918" s="3"/>
    </row>
    <row r="5919" spans="1:4">
      <c r="A5919" s="3"/>
      <c r="D5919" s="3"/>
    </row>
    <row r="5920" spans="1:4">
      <c r="A5920" s="3"/>
      <c r="D5920" s="3"/>
    </row>
    <row r="5921" spans="1:4">
      <c r="A5921" s="3"/>
      <c r="D5921" s="3"/>
    </row>
    <row r="5922" spans="1:4">
      <c r="A5922" s="3"/>
      <c r="D5922" s="3"/>
    </row>
    <row r="5923" spans="1:4">
      <c r="A5923" s="3"/>
      <c r="D5923" s="3"/>
    </row>
    <row r="5924" spans="1:4">
      <c r="A5924" s="3"/>
      <c r="D5924" s="3"/>
    </row>
    <row r="5925" spans="1:4">
      <c r="A5925" s="3"/>
      <c r="D5925" s="3"/>
    </row>
    <row r="5926" spans="1:4">
      <c r="A5926" s="3"/>
      <c r="D5926" s="3"/>
    </row>
    <row r="5927" spans="1:4">
      <c r="A5927" s="3"/>
      <c r="D5927" s="3"/>
    </row>
    <row r="5928" spans="1:4">
      <c r="A5928" s="3"/>
      <c r="D5928" s="3"/>
    </row>
    <row r="5929" spans="1:4">
      <c r="A5929" s="3"/>
      <c r="D5929" s="3"/>
    </row>
    <row r="5930" spans="1:4">
      <c r="A5930" s="3"/>
      <c r="D5930" s="3"/>
    </row>
    <row r="5931" spans="1:4">
      <c r="A5931" s="3"/>
      <c r="D5931" s="3"/>
    </row>
    <row r="5932" spans="1:4">
      <c r="A5932" s="3"/>
      <c r="D5932" s="3"/>
    </row>
    <row r="5933" spans="1:4">
      <c r="A5933" s="3"/>
      <c r="D5933" s="3"/>
    </row>
    <row r="5934" spans="1:4">
      <c r="A5934" s="3"/>
      <c r="D5934" s="3"/>
    </row>
    <row r="5935" spans="1:4">
      <c r="A5935" s="3"/>
      <c r="D5935" s="3"/>
    </row>
    <row r="5936" spans="1:4">
      <c r="A5936" s="3"/>
      <c r="D5936" s="3"/>
    </row>
    <row r="5937" spans="1:4">
      <c r="A5937" s="3"/>
      <c r="D5937" s="3"/>
    </row>
    <row r="5938" spans="1:4">
      <c r="A5938" s="3"/>
      <c r="D5938" s="3"/>
    </row>
    <row r="5939" spans="1:4">
      <c r="A5939" s="3"/>
      <c r="D5939" s="3"/>
    </row>
    <row r="5940" spans="1:4">
      <c r="A5940" s="3"/>
      <c r="D5940" s="3"/>
    </row>
    <row r="5941" spans="1:4">
      <c r="A5941" s="3"/>
      <c r="D5941" s="3"/>
    </row>
    <row r="5942" spans="1:4">
      <c r="A5942" s="3"/>
      <c r="D5942" s="3"/>
    </row>
    <row r="5943" spans="1:4">
      <c r="A5943" s="3"/>
      <c r="D5943" s="3"/>
    </row>
    <row r="5944" spans="1:4">
      <c r="A5944" s="3"/>
      <c r="D5944" s="3"/>
    </row>
    <row r="5945" spans="1:4">
      <c r="A5945" s="3"/>
      <c r="D5945" s="3"/>
    </row>
    <row r="5946" spans="1:4">
      <c r="A5946" s="3"/>
      <c r="D5946" s="3"/>
    </row>
    <row r="5947" spans="1:4">
      <c r="A5947" s="3"/>
      <c r="D5947" s="3"/>
    </row>
    <row r="5948" spans="1:4">
      <c r="A5948" s="3"/>
      <c r="D5948" s="3"/>
    </row>
    <row r="5949" spans="1:4">
      <c r="A5949" s="3"/>
      <c r="D5949" s="3"/>
    </row>
    <row r="5950" spans="1:4">
      <c r="A5950" s="3"/>
      <c r="D5950" s="3"/>
    </row>
    <row r="5951" spans="1:4">
      <c r="A5951" s="3"/>
      <c r="D5951" s="3"/>
    </row>
    <row r="5952" spans="1:4">
      <c r="A5952" s="3"/>
      <c r="D5952" s="3"/>
    </row>
    <row r="5953" spans="1:4">
      <c r="A5953" s="3"/>
      <c r="D5953" s="3"/>
    </row>
    <row r="5954" spans="1:4">
      <c r="A5954" s="3"/>
      <c r="D5954" s="3"/>
    </row>
    <row r="5955" spans="1:4">
      <c r="A5955" s="3"/>
      <c r="D5955" s="3"/>
    </row>
    <row r="5956" spans="1:4">
      <c r="A5956" s="3"/>
      <c r="D5956" s="3"/>
    </row>
    <row r="5957" spans="1:4">
      <c r="A5957" s="3"/>
      <c r="D5957" s="3"/>
    </row>
    <row r="5958" spans="1:4">
      <c r="A5958" s="3"/>
      <c r="D5958" s="3"/>
    </row>
    <row r="5959" spans="1:4">
      <c r="A5959" s="3"/>
      <c r="D5959" s="3"/>
    </row>
    <row r="5960" spans="1:4">
      <c r="A5960" s="3"/>
      <c r="D5960" s="3"/>
    </row>
    <row r="5961" spans="1:4">
      <c r="A5961" s="3"/>
      <c r="D5961" s="3"/>
    </row>
    <row r="5962" spans="1:4">
      <c r="A5962" s="3"/>
      <c r="D5962" s="3"/>
    </row>
    <row r="5963" spans="1:4">
      <c r="A5963" s="3"/>
      <c r="D5963" s="3"/>
    </row>
    <row r="5964" spans="1:4">
      <c r="A5964" s="3"/>
      <c r="D5964" s="3"/>
    </row>
    <row r="5965" spans="1:4">
      <c r="A5965" s="3"/>
      <c r="D5965" s="3"/>
    </row>
    <row r="5966" spans="1:4">
      <c r="A5966" s="3"/>
      <c r="D5966" s="3"/>
    </row>
    <row r="5967" spans="1:4">
      <c r="A5967" s="3"/>
      <c r="D5967" s="3"/>
    </row>
    <row r="5968" spans="1:4">
      <c r="A5968" s="3"/>
      <c r="D5968" s="3"/>
    </row>
    <row r="5969" spans="1:4">
      <c r="A5969" s="3"/>
      <c r="D5969" s="3"/>
    </row>
    <row r="5970" spans="1:4">
      <c r="A5970" s="3"/>
      <c r="D5970" s="3"/>
    </row>
    <row r="5971" spans="1:4">
      <c r="A5971" s="3"/>
      <c r="D5971" s="3"/>
    </row>
    <row r="5972" spans="1:4">
      <c r="A5972" s="3"/>
      <c r="D5972" s="3"/>
    </row>
    <row r="5973" spans="1:4">
      <c r="A5973" s="3"/>
      <c r="D5973" s="3"/>
    </row>
    <row r="5974" spans="1:4">
      <c r="A5974" s="3"/>
      <c r="D5974" s="3"/>
    </row>
    <row r="5975" spans="1:4">
      <c r="A5975" s="3"/>
      <c r="D5975" s="3"/>
    </row>
    <row r="5976" spans="1:4">
      <c r="A5976" s="3"/>
      <c r="D5976" s="3"/>
    </row>
    <row r="5977" spans="1:4">
      <c r="A5977" s="3"/>
      <c r="D5977" s="3"/>
    </row>
    <row r="5978" spans="1:4">
      <c r="A5978" s="3"/>
      <c r="D5978" s="3"/>
    </row>
    <row r="5979" spans="1:4">
      <c r="A5979" s="3"/>
      <c r="D5979" s="3"/>
    </row>
    <row r="5980" spans="1:4">
      <c r="A5980" s="3"/>
      <c r="D5980" s="3"/>
    </row>
    <row r="5981" spans="1:4">
      <c r="A5981" s="3"/>
      <c r="D5981" s="3"/>
    </row>
    <row r="5982" spans="1:4">
      <c r="A5982" s="3"/>
      <c r="D5982" s="3"/>
    </row>
    <row r="5983" spans="1:4">
      <c r="A5983" s="3"/>
      <c r="D5983" s="3"/>
    </row>
    <row r="5984" spans="1:4">
      <c r="A5984" s="3"/>
      <c r="D5984" s="3"/>
    </row>
    <row r="5985" spans="1:4">
      <c r="A5985" s="3"/>
      <c r="D5985" s="3"/>
    </row>
    <row r="5986" spans="1:4">
      <c r="A5986" s="3"/>
      <c r="D5986" s="3"/>
    </row>
    <row r="5987" spans="1:4">
      <c r="A5987" s="3"/>
      <c r="D5987" s="3"/>
    </row>
    <row r="5988" spans="1:4">
      <c r="A5988" s="3"/>
      <c r="D5988" s="3"/>
    </row>
    <row r="5989" spans="1:4">
      <c r="A5989" s="3"/>
      <c r="D5989" s="3"/>
    </row>
    <row r="5990" spans="1:4">
      <c r="A5990" s="3"/>
      <c r="D5990" s="3"/>
    </row>
    <row r="5991" spans="1:4">
      <c r="A5991" s="3"/>
      <c r="D5991" s="3"/>
    </row>
    <row r="5992" spans="1:4">
      <c r="A5992" s="3"/>
      <c r="D5992" s="3"/>
    </row>
    <row r="5993" spans="1:4">
      <c r="A5993" s="3"/>
      <c r="D5993" s="3"/>
    </row>
    <row r="5994" spans="1:4">
      <c r="A5994" s="3"/>
      <c r="D5994" s="3"/>
    </row>
    <row r="5995" spans="1:4">
      <c r="A5995" s="3"/>
      <c r="D5995" s="3"/>
    </row>
    <row r="5996" spans="1:4">
      <c r="A5996" s="3"/>
      <c r="D5996" s="3"/>
    </row>
    <row r="5997" spans="1:4">
      <c r="A5997" s="3"/>
      <c r="D5997" s="3"/>
    </row>
    <row r="5998" spans="1:4">
      <c r="A5998" s="3"/>
      <c r="D5998" s="3"/>
    </row>
    <row r="5999" spans="1:4">
      <c r="A5999" s="3"/>
      <c r="D5999" s="3"/>
    </row>
    <row r="6000" spans="1:4">
      <c r="A6000" s="3"/>
      <c r="D6000" s="3"/>
    </row>
    <row r="6001" spans="1:4">
      <c r="A6001" s="3"/>
      <c r="D6001" s="3"/>
    </row>
    <row r="6002" spans="1:4">
      <c r="A6002" s="3"/>
      <c r="D6002" s="3"/>
    </row>
    <row r="6003" spans="1:4">
      <c r="A6003" s="3"/>
      <c r="D6003" s="3"/>
    </row>
    <row r="6004" spans="1:4">
      <c r="A6004" s="3"/>
      <c r="D6004" s="3"/>
    </row>
    <row r="6005" spans="1:4">
      <c r="A6005" s="3"/>
      <c r="D6005" s="3"/>
    </row>
    <row r="6006" spans="1:4">
      <c r="A6006" s="3"/>
      <c r="D6006" s="3"/>
    </row>
    <row r="6007" spans="1:4">
      <c r="A6007" s="3"/>
      <c r="D6007" s="3"/>
    </row>
    <row r="6008" spans="1:4">
      <c r="A6008" s="3"/>
      <c r="D6008" s="3"/>
    </row>
    <row r="6009" spans="1:4">
      <c r="A6009" s="3"/>
      <c r="D6009" s="3"/>
    </row>
    <row r="6010" spans="1:4">
      <c r="A6010" s="3"/>
      <c r="D6010" s="3"/>
    </row>
    <row r="6011" spans="1:4">
      <c r="A6011" s="3"/>
      <c r="D6011" s="3"/>
    </row>
    <row r="6012" spans="1:4">
      <c r="A6012" s="3"/>
      <c r="D6012" s="3"/>
    </row>
    <row r="6013" spans="1:4">
      <c r="A6013" s="3"/>
      <c r="D6013" s="3"/>
    </row>
    <row r="6014" spans="1:4">
      <c r="A6014" s="3"/>
      <c r="D6014" s="3"/>
    </row>
    <row r="6015" spans="1:4">
      <c r="A6015" s="3"/>
      <c r="D6015" s="3"/>
    </row>
    <row r="6016" spans="1:4">
      <c r="A6016" s="3"/>
      <c r="D6016" s="3"/>
    </row>
    <row r="6017" spans="1:4">
      <c r="A6017" s="3"/>
      <c r="D6017" s="3"/>
    </row>
    <row r="6018" spans="1:4">
      <c r="A6018" s="3"/>
      <c r="D6018" s="3"/>
    </row>
    <row r="6019" spans="1:4">
      <c r="A6019" s="3"/>
      <c r="D6019" s="3"/>
    </row>
    <row r="6020" spans="1:4">
      <c r="A6020" s="3"/>
      <c r="D6020" s="3"/>
    </row>
    <row r="6021" spans="1:4">
      <c r="A6021" s="3"/>
      <c r="D6021" s="3"/>
    </row>
    <row r="6022" spans="1:4">
      <c r="A6022" s="3"/>
      <c r="D6022" s="3"/>
    </row>
    <row r="6023" spans="1:4">
      <c r="A6023" s="3"/>
      <c r="D6023" s="3"/>
    </row>
    <row r="6024" spans="1:4">
      <c r="A6024" s="3"/>
      <c r="D6024" s="3"/>
    </row>
    <row r="6025" spans="1:4">
      <c r="A6025" s="3"/>
      <c r="D6025" s="3"/>
    </row>
    <row r="6026" spans="1:4">
      <c r="A6026" s="3"/>
      <c r="D6026" s="3"/>
    </row>
    <row r="6027" spans="1:4">
      <c r="A6027" s="3"/>
      <c r="D6027" s="3"/>
    </row>
    <row r="6028" spans="1:4">
      <c r="A6028" s="3"/>
      <c r="D6028" s="3"/>
    </row>
    <row r="6029" spans="1:4">
      <c r="A6029" s="3"/>
      <c r="D6029" s="3"/>
    </row>
    <row r="6030" spans="1:4">
      <c r="A6030" s="3"/>
      <c r="D6030" s="3"/>
    </row>
    <row r="6031" spans="1:4">
      <c r="A6031" s="3"/>
      <c r="D6031" s="3"/>
    </row>
    <row r="6032" spans="1:4">
      <c r="A6032" s="3"/>
      <c r="D6032" s="3"/>
    </row>
    <row r="6033" spans="1:4">
      <c r="A6033" s="3"/>
      <c r="D6033" s="3"/>
    </row>
    <row r="6034" spans="1:4">
      <c r="A6034" s="3"/>
      <c r="D6034" s="3"/>
    </row>
    <row r="6035" spans="1:4">
      <c r="A6035" s="3"/>
      <c r="D6035" s="3"/>
    </row>
    <row r="6036" spans="1:4">
      <c r="A6036" s="3"/>
      <c r="D6036" s="3"/>
    </row>
    <row r="6037" spans="1:4">
      <c r="A6037" s="3"/>
      <c r="D6037" s="3"/>
    </row>
    <row r="6038" spans="1:4">
      <c r="A6038" s="3"/>
      <c r="D6038" s="3"/>
    </row>
    <row r="6039" spans="1:4">
      <c r="A6039" s="3"/>
      <c r="D6039" s="3"/>
    </row>
    <row r="6040" spans="1:4">
      <c r="A6040" s="3"/>
      <c r="D6040" s="3"/>
    </row>
    <row r="6041" spans="1:4">
      <c r="A6041" s="3"/>
      <c r="D6041" s="3"/>
    </row>
    <row r="6042" spans="1:4">
      <c r="A6042" s="3"/>
      <c r="D6042" s="3"/>
    </row>
    <row r="6043" spans="1:4">
      <c r="A6043" s="3"/>
      <c r="D6043" s="3"/>
    </row>
    <row r="6044" spans="1:4">
      <c r="A6044" s="3"/>
      <c r="D6044" s="3"/>
    </row>
    <row r="6045" spans="1:4">
      <c r="A6045" s="3"/>
      <c r="D6045" s="3"/>
    </row>
    <row r="6046" spans="1:4">
      <c r="A6046" s="3"/>
      <c r="D6046" s="3"/>
    </row>
    <row r="6047" spans="1:4">
      <c r="A6047" s="3"/>
      <c r="D6047" s="3"/>
    </row>
    <row r="6048" spans="1:4">
      <c r="A6048" s="3"/>
      <c r="D6048" s="3"/>
    </row>
    <row r="6049" spans="1:4">
      <c r="A6049" s="3"/>
      <c r="D6049" s="3"/>
    </row>
    <row r="6050" spans="1:4">
      <c r="A6050" s="3"/>
      <c r="D6050" s="3"/>
    </row>
    <row r="6051" spans="1:4">
      <c r="A6051" s="3"/>
      <c r="D6051" s="3"/>
    </row>
    <row r="6052" spans="1:4">
      <c r="A6052" s="3"/>
      <c r="D6052" s="3"/>
    </row>
    <row r="6053" spans="1:4">
      <c r="A6053" s="3"/>
      <c r="D6053" s="3"/>
    </row>
    <row r="6054" spans="1:4">
      <c r="A6054" s="3"/>
      <c r="D6054" s="3"/>
    </row>
    <row r="6055" spans="1:4">
      <c r="A6055" s="3"/>
      <c r="D6055" s="3"/>
    </row>
    <row r="6056" spans="1:4">
      <c r="A6056" s="3"/>
      <c r="D6056" s="3"/>
    </row>
    <row r="6057" spans="1:4">
      <c r="A6057" s="3"/>
      <c r="D6057" s="3"/>
    </row>
    <row r="6058" spans="1:4">
      <c r="A6058" s="3"/>
      <c r="D6058" s="3"/>
    </row>
    <row r="6059" spans="1:4">
      <c r="A6059" s="3"/>
      <c r="D6059" s="3"/>
    </row>
    <row r="6060" spans="1:4">
      <c r="A6060" s="3"/>
      <c r="D6060" s="3"/>
    </row>
    <row r="6061" spans="1:4">
      <c r="A6061" s="3"/>
      <c r="D6061" s="3"/>
    </row>
    <row r="6062" spans="1:4">
      <c r="A6062" s="3"/>
      <c r="D6062" s="3"/>
    </row>
    <row r="6063" spans="1:4">
      <c r="A6063" s="3"/>
      <c r="D6063" s="3"/>
    </row>
    <row r="6064" spans="1:4">
      <c r="A6064" s="3"/>
      <c r="D6064" s="3"/>
    </row>
    <row r="6065" spans="1:4">
      <c r="A6065" s="3"/>
      <c r="D6065" s="3"/>
    </row>
    <row r="6066" spans="1:4">
      <c r="A6066" s="3"/>
      <c r="D6066" s="3"/>
    </row>
    <row r="6067" spans="1:4">
      <c r="A6067" s="3"/>
      <c r="D6067" s="3"/>
    </row>
    <row r="6068" spans="1:4">
      <c r="A6068" s="3"/>
      <c r="D6068" s="3"/>
    </row>
    <row r="6069" spans="1:4">
      <c r="A6069" s="3"/>
      <c r="D6069" s="3"/>
    </row>
    <row r="6070" spans="1:4">
      <c r="A6070" s="3"/>
      <c r="D6070" s="3"/>
    </row>
    <row r="6071" spans="1:4">
      <c r="A6071" s="3"/>
      <c r="D6071" s="3"/>
    </row>
    <row r="6072" spans="1:4">
      <c r="A6072" s="3"/>
      <c r="D6072" s="3"/>
    </row>
    <row r="6073" spans="1:4">
      <c r="A6073" s="3"/>
      <c r="D6073" s="3"/>
    </row>
    <row r="6074" spans="1:4">
      <c r="A6074" s="3"/>
      <c r="D6074" s="3"/>
    </row>
    <row r="6075" spans="1:4">
      <c r="A6075" s="3"/>
      <c r="D6075" s="3"/>
    </row>
    <row r="6076" spans="1:4">
      <c r="A6076" s="3"/>
      <c r="D6076" s="3"/>
    </row>
    <row r="6077" spans="1:4">
      <c r="A6077" s="3"/>
      <c r="D6077" s="3"/>
    </row>
    <row r="6078" spans="1:4">
      <c r="A6078" s="3"/>
      <c r="D6078" s="3"/>
    </row>
    <row r="6079" spans="1:4">
      <c r="A6079" s="3"/>
      <c r="D6079" s="3"/>
    </row>
    <row r="6080" spans="1:4">
      <c r="A6080" s="3"/>
      <c r="D6080" s="3"/>
    </row>
    <row r="6081" spans="1:4">
      <c r="A6081" s="3"/>
      <c r="D6081" s="3"/>
    </row>
    <row r="6082" spans="1:4">
      <c r="A6082" s="3"/>
      <c r="D6082" s="3"/>
    </row>
    <row r="6083" spans="1:4">
      <c r="A6083" s="3"/>
      <c r="D6083" s="3"/>
    </row>
    <row r="6084" spans="1:4">
      <c r="A6084" s="3"/>
      <c r="D6084" s="3"/>
    </row>
    <row r="6085" spans="1:4">
      <c r="A6085" s="3"/>
      <c r="D6085" s="3"/>
    </row>
    <row r="6086" spans="1:4">
      <c r="A6086" s="3"/>
      <c r="D6086" s="3"/>
    </row>
    <row r="6087" spans="1:4">
      <c r="A6087" s="3"/>
      <c r="D6087" s="3"/>
    </row>
    <row r="6088" spans="1:4">
      <c r="A6088" s="3"/>
      <c r="D6088" s="3"/>
    </row>
    <row r="6089" spans="1:4">
      <c r="A6089" s="3"/>
      <c r="D6089" s="3"/>
    </row>
    <row r="6090" spans="1:4">
      <c r="A6090" s="3"/>
      <c r="D6090" s="3"/>
    </row>
    <row r="6091" spans="1:4">
      <c r="A6091" s="3"/>
      <c r="D6091" s="3"/>
    </row>
    <row r="6092" spans="1:4">
      <c r="A6092" s="3"/>
      <c r="D6092" s="3"/>
    </row>
    <row r="6093" spans="1:4">
      <c r="A6093" s="3"/>
      <c r="D6093" s="3"/>
    </row>
    <row r="6094" spans="1:4">
      <c r="A6094" s="3"/>
      <c r="D6094" s="3"/>
    </row>
    <row r="6095" spans="1:4">
      <c r="A6095" s="3"/>
      <c r="D6095" s="3"/>
    </row>
    <row r="6096" spans="1:4">
      <c r="A6096" s="3"/>
      <c r="D6096" s="3"/>
    </row>
    <row r="6097" spans="1:4">
      <c r="A6097" s="3"/>
      <c r="D6097" s="3"/>
    </row>
    <row r="6098" spans="1:4">
      <c r="A6098" s="3"/>
      <c r="D6098" s="3"/>
    </row>
    <row r="6099" spans="1:4">
      <c r="A6099" s="3"/>
      <c r="D6099" s="3"/>
    </row>
    <row r="6100" spans="1:4">
      <c r="A6100" s="3"/>
      <c r="D6100" s="3"/>
    </row>
    <row r="6101" spans="1:4">
      <c r="A6101" s="3"/>
      <c r="D6101" s="3"/>
    </row>
    <row r="6102" spans="1:4">
      <c r="A6102" s="3"/>
      <c r="D6102" s="3"/>
    </row>
    <row r="6103" spans="1:4">
      <c r="A6103" s="3"/>
      <c r="D6103" s="3"/>
    </row>
    <row r="6104" spans="1:4">
      <c r="A6104" s="3"/>
      <c r="D6104" s="3"/>
    </row>
    <row r="6105" spans="1:4">
      <c r="A6105" s="3"/>
      <c r="D6105" s="3"/>
    </row>
    <row r="6106" spans="1:4">
      <c r="A6106" s="3"/>
      <c r="D6106" s="3"/>
    </row>
    <row r="6107" spans="1:4">
      <c r="A6107" s="3"/>
      <c r="D6107" s="3"/>
    </row>
    <row r="6108" spans="1:4">
      <c r="A6108" s="3"/>
      <c r="D6108" s="3"/>
    </row>
    <row r="6109" spans="1:4">
      <c r="A6109" s="3"/>
      <c r="D6109" s="3"/>
    </row>
    <row r="6110" spans="1:4">
      <c r="A6110" s="3"/>
      <c r="D6110" s="3"/>
    </row>
    <row r="6111" spans="1:4">
      <c r="A6111" s="3"/>
      <c r="D6111" s="3"/>
    </row>
    <row r="6112" spans="1:4">
      <c r="A6112" s="3"/>
      <c r="D6112" s="3"/>
    </row>
    <row r="6113" spans="1:4">
      <c r="A6113" s="3"/>
      <c r="D6113" s="3"/>
    </row>
    <row r="6114" spans="1:4">
      <c r="A6114" s="3"/>
      <c r="D6114" s="3"/>
    </row>
    <row r="6115" spans="1:4">
      <c r="A6115" s="3"/>
      <c r="D6115" s="3"/>
    </row>
    <row r="6116" spans="1:4">
      <c r="A6116" s="3"/>
      <c r="D6116" s="3"/>
    </row>
    <row r="6117" spans="1:4">
      <c r="A6117" s="3"/>
      <c r="D6117" s="3"/>
    </row>
    <row r="6118" spans="1:4">
      <c r="A6118" s="3"/>
      <c r="D6118" s="3"/>
    </row>
    <row r="6119" spans="1:4">
      <c r="A6119" s="3"/>
      <c r="D6119" s="3"/>
    </row>
    <row r="6120" spans="1:4">
      <c r="A6120" s="3"/>
      <c r="D6120" s="3"/>
    </row>
    <row r="6121" spans="1:4">
      <c r="A6121" s="3"/>
      <c r="D6121" s="3"/>
    </row>
    <row r="6122" spans="1:4">
      <c r="A6122" s="3"/>
      <c r="D6122" s="3"/>
    </row>
    <row r="6123" spans="1:4">
      <c r="A6123" s="3"/>
      <c r="D6123" s="3"/>
    </row>
    <row r="6124" spans="1:4">
      <c r="A6124" s="3"/>
      <c r="D6124" s="3"/>
    </row>
    <row r="6125" spans="1:4">
      <c r="A6125" s="3"/>
      <c r="D6125" s="3"/>
    </row>
    <row r="6126" spans="1:4">
      <c r="A6126" s="3"/>
      <c r="D6126" s="3"/>
    </row>
    <row r="6127" spans="1:4">
      <c r="A6127" s="3"/>
      <c r="D6127" s="3"/>
    </row>
    <row r="6128" spans="1:4">
      <c r="A6128" s="3"/>
      <c r="D6128" s="3"/>
    </row>
    <row r="6129" spans="1:4">
      <c r="A6129" s="3"/>
      <c r="D6129" s="3"/>
    </row>
    <row r="6130" spans="1:4">
      <c r="A6130" s="3"/>
      <c r="D6130" s="3"/>
    </row>
    <row r="6131" spans="1:4">
      <c r="A6131" s="3"/>
      <c r="D6131" s="3"/>
    </row>
    <row r="6132" spans="1:4">
      <c r="A6132" s="3"/>
      <c r="D6132" s="3"/>
    </row>
    <row r="6133" spans="1:4">
      <c r="A6133" s="3"/>
      <c r="D6133" s="3"/>
    </row>
    <row r="6134" spans="1:4">
      <c r="A6134" s="3"/>
      <c r="D6134" s="3"/>
    </row>
    <row r="6135" spans="1:4">
      <c r="A6135" s="3"/>
      <c r="D6135" s="3"/>
    </row>
    <row r="6136" spans="1:4">
      <c r="A6136" s="3"/>
      <c r="D6136" s="3"/>
    </row>
    <row r="6137" spans="1:4">
      <c r="A6137" s="3"/>
      <c r="D6137" s="3"/>
    </row>
    <row r="6138" spans="1:4">
      <c r="A6138" s="3"/>
      <c r="D6138" s="3"/>
    </row>
    <row r="6139" spans="1:4">
      <c r="A6139" s="3"/>
      <c r="D6139" s="3"/>
    </row>
    <row r="6140" spans="1:4">
      <c r="A6140" s="3"/>
      <c r="D6140" s="3"/>
    </row>
    <row r="6141" spans="1:4">
      <c r="A6141" s="3"/>
      <c r="D6141" s="3"/>
    </row>
    <row r="6142" spans="1:4">
      <c r="A6142" s="3"/>
      <c r="D6142" s="3"/>
    </row>
    <row r="6143" spans="1:4">
      <c r="A6143" s="3"/>
      <c r="D6143" s="3"/>
    </row>
    <row r="6144" spans="1:4">
      <c r="A6144" s="3"/>
      <c r="D6144" s="3"/>
    </row>
    <row r="6145" spans="1:4">
      <c r="A6145" s="3"/>
      <c r="D6145" s="3"/>
    </row>
    <row r="6146" spans="1:4">
      <c r="A6146" s="3"/>
      <c r="D6146" s="3"/>
    </row>
    <row r="6147" spans="1:4">
      <c r="A6147" s="3"/>
      <c r="D6147" s="3"/>
    </row>
    <row r="6148" spans="1:4">
      <c r="A6148" s="3"/>
      <c r="D6148" s="3"/>
    </row>
    <row r="6149" spans="1:4">
      <c r="A6149" s="3"/>
      <c r="D6149" s="3"/>
    </row>
    <row r="6150" spans="1:4">
      <c r="A6150" s="3"/>
      <c r="D6150" s="3"/>
    </row>
    <row r="6151" spans="1:4">
      <c r="A6151" s="3"/>
      <c r="D6151" s="3"/>
    </row>
    <row r="6152" spans="1:4">
      <c r="A6152" s="3"/>
      <c r="D6152" s="3"/>
    </row>
    <row r="6153" spans="1:4">
      <c r="A6153" s="3"/>
      <c r="D6153" s="3"/>
    </row>
    <row r="6154" spans="1:4">
      <c r="A6154" s="3"/>
      <c r="D6154" s="3"/>
    </row>
    <row r="6155" spans="1:4">
      <c r="A6155" s="3"/>
      <c r="D6155" s="3"/>
    </row>
    <row r="6156" spans="1:4">
      <c r="A6156" s="3"/>
      <c r="D6156" s="3"/>
    </row>
    <row r="6157" spans="1:4">
      <c r="A6157" s="3"/>
      <c r="D6157" s="3"/>
    </row>
    <row r="6158" spans="1:4">
      <c r="A6158" s="3"/>
      <c r="D6158" s="3"/>
    </row>
    <row r="6159" spans="1:4">
      <c r="A6159" s="3"/>
      <c r="D6159" s="3"/>
    </row>
    <row r="6160" spans="1:4">
      <c r="A6160" s="3"/>
      <c r="D6160" s="3"/>
    </row>
    <row r="6161" spans="1:4">
      <c r="A6161" s="3"/>
      <c r="D6161" s="3"/>
    </row>
    <row r="6162" spans="1:4">
      <c r="A6162" s="3"/>
      <c r="D6162" s="3"/>
    </row>
    <row r="6163" spans="1:4">
      <c r="A6163" s="3"/>
      <c r="D6163" s="3"/>
    </row>
    <row r="6164" spans="1:4">
      <c r="A6164" s="3"/>
      <c r="D6164" s="3"/>
    </row>
    <row r="6165" spans="1:4">
      <c r="A6165" s="3"/>
      <c r="D6165" s="3"/>
    </row>
    <row r="6166" spans="1:4">
      <c r="A6166" s="3"/>
      <c r="D6166" s="3"/>
    </row>
    <row r="6167" spans="1:4">
      <c r="A6167" s="3"/>
      <c r="D6167" s="3"/>
    </row>
    <row r="6168" spans="1:4">
      <c r="A6168" s="3"/>
      <c r="D6168" s="3"/>
    </row>
    <row r="6169" spans="1:4">
      <c r="A6169" s="3"/>
      <c r="D6169" s="3"/>
    </row>
    <row r="6170" spans="1:4">
      <c r="A6170" s="3"/>
      <c r="D6170" s="3"/>
    </row>
    <row r="6171" spans="1:4">
      <c r="A6171" s="3"/>
      <c r="D6171" s="3"/>
    </row>
    <row r="6172" spans="1:4">
      <c r="A6172" s="3"/>
      <c r="D6172" s="3"/>
    </row>
    <row r="6173" spans="1:4">
      <c r="A6173" s="3"/>
      <c r="D6173" s="3"/>
    </row>
    <row r="6174" spans="1:4">
      <c r="A6174" s="3"/>
      <c r="D6174" s="3"/>
    </row>
    <row r="6175" spans="1:4">
      <c r="A6175" s="3"/>
      <c r="D6175" s="3"/>
    </row>
    <row r="6176" spans="1:4">
      <c r="A6176" s="3"/>
      <c r="D6176" s="3"/>
    </row>
    <row r="6177" spans="1:4">
      <c r="A6177" s="3"/>
      <c r="D6177" s="3"/>
    </row>
    <row r="6178" spans="1:4">
      <c r="A6178" s="3"/>
      <c r="D6178" s="3"/>
    </row>
    <row r="6179" spans="1:4">
      <c r="A6179" s="3"/>
      <c r="D6179" s="3"/>
    </row>
    <row r="6180" spans="1:4">
      <c r="A6180" s="3"/>
      <c r="D6180" s="3"/>
    </row>
    <row r="6181" spans="1:4">
      <c r="A6181" s="3"/>
      <c r="D6181" s="3"/>
    </row>
    <row r="6182" spans="1:4">
      <c r="A6182" s="3"/>
      <c r="D6182" s="3"/>
    </row>
    <row r="6183" spans="1:4">
      <c r="A6183" s="3"/>
      <c r="D6183" s="3"/>
    </row>
    <row r="6184" spans="1:4">
      <c r="A6184" s="3"/>
      <c r="D6184" s="3"/>
    </row>
    <row r="6185" spans="1:4">
      <c r="A6185" s="3"/>
      <c r="D6185" s="3"/>
    </row>
    <row r="6186" spans="1:4">
      <c r="A6186" s="3"/>
      <c r="D6186" s="3"/>
    </row>
    <row r="6187" spans="1:4">
      <c r="A6187" s="3"/>
      <c r="D6187" s="3"/>
    </row>
    <row r="6188" spans="1:4">
      <c r="A6188" s="3"/>
      <c r="D6188" s="3"/>
    </row>
    <row r="6189" spans="1:4">
      <c r="A6189" s="3"/>
      <c r="D6189" s="3"/>
    </row>
    <row r="6190" spans="1:4">
      <c r="A6190" s="3"/>
      <c r="D6190" s="3"/>
    </row>
    <row r="6191" spans="1:4">
      <c r="A6191" s="3"/>
      <c r="D6191" s="3"/>
    </row>
    <row r="6192" spans="1:4">
      <c r="A6192" s="3"/>
      <c r="D6192" s="3"/>
    </row>
    <row r="6193" spans="1:4">
      <c r="A6193" s="3"/>
      <c r="D6193" s="3"/>
    </row>
    <row r="6194" spans="1:4">
      <c r="A6194" s="3"/>
      <c r="D6194" s="3"/>
    </row>
    <row r="6195" spans="1:4">
      <c r="A6195" s="3"/>
      <c r="D6195" s="3"/>
    </row>
    <row r="6196" spans="1:4">
      <c r="A6196" s="3"/>
      <c r="D6196" s="3"/>
    </row>
    <row r="6197" spans="1:4">
      <c r="A6197" s="3"/>
      <c r="D6197" s="3"/>
    </row>
    <row r="6198" spans="1:4">
      <c r="A6198" s="3"/>
      <c r="D6198" s="3"/>
    </row>
    <row r="6199" spans="1:4">
      <c r="A6199" s="3"/>
      <c r="D6199" s="3"/>
    </row>
    <row r="6200" spans="1:4">
      <c r="A6200" s="3"/>
      <c r="D6200" s="3"/>
    </row>
    <row r="6201" spans="1:4">
      <c r="A6201" s="3"/>
      <c r="D6201" s="3"/>
    </row>
    <row r="6202" spans="1:4">
      <c r="A6202" s="3"/>
      <c r="D6202" s="3"/>
    </row>
    <row r="6203" spans="1:4">
      <c r="A6203" s="3"/>
      <c r="D6203" s="3"/>
    </row>
    <row r="6204" spans="1:4">
      <c r="A6204" s="3"/>
      <c r="D6204" s="3"/>
    </row>
    <row r="6205" spans="1:4">
      <c r="A6205" s="3"/>
      <c r="D6205" s="3"/>
    </row>
    <row r="6206" spans="1:4">
      <c r="A6206" s="3"/>
      <c r="D6206" s="3"/>
    </row>
    <row r="6207" spans="1:4">
      <c r="A6207" s="3"/>
      <c r="D6207" s="3"/>
    </row>
    <row r="6208" spans="1:4">
      <c r="A6208" s="3"/>
      <c r="D6208" s="3"/>
    </row>
    <row r="6209" spans="1:4">
      <c r="A6209" s="3"/>
      <c r="D6209" s="3"/>
    </row>
    <row r="6210" spans="1:4">
      <c r="A6210" s="3"/>
      <c r="D6210" s="3"/>
    </row>
    <row r="6211" spans="1:4">
      <c r="A6211" s="3"/>
      <c r="D6211" s="3"/>
    </row>
    <row r="6212" spans="1:4">
      <c r="A6212" s="3"/>
      <c r="D6212" s="3"/>
    </row>
    <row r="6213" spans="1:4">
      <c r="A6213" s="3"/>
      <c r="D6213" s="3"/>
    </row>
    <row r="6214" spans="1:4">
      <c r="A6214" s="3"/>
      <c r="D6214" s="3"/>
    </row>
    <row r="6215" spans="1:4">
      <c r="A6215" s="3"/>
      <c r="D6215" s="3"/>
    </row>
    <row r="6216" spans="1:4">
      <c r="A6216" s="3"/>
      <c r="D6216" s="3"/>
    </row>
    <row r="6217" spans="1:4">
      <c r="A6217" s="3"/>
      <c r="D6217" s="3"/>
    </row>
    <row r="6218" spans="1:4">
      <c r="A6218" s="3"/>
      <c r="D6218" s="3"/>
    </row>
    <row r="6219" spans="1:4">
      <c r="A6219" s="3"/>
      <c r="D6219" s="3"/>
    </row>
    <row r="6220" spans="1:4">
      <c r="A6220" s="3"/>
      <c r="D6220" s="3"/>
    </row>
    <row r="6221" spans="1:4">
      <c r="A6221" s="3"/>
      <c r="D6221" s="3"/>
    </row>
    <row r="6222" spans="1:4">
      <c r="A6222" s="3"/>
      <c r="D6222" s="3"/>
    </row>
    <row r="6223" spans="1:4">
      <c r="A6223" s="3"/>
      <c r="D6223" s="3"/>
    </row>
    <row r="6224" spans="1:4">
      <c r="A6224" s="3"/>
      <c r="D6224" s="3"/>
    </row>
    <row r="6225" spans="1:4">
      <c r="A6225" s="3"/>
      <c r="D6225" s="3"/>
    </row>
    <row r="6226" spans="1:4">
      <c r="A6226" s="3"/>
      <c r="D6226" s="3"/>
    </row>
    <row r="6227" spans="1:4">
      <c r="A6227" s="3"/>
      <c r="D6227" s="3"/>
    </row>
    <row r="6228" spans="1:4">
      <c r="A6228" s="3"/>
      <c r="D6228" s="3"/>
    </row>
    <row r="6229" spans="1:4">
      <c r="A6229" s="3"/>
      <c r="D6229" s="3"/>
    </row>
    <row r="6230" spans="1:4">
      <c r="A6230" s="3"/>
      <c r="D6230" s="3"/>
    </row>
    <row r="6231" spans="1:4">
      <c r="A6231" s="3"/>
      <c r="D6231" s="3"/>
    </row>
    <row r="6232" spans="1:4">
      <c r="A6232" s="3"/>
      <c r="D6232" s="3"/>
    </row>
    <row r="6233" spans="1:4">
      <c r="A6233" s="3"/>
      <c r="D6233" s="3"/>
    </row>
    <row r="6234" spans="1:4">
      <c r="A6234" s="3"/>
      <c r="D6234" s="3"/>
    </row>
    <row r="6235" spans="1:4">
      <c r="A6235" s="3"/>
      <c r="D6235" s="3"/>
    </row>
    <row r="6236" spans="1:4">
      <c r="A6236" s="3"/>
      <c r="D6236" s="3"/>
    </row>
    <row r="6237" spans="1:4">
      <c r="A6237" s="3"/>
      <c r="D6237" s="3"/>
    </row>
    <row r="6238" spans="1:4">
      <c r="A6238" s="3"/>
      <c r="D6238" s="3"/>
    </row>
    <row r="6239" spans="1:4">
      <c r="A6239" s="3"/>
      <c r="D6239" s="3"/>
    </row>
    <row r="6240" spans="1:4">
      <c r="A6240" s="3"/>
      <c r="D6240" s="3"/>
    </row>
    <row r="6241" spans="1:4">
      <c r="A6241" s="3"/>
      <c r="D6241" s="3"/>
    </row>
    <row r="6242" spans="1:4">
      <c r="A6242" s="3"/>
      <c r="D6242" s="3"/>
    </row>
    <row r="6243" spans="1:4">
      <c r="A6243" s="3"/>
      <c r="D6243" s="3"/>
    </row>
    <row r="6244" spans="1:4">
      <c r="A6244" s="3"/>
      <c r="D6244" s="3"/>
    </row>
    <row r="6245" spans="1:4">
      <c r="A6245" s="3"/>
      <c r="D6245" s="3"/>
    </row>
    <row r="6246" spans="1:4">
      <c r="A6246" s="3"/>
      <c r="D6246" s="3"/>
    </row>
    <row r="6247" spans="1:4">
      <c r="A6247" s="3"/>
      <c r="D6247" s="3"/>
    </row>
    <row r="6248" spans="1:4">
      <c r="A6248" s="3"/>
      <c r="D6248" s="3"/>
    </row>
    <row r="6249" spans="1:4">
      <c r="A6249" s="3"/>
      <c r="D6249" s="3"/>
    </row>
    <row r="6250" spans="1:4">
      <c r="A6250" s="3"/>
      <c r="D6250" s="3"/>
    </row>
    <row r="6251" spans="1:4">
      <c r="A6251" s="3"/>
      <c r="D6251" s="3"/>
    </row>
    <row r="6252" spans="1:4">
      <c r="A6252" s="3"/>
      <c r="D6252" s="3"/>
    </row>
    <row r="6253" spans="1:4">
      <c r="A6253" s="3"/>
      <c r="D6253" s="3"/>
    </row>
    <row r="6254" spans="1:4">
      <c r="A6254" s="3"/>
      <c r="D6254" s="3"/>
    </row>
    <row r="6255" spans="1:4">
      <c r="A6255" s="3"/>
      <c r="D6255" s="3"/>
    </row>
    <row r="6256" spans="1:4">
      <c r="A6256" s="3"/>
      <c r="D6256" s="3"/>
    </row>
    <row r="6257" spans="1:4">
      <c r="A6257" s="3"/>
      <c r="D6257" s="3"/>
    </row>
    <row r="6258" spans="1:4">
      <c r="A6258" s="3"/>
      <c r="D6258" s="3"/>
    </row>
    <row r="6259" spans="1:4">
      <c r="A6259" s="3"/>
      <c r="D6259" s="3"/>
    </row>
    <row r="6260" spans="1:4">
      <c r="A6260" s="3"/>
      <c r="D6260" s="3"/>
    </row>
    <row r="6261" spans="1:4">
      <c r="A6261" s="3"/>
      <c r="D6261" s="3"/>
    </row>
    <row r="6262" spans="1:4">
      <c r="A6262" s="3"/>
      <c r="D6262" s="3"/>
    </row>
    <row r="6263" spans="1:4">
      <c r="A6263" s="3"/>
      <c r="D6263" s="3"/>
    </row>
    <row r="6264" spans="1:4">
      <c r="A6264" s="3"/>
      <c r="D6264" s="3"/>
    </row>
    <row r="6265" spans="1:4">
      <c r="A6265" s="3"/>
      <c r="D6265" s="3"/>
    </row>
    <row r="6266" spans="1:4">
      <c r="A6266" s="3"/>
      <c r="D6266" s="3"/>
    </row>
    <row r="6267" spans="1:4">
      <c r="A6267" s="3"/>
      <c r="D6267" s="3"/>
    </row>
    <row r="6268" spans="1:4">
      <c r="A6268" s="3"/>
      <c r="D6268" s="3"/>
    </row>
    <row r="6269" spans="1:4">
      <c r="A6269" s="3"/>
      <c r="D6269" s="3"/>
    </row>
    <row r="6270" spans="1:4">
      <c r="A6270" s="3"/>
      <c r="D6270" s="3"/>
    </row>
    <row r="6271" spans="1:4">
      <c r="A6271" s="3"/>
      <c r="D6271" s="3"/>
    </row>
    <row r="6272" spans="1:4">
      <c r="A6272" s="3"/>
      <c r="D6272" s="3"/>
    </row>
    <row r="6273" spans="1:4">
      <c r="A6273" s="3"/>
      <c r="D6273" s="3"/>
    </row>
    <row r="6274" spans="1:4">
      <c r="A6274" s="3"/>
      <c r="D6274" s="3"/>
    </row>
    <row r="6275" spans="1:4">
      <c r="A6275" s="3"/>
      <c r="D6275" s="3"/>
    </row>
    <row r="6276" spans="1:4">
      <c r="A6276" s="3"/>
      <c r="D6276" s="3"/>
    </row>
    <row r="6277" spans="1:4">
      <c r="A6277" s="3"/>
      <c r="D6277" s="3"/>
    </row>
    <row r="6278" spans="1:4">
      <c r="A6278" s="3"/>
      <c r="D6278" s="3"/>
    </row>
    <row r="6279" spans="1:4">
      <c r="A6279" s="3"/>
      <c r="D6279" s="3"/>
    </row>
    <row r="6280" spans="1:4">
      <c r="A6280" s="3"/>
      <c r="D6280" s="3"/>
    </row>
    <row r="6281" spans="1:4">
      <c r="A6281" s="3"/>
      <c r="D6281" s="3"/>
    </row>
    <row r="6282" spans="1:4">
      <c r="A6282" s="3"/>
      <c r="D6282" s="3"/>
    </row>
    <row r="6283" spans="1:4">
      <c r="A6283" s="3"/>
      <c r="D6283" s="3"/>
    </row>
    <row r="6284" spans="1:4">
      <c r="A6284" s="3"/>
      <c r="D6284" s="3"/>
    </row>
    <row r="6285" spans="1:4">
      <c r="A6285" s="3"/>
      <c r="D6285" s="3"/>
    </row>
    <row r="6286" spans="1:4">
      <c r="A6286" s="3"/>
      <c r="D6286" s="3"/>
    </row>
    <row r="6287" spans="1:4">
      <c r="A6287" s="3"/>
      <c r="D6287" s="3"/>
    </row>
    <row r="6288" spans="1:4">
      <c r="A6288" s="3"/>
      <c r="D6288" s="3"/>
    </row>
    <row r="6289" spans="1:4">
      <c r="A6289" s="3"/>
      <c r="D6289" s="3"/>
    </row>
    <row r="6290" spans="1:4">
      <c r="A6290" s="3"/>
      <c r="D6290" s="3"/>
    </row>
    <row r="6291" spans="1:4">
      <c r="A6291" s="3"/>
      <c r="D6291" s="3"/>
    </row>
    <row r="6292" spans="1:4">
      <c r="A6292" s="3"/>
      <c r="D6292" s="3"/>
    </row>
    <row r="6293" spans="1:4">
      <c r="A6293" s="3"/>
      <c r="D6293" s="3"/>
    </row>
    <row r="6294" spans="1:4">
      <c r="A6294" s="3"/>
      <c r="D6294" s="3"/>
    </row>
    <row r="6295" spans="1:4">
      <c r="A6295" s="3"/>
      <c r="D6295" s="3"/>
    </row>
    <row r="6296" spans="1:4">
      <c r="A6296" s="3"/>
      <c r="D6296" s="3"/>
    </row>
    <row r="6297" spans="1:4">
      <c r="A6297" s="3"/>
      <c r="D6297" s="3"/>
    </row>
    <row r="6298" spans="1:4">
      <c r="A6298" s="3"/>
      <c r="D6298" s="3"/>
    </row>
    <row r="6299" spans="1:4">
      <c r="A6299" s="3"/>
      <c r="D6299" s="3"/>
    </row>
    <row r="6300" spans="1:4">
      <c r="A6300" s="3"/>
      <c r="D6300" s="3"/>
    </row>
    <row r="6301" spans="1:4">
      <c r="A6301" s="3"/>
      <c r="D6301" s="3"/>
    </row>
    <row r="6302" spans="1:4">
      <c r="A6302" s="3"/>
      <c r="D6302" s="3"/>
    </row>
    <row r="6303" spans="1:4">
      <c r="A6303" s="3"/>
      <c r="D6303" s="3"/>
    </row>
    <row r="6304" spans="1:4">
      <c r="A6304" s="3"/>
      <c r="D6304" s="3"/>
    </row>
    <row r="6305" spans="1:4">
      <c r="A6305" s="3"/>
      <c r="D6305" s="3"/>
    </row>
    <row r="6306" spans="1:4">
      <c r="A6306" s="3"/>
      <c r="D6306" s="3"/>
    </row>
    <row r="6307" spans="1:4">
      <c r="A6307" s="3"/>
      <c r="D6307" s="3"/>
    </row>
    <row r="6308" spans="1:4">
      <c r="A6308" s="3"/>
      <c r="D6308" s="3"/>
    </row>
    <row r="6309" spans="1:4">
      <c r="A6309" s="3"/>
      <c r="D6309" s="3"/>
    </row>
    <row r="6310" spans="1:4">
      <c r="A6310" s="3"/>
      <c r="D6310" s="3"/>
    </row>
    <row r="6311" spans="1:4">
      <c r="A6311" s="3"/>
      <c r="D6311" s="3"/>
    </row>
    <row r="6312" spans="1:4">
      <c r="A6312" s="3"/>
      <c r="D6312" s="3"/>
    </row>
    <row r="6313" spans="1:4">
      <c r="A6313" s="3"/>
      <c r="D6313" s="3"/>
    </row>
    <row r="6314" spans="1:4">
      <c r="A6314" s="3"/>
      <c r="D6314" s="3"/>
    </row>
    <row r="6315" spans="1:4">
      <c r="A6315" s="3"/>
      <c r="D6315" s="3"/>
    </row>
    <row r="6316" spans="1:4">
      <c r="A6316" s="3"/>
      <c r="D6316" s="3"/>
    </row>
    <row r="6317" spans="1:4">
      <c r="A6317" s="3"/>
      <c r="D6317" s="3"/>
    </row>
    <row r="6318" spans="1:4">
      <c r="A6318" s="3"/>
      <c r="D6318" s="3"/>
    </row>
    <row r="6319" spans="1:4">
      <c r="A6319" s="3"/>
      <c r="D6319" s="3"/>
    </row>
    <row r="6320" spans="1:4">
      <c r="A6320" s="3"/>
      <c r="D6320" s="3"/>
    </row>
    <row r="6321" spans="1:4">
      <c r="A6321" s="3"/>
      <c r="D6321" s="3"/>
    </row>
    <row r="6322" spans="1:4">
      <c r="A6322" s="3"/>
      <c r="D6322" s="3"/>
    </row>
    <row r="6323" spans="1:4">
      <c r="A6323" s="3"/>
      <c r="D6323" s="3"/>
    </row>
    <row r="6324" spans="1:4">
      <c r="A6324" s="3"/>
      <c r="D6324" s="3"/>
    </row>
    <row r="6325" spans="1:4">
      <c r="A6325" s="3"/>
      <c r="D6325" s="3"/>
    </row>
    <row r="6326" spans="1:4">
      <c r="A6326" s="3"/>
      <c r="D6326" s="3"/>
    </row>
    <row r="6327" spans="1:4">
      <c r="A6327" s="3"/>
      <c r="D6327" s="3"/>
    </row>
    <row r="6328" spans="1:4">
      <c r="A6328" s="3"/>
      <c r="D6328" s="3"/>
    </row>
    <row r="6329" spans="1:4">
      <c r="A6329" s="3"/>
      <c r="D6329" s="3"/>
    </row>
    <row r="6330" spans="1:4">
      <c r="A6330" s="3"/>
      <c r="D6330" s="3"/>
    </row>
    <row r="6331" spans="1:4">
      <c r="A6331" s="3"/>
      <c r="D6331" s="3"/>
    </row>
    <row r="6332" spans="1:4">
      <c r="A6332" s="3"/>
      <c r="D6332" s="3"/>
    </row>
    <row r="6333" spans="1:4">
      <c r="A6333" s="3"/>
      <c r="D6333" s="3"/>
    </row>
    <row r="6334" spans="1:4">
      <c r="A6334" s="3"/>
      <c r="D6334" s="3"/>
    </row>
    <row r="6335" spans="1:4">
      <c r="A6335" s="3"/>
      <c r="D6335" s="3"/>
    </row>
    <row r="6336" spans="1:4">
      <c r="A6336" s="3"/>
      <c r="D6336" s="3"/>
    </row>
    <row r="6337" spans="1:4">
      <c r="A6337" s="3"/>
      <c r="D6337" s="3"/>
    </row>
    <row r="6338" spans="1:4">
      <c r="A6338" s="3"/>
      <c r="D6338" s="3"/>
    </row>
    <row r="6339" spans="1:4">
      <c r="A6339" s="3"/>
      <c r="D6339" s="3"/>
    </row>
    <row r="6340" spans="1:4">
      <c r="A6340" s="3"/>
      <c r="D6340" s="3"/>
    </row>
    <row r="6341" spans="1:4">
      <c r="A6341" s="3"/>
      <c r="D6341" s="3"/>
    </row>
    <row r="6342" spans="1:4">
      <c r="A6342" s="3"/>
      <c r="D6342" s="3"/>
    </row>
    <row r="6343" spans="1:4">
      <c r="A6343" s="3"/>
      <c r="D6343" s="3"/>
    </row>
    <row r="6344" spans="1:4">
      <c r="A6344" s="3"/>
      <c r="D6344" s="3"/>
    </row>
    <row r="6345" spans="1:4">
      <c r="A6345" s="3"/>
      <c r="D6345" s="3"/>
    </row>
    <row r="6346" spans="1:4">
      <c r="A6346" s="3"/>
      <c r="D6346" s="3"/>
    </row>
    <row r="6347" spans="1:4">
      <c r="A6347" s="3"/>
      <c r="D6347" s="3"/>
    </row>
    <row r="6348" spans="1:4">
      <c r="A6348" s="3"/>
      <c r="D6348" s="3"/>
    </row>
    <row r="6349" spans="1:4">
      <c r="A6349" s="3"/>
      <c r="D6349" s="3"/>
    </row>
    <row r="6350" spans="1:4">
      <c r="A6350" s="3"/>
      <c r="D6350" s="3"/>
    </row>
    <row r="6351" spans="1:4">
      <c r="A6351" s="3"/>
      <c r="D6351" s="3"/>
    </row>
    <row r="6352" spans="1:4">
      <c r="A6352" s="3"/>
      <c r="D6352" s="3"/>
    </row>
    <row r="6353" spans="1:4">
      <c r="A6353" s="3"/>
      <c r="D6353" s="3"/>
    </row>
    <row r="6354" spans="1:4">
      <c r="A6354" s="3"/>
      <c r="D6354" s="3"/>
    </row>
    <row r="6355" spans="1:4">
      <c r="A6355" s="3"/>
      <c r="D6355" s="3"/>
    </row>
    <row r="6356" spans="1:4">
      <c r="A6356" s="3"/>
      <c r="D6356" s="3"/>
    </row>
    <row r="6357" spans="1:4">
      <c r="A6357" s="3"/>
      <c r="D6357" s="3"/>
    </row>
    <row r="6358" spans="1:4">
      <c r="A6358" s="3"/>
      <c r="D6358" s="3"/>
    </row>
    <row r="6359" spans="1:4">
      <c r="A6359" s="3"/>
      <c r="D6359" s="3"/>
    </row>
    <row r="6360" spans="1:4">
      <c r="A6360" s="3"/>
      <c r="D6360" s="3"/>
    </row>
    <row r="6361" spans="1:4">
      <c r="A6361" s="3"/>
      <c r="D6361" s="3"/>
    </row>
    <row r="6362" spans="1:4">
      <c r="A6362" s="3"/>
      <c r="D6362" s="3"/>
    </row>
    <row r="6363" spans="1:4">
      <c r="A6363" s="3"/>
      <c r="D6363" s="3"/>
    </row>
    <row r="6364" spans="1:4">
      <c r="A6364" s="3"/>
      <c r="D6364" s="3"/>
    </row>
    <row r="6365" spans="1:4">
      <c r="A6365" s="3"/>
      <c r="D6365" s="3"/>
    </row>
    <row r="6366" spans="1:4">
      <c r="A6366" s="3"/>
      <c r="D6366" s="3"/>
    </row>
    <row r="6367" spans="1:4">
      <c r="A6367" s="3"/>
      <c r="D6367" s="3"/>
    </row>
    <row r="6368" spans="1:4">
      <c r="A6368" s="3"/>
      <c r="D6368" s="3"/>
    </row>
    <row r="6369" spans="1:4">
      <c r="A6369" s="3"/>
      <c r="D6369" s="3"/>
    </row>
    <row r="6370" spans="1:4">
      <c r="A6370" s="3"/>
      <c r="D6370" s="3"/>
    </row>
    <row r="6371" spans="1:4">
      <c r="A6371" s="3"/>
      <c r="D6371" s="3"/>
    </row>
    <row r="6372" spans="1:4">
      <c r="A6372" s="3"/>
      <c r="D6372" s="3"/>
    </row>
    <row r="6373" spans="1:4">
      <c r="A6373" s="3"/>
      <c r="D6373" s="3"/>
    </row>
    <row r="6374" spans="1:4">
      <c r="A6374" s="3"/>
      <c r="D6374" s="3"/>
    </row>
    <row r="6375" spans="1:4">
      <c r="A6375" s="3"/>
      <c r="D6375" s="3"/>
    </row>
    <row r="6376" spans="1:4">
      <c r="A6376" s="3"/>
      <c r="D6376" s="3"/>
    </row>
    <row r="6377" spans="1:4">
      <c r="A6377" s="3"/>
      <c r="D6377" s="3"/>
    </row>
    <row r="6378" spans="1:4">
      <c r="A6378" s="3"/>
      <c r="D6378" s="3"/>
    </row>
    <row r="6379" spans="1:4">
      <c r="A6379" s="3"/>
      <c r="D6379" s="3"/>
    </row>
    <row r="6380" spans="1:4">
      <c r="A6380" s="3"/>
      <c r="D6380" s="3"/>
    </row>
    <row r="6381" spans="1:4">
      <c r="A6381" s="3"/>
      <c r="D6381" s="3"/>
    </row>
    <row r="6382" spans="1:4">
      <c r="A6382" s="3"/>
      <c r="D6382" s="3"/>
    </row>
    <row r="6383" spans="1:4">
      <c r="A6383" s="3"/>
      <c r="D6383" s="3"/>
    </row>
    <row r="6384" spans="1:4">
      <c r="A6384" s="3"/>
      <c r="D6384" s="3"/>
    </row>
    <row r="6385" spans="1:4">
      <c r="A6385" s="3"/>
      <c r="D6385" s="3"/>
    </row>
    <row r="6386" spans="1:4">
      <c r="A6386" s="3"/>
      <c r="D6386" s="3"/>
    </row>
    <row r="6387" spans="1:4">
      <c r="A6387" s="3"/>
      <c r="D6387" s="3"/>
    </row>
    <row r="6388" spans="1:4">
      <c r="A6388" s="3"/>
      <c r="D6388" s="3"/>
    </row>
    <row r="6389" spans="1:4">
      <c r="A6389" s="3"/>
      <c r="D6389" s="3"/>
    </row>
    <row r="6390" spans="1:4">
      <c r="A6390" s="3"/>
      <c r="D6390" s="3"/>
    </row>
    <row r="6391" spans="1:4">
      <c r="A6391" s="3"/>
      <c r="D6391" s="3"/>
    </row>
    <row r="6392" spans="1:4">
      <c r="A6392" s="3"/>
      <c r="D6392" s="3"/>
    </row>
    <row r="6393" spans="1:4">
      <c r="A6393" s="3"/>
      <c r="D6393" s="3"/>
    </row>
    <row r="6394" spans="1:4">
      <c r="A6394" s="3"/>
      <c r="D6394" s="3"/>
    </row>
    <row r="6395" spans="1:4">
      <c r="A6395" s="3"/>
      <c r="D6395" s="3"/>
    </row>
    <row r="6396" spans="1:4">
      <c r="A6396" s="3"/>
      <c r="D6396" s="3"/>
    </row>
    <row r="6397" spans="1:4">
      <c r="A6397" s="3"/>
      <c r="D6397" s="3"/>
    </row>
    <row r="6398" spans="1:4">
      <c r="A6398" s="3"/>
      <c r="D6398" s="3"/>
    </row>
    <row r="6399" spans="1:4">
      <c r="A6399" s="3"/>
      <c r="D6399" s="3"/>
    </row>
    <row r="6400" spans="1:4">
      <c r="A6400" s="3"/>
      <c r="D6400" s="3"/>
    </row>
    <row r="6401" spans="1:4">
      <c r="A6401" s="3"/>
      <c r="D6401" s="3"/>
    </row>
    <row r="6402" spans="1:4">
      <c r="A6402" s="3"/>
      <c r="D6402" s="3"/>
    </row>
    <row r="6403" spans="1:4">
      <c r="A6403" s="3"/>
      <c r="D6403" s="3"/>
    </row>
    <row r="6404" spans="1:4">
      <c r="A6404" s="3"/>
      <c r="D6404" s="3"/>
    </row>
    <row r="6405" spans="1:4">
      <c r="A6405" s="3"/>
      <c r="D6405" s="3"/>
    </row>
    <row r="6406" spans="1:4">
      <c r="A6406" s="3"/>
      <c r="D6406" s="3"/>
    </row>
    <row r="6407" spans="1:4">
      <c r="A6407" s="3"/>
      <c r="D6407" s="3"/>
    </row>
    <row r="6408" spans="1:4">
      <c r="A6408" s="3"/>
      <c r="D6408" s="3"/>
    </row>
    <row r="6409" spans="1:4">
      <c r="A6409" s="3"/>
      <c r="D6409" s="3"/>
    </row>
    <row r="6410" spans="1:4">
      <c r="A6410" s="3"/>
      <c r="D6410" s="3"/>
    </row>
    <row r="6411" spans="1:4">
      <c r="A6411" s="3"/>
      <c r="D6411" s="3"/>
    </row>
    <row r="6412" spans="1:4">
      <c r="A6412" s="3"/>
      <c r="D6412" s="3"/>
    </row>
    <row r="6413" spans="1:4">
      <c r="A6413" s="3"/>
      <c r="D6413" s="3"/>
    </row>
    <row r="6414" spans="1:4">
      <c r="A6414" s="3"/>
      <c r="D6414" s="3"/>
    </row>
    <row r="6415" spans="1:4">
      <c r="A6415" s="3"/>
      <c r="D6415" s="3"/>
    </row>
    <row r="6416" spans="1:4">
      <c r="A6416" s="3"/>
      <c r="D6416" s="3"/>
    </row>
    <row r="6417" spans="1:4">
      <c r="A6417" s="3"/>
      <c r="D6417" s="3"/>
    </row>
    <row r="6418" spans="1:4">
      <c r="A6418" s="3"/>
      <c r="D6418" s="3"/>
    </row>
    <row r="6419" spans="1:4">
      <c r="A6419" s="3"/>
      <c r="D6419" s="3"/>
    </row>
    <row r="6420" spans="1:4">
      <c r="A6420" s="3"/>
      <c r="D6420" s="3"/>
    </row>
    <row r="6421" spans="1:4">
      <c r="A6421" s="3"/>
      <c r="D6421" s="3"/>
    </row>
    <row r="6422" spans="1:4">
      <c r="A6422" s="3"/>
      <c r="D6422" s="3"/>
    </row>
    <row r="6423" spans="1:4">
      <c r="A6423" s="3"/>
      <c r="D6423" s="3"/>
    </row>
    <row r="6424" spans="1:4">
      <c r="A6424" s="3"/>
      <c r="D6424" s="3"/>
    </row>
    <row r="6425" spans="1:4">
      <c r="A6425" s="3"/>
      <c r="D6425" s="3"/>
    </row>
    <row r="6426" spans="1:4">
      <c r="A6426" s="3"/>
      <c r="D6426" s="3"/>
    </row>
    <row r="6427" spans="1:4">
      <c r="A6427" s="3"/>
      <c r="D6427" s="3"/>
    </row>
    <row r="6428" spans="1:4">
      <c r="A6428" s="3"/>
      <c r="D6428" s="3"/>
    </row>
    <row r="6429" spans="1:4">
      <c r="A6429" s="3"/>
      <c r="D6429" s="3"/>
    </row>
    <row r="6430" spans="1:4">
      <c r="A6430" s="3"/>
      <c r="D6430" s="3"/>
    </row>
    <row r="6431" spans="1:4">
      <c r="A6431" s="3"/>
      <c r="D6431" s="3"/>
    </row>
    <row r="6432" spans="1:4">
      <c r="A6432" s="3"/>
      <c r="D6432" s="3"/>
    </row>
    <row r="6433" spans="1:4">
      <c r="A6433" s="3"/>
      <c r="D6433" s="3"/>
    </row>
    <row r="6434" spans="1:4">
      <c r="A6434" s="3"/>
      <c r="D6434" s="3"/>
    </row>
    <row r="6435" spans="1:4">
      <c r="A6435" s="3"/>
      <c r="D6435" s="3"/>
    </row>
    <row r="6436" spans="1:4">
      <c r="A6436" s="3"/>
      <c r="D6436" s="3"/>
    </row>
    <row r="6437" spans="1:4">
      <c r="A6437" s="3"/>
      <c r="D6437" s="3"/>
    </row>
    <row r="6438" spans="1:4">
      <c r="A6438" s="3"/>
      <c r="D6438" s="3"/>
    </row>
    <row r="6439" spans="1:4">
      <c r="A6439" s="3"/>
      <c r="D6439" s="3"/>
    </row>
    <row r="6440" spans="1:4">
      <c r="A6440" s="3"/>
      <c r="D6440" s="3"/>
    </row>
    <row r="6441" spans="1:4">
      <c r="A6441" s="3"/>
      <c r="D6441" s="3"/>
    </row>
    <row r="6442" spans="1:4">
      <c r="A6442" s="3"/>
      <c r="D6442" s="3"/>
    </row>
    <row r="6443" spans="1:4">
      <c r="A6443" s="3"/>
      <c r="D6443" s="3"/>
    </row>
    <row r="6444" spans="1:4">
      <c r="A6444" s="3"/>
      <c r="D6444" s="3"/>
    </row>
    <row r="6445" spans="1:4">
      <c r="A6445" s="3"/>
      <c r="D6445" s="3"/>
    </row>
    <row r="6446" spans="1:4">
      <c r="A6446" s="3"/>
      <c r="D6446" s="3"/>
    </row>
    <row r="6447" spans="1:4">
      <c r="A6447" s="3"/>
      <c r="D6447" s="3"/>
    </row>
    <row r="6448" spans="1:4">
      <c r="A6448" s="3"/>
      <c r="D6448" s="3"/>
    </row>
    <row r="6449" spans="1:4">
      <c r="A6449" s="3"/>
      <c r="D6449" s="3"/>
    </row>
    <row r="6450" spans="1:4">
      <c r="A6450" s="3"/>
      <c r="D6450" s="3"/>
    </row>
    <row r="6451" spans="1:4">
      <c r="A6451" s="3"/>
      <c r="D6451" s="3"/>
    </row>
    <row r="6452" spans="1:4">
      <c r="A6452" s="3"/>
      <c r="D6452" s="3"/>
    </row>
    <row r="6453" spans="1:4">
      <c r="A6453" s="3"/>
      <c r="D6453" s="3"/>
    </row>
    <row r="6454" spans="1:4">
      <c r="A6454" s="3"/>
      <c r="D6454" s="3"/>
    </row>
    <row r="6455" spans="1:4">
      <c r="A6455" s="3"/>
      <c r="D6455" s="3"/>
    </row>
    <row r="6456" spans="1:4">
      <c r="A6456" s="3"/>
      <c r="D6456" s="3"/>
    </row>
    <row r="6457" spans="1:4">
      <c r="A6457" s="3"/>
      <c r="D6457" s="3"/>
    </row>
    <row r="6458" spans="1:4">
      <c r="A6458" s="3"/>
      <c r="D6458" s="3"/>
    </row>
    <row r="6459" spans="1:4">
      <c r="A6459" s="3"/>
      <c r="D6459" s="3"/>
    </row>
    <row r="6460" spans="1:4">
      <c r="A6460" s="3"/>
      <c r="D6460" s="3"/>
    </row>
    <row r="6461" spans="1:4">
      <c r="A6461" s="3"/>
      <c r="D6461" s="3"/>
    </row>
    <row r="6462" spans="1:4">
      <c r="A6462" s="3"/>
      <c r="D6462" s="3"/>
    </row>
    <row r="6463" spans="1:4">
      <c r="A6463" s="3"/>
      <c r="D6463" s="3"/>
    </row>
    <row r="6464" spans="1:4">
      <c r="A6464" s="3"/>
      <c r="D6464" s="3"/>
    </row>
    <row r="6465" spans="1:4">
      <c r="A6465" s="3"/>
      <c r="D6465" s="3"/>
    </row>
    <row r="6466" spans="1:4">
      <c r="A6466" s="3"/>
      <c r="D6466" s="3"/>
    </row>
    <row r="6467" spans="1:4">
      <c r="A6467" s="3"/>
      <c r="D6467" s="3"/>
    </row>
    <row r="6468" spans="1:4">
      <c r="A6468" s="3"/>
      <c r="D6468" s="3"/>
    </row>
    <row r="6469" spans="1:4">
      <c r="A6469" s="3"/>
      <c r="D6469" s="3"/>
    </row>
    <row r="6470" spans="1:4">
      <c r="A6470" s="3"/>
      <c r="D6470" s="3"/>
    </row>
    <row r="6471" spans="1:4">
      <c r="A6471" s="3"/>
      <c r="D6471" s="3"/>
    </row>
    <row r="6472" spans="1:4">
      <c r="A6472" s="3"/>
      <c r="D6472" s="3"/>
    </row>
    <row r="6473" spans="1:4">
      <c r="A6473" s="3"/>
      <c r="D6473" s="3"/>
    </row>
    <row r="6474" spans="1:4">
      <c r="A6474" s="3"/>
      <c r="D6474" s="3"/>
    </row>
    <row r="6475" spans="1:4">
      <c r="A6475" s="3"/>
      <c r="D6475" s="3"/>
    </row>
    <row r="6476" spans="1:4">
      <c r="A6476" s="3"/>
      <c r="D6476" s="3"/>
    </row>
    <row r="6477" spans="1:4">
      <c r="A6477" s="3"/>
      <c r="D6477" s="3"/>
    </row>
    <row r="6478" spans="1:4">
      <c r="A6478" s="3"/>
      <c r="D6478" s="3"/>
    </row>
    <row r="6479" spans="1:4">
      <c r="A6479" s="3"/>
      <c r="D6479" s="3"/>
    </row>
    <row r="6480" spans="1:4">
      <c r="A6480" s="3"/>
      <c r="D6480" s="3"/>
    </row>
    <row r="6481" spans="1:4">
      <c r="A6481" s="3"/>
      <c r="D6481" s="3"/>
    </row>
    <row r="6482" spans="1:4">
      <c r="A6482" s="3"/>
      <c r="D6482" s="3"/>
    </row>
    <row r="6483" spans="1:4">
      <c r="A6483" s="3"/>
      <c r="D6483" s="3"/>
    </row>
    <row r="6484" spans="1:4">
      <c r="A6484" s="3"/>
      <c r="D6484" s="3"/>
    </row>
    <row r="6485" spans="1:4">
      <c r="A6485" s="3"/>
      <c r="D6485" s="3"/>
    </row>
    <row r="6486" spans="1:4">
      <c r="A6486" s="3"/>
      <c r="D6486" s="3"/>
    </row>
    <row r="6487" spans="1:4">
      <c r="A6487" s="3"/>
      <c r="D6487" s="3"/>
    </row>
    <row r="6488" spans="1:4">
      <c r="A6488" s="3"/>
      <c r="D6488" s="3"/>
    </row>
    <row r="6489" spans="1:4">
      <c r="A6489" s="3"/>
      <c r="D6489" s="3"/>
    </row>
    <row r="6490" spans="1:4">
      <c r="A6490" s="3"/>
      <c r="D6490" s="3"/>
    </row>
    <row r="6491" spans="1:4">
      <c r="A6491" s="3"/>
      <c r="D6491" s="3"/>
    </row>
    <row r="6492" spans="1:4">
      <c r="A6492" s="3"/>
      <c r="D6492" s="3"/>
    </row>
    <row r="6493" spans="1:4">
      <c r="A6493" s="3"/>
      <c r="D6493" s="3"/>
    </row>
    <row r="6494" spans="1:4">
      <c r="A6494" s="3"/>
      <c r="D6494" s="3"/>
    </row>
    <row r="6495" spans="1:4">
      <c r="A6495" s="3"/>
      <c r="D6495" s="3"/>
    </row>
    <row r="6496" spans="1:4">
      <c r="A6496" s="3"/>
      <c r="D6496" s="3"/>
    </row>
    <row r="6497" spans="1:4">
      <c r="A6497" s="3"/>
      <c r="D6497" s="3"/>
    </row>
    <row r="6498" spans="1:4">
      <c r="A6498" s="3"/>
      <c r="D6498" s="3"/>
    </row>
    <row r="6499" spans="1:4">
      <c r="A6499" s="3"/>
      <c r="D6499" s="3"/>
    </row>
    <row r="6500" spans="1:4">
      <c r="A6500" s="3"/>
      <c r="D6500" s="3"/>
    </row>
    <row r="6501" spans="1:4">
      <c r="A6501" s="3"/>
      <c r="D6501" s="3"/>
    </row>
    <row r="6502" spans="1:4">
      <c r="A6502" s="3"/>
      <c r="D6502" s="3"/>
    </row>
    <row r="6503" spans="1:4">
      <c r="A6503" s="3"/>
      <c r="D6503" s="3"/>
    </row>
    <row r="6504" spans="1:4">
      <c r="A6504" s="3"/>
      <c r="D6504" s="3"/>
    </row>
    <row r="6505" spans="1:4">
      <c r="A6505" s="3"/>
      <c r="D6505" s="3"/>
    </row>
    <row r="6506" spans="1:4">
      <c r="A6506" s="3"/>
      <c r="D6506" s="3"/>
    </row>
    <row r="6507" spans="1:4">
      <c r="A6507" s="3"/>
      <c r="D6507" s="3"/>
    </row>
    <row r="6508" spans="1:4">
      <c r="A6508" s="3"/>
      <c r="D6508" s="3"/>
    </row>
    <row r="6509" spans="1:4">
      <c r="A6509" s="3"/>
      <c r="D6509" s="3"/>
    </row>
    <row r="6510" spans="1:4">
      <c r="A6510" s="3"/>
      <c r="D6510" s="3"/>
    </row>
    <row r="6511" spans="1:4">
      <c r="A6511" s="3"/>
      <c r="D6511" s="3"/>
    </row>
    <row r="6512" spans="1:4">
      <c r="A6512" s="3"/>
      <c r="D6512" s="3"/>
    </row>
    <row r="6513" spans="1:4">
      <c r="A6513" s="3"/>
      <c r="D6513" s="3"/>
    </row>
    <row r="6514" spans="1:4">
      <c r="A6514" s="3"/>
      <c r="D6514" s="3"/>
    </row>
    <row r="6515" spans="1:4">
      <c r="A6515" s="3"/>
      <c r="D6515" s="3"/>
    </row>
    <row r="6516" spans="1:4">
      <c r="A6516" s="3"/>
      <c r="D6516" s="3"/>
    </row>
    <row r="6517" spans="1:4">
      <c r="A6517" s="3"/>
      <c r="D6517" s="3"/>
    </row>
    <row r="6518" spans="1:4">
      <c r="A6518" s="3"/>
      <c r="D6518" s="3"/>
    </row>
    <row r="6519" spans="1:4">
      <c r="A6519" s="3"/>
      <c r="D6519" s="3"/>
    </row>
    <row r="6520" spans="1:4">
      <c r="A6520" s="3"/>
      <c r="D6520" s="3"/>
    </row>
    <row r="6521" spans="1:4">
      <c r="A6521" s="3"/>
      <c r="D6521" s="3"/>
    </row>
    <row r="6522" spans="1:4">
      <c r="A6522" s="3"/>
      <c r="D6522" s="3"/>
    </row>
    <row r="6523" spans="1:4">
      <c r="A6523" s="3"/>
      <c r="D6523" s="3"/>
    </row>
    <row r="6524" spans="1:4">
      <c r="A6524" s="3"/>
      <c r="D6524" s="3"/>
    </row>
    <row r="6525" spans="1:4">
      <c r="A6525" s="3"/>
      <c r="D6525" s="3"/>
    </row>
    <row r="6526" spans="1:4">
      <c r="A6526" s="3"/>
      <c r="D6526" s="3"/>
    </row>
    <row r="6527" spans="1:4">
      <c r="A6527" s="3"/>
      <c r="D6527" s="3"/>
    </row>
    <row r="6528" spans="1:4">
      <c r="A6528" s="3"/>
      <c r="D6528" s="3"/>
    </row>
    <row r="6529" spans="1:4">
      <c r="A6529" s="3"/>
      <c r="D6529" s="3"/>
    </row>
    <row r="6530" spans="1:4">
      <c r="A6530" s="3"/>
      <c r="D6530" s="3"/>
    </row>
    <row r="6531" spans="1:4">
      <c r="A6531" s="3"/>
      <c r="D6531" s="3"/>
    </row>
    <row r="6532" spans="1:4">
      <c r="A6532" s="3"/>
      <c r="D6532" s="3"/>
    </row>
    <row r="6533" spans="1:4">
      <c r="A6533" s="3"/>
      <c r="D6533" s="3"/>
    </row>
    <row r="6534" spans="1:4">
      <c r="A6534" s="3"/>
      <c r="D6534" s="3"/>
    </row>
    <row r="6535" spans="1:4">
      <c r="A6535" s="3"/>
      <c r="D6535" s="3"/>
    </row>
    <row r="6536" spans="1:4">
      <c r="A6536" s="3"/>
      <c r="D6536" s="3"/>
    </row>
    <row r="6537" spans="1:4">
      <c r="A6537" s="3"/>
      <c r="D6537" s="3"/>
    </row>
    <row r="6538" spans="1:4">
      <c r="A6538" s="3"/>
      <c r="D6538" s="3"/>
    </row>
    <row r="6539" spans="1:4">
      <c r="A6539" s="3"/>
      <c r="D6539" s="3"/>
    </row>
    <row r="6540" spans="1:4">
      <c r="A6540" s="3"/>
      <c r="D6540" s="3"/>
    </row>
    <row r="6541" spans="1:4">
      <c r="A6541" s="3"/>
      <c r="D6541" s="3"/>
    </row>
    <row r="6542" spans="1:4">
      <c r="A6542" s="3"/>
      <c r="D6542" s="3"/>
    </row>
    <row r="6543" spans="1:4">
      <c r="A6543" s="3"/>
      <c r="D6543" s="3"/>
    </row>
    <row r="6544" spans="1:4">
      <c r="A6544" s="3"/>
      <c r="D6544" s="3"/>
    </row>
    <row r="6545" spans="1:4">
      <c r="A6545" s="3"/>
      <c r="D6545" s="3"/>
    </row>
    <row r="6546" spans="1:4">
      <c r="A6546" s="3"/>
      <c r="D6546" s="3"/>
    </row>
    <row r="6547" spans="1:4">
      <c r="A6547" s="3"/>
      <c r="D6547" s="3"/>
    </row>
    <row r="6548" spans="1:4">
      <c r="A6548" s="3"/>
      <c r="D6548" s="3"/>
    </row>
    <row r="6549" spans="1:4">
      <c r="A6549" s="3"/>
      <c r="D6549" s="3"/>
    </row>
    <row r="6550" spans="1:4">
      <c r="A6550" s="3"/>
      <c r="D6550" s="3"/>
    </row>
    <row r="6551" spans="1:4">
      <c r="A6551" s="3"/>
      <c r="D6551" s="3"/>
    </row>
    <row r="6552" spans="1:4">
      <c r="A6552" s="3"/>
      <c r="D6552" s="3"/>
    </row>
    <row r="6553" spans="1:4">
      <c r="A6553" s="3"/>
      <c r="D6553" s="3"/>
    </row>
    <row r="6554" spans="1:4">
      <c r="A6554" s="3"/>
      <c r="D6554" s="3"/>
    </row>
    <row r="6555" spans="1:4">
      <c r="A6555" s="3"/>
      <c r="D6555" s="3"/>
    </row>
    <row r="6556" spans="1:4">
      <c r="A6556" s="3"/>
      <c r="D6556" s="3"/>
    </row>
    <row r="6557" spans="1:4">
      <c r="A6557" s="3"/>
      <c r="D6557" s="3"/>
    </row>
    <row r="6558" spans="1:4">
      <c r="A6558" s="3"/>
      <c r="D6558" s="3"/>
    </row>
    <row r="6559" spans="1:4">
      <c r="A6559" s="3"/>
      <c r="D6559" s="3"/>
    </row>
    <row r="6560" spans="1:4">
      <c r="A6560" s="3"/>
      <c r="D6560" s="3"/>
    </row>
    <row r="6561" spans="1:4">
      <c r="A6561" s="3"/>
      <c r="D6561" s="3"/>
    </row>
    <row r="6562" spans="1:4">
      <c r="A6562" s="3"/>
      <c r="D6562" s="3"/>
    </row>
    <row r="6563" spans="1:4">
      <c r="A6563" s="3"/>
      <c r="D6563" s="3"/>
    </row>
    <row r="6564" spans="1:4">
      <c r="A6564" s="3"/>
      <c r="D6564" s="3"/>
    </row>
    <row r="6565" spans="1:4">
      <c r="A6565" s="3"/>
      <c r="D6565" s="3"/>
    </row>
    <row r="6566" spans="1:4">
      <c r="A6566" s="3"/>
      <c r="D6566" s="3"/>
    </row>
    <row r="6567" spans="1:4">
      <c r="A6567" s="3"/>
      <c r="D6567" s="3"/>
    </row>
    <row r="6568" spans="1:4">
      <c r="A6568" s="3"/>
      <c r="D6568" s="3"/>
    </row>
    <row r="6569" spans="1:4">
      <c r="A6569" s="3"/>
      <c r="D6569" s="3"/>
    </row>
    <row r="6570" spans="1:4">
      <c r="A6570" s="3"/>
      <c r="D6570" s="3"/>
    </row>
    <row r="6571" spans="1:4">
      <c r="A6571" s="3"/>
      <c r="D6571" s="3"/>
    </row>
    <row r="6572" spans="1:4">
      <c r="A6572" s="3"/>
      <c r="D6572" s="3"/>
    </row>
    <row r="6573" spans="1:4">
      <c r="A6573" s="3"/>
      <c r="D6573" s="3"/>
    </row>
    <row r="6574" spans="1:4">
      <c r="A6574" s="3"/>
      <c r="D6574" s="3"/>
    </row>
    <row r="6575" spans="1:4">
      <c r="A6575" s="3"/>
      <c r="D6575" s="3"/>
    </row>
    <row r="6576" spans="1:4">
      <c r="A6576" s="3"/>
      <c r="D6576" s="3"/>
    </row>
    <row r="6577" spans="1:4">
      <c r="A6577" s="3"/>
      <c r="D6577" s="3"/>
    </row>
    <row r="6578" spans="1:4">
      <c r="A6578" s="3"/>
      <c r="D6578" s="3"/>
    </row>
    <row r="6579" spans="1:4">
      <c r="A6579" s="3"/>
      <c r="D6579" s="3"/>
    </row>
    <row r="6580" spans="1:4">
      <c r="A6580" s="3"/>
      <c r="D6580" s="3"/>
    </row>
    <row r="6581" spans="1:4">
      <c r="A6581" s="3"/>
      <c r="D6581" s="3"/>
    </row>
    <row r="6582" spans="1:4">
      <c r="A6582" s="3"/>
      <c r="D6582" s="3"/>
    </row>
    <row r="6583" spans="1:4">
      <c r="A6583" s="3"/>
      <c r="D6583" s="3"/>
    </row>
    <row r="6584" spans="1:4">
      <c r="A6584" s="3"/>
      <c r="D6584" s="3"/>
    </row>
    <row r="6585" spans="1:4">
      <c r="A6585" s="3"/>
      <c r="D6585" s="3"/>
    </row>
    <row r="6586" spans="1:4">
      <c r="A6586" s="3"/>
      <c r="D6586" s="3"/>
    </row>
    <row r="6587" spans="1:4">
      <c r="A6587" s="3"/>
      <c r="D6587" s="3"/>
    </row>
    <row r="6588" spans="1:4">
      <c r="A6588" s="3"/>
      <c r="D6588" s="3"/>
    </row>
    <row r="6589" spans="1:4">
      <c r="A6589" s="3"/>
      <c r="D6589" s="3"/>
    </row>
    <row r="6590" spans="1:4">
      <c r="A6590" s="3"/>
      <c r="D6590" s="3"/>
    </row>
    <row r="6591" spans="1:4">
      <c r="A6591" s="3"/>
      <c r="D6591" s="3"/>
    </row>
    <row r="6592" spans="1:4">
      <c r="A6592" s="3"/>
      <c r="D6592" s="3"/>
    </row>
    <row r="6593" spans="1:4">
      <c r="A6593" s="3"/>
      <c r="D6593" s="3"/>
    </row>
    <row r="6594" spans="1:4">
      <c r="A6594" s="3"/>
      <c r="D6594" s="3"/>
    </row>
    <row r="6595" spans="1:4">
      <c r="A6595" s="3"/>
      <c r="D6595" s="3"/>
    </row>
    <row r="6596" spans="1:4">
      <c r="A6596" s="3"/>
      <c r="D6596" s="3"/>
    </row>
    <row r="6597" spans="1:4">
      <c r="A6597" s="3"/>
      <c r="D6597" s="3"/>
    </row>
    <row r="6598" spans="1:4">
      <c r="A6598" s="3"/>
      <c r="D6598" s="3"/>
    </row>
    <row r="6599" spans="1:4">
      <c r="A6599" s="3"/>
      <c r="D6599" s="3"/>
    </row>
    <row r="6600" spans="1:4">
      <c r="A6600" s="3"/>
      <c r="D6600" s="3"/>
    </row>
    <row r="6601" spans="1:4">
      <c r="A6601" s="3"/>
      <c r="D6601" s="3"/>
    </row>
    <row r="6602" spans="1:4">
      <c r="A6602" s="3"/>
      <c r="D6602" s="3"/>
    </row>
    <row r="6603" spans="1:4">
      <c r="A6603" s="3"/>
      <c r="D6603" s="3"/>
    </row>
    <row r="6604" spans="1:4">
      <c r="A6604" s="3"/>
      <c r="D6604" s="3"/>
    </row>
    <row r="6605" spans="1:4">
      <c r="A6605" s="3"/>
      <c r="D6605" s="3"/>
    </row>
    <row r="6606" spans="1:4">
      <c r="A6606" s="3"/>
      <c r="D6606" s="3"/>
    </row>
    <row r="6607" spans="1:4">
      <c r="A6607" s="3"/>
      <c r="D6607" s="3"/>
    </row>
    <row r="6608" spans="1:4">
      <c r="A6608" s="3"/>
      <c r="D6608" s="3"/>
    </row>
    <row r="6609" spans="1:4">
      <c r="A6609" s="3"/>
      <c r="D6609" s="3"/>
    </row>
    <row r="6610" spans="1:4">
      <c r="A6610" s="3"/>
      <c r="D6610" s="3"/>
    </row>
    <row r="6611" spans="1:4">
      <c r="A6611" s="3"/>
      <c r="D6611" s="3"/>
    </row>
    <row r="6612" spans="1:4">
      <c r="A6612" s="3"/>
      <c r="D6612" s="3"/>
    </row>
    <row r="6613" spans="1:4">
      <c r="A6613" s="3"/>
      <c r="D6613" s="3"/>
    </row>
    <row r="6614" spans="1:4">
      <c r="A6614" s="3"/>
      <c r="D6614" s="3"/>
    </row>
    <row r="6615" spans="1:4">
      <c r="A6615" s="3"/>
      <c r="D6615" s="3"/>
    </row>
    <row r="6616" spans="1:4">
      <c r="A6616" s="3"/>
      <c r="D6616" s="3"/>
    </row>
    <row r="6617" spans="1:4">
      <c r="A6617" s="3"/>
      <c r="D6617" s="3"/>
    </row>
    <row r="6618" spans="1:4">
      <c r="A6618" s="3"/>
      <c r="D6618" s="3"/>
    </row>
    <row r="6619" spans="1:4">
      <c r="A6619" s="3"/>
      <c r="D6619" s="3"/>
    </row>
    <row r="6620" spans="1:4">
      <c r="A6620" s="3"/>
      <c r="D6620" s="3"/>
    </row>
    <row r="6621" spans="1:4">
      <c r="A6621" s="3"/>
      <c r="D6621" s="3"/>
    </row>
    <row r="6622" spans="1:4">
      <c r="A6622" s="3"/>
      <c r="D6622" s="3"/>
    </row>
    <row r="6623" spans="1:4">
      <c r="A6623" s="3"/>
      <c r="D6623" s="3"/>
    </row>
    <row r="6624" spans="1:4">
      <c r="A6624" s="3"/>
      <c r="D6624" s="3"/>
    </row>
    <row r="6625" spans="1:4">
      <c r="A6625" s="3"/>
      <c r="D6625" s="3"/>
    </row>
    <row r="6626" spans="1:4">
      <c r="A6626" s="3"/>
      <c r="D6626" s="3"/>
    </row>
    <row r="6627" spans="1:4">
      <c r="A6627" s="3"/>
      <c r="D6627" s="3"/>
    </row>
    <row r="6628" spans="1:4">
      <c r="A6628" s="3"/>
      <c r="D6628" s="3"/>
    </row>
    <row r="6629" spans="1:4">
      <c r="A6629" s="3"/>
      <c r="D6629" s="3"/>
    </row>
    <row r="6630" spans="1:4">
      <c r="A6630" s="3"/>
      <c r="D6630" s="3"/>
    </row>
    <row r="6631" spans="1:4">
      <c r="A6631" s="3"/>
      <c r="D6631" s="3"/>
    </row>
    <row r="6632" spans="1:4">
      <c r="A6632" s="3"/>
      <c r="D6632" s="3"/>
    </row>
    <row r="6633" spans="1:4">
      <c r="A6633" s="3"/>
      <c r="D6633" s="3"/>
    </row>
    <row r="6634" spans="1:4">
      <c r="A6634" s="3"/>
      <c r="D6634" s="3"/>
    </row>
    <row r="6635" spans="1:4">
      <c r="A6635" s="3"/>
      <c r="D6635" s="3"/>
    </row>
    <row r="6636" spans="1:4">
      <c r="A6636" s="3"/>
      <c r="D6636" s="3"/>
    </row>
    <row r="6637" spans="1:4">
      <c r="A6637" s="3"/>
      <c r="D6637" s="3"/>
    </row>
    <row r="6638" spans="1:4">
      <c r="A6638" s="3"/>
      <c r="D6638" s="3"/>
    </row>
    <row r="6639" spans="1:4">
      <c r="A6639" s="3"/>
      <c r="D6639" s="3"/>
    </row>
    <row r="6640" spans="1:4">
      <c r="A6640" s="3"/>
      <c r="D6640" s="3"/>
    </row>
    <row r="6641" spans="1:4">
      <c r="A6641" s="3"/>
      <c r="D6641" s="3"/>
    </row>
    <row r="6642" spans="1:4">
      <c r="A6642" s="3"/>
      <c r="D6642" s="3"/>
    </row>
    <row r="6643" spans="1:4">
      <c r="A6643" s="3"/>
      <c r="D6643" s="3"/>
    </row>
    <row r="6644" spans="1:4">
      <c r="A6644" s="3"/>
      <c r="D6644" s="3"/>
    </row>
    <row r="6645" spans="1:4">
      <c r="A6645" s="3"/>
      <c r="D6645" s="3"/>
    </row>
    <row r="6646" spans="1:4">
      <c r="A6646" s="3"/>
      <c r="D6646" s="3"/>
    </row>
    <row r="6647" spans="1:4">
      <c r="A6647" s="3"/>
      <c r="D6647" s="3"/>
    </row>
    <row r="6648" spans="1:4">
      <c r="A6648" s="3"/>
      <c r="D6648" s="3"/>
    </row>
    <row r="6649" spans="1:4">
      <c r="A6649" s="3"/>
      <c r="D6649" s="3"/>
    </row>
    <row r="6650" spans="1:4">
      <c r="A6650" s="3"/>
      <c r="D6650" s="3"/>
    </row>
    <row r="6651" spans="1:4">
      <c r="A6651" s="3"/>
      <c r="D6651" s="3"/>
    </row>
    <row r="6652" spans="1:4">
      <c r="A6652" s="3"/>
      <c r="D6652" s="3"/>
    </row>
    <row r="6653" spans="1:4">
      <c r="A6653" s="3"/>
      <c r="D6653" s="3"/>
    </row>
    <row r="6654" spans="1:4">
      <c r="A6654" s="3"/>
      <c r="D6654" s="3"/>
    </row>
    <row r="6655" spans="1:4">
      <c r="A6655" s="3"/>
      <c r="D6655" s="3"/>
    </row>
    <row r="6656" spans="1:4">
      <c r="A6656" s="3"/>
      <c r="D6656" s="3"/>
    </row>
    <row r="6657" spans="1:4">
      <c r="A6657" s="3"/>
      <c r="D6657" s="3"/>
    </row>
    <row r="6658" spans="1:4">
      <c r="A6658" s="3"/>
      <c r="D6658" s="3"/>
    </row>
    <row r="6659" spans="1:4">
      <c r="A6659" s="3"/>
      <c r="D6659" s="3"/>
    </row>
    <row r="6660" spans="1:4">
      <c r="A6660" s="3"/>
      <c r="D6660" s="3"/>
    </row>
    <row r="6661" spans="1:4">
      <c r="A6661" s="3"/>
      <c r="D6661" s="3"/>
    </row>
    <row r="6662" spans="1:4">
      <c r="A6662" s="3"/>
      <c r="D6662" s="3"/>
    </row>
    <row r="6663" spans="1:4">
      <c r="A6663" s="3"/>
      <c r="D6663" s="3"/>
    </row>
    <row r="6664" spans="1:4">
      <c r="A6664" s="3"/>
      <c r="D6664" s="3"/>
    </row>
    <row r="6665" spans="1:4">
      <c r="A6665" s="3"/>
      <c r="D6665" s="3"/>
    </row>
    <row r="6666" spans="1:4">
      <c r="A6666" s="3"/>
      <c r="D6666" s="3"/>
    </row>
    <row r="6667" spans="1:4">
      <c r="A6667" s="3"/>
      <c r="D6667" s="3"/>
    </row>
    <row r="6668" spans="1:4">
      <c r="A6668" s="3"/>
      <c r="D6668" s="3"/>
    </row>
    <row r="6669" spans="1:4">
      <c r="A6669" s="3"/>
      <c r="D6669" s="3"/>
    </row>
    <row r="6670" spans="1:4">
      <c r="A6670" s="3"/>
      <c r="D6670" s="3"/>
    </row>
    <row r="6671" spans="1:4">
      <c r="A6671" s="3"/>
      <c r="D6671" s="3"/>
    </row>
    <row r="6672" spans="1:4">
      <c r="A6672" s="3"/>
      <c r="D6672" s="3"/>
    </row>
    <row r="6673" spans="1:4">
      <c r="A6673" s="3"/>
      <c r="D6673" s="3"/>
    </row>
    <row r="6674" spans="1:4">
      <c r="A6674" s="3"/>
      <c r="D6674" s="3"/>
    </row>
    <row r="6675" spans="1:4">
      <c r="A6675" s="3"/>
      <c r="D6675" s="3"/>
    </row>
    <row r="6676" spans="1:4">
      <c r="A6676" s="3"/>
      <c r="D6676" s="3"/>
    </row>
    <row r="6677" spans="1:4">
      <c r="A6677" s="3"/>
      <c r="D6677" s="3"/>
    </row>
    <row r="6678" spans="1:4">
      <c r="A6678" s="3"/>
      <c r="D6678" s="3"/>
    </row>
    <row r="6679" spans="1:4">
      <c r="A6679" s="3"/>
      <c r="D6679" s="3"/>
    </row>
    <row r="6680" spans="1:4">
      <c r="A6680" s="3"/>
      <c r="D6680" s="3"/>
    </row>
    <row r="6681" spans="1:4">
      <c r="A6681" s="3"/>
      <c r="D6681" s="3"/>
    </row>
    <row r="6682" spans="1:4">
      <c r="A6682" s="3"/>
      <c r="D6682" s="3"/>
    </row>
    <row r="6683" spans="1:4">
      <c r="A6683" s="3"/>
      <c r="D6683" s="3"/>
    </row>
    <row r="6684" spans="1:4">
      <c r="A6684" s="3"/>
      <c r="D6684" s="3"/>
    </row>
    <row r="6685" spans="1:4">
      <c r="A6685" s="3"/>
      <c r="D6685" s="3"/>
    </row>
    <row r="6686" spans="1:4">
      <c r="A6686" s="3"/>
      <c r="D6686" s="3"/>
    </row>
    <row r="6687" spans="1:4">
      <c r="A6687" s="3"/>
      <c r="D6687" s="3"/>
    </row>
    <row r="6688" spans="1:4">
      <c r="A6688" s="3"/>
      <c r="D6688" s="3"/>
    </row>
    <row r="6689" spans="1:4">
      <c r="A6689" s="3"/>
      <c r="D6689" s="3"/>
    </row>
    <row r="6690" spans="1:4">
      <c r="A6690" s="3"/>
      <c r="D6690" s="3"/>
    </row>
    <row r="6691" spans="1:4">
      <c r="A6691" s="3"/>
      <c r="D6691" s="3"/>
    </row>
    <row r="6692" spans="1:4">
      <c r="A6692" s="3"/>
      <c r="D6692" s="3"/>
    </row>
    <row r="6693" spans="1:4">
      <c r="A6693" s="3"/>
      <c r="D6693" s="3"/>
    </row>
    <row r="6694" spans="1:4">
      <c r="A6694" s="3"/>
      <c r="D6694" s="3"/>
    </row>
    <row r="6695" spans="1:4">
      <c r="A6695" s="3"/>
      <c r="D6695" s="3"/>
    </row>
    <row r="6696" spans="1:4">
      <c r="A6696" s="3"/>
      <c r="D6696" s="3"/>
    </row>
    <row r="6697" spans="1:4">
      <c r="A6697" s="3"/>
      <c r="D6697" s="3"/>
    </row>
    <row r="6698" spans="1:4">
      <c r="A6698" s="3"/>
      <c r="D6698" s="3"/>
    </row>
    <row r="6699" spans="1:4">
      <c r="A6699" s="3"/>
      <c r="D6699" s="3"/>
    </row>
    <row r="6700" spans="1:4">
      <c r="A6700" s="3"/>
      <c r="D6700" s="3"/>
    </row>
    <row r="6701" spans="1:4">
      <c r="A6701" s="3"/>
      <c r="D6701" s="3"/>
    </row>
    <row r="6702" spans="1:4">
      <c r="A6702" s="3"/>
      <c r="D6702" s="3"/>
    </row>
    <row r="6703" spans="1:4">
      <c r="A6703" s="3"/>
      <c r="D6703" s="3"/>
    </row>
    <row r="6704" spans="1:4">
      <c r="A6704" s="3"/>
      <c r="D6704" s="3"/>
    </row>
    <row r="6705" spans="1:4">
      <c r="A6705" s="3"/>
      <c r="D6705" s="3"/>
    </row>
    <row r="6706" spans="1:4">
      <c r="A6706" s="3"/>
      <c r="D6706" s="3"/>
    </row>
    <row r="6707" spans="1:4">
      <c r="A6707" s="3"/>
      <c r="D6707" s="3"/>
    </row>
    <row r="6708" spans="1:4">
      <c r="A6708" s="3"/>
      <c r="D6708" s="3"/>
    </row>
    <row r="6709" spans="1:4">
      <c r="A6709" s="3"/>
      <c r="D6709" s="3"/>
    </row>
    <row r="6710" spans="1:4">
      <c r="A6710" s="3"/>
      <c r="D6710" s="3"/>
    </row>
    <row r="6711" spans="1:4">
      <c r="A6711" s="3"/>
      <c r="D6711" s="3"/>
    </row>
    <row r="6712" spans="1:4">
      <c r="A6712" s="3"/>
      <c r="D6712" s="3"/>
    </row>
    <row r="6713" spans="1:4">
      <c r="A6713" s="3"/>
      <c r="D6713" s="3"/>
    </row>
    <row r="6714" spans="1:4">
      <c r="A6714" s="3"/>
      <c r="D6714" s="3"/>
    </row>
    <row r="6715" spans="1:4">
      <c r="A6715" s="3"/>
      <c r="D6715" s="3"/>
    </row>
    <row r="6716" spans="1:4">
      <c r="A6716" s="3"/>
      <c r="D6716" s="3"/>
    </row>
    <row r="6717" spans="1:4">
      <c r="A6717" s="3"/>
      <c r="D6717" s="3"/>
    </row>
    <row r="6718" spans="1:4">
      <c r="A6718" s="3"/>
      <c r="D6718" s="3"/>
    </row>
    <row r="6719" spans="1:4">
      <c r="A6719" s="3"/>
      <c r="D6719" s="3"/>
    </row>
    <row r="6720" spans="1:4">
      <c r="A6720" s="3"/>
      <c r="D6720" s="3"/>
    </row>
    <row r="6721" spans="1:4">
      <c r="A6721" s="3"/>
      <c r="D6721" s="3"/>
    </row>
    <row r="6722" spans="1:4">
      <c r="A6722" s="3"/>
      <c r="D6722" s="3"/>
    </row>
    <row r="6723" spans="1:4">
      <c r="A6723" s="3"/>
      <c r="D6723" s="3"/>
    </row>
    <row r="6724" spans="1:4">
      <c r="A6724" s="3"/>
      <c r="D6724" s="3"/>
    </row>
    <row r="6725" spans="1:4">
      <c r="A6725" s="3"/>
      <c r="D6725" s="3"/>
    </row>
    <row r="6726" spans="1:4">
      <c r="A6726" s="3"/>
      <c r="D6726" s="3"/>
    </row>
    <row r="6727" spans="1:4">
      <c r="A6727" s="3"/>
      <c r="D6727" s="3"/>
    </row>
    <row r="6728" spans="1:4">
      <c r="A6728" s="3"/>
      <c r="D6728" s="3"/>
    </row>
    <row r="6729" spans="1:4">
      <c r="A6729" s="3"/>
      <c r="D6729" s="3"/>
    </row>
    <row r="6730" spans="1:4">
      <c r="A6730" s="3"/>
      <c r="D6730" s="3"/>
    </row>
    <row r="6731" spans="1:4">
      <c r="A6731" s="3"/>
      <c r="D6731" s="3"/>
    </row>
    <row r="6732" spans="1:4">
      <c r="A6732" s="3"/>
      <c r="D6732" s="3"/>
    </row>
    <row r="6733" spans="1:4">
      <c r="A6733" s="3"/>
      <c r="D6733" s="3"/>
    </row>
    <row r="6734" spans="1:4">
      <c r="A6734" s="3"/>
      <c r="D6734" s="3"/>
    </row>
    <row r="6735" spans="1:4">
      <c r="A6735" s="3"/>
      <c r="D6735" s="3"/>
    </row>
    <row r="6736" spans="1:4">
      <c r="A6736" s="3"/>
      <c r="D6736" s="3"/>
    </row>
    <row r="6737" spans="1:4">
      <c r="A6737" s="3"/>
      <c r="D6737" s="3"/>
    </row>
    <row r="6738" spans="1:4">
      <c r="A6738" s="3"/>
      <c r="D6738" s="3"/>
    </row>
    <row r="6739" spans="1:4">
      <c r="A6739" s="3"/>
      <c r="D6739" s="3"/>
    </row>
    <row r="6740" spans="1:4">
      <c r="A6740" s="3"/>
      <c r="D6740" s="3"/>
    </row>
    <row r="6741" spans="1:4">
      <c r="A6741" s="3"/>
      <c r="D6741" s="3"/>
    </row>
    <row r="6742" spans="1:4">
      <c r="A6742" s="3"/>
      <c r="D6742" s="3"/>
    </row>
    <row r="6743" spans="1:4">
      <c r="A6743" s="3"/>
      <c r="D6743" s="3"/>
    </row>
    <row r="6744" spans="1:4">
      <c r="A6744" s="3"/>
      <c r="D6744" s="3"/>
    </row>
    <row r="6745" spans="1:4">
      <c r="A6745" s="3"/>
      <c r="D6745" s="3"/>
    </row>
    <row r="6746" spans="1:4">
      <c r="A6746" s="3"/>
      <c r="D6746" s="3"/>
    </row>
    <row r="6747" spans="1:4">
      <c r="A6747" s="3"/>
      <c r="D6747" s="3"/>
    </row>
    <row r="6748" spans="1:4">
      <c r="A6748" s="3"/>
      <c r="D6748" s="3"/>
    </row>
    <row r="6749" spans="1:4">
      <c r="A6749" s="3"/>
      <c r="D6749" s="3"/>
    </row>
    <row r="6750" spans="1:4">
      <c r="A6750" s="3"/>
      <c r="D6750" s="3"/>
    </row>
    <row r="6751" spans="1:4">
      <c r="A6751" s="3"/>
      <c r="D6751" s="3"/>
    </row>
    <row r="6752" spans="1:4">
      <c r="A6752" s="3"/>
      <c r="D6752" s="3"/>
    </row>
    <row r="6753" spans="1:4">
      <c r="A6753" s="3"/>
      <c r="D6753" s="3"/>
    </row>
    <row r="6754" spans="1:4">
      <c r="A6754" s="3"/>
      <c r="D6754" s="3"/>
    </row>
    <row r="6755" spans="1:4">
      <c r="A6755" s="3"/>
      <c r="D6755" s="3"/>
    </row>
    <row r="6756" spans="1:4">
      <c r="A6756" s="3"/>
      <c r="D6756" s="3"/>
    </row>
    <row r="6757" spans="1:4">
      <c r="A6757" s="3"/>
      <c r="D6757" s="3"/>
    </row>
    <row r="6758" spans="1:4">
      <c r="A6758" s="3"/>
      <c r="D6758" s="3"/>
    </row>
    <row r="6759" spans="1:4">
      <c r="A6759" s="3"/>
      <c r="D6759" s="3"/>
    </row>
    <row r="6760" spans="1:4">
      <c r="A6760" s="3"/>
      <c r="D6760" s="3"/>
    </row>
    <row r="6761" spans="1:4">
      <c r="A6761" s="3"/>
      <c r="D6761" s="3"/>
    </row>
    <row r="6762" spans="1:4">
      <c r="A6762" s="3"/>
      <c r="D6762" s="3"/>
    </row>
    <row r="6763" spans="1:4">
      <c r="A6763" s="3"/>
      <c r="D6763" s="3"/>
    </row>
    <row r="6764" spans="1:4">
      <c r="A6764" s="3"/>
      <c r="D6764" s="3"/>
    </row>
    <row r="6765" spans="1:4">
      <c r="A6765" s="3"/>
      <c r="D6765" s="3"/>
    </row>
    <row r="6766" spans="1:4">
      <c r="A6766" s="3"/>
      <c r="D6766" s="3"/>
    </row>
    <row r="6767" spans="1:4">
      <c r="A6767" s="3"/>
      <c r="D6767" s="3"/>
    </row>
    <row r="6768" spans="1:4">
      <c r="A6768" s="3"/>
      <c r="D6768" s="3"/>
    </row>
    <row r="6769" spans="1:4">
      <c r="A6769" s="3"/>
      <c r="D6769" s="3"/>
    </row>
    <row r="6770" spans="1:4">
      <c r="A6770" s="3"/>
      <c r="D6770" s="3"/>
    </row>
    <row r="6771" spans="1:4">
      <c r="A6771" s="3"/>
      <c r="D6771" s="3"/>
    </row>
    <row r="6772" spans="1:4">
      <c r="A6772" s="3"/>
      <c r="D6772" s="3"/>
    </row>
    <row r="6773" spans="1:4">
      <c r="A6773" s="3"/>
      <c r="D6773" s="3"/>
    </row>
    <row r="6774" spans="1:4">
      <c r="A6774" s="3"/>
      <c r="D6774" s="3"/>
    </row>
    <row r="6775" spans="1:4">
      <c r="A6775" s="3"/>
      <c r="D6775" s="3"/>
    </row>
    <row r="6776" spans="1:4">
      <c r="A6776" s="3"/>
      <c r="D6776" s="3"/>
    </row>
    <row r="6777" spans="1:4">
      <c r="A6777" s="3"/>
      <c r="D6777" s="3"/>
    </row>
    <row r="6778" spans="1:4">
      <c r="A6778" s="3"/>
      <c r="D6778" s="3"/>
    </row>
    <row r="6779" spans="1:4">
      <c r="A6779" s="3"/>
      <c r="D6779" s="3"/>
    </row>
    <row r="6780" spans="1:4">
      <c r="A6780" s="3"/>
      <c r="D6780" s="3"/>
    </row>
    <row r="6781" spans="1:4">
      <c r="A6781" s="3"/>
      <c r="D6781" s="3"/>
    </row>
    <row r="6782" spans="1:4">
      <c r="A6782" s="3"/>
      <c r="D6782" s="3"/>
    </row>
    <row r="6783" spans="1:4">
      <c r="A6783" s="3"/>
      <c r="D6783" s="3"/>
    </row>
    <row r="6784" spans="1:4">
      <c r="A6784" s="3"/>
      <c r="D6784" s="3"/>
    </row>
    <row r="6785" spans="1:4">
      <c r="A6785" s="3"/>
      <c r="D6785" s="3"/>
    </row>
    <row r="6786" spans="1:4">
      <c r="A6786" s="3"/>
      <c r="D6786" s="3"/>
    </row>
    <row r="6787" spans="1:4">
      <c r="A6787" s="3"/>
      <c r="D6787" s="3"/>
    </row>
    <row r="6788" spans="1:4">
      <c r="A6788" s="3"/>
      <c r="D6788" s="3"/>
    </row>
    <row r="6789" spans="1:4">
      <c r="A6789" s="3"/>
      <c r="D6789" s="3"/>
    </row>
    <row r="6790" spans="1:4">
      <c r="A6790" s="3"/>
      <c r="D6790" s="3"/>
    </row>
    <row r="6791" spans="1:4">
      <c r="A6791" s="3"/>
      <c r="D6791" s="3"/>
    </row>
    <row r="6792" spans="1:4">
      <c r="A6792" s="3"/>
      <c r="D6792" s="3"/>
    </row>
    <row r="6793" spans="1:4">
      <c r="A6793" s="3"/>
      <c r="D6793" s="3"/>
    </row>
    <row r="6794" spans="1:4">
      <c r="A6794" s="3"/>
      <c r="D6794" s="3"/>
    </row>
    <row r="6795" spans="1:4">
      <c r="A6795" s="3"/>
      <c r="D6795" s="3"/>
    </row>
    <row r="6796" spans="1:4">
      <c r="A6796" s="3"/>
      <c r="D6796" s="3"/>
    </row>
    <row r="6797" spans="1:4">
      <c r="A6797" s="3"/>
      <c r="D6797" s="3"/>
    </row>
    <row r="6798" spans="1:4">
      <c r="A6798" s="3"/>
      <c r="D6798" s="3"/>
    </row>
    <row r="6799" spans="1:4">
      <c r="A6799" s="3"/>
      <c r="D6799" s="3"/>
    </row>
    <row r="6800" spans="1:4">
      <c r="A6800" s="3"/>
      <c r="D6800" s="3"/>
    </row>
    <row r="6801" spans="1:4">
      <c r="A6801" s="3"/>
      <c r="D6801" s="3"/>
    </row>
    <row r="6802" spans="1:4">
      <c r="A6802" s="3"/>
      <c r="D6802" s="3"/>
    </row>
    <row r="6803" spans="1:4">
      <c r="A6803" s="3"/>
      <c r="D6803" s="3"/>
    </row>
    <row r="6804" spans="1:4">
      <c r="A6804" s="3"/>
      <c r="D6804" s="3"/>
    </row>
    <row r="6805" spans="1:4">
      <c r="A6805" s="3"/>
      <c r="D6805" s="3"/>
    </row>
    <row r="6806" spans="1:4">
      <c r="A6806" s="3"/>
      <c r="D6806" s="3"/>
    </row>
    <row r="6807" spans="1:4">
      <c r="A6807" s="3"/>
      <c r="D6807" s="3"/>
    </row>
    <row r="6808" spans="1:4">
      <c r="A6808" s="3"/>
      <c r="D6808" s="3"/>
    </row>
    <row r="6809" spans="1:4">
      <c r="A6809" s="3"/>
      <c r="D6809" s="3"/>
    </row>
    <row r="6810" spans="1:4">
      <c r="A6810" s="3"/>
      <c r="D6810" s="3"/>
    </row>
    <row r="6811" spans="1:4">
      <c r="A6811" s="3"/>
      <c r="D6811" s="3"/>
    </row>
    <row r="6812" spans="1:4">
      <c r="A6812" s="3"/>
      <c r="D6812" s="3"/>
    </row>
    <row r="6813" spans="1:4">
      <c r="A6813" s="3"/>
      <c r="D6813" s="3"/>
    </row>
    <row r="6814" spans="1:4">
      <c r="A6814" s="3"/>
      <c r="D6814" s="3"/>
    </row>
    <row r="6815" spans="1:4">
      <c r="A6815" s="3"/>
      <c r="D6815" s="3"/>
    </row>
    <row r="6816" spans="1:4">
      <c r="A6816" s="3"/>
      <c r="D6816" s="3"/>
    </row>
    <row r="6817" spans="1:4">
      <c r="A6817" s="3"/>
      <c r="D6817" s="3"/>
    </row>
    <row r="6818" spans="1:4">
      <c r="A6818" s="3"/>
      <c r="D6818" s="3"/>
    </row>
    <row r="6819" spans="1:4">
      <c r="A6819" s="3"/>
      <c r="D6819" s="3"/>
    </row>
    <row r="6820" spans="1:4">
      <c r="A6820" s="3"/>
      <c r="D6820" s="3"/>
    </row>
    <row r="6821" spans="1:4">
      <c r="A6821" s="3"/>
      <c r="D6821" s="3"/>
    </row>
    <row r="6822" spans="1:4">
      <c r="A6822" s="3"/>
      <c r="D6822" s="3"/>
    </row>
    <row r="6823" spans="1:4">
      <c r="A6823" s="3"/>
      <c r="D6823" s="3"/>
    </row>
    <row r="6824" spans="1:4">
      <c r="A6824" s="3"/>
      <c r="D6824" s="3"/>
    </row>
    <row r="6825" spans="1:4">
      <c r="A6825" s="3"/>
      <c r="D6825" s="3"/>
    </row>
    <row r="6826" spans="1:4">
      <c r="A6826" s="3"/>
      <c r="D6826" s="3"/>
    </row>
    <row r="6827" spans="1:4">
      <c r="A6827" s="3"/>
      <c r="D6827" s="3"/>
    </row>
    <row r="6828" spans="1:4">
      <c r="A6828" s="3"/>
      <c r="D6828" s="3"/>
    </row>
    <row r="6829" spans="1:4">
      <c r="A6829" s="3"/>
      <c r="D6829" s="3"/>
    </row>
    <row r="6830" spans="1:4">
      <c r="A6830" s="3"/>
      <c r="D6830" s="3"/>
    </row>
    <row r="6831" spans="1:4">
      <c r="A6831" s="3"/>
      <c r="D6831" s="3"/>
    </row>
    <row r="6832" spans="1:4">
      <c r="A6832" s="3"/>
      <c r="D6832" s="3"/>
    </row>
    <row r="6833" spans="1:4">
      <c r="A6833" s="3"/>
      <c r="D6833" s="3"/>
    </row>
    <row r="6834" spans="1:4">
      <c r="A6834" s="3"/>
      <c r="D6834" s="3"/>
    </row>
    <row r="6835" spans="1:4">
      <c r="A6835" s="3"/>
      <c r="D6835" s="3"/>
    </row>
    <row r="6836" spans="1:4">
      <c r="A6836" s="3"/>
      <c r="D6836" s="3"/>
    </row>
    <row r="6837" spans="1:4">
      <c r="A6837" s="3"/>
      <c r="D6837" s="3"/>
    </row>
    <row r="6838" spans="1:4">
      <c r="A6838" s="3"/>
      <c r="D6838" s="3"/>
    </row>
    <row r="6839" spans="1:4">
      <c r="A6839" s="3"/>
      <c r="D6839" s="3"/>
    </row>
    <row r="6840" spans="1:4">
      <c r="A6840" s="3"/>
      <c r="D6840" s="3"/>
    </row>
    <row r="6841" spans="1:4">
      <c r="A6841" s="3"/>
      <c r="D6841" s="3"/>
    </row>
    <row r="6842" spans="1:4">
      <c r="A6842" s="3"/>
      <c r="D6842" s="3"/>
    </row>
    <row r="6843" spans="1:4">
      <c r="A6843" s="3"/>
      <c r="D6843" s="3"/>
    </row>
    <row r="6844" spans="1:4">
      <c r="A6844" s="3"/>
      <c r="D6844" s="3"/>
    </row>
    <row r="6845" spans="1:4">
      <c r="A6845" s="3"/>
      <c r="D6845" s="3"/>
    </row>
    <row r="6846" spans="1:4">
      <c r="A6846" s="3"/>
      <c r="D6846" s="3"/>
    </row>
    <row r="6847" spans="1:4">
      <c r="A6847" s="3"/>
      <c r="D6847" s="3"/>
    </row>
    <row r="6848" spans="1:4">
      <c r="A6848" s="3"/>
      <c r="D6848" s="3"/>
    </row>
    <row r="6849" spans="1:4">
      <c r="A6849" s="3"/>
      <c r="D6849" s="3"/>
    </row>
    <row r="6850" spans="1:4">
      <c r="A6850" s="3"/>
      <c r="D6850" s="3"/>
    </row>
    <row r="6851" spans="1:4">
      <c r="A6851" s="3"/>
      <c r="D6851" s="3"/>
    </row>
    <row r="6852" spans="1:4">
      <c r="A6852" s="3"/>
      <c r="D6852" s="3"/>
    </row>
    <row r="6853" spans="1:4">
      <c r="A6853" s="3"/>
      <c r="D6853" s="3"/>
    </row>
    <row r="6854" spans="1:4">
      <c r="A6854" s="3"/>
      <c r="D6854" s="3"/>
    </row>
    <row r="6855" spans="1:4">
      <c r="A6855" s="3"/>
      <c r="D6855" s="3"/>
    </row>
    <row r="6856" spans="1:4">
      <c r="A6856" s="3"/>
      <c r="D6856" s="3"/>
    </row>
    <row r="6857" spans="1:4">
      <c r="A6857" s="3"/>
      <c r="D6857" s="3"/>
    </row>
    <row r="6858" spans="1:4">
      <c r="A6858" s="3"/>
      <c r="D6858" s="3"/>
    </row>
    <row r="6859" spans="1:4">
      <c r="A6859" s="3"/>
      <c r="D6859" s="3"/>
    </row>
    <row r="6860" spans="1:4">
      <c r="A6860" s="3"/>
      <c r="D6860" s="3"/>
    </row>
    <row r="6861" spans="1:4">
      <c r="A6861" s="3"/>
      <c r="D6861" s="3"/>
    </row>
    <row r="6862" spans="1:4">
      <c r="A6862" s="3"/>
      <c r="D6862" s="3"/>
    </row>
    <row r="6863" spans="1:4">
      <c r="A6863" s="3"/>
      <c r="D6863" s="3"/>
    </row>
    <row r="6864" spans="1:4">
      <c r="A6864" s="3"/>
      <c r="D6864" s="3"/>
    </row>
    <row r="6865" spans="1:4">
      <c r="A6865" s="3"/>
      <c r="D6865" s="3"/>
    </row>
    <row r="6866" spans="1:4">
      <c r="A6866" s="3"/>
      <c r="D6866" s="3"/>
    </row>
    <row r="6867" spans="1:4">
      <c r="A6867" s="3"/>
      <c r="D6867" s="3"/>
    </row>
    <row r="6868" spans="1:4">
      <c r="A6868" s="3"/>
      <c r="D6868" s="3"/>
    </row>
    <row r="6869" spans="1:4">
      <c r="A6869" s="3"/>
      <c r="D6869" s="3"/>
    </row>
    <row r="6870" spans="1:4">
      <c r="A6870" s="3"/>
      <c r="D6870" s="3"/>
    </row>
    <row r="6871" spans="1:4">
      <c r="A6871" s="3"/>
      <c r="D6871" s="3"/>
    </row>
    <row r="6872" spans="1:4">
      <c r="A6872" s="3"/>
      <c r="D6872" s="3"/>
    </row>
    <row r="6873" spans="1:4">
      <c r="A6873" s="3"/>
      <c r="D6873" s="3"/>
    </row>
    <row r="6874" spans="1:4">
      <c r="A6874" s="3"/>
      <c r="D6874" s="3"/>
    </row>
    <row r="6875" spans="1:4">
      <c r="A6875" s="3"/>
      <c r="D6875" s="3"/>
    </row>
    <row r="6876" spans="1:4">
      <c r="A6876" s="3"/>
      <c r="D6876" s="3"/>
    </row>
    <row r="6877" spans="1:4">
      <c r="A6877" s="3"/>
      <c r="D6877" s="3"/>
    </row>
    <row r="6878" spans="1:4">
      <c r="A6878" s="3"/>
      <c r="D6878" s="3"/>
    </row>
    <row r="6879" spans="1:4">
      <c r="A6879" s="3"/>
      <c r="D6879" s="3"/>
    </row>
    <row r="6880" spans="1:4">
      <c r="A6880" s="3"/>
      <c r="D6880" s="3"/>
    </row>
    <row r="6881" spans="1:4">
      <c r="A6881" s="3"/>
      <c r="D6881" s="3"/>
    </row>
    <row r="6882" spans="1:4">
      <c r="A6882" s="3"/>
      <c r="D6882" s="3"/>
    </row>
    <row r="6883" spans="1:4">
      <c r="A6883" s="3"/>
      <c r="D6883" s="3"/>
    </row>
    <row r="6884" spans="1:4">
      <c r="A6884" s="3"/>
      <c r="D6884" s="3"/>
    </row>
    <row r="6885" spans="1:4">
      <c r="A6885" s="3"/>
      <c r="D6885" s="3"/>
    </row>
    <row r="6886" spans="1:4">
      <c r="A6886" s="3"/>
      <c r="D6886" s="3"/>
    </row>
    <row r="6887" spans="1:4">
      <c r="A6887" s="3"/>
      <c r="D6887" s="3"/>
    </row>
    <row r="6888" spans="1:4">
      <c r="A6888" s="3"/>
      <c r="D6888" s="3"/>
    </row>
    <row r="6889" spans="1:4">
      <c r="A6889" s="3"/>
      <c r="D6889" s="3"/>
    </row>
    <row r="6890" spans="1:4">
      <c r="A6890" s="3"/>
      <c r="D6890" s="3"/>
    </row>
    <row r="6891" spans="1:4">
      <c r="A6891" s="3"/>
      <c r="D6891" s="3"/>
    </row>
    <row r="6892" spans="1:4">
      <c r="A6892" s="3"/>
      <c r="D6892" s="3"/>
    </row>
    <row r="6893" spans="1:4">
      <c r="A6893" s="3"/>
      <c r="D6893" s="3"/>
    </row>
    <row r="6894" spans="1:4">
      <c r="A6894" s="3"/>
      <c r="D6894" s="3"/>
    </row>
    <row r="6895" spans="1:4">
      <c r="A6895" s="3"/>
      <c r="D6895" s="3"/>
    </row>
    <row r="6896" spans="1:4">
      <c r="A6896" s="3"/>
      <c r="D6896" s="3"/>
    </row>
    <row r="6897" spans="1:4">
      <c r="A6897" s="3"/>
      <c r="D6897" s="3"/>
    </row>
    <row r="6898" spans="1:4">
      <c r="A6898" s="3"/>
      <c r="D6898" s="3"/>
    </row>
    <row r="6899" spans="1:4">
      <c r="A6899" s="3"/>
      <c r="D6899" s="3"/>
    </row>
    <row r="6900" spans="1:4">
      <c r="A6900" s="3"/>
      <c r="D6900" s="3"/>
    </row>
    <row r="6901" spans="1:4">
      <c r="A6901" s="3"/>
      <c r="D6901" s="3"/>
    </row>
    <row r="6902" spans="1:4">
      <c r="A6902" s="3"/>
      <c r="D6902" s="3"/>
    </row>
    <row r="6903" spans="1:4">
      <c r="A6903" s="3"/>
      <c r="D6903" s="3"/>
    </row>
    <row r="6904" spans="1:4">
      <c r="A6904" s="3"/>
      <c r="D6904" s="3"/>
    </row>
    <row r="6905" spans="1:4">
      <c r="A6905" s="3"/>
      <c r="D6905" s="3"/>
    </row>
    <row r="6906" spans="1:4">
      <c r="A6906" s="3"/>
      <c r="D6906" s="3"/>
    </row>
    <row r="6907" spans="1:4">
      <c r="A6907" s="3"/>
      <c r="D6907" s="3"/>
    </row>
    <row r="6908" spans="1:4">
      <c r="A6908" s="3"/>
      <c r="D6908" s="3"/>
    </row>
    <row r="6909" spans="1:4">
      <c r="A6909" s="3"/>
      <c r="D6909" s="3"/>
    </row>
    <row r="6910" spans="1:4">
      <c r="A6910" s="3"/>
      <c r="D6910" s="3"/>
    </row>
    <row r="6911" spans="1:4">
      <c r="A6911" s="3"/>
      <c r="D6911" s="3"/>
    </row>
    <row r="6912" spans="1:4">
      <c r="A6912" s="3"/>
      <c r="D6912" s="3"/>
    </row>
    <row r="6913" spans="1:4">
      <c r="A6913" s="3"/>
      <c r="D6913" s="3"/>
    </row>
    <row r="6914" spans="1:4">
      <c r="A6914" s="3"/>
      <c r="D6914" s="3"/>
    </row>
    <row r="6915" spans="1:4">
      <c r="A6915" s="3"/>
      <c r="D6915" s="3"/>
    </row>
    <row r="6916" spans="1:4">
      <c r="A6916" s="3"/>
      <c r="D6916" s="3"/>
    </row>
    <row r="6917" spans="1:4">
      <c r="A6917" s="3"/>
      <c r="D6917" s="3"/>
    </row>
    <row r="6918" spans="1:4">
      <c r="A6918" s="3"/>
      <c r="D6918" s="3"/>
    </row>
    <row r="6919" spans="1:4">
      <c r="A6919" s="3"/>
      <c r="D6919" s="3"/>
    </row>
    <row r="6920" spans="1:4">
      <c r="A6920" s="3"/>
      <c r="D6920" s="3"/>
    </row>
    <row r="6921" spans="1:4">
      <c r="A6921" s="3"/>
      <c r="D6921" s="3"/>
    </row>
    <row r="6922" spans="1:4">
      <c r="A6922" s="3"/>
      <c r="D6922" s="3"/>
    </row>
    <row r="6923" spans="1:4">
      <c r="A6923" s="3"/>
      <c r="D6923" s="3"/>
    </row>
    <row r="6924" spans="1:4">
      <c r="A6924" s="3"/>
      <c r="D6924" s="3"/>
    </row>
    <row r="6925" spans="1:4">
      <c r="A6925" s="3"/>
      <c r="D6925" s="3"/>
    </row>
    <row r="6926" spans="1:4">
      <c r="A6926" s="3"/>
      <c r="D6926" s="3"/>
    </row>
    <row r="6927" spans="1:4">
      <c r="A6927" s="3"/>
      <c r="D6927" s="3"/>
    </row>
    <row r="6928" spans="1:4">
      <c r="A6928" s="3"/>
      <c r="D6928" s="3"/>
    </row>
    <row r="6929" spans="1:4">
      <c r="A6929" s="3"/>
      <c r="D6929" s="3"/>
    </row>
    <row r="6930" spans="1:4">
      <c r="A6930" s="3"/>
      <c r="D6930" s="3"/>
    </row>
    <row r="6931" spans="1:4">
      <c r="A6931" s="3"/>
      <c r="D6931" s="3"/>
    </row>
    <row r="6932" spans="1:4">
      <c r="A6932" s="3"/>
      <c r="D6932" s="3"/>
    </row>
    <row r="6933" spans="1:4">
      <c r="A6933" s="3"/>
      <c r="D6933" s="3"/>
    </row>
    <row r="6934" spans="1:4">
      <c r="A6934" s="3"/>
      <c r="D6934" s="3"/>
    </row>
    <row r="6935" spans="1:4">
      <c r="A6935" s="3"/>
      <c r="D6935" s="3"/>
    </row>
    <row r="6936" spans="1:4">
      <c r="A6936" s="3"/>
      <c r="D6936" s="3"/>
    </row>
    <row r="6937" spans="1:4">
      <c r="A6937" s="3"/>
      <c r="D6937" s="3"/>
    </row>
    <row r="6938" spans="1:4">
      <c r="A6938" s="3"/>
      <c r="D6938" s="3"/>
    </row>
    <row r="6939" spans="1:4">
      <c r="A6939" s="3"/>
      <c r="D6939" s="3"/>
    </row>
    <row r="6940" spans="1:4">
      <c r="A6940" s="3"/>
      <c r="D6940" s="3"/>
    </row>
    <row r="6941" spans="1:4">
      <c r="A6941" s="3"/>
      <c r="D6941" s="3"/>
    </row>
    <row r="6942" spans="1:4">
      <c r="A6942" s="3"/>
      <c r="D6942" s="3"/>
    </row>
    <row r="6943" spans="1:4">
      <c r="A6943" s="3"/>
      <c r="D6943" s="3"/>
    </row>
    <row r="6944" spans="1:4">
      <c r="A6944" s="3"/>
      <c r="D6944" s="3"/>
    </row>
    <row r="6945" spans="1:4">
      <c r="A6945" s="3"/>
      <c r="D6945" s="3"/>
    </row>
    <row r="6946" spans="1:4">
      <c r="A6946" s="3"/>
      <c r="D6946" s="3"/>
    </row>
    <row r="6947" spans="1:4">
      <c r="A6947" s="3"/>
      <c r="D6947" s="3"/>
    </row>
    <row r="6948" spans="1:4">
      <c r="A6948" s="3"/>
      <c r="D6948" s="3"/>
    </row>
    <row r="6949" spans="1:4">
      <c r="A6949" s="3"/>
      <c r="D6949" s="3"/>
    </row>
    <row r="6950" spans="1:4">
      <c r="A6950" s="3"/>
      <c r="D6950" s="3"/>
    </row>
    <row r="6951" spans="1:4">
      <c r="A6951" s="3"/>
      <c r="D6951" s="3"/>
    </row>
    <row r="6952" spans="1:4">
      <c r="A6952" s="3"/>
      <c r="D6952" s="3"/>
    </row>
    <row r="6953" spans="1:4">
      <c r="A6953" s="3"/>
      <c r="D6953" s="3"/>
    </row>
    <row r="6954" spans="1:4">
      <c r="A6954" s="3"/>
      <c r="D6954" s="3"/>
    </row>
    <row r="6955" spans="1:4">
      <c r="A6955" s="3"/>
      <c r="D6955" s="3"/>
    </row>
    <row r="6956" spans="1:4">
      <c r="A6956" s="3"/>
      <c r="D6956" s="3"/>
    </row>
    <row r="6957" spans="1:4">
      <c r="A6957" s="3"/>
      <c r="D6957" s="3"/>
    </row>
    <row r="6958" spans="1:4">
      <c r="A6958" s="3"/>
      <c r="D6958" s="3"/>
    </row>
    <row r="6959" spans="1:4">
      <c r="A6959" s="3"/>
      <c r="D6959" s="3"/>
    </row>
    <row r="6960" spans="1:4">
      <c r="A6960" s="3"/>
      <c r="D6960" s="3"/>
    </row>
    <row r="6961" spans="1:4">
      <c r="A6961" s="3"/>
      <c r="D6961" s="3"/>
    </row>
    <row r="6962" spans="1:4">
      <c r="A6962" s="3"/>
      <c r="D6962" s="3"/>
    </row>
    <row r="6963" spans="1:4">
      <c r="A6963" s="3"/>
      <c r="D6963" s="3"/>
    </row>
    <row r="6964" spans="1:4">
      <c r="A6964" s="3"/>
      <c r="D6964" s="3"/>
    </row>
    <row r="6965" spans="1:4">
      <c r="A6965" s="3"/>
      <c r="D6965" s="3"/>
    </row>
    <row r="6966" spans="1:4">
      <c r="A6966" s="3"/>
      <c r="D6966" s="3"/>
    </row>
    <row r="6967" spans="1:4">
      <c r="A6967" s="3"/>
      <c r="D6967" s="3"/>
    </row>
    <row r="6968" spans="1:4">
      <c r="A6968" s="3"/>
      <c r="D6968" s="3"/>
    </row>
    <row r="6969" spans="1:4">
      <c r="A6969" s="3"/>
      <c r="D6969" s="3"/>
    </row>
    <row r="6970" spans="1:4">
      <c r="A6970" s="3"/>
      <c r="D6970" s="3"/>
    </row>
    <row r="6971" spans="1:4">
      <c r="A6971" s="3"/>
      <c r="D6971" s="3"/>
    </row>
    <row r="6972" spans="1:4">
      <c r="A6972" s="3"/>
      <c r="D6972" s="3"/>
    </row>
    <row r="6973" spans="1:4">
      <c r="A6973" s="3"/>
      <c r="D6973" s="3"/>
    </row>
    <row r="6974" spans="1:4">
      <c r="A6974" s="3"/>
      <c r="D6974" s="3"/>
    </row>
    <row r="6975" spans="1:4">
      <c r="A6975" s="3"/>
      <c r="D6975" s="3"/>
    </row>
    <row r="6976" spans="1:4">
      <c r="A6976" s="3"/>
      <c r="D6976" s="3"/>
    </row>
    <row r="6977" spans="1:4">
      <c r="A6977" s="3"/>
      <c r="D6977" s="3"/>
    </row>
    <row r="6978" spans="1:4">
      <c r="A6978" s="3"/>
      <c r="D6978" s="3"/>
    </row>
    <row r="6979" spans="1:4">
      <c r="A6979" s="3"/>
      <c r="D6979" s="3"/>
    </row>
    <row r="6980" spans="1:4">
      <c r="A6980" s="3"/>
      <c r="D6980" s="3"/>
    </row>
    <row r="6981" spans="1:4">
      <c r="A6981" s="3"/>
      <c r="D6981" s="3"/>
    </row>
    <row r="6982" spans="1:4">
      <c r="A6982" s="3"/>
      <c r="D6982" s="3"/>
    </row>
    <row r="6983" spans="1:4">
      <c r="A6983" s="3"/>
      <c r="D6983" s="3"/>
    </row>
    <row r="6984" spans="1:4">
      <c r="A6984" s="3"/>
      <c r="D6984" s="3"/>
    </row>
    <row r="6985" spans="1:4">
      <c r="A6985" s="3"/>
      <c r="D6985" s="3"/>
    </row>
    <row r="6986" spans="1:4">
      <c r="A6986" s="3"/>
      <c r="D6986" s="3"/>
    </row>
    <row r="6987" spans="1:4">
      <c r="A6987" s="3"/>
      <c r="D6987" s="3"/>
    </row>
    <row r="6988" spans="1:4">
      <c r="A6988" s="3"/>
      <c r="D6988" s="3"/>
    </row>
    <row r="6989" spans="1:4">
      <c r="A6989" s="3"/>
      <c r="D6989" s="3"/>
    </row>
    <row r="6990" spans="1:4">
      <c r="A6990" s="3"/>
      <c r="D6990" s="3"/>
    </row>
    <row r="6991" spans="1:4">
      <c r="A6991" s="3"/>
      <c r="D6991" s="3"/>
    </row>
    <row r="6992" spans="1:4">
      <c r="A6992" s="3"/>
      <c r="D6992" s="3"/>
    </row>
    <row r="6993" spans="1:4">
      <c r="A6993" s="3"/>
      <c r="D6993" s="3"/>
    </row>
    <row r="6994" spans="1:4">
      <c r="A6994" s="3"/>
      <c r="D6994" s="3"/>
    </row>
    <row r="6995" spans="1:4">
      <c r="A6995" s="3"/>
      <c r="D6995" s="3"/>
    </row>
    <row r="6996" spans="1:4">
      <c r="A6996" s="3"/>
      <c r="D6996" s="3"/>
    </row>
    <row r="6997" spans="1:4">
      <c r="A6997" s="3"/>
      <c r="D6997" s="3"/>
    </row>
    <row r="6998" spans="1:4">
      <c r="A6998" s="3"/>
      <c r="D6998" s="3"/>
    </row>
    <row r="6999" spans="1:4">
      <c r="A6999" s="3"/>
      <c r="D6999" s="3"/>
    </row>
    <row r="7000" spans="1:4">
      <c r="A7000" s="3"/>
      <c r="D7000" s="3"/>
    </row>
    <row r="7001" spans="1:4">
      <c r="A7001" s="3"/>
      <c r="D7001" s="3"/>
    </row>
    <row r="7002" spans="1:4">
      <c r="A7002" s="3"/>
      <c r="D7002" s="3"/>
    </row>
    <row r="7003" spans="1:4">
      <c r="A7003" s="3"/>
      <c r="D7003" s="3"/>
    </row>
    <row r="7004" spans="1:4">
      <c r="A7004" s="3"/>
      <c r="D7004" s="3"/>
    </row>
    <row r="7005" spans="1:4">
      <c r="A7005" s="3"/>
      <c r="D7005" s="3"/>
    </row>
    <row r="7006" spans="1:4">
      <c r="A7006" s="3"/>
      <c r="D7006" s="3"/>
    </row>
    <row r="7007" spans="1:4">
      <c r="A7007" s="3"/>
      <c r="D7007" s="3"/>
    </row>
    <row r="7008" spans="1:4">
      <c r="A7008" s="3"/>
      <c r="D7008" s="3"/>
    </row>
    <row r="7009" spans="1:4">
      <c r="A7009" s="3"/>
      <c r="D7009" s="3"/>
    </row>
    <row r="7010" spans="1:4">
      <c r="A7010" s="3"/>
      <c r="D7010" s="3"/>
    </row>
    <row r="7011" spans="1:4">
      <c r="A7011" s="3"/>
      <c r="D7011" s="3"/>
    </row>
    <row r="7012" spans="1:4">
      <c r="A7012" s="3"/>
      <c r="D7012" s="3"/>
    </row>
    <row r="7013" spans="1:4">
      <c r="A7013" s="3"/>
      <c r="D7013" s="3"/>
    </row>
    <row r="7014" spans="1:4">
      <c r="A7014" s="3"/>
      <c r="D7014" s="3"/>
    </row>
    <row r="7015" spans="1:4">
      <c r="A7015" s="3"/>
      <c r="D7015" s="3"/>
    </row>
    <row r="7016" spans="1:4">
      <c r="A7016" s="3"/>
      <c r="D7016" s="3"/>
    </row>
    <row r="7017" spans="1:4">
      <c r="A7017" s="3"/>
      <c r="D7017" s="3"/>
    </row>
    <row r="7018" spans="1:4">
      <c r="A7018" s="3"/>
      <c r="D7018" s="3"/>
    </row>
    <row r="7019" spans="1:4">
      <c r="A7019" s="3"/>
      <c r="D7019" s="3"/>
    </row>
    <row r="7020" spans="1:4">
      <c r="A7020" s="3"/>
      <c r="D7020" s="3"/>
    </row>
    <row r="7021" spans="1:4">
      <c r="A7021" s="3"/>
      <c r="D7021" s="3"/>
    </row>
    <row r="7022" spans="1:4">
      <c r="A7022" s="3"/>
      <c r="D7022" s="3"/>
    </row>
    <row r="7023" spans="1:4">
      <c r="A7023" s="3"/>
      <c r="D7023" s="3"/>
    </row>
    <row r="7024" spans="1:4">
      <c r="A7024" s="3"/>
      <c r="D7024" s="3"/>
    </row>
    <row r="7025" spans="1:4">
      <c r="A7025" s="3"/>
      <c r="D7025" s="3"/>
    </row>
    <row r="7026" spans="1:4">
      <c r="A7026" s="3"/>
      <c r="D7026" s="3"/>
    </row>
    <row r="7027" spans="1:4">
      <c r="A7027" s="3"/>
      <c r="D7027" s="3"/>
    </row>
    <row r="7028" spans="1:4">
      <c r="A7028" s="3"/>
      <c r="D7028" s="3"/>
    </row>
    <row r="7029" spans="1:4">
      <c r="A7029" s="3"/>
      <c r="D7029" s="3"/>
    </row>
    <row r="7030" spans="1:4">
      <c r="A7030" s="3"/>
      <c r="D7030" s="3"/>
    </row>
    <row r="7031" spans="1:4">
      <c r="A7031" s="3"/>
      <c r="D7031" s="3"/>
    </row>
    <row r="7032" spans="1:4">
      <c r="A7032" s="3"/>
      <c r="D7032" s="3"/>
    </row>
    <row r="7033" spans="1:4">
      <c r="A7033" s="3"/>
      <c r="D7033" s="3"/>
    </row>
    <row r="7034" spans="1:4">
      <c r="A7034" s="3"/>
      <c r="D7034" s="3"/>
    </row>
    <row r="7035" spans="1:4">
      <c r="A7035" s="3"/>
      <c r="D7035" s="3"/>
    </row>
    <row r="7036" spans="1:4">
      <c r="A7036" s="3"/>
      <c r="D7036" s="3"/>
    </row>
    <row r="7037" spans="1:4">
      <c r="A7037" s="3"/>
      <c r="D7037" s="3"/>
    </row>
    <row r="7038" spans="1:4">
      <c r="A7038" s="3"/>
      <c r="D7038" s="3"/>
    </row>
    <row r="7039" spans="1:4">
      <c r="A7039" s="3"/>
      <c r="D7039" s="3"/>
    </row>
    <row r="7040" spans="1:4">
      <c r="A7040" s="3"/>
      <c r="D7040" s="3"/>
    </row>
    <row r="7041" spans="1:4">
      <c r="A7041" s="3"/>
      <c r="D7041" s="3"/>
    </row>
    <row r="7042" spans="1:4">
      <c r="A7042" s="3"/>
      <c r="D7042" s="3"/>
    </row>
    <row r="7043" spans="1:4">
      <c r="A7043" s="3"/>
      <c r="D7043" s="3"/>
    </row>
    <row r="7044" spans="1:4">
      <c r="A7044" s="3"/>
      <c r="D7044" s="3"/>
    </row>
    <row r="7045" spans="1:4">
      <c r="A7045" s="3"/>
      <c r="D7045" s="3"/>
    </row>
    <row r="7046" spans="1:4">
      <c r="A7046" s="3"/>
      <c r="D7046" s="3"/>
    </row>
    <row r="7047" spans="1:4">
      <c r="A7047" s="3"/>
      <c r="D7047" s="3"/>
    </row>
    <row r="7048" spans="1:4">
      <c r="A7048" s="3"/>
      <c r="D7048" s="3"/>
    </row>
    <row r="7049" spans="1:4">
      <c r="A7049" s="3"/>
      <c r="D7049" s="3"/>
    </row>
    <row r="7050" spans="1:4">
      <c r="A7050" s="3"/>
      <c r="D7050" s="3"/>
    </row>
    <row r="7051" spans="1:4">
      <c r="A7051" s="3"/>
      <c r="D7051" s="3"/>
    </row>
    <row r="7052" spans="1:4">
      <c r="A7052" s="3"/>
      <c r="D7052" s="3"/>
    </row>
    <row r="7053" spans="1:4">
      <c r="A7053" s="3"/>
      <c r="D7053" s="3"/>
    </row>
    <row r="7054" spans="1:4">
      <c r="A7054" s="3"/>
      <c r="D7054" s="3"/>
    </row>
    <row r="7055" spans="1:4">
      <c r="A7055" s="3"/>
      <c r="D7055" s="3"/>
    </row>
    <row r="7056" spans="1:4">
      <c r="A7056" s="3"/>
      <c r="D7056" s="3"/>
    </row>
    <row r="7057" spans="1:4">
      <c r="A7057" s="3"/>
      <c r="D7057" s="3"/>
    </row>
    <row r="7058" spans="1:4">
      <c r="A7058" s="3"/>
      <c r="D7058" s="3"/>
    </row>
    <row r="7059" spans="1:4">
      <c r="A7059" s="3"/>
      <c r="D7059" s="3"/>
    </row>
    <row r="7060" spans="1:4">
      <c r="A7060" s="3"/>
      <c r="D7060" s="3"/>
    </row>
    <row r="7061" spans="1:4">
      <c r="A7061" s="3"/>
      <c r="D7061" s="3"/>
    </row>
    <row r="7062" spans="1:4">
      <c r="A7062" s="3"/>
      <c r="D7062" s="3"/>
    </row>
    <row r="7063" spans="1:4">
      <c r="A7063" s="3"/>
      <c r="D7063" s="3"/>
    </row>
    <row r="7064" spans="1:4">
      <c r="A7064" s="3"/>
      <c r="D7064" s="3"/>
    </row>
    <row r="7065" spans="1:4">
      <c r="A7065" s="3"/>
      <c r="D7065" s="3"/>
    </row>
    <row r="7066" spans="1:4">
      <c r="A7066" s="3"/>
      <c r="D7066" s="3"/>
    </row>
    <row r="7067" spans="1:4">
      <c r="A7067" s="3"/>
      <c r="D7067" s="3"/>
    </row>
    <row r="7068" spans="1:4">
      <c r="A7068" s="3"/>
      <c r="D7068" s="3"/>
    </row>
    <row r="7069" spans="1:4">
      <c r="A7069" s="3"/>
      <c r="D7069" s="3"/>
    </row>
    <row r="7070" spans="1:4">
      <c r="A7070" s="3"/>
      <c r="D7070" s="3"/>
    </row>
    <row r="7071" spans="1:4">
      <c r="A7071" s="3"/>
      <c r="D7071" s="3"/>
    </row>
    <row r="7072" spans="1:4">
      <c r="A7072" s="3"/>
      <c r="D7072" s="3"/>
    </row>
    <row r="7073" spans="1:4">
      <c r="A7073" s="3"/>
      <c r="D7073" s="3"/>
    </row>
    <row r="7074" spans="1:4">
      <c r="A7074" s="3"/>
      <c r="D7074" s="3"/>
    </row>
    <row r="7075" spans="1:4">
      <c r="A7075" s="3"/>
      <c r="D7075" s="3"/>
    </row>
    <row r="7076" spans="1:4">
      <c r="A7076" s="3"/>
      <c r="D7076" s="3"/>
    </row>
    <row r="7077" spans="1:4">
      <c r="A7077" s="3"/>
      <c r="D7077" s="3"/>
    </row>
    <row r="7078" spans="1:4">
      <c r="A7078" s="3"/>
      <c r="D7078" s="3"/>
    </row>
    <row r="7079" spans="1:4">
      <c r="A7079" s="3"/>
      <c r="D7079" s="3"/>
    </row>
    <row r="7080" spans="1:4">
      <c r="A7080" s="3"/>
      <c r="D7080" s="3"/>
    </row>
    <row r="7081" spans="1:4">
      <c r="A7081" s="3"/>
      <c r="D7081" s="3"/>
    </row>
    <row r="7082" spans="1:4">
      <c r="A7082" s="3"/>
      <c r="D7082" s="3"/>
    </row>
    <row r="7083" spans="1:4">
      <c r="A7083" s="3"/>
      <c r="D7083" s="3"/>
    </row>
    <row r="7084" spans="1:4">
      <c r="A7084" s="3"/>
      <c r="D7084" s="3"/>
    </row>
    <row r="7085" spans="1:4">
      <c r="A7085" s="3"/>
      <c r="D7085" s="3"/>
    </row>
    <row r="7086" spans="1:4">
      <c r="A7086" s="3"/>
      <c r="D7086" s="3"/>
    </row>
    <row r="7087" spans="1:4">
      <c r="A7087" s="3"/>
      <c r="D7087" s="3"/>
    </row>
    <row r="7088" spans="1:4">
      <c r="A7088" s="3"/>
      <c r="D7088" s="3"/>
    </row>
    <row r="7089" spans="1:4">
      <c r="A7089" s="3"/>
      <c r="D7089" s="3"/>
    </row>
    <row r="7090" spans="1:4">
      <c r="A7090" s="3"/>
      <c r="D7090" s="3"/>
    </row>
    <row r="7091" spans="1:4">
      <c r="A7091" s="3"/>
      <c r="D7091" s="3"/>
    </row>
    <row r="7092" spans="1:4">
      <c r="A7092" s="3"/>
      <c r="D7092" s="3"/>
    </row>
    <row r="7093" spans="1:4">
      <c r="A7093" s="3"/>
      <c r="D7093" s="3"/>
    </row>
    <row r="7094" spans="1:4">
      <c r="A7094" s="3"/>
      <c r="D7094" s="3"/>
    </row>
    <row r="7095" spans="1:4">
      <c r="A7095" s="3"/>
      <c r="D7095" s="3"/>
    </row>
    <row r="7096" spans="1:4">
      <c r="A7096" s="3"/>
      <c r="D7096" s="3"/>
    </row>
    <row r="7097" spans="1:4">
      <c r="A7097" s="3"/>
      <c r="D7097" s="3"/>
    </row>
    <row r="7098" spans="1:4">
      <c r="A7098" s="3"/>
      <c r="D7098" s="3"/>
    </row>
    <row r="7099" spans="1:4">
      <c r="A7099" s="3"/>
      <c r="D7099" s="3"/>
    </row>
    <row r="7100" spans="1:4">
      <c r="A7100" s="3"/>
      <c r="D7100" s="3"/>
    </row>
    <row r="7101" spans="1:4">
      <c r="A7101" s="3"/>
      <c r="D7101" s="3"/>
    </row>
    <row r="7102" spans="1:4">
      <c r="A7102" s="3"/>
      <c r="D7102" s="3"/>
    </row>
    <row r="7103" spans="1:4">
      <c r="A7103" s="3"/>
      <c r="D7103" s="3"/>
    </row>
    <row r="7104" spans="1:4">
      <c r="A7104" s="3"/>
      <c r="D7104" s="3"/>
    </row>
    <row r="7105" spans="1:4">
      <c r="A7105" s="3"/>
      <c r="D7105" s="3"/>
    </row>
    <row r="7106" spans="1:4">
      <c r="A7106" s="3"/>
      <c r="D7106" s="3"/>
    </row>
    <row r="7107" spans="1:4">
      <c r="A7107" s="3"/>
      <c r="D7107" s="3"/>
    </row>
    <row r="7108" spans="1:4">
      <c r="A7108" s="3"/>
      <c r="D7108" s="3"/>
    </row>
    <row r="7109" spans="1:4">
      <c r="A7109" s="3"/>
      <c r="D7109" s="3"/>
    </row>
    <row r="7110" spans="1:4">
      <c r="A7110" s="3"/>
      <c r="D7110" s="3"/>
    </row>
    <row r="7111" spans="1:4">
      <c r="A7111" s="3"/>
      <c r="D7111" s="3"/>
    </row>
    <row r="7112" spans="1:4">
      <c r="A7112" s="3"/>
      <c r="D7112" s="3"/>
    </row>
    <row r="7113" spans="1:4">
      <c r="A7113" s="3"/>
      <c r="D7113" s="3"/>
    </row>
    <row r="7114" spans="1:4">
      <c r="A7114" s="3"/>
      <c r="D7114" s="3"/>
    </row>
    <row r="7115" spans="1:4">
      <c r="A7115" s="3"/>
      <c r="D7115" s="3"/>
    </row>
    <row r="7116" spans="1:4">
      <c r="A7116" s="3"/>
      <c r="D7116" s="3"/>
    </row>
    <row r="7117" spans="1:4">
      <c r="A7117" s="3"/>
      <c r="D7117" s="3"/>
    </row>
    <row r="7118" spans="1:4">
      <c r="A7118" s="3"/>
      <c r="D7118" s="3"/>
    </row>
    <row r="7119" spans="1:4">
      <c r="A7119" s="3"/>
      <c r="D7119" s="3"/>
    </row>
    <row r="7120" spans="1:4">
      <c r="A7120" s="3"/>
      <c r="D7120" s="3"/>
    </row>
    <row r="7121" spans="1:4">
      <c r="A7121" s="3"/>
      <c r="D7121" s="3"/>
    </row>
    <row r="7122" spans="1:4">
      <c r="A7122" s="3"/>
      <c r="D7122" s="3"/>
    </row>
    <row r="7123" spans="1:4">
      <c r="A7123" s="3"/>
      <c r="D7123" s="3"/>
    </row>
    <row r="7124" spans="1:4">
      <c r="A7124" s="3"/>
      <c r="D7124" s="3"/>
    </row>
    <row r="7125" spans="1:4">
      <c r="A7125" s="3"/>
      <c r="D7125" s="3"/>
    </row>
    <row r="7126" spans="1:4">
      <c r="A7126" s="3"/>
      <c r="D7126" s="3"/>
    </row>
    <row r="7127" spans="1:4">
      <c r="A7127" s="3"/>
      <c r="D7127" s="3"/>
    </row>
    <row r="7128" spans="1:4">
      <c r="A7128" s="3"/>
      <c r="D7128" s="3"/>
    </row>
    <row r="7129" spans="1:4">
      <c r="A7129" s="3"/>
      <c r="D7129" s="3"/>
    </row>
    <row r="7130" spans="1:4">
      <c r="A7130" s="3"/>
      <c r="D7130" s="3"/>
    </row>
    <row r="7131" spans="1:4">
      <c r="A7131" s="3"/>
      <c r="D7131" s="3"/>
    </row>
    <row r="7132" spans="1:4">
      <c r="A7132" s="3"/>
      <c r="D7132" s="3"/>
    </row>
    <row r="7133" spans="1:4">
      <c r="A7133" s="3"/>
      <c r="D7133" s="3"/>
    </row>
    <row r="7134" spans="1:4">
      <c r="A7134" s="3"/>
      <c r="D7134" s="3"/>
    </row>
    <row r="7135" spans="1:4">
      <c r="A7135" s="3"/>
      <c r="D7135" s="3"/>
    </row>
    <row r="7136" spans="1:4">
      <c r="A7136" s="3"/>
      <c r="D7136" s="3"/>
    </row>
    <row r="7137" spans="1:4">
      <c r="A7137" s="3"/>
      <c r="D7137" s="3"/>
    </row>
    <row r="7138" spans="1:4">
      <c r="A7138" s="3"/>
      <c r="D7138" s="3"/>
    </row>
    <row r="7139" spans="1:4">
      <c r="A7139" s="3"/>
      <c r="D7139" s="3"/>
    </row>
    <row r="7140" spans="1:4">
      <c r="A7140" s="3"/>
      <c r="D7140" s="3"/>
    </row>
    <row r="7141" spans="1:4">
      <c r="A7141" s="3"/>
      <c r="D7141" s="3"/>
    </row>
    <row r="7142" spans="1:4">
      <c r="A7142" s="3"/>
      <c r="D7142" s="3"/>
    </row>
    <row r="7143" spans="1:4">
      <c r="A7143" s="3"/>
      <c r="D7143" s="3"/>
    </row>
    <row r="7144" spans="1:4">
      <c r="A7144" s="3"/>
      <c r="D7144" s="3"/>
    </row>
    <row r="7145" spans="1:4">
      <c r="A7145" s="3"/>
      <c r="D7145" s="3"/>
    </row>
    <row r="7146" spans="1:4">
      <c r="A7146" s="3"/>
      <c r="D7146" s="3"/>
    </row>
    <row r="7147" spans="1:4">
      <c r="A7147" s="3"/>
      <c r="D7147" s="3"/>
    </row>
    <row r="7148" spans="1:4">
      <c r="A7148" s="3"/>
      <c r="D7148" s="3"/>
    </row>
    <row r="7149" spans="1:4">
      <c r="A7149" s="3"/>
      <c r="D7149" s="3"/>
    </row>
    <row r="7150" spans="1:4">
      <c r="A7150" s="3"/>
      <c r="D7150" s="3"/>
    </row>
    <row r="7151" spans="1:4">
      <c r="A7151" s="3"/>
      <c r="D7151" s="3"/>
    </row>
    <row r="7152" spans="1:4">
      <c r="A7152" s="3"/>
      <c r="D7152" s="3"/>
    </row>
    <row r="7153" spans="1:4">
      <c r="A7153" s="3"/>
      <c r="D7153" s="3"/>
    </row>
    <row r="7154" spans="1:4">
      <c r="A7154" s="3"/>
      <c r="D7154" s="3"/>
    </row>
    <row r="7155" spans="1:4">
      <c r="A7155" s="3"/>
      <c r="D7155" s="3"/>
    </row>
    <row r="7156" spans="1:4">
      <c r="A7156" s="3"/>
      <c r="D7156" s="3"/>
    </row>
    <row r="7157" spans="1:4">
      <c r="A7157" s="3"/>
      <c r="D7157" s="3"/>
    </row>
    <row r="7158" spans="1:4">
      <c r="A7158" s="3"/>
      <c r="D7158" s="3"/>
    </row>
    <row r="7159" spans="1:4">
      <c r="A7159" s="3"/>
      <c r="D7159" s="3"/>
    </row>
    <row r="7160" spans="1:4">
      <c r="A7160" s="3"/>
      <c r="D7160" s="3"/>
    </row>
    <row r="7161" spans="1:4">
      <c r="A7161" s="3"/>
      <c r="D7161" s="3"/>
    </row>
    <row r="7162" spans="1:4">
      <c r="A7162" s="3"/>
      <c r="D7162" s="3"/>
    </row>
    <row r="7163" spans="1:4">
      <c r="A7163" s="3"/>
      <c r="D7163" s="3"/>
    </row>
    <row r="7164" spans="1:4">
      <c r="A7164" s="3"/>
      <c r="D7164" s="3"/>
    </row>
    <row r="7165" spans="1:4">
      <c r="A7165" s="3"/>
      <c r="D7165" s="3"/>
    </row>
    <row r="7166" spans="1:4">
      <c r="A7166" s="3"/>
      <c r="D7166" s="3"/>
    </row>
    <row r="7167" spans="1:4">
      <c r="A7167" s="3"/>
      <c r="D7167" s="3"/>
    </row>
    <row r="7168" spans="1:4">
      <c r="A7168" s="3"/>
      <c r="D7168" s="3"/>
    </row>
    <row r="7169" spans="1:4">
      <c r="A7169" s="3"/>
      <c r="D7169" s="3"/>
    </row>
    <row r="7170" spans="1:4">
      <c r="A7170" s="3"/>
      <c r="D7170" s="3"/>
    </row>
    <row r="7171" spans="1:4">
      <c r="A7171" s="3"/>
      <c r="D7171" s="3"/>
    </row>
    <row r="7172" spans="1:4">
      <c r="A7172" s="3"/>
      <c r="D7172" s="3"/>
    </row>
    <row r="7173" spans="1:4">
      <c r="A7173" s="3"/>
      <c r="D7173" s="3"/>
    </row>
    <row r="7174" spans="1:4">
      <c r="A7174" s="3"/>
      <c r="D7174" s="3"/>
    </row>
    <row r="7175" spans="1:4">
      <c r="A7175" s="3"/>
      <c r="D7175" s="3"/>
    </row>
    <row r="7176" spans="1:4">
      <c r="A7176" s="3"/>
      <c r="D7176" s="3"/>
    </row>
    <row r="7177" spans="1:4">
      <c r="A7177" s="3"/>
      <c r="D7177" s="3"/>
    </row>
    <row r="7178" spans="1:4">
      <c r="A7178" s="3"/>
      <c r="D7178" s="3"/>
    </row>
    <row r="7179" spans="1:4">
      <c r="A7179" s="3"/>
      <c r="D7179" s="3"/>
    </row>
    <row r="7180" spans="1:4">
      <c r="A7180" s="3"/>
      <c r="D7180" s="3"/>
    </row>
    <row r="7181" spans="1:4">
      <c r="A7181" s="3"/>
      <c r="D7181" s="3"/>
    </row>
    <row r="7182" spans="1:4">
      <c r="A7182" s="3"/>
      <c r="D7182" s="3"/>
    </row>
    <row r="7183" spans="1:4">
      <c r="A7183" s="3"/>
      <c r="D7183" s="3"/>
    </row>
    <row r="7184" spans="1:4">
      <c r="A7184" s="3"/>
      <c r="D7184" s="3"/>
    </row>
    <row r="7185" spans="1:4">
      <c r="A7185" s="3"/>
      <c r="D7185" s="3"/>
    </row>
    <row r="7186" spans="1:4">
      <c r="A7186" s="3"/>
      <c r="D7186" s="3"/>
    </row>
    <row r="7187" spans="1:4">
      <c r="A7187" s="3"/>
      <c r="D7187" s="3"/>
    </row>
    <row r="7188" spans="1:4">
      <c r="A7188" s="3"/>
      <c r="D7188" s="3"/>
    </row>
    <row r="7189" spans="1:4">
      <c r="A7189" s="3"/>
      <c r="D7189" s="3"/>
    </row>
    <row r="7190" spans="1:4">
      <c r="A7190" s="3"/>
      <c r="D7190" s="3"/>
    </row>
    <row r="7191" spans="1:4">
      <c r="A7191" s="3"/>
      <c r="D7191" s="3"/>
    </row>
    <row r="7192" spans="1:4">
      <c r="A7192" s="3"/>
      <c r="D7192" s="3"/>
    </row>
    <row r="7193" spans="1:4">
      <c r="A7193" s="3"/>
      <c r="D7193" s="3"/>
    </row>
    <row r="7194" spans="1:4">
      <c r="A7194" s="3"/>
      <c r="D7194" s="3"/>
    </row>
    <row r="7195" spans="1:4">
      <c r="A7195" s="3"/>
      <c r="D7195" s="3"/>
    </row>
    <row r="7196" spans="1:4">
      <c r="A7196" s="3"/>
      <c r="D7196" s="3"/>
    </row>
    <row r="7197" spans="1:4">
      <c r="A7197" s="3"/>
      <c r="D7197" s="3"/>
    </row>
    <row r="7198" spans="1:4">
      <c r="A7198" s="3"/>
      <c r="D7198" s="3"/>
    </row>
    <row r="7199" spans="1:4">
      <c r="A7199" s="3"/>
      <c r="D7199" s="3"/>
    </row>
    <row r="7200" spans="1:4">
      <c r="A7200" s="3"/>
      <c r="D7200" s="3"/>
    </row>
    <row r="7201" spans="1:4">
      <c r="A7201" s="3"/>
      <c r="D7201" s="3"/>
    </row>
    <row r="7202" spans="1:4">
      <c r="A7202" s="3"/>
      <c r="D7202" s="3"/>
    </row>
    <row r="7203" spans="1:4">
      <c r="A7203" s="3"/>
      <c r="D7203" s="3"/>
    </row>
    <row r="7204" spans="1:4">
      <c r="A7204" s="3"/>
      <c r="D7204" s="3"/>
    </row>
    <row r="7205" spans="1:4">
      <c r="A7205" s="3"/>
      <c r="D7205" s="3"/>
    </row>
    <row r="7206" spans="1:4">
      <c r="A7206" s="3"/>
      <c r="D7206" s="3"/>
    </row>
    <row r="7207" spans="1:4">
      <c r="A7207" s="3"/>
      <c r="D7207" s="3"/>
    </row>
    <row r="7208" spans="1:4">
      <c r="A7208" s="3"/>
      <c r="D7208" s="3"/>
    </row>
    <row r="7209" spans="1:4">
      <c r="A7209" s="3"/>
      <c r="D7209" s="3"/>
    </row>
    <row r="7210" spans="1:4">
      <c r="A7210" s="3"/>
      <c r="D7210" s="3"/>
    </row>
    <row r="7211" spans="1:4">
      <c r="A7211" s="3"/>
      <c r="D7211" s="3"/>
    </row>
    <row r="7212" spans="1:4">
      <c r="A7212" s="3"/>
      <c r="D7212" s="3"/>
    </row>
    <row r="7213" spans="1:4">
      <c r="A7213" s="3"/>
      <c r="D7213" s="3"/>
    </row>
    <row r="7214" spans="1:4">
      <c r="A7214" s="3"/>
      <c r="D7214" s="3"/>
    </row>
    <row r="7215" spans="1:4">
      <c r="A7215" s="3"/>
      <c r="D7215" s="3"/>
    </row>
    <row r="7216" spans="1:4">
      <c r="A7216" s="3"/>
      <c r="D7216" s="3"/>
    </row>
    <row r="7217" spans="1:4">
      <c r="A7217" s="3"/>
      <c r="D7217" s="3"/>
    </row>
    <row r="7218" spans="1:4">
      <c r="A7218" s="3"/>
      <c r="D7218" s="3"/>
    </row>
    <row r="7219" spans="1:4">
      <c r="A7219" s="3"/>
      <c r="D7219" s="3"/>
    </row>
    <row r="7220" spans="1:4">
      <c r="A7220" s="3"/>
      <c r="D7220" s="3"/>
    </row>
    <row r="7221" spans="1:4">
      <c r="A7221" s="3"/>
      <c r="D7221" s="3"/>
    </row>
    <row r="7222" spans="1:4">
      <c r="A7222" s="3"/>
      <c r="D7222" s="3"/>
    </row>
    <row r="7223" spans="1:4">
      <c r="A7223" s="3"/>
      <c r="D7223" s="3"/>
    </row>
    <row r="7224" spans="1:4">
      <c r="A7224" s="3"/>
      <c r="D7224" s="3"/>
    </row>
    <row r="7225" spans="1:4">
      <c r="A7225" s="3"/>
      <c r="D7225" s="3"/>
    </row>
    <row r="7226" spans="1:4">
      <c r="A7226" s="3"/>
      <c r="D7226" s="3"/>
    </row>
    <row r="7227" spans="1:4">
      <c r="A7227" s="3"/>
      <c r="D7227" s="3"/>
    </row>
    <row r="7228" spans="1:4">
      <c r="A7228" s="3"/>
      <c r="D7228" s="3"/>
    </row>
    <row r="7229" spans="1:4">
      <c r="A7229" s="3"/>
      <c r="D7229" s="3"/>
    </row>
    <row r="7230" spans="1:4">
      <c r="A7230" s="3"/>
      <c r="D7230" s="3"/>
    </row>
    <row r="7231" spans="1:4">
      <c r="A7231" s="3"/>
      <c r="D7231" s="3"/>
    </row>
    <row r="7232" spans="1:4">
      <c r="A7232" s="3"/>
      <c r="D7232" s="3"/>
    </row>
    <row r="7233" spans="1:4">
      <c r="A7233" s="3"/>
      <c r="D7233" s="3"/>
    </row>
    <row r="7234" spans="1:4">
      <c r="A7234" s="3"/>
      <c r="D7234" s="3"/>
    </row>
    <row r="7235" spans="1:4">
      <c r="A7235" s="3"/>
      <c r="D7235" s="3"/>
    </row>
    <row r="7236" spans="1:4">
      <c r="A7236" s="3"/>
      <c r="D7236" s="3"/>
    </row>
    <row r="7237" spans="1:4">
      <c r="A7237" s="3"/>
      <c r="D7237" s="3"/>
    </row>
    <row r="7238" spans="1:4">
      <c r="A7238" s="3"/>
      <c r="D7238" s="3"/>
    </row>
    <row r="7239" spans="1:4">
      <c r="A7239" s="3"/>
      <c r="D7239" s="3"/>
    </row>
    <row r="7240" spans="1:4">
      <c r="A7240" s="3"/>
      <c r="D7240" s="3"/>
    </row>
    <row r="7241" spans="1:4">
      <c r="A7241" s="3"/>
      <c r="D7241" s="3"/>
    </row>
    <row r="7242" spans="1:4">
      <c r="A7242" s="3"/>
      <c r="D7242" s="3"/>
    </row>
    <row r="7243" spans="1:4">
      <c r="A7243" s="3"/>
      <c r="D7243" s="3"/>
    </row>
    <row r="7244" spans="1:4">
      <c r="A7244" s="3"/>
      <c r="D7244" s="3"/>
    </row>
    <row r="7245" spans="1:4">
      <c r="A7245" s="3"/>
      <c r="D7245" s="3"/>
    </row>
    <row r="7246" spans="1:4">
      <c r="A7246" s="3"/>
      <c r="D7246" s="3"/>
    </row>
    <row r="7247" spans="1:4">
      <c r="A7247" s="3"/>
      <c r="D7247" s="3"/>
    </row>
    <row r="7248" spans="1:4">
      <c r="A7248" s="3"/>
      <c r="D7248" s="3"/>
    </row>
    <row r="7249" spans="1:4">
      <c r="A7249" s="3"/>
      <c r="D7249" s="3"/>
    </row>
    <row r="7250" spans="1:4">
      <c r="A7250" s="3"/>
      <c r="D7250" s="3"/>
    </row>
    <row r="7251" spans="1:4">
      <c r="A7251" s="3"/>
      <c r="D7251" s="3"/>
    </row>
    <row r="7252" spans="1:4">
      <c r="A7252" s="3"/>
      <c r="D7252" s="3"/>
    </row>
    <row r="7253" spans="1:4">
      <c r="A7253" s="3"/>
      <c r="D7253" s="3"/>
    </row>
    <row r="7254" spans="1:4">
      <c r="A7254" s="3"/>
      <c r="D7254" s="3"/>
    </row>
    <row r="7255" spans="1:4">
      <c r="A7255" s="3"/>
      <c r="D7255" s="3"/>
    </row>
    <row r="7256" spans="1:4">
      <c r="A7256" s="3"/>
      <c r="D7256" s="3"/>
    </row>
    <row r="7257" spans="1:4">
      <c r="A7257" s="3"/>
      <c r="D7257" s="3"/>
    </row>
    <row r="7258" spans="1:4">
      <c r="A7258" s="3"/>
      <c r="D7258" s="3"/>
    </row>
    <row r="7259" spans="1:4">
      <c r="A7259" s="3"/>
      <c r="D7259" s="3"/>
    </row>
    <row r="7260" spans="1:4">
      <c r="A7260" s="3"/>
      <c r="D7260" s="3"/>
    </row>
    <row r="7261" spans="1:4">
      <c r="A7261" s="3"/>
      <c r="D7261" s="3"/>
    </row>
    <row r="7262" spans="1:4">
      <c r="A7262" s="3"/>
      <c r="D7262" s="3"/>
    </row>
    <row r="7263" spans="1:4">
      <c r="A7263" s="3"/>
      <c r="D7263" s="3"/>
    </row>
    <row r="7264" spans="1:4">
      <c r="A7264" s="3"/>
      <c r="D7264" s="3"/>
    </row>
    <row r="7265" spans="1:4">
      <c r="A7265" s="3"/>
      <c r="D7265" s="3"/>
    </row>
    <row r="7266" spans="1:4">
      <c r="A7266" s="3"/>
      <c r="D7266" s="3"/>
    </row>
    <row r="7267" spans="1:4">
      <c r="A7267" s="3"/>
      <c r="D7267" s="3"/>
    </row>
    <row r="7268" spans="1:4">
      <c r="A7268" s="3"/>
      <c r="D7268" s="3"/>
    </row>
    <row r="7269" spans="1:4">
      <c r="A7269" s="3"/>
      <c r="D7269" s="3"/>
    </row>
    <row r="7270" spans="1:4">
      <c r="A7270" s="3"/>
      <c r="D7270" s="3"/>
    </row>
    <row r="7271" spans="1:4">
      <c r="A7271" s="3"/>
      <c r="D7271" s="3"/>
    </row>
    <row r="7272" spans="1:4">
      <c r="A7272" s="3"/>
      <c r="D7272" s="3"/>
    </row>
    <row r="7273" spans="1:4">
      <c r="A7273" s="3"/>
      <c r="D7273" s="3"/>
    </row>
    <row r="7274" spans="1:4">
      <c r="A7274" s="3"/>
      <c r="D7274" s="3"/>
    </row>
    <row r="7275" spans="1:4">
      <c r="A7275" s="3"/>
      <c r="D7275" s="3"/>
    </row>
    <row r="7276" spans="1:4">
      <c r="A7276" s="3"/>
      <c r="D7276" s="3"/>
    </row>
    <row r="7277" spans="1:4">
      <c r="A7277" s="3"/>
      <c r="D7277" s="3"/>
    </row>
    <row r="7278" spans="1:4">
      <c r="A7278" s="3"/>
      <c r="D7278" s="3"/>
    </row>
    <row r="7279" spans="1:4">
      <c r="A7279" s="3"/>
      <c r="D7279" s="3"/>
    </row>
    <row r="7280" spans="1:4">
      <c r="A7280" s="3"/>
      <c r="D7280" s="3"/>
    </row>
    <row r="7281" spans="1:4">
      <c r="A7281" s="3"/>
      <c r="D7281" s="3"/>
    </row>
    <row r="7282" spans="1:4">
      <c r="A7282" s="3"/>
      <c r="D7282" s="3"/>
    </row>
    <row r="7283" spans="1:4">
      <c r="A7283" s="3"/>
      <c r="D7283" s="3"/>
    </row>
    <row r="7284" spans="1:4">
      <c r="A7284" s="3"/>
      <c r="D7284" s="3"/>
    </row>
    <row r="7285" spans="1:4">
      <c r="A7285" s="3"/>
      <c r="D7285" s="3"/>
    </row>
    <row r="7286" spans="1:4">
      <c r="A7286" s="3"/>
      <c r="D7286" s="3"/>
    </row>
    <row r="7287" spans="1:4">
      <c r="A7287" s="3"/>
      <c r="D7287" s="3"/>
    </row>
    <row r="7288" spans="1:4">
      <c r="A7288" s="3"/>
      <c r="D7288" s="3"/>
    </row>
    <row r="7289" spans="1:4">
      <c r="A7289" s="3"/>
      <c r="D7289" s="3"/>
    </row>
    <row r="7290" spans="1:4">
      <c r="A7290" s="3"/>
      <c r="D7290" s="3"/>
    </row>
    <row r="7291" spans="1:4">
      <c r="A7291" s="3"/>
      <c r="D7291" s="3"/>
    </row>
    <row r="7292" spans="1:4">
      <c r="A7292" s="3"/>
      <c r="D7292" s="3"/>
    </row>
    <row r="7293" spans="1:4">
      <c r="A7293" s="3"/>
      <c r="D7293" s="3"/>
    </row>
    <row r="7294" spans="1:4">
      <c r="A7294" s="3"/>
      <c r="D7294" s="3"/>
    </row>
    <row r="7295" spans="1:4">
      <c r="A7295" s="3"/>
      <c r="D7295" s="3"/>
    </row>
    <row r="7296" spans="1:4">
      <c r="A7296" s="3"/>
      <c r="D7296" s="3"/>
    </row>
    <row r="7297" spans="1:4">
      <c r="A7297" s="3"/>
      <c r="D7297" s="3"/>
    </row>
    <row r="7298" spans="1:4">
      <c r="A7298" s="3"/>
      <c r="D7298" s="3"/>
    </row>
    <row r="7299" spans="1:4">
      <c r="A7299" s="3"/>
      <c r="D7299" s="3"/>
    </row>
    <row r="7300" spans="1:4">
      <c r="A7300" s="3"/>
      <c r="D7300" s="3"/>
    </row>
    <row r="7301" spans="1:4">
      <c r="A7301" s="3"/>
      <c r="D7301" s="3"/>
    </row>
    <row r="7302" spans="1:4">
      <c r="A7302" s="3"/>
      <c r="D7302" s="3"/>
    </row>
    <row r="7303" spans="1:4">
      <c r="A7303" s="3"/>
      <c r="D7303" s="3"/>
    </row>
    <row r="7304" spans="1:4">
      <c r="A7304" s="3"/>
      <c r="D7304" s="3"/>
    </row>
    <row r="7305" spans="1:4">
      <c r="A7305" s="3"/>
      <c r="D7305" s="3"/>
    </row>
    <row r="7306" spans="1:4">
      <c r="A7306" s="3"/>
      <c r="D7306" s="3"/>
    </row>
    <row r="7307" spans="1:4">
      <c r="A7307" s="3"/>
      <c r="D7307" s="3"/>
    </row>
    <row r="7308" spans="1:4">
      <c r="A7308" s="3"/>
      <c r="D7308" s="3"/>
    </row>
    <row r="7309" spans="1:4">
      <c r="A7309" s="3"/>
      <c r="D7309" s="3"/>
    </row>
    <row r="7310" spans="1:4">
      <c r="A7310" s="3"/>
      <c r="D7310" s="3"/>
    </row>
    <row r="7311" spans="1:4">
      <c r="A7311" s="3"/>
      <c r="D7311" s="3"/>
    </row>
    <row r="7312" spans="1:4">
      <c r="A7312" s="3"/>
      <c r="D7312" s="3"/>
    </row>
    <row r="7313" spans="1:4">
      <c r="A7313" s="3"/>
      <c r="D7313" s="3"/>
    </row>
    <row r="7314" spans="1:4">
      <c r="A7314" s="3"/>
      <c r="D7314" s="3"/>
    </row>
    <row r="7315" spans="1:4">
      <c r="A7315" s="3"/>
      <c r="D7315" s="3"/>
    </row>
    <row r="7316" spans="1:4">
      <c r="A7316" s="3"/>
      <c r="D7316" s="3"/>
    </row>
    <row r="7317" spans="1:4">
      <c r="A7317" s="3"/>
      <c r="D7317" s="3"/>
    </row>
    <row r="7318" spans="1:4">
      <c r="A7318" s="3"/>
      <c r="D7318" s="3"/>
    </row>
    <row r="7319" spans="1:4">
      <c r="A7319" s="3"/>
      <c r="D7319" s="3"/>
    </row>
    <row r="7320" spans="1:4">
      <c r="A7320" s="3"/>
      <c r="D7320" s="3"/>
    </row>
    <row r="7321" spans="1:4">
      <c r="A7321" s="3"/>
      <c r="D7321" s="3"/>
    </row>
    <row r="7322" spans="1:4">
      <c r="A7322" s="3"/>
      <c r="D7322" s="3"/>
    </row>
    <row r="7323" spans="1:4">
      <c r="A7323" s="3"/>
      <c r="D7323" s="3"/>
    </row>
    <row r="7324" spans="1:4">
      <c r="A7324" s="3"/>
      <c r="D7324" s="3"/>
    </row>
    <row r="7325" spans="1:4">
      <c r="A7325" s="3"/>
      <c r="D7325" s="3"/>
    </row>
    <row r="7326" spans="1:4">
      <c r="A7326" s="3"/>
      <c r="D7326" s="3"/>
    </row>
    <row r="7327" spans="1:4">
      <c r="A7327" s="3"/>
      <c r="D7327" s="3"/>
    </row>
    <row r="7328" spans="1:4">
      <c r="A7328" s="3"/>
      <c r="D7328" s="3"/>
    </row>
    <row r="7329" spans="1:4">
      <c r="A7329" s="3"/>
      <c r="D7329" s="3"/>
    </row>
    <row r="7330" spans="1:4">
      <c r="A7330" s="3"/>
      <c r="D7330" s="3"/>
    </row>
    <row r="7331" spans="1:4">
      <c r="A7331" s="3"/>
      <c r="D7331" s="3"/>
    </row>
    <row r="7332" spans="1:4">
      <c r="A7332" s="3"/>
      <c r="D7332" s="3"/>
    </row>
    <row r="7333" spans="1:4">
      <c r="A7333" s="3"/>
      <c r="D7333" s="3"/>
    </row>
    <row r="7334" spans="1:4">
      <c r="A7334" s="3"/>
      <c r="D7334" s="3"/>
    </row>
    <row r="7335" spans="1:4">
      <c r="A7335" s="3"/>
      <c r="D7335" s="3"/>
    </row>
    <row r="7336" spans="1:4">
      <c r="A7336" s="3"/>
      <c r="D7336" s="3"/>
    </row>
    <row r="7337" spans="1:4">
      <c r="A7337" s="3"/>
      <c r="D7337" s="3"/>
    </row>
    <row r="7338" spans="1:4">
      <c r="A7338" s="3"/>
      <c r="D7338" s="3"/>
    </row>
    <row r="7339" spans="1:4">
      <c r="A7339" s="3"/>
      <c r="D7339" s="3"/>
    </row>
    <row r="7340" spans="1:4">
      <c r="A7340" s="3"/>
      <c r="D7340" s="3"/>
    </row>
    <row r="7341" spans="1:4">
      <c r="A7341" s="3"/>
      <c r="D7341" s="3"/>
    </row>
    <row r="7342" spans="1:4">
      <c r="A7342" s="3"/>
      <c r="D7342" s="3"/>
    </row>
    <row r="7343" spans="1:4">
      <c r="A7343" s="3"/>
      <c r="D7343" s="3"/>
    </row>
    <row r="7344" spans="1:4">
      <c r="A7344" s="3"/>
      <c r="D7344" s="3"/>
    </row>
    <row r="7345" spans="1:4">
      <c r="A7345" s="3"/>
      <c r="D7345" s="3"/>
    </row>
    <row r="7346" spans="1:4">
      <c r="A7346" s="3"/>
      <c r="D7346" s="3"/>
    </row>
    <row r="7347" spans="1:4">
      <c r="A7347" s="3"/>
      <c r="D7347" s="3"/>
    </row>
    <row r="7348" spans="1:4">
      <c r="A7348" s="3"/>
      <c r="D7348" s="3"/>
    </row>
    <row r="7349" spans="1:4">
      <c r="A7349" s="3"/>
      <c r="D7349" s="3"/>
    </row>
    <row r="7350" spans="1:4">
      <c r="A7350" s="3"/>
      <c r="D7350" s="3"/>
    </row>
    <row r="7351" spans="1:4">
      <c r="A7351" s="3"/>
      <c r="D7351" s="3"/>
    </row>
    <row r="7352" spans="1:4">
      <c r="A7352" s="3"/>
      <c r="D7352" s="3"/>
    </row>
    <row r="7353" spans="1:4">
      <c r="A7353" s="3"/>
      <c r="D7353" s="3"/>
    </row>
    <row r="7354" spans="1:4">
      <c r="A7354" s="3"/>
      <c r="D7354" s="3"/>
    </row>
    <row r="7355" spans="1:4">
      <c r="A7355" s="3"/>
      <c r="D7355" s="3"/>
    </row>
    <row r="7356" spans="1:4">
      <c r="A7356" s="3"/>
      <c r="D7356" s="3"/>
    </row>
    <row r="7357" spans="1:4">
      <c r="A7357" s="3"/>
      <c r="D7357" s="3"/>
    </row>
    <row r="7358" spans="1:4">
      <c r="A7358" s="3"/>
      <c r="D7358" s="3"/>
    </row>
    <row r="7359" spans="1:4">
      <c r="A7359" s="3"/>
      <c r="D7359" s="3"/>
    </row>
    <row r="7360" spans="1:4">
      <c r="A7360" s="3"/>
      <c r="D7360" s="3"/>
    </row>
    <row r="7361" spans="1:4">
      <c r="A7361" s="3"/>
      <c r="D7361" s="3"/>
    </row>
    <row r="7362" spans="1:4">
      <c r="A7362" s="3"/>
      <c r="D7362" s="3"/>
    </row>
    <row r="7363" spans="1:4">
      <c r="A7363" s="3"/>
      <c r="D7363" s="3"/>
    </row>
    <row r="7364" spans="1:4">
      <c r="A7364" s="3"/>
      <c r="D7364" s="3"/>
    </row>
    <row r="7365" spans="1:4">
      <c r="A7365" s="3"/>
      <c r="D7365" s="3"/>
    </row>
    <row r="7366" spans="1:4">
      <c r="A7366" s="3"/>
      <c r="D7366" s="3"/>
    </row>
    <row r="7367" spans="1:4">
      <c r="A7367" s="3"/>
      <c r="D7367" s="3"/>
    </row>
    <row r="7368" spans="1:4">
      <c r="A7368" s="3"/>
      <c r="D7368" s="3"/>
    </row>
    <row r="7369" spans="1:4">
      <c r="A7369" s="3"/>
      <c r="D7369" s="3"/>
    </row>
    <row r="7370" spans="1:4">
      <c r="A7370" s="3"/>
      <c r="D7370" s="3"/>
    </row>
    <row r="7371" spans="1:4">
      <c r="A7371" s="3"/>
      <c r="D7371" s="3"/>
    </row>
    <row r="7372" spans="1:4">
      <c r="A7372" s="3"/>
      <c r="D7372" s="3"/>
    </row>
    <row r="7373" spans="1:4">
      <c r="A7373" s="3"/>
      <c r="D7373" s="3"/>
    </row>
    <row r="7374" spans="1:4">
      <c r="A7374" s="3"/>
      <c r="D7374" s="3"/>
    </row>
    <row r="7375" spans="1:4">
      <c r="A7375" s="3"/>
      <c r="D7375" s="3"/>
    </row>
    <row r="7376" spans="1:4">
      <c r="A7376" s="3"/>
      <c r="D7376" s="3"/>
    </row>
    <row r="7377" spans="1:4">
      <c r="A7377" s="3"/>
      <c r="D7377" s="3"/>
    </row>
    <row r="7378" spans="1:4">
      <c r="A7378" s="3"/>
      <c r="D7378" s="3"/>
    </row>
    <row r="7379" spans="1:4">
      <c r="A7379" s="3"/>
      <c r="D7379" s="3"/>
    </row>
    <row r="7380" spans="1:4">
      <c r="A7380" s="3"/>
      <c r="D7380" s="3"/>
    </row>
    <row r="7381" spans="1:4">
      <c r="A7381" s="3"/>
      <c r="D7381" s="3"/>
    </row>
    <row r="7382" spans="1:4">
      <c r="A7382" s="3"/>
      <c r="D7382" s="3"/>
    </row>
    <row r="7383" spans="1:4">
      <c r="A7383" s="3"/>
      <c r="D7383" s="3"/>
    </row>
    <row r="7384" spans="1:4">
      <c r="A7384" s="3"/>
      <c r="D7384" s="3"/>
    </row>
    <row r="7385" spans="1:4">
      <c r="A7385" s="3"/>
      <c r="D7385" s="3"/>
    </row>
    <row r="7386" spans="1:4">
      <c r="A7386" s="3"/>
      <c r="D7386" s="3"/>
    </row>
    <row r="7387" spans="1:4">
      <c r="A7387" s="3"/>
      <c r="D7387" s="3"/>
    </row>
    <row r="7388" spans="1:4">
      <c r="A7388" s="3"/>
      <c r="D7388" s="3"/>
    </row>
    <row r="7389" spans="1:4">
      <c r="A7389" s="3"/>
      <c r="D7389" s="3"/>
    </row>
    <row r="7390" spans="1:4">
      <c r="A7390" s="3"/>
      <c r="D7390" s="3"/>
    </row>
    <row r="7391" spans="1:4">
      <c r="A7391" s="3"/>
      <c r="D7391" s="3"/>
    </row>
    <row r="7392" spans="1:4">
      <c r="A7392" s="3"/>
      <c r="D7392" s="3"/>
    </row>
    <row r="7393" spans="1:4">
      <c r="A7393" s="3"/>
      <c r="D7393" s="3"/>
    </row>
    <row r="7394" spans="1:4">
      <c r="A7394" s="3"/>
      <c r="D7394" s="3"/>
    </row>
    <row r="7395" spans="1:4">
      <c r="A7395" s="3"/>
      <c r="D7395" s="3"/>
    </row>
    <row r="7396" spans="1:4">
      <c r="A7396" s="3"/>
      <c r="D7396" s="3"/>
    </row>
    <row r="7397" spans="1:4">
      <c r="A7397" s="3"/>
      <c r="D7397" s="3"/>
    </row>
    <row r="7398" spans="1:4">
      <c r="A7398" s="3"/>
      <c r="D7398" s="3"/>
    </row>
    <row r="7399" spans="1:4">
      <c r="A7399" s="3"/>
      <c r="D7399" s="3"/>
    </row>
    <row r="7400" spans="1:4">
      <c r="A7400" s="3"/>
      <c r="D7400" s="3"/>
    </row>
    <row r="7401" spans="1:4">
      <c r="A7401" s="3"/>
      <c r="D7401" s="3"/>
    </row>
    <row r="7402" spans="1:4">
      <c r="A7402" s="3"/>
      <c r="D7402" s="3"/>
    </row>
    <row r="7403" spans="1:4">
      <c r="A7403" s="3"/>
      <c r="D7403" s="3"/>
    </row>
    <row r="7404" spans="1:4">
      <c r="A7404" s="3"/>
      <c r="D7404" s="3"/>
    </row>
    <row r="7405" spans="1:4">
      <c r="A7405" s="3"/>
      <c r="D7405" s="3"/>
    </row>
    <row r="7406" spans="1:4">
      <c r="A7406" s="3"/>
      <c r="D7406" s="3"/>
    </row>
    <row r="7407" spans="1:4">
      <c r="A7407" s="3"/>
      <c r="D7407" s="3"/>
    </row>
    <row r="7408" spans="1:4">
      <c r="A7408" s="3"/>
      <c r="D7408" s="3"/>
    </row>
    <row r="7409" spans="1:4">
      <c r="A7409" s="3"/>
      <c r="D7409" s="3"/>
    </row>
    <row r="7410" spans="1:4">
      <c r="A7410" s="3"/>
      <c r="D7410" s="3"/>
    </row>
    <row r="7411" spans="1:4">
      <c r="A7411" s="3"/>
      <c r="D7411" s="3"/>
    </row>
    <row r="7412" spans="1:4">
      <c r="A7412" s="3"/>
      <c r="D7412" s="3"/>
    </row>
    <row r="7413" spans="1:4">
      <c r="A7413" s="3"/>
      <c r="D7413" s="3"/>
    </row>
    <row r="7414" spans="1:4">
      <c r="A7414" s="3"/>
      <c r="D7414" s="3"/>
    </row>
    <row r="7415" spans="1:4">
      <c r="A7415" s="3"/>
      <c r="D7415" s="3"/>
    </row>
    <row r="7416" spans="1:4">
      <c r="A7416" s="3"/>
      <c r="D7416" s="3"/>
    </row>
    <row r="7417" spans="1:4">
      <c r="A7417" s="3"/>
      <c r="D7417" s="3"/>
    </row>
    <row r="7418" spans="1:4">
      <c r="A7418" s="3"/>
      <c r="D7418" s="3"/>
    </row>
    <row r="7419" spans="1:4">
      <c r="A7419" s="3"/>
      <c r="D7419" s="3"/>
    </row>
    <row r="7420" spans="1:4">
      <c r="A7420" s="3"/>
      <c r="D7420" s="3"/>
    </row>
    <row r="7421" spans="1:4">
      <c r="A7421" s="3"/>
      <c r="D7421" s="3"/>
    </row>
    <row r="7422" spans="1:4">
      <c r="A7422" s="3"/>
      <c r="D7422" s="3"/>
    </row>
    <row r="7423" spans="1:4">
      <c r="A7423" s="3"/>
      <c r="D7423" s="3"/>
    </row>
    <row r="7424" spans="1:4">
      <c r="A7424" s="3"/>
      <c r="D7424" s="3"/>
    </row>
    <row r="7425" spans="1:4">
      <c r="A7425" s="3"/>
      <c r="D7425" s="3"/>
    </row>
    <row r="7426" spans="1:4">
      <c r="A7426" s="3"/>
      <c r="D7426" s="3"/>
    </row>
    <row r="7427" spans="1:4">
      <c r="A7427" s="3"/>
      <c r="D7427" s="3"/>
    </row>
    <row r="7428" spans="1:4">
      <c r="A7428" s="3"/>
      <c r="D7428" s="3"/>
    </row>
    <row r="7429" spans="1:4">
      <c r="A7429" s="3"/>
      <c r="D7429" s="3"/>
    </row>
    <row r="7430" spans="1:4">
      <c r="A7430" s="3"/>
      <c r="D7430" s="3"/>
    </row>
    <row r="7431" spans="1:4">
      <c r="A7431" s="3"/>
      <c r="D7431" s="3"/>
    </row>
    <row r="7432" spans="1:4">
      <c r="A7432" s="3"/>
      <c r="D7432" s="3"/>
    </row>
    <row r="7433" spans="1:4">
      <c r="A7433" s="3"/>
      <c r="D7433" s="3"/>
    </row>
    <row r="7434" spans="1:4">
      <c r="A7434" s="3"/>
      <c r="D7434" s="3"/>
    </row>
    <row r="7435" spans="1:4">
      <c r="A7435" s="3"/>
      <c r="D7435" s="3"/>
    </row>
    <row r="7436" spans="1:4">
      <c r="A7436" s="3"/>
      <c r="D7436" s="3"/>
    </row>
    <row r="7437" spans="1:4">
      <c r="A7437" s="3"/>
      <c r="D7437" s="3"/>
    </row>
    <row r="7438" spans="1:4">
      <c r="A7438" s="3"/>
      <c r="D7438" s="3"/>
    </row>
    <row r="7439" spans="1:4">
      <c r="A7439" s="3"/>
      <c r="D7439" s="3"/>
    </row>
    <row r="7440" spans="1:4">
      <c r="A7440" s="3"/>
      <c r="D7440" s="3"/>
    </row>
    <row r="7441" spans="1:4">
      <c r="A7441" s="3"/>
      <c r="D7441" s="3"/>
    </row>
    <row r="7442" spans="1:4">
      <c r="A7442" s="3"/>
      <c r="D7442" s="3"/>
    </row>
    <row r="7443" spans="1:4">
      <c r="A7443" s="3"/>
      <c r="D7443" s="3"/>
    </row>
    <row r="7444" spans="1:4">
      <c r="A7444" s="3"/>
      <c r="D7444" s="3"/>
    </row>
    <row r="7445" spans="1:4">
      <c r="A7445" s="3"/>
      <c r="D7445" s="3"/>
    </row>
    <row r="7446" spans="1:4">
      <c r="A7446" s="3"/>
      <c r="D7446" s="3"/>
    </row>
    <row r="7447" spans="1:4">
      <c r="A7447" s="3"/>
      <c r="D7447" s="3"/>
    </row>
    <row r="7448" spans="1:4">
      <c r="A7448" s="3"/>
      <c r="D7448" s="3"/>
    </row>
    <row r="7449" spans="1:4">
      <c r="A7449" s="3"/>
      <c r="D7449" s="3"/>
    </row>
    <row r="7450" spans="1:4">
      <c r="A7450" s="3"/>
      <c r="D7450" s="3"/>
    </row>
    <row r="7451" spans="1:4">
      <c r="A7451" s="3"/>
      <c r="D7451" s="3"/>
    </row>
    <row r="7452" spans="1:4">
      <c r="A7452" s="3"/>
      <c r="D7452" s="3"/>
    </row>
    <row r="7453" spans="1:4">
      <c r="A7453" s="3"/>
      <c r="D7453" s="3"/>
    </row>
    <row r="7454" spans="1:4">
      <c r="A7454" s="3"/>
      <c r="D7454" s="3"/>
    </row>
    <row r="7455" spans="1:4">
      <c r="A7455" s="3"/>
      <c r="D7455" s="3"/>
    </row>
    <row r="7456" spans="1:4">
      <c r="A7456" s="3"/>
      <c r="D7456" s="3"/>
    </row>
    <row r="7457" spans="1:4">
      <c r="A7457" s="3"/>
      <c r="D7457" s="3"/>
    </row>
    <row r="7458" spans="1:4">
      <c r="A7458" s="3"/>
      <c r="D7458" s="3"/>
    </row>
    <row r="7459" spans="1:4">
      <c r="A7459" s="3"/>
      <c r="D7459" s="3"/>
    </row>
    <row r="7460" spans="1:4">
      <c r="A7460" s="3"/>
      <c r="D7460" s="3"/>
    </row>
    <row r="7461" spans="1:4">
      <c r="A7461" s="3"/>
      <c r="D7461" s="3"/>
    </row>
    <row r="7462" spans="1:4">
      <c r="A7462" s="3"/>
      <c r="D7462" s="3"/>
    </row>
    <row r="7463" spans="1:4">
      <c r="A7463" s="3"/>
      <c r="D7463" s="3"/>
    </row>
    <row r="7464" spans="1:4">
      <c r="A7464" s="3"/>
      <c r="D7464" s="3"/>
    </row>
    <row r="7465" spans="1:4">
      <c r="A7465" s="3"/>
      <c r="D7465" s="3"/>
    </row>
    <row r="7466" spans="1:4">
      <c r="A7466" s="3"/>
      <c r="D7466" s="3"/>
    </row>
    <row r="7467" spans="1:4">
      <c r="A7467" s="3"/>
      <c r="D7467" s="3"/>
    </row>
    <row r="7468" spans="1:4">
      <c r="A7468" s="3"/>
      <c r="D7468" s="3"/>
    </row>
    <row r="7469" spans="1:4">
      <c r="A7469" s="3"/>
      <c r="D7469" s="3"/>
    </row>
    <row r="7470" spans="1:4">
      <c r="A7470" s="3"/>
      <c r="D7470" s="3"/>
    </row>
    <row r="7471" spans="1:4">
      <c r="A7471" s="3"/>
      <c r="D7471" s="3"/>
    </row>
    <row r="7472" spans="1:4">
      <c r="A7472" s="3"/>
      <c r="D7472" s="3"/>
    </row>
    <row r="7473" spans="1:4">
      <c r="A7473" s="3"/>
      <c r="D7473" s="3"/>
    </row>
    <row r="7474" spans="1:4">
      <c r="A7474" s="3"/>
      <c r="D7474" s="3"/>
    </row>
    <row r="7475" spans="1:4">
      <c r="A7475" s="3"/>
      <c r="D7475" s="3"/>
    </row>
    <row r="7476" spans="1:4">
      <c r="A7476" s="3"/>
      <c r="D7476" s="3"/>
    </row>
    <row r="7477" spans="1:4">
      <c r="A7477" s="3"/>
      <c r="D7477" s="3"/>
    </row>
    <row r="7478" spans="1:4">
      <c r="A7478" s="3"/>
      <c r="D7478" s="3"/>
    </row>
    <row r="7479" spans="1:4">
      <c r="A7479" s="3"/>
      <c r="D7479" s="3"/>
    </row>
    <row r="7480" spans="1:4">
      <c r="A7480" s="3"/>
      <c r="D7480" s="3"/>
    </row>
    <row r="7481" spans="1:4">
      <c r="A7481" s="3"/>
      <c r="D7481" s="3"/>
    </row>
    <row r="7482" spans="1:4">
      <c r="A7482" s="3"/>
      <c r="D7482" s="3"/>
    </row>
    <row r="7483" spans="1:4">
      <c r="A7483" s="3"/>
      <c r="D7483" s="3"/>
    </row>
    <row r="7484" spans="1:4">
      <c r="A7484" s="3"/>
      <c r="D7484" s="3"/>
    </row>
    <row r="7485" spans="1:4">
      <c r="A7485" s="3"/>
      <c r="D7485" s="3"/>
    </row>
    <row r="7486" spans="1:4">
      <c r="A7486" s="3"/>
      <c r="D7486" s="3"/>
    </row>
    <row r="7487" spans="1:4">
      <c r="A7487" s="3"/>
      <c r="D7487" s="3"/>
    </row>
    <row r="7488" spans="1:4">
      <c r="A7488" s="3"/>
      <c r="D7488" s="3"/>
    </row>
    <row r="7489" spans="1:4">
      <c r="A7489" s="3"/>
      <c r="D7489" s="3"/>
    </row>
    <row r="7490" spans="1:4">
      <c r="A7490" s="3"/>
      <c r="D7490" s="3"/>
    </row>
    <row r="7491" spans="1:4">
      <c r="A7491" s="3"/>
      <c r="D7491" s="3"/>
    </row>
    <row r="7492" spans="1:4">
      <c r="A7492" s="3"/>
      <c r="D7492" s="3"/>
    </row>
    <row r="7493" spans="1:4">
      <c r="A7493" s="3"/>
      <c r="D7493" s="3"/>
    </row>
    <row r="7494" spans="1:4">
      <c r="A7494" s="3"/>
      <c r="D7494" s="3"/>
    </row>
    <row r="7495" spans="1:4">
      <c r="A7495" s="3"/>
      <c r="D7495" s="3"/>
    </row>
    <row r="7496" spans="1:4">
      <c r="A7496" s="3"/>
      <c r="D7496" s="3"/>
    </row>
    <row r="7497" spans="1:4">
      <c r="A7497" s="3"/>
      <c r="D7497" s="3"/>
    </row>
    <row r="7498" spans="1:4">
      <c r="A7498" s="3"/>
      <c r="D7498" s="3"/>
    </row>
    <row r="7499" spans="1:4">
      <c r="A7499" s="3"/>
      <c r="D7499" s="3"/>
    </row>
    <row r="7500" spans="1:4">
      <c r="A7500" s="3"/>
      <c r="D7500" s="3"/>
    </row>
    <row r="7501" spans="1:4">
      <c r="A7501" s="3"/>
      <c r="D7501" s="3"/>
    </row>
    <row r="7502" spans="1:4">
      <c r="A7502" s="3"/>
      <c r="D7502" s="3"/>
    </row>
    <row r="7503" spans="1:4">
      <c r="A7503" s="3"/>
      <c r="D7503" s="3"/>
    </row>
    <row r="7504" spans="1:4">
      <c r="A7504" s="3"/>
      <c r="D7504" s="3"/>
    </row>
    <row r="7505" spans="1:4">
      <c r="A7505" s="3"/>
      <c r="D7505" s="3"/>
    </row>
    <row r="7506" spans="1:4">
      <c r="A7506" s="3"/>
      <c r="D7506" s="3"/>
    </row>
    <row r="7507" spans="1:4">
      <c r="A7507" s="3"/>
      <c r="D7507" s="3"/>
    </row>
    <row r="7508" spans="1:4">
      <c r="A7508" s="3"/>
      <c r="D7508" s="3"/>
    </row>
    <row r="7509" spans="1:4">
      <c r="A7509" s="3"/>
      <c r="D7509" s="3"/>
    </row>
    <row r="7510" spans="1:4">
      <c r="A7510" s="3"/>
      <c r="D7510" s="3"/>
    </row>
    <row r="7511" spans="1:4">
      <c r="A7511" s="3"/>
      <c r="D7511" s="3"/>
    </row>
    <row r="7512" spans="1:4">
      <c r="A7512" s="3"/>
      <c r="D7512" s="3"/>
    </row>
    <row r="7513" spans="1:4">
      <c r="A7513" s="3"/>
      <c r="D7513" s="3"/>
    </row>
    <row r="7514" spans="1:4">
      <c r="A7514" s="3"/>
      <c r="D7514" s="3"/>
    </row>
    <row r="7515" spans="1:4">
      <c r="A7515" s="3"/>
      <c r="D7515" s="3"/>
    </row>
    <row r="7516" spans="1:4">
      <c r="A7516" s="3"/>
      <c r="D7516" s="3"/>
    </row>
    <row r="7517" spans="1:4">
      <c r="A7517" s="3"/>
      <c r="D7517" s="3"/>
    </row>
    <row r="7518" spans="1:4">
      <c r="A7518" s="3"/>
      <c r="D7518" s="3"/>
    </row>
    <row r="7519" spans="1:4">
      <c r="A7519" s="3"/>
      <c r="D7519" s="3"/>
    </row>
    <row r="7520" spans="1:4">
      <c r="A7520" s="3"/>
      <c r="D7520" s="3"/>
    </row>
    <row r="7521" spans="1:4">
      <c r="A7521" s="3"/>
      <c r="D7521" s="3"/>
    </row>
    <row r="7522" spans="1:4">
      <c r="A7522" s="3"/>
      <c r="D7522" s="3"/>
    </row>
    <row r="7523" spans="1:4">
      <c r="A7523" s="3"/>
      <c r="D7523" s="3"/>
    </row>
    <row r="7524" spans="1:4">
      <c r="A7524" s="3"/>
      <c r="D7524" s="3"/>
    </row>
    <row r="7525" spans="1:4">
      <c r="A7525" s="3"/>
      <c r="D7525" s="3"/>
    </row>
    <row r="7526" spans="1:4">
      <c r="A7526" s="3"/>
      <c r="D7526" s="3"/>
    </row>
    <row r="7527" spans="1:4">
      <c r="A7527" s="3"/>
      <c r="D7527" s="3"/>
    </row>
    <row r="7528" spans="1:4">
      <c r="A7528" s="3"/>
      <c r="D7528" s="3"/>
    </row>
    <row r="7529" spans="1:4">
      <c r="A7529" s="3"/>
      <c r="D7529" s="3"/>
    </row>
    <row r="7530" spans="1:4">
      <c r="A7530" s="3"/>
      <c r="D7530" s="3"/>
    </row>
    <row r="7531" spans="1:4">
      <c r="A7531" s="3"/>
      <c r="D7531" s="3"/>
    </row>
    <row r="7532" spans="1:4">
      <c r="A7532" s="3"/>
      <c r="D7532" s="3"/>
    </row>
    <row r="7533" spans="1:4">
      <c r="A7533" s="3"/>
      <c r="D7533" s="3"/>
    </row>
    <row r="7534" spans="1:4">
      <c r="A7534" s="3"/>
      <c r="D7534" s="3"/>
    </row>
    <row r="7535" spans="1:4">
      <c r="A7535" s="3"/>
      <c r="D7535" s="3"/>
    </row>
    <row r="7536" spans="1:4">
      <c r="A7536" s="3"/>
      <c r="D7536" s="3"/>
    </row>
    <row r="7537" spans="1:4">
      <c r="A7537" s="3"/>
      <c r="D7537" s="3"/>
    </row>
    <row r="7538" spans="1:4">
      <c r="A7538" s="3"/>
      <c r="D7538" s="3"/>
    </row>
    <row r="7539" spans="1:4">
      <c r="A7539" s="3"/>
      <c r="D7539" s="3"/>
    </row>
    <row r="7540" spans="1:4">
      <c r="A7540" s="3"/>
      <c r="D7540" s="3"/>
    </row>
    <row r="7541" spans="1:4">
      <c r="A7541" s="3"/>
      <c r="D7541" s="3"/>
    </row>
    <row r="7542" spans="1:4">
      <c r="A7542" s="3"/>
      <c r="D7542" s="3"/>
    </row>
    <row r="7543" spans="1:4">
      <c r="A7543" s="3"/>
      <c r="D7543" s="3"/>
    </row>
    <row r="7544" spans="1:4">
      <c r="A7544" s="3"/>
      <c r="D7544" s="3"/>
    </row>
    <row r="7545" spans="1:4">
      <c r="A7545" s="3"/>
      <c r="D7545" s="3"/>
    </row>
    <row r="7546" spans="1:4">
      <c r="A7546" s="3"/>
      <c r="D7546" s="3"/>
    </row>
    <row r="7547" spans="1:4">
      <c r="A7547" s="3"/>
      <c r="D7547" s="3"/>
    </row>
    <row r="7548" spans="1:4">
      <c r="A7548" s="3"/>
      <c r="D7548" s="3"/>
    </row>
    <row r="7549" spans="1:4">
      <c r="A7549" s="3"/>
      <c r="D7549" s="3"/>
    </row>
    <row r="7550" spans="1:4">
      <c r="A7550" s="3"/>
      <c r="D7550" s="3"/>
    </row>
    <row r="7551" spans="1:4">
      <c r="A7551" s="3"/>
      <c r="D7551" s="3"/>
    </row>
    <row r="7552" spans="1:4">
      <c r="A7552" s="3"/>
      <c r="D7552" s="3"/>
    </row>
    <row r="7553" spans="1:4">
      <c r="A7553" s="3"/>
      <c r="D7553" s="3"/>
    </row>
    <row r="7554" spans="1:4">
      <c r="A7554" s="3"/>
      <c r="D7554" s="3"/>
    </row>
    <row r="7555" spans="1:4">
      <c r="A7555" s="3"/>
      <c r="D7555" s="3"/>
    </row>
    <row r="7556" spans="1:4">
      <c r="A7556" s="3"/>
      <c r="D7556" s="3"/>
    </row>
    <row r="7557" spans="1:4">
      <c r="A7557" s="3"/>
      <c r="D7557" s="3"/>
    </row>
    <row r="7558" spans="1:4">
      <c r="A7558" s="3"/>
      <c r="D7558" s="3"/>
    </row>
    <row r="7559" spans="1:4">
      <c r="A7559" s="3"/>
      <c r="D7559" s="3"/>
    </row>
    <row r="7560" spans="1:4">
      <c r="A7560" s="3"/>
      <c r="D7560" s="3"/>
    </row>
    <row r="7561" spans="1:4">
      <c r="A7561" s="3"/>
      <c r="D7561" s="3"/>
    </row>
    <row r="7562" spans="1:4">
      <c r="A7562" s="3"/>
      <c r="D7562" s="3"/>
    </row>
    <row r="7563" spans="1:4">
      <c r="A7563" s="3"/>
      <c r="D7563" s="3"/>
    </row>
    <row r="7564" spans="1:4">
      <c r="A7564" s="3"/>
      <c r="D7564" s="3"/>
    </row>
    <row r="7565" spans="1:4">
      <c r="A7565" s="3"/>
      <c r="D7565" s="3"/>
    </row>
    <row r="7566" spans="1:4">
      <c r="A7566" s="3"/>
      <c r="D7566" s="3"/>
    </row>
    <row r="7567" spans="1:4">
      <c r="A7567" s="3"/>
      <c r="D7567" s="3"/>
    </row>
    <row r="7568" spans="1:4">
      <c r="A7568" s="3"/>
      <c r="D7568" s="3"/>
    </row>
    <row r="7569" spans="1:4">
      <c r="A7569" s="3"/>
      <c r="D7569" s="3"/>
    </row>
    <row r="7570" spans="1:4">
      <c r="A7570" s="3"/>
      <c r="D7570" s="3"/>
    </row>
    <row r="7571" spans="1:4">
      <c r="A7571" s="3"/>
      <c r="D7571" s="3"/>
    </row>
    <row r="7572" spans="1:4">
      <c r="A7572" s="3"/>
      <c r="D7572" s="3"/>
    </row>
    <row r="7573" spans="1:4">
      <c r="A7573" s="3"/>
      <c r="D7573" s="3"/>
    </row>
    <row r="7574" spans="1:4">
      <c r="A7574" s="3"/>
      <c r="D7574" s="3"/>
    </row>
    <row r="7575" spans="1:4">
      <c r="A7575" s="3"/>
      <c r="D7575" s="3"/>
    </row>
    <row r="7576" spans="1:4">
      <c r="A7576" s="3"/>
      <c r="D7576" s="3"/>
    </row>
    <row r="7577" spans="1:4">
      <c r="A7577" s="3"/>
      <c r="D7577" s="3"/>
    </row>
    <row r="7578" spans="1:4">
      <c r="A7578" s="3"/>
      <c r="D7578" s="3"/>
    </row>
    <row r="7579" spans="1:4">
      <c r="A7579" s="3"/>
      <c r="D7579" s="3"/>
    </row>
    <row r="7580" spans="1:4">
      <c r="A7580" s="3"/>
      <c r="D7580" s="3"/>
    </row>
    <row r="7581" spans="1:4">
      <c r="A7581" s="3"/>
      <c r="D7581" s="3"/>
    </row>
    <row r="7582" spans="1:4">
      <c r="A7582" s="3"/>
      <c r="D7582" s="3"/>
    </row>
    <row r="7583" spans="1:4">
      <c r="A7583" s="3"/>
      <c r="D7583" s="3"/>
    </row>
    <row r="7584" spans="1:4">
      <c r="A7584" s="3"/>
      <c r="D7584" s="3"/>
    </row>
    <row r="7585" spans="1:4">
      <c r="A7585" s="3"/>
      <c r="D7585" s="3"/>
    </row>
    <row r="7586" spans="1:4">
      <c r="A7586" s="3"/>
      <c r="D7586" s="3"/>
    </row>
    <row r="7587" spans="1:4">
      <c r="A7587" s="3"/>
      <c r="D7587" s="3"/>
    </row>
    <row r="7588" spans="1:4">
      <c r="A7588" s="3"/>
      <c r="D7588" s="3"/>
    </row>
    <row r="7589" spans="1:4">
      <c r="A7589" s="3"/>
      <c r="D7589" s="3"/>
    </row>
    <row r="7590" spans="1:4">
      <c r="A7590" s="3"/>
      <c r="D7590" s="3"/>
    </row>
    <row r="7591" spans="1:4">
      <c r="A7591" s="3"/>
      <c r="D7591" s="3"/>
    </row>
    <row r="7592" spans="1:4">
      <c r="A7592" s="3"/>
      <c r="D7592" s="3"/>
    </row>
    <row r="7593" spans="1:4">
      <c r="A7593" s="3"/>
      <c r="D7593" s="3"/>
    </row>
    <row r="7594" spans="1:4">
      <c r="A7594" s="3"/>
      <c r="D7594" s="3"/>
    </row>
    <row r="7595" spans="1:4">
      <c r="A7595" s="3"/>
      <c r="D7595" s="3"/>
    </row>
    <row r="7596" spans="1:4">
      <c r="A7596" s="3"/>
      <c r="D7596" s="3"/>
    </row>
    <row r="7597" spans="1:4">
      <c r="A7597" s="3"/>
      <c r="D7597" s="3"/>
    </row>
    <row r="7598" spans="1:4">
      <c r="A7598" s="3"/>
      <c r="D7598" s="3"/>
    </row>
    <row r="7599" spans="1:4">
      <c r="A7599" s="3"/>
      <c r="D7599" s="3"/>
    </row>
    <row r="7600" spans="1:4">
      <c r="A7600" s="3"/>
      <c r="D7600" s="3"/>
    </row>
    <row r="7601" spans="1:4">
      <c r="A7601" s="3"/>
      <c r="D7601" s="3"/>
    </row>
    <row r="7602" spans="1:4">
      <c r="A7602" s="3"/>
      <c r="D7602" s="3"/>
    </row>
    <row r="7603" spans="1:4">
      <c r="A7603" s="3"/>
      <c r="D7603" s="3"/>
    </row>
    <row r="7604" spans="1:4">
      <c r="A7604" s="3"/>
      <c r="D7604" s="3"/>
    </row>
    <row r="7605" spans="1:4">
      <c r="A7605" s="3"/>
      <c r="D7605" s="3"/>
    </row>
    <row r="7606" spans="1:4">
      <c r="A7606" s="3"/>
      <c r="D7606" s="3"/>
    </row>
    <row r="7607" spans="1:4">
      <c r="A7607" s="3"/>
      <c r="D7607" s="3"/>
    </row>
    <row r="7608" spans="1:4">
      <c r="A7608" s="3"/>
      <c r="D7608" s="3"/>
    </row>
    <row r="7609" spans="1:4">
      <c r="A7609" s="3"/>
      <c r="D7609" s="3"/>
    </row>
    <row r="7610" spans="1:4">
      <c r="A7610" s="3"/>
      <c r="D7610" s="3"/>
    </row>
    <row r="7611" spans="1:4">
      <c r="A7611" s="3"/>
      <c r="D7611" s="3"/>
    </row>
    <row r="7612" spans="1:4">
      <c r="A7612" s="3"/>
      <c r="D7612" s="3"/>
    </row>
    <row r="7613" spans="1:4">
      <c r="A7613" s="3"/>
      <c r="D7613" s="3"/>
    </row>
    <row r="7614" spans="1:4">
      <c r="A7614" s="3"/>
      <c r="D7614" s="3"/>
    </row>
    <row r="7615" spans="1:4">
      <c r="A7615" s="3"/>
      <c r="D7615" s="3"/>
    </row>
    <row r="7616" spans="1:4">
      <c r="A7616" s="3"/>
      <c r="D7616" s="3"/>
    </row>
    <row r="7617" spans="1:4">
      <c r="A7617" s="3"/>
      <c r="D7617" s="3"/>
    </row>
    <row r="7618" spans="1:4">
      <c r="A7618" s="3"/>
      <c r="D7618" s="3"/>
    </row>
    <row r="7619" spans="1:4">
      <c r="A7619" s="3"/>
      <c r="D7619" s="3"/>
    </row>
    <row r="7620" spans="1:4">
      <c r="A7620" s="3"/>
      <c r="D7620" s="3"/>
    </row>
    <row r="7621" spans="1:4">
      <c r="A7621" s="3"/>
      <c r="D7621" s="3"/>
    </row>
    <row r="7622" spans="1:4">
      <c r="A7622" s="3"/>
      <c r="D7622" s="3"/>
    </row>
    <row r="7623" spans="1:4">
      <c r="A7623" s="3"/>
      <c r="D7623" s="3"/>
    </row>
    <row r="7624" spans="1:4">
      <c r="A7624" s="3"/>
      <c r="D7624" s="3"/>
    </row>
    <row r="7625" spans="1:4">
      <c r="A7625" s="3"/>
      <c r="D7625" s="3"/>
    </row>
    <row r="7626" spans="1:4">
      <c r="A7626" s="3"/>
      <c r="D7626" s="3"/>
    </row>
    <row r="7627" spans="1:4">
      <c r="A7627" s="3"/>
      <c r="D7627" s="3"/>
    </row>
    <row r="7628" spans="1:4">
      <c r="A7628" s="3"/>
      <c r="D7628" s="3"/>
    </row>
    <row r="7629" spans="1:4">
      <c r="A7629" s="3"/>
      <c r="D7629" s="3"/>
    </row>
    <row r="7630" spans="1:4">
      <c r="A7630" s="3"/>
      <c r="D7630" s="3"/>
    </row>
    <row r="7631" spans="1:4">
      <c r="A7631" s="3"/>
      <c r="D7631" s="3"/>
    </row>
    <row r="7632" spans="1:4">
      <c r="A7632" s="3"/>
      <c r="D7632" s="3"/>
    </row>
    <row r="7633" spans="1:4">
      <c r="A7633" s="3"/>
      <c r="D7633" s="3"/>
    </row>
    <row r="7634" spans="1:4">
      <c r="A7634" s="3"/>
      <c r="D7634" s="3"/>
    </row>
    <row r="7635" spans="1:4">
      <c r="A7635" s="3"/>
      <c r="D7635" s="3"/>
    </row>
    <row r="7636" spans="1:4">
      <c r="A7636" s="3"/>
      <c r="D7636" s="3"/>
    </row>
    <row r="7637" spans="1:4">
      <c r="A7637" s="3"/>
      <c r="D7637" s="3"/>
    </row>
    <row r="7638" spans="1:4">
      <c r="A7638" s="3"/>
      <c r="D7638" s="3"/>
    </row>
    <row r="7639" spans="1:4">
      <c r="A7639" s="3"/>
      <c r="D7639" s="3"/>
    </row>
    <row r="7640" spans="1:4">
      <c r="A7640" s="3"/>
      <c r="D7640" s="3"/>
    </row>
    <row r="7641" spans="1:4">
      <c r="A7641" s="3"/>
      <c r="D7641" s="3"/>
    </row>
    <row r="7642" spans="1:4">
      <c r="A7642" s="3"/>
      <c r="D7642" s="3"/>
    </row>
    <row r="7643" spans="1:4">
      <c r="A7643" s="3"/>
      <c r="D7643" s="3"/>
    </row>
    <row r="7644" spans="1:4">
      <c r="A7644" s="3"/>
      <c r="D7644" s="3"/>
    </row>
    <row r="7645" spans="1:4">
      <c r="A7645" s="3"/>
      <c r="D7645" s="3"/>
    </row>
    <row r="7646" spans="1:4">
      <c r="A7646" s="3"/>
      <c r="D7646" s="3"/>
    </row>
    <row r="7647" spans="1:4">
      <c r="A7647" s="3"/>
      <c r="D7647" s="3"/>
    </row>
    <row r="7648" spans="1:4">
      <c r="A7648" s="3"/>
      <c r="D7648" s="3"/>
    </row>
    <row r="7649" spans="1:4">
      <c r="A7649" s="3"/>
      <c r="D7649" s="3"/>
    </row>
    <row r="7650" spans="1:4">
      <c r="A7650" s="3"/>
      <c r="D7650" s="3"/>
    </row>
    <row r="7651" spans="1:4">
      <c r="A7651" s="3"/>
      <c r="D7651" s="3"/>
    </row>
    <row r="7652" spans="1:4">
      <c r="A7652" s="3"/>
      <c r="D7652" s="3"/>
    </row>
    <row r="7653" spans="1:4">
      <c r="A7653" s="3"/>
      <c r="D7653" s="3"/>
    </row>
    <row r="7654" spans="1:4">
      <c r="A7654" s="3"/>
      <c r="D7654" s="3"/>
    </row>
    <row r="7655" spans="1:4">
      <c r="A7655" s="3"/>
      <c r="D7655" s="3"/>
    </row>
    <row r="7656" spans="1:4">
      <c r="A7656" s="3"/>
      <c r="D7656" s="3"/>
    </row>
    <row r="7657" spans="1:4">
      <c r="A7657" s="3"/>
      <c r="D7657" s="3"/>
    </row>
    <row r="7658" spans="1:4">
      <c r="A7658" s="3"/>
      <c r="D7658" s="3"/>
    </row>
    <row r="7659" spans="1:4">
      <c r="A7659" s="3"/>
      <c r="D7659" s="3"/>
    </row>
    <row r="7660" spans="1:4">
      <c r="A7660" s="3"/>
      <c r="D7660" s="3"/>
    </row>
    <row r="7661" spans="1:4">
      <c r="A7661" s="3"/>
      <c r="D7661" s="3"/>
    </row>
    <row r="7662" spans="1:4">
      <c r="A7662" s="3"/>
      <c r="D7662" s="3"/>
    </row>
    <row r="7663" spans="1:4">
      <c r="A7663" s="3"/>
      <c r="D7663" s="3"/>
    </row>
    <row r="7664" spans="1:4">
      <c r="A7664" s="3"/>
      <c r="D7664" s="3"/>
    </row>
    <row r="7665" spans="1:4">
      <c r="A7665" s="3"/>
      <c r="D7665" s="3"/>
    </row>
    <row r="7666" spans="1:4">
      <c r="A7666" s="3"/>
      <c r="D7666" s="3"/>
    </row>
    <row r="7667" spans="1:4">
      <c r="A7667" s="3"/>
      <c r="D7667" s="3"/>
    </row>
    <row r="7668" spans="1:4">
      <c r="A7668" s="3"/>
      <c r="D7668" s="3"/>
    </row>
    <row r="7669" spans="1:4">
      <c r="A7669" s="3"/>
      <c r="D7669" s="3"/>
    </row>
    <row r="7670" spans="1:4">
      <c r="A7670" s="3"/>
      <c r="D7670" s="3"/>
    </row>
    <row r="7671" spans="1:4">
      <c r="A7671" s="3"/>
      <c r="D7671" s="3"/>
    </row>
    <row r="7672" spans="1:4">
      <c r="A7672" s="3"/>
      <c r="D7672" s="3"/>
    </row>
    <row r="7673" spans="1:4">
      <c r="A7673" s="3"/>
      <c r="D7673" s="3"/>
    </row>
    <row r="7674" spans="1:4">
      <c r="A7674" s="3"/>
      <c r="D7674" s="3"/>
    </row>
    <row r="7675" spans="1:4">
      <c r="A7675" s="3"/>
      <c r="D7675" s="3"/>
    </row>
    <row r="7676" spans="1:4">
      <c r="A7676" s="3"/>
      <c r="D7676" s="3"/>
    </row>
    <row r="7677" spans="1:4">
      <c r="A7677" s="3"/>
      <c r="D7677" s="3"/>
    </row>
    <row r="7678" spans="1:4">
      <c r="A7678" s="3"/>
      <c r="D7678" s="3"/>
    </row>
    <row r="7679" spans="1:4">
      <c r="A7679" s="3"/>
      <c r="D7679" s="3"/>
    </row>
    <row r="7680" spans="1:4">
      <c r="A7680" s="3"/>
      <c r="D7680" s="3"/>
    </row>
    <row r="7681" spans="1:4">
      <c r="A7681" s="3"/>
      <c r="D7681" s="3"/>
    </row>
    <row r="7682" spans="1:4">
      <c r="A7682" s="3"/>
      <c r="D7682" s="3"/>
    </row>
    <row r="7683" spans="1:4">
      <c r="A7683" s="3"/>
      <c r="D7683" s="3"/>
    </row>
    <row r="7684" spans="1:4">
      <c r="A7684" s="3"/>
      <c r="D7684" s="3"/>
    </row>
    <row r="7685" spans="1:4">
      <c r="A7685" s="3"/>
      <c r="D7685" s="3"/>
    </row>
    <row r="7686" spans="1:4">
      <c r="A7686" s="3"/>
      <c r="D7686" s="3"/>
    </row>
    <row r="7687" spans="1:4">
      <c r="A7687" s="3"/>
      <c r="D7687" s="3"/>
    </row>
    <row r="7688" spans="1:4">
      <c r="A7688" s="3"/>
      <c r="D7688" s="3"/>
    </row>
    <row r="7689" spans="1:4">
      <c r="A7689" s="3"/>
      <c r="D7689" s="3"/>
    </row>
    <row r="7690" spans="1:4">
      <c r="A7690" s="3"/>
      <c r="D7690" s="3"/>
    </row>
    <row r="7691" spans="1:4">
      <c r="A7691" s="3"/>
      <c r="D7691" s="3"/>
    </row>
    <row r="7692" spans="1:4">
      <c r="A7692" s="3"/>
      <c r="D7692" s="3"/>
    </row>
    <row r="7693" spans="1:4">
      <c r="A7693" s="3"/>
      <c r="D7693" s="3"/>
    </row>
    <row r="7694" spans="1:4">
      <c r="A7694" s="3"/>
      <c r="D7694" s="3"/>
    </row>
    <row r="7695" spans="1:4">
      <c r="A7695" s="3"/>
      <c r="D7695" s="3"/>
    </row>
    <row r="7696" spans="1:4">
      <c r="A7696" s="3"/>
      <c r="D7696" s="3"/>
    </row>
    <row r="7697" spans="1:4">
      <c r="A7697" s="3"/>
      <c r="D7697" s="3"/>
    </row>
    <row r="7698" spans="1:4">
      <c r="A7698" s="3"/>
      <c r="D7698" s="3"/>
    </row>
    <row r="7699" spans="1:4">
      <c r="A7699" s="3"/>
      <c r="D7699" s="3"/>
    </row>
    <row r="7700" spans="1:4">
      <c r="A7700" s="3"/>
      <c r="D7700" s="3"/>
    </row>
    <row r="7701" spans="1:4">
      <c r="A7701" s="3"/>
      <c r="D7701" s="3"/>
    </row>
    <row r="7702" spans="1:4">
      <c r="A7702" s="3"/>
      <c r="D7702" s="3"/>
    </row>
    <row r="7703" spans="1:4">
      <c r="A7703" s="3"/>
      <c r="D7703" s="3"/>
    </row>
    <row r="7704" spans="1:4">
      <c r="A7704" s="3"/>
      <c r="D7704" s="3"/>
    </row>
    <row r="7705" spans="1:4">
      <c r="A7705" s="3"/>
      <c r="D7705" s="3"/>
    </row>
    <row r="7706" spans="1:4">
      <c r="A7706" s="3"/>
      <c r="D7706" s="3"/>
    </row>
    <row r="7707" spans="1:4">
      <c r="A7707" s="3"/>
      <c r="D7707" s="3"/>
    </row>
    <row r="7708" spans="1:4">
      <c r="A7708" s="3"/>
      <c r="D7708" s="3"/>
    </row>
    <row r="7709" spans="1:4">
      <c r="A7709" s="3"/>
      <c r="D7709" s="3"/>
    </row>
    <row r="7710" spans="1:4">
      <c r="A7710" s="3"/>
      <c r="D7710" s="3"/>
    </row>
    <row r="7711" spans="1:4">
      <c r="A7711" s="3"/>
      <c r="D7711" s="3"/>
    </row>
    <row r="7712" spans="1:4">
      <c r="A7712" s="3"/>
      <c r="D7712" s="3"/>
    </row>
    <row r="7713" spans="1:4">
      <c r="A7713" s="3"/>
      <c r="D7713" s="3"/>
    </row>
    <row r="7714" spans="1:4">
      <c r="A7714" s="3"/>
      <c r="D7714" s="3"/>
    </row>
    <row r="7715" spans="1:4">
      <c r="A7715" s="3"/>
      <c r="D7715" s="3"/>
    </row>
    <row r="7716" spans="1:4">
      <c r="A7716" s="3"/>
      <c r="D7716" s="3"/>
    </row>
    <row r="7717" spans="1:4">
      <c r="A7717" s="3"/>
      <c r="D7717" s="3"/>
    </row>
    <row r="7718" spans="1:4">
      <c r="A7718" s="3"/>
      <c r="D7718" s="3"/>
    </row>
    <row r="7719" spans="1:4">
      <c r="A7719" s="3"/>
      <c r="D7719" s="3"/>
    </row>
    <row r="7720" spans="1:4">
      <c r="A7720" s="3"/>
      <c r="D7720" s="3"/>
    </row>
    <row r="7721" spans="1:4">
      <c r="A7721" s="3"/>
      <c r="D7721" s="3"/>
    </row>
    <row r="7722" spans="1:4">
      <c r="A7722" s="3"/>
      <c r="D7722" s="3"/>
    </row>
    <row r="7723" spans="1:4">
      <c r="A7723" s="3"/>
      <c r="D7723" s="3"/>
    </row>
    <row r="7724" spans="1:4">
      <c r="A7724" s="3"/>
      <c r="D7724" s="3"/>
    </row>
    <row r="7725" spans="1:4">
      <c r="A7725" s="3"/>
      <c r="D7725" s="3"/>
    </row>
    <row r="7726" spans="1:4">
      <c r="A7726" s="3"/>
      <c r="D7726" s="3"/>
    </row>
    <row r="7727" spans="1:4">
      <c r="A7727" s="3"/>
      <c r="D7727" s="3"/>
    </row>
    <row r="7728" spans="1:4">
      <c r="A7728" s="3"/>
      <c r="D7728" s="3"/>
    </row>
    <row r="7729" spans="1:4">
      <c r="A7729" s="3"/>
      <c r="D7729" s="3"/>
    </row>
    <row r="7730" spans="1:4">
      <c r="A7730" s="3"/>
      <c r="D7730" s="3"/>
    </row>
    <row r="7731" spans="1:4">
      <c r="A7731" s="3"/>
      <c r="D7731" s="3"/>
    </row>
    <row r="7732" spans="1:4">
      <c r="A7732" s="3"/>
      <c r="D7732" s="3"/>
    </row>
    <row r="7733" spans="1:4">
      <c r="A7733" s="3"/>
      <c r="D7733" s="3"/>
    </row>
    <row r="7734" spans="1:4">
      <c r="A7734" s="3"/>
      <c r="D7734" s="3"/>
    </row>
    <row r="7735" spans="1:4">
      <c r="A7735" s="3"/>
      <c r="D7735" s="3"/>
    </row>
    <row r="7736" spans="1:4">
      <c r="A7736" s="3"/>
      <c r="D7736" s="3"/>
    </row>
    <row r="7737" spans="1:4">
      <c r="A7737" s="3"/>
      <c r="D7737" s="3"/>
    </row>
    <row r="7738" spans="1:4">
      <c r="A7738" s="3"/>
      <c r="D7738" s="3"/>
    </row>
    <row r="7739" spans="1:4">
      <c r="A7739" s="3"/>
      <c r="D7739" s="3"/>
    </row>
    <row r="7740" spans="1:4">
      <c r="A7740" s="3"/>
      <c r="D7740" s="3"/>
    </row>
    <row r="7741" spans="1:4">
      <c r="A7741" s="3"/>
      <c r="D7741" s="3"/>
    </row>
    <row r="7742" spans="1:4">
      <c r="A7742" s="3"/>
      <c r="D7742" s="3"/>
    </row>
    <row r="7743" spans="1:4">
      <c r="A7743" s="3"/>
      <c r="D7743" s="3"/>
    </row>
    <row r="7744" spans="1:4">
      <c r="A7744" s="3"/>
      <c r="D7744" s="3"/>
    </row>
    <row r="7745" spans="1:4">
      <c r="A7745" s="3"/>
      <c r="D7745" s="3"/>
    </row>
    <row r="7746" spans="1:4">
      <c r="A7746" s="3"/>
      <c r="D7746" s="3"/>
    </row>
    <row r="7747" spans="1:4">
      <c r="A7747" s="3"/>
      <c r="D7747" s="3"/>
    </row>
    <row r="7748" spans="1:4">
      <c r="A7748" s="3"/>
      <c r="D7748" s="3"/>
    </row>
    <row r="7749" spans="1:4">
      <c r="A7749" s="3"/>
      <c r="D7749" s="3"/>
    </row>
    <row r="7750" spans="1:4">
      <c r="A7750" s="3"/>
      <c r="D7750" s="3"/>
    </row>
    <row r="7751" spans="1:4">
      <c r="A7751" s="3"/>
      <c r="D7751" s="3"/>
    </row>
    <row r="7752" spans="1:4">
      <c r="A7752" s="3"/>
      <c r="D7752" s="3"/>
    </row>
    <row r="7753" spans="1:4">
      <c r="A7753" s="3"/>
      <c r="D7753" s="3"/>
    </row>
    <row r="7754" spans="1:4">
      <c r="A7754" s="3"/>
      <c r="D7754" s="3"/>
    </row>
    <row r="7755" spans="1:4">
      <c r="A7755" s="3"/>
      <c r="D7755" s="3"/>
    </row>
    <row r="7756" spans="1:4">
      <c r="A7756" s="3"/>
      <c r="D7756" s="3"/>
    </row>
    <row r="7757" spans="1:4">
      <c r="A7757" s="3"/>
      <c r="D7757" s="3"/>
    </row>
    <row r="7758" spans="1:4">
      <c r="A7758" s="3"/>
      <c r="D7758" s="3"/>
    </row>
    <row r="7759" spans="1:4">
      <c r="A7759" s="3"/>
      <c r="D7759" s="3"/>
    </row>
    <row r="7760" spans="1:4">
      <c r="A7760" s="3"/>
      <c r="D7760" s="3"/>
    </row>
    <row r="7761" spans="1:4">
      <c r="A7761" s="3"/>
      <c r="D7761" s="3"/>
    </row>
    <row r="7762" spans="1:4">
      <c r="A7762" s="3"/>
      <c r="D7762" s="3"/>
    </row>
    <row r="7763" spans="1:4">
      <c r="A7763" s="3"/>
      <c r="D7763" s="3"/>
    </row>
    <row r="7764" spans="1:4">
      <c r="A7764" s="3"/>
      <c r="D7764" s="3"/>
    </row>
    <row r="7765" spans="1:4">
      <c r="A7765" s="3"/>
      <c r="D7765" s="3"/>
    </row>
    <row r="7766" spans="1:4">
      <c r="A7766" s="3"/>
      <c r="D7766" s="3"/>
    </row>
    <row r="7767" spans="1:4">
      <c r="A7767" s="3"/>
      <c r="D7767" s="3"/>
    </row>
    <row r="7768" spans="1:4">
      <c r="A7768" s="3"/>
      <c r="D7768" s="3"/>
    </row>
    <row r="7769" spans="1:4">
      <c r="A7769" s="3"/>
      <c r="D7769" s="3"/>
    </row>
    <row r="7770" spans="1:4">
      <c r="A7770" s="3"/>
      <c r="D7770" s="3"/>
    </row>
    <row r="7771" spans="1:4">
      <c r="A7771" s="3"/>
      <c r="D7771" s="3"/>
    </row>
    <row r="7772" spans="1:4">
      <c r="A7772" s="3"/>
      <c r="D7772" s="3"/>
    </row>
    <row r="7773" spans="1:4">
      <c r="A7773" s="3"/>
      <c r="D7773" s="3"/>
    </row>
    <row r="7774" spans="1:4">
      <c r="A7774" s="3"/>
      <c r="D7774" s="3"/>
    </row>
    <row r="7775" spans="1:4">
      <c r="A7775" s="3"/>
      <c r="D7775" s="3"/>
    </row>
    <row r="7776" spans="1:4">
      <c r="A7776" s="3"/>
      <c r="D7776" s="3"/>
    </row>
    <row r="7777" spans="1:4">
      <c r="A7777" s="3"/>
      <c r="D7777" s="3"/>
    </row>
    <row r="7778" spans="1:4">
      <c r="A7778" s="3"/>
      <c r="D7778" s="3"/>
    </row>
    <row r="7779" spans="1:4">
      <c r="A7779" s="3"/>
      <c r="D7779" s="3"/>
    </row>
    <row r="7780" spans="1:4">
      <c r="A7780" s="3"/>
      <c r="D7780" s="3"/>
    </row>
    <row r="7781" spans="1:4">
      <c r="A7781" s="3"/>
      <c r="D7781" s="3"/>
    </row>
    <row r="7782" spans="1:4">
      <c r="A7782" s="3"/>
      <c r="D7782" s="3"/>
    </row>
    <row r="7783" spans="1:4">
      <c r="A7783" s="3"/>
      <c r="D7783" s="3"/>
    </row>
    <row r="7784" spans="1:4">
      <c r="A7784" s="3"/>
      <c r="D7784" s="3"/>
    </row>
    <row r="7785" spans="1:4">
      <c r="A7785" s="3"/>
      <c r="D7785" s="3"/>
    </row>
    <row r="7786" spans="1:4">
      <c r="A7786" s="3"/>
      <c r="D7786" s="3"/>
    </row>
    <row r="7787" spans="1:4">
      <c r="A7787" s="3"/>
      <c r="D7787" s="3"/>
    </row>
    <row r="7788" spans="1:4">
      <c r="A7788" s="3"/>
      <c r="D7788" s="3"/>
    </row>
    <row r="7789" spans="1:4">
      <c r="A7789" s="3"/>
      <c r="D7789" s="3"/>
    </row>
    <row r="7790" spans="1:4">
      <c r="A7790" s="3"/>
      <c r="D7790" s="3"/>
    </row>
    <row r="7791" spans="1:4">
      <c r="A7791" s="3"/>
      <c r="D7791" s="3"/>
    </row>
    <row r="7792" spans="1:4">
      <c r="A7792" s="3"/>
      <c r="D7792" s="3"/>
    </row>
    <row r="7793" spans="1:4">
      <c r="A7793" s="3"/>
      <c r="D7793" s="3"/>
    </row>
    <row r="7794" spans="1:4">
      <c r="A7794" s="3"/>
      <c r="D7794" s="3"/>
    </row>
    <row r="7795" spans="1:4">
      <c r="A7795" s="3"/>
      <c r="D7795" s="3"/>
    </row>
    <row r="7796" spans="1:4">
      <c r="A7796" s="3"/>
      <c r="D7796" s="3"/>
    </row>
    <row r="7797" spans="1:4">
      <c r="A7797" s="3"/>
      <c r="D7797" s="3"/>
    </row>
    <row r="7798" spans="1:4">
      <c r="A7798" s="3"/>
      <c r="D7798" s="3"/>
    </row>
    <row r="7799" spans="1:4">
      <c r="A7799" s="3"/>
      <c r="D7799" s="3"/>
    </row>
    <row r="7800" spans="1:4">
      <c r="A7800" s="3"/>
      <c r="D7800" s="3"/>
    </row>
    <row r="7801" spans="1:4">
      <c r="A7801" s="3"/>
      <c r="D7801" s="3"/>
    </row>
    <row r="7802" spans="1:4">
      <c r="A7802" s="3"/>
      <c r="D7802" s="3"/>
    </row>
    <row r="7803" spans="1:4">
      <c r="A7803" s="3"/>
      <c r="D7803" s="3"/>
    </row>
    <row r="7804" spans="1:4">
      <c r="A7804" s="3"/>
      <c r="D7804" s="3"/>
    </row>
    <row r="7805" spans="1:4">
      <c r="A7805" s="3"/>
      <c r="D7805" s="3"/>
    </row>
    <row r="7806" spans="1:4">
      <c r="A7806" s="3"/>
      <c r="D7806" s="3"/>
    </row>
    <row r="7807" spans="1:4">
      <c r="A7807" s="3"/>
      <c r="D7807" s="3"/>
    </row>
    <row r="7808" spans="1:4">
      <c r="A7808" s="3"/>
      <c r="D7808" s="3"/>
    </row>
    <row r="7809" spans="1:4">
      <c r="A7809" s="3"/>
      <c r="D7809" s="3"/>
    </row>
    <row r="7810" spans="1:4">
      <c r="A7810" s="3"/>
      <c r="D7810" s="3"/>
    </row>
    <row r="7811" spans="1:4">
      <c r="A7811" s="3"/>
      <c r="D7811" s="3"/>
    </row>
    <row r="7812" spans="1:4">
      <c r="A7812" s="3"/>
      <c r="D7812" s="3"/>
    </row>
    <row r="7813" spans="1:4">
      <c r="A7813" s="3"/>
      <c r="D7813" s="3"/>
    </row>
    <row r="7814" spans="1:4">
      <c r="A7814" s="3"/>
      <c r="D7814" s="3"/>
    </row>
    <row r="7815" spans="1:4">
      <c r="A7815" s="3"/>
      <c r="D7815" s="3"/>
    </row>
    <row r="7816" spans="1:4">
      <c r="A7816" s="3"/>
      <c r="D7816" s="3"/>
    </row>
    <row r="7817" spans="1:4">
      <c r="A7817" s="3"/>
      <c r="D7817" s="3"/>
    </row>
    <row r="7818" spans="1:4">
      <c r="A7818" s="3"/>
      <c r="D7818" s="3"/>
    </row>
    <row r="7819" spans="1:4">
      <c r="A7819" s="3"/>
      <c r="D7819" s="3"/>
    </row>
    <row r="7820" spans="1:4">
      <c r="A7820" s="3"/>
      <c r="D7820" s="3"/>
    </row>
    <row r="7821" spans="1:4">
      <c r="A7821" s="3"/>
      <c r="D7821" s="3"/>
    </row>
    <row r="7822" spans="1:4">
      <c r="A7822" s="3"/>
      <c r="D7822" s="3"/>
    </row>
    <row r="7823" spans="1:4">
      <c r="A7823" s="3"/>
      <c r="D7823" s="3"/>
    </row>
    <row r="7824" spans="1:4">
      <c r="A7824" s="3"/>
      <c r="D7824" s="3"/>
    </row>
    <row r="7825" spans="1:4">
      <c r="A7825" s="3"/>
      <c r="D7825" s="3"/>
    </row>
    <row r="7826" spans="1:4">
      <c r="A7826" s="3"/>
      <c r="D7826" s="3"/>
    </row>
    <row r="7827" spans="1:4">
      <c r="A7827" s="3"/>
      <c r="D7827" s="3"/>
    </row>
    <row r="7828" spans="1:4">
      <c r="A7828" s="3"/>
      <c r="D7828" s="3"/>
    </row>
    <row r="7829" spans="1:4">
      <c r="A7829" s="3"/>
      <c r="D7829" s="3"/>
    </row>
    <row r="7830" spans="1:4">
      <c r="A7830" s="3"/>
      <c r="D7830" s="3"/>
    </row>
    <row r="7831" spans="1:4">
      <c r="A7831" s="3"/>
      <c r="D7831" s="3"/>
    </row>
    <row r="7832" spans="1:4">
      <c r="A7832" s="3"/>
      <c r="D7832" s="3"/>
    </row>
    <row r="7833" spans="1:4">
      <c r="A7833" s="3"/>
      <c r="D7833" s="3"/>
    </row>
    <row r="7834" spans="1:4">
      <c r="A7834" s="3"/>
      <c r="D7834" s="3"/>
    </row>
    <row r="7835" spans="1:4">
      <c r="A7835" s="3"/>
      <c r="D7835" s="3"/>
    </row>
    <row r="7836" spans="1:4">
      <c r="A7836" s="3"/>
      <c r="D7836" s="3"/>
    </row>
    <row r="7837" spans="1:4">
      <c r="A7837" s="3"/>
      <c r="D7837" s="3"/>
    </row>
    <row r="7838" spans="1:4">
      <c r="A7838" s="3"/>
      <c r="D7838" s="3"/>
    </row>
    <row r="7839" spans="1:4">
      <c r="A7839" s="3"/>
      <c r="D7839" s="3"/>
    </row>
    <row r="7840" spans="1:4">
      <c r="A7840" s="3"/>
      <c r="D7840" s="3"/>
    </row>
    <row r="7841" spans="1:4">
      <c r="A7841" s="3"/>
      <c r="D7841" s="3"/>
    </row>
    <row r="7842" spans="1:4">
      <c r="A7842" s="3"/>
      <c r="D7842" s="3"/>
    </row>
    <row r="7843" spans="1:4">
      <c r="A7843" s="3"/>
      <c r="D7843" s="3"/>
    </row>
    <row r="7844" spans="1:4">
      <c r="A7844" s="3"/>
      <c r="D7844" s="3"/>
    </row>
    <row r="7845" spans="1:4">
      <c r="A7845" s="3"/>
      <c r="D7845" s="3"/>
    </row>
    <row r="7846" spans="1:4">
      <c r="A7846" s="3"/>
      <c r="D7846" s="3"/>
    </row>
    <row r="7847" spans="1:4">
      <c r="A7847" s="3"/>
      <c r="D7847" s="3"/>
    </row>
    <row r="7848" spans="1:4">
      <c r="A7848" s="3"/>
      <c r="D7848" s="3"/>
    </row>
    <row r="7849" spans="1:4">
      <c r="A7849" s="3"/>
      <c r="D7849" s="3"/>
    </row>
    <row r="7850" spans="1:4">
      <c r="A7850" s="3"/>
      <c r="D7850" s="3"/>
    </row>
    <row r="7851" spans="1:4">
      <c r="A7851" s="3"/>
      <c r="D7851" s="3"/>
    </row>
    <row r="7852" spans="1:4">
      <c r="A7852" s="3"/>
      <c r="D7852" s="3"/>
    </row>
    <row r="7853" spans="1:4">
      <c r="A7853" s="3"/>
      <c r="D7853" s="3"/>
    </row>
    <row r="7854" spans="1:4">
      <c r="A7854" s="3"/>
      <c r="D7854" s="3"/>
    </row>
    <row r="7855" spans="1:4">
      <c r="A7855" s="3"/>
      <c r="D7855" s="3"/>
    </row>
    <row r="7856" spans="1:4">
      <c r="A7856" s="3"/>
      <c r="D7856" s="3"/>
    </row>
    <row r="7857" spans="1:4">
      <c r="A7857" s="3"/>
      <c r="D7857" s="3"/>
    </row>
    <row r="7858" spans="1:4">
      <c r="A7858" s="3"/>
      <c r="D7858" s="3"/>
    </row>
    <row r="7859" spans="1:4">
      <c r="A7859" s="3"/>
      <c r="D7859" s="3"/>
    </row>
    <row r="7860" spans="1:4">
      <c r="A7860" s="3"/>
      <c r="D7860" s="3"/>
    </row>
    <row r="7861" spans="1:4">
      <c r="A7861" s="3"/>
      <c r="D7861" s="3"/>
    </row>
    <row r="7862" spans="1:4">
      <c r="A7862" s="3"/>
      <c r="D7862" s="3"/>
    </row>
    <row r="7863" spans="1:4">
      <c r="A7863" s="3"/>
      <c r="D7863" s="3"/>
    </row>
    <row r="7864" spans="1:4">
      <c r="A7864" s="3"/>
      <c r="D7864" s="3"/>
    </row>
    <row r="7865" spans="1:4">
      <c r="A7865" s="3"/>
      <c r="D7865" s="3"/>
    </row>
    <row r="7866" spans="1:4">
      <c r="A7866" s="3"/>
      <c r="D7866" s="3"/>
    </row>
    <row r="7867" spans="1:4">
      <c r="A7867" s="3"/>
      <c r="D7867" s="3"/>
    </row>
    <row r="7868" spans="1:4">
      <c r="A7868" s="3"/>
      <c r="D7868" s="3"/>
    </row>
    <row r="7869" spans="1:4">
      <c r="A7869" s="3"/>
      <c r="D7869" s="3"/>
    </row>
    <row r="7870" spans="1:4">
      <c r="A7870" s="3"/>
      <c r="D7870" s="3"/>
    </row>
    <row r="7871" spans="1:4">
      <c r="A7871" s="3"/>
      <c r="D7871" s="3"/>
    </row>
    <row r="7872" spans="1:4">
      <c r="A7872" s="3"/>
      <c r="D7872" s="3"/>
    </row>
    <row r="7873" spans="1:4">
      <c r="A7873" s="3"/>
      <c r="D7873" s="3"/>
    </row>
    <row r="7874" spans="1:4">
      <c r="A7874" s="3"/>
      <c r="D7874" s="3"/>
    </row>
    <row r="7875" spans="1:4">
      <c r="A7875" s="3"/>
      <c r="D7875" s="3"/>
    </row>
    <row r="7876" spans="1:4">
      <c r="A7876" s="3"/>
      <c r="D7876" s="3"/>
    </row>
    <row r="7877" spans="1:4">
      <c r="A7877" s="3"/>
      <c r="D7877" s="3"/>
    </row>
    <row r="7878" spans="1:4">
      <c r="A7878" s="3"/>
      <c r="D7878" s="3"/>
    </row>
    <row r="7879" spans="1:4">
      <c r="A7879" s="3"/>
      <c r="D7879" s="3"/>
    </row>
    <row r="7880" spans="1:4">
      <c r="A7880" s="3"/>
      <c r="D7880" s="3"/>
    </row>
    <row r="7881" spans="1:4">
      <c r="A7881" s="3"/>
      <c r="D7881" s="3"/>
    </row>
    <row r="7882" spans="1:4">
      <c r="A7882" s="3"/>
      <c r="D7882" s="3"/>
    </row>
    <row r="7883" spans="1:4">
      <c r="A7883" s="3"/>
      <c r="D7883" s="3"/>
    </row>
    <row r="7884" spans="1:4">
      <c r="A7884" s="3"/>
      <c r="D7884" s="3"/>
    </row>
    <row r="7885" spans="1:4">
      <c r="A7885" s="3"/>
      <c r="D7885" s="3"/>
    </row>
    <row r="7886" spans="1:4">
      <c r="A7886" s="3"/>
      <c r="D7886" s="3"/>
    </row>
    <row r="7887" spans="1:4">
      <c r="A7887" s="3"/>
      <c r="D7887" s="3"/>
    </row>
    <row r="7888" spans="1:4">
      <c r="A7888" s="3"/>
      <c r="D7888" s="3"/>
    </row>
    <row r="7889" spans="1:4">
      <c r="A7889" s="3"/>
      <c r="D7889" s="3"/>
    </row>
    <row r="7890" spans="1:4">
      <c r="A7890" s="3"/>
      <c r="D7890" s="3"/>
    </row>
    <row r="7891" spans="1:4">
      <c r="A7891" s="3"/>
      <c r="D7891" s="3"/>
    </row>
    <row r="7892" spans="1:4">
      <c r="A7892" s="3"/>
      <c r="D7892" s="3"/>
    </row>
    <row r="7893" spans="1:4">
      <c r="A7893" s="3"/>
      <c r="D7893" s="3"/>
    </row>
    <row r="7894" spans="1:4">
      <c r="A7894" s="3"/>
      <c r="D7894" s="3"/>
    </row>
    <row r="7895" spans="1:4">
      <c r="A7895" s="3"/>
      <c r="D7895" s="3"/>
    </row>
    <row r="7896" spans="1:4">
      <c r="A7896" s="3"/>
      <c r="D7896" s="3"/>
    </row>
    <row r="7897" spans="1:4">
      <c r="A7897" s="3"/>
      <c r="D7897" s="3"/>
    </row>
    <row r="7898" spans="1:4">
      <c r="A7898" s="3"/>
      <c r="D7898" s="3"/>
    </row>
    <row r="7899" spans="1:4">
      <c r="A7899" s="3"/>
      <c r="D7899" s="3"/>
    </row>
    <row r="7900" spans="1:4">
      <c r="A7900" s="3"/>
      <c r="D7900" s="3"/>
    </row>
    <row r="7901" spans="1:4">
      <c r="A7901" s="3"/>
      <c r="D7901" s="3"/>
    </row>
    <row r="7902" spans="1:4">
      <c r="A7902" s="3"/>
      <c r="D7902" s="3"/>
    </row>
    <row r="7903" spans="1:4">
      <c r="A7903" s="3"/>
      <c r="D7903" s="3"/>
    </row>
    <row r="7904" spans="1:4">
      <c r="A7904" s="3"/>
      <c r="D7904" s="3"/>
    </row>
    <row r="7905" spans="1:4">
      <c r="A7905" s="3"/>
      <c r="D7905" s="3"/>
    </row>
    <row r="7906" spans="1:4">
      <c r="A7906" s="3"/>
      <c r="D7906" s="3"/>
    </row>
    <row r="7907" spans="1:4">
      <c r="A7907" s="3"/>
      <c r="D7907" s="3"/>
    </row>
    <row r="7908" spans="1:4">
      <c r="A7908" s="3"/>
      <c r="D7908" s="3"/>
    </row>
    <row r="7909" spans="1:4">
      <c r="A7909" s="3"/>
      <c r="D7909" s="3"/>
    </row>
    <row r="7910" spans="1:4">
      <c r="A7910" s="3"/>
      <c r="D7910" s="3"/>
    </row>
    <row r="7911" spans="1:4">
      <c r="A7911" s="3"/>
      <c r="D7911" s="3"/>
    </row>
    <row r="7912" spans="1:4">
      <c r="A7912" s="3"/>
      <c r="D7912" s="3"/>
    </row>
    <row r="7913" spans="1:4">
      <c r="A7913" s="3"/>
      <c r="D7913" s="3"/>
    </row>
    <row r="7914" spans="1:4">
      <c r="A7914" s="3"/>
      <c r="D7914" s="3"/>
    </row>
    <row r="7915" spans="1:4">
      <c r="A7915" s="3"/>
      <c r="D7915" s="3"/>
    </row>
    <row r="7916" spans="1:4">
      <c r="A7916" s="3"/>
      <c r="D7916" s="3"/>
    </row>
    <row r="7917" spans="1:4">
      <c r="A7917" s="3"/>
      <c r="D7917" s="3"/>
    </row>
    <row r="7918" spans="1:4">
      <c r="A7918" s="3"/>
      <c r="D7918" s="3"/>
    </row>
    <row r="7919" spans="1:4">
      <c r="A7919" s="3"/>
      <c r="D7919" s="3"/>
    </row>
    <row r="7920" spans="1:4">
      <c r="A7920" s="3"/>
      <c r="D7920" s="3"/>
    </row>
    <row r="7921" spans="1:4">
      <c r="A7921" s="3"/>
      <c r="D7921" s="3"/>
    </row>
    <row r="7922" spans="1:4">
      <c r="A7922" s="3"/>
      <c r="D7922" s="3"/>
    </row>
    <row r="7923" spans="1:4">
      <c r="A7923" s="3"/>
      <c r="D7923" s="3"/>
    </row>
    <row r="7924" spans="1:4">
      <c r="A7924" s="3"/>
      <c r="D7924" s="3"/>
    </row>
    <row r="7925" spans="1:4">
      <c r="A7925" s="3"/>
      <c r="D7925" s="3"/>
    </row>
    <row r="7926" spans="1:4">
      <c r="A7926" s="3"/>
      <c r="D7926" s="3"/>
    </row>
    <row r="7927" spans="1:4">
      <c r="A7927" s="3"/>
      <c r="D7927" s="3"/>
    </row>
    <row r="7928" spans="1:4">
      <c r="A7928" s="3"/>
      <c r="D7928" s="3"/>
    </row>
    <row r="7929" spans="1:4">
      <c r="A7929" s="3"/>
      <c r="D7929" s="3"/>
    </row>
    <row r="7930" spans="1:4">
      <c r="A7930" s="3"/>
      <c r="D7930" s="3"/>
    </row>
    <row r="7931" spans="1:4">
      <c r="A7931" s="3"/>
      <c r="D7931" s="3"/>
    </row>
    <row r="7932" spans="1:4">
      <c r="A7932" s="3"/>
      <c r="D7932" s="3"/>
    </row>
    <row r="7933" spans="1:4">
      <c r="A7933" s="3"/>
      <c r="D7933" s="3"/>
    </row>
    <row r="7934" spans="1:4">
      <c r="A7934" s="3"/>
      <c r="D7934" s="3"/>
    </row>
    <row r="7935" spans="1:4">
      <c r="A7935" s="3"/>
      <c r="D7935" s="3"/>
    </row>
    <row r="7936" spans="1:4">
      <c r="A7936" s="3"/>
      <c r="D7936" s="3"/>
    </row>
    <row r="7937" spans="1:4">
      <c r="A7937" s="3"/>
      <c r="D7937" s="3"/>
    </row>
    <row r="7938" spans="1:4">
      <c r="A7938" s="3"/>
      <c r="D7938" s="3"/>
    </row>
    <row r="7939" spans="1:4">
      <c r="A7939" s="3"/>
      <c r="D7939" s="3"/>
    </row>
    <row r="7940" spans="1:4">
      <c r="A7940" s="3"/>
      <c r="D7940" s="3"/>
    </row>
    <row r="7941" spans="1:4">
      <c r="A7941" s="3"/>
      <c r="D7941" s="3"/>
    </row>
    <row r="7942" spans="1:4">
      <c r="A7942" s="3"/>
      <c r="D7942" s="3"/>
    </row>
    <row r="7943" spans="1:4">
      <c r="A7943" s="3"/>
      <c r="D7943" s="3"/>
    </row>
    <row r="7944" spans="1:4">
      <c r="A7944" s="3"/>
      <c r="D7944" s="3"/>
    </row>
    <row r="7945" spans="1:4">
      <c r="A7945" s="3"/>
      <c r="D7945" s="3"/>
    </row>
    <row r="7946" spans="1:4">
      <c r="A7946" s="3"/>
      <c r="D7946" s="3"/>
    </row>
    <row r="7947" spans="1:4">
      <c r="A7947" s="3"/>
      <c r="D7947" s="3"/>
    </row>
    <row r="7948" spans="1:4">
      <c r="A7948" s="3"/>
      <c r="D7948" s="3"/>
    </row>
    <row r="7949" spans="1:4">
      <c r="A7949" s="3"/>
      <c r="D7949" s="3"/>
    </row>
    <row r="7950" spans="1:4">
      <c r="A7950" s="3"/>
      <c r="D7950" s="3"/>
    </row>
    <row r="7951" spans="1:4">
      <c r="A7951" s="3"/>
      <c r="D7951" s="3"/>
    </row>
    <row r="7952" spans="1:4">
      <c r="A7952" s="3"/>
      <c r="D7952" s="3"/>
    </row>
    <row r="7953" spans="1:4">
      <c r="A7953" s="3"/>
      <c r="D7953" s="3"/>
    </row>
    <row r="7954" spans="1:4">
      <c r="A7954" s="3"/>
      <c r="D7954" s="3"/>
    </row>
    <row r="7955" spans="1:4">
      <c r="A7955" s="3"/>
      <c r="D7955" s="3"/>
    </row>
    <row r="7956" spans="1:4">
      <c r="A7956" s="3"/>
      <c r="D7956" s="3"/>
    </row>
    <row r="7957" spans="1:4">
      <c r="A7957" s="3"/>
      <c r="D7957" s="3"/>
    </row>
    <row r="7958" spans="1:4">
      <c r="A7958" s="3"/>
      <c r="D7958" s="3"/>
    </row>
    <row r="7959" spans="1:4">
      <c r="A7959" s="3"/>
      <c r="D7959" s="3"/>
    </row>
    <row r="7960" spans="1:4">
      <c r="A7960" s="3"/>
      <c r="D7960" s="3"/>
    </row>
    <row r="7961" spans="1:4">
      <c r="A7961" s="3"/>
      <c r="D7961" s="3"/>
    </row>
    <row r="7962" spans="1:4">
      <c r="A7962" s="3"/>
      <c r="D7962" s="3"/>
    </row>
    <row r="7963" spans="1:4">
      <c r="A7963" s="3"/>
      <c r="D7963" s="3"/>
    </row>
    <row r="7964" spans="1:4">
      <c r="A7964" s="3"/>
      <c r="D7964" s="3"/>
    </row>
    <row r="7965" spans="1:4">
      <c r="A7965" s="3"/>
      <c r="D7965" s="3"/>
    </row>
    <row r="7966" spans="1:4">
      <c r="A7966" s="3"/>
      <c r="D7966" s="3"/>
    </row>
    <row r="7967" spans="1:4">
      <c r="A7967" s="3"/>
      <c r="D7967" s="3"/>
    </row>
    <row r="7968" spans="1:4">
      <c r="A7968" s="3"/>
      <c r="D7968" s="3"/>
    </row>
    <row r="7969" spans="1:4">
      <c r="A7969" s="3"/>
      <c r="D7969" s="3"/>
    </row>
    <row r="7970" spans="1:4">
      <c r="A7970" s="3"/>
      <c r="D7970" s="3"/>
    </row>
    <row r="7971" spans="1:4">
      <c r="A7971" s="3"/>
      <c r="D7971" s="3"/>
    </row>
    <row r="7972" spans="1:4">
      <c r="A7972" s="3"/>
      <c r="D7972" s="3"/>
    </row>
    <row r="7973" spans="1:4">
      <c r="A7973" s="3"/>
      <c r="D7973" s="3"/>
    </row>
    <row r="7974" spans="1:4">
      <c r="A7974" s="3"/>
      <c r="D7974" s="3"/>
    </row>
    <row r="7975" spans="1:4">
      <c r="A7975" s="3"/>
      <c r="D7975" s="3"/>
    </row>
    <row r="7976" spans="1:4">
      <c r="A7976" s="3"/>
      <c r="D7976" s="3"/>
    </row>
    <row r="7977" spans="1:4">
      <c r="A7977" s="3"/>
      <c r="D7977" s="3"/>
    </row>
    <row r="7978" spans="1:4">
      <c r="A7978" s="3"/>
      <c r="D7978" s="3"/>
    </row>
    <row r="7979" spans="1:4">
      <c r="A7979" s="3"/>
      <c r="D7979" s="3"/>
    </row>
    <row r="7980" spans="1:4">
      <c r="A7980" s="3"/>
      <c r="D7980" s="3"/>
    </row>
    <row r="7981" spans="1:4">
      <c r="A7981" s="3"/>
      <c r="D7981" s="3"/>
    </row>
    <row r="7982" spans="1:4">
      <c r="A7982" s="3"/>
      <c r="D7982" s="3"/>
    </row>
    <row r="7983" spans="1:4">
      <c r="A7983" s="3"/>
      <c r="D7983" s="3"/>
    </row>
    <row r="7984" spans="1:4">
      <c r="A7984" s="3"/>
      <c r="D7984" s="3"/>
    </row>
    <row r="7985" spans="1:4">
      <c r="A7985" s="3"/>
      <c r="D7985" s="3"/>
    </row>
    <row r="7986" spans="1:4">
      <c r="A7986" s="3"/>
      <c r="D7986" s="3"/>
    </row>
    <row r="7987" spans="1:4">
      <c r="A7987" s="3"/>
      <c r="D7987" s="3"/>
    </row>
    <row r="7988" spans="1:4">
      <c r="A7988" s="3"/>
      <c r="D7988" s="3"/>
    </row>
    <row r="7989" spans="1:4">
      <c r="A7989" s="3"/>
      <c r="D7989" s="3"/>
    </row>
    <row r="7990" spans="1:4">
      <c r="A7990" s="3"/>
      <c r="D7990" s="3"/>
    </row>
    <row r="7991" spans="1:4">
      <c r="A7991" s="3"/>
      <c r="D7991" s="3"/>
    </row>
    <row r="7992" spans="1:4">
      <c r="A7992" s="3"/>
      <c r="D7992" s="3"/>
    </row>
    <row r="7993" spans="1:4">
      <c r="A7993" s="3"/>
      <c r="D7993" s="3"/>
    </row>
    <row r="7994" spans="1:4">
      <c r="A7994" s="3"/>
      <c r="D7994" s="3"/>
    </row>
    <row r="7995" spans="1:4">
      <c r="A7995" s="3"/>
      <c r="D7995" s="3"/>
    </row>
    <row r="7996" spans="1:4">
      <c r="A7996" s="3"/>
      <c r="D7996" s="3"/>
    </row>
    <row r="7997" spans="1:4">
      <c r="A7997" s="3"/>
      <c r="D7997" s="3"/>
    </row>
    <row r="7998" spans="1:4">
      <c r="A7998" s="3"/>
      <c r="D7998" s="3"/>
    </row>
    <row r="7999" spans="1:4">
      <c r="A7999" s="3"/>
      <c r="D7999" s="3"/>
    </row>
    <row r="8000" spans="1:4">
      <c r="A8000" s="3"/>
      <c r="D8000" s="3"/>
    </row>
    <row r="8001" spans="1:4">
      <c r="A8001" s="3"/>
      <c r="D8001" s="3"/>
    </row>
    <row r="8002" spans="1:4">
      <c r="A8002" s="3"/>
      <c r="D8002" s="3"/>
    </row>
    <row r="8003" spans="1:4">
      <c r="A8003" s="3"/>
      <c r="D8003" s="3"/>
    </row>
    <row r="8004" spans="1:4">
      <c r="A8004" s="3"/>
      <c r="D8004" s="3"/>
    </row>
    <row r="8005" spans="1:4">
      <c r="A8005" s="3"/>
      <c r="D8005" s="3"/>
    </row>
    <row r="8006" spans="1:4">
      <c r="A8006" s="3"/>
      <c r="D8006" s="3"/>
    </row>
    <row r="8007" spans="1:4">
      <c r="A8007" s="3"/>
      <c r="D8007" s="3"/>
    </row>
    <row r="8008" spans="1:4">
      <c r="A8008" s="3"/>
      <c r="D8008" s="3"/>
    </row>
    <row r="8009" spans="1:4">
      <c r="A8009" s="3"/>
      <c r="D8009" s="3"/>
    </row>
    <row r="8010" spans="1:4">
      <c r="A8010" s="3"/>
      <c r="D8010" s="3"/>
    </row>
    <row r="8011" spans="1:4">
      <c r="A8011" s="3"/>
      <c r="D8011" s="3"/>
    </row>
    <row r="8012" spans="1:4">
      <c r="A8012" s="3"/>
      <c r="D8012" s="3"/>
    </row>
    <row r="8013" spans="1:4">
      <c r="A8013" s="3"/>
      <c r="D8013" s="3"/>
    </row>
    <row r="8014" spans="1:4">
      <c r="A8014" s="3"/>
      <c r="D8014" s="3"/>
    </row>
    <row r="8015" spans="1:4">
      <c r="A8015" s="3"/>
      <c r="D8015" s="3"/>
    </row>
    <row r="8016" spans="1:4">
      <c r="A8016" s="3"/>
      <c r="D8016" s="3"/>
    </row>
    <row r="8017" spans="1:4">
      <c r="A8017" s="3"/>
      <c r="D8017" s="3"/>
    </row>
    <row r="8018" spans="1:4">
      <c r="A8018" s="3"/>
      <c r="D8018" s="3"/>
    </row>
    <row r="8019" spans="1:4">
      <c r="A8019" s="3"/>
      <c r="D8019" s="3"/>
    </row>
    <row r="8020" spans="1:4">
      <c r="A8020" s="3"/>
      <c r="D8020" s="3"/>
    </row>
    <row r="8021" spans="1:4">
      <c r="A8021" s="3"/>
      <c r="D8021" s="3"/>
    </row>
    <row r="8022" spans="1:4">
      <c r="A8022" s="3"/>
      <c r="D8022" s="3"/>
    </row>
    <row r="8023" spans="1:4">
      <c r="A8023" s="3"/>
      <c r="D8023" s="3"/>
    </row>
    <row r="8024" spans="1:4">
      <c r="A8024" s="3"/>
      <c r="D8024" s="3"/>
    </row>
    <row r="8025" spans="1:4">
      <c r="A8025" s="3"/>
      <c r="D8025" s="3"/>
    </row>
    <row r="8026" spans="1:4">
      <c r="A8026" s="3"/>
      <c r="D8026" s="3"/>
    </row>
    <row r="8027" spans="1:4">
      <c r="A8027" s="3"/>
      <c r="D8027" s="3"/>
    </row>
    <row r="8028" spans="1:4">
      <c r="A8028" s="3"/>
      <c r="D8028" s="3"/>
    </row>
    <row r="8029" spans="1:4">
      <c r="A8029" s="3"/>
      <c r="D8029" s="3"/>
    </row>
    <row r="8030" spans="1:4">
      <c r="A8030" s="3"/>
      <c r="D8030" s="3"/>
    </row>
    <row r="8031" spans="1:4">
      <c r="A8031" s="3"/>
      <c r="D8031" s="3"/>
    </row>
    <row r="8032" spans="1:4">
      <c r="A8032" s="3"/>
      <c r="D8032" s="3"/>
    </row>
    <row r="8033" spans="1:4">
      <c r="A8033" s="3"/>
      <c r="D8033" s="3"/>
    </row>
    <row r="8034" spans="1:4">
      <c r="A8034" s="3"/>
      <c r="D8034" s="3"/>
    </row>
    <row r="8035" spans="1:4">
      <c r="A8035" s="3"/>
      <c r="D8035" s="3"/>
    </row>
    <row r="8036" spans="1:4">
      <c r="A8036" s="3"/>
      <c r="D8036" s="3"/>
    </row>
    <row r="8037" spans="1:4">
      <c r="A8037" s="3"/>
      <c r="D8037" s="3"/>
    </row>
    <row r="8038" spans="1:4">
      <c r="A8038" s="3"/>
      <c r="D8038" s="3"/>
    </row>
    <row r="8039" spans="1:4">
      <c r="A8039" s="3"/>
      <c r="D8039" s="3"/>
    </row>
    <row r="8040" spans="1:4">
      <c r="A8040" s="3"/>
      <c r="D8040" s="3"/>
    </row>
    <row r="8041" spans="1:4">
      <c r="A8041" s="3"/>
      <c r="D8041" s="3"/>
    </row>
    <row r="8042" spans="1:4">
      <c r="A8042" s="3"/>
      <c r="D8042" s="3"/>
    </row>
    <row r="8043" spans="1:4">
      <c r="A8043" s="3"/>
      <c r="D8043" s="3"/>
    </row>
    <row r="8044" spans="1:4">
      <c r="A8044" s="3"/>
      <c r="D8044" s="3"/>
    </row>
    <row r="8045" spans="1:4">
      <c r="A8045" s="3"/>
      <c r="D8045" s="3"/>
    </row>
    <row r="8046" spans="1:4">
      <c r="A8046" s="3"/>
      <c r="D8046" s="3"/>
    </row>
    <row r="8047" spans="1:4">
      <c r="A8047" s="3"/>
      <c r="D8047" s="3"/>
    </row>
    <row r="8048" spans="1:4">
      <c r="A8048" s="3"/>
      <c r="D8048" s="3"/>
    </row>
    <row r="8049" spans="1:4">
      <c r="A8049" s="3"/>
      <c r="D8049" s="3"/>
    </row>
    <row r="8050" spans="1:4">
      <c r="A8050" s="3"/>
      <c r="D8050" s="3"/>
    </row>
    <row r="8051" spans="1:4">
      <c r="A8051" s="3"/>
      <c r="D8051" s="3"/>
    </row>
    <row r="8052" spans="1:4">
      <c r="A8052" s="3"/>
      <c r="D8052" s="3"/>
    </row>
    <row r="8053" spans="1:4">
      <c r="A8053" s="3"/>
      <c r="D8053" s="3"/>
    </row>
    <row r="8054" spans="1:4">
      <c r="A8054" s="3"/>
      <c r="D8054" s="3"/>
    </row>
    <row r="8055" spans="1:4">
      <c r="A8055" s="3"/>
      <c r="D8055" s="3"/>
    </row>
    <row r="8056" spans="1:4">
      <c r="A8056" s="3"/>
      <c r="D8056" s="3"/>
    </row>
    <row r="8057" spans="1:4">
      <c r="A8057" s="3"/>
      <c r="D8057" s="3"/>
    </row>
    <row r="8058" spans="1:4">
      <c r="A8058" s="3"/>
      <c r="D8058" s="3"/>
    </row>
    <row r="8059" spans="1:4">
      <c r="A8059" s="3"/>
      <c r="D8059" s="3"/>
    </row>
    <row r="8060" spans="1:4">
      <c r="A8060" s="3"/>
      <c r="D8060" s="3"/>
    </row>
    <row r="8061" spans="1:4">
      <c r="A8061" s="3"/>
      <c r="D8061" s="3"/>
    </row>
    <row r="8062" spans="1:4">
      <c r="A8062" s="3"/>
      <c r="D8062" s="3"/>
    </row>
    <row r="8063" spans="1:4">
      <c r="A8063" s="3"/>
      <c r="D8063" s="3"/>
    </row>
    <row r="8064" spans="1:4">
      <c r="A8064" s="3"/>
      <c r="D8064" s="3"/>
    </row>
    <row r="8065" spans="1:4">
      <c r="A8065" s="3"/>
      <c r="D8065" s="3"/>
    </row>
    <row r="8066" spans="1:4">
      <c r="A8066" s="3"/>
      <c r="D8066" s="3"/>
    </row>
    <row r="8067" spans="1:4">
      <c r="A8067" s="3"/>
      <c r="D8067" s="3"/>
    </row>
    <row r="8068" spans="1:4">
      <c r="A8068" s="3"/>
      <c r="D8068" s="3"/>
    </row>
    <row r="8069" spans="1:4">
      <c r="A8069" s="3"/>
      <c r="D8069" s="3"/>
    </row>
    <row r="8070" spans="1:4">
      <c r="A8070" s="3"/>
      <c r="D8070" s="3"/>
    </row>
    <row r="8071" spans="1:4">
      <c r="A8071" s="3"/>
      <c r="D8071" s="3"/>
    </row>
    <row r="8072" spans="1:4">
      <c r="A8072" s="3"/>
      <c r="D8072" s="3"/>
    </row>
    <row r="8073" spans="1:4">
      <c r="A8073" s="3"/>
      <c r="D8073" s="3"/>
    </row>
    <row r="8074" spans="1:4">
      <c r="A8074" s="3"/>
      <c r="D8074" s="3"/>
    </row>
    <row r="8075" spans="1:4">
      <c r="A8075" s="3"/>
      <c r="D8075" s="3"/>
    </row>
    <row r="8076" spans="1:4">
      <c r="A8076" s="3"/>
      <c r="D8076" s="3"/>
    </row>
    <row r="8077" spans="1:4">
      <c r="A8077" s="3"/>
      <c r="D8077" s="3"/>
    </row>
    <row r="8078" spans="1:4">
      <c r="A8078" s="3"/>
      <c r="D8078" s="3"/>
    </row>
    <row r="8079" spans="1:4">
      <c r="A8079" s="3"/>
      <c r="D8079" s="3"/>
    </row>
    <row r="8080" spans="1:4">
      <c r="A8080" s="3"/>
      <c r="D8080" s="3"/>
    </row>
    <row r="8081" spans="1:4">
      <c r="A8081" s="3"/>
      <c r="D8081" s="3"/>
    </row>
    <row r="8082" spans="1:4">
      <c r="A8082" s="3"/>
      <c r="D8082" s="3"/>
    </row>
    <row r="8083" spans="1:4">
      <c r="A8083" s="3"/>
      <c r="D8083" s="3"/>
    </row>
    <row r="8084" spans="1:4">
      <c r="A8084" s="3"/>
      <c r="D8084" s="3"/>
    </row>
    <row r="8085" spans="1:4">
      <c r="A8085" s="3"/>
      <c r="D8085" s="3"/>
    </row>
    <row r="8086" spans="1:4">
      <c r="A8086" s="3"/>
      <c r="D8086" s="3"/>
    </row>
    <row r="8087" spans="1:4">
      <c r="A8087" s="3"/>
      <c r="D8087" s="3"/>
    </row>
    <row r="8088" spans="1:4">
      <c r="A8088" s="3"/>
      <c r="D8088" s="3"/>
    </row>
    <row r="8089" spans="1:4">
      <c r="A8089" s="3"/>
      <c r="D8089" s="3"/>
    </row>
    <row r="8090" spans="1:4">
      <c r="A8090" s="3"/>
      <c r="D8090" s="3"/>
    </row>
    <row r="8091" spans="1:4">
      <c r="A8091" s="3"/>
      <c r="D8091" s="3"/>
    </row>
    <row r="8092" spans="1:4">
      <c r="A8092" s="3"/>
      <c r="D8092" s="3"/>
    </row>
    <row r="8093" spans="1:4">
      <c r="A8093" s="3"/>
      <c r="D8093" s="3"/>
    </row>
    <row r="8094" spans="1:4">
      <c r="A8094" s="3"/>
      <c r="D8094" s="3"/>
    </row>
    <row r="8095" spans="1:4">
      <c r="A8095" s="3"/>
      <c r="D8095" s="3"/>
    </row>
    <row r="8096" spans="1:4">
      <c r="A8096" s="3"/>
      <c r="D8096" s="3"/>
    </row>
    <row r="8097" spans="1:4">
      <c r="A8097" s="3"/>
      <c r="D8097" s="3"/>
    </row>
    <row r="8098" spans="1:4">
      <c r="A8098" s="3"/>
      <c r="D8098" s="3"/>
    </row>
    <row r="8099" spans="1:4">
      <c r="A8099" s="3"/>
      <c r="D8099" s="3"/>
    </row>
    <row r="8100" spans="1:4">
      <c r="A8100" s="3"/>
      <c r="D8100" s="3"/>
    </row>
    <row r="8101" spans="1:4">
      <c r="A8101" s="3"/>
      <c r="D8101" s="3"/>
    </row>
    <row r="8102" spans="1:4">
      <c r="A8102" s="3"/>
      <c r="D8102" s="3"/>
    </row>
    <row r="8103" spans="1:4">
      <c r="A8103" s="3"/>
      <c r="D8103" s="3"/>
    </row>
    <row r="8104" spans="1:4">
      <c r="A8104" s="3"/>
      <c r="D8104" s="3"/>
    </row>
    <row r="8105" spans="1:4">
      <c r="A8105" s="3"/>
      <c r="D8105" s="3"/>
    </row>
    <row r="8106" spans="1:4">
      <c r="A8106" s="3"/>
      <c r="D8106" s="3"/>
    </row>
    <row r="8107" spans="1:4">
      <c r="A8107" s="3"/>
      <c r="D8107" s="3"/>
    </row>
    <row r="8108" spans="1:4">
      <c r="A8108" s="3"/>
      <c r="D8108" s="3"/>
    </row>
    <row r="8109" spans="1:4">
      <c r="A8109" s="3"/>
      <c r="D8109" s="3"/>
    </row>
    <row r="8110" spans="1:4">
      <c r="A8110" s="3"/>
      <c r="D8110" s="3"/>
    </row>
    <row r="8111" spans="1:4">
      <c r="A8111" s="3"/>
      <c r="D8111" s="3"/>
    </row>
    <row r="8112" spans="1:4">
      <c r="A8112" s="3"/>
      <c r="D8112" s="3"/>
    </row>
    <row r="8113" spans="1:4">
      <c r="A8113" s="3"/>
      <c r="D8113" s="3"/>
    </row>
    <row r="8114" spans="1:4">
      <c r="A8114" s="3"/>
      <c r="D8114" s="3"/>
    </row>
    <row r="8115" spans="1:4">
      <c r="A8115" s="3"/>
      <c r="D8115" s="3"/>
    </row>
    <row r="8116" spans="1:4">
      <c r="A8116" s="3"/>
      <c r="D8116" s="3"/>
    </row>
    <row r="8117" spans="1:4">
      <c r="A8117" s="3"/>
      <c r="D8117" s="3"/>
    </row>
    <row r="8118" spans="1:4">
      <c r="A8118" s="3"/>
      <c r="D8118" s="3"/>
    </row>
    <row r="8119" spans="1:4">
      <c r="A8119" s="3"/>
      <c r="D8119" s="3"/>
    </row>
    <row r="8120" spans="1:4">
      <c r="A8120" s="3"/>
      <c r="D8120" s="3"/>
    </row>
    <row r="8121" spans="1:4">
      <c r="A8121" s="3"/>
      <c r="D8121" s="3"/>
    </row>
    <row r="8122" spans="1:4">
      <c r="A8122" s="3"/>
      <c r="D8122" s="3"/>
    </row>
    <row r="8123" spans="1:4">
      <c r="A8123" s="3"/>
      <c r="D8123" s="3"/>
    </row>
    <row r="8124" spans="1:4">
      <c r="A8124" s="3"/>
      <c r="D8124" s="3"/>
    </row>
    <row r="8125" spans="1:4">
      <c r="A8125" s="3"/>
      <c r="D8125" s="3"/>
    </row>
    <row r="8126" spans="1:4">
      <c r="A8126" s="3"/>
      <c r="D8126" s="3"/>
    </row>
    <row r="8127" spans="1:4">
      <c r="A8127" s="3"/>
      <c r="D8127" s="3"/>
    </row>
    <row r="8128" spans="1:4">
      <c r="A8128" s="3"/>
      <c r="D8128" s="3"/>
    </row>
    <row r="8129" spans="1:4">
      <c r="A8129" s="3"/>
      <c r="D8129" s="3"/>
    </row>
    <row r="8130" spans="1:4">
      <c r="A8130" s="3"/>
      <c r="D8130" s="3"/>
    </row>
    <row r="8131" spans="1:4">
      <c r="A8131" s="3"/>
      <c r="D8131" s="3"/>
    </row>
    <row r="8132" spans="1:4">
      <c r="A8132" s="3"/>
      <c r="D8132" s="3"/>
    </row>
    <row r="8133" spans="1:4">
      <c r="A8133" s="3"/>
      <c r="D8133" s="3"/>
    </row>
    <row r="8134" spans="1:4">
      <c r="A8134" s="3"/>
      <c r="D8134" s="3"/>
    </row>
    <row r="8135" spans="1:4">
      <c r="A8135" s="3"/>
      <c r="D8135" s="3"/>
    </row>
    <row r="8136" spans="1:4">
      <c r="A8136" s="3"/>
      <c r="D8136" s="3"/>
    </row>
    <row r="8137" spans="1:4">
      <c r="A8137" s="3"/>
      <c r="D8137" s="3"/>
    </row>
    <row r="8138" spans="1:4">
      <c r="A8138" s="3"/>
      <c r="D8138" s="3"/>
    </row>
    <row r="8139" spans="1:4">
      <c r="A8139" s="3"/>
      <c r="D8139" s="3"/>
    </row>
    <row r="8140" spans="1:4">
      <c r="A8140" s="3"/>
      <c r="D8140" s="3"/>
    </row>
    <row r="8141" spans="1:4">
      <c r="A8141" s="3"/>
      <c r="D8141" s="3"/>
    </row>
    <row r="8142" spans="1:4">
      <c r="A8142" s="3"/>
      <c r="D8142" s="3"/>
    </row>
    <row r="8143" spans="1:4">
      <c r="A8143" s="3"/>
      <c r="D8143" s="3"/>
    </row>
    <row r="8144" spans="1:4">
      <c r="A8144" s="3"/>
      <c r="D8144" s="3"/>
    </row>
    <row r="8145" spans="1:4">
      <c r="A8145" s="3"/>
      <c r="D8145" s="3"/>
    </row>
    <row r="8146" spans="1:4">
      <c r="A8146" s="3"/>
      <c r="D8146" s="3"/>
    </row>
    <row r="8147" spans="1:4">
      <c r="A8147" s="3"/>
      <c r="D8147" s="3"/>
    </row>
    <row r="8148" spans="1:4">
      <c r="A8148" s="3"/>
      <c r="D8148" s="3"/>
    </row>
    <row r="8149" spans="1:4">
      <c r="A8149" s="3"/>
      <c r="D8149" s="3"/>
    </row>
    <row r="8150" spans="1:4">
      <c r="A8150" s="3"/>
      <c r="D8150" s="3"/>
    </row>
    <row r="8151" spans="1:4">
      <c r="A8151" s="3"/>
      <c r="D8151" s="3"/>
    </row>
    <row r="8152" spans="1:4">
      <c r="A8152" s="3"/>
      <c r="D8152" s="3"/>
    </row>
    <row r="8153" spans="1:4">
      <c r="A8153" s="3"/>
      <c r="D8153" s="3"/>
    </row>
    <row r="8154" spans="1:4">
      <c r="A8154" s="3"/>
      <c r="D8154" s="3"/>
    </row>
    <row r="8155" spans="1:4">
      <c r="A8155" s="3"/>
      <c r="D8155" s="3"/>
    </row>
    <row r="8156" spans="1:4">
      <c r="A8156" s="3"/>
      <c r="D8156" s="3"/>
    </row>
    <row r="8157" spans="1:4">
      <c r="A8157" s="3"/>
      <c r="D8157" s="3"/>
    </row>
    <row r="8158" spans="1:4">
      <c r="A8158" s="3"/>
      <c r="D8158" s="3"/>
    </row>
    <row r="8159" spans="1:4">
      <c r="A8159" s="3"/>
      <c r="D8159" s="3"/>
    </row>
    <row r="8160" spans="1:4">
      <c r="A8160" s="3"/>
      <c r="D8160" s="3"/>
    </row>
    <row r="8161" spans="1:4">
      <c r="A8161" s="3"/>
      <c r="D8161" s="3"/>
    </row>
    <row r="8162" spans="1:4">
      <c r="A8162" s="3"/>
      <c r="D8162" s="3"/>
    </row>
    <row r="8163" spans="1:4">
      <c r="A8163" s="3"/>
      <c r="D8163" s="3"/>
    </row>
    <row r="8164" spans="1:4">
      <c r="A8164" s="3"/>
      <c r="D8164" s="3"/>
    </row>
    <row r="8165" spans="1:4">
      <c r="A8165" s="3"/>
      <c r="D8165" s="3"/>
    </row>
    <row r="8166" spans="1:4">
      <c r="A8166" s="3"/>
      <c r="D8166" s="3"/>
    </row>
    <row r="8167" spans="1:4">
      <c r="A8167" s="3"/>
      <c r="D8167" s="3"/>
    </row>
    <row r="8168" spans="1:4">
      <c r="A8168" s="3"/>
      <c r="D8168" s="3"/>
    </row>
    <row r="8169" spans="1:4">
      <c r="A8169" s="3"/>
      <c r="D8169" s="3"/>
    </row>
    <row r="8170" spans="1:4">
      <c r="A8170" s="3"/>
      <c r="D8170" s="3"/>
    </row>
    <row r="8171" spans="1:4">
      <c r="A8171" s="3"/>
      <c r="D8171" s="3"/>
    </row>
    <row r="8172" spans="1:4">
      <c r="A8172" s="3"/>
      <c r="D8172" s="3"/>
    </row>
    <row r="8173" spans="1:4">
      <c r="A8173" s="3"/>
      <c r="D8173" s="3"/>
    </row>
    <row r="8174" spans="1:4">
      <c r="A8174" s="3"/>
      <c r="D8174" s="3"/>
    </row>
    <row r="8175" spans="1:4">
      <c r="A8175" s="3"/>
      <c r="D8175" s="3"/>
    </row>
    <row r="8176" spans="1:4">
      <c r="A8176" s="3"/>
      <c r="D8176" s="3"/>
    </row>
    <row r="8177" spans="1:4">
      <c r="A8177" s="3"/>
      <c r="D8177" s="3"/>
    </row>
    <row r="8178" spans="1:4">
      <c r="A8178" s="3"/>
      <c r="D8178" s="3"/>
    </row>
    <row r="8179" spans="1:4">
      <c r="A8179" s="3"/>
      <c r="D8179" s="3"/>
    </row>
    <row r="8180" spans="1:4">
      <c r="A8180" s="3"/>
      <c r="D8180" s="3"/>
    </row>
    <row r="8181" spans="1:4">
      <c r="A8181" s="3"/>
      <c r="D8181" s="3"/>
    </row>
    <row r="8182" spans="1:4">
      <c r="A8182" s="3"/>
      <c r="D8182" s="3"/>
    </row>
    <row r="8183" spans="1:4">
      <c r="A8183" s="3"/>
      <c r="D8183" s="3"/>
    </row>
    <row r="8184" spans="1:4">
      <c r="A8184" s="3"/>
      <c r="D8184" s="3"/>
    </row>
    <row r="8185" spans="1:4">
      <c r="A8185" s="3"/>
      <c r="D8185" s="3"/>
    </row>
    <row r="8186" spans="1:4">
      <c r="A8186" s="3"/>
      <c r="D8186" s="3"/>
    </row>
    <row r="8187" spans="1:4">
      <c r="A8187" s="3"/>
      <c r="D8187" s="3"/>
    </row>
    <row r="8188" spans="1:4">
      <c r="A8188" s="3"/>
      <c r="D8188" s="3"/>
    </row>
    <row r="8189" spans="1:4">
      <c r="A8189" s="3"/>
      <c r="D8189" s="3"/>
    </row>
    <row r="8190" spans="1:4">
      <c r="A8190" s="3"/>
      <c r="D8190" s="3"/>
    </row>
    <row r="8191" spans="1:4">
      <c r="A8191" s="3"/>
      <c r="D8191" s="3"/>
    </row>
    <row r="8192" spans="1:4">
      <c r="A8192" s="3"/>
      <c r="D8192" s="3"/>
    </row>
    <row r="8193" spans="1:4">
      <c r="A8193" s="3"/>
      <c r="D8193" s="3"/>
    </row>
    <row r="8194" spans="1:4">
      <c r="A8194" s="3"/>
      <c r="D8194" s="3"/>
    </row>
    <row r="8195" spans="1:4">
      <c r="A8195" s="3"/>
      <c r="D8195" s="3"/>
    </row>
    <row r="8196" spans="1:4">
      <c r="A8196" s="3"/>
      <c r="D8196" s="3"/>
    </row>
    <row r="8197" spans="1:4">
      <c r="A8197" s="3"/>
      <c r="D8197" s="3"/>
    </row>
    <row r="8198" spans="1:4">
      <c r="A8198" s="3"/>
      <c r="D8198" s="3"/>
    </row>
    <row r="8199" spans="1:4">
      <c r="A8199" s="3"/>
      <c r="D8199" s="3"/>
    </row>
    <row r="8200" spans="1:4">
      <c r="A8200" s="3"/>
      <c r="D8200" s="3"/>
    </row>
    <row r="8201" spans="1:4">
      <c r="A8201" s="3"/>
      <c r="D8201" s="3"/>
    </row>
    <row r="8202" spans="1:4">
      <c r="A8202" s="3"/>
      <c r="D8202" s="3"/>
    </row>
    <row r="8203" spans="1:4">
      <c r="A8203" s="3"/>
      <c r="D8203" s="3"/>
    </row>
    <row r="8204" spans="1:4">
      <c r="A8204" s="3"/>
      <c r="D8204" s="3"/>
    </row>
    <row r="8205" spans="1:4">
      <c r="A8205" s="3"/>
      <c r="D8205" s="3"/>
    </row>
    <row r="8206" spans="1:4">
      <c r="A8206" s="3"/>
      <c r="D8206" s="3"/>
    </row>
    <row r="8207" spans="1:4">
      <c r="A8207" s="3"/>
      <c r="D8207" s="3"/>
    </row>
    <row r="8208" spans="1:4">
      <c r="A8208" s="3"/>
      <c r="D8208" s="3"/>
    </row>
    <row r="8209" spans="1:4">
      <c r="A8209" s="3"/>
      <c r="D8209" s="3"/>
    </row>
    <row r="8210" spans="1:4">
      <c r="A8210" s="3"/>
      <c r="D8210" s="3"/>
    </row>
    <row r="8211" spans="1:4">
      <c r="A8211" s="3"/>
      <c r="D8211" s="3"/>
    </row>
    <row r="8212" spans="1:4">
      <c r="A8212" s="3"/>
      <c r="D8212" s="3"/>
    </row>
    <row r="8213" spans="1:4">
      <c r="A8213" s="3"/>
      <c r="D8213" s="3"/>
    </row>
    <row r="8214" spans="1:4">
      <c r="A8214" s="3"/>
      <c r="D8214" s="3"/>
    </row>
    <row r="8215" spans="1:4">
      <c r="A8215" s="3"/>
      <c r="D8215" s="3"/>
    </row>
    <row r="8216" spans="1:4">
      <c r="A8216" s="3"/>
      <c r="D8216" s="3"/>
    </row>
    <row r="8217" spans="1:4">
      <c r="A8217" s="3"/>
      <c r="D8217" s="3"/>
    </row>
    <row r="8218" spans="1:4">
      <c r="A8218" s="3"/>
      <c r="D8218" s="3"/>
    </row>
    <row r="8219" spans="1:4">
      <c r="A8219" s="3"/>
      <c r="D8219" s="3"/>
    </row>
    <row r="8220" spans="1:4">
      <c r="A8220" s="3"/>
      <c r="D8220" s="3"/>
    </row>
    <row r="8221" spans="1:4">
      <c r="A8221" s="3"/>
      <c r="D8221" s="3"/>
    </row>
    <row r="8222" spans="1:4">
      <c r="A8222" s="3"/>
      <c r="D8222" s="3"/>
    </row>
    <row r="8223" spans="1:4">
      <c r="A8223" s="3"/>
      <c r="D8223" s="3"/>
    </row>
    <row r="8224" spans="1:4">
      <c r="A8224" s="3"/>
      <c r="D8224" s="3"/>
    </row>
    <row r="8225" spans="1:4">
      <c r="A8225" s="3"/>
      <c r="D8225" s="3"/>
    </row>
    <row r="8226" spans="1:4">
      <c r="A8226" s="3"/>
      <c r="D8226" s="3"/>
    </row>
    <row r="8227" spans="1:4">
      <c r="A8227" s="3"/>
      <c r="D8227" s="3"/>
    </row>
    <row r="8228" spans="1:4">
      <c r="A8228" s="3"/>
      <c r="D8228" s="3"/>
    </row>
    <row r="8229" spans="1:4">
      <c r="A8229" s="3"/>
      <c r="D8229" s="3"/>
    </row>
    <row r="8230" spans="1:4">
      <c r="A8230" s="3"/>
      <c r="D8230" s="3"/>
    </row>
    <row r="8231" spans="1:4">
      <c r="A8231" s="3"/>
      <c r="D8231" s="3"/>
    </row>
    <row r="8232" spans="1:4">
      <c r="A8232" s="3"/>
      <c r="D8232" s="3"/>
    </row>
    <row r="8233" spans="1:4">
      <c r="A8233" s="3"/>
      <c r="D8233" s="3"/>
    </row>
    <row r="8234" spans="1:4">
      <c r="A8234" s="3"/>
      <c r="D8234" s="3"/>
    </row>
    <row r="8235" spans="1:4">
      <c r="A8235" s="3"/>
      <c r="D8235" s="3"/>
    </row>
    <row r="8236" spans="1:4">
      <c r="A8236" s="3"/>
      <c r="D8236" s="3"/>
    </row>
    <row r="8237" spans="1:4">
      <c r="A8237" s="3"/>
      <c r="D8237" s="3"/>
    </row>
    <row r="8238" spans="1:4">
      <c r="A8238" s="3"/>
      <c r="D8238" s="3"/>
    </row>
    <row r="8239" spans="1:4">
      <c r="A8239" s="3"/>
      <c r="D8239" s="3"/>
    </row>
    <row r="8240" spans="1:4">
      <c r="A8240" s="3"/>
      <c r="D8240" s="3"/>
    </row>
    <row r="8241" spans="1:4">
      <c r="A8241" s="3"/>
      <c r="D8241" s="3"/>
    </row>
    <row r="8242" spans="1:4">
      <c r="A8242" s="3"/>
      <c r="D8242" s="3"/>
    </row>
    <row r="8243" spans="1:4">
      <c r="A8243" s="3"/>
      <c r="D8243" s="3"/>
    </row>
    <row r="8244" spans="1:4">
      <c r="A8244" s="3"/>
      <c r="D8244" s="3"/>
    </row>
    <row r="8245" spans="1:4">
      <c r="A8245" s="3"/>
      <c r="D8245" s="3"/>
    </row>
    <row r="8246" spans="1:4">
      <c r="A8246" s="3"/>
      <c r="D8246" s="3"/>
    </row>
    <row r="8247" spans="1:4">
      <c r="A8247" s="3"/>
      <c r="D8247" s="3"/>
    </row>
    <row r="8248" spans="1:4">
      <c r="A8248" s="3"/>
      <c r="D8248" s="3"/>
    </row>
    <row r="8249" spans="1:4">
      <c r="A8249" s="3"/>
      <c r="D8249" s="3"/>
    </row>
    <row r="8250" spans="1:4">
      <c r="A8250" s="3"/>
      <c r="D8250" s="3"/>
    </row>
    <row r="8251" spans="1:4">
      <c r="A8251" s="3"/>
      <c r="D8251" s="3"/>
    </row>
    <row r="8252" spans="1:4">
      <c r="A8252" s="3"/>
      <c r="D8252" s="3"/>
    </row>
    <row r="8253" spans="1:4">
      <c r="A8253" s="3"/>
      <c r="D8253" s="3"/>
    </row>
    <row r="8254" spans="1:4">
      <c r="A8254" s="3"/>
      <c r="D8254" s="3"/>
    </row>
    <row r="8255" spans="1:4">
      <c r="A8255" s="3"/>
      <c r="D8255" s="3"/>
    </row>
    <row r="8256" spans="1:4">
      <c r="A8256" s="3"/>
      <c r="D8256" s="3"/>
    </row>
    <row r="8257" spans="1:4">
      <c r="A8257" s="3"/>
      <c r="D8257" s="3"/>
    </row>
    <row r="8258" spans="1:4">
      <c r="A8258" s="3"/>
      <c r="D8258" s="3"/>
    </row>
    <row r="8259" spans="1:4">
      <c r="A8259" s="3"/>
      <c r="D8259" s="3"/>
    </row>
    <row r="8260" spans="1:4">
      <c r="A8260" s="3"/>
      <c r="D8260" s="3"/>
    </row>
    <row r="8261" spans="1:4">
      <c r="A8261" s="3"/>
      <c r="D8261" s="3"/>
    </row>
    <row r="8262" spans="1:4">
      <c r="A8262" s="3"/>
      <c r="D8262" s="3"/>
    </row>
    <row r="8263" spans="1:4">
      <c r="A8263" s="3"/>
      <c r="D8263" s="3"/>
    </row>
    <row r="8264" spans="1:4">
      <c r="A8264" s="3"/>
      <c r="D8264" s="3"/>
    </row>
    <row r="8265" spans="1:4">
      <c r="A8265" s="3"/>
      <c r="D8265" s="3"/>
    </row>
    <row r="8266" spans="1:4">
      <c r="A8266" s="3"/>
      <c r="D8266" s="3"/>
    </row>
    <row r="8267" spans="1:4">
      <c r="A8267" s="3"/>
      <c r="D8267" s="3"/>
    </row>
    <row r="8268" spans="1:4">
      <c r="A8268" s="3"/>
      <c r="D8268" s="3"/>
    </row>
    <row r="8269" spans="1:4">
      <c r="A8269" s="3"/>
      <c r="D8269" s="3"/>
    </row>
    <row r="8270" spans="1:4">
      <c r="A8270" s="3"/>
      <c r="D8270" s="3"/>
    </row>
    <row r="8271" spans="1:4">
      <c r="A8271" s="3"/>
      <c r="D8271" s="3"/>
    </row>
    <row r="8272" spans="1:4">
      <c r="A8272" s="3"/>
      <c r="D8272" s="3"/>
    </row>
    <row r="8273" spans="1:4">
      <c r="A8273" s="3"/>
      <c r="D8273" s="3"/>
    </row>
    <row r="8274" spans="1:4">
      <c r="A8274" s="3"/>
      <c r="D8274" s="3"/>
    </row>
    <row r="8275" spans="1:4">
      <c r="A8275" s="3"/>
      <c r="D8275" s="3"/>
    </row>
    <row r="8276" spans="1:4">
      <c r="A8276" s="3"/>
      <c r="D8276" s="3"/>
    </row>
    <row r="8277" spans="1:4">
      <c r="A8277" s="3"/>
      <c r="D8277" s="3"/>
    </row>
    <row r="8278" spans="1:4">
      <c r="A8278" s="3"/>
      <c r="D8278" s="3"/>
    </row>
    <row r="8279" spans="1:4">
      <c r="A8279" s="3"/>
      <c r="D8279" s="3"/>
    </row>
    <row r="8280" spans="1:4">
      <c r="A8280" s="3"/>
      <c r="D8280" s="3"/>
    </row>
    <row r="8281" spans="1:4">
      <c r="A8281" s="3"/>
      <c r="D8281" s="3"/>
    </row>
    <row r="8282" spans="1:4">
      <c r="A8282" s="3"/>
      <c r="D8282" s="3"/>
    </row>
    <row r="8283" spans="1:4">
      <c r="A8283" s="3"/>
      <c r="D8283" s="3"/>
    </row>
    <row r="8284" spans="1:4">
      <c r="A8284" s="3"/>
      <c r="D8284" s="3"/>
    </row>
    <row r="8285" spans="1:4">
      <c r="A8285" s="3"/>
      <c r="D8285" s="3"/>
    </row>
    <row r="8286" spans="1:4">
      <c r="A8286" s="3"/>
      <c r="D8286" s="3"/>
    </row>
    <row r="8287" spans="1:4">
      <c r="A8287" s="3"/>
      <c r="D8287" s="3"/>
    </row>
    <row r="8288" spans="1:4">
      <c r="A8288" s="3"/>
      <c r="D8288" s="3"/>
    </row>
    <row r="8289" spans="1:4">
      <c r="A8289" s="3"/>
      <c r="D8289" s="3"/>
    </row>
    <row r="8290" spans="1:4">
      <c r="A8290" s="3"/>
      <c r="D8290" s="3"/>
    </row>
    <row r="8291" spans="1:4">
      <c r="A8291" s="3"/>
      <c r="D8291" s="3"/>
    </row>
    <row r="8292" spans="1:4">
      <c r="A8292" s="3"/>
      <c r="D8292" s="3"/>
    </row>
    <row r="8293" spans="1:4">
      <c r="A8293" s="3"/>
      <c r="D8293" s="3"/>
    </row>
    <row r="8294" spans="1:4">
      <c r="A8294" s="3"/>
      <c r="D8294" s="3"/>
    </row>
    <row r="8295" spans="1:4">
      <c r="A8295" s="3"/>
      <c r="D8295" s="3"/>
    </row>
    <row r="8296" spans="1:4">
      <c r="A8296" s="3"/>
      <c r="D8296" s="3"/>
    </row>
    <row r="8297" spans="1:4">
      <c r="A8297" s="3"/>
      <c r="D8297" s="3"/>
    </row>
    <row r="8298" spans="1:4">
      <c r="A8298" s="3"/>
      <c r="D8298" s="3"/>
    </row>
    <row r="8299" spans="1:4">
      <c r="A8299" s="3"/>
      <c r="D8299" s="3"/>
    </row>
    <row r="8300" spans="1:4">
      <c r="A8300" s="3"/>
      <c r="D8300" s="3"/>
    </row>
    <row r="8301" spans="1:4">
      <c r="A8301" s="3"/>
      <c r="D8301" s="3"/>
    </row>
    <row r="8302" spans="1:4">
      <c r="A8302" s="3"/>
      <c r="D8302" s="3"/>
    </row>
    <row r="8303" spans="1:4">
      <c r="A8303" s="3"/>
      <c r="D8303" s="3"/>
    </row>
    <row r="8304" spans="1:4">
      <c r="A8304" s="3"/>
      <c r="D8304" s="3"/>
    </row>
    <row r="8305" spans="1:4">
      <c r="A8305" s="3"/>
      <c r="D8305" s="3"/>
    </row>
    <row r="8306" spans="1:4">
      <c r="A8306" s="3"/>
      <c r="D8306" s="3"/>
    </row>
    <row r="8307" spans="1:4">
      <c r="A8307" s="3"/>
      <c r="D8307" s="3"/>
    </row>
    <row r="8308" spans="1:4">
      <c r="A8308" s="3"/>
      <c r="D8308" s="3"/>
    </row>
    <row r="8309" spans="1:4">
      <c r="A8309" s="3"/>
      <c r="D8309" s="3"/>
    </row>
    <row r="8310" spans="1:4">
      <c r="A8310" s="3"/>
      <c r="D8310" s="3"/>
    </row>
    <row r="8311" spans="1:4">
      <c r="A8311" s="3"/>
      <c r="D8311" s="3"/>
    </row>
    <row r="8312" spans="1:4">
      <c r="A8312" s="3"/>
      <c r="D8312" s="3"/>
    </row>
    <row r="8313" spans="1:4">
      <c r="A8313" s="3"/>
      <c r="D8313" s="3"/>
    </row>
    <row r="8314" spans="1:4">
      <c r="A8314" s="3"/>
      <c r="D8314" s="3"/>
    </row>
    <row r="8315" spans="1:4">
      <c r="A8315" s="3"/>
      <c r="D8315" s="3"/>
    </row>
    <row r="8316" spans="1:4">
      <c r="A8316" s="3"/>
      <c r="D8316" s="3"/>
    </row>
    <row r="8317" spans="1:4">
      <c r="A8317" s="3"/>
      <c r="D8317" s="3"/>
    </row>
    <row r="8318" spans="1:4">
      <c r="A8318" s="3"/>
      <c r="D8318" s="3"/>
    </row>
    <row r="8319" spans="1:4">
      <c r="A8319" s="3"/>
      <c r="D8319" s="3"/>
    </row>
    <row r="8320" spans="1:4">
      <c r="A8320" s="3"/>
      <c r="D8320" s="3"/>
    </row>
    <row r="8321" spans="1:4">
      <c r="A8321" s="3"/>
      <c r="D8321" s="3"/>
    </row>
    <row r="8322" spans="1:4">
      <c r="A8322" s="3"/>
      <c r="D8322" s="3"/>
    </row>
    <row r="8323" spans="1:4">
      <c r="A8323" s="3"/>
      <c r="D8323" s="3"/>
    </row>
    <row r="8324" spans="1:4">
      <c r="A8324" s="3"/>
      <c r="D8324" s="3"/>
    </row>
    <row r="8325" spans="1:4">
      <c r="A8325" s="3"/>
      <c r="D8325" s="3"/>
    </row>
    <row r="8326" spans="1:4">
      <c r="A8326" s="3"/>
      <c r="D8326" s="3"/>
    </row>
    <row r="8327" spans="1:4">
      <c r="A8327" s="3"/>
      <c r="D8327" s="3"/>
    </row>
    <row r="8328" spans="1:4">
      <c r="A8328" s="3"/>
      <c r="D8328" s="3"/>
    </row>
    <row r="8329" spans="1:4">
      <c r="A8329" s="3"/>
      <c r="D8329" s="3"/>
    </row>
    <row r="8330" spans="1:4">
      <c r="A8330" s="3"/>
      <c r="D8330" s="3"/>
    </row>
    <row r="8331" spans="1:4">
      <c r="A8331" s="3"/>
      <c r="D8331" s="3"/>
    </row>
    <row r="8332" spans="1:4">
      <c r="A8332" s="3"/>
      <c r="D8332" s="3"/>
    </row>
    <row r="8333" spans="1:4">
      <c r="A8333" s="3"/>
      <c r="D8333" s="3"/>
    </row>
    <row r="8334" spans="1:4">
      <c r="A8334" s="3"/>
      <c r="D8334" s="3"/>
    </row>
    <row r="8335" spans="1:4">
      <c r="A8335" s="3"/>
      <c r="D8335" s="3"/>
    </row>
    <row r="8336" spans="1:4">
      <c r="A8336" s="3"/>
      <c r="D8336" s="3"/>
    </row>
    <row r="8337" spans="1:4">
      <c r="A8337" s="3"/>
      <c r="D8337" s="3"/>
    </row>
    <row r="8338" spans="1:4">
      <c r="A8338" s="3"/>
      <c r="D8338" s="3"/>
    </row>
    <row r="8339" spans="1:4">
      <c r="A8339" s="3"/>
      <c r="D8339" s="3"/>
    </row>
    <row r="8340" spans="1:4">
      <c r="A8340" s="3"/>
      <c r="D8340" s="3"/>
    </row>
    <row r="8341" spans="1:4">
      <c r="A8341" s="3"/>
      <c r="D8341" s="3"/>
    </row>
    <row r="8342" spans="1:4">
      <c r="A8342" s="3"/>
      <c r="D8342" s="3"/>
    </row>
    <row r="8343" spans="1:4">
      <c r="A8343" s="3"/>
      <c r="D8343" s="3"/>
    </row>
    <row r="8344" spans="1:4">
      <c r="A8344" s="3"/>
      <c r="D8344" s="3"/>
    </row>
    <row r="8345" spans="1:4">
      <c r="A8345" s="3"/>
      <c r="D8345" s="3"/>
    </row>
    <row r="8346" spans="1:4">
      <c r="A8346" s="3"/>
      <c r="D8346" s="3"/>
    </row>
    <row r="8347" spans="1:4">
      <c r="A8347" s="3"/>
      <c r="D8347" s="3"/>
    </row>
    <row r="8348" spans="1:4">
      <c r="A8348" s="3"/>
      <c r="D8348" s="3"/>
    </row>
    <row r="8349" spans="1:4">
      <c r="A8349" s="3"/>
      <c r="D8349" s="3"/>
    </row>
    <row r="8350" spans="1:4">
      <c r="A8350" s="3"/>
      <c r="D8350" s="3"/>
    </row>
    <row r="8351" spans="1:4">
      <c r="A8351" s="3"/>
      <c r="D8351" s="3"/>
    </row>
    <row r="8352" spans="1:4">
      <c r="A8352" s="3"/>
      <c r="D8352" s="3"/>
    </row>
    <row r="8353" spans="1:4">
      <c r="A8353" s="3"/>
      <c r="D8353" s="3"/>
    </row>
    <row r="8354" spans="1:4">
      <c r="A8354" s="3"/>
      <c r="D8354" s="3"/>
    </row>
    <row r="8355" spans="1:4">
      <c r="A8355" s="3"/>
      <c r="D8355" s="3"/>
    </row>
    <row r="8356" spans="1:4">
      <c r="A8356" s="3"/>
      <c r="D8356" s="3"/>
    </row>
    <row r="8357" spans="1:4">
      <c r="A8357" s="3"/>
      <c r="D8357" s="3"/>
    </row>
    <row r="8358" spans="1:4">
      <c r="A8358" s="3"/>
      <c r="D8358" s="3"/>
    </row>
    <row r="8359" spans="1:4">
      <c r="A8359" s="3"/>
      <c r="D8359" s="3"/>
    </row>
    <row r="8360" spans="1:4">
      <c r="A8360" s="3"/>
      <c r="D8360" s="3"/>
    </row>
    <row r="8361" spans="1:4">
      <c r="A8361" s="3"/>
      <c r="D8361" s="3"/>
    </row>
    <row r="8362" spans="1:4">
      <c r="A8362" s="3"/>
      <c r="D8362" s="3"/>
    </row>
    <row r="8363" spans="1:4">
      <c r="A8363" s="3"/>
      <c r="D8363" s="3"/>
    </row>
    <row r="8364" spans="1:4">
      <c r="A8364" s="3"/>
      <c r="D8364" s="3"/>
    </row>
    <row r="8365" spans="1:4">
      <c r="A8365" s="3"/>
      <c r="D8365" s="3"/>
    </row>
    <row r="8366" spans="1:4">
      <c r="A8366" s="3"/>
      <c r="D8366" s="3"/>
    </row>
    <row r="8367" spans="1:4">
      <c r="A8367" s="3"/>
      <c r="D8367" s="3"/>
    </row>
    <row r="8368" spans="1:4">
      <c r="A8368" s="3"/>
      <c r="D8368" s="3"/>
    </row>
    <row r="8369" spans="1:4">
      <c r="A8369" s="3"/>
      <c r="D8369" s="3"/>
    </row>
    <row r="8370" spans="1:4">
      <c r="A8370" s="3"/>
      <c r="D8370" s="3"/>
    </row>
    <row r="8371" spans="1:4">
      <c r="A8371" s="3"/>
      <c r="D8371" s="3"/>
    </row>
    <row r="8372" spans="1:4">
      <c r="A8372" s="3"/>
      <c r="D8372" s="3"/>
    </row>
    <row r="8373" spans="1:4">
      <c r="A8373" s="3"/>
      <c r="D8373" s="3"/>
    </row>
    <row r="8374" spans="1:4">
      <c r="A8374" s="3"/>
      <c r="D8374" s="3"/>
    </row>
    <row r="8375" spans="1:4">
      <c r="A8375" s="3"/>
      <c r="D8375" s="3"/>
    </row>
    <row r="8376" spans="1:4">
      <c r="A8376" s="3"/>
      <c r="D8376" s="3"/>
    </row>
    <row r="8377" spans="1:4">
      <c r="A8377" s="3"/>
      <c r="D8377" s="3"/>
    </row>
    <row r="8378" spans="1:4">
      <c r="A8378" s="3"/>
      <c r="D8378" s="3"/>
    </row>
    <row r="8379" spans="1:4">
      <c r="A8379" s="3"/>
      <c r="D8379" s="3"/>
    </row>
    <row r="8380" spans="1:4">
      <c r="A8380" s="3"/>
      <c r="D8380" s="3"/>
    </row>
    <row r="8381" spans="1:4">
      <c r="A8381" s="3"/>
      <c r="D8381" s="3"/>
    </row>
    <row r="8382" spans="1:4">
      <c r="A8382" s="3"/>
      <c r="D8382" s="3"/>
    </row>
    <row r="8383" spans="1:4">
      <c r="A8383" s="3"/>
      <c r="D8383" s="3"/>
    </row>
    <row r="8384" spans="1:4">
      <c r="A8384" s="3"/>
      <c r="D8384" s="3"/>
    </row>
    <row r="8385" spans="1:4">
      <c r="A8385" s="3"/>
      <c r="D8385" s="3"/>
    </row>
    <row r="8386" spans="1:4">
      <c r="A8386" s="3"/>
      <c r="D8386" s="3"/>
    </row>
    <row r="8387" spans="1:4">
      <c r="A8387" s="3"/>
      <c r="D8387" s="3"/>
    </row>
    <row r="8388" spans="1:4">
      <c r="A8388" s="3"/>
      <c r="D8388" s="3"/>
    </row>
    <row r="8389" spans="1:4">
      <c r="A8389" s="3"/>
      <c r="D8389" s="3"/>
    </row>
    <row r="8390" spans="1:4">
      <c r="A8390" s="3"/>
      <c r="D8390" s="3"/>
    </row>
    <row r="8391" spans="1:4">
      <c r="A8391" s="3"/>
      <c r="D8391" s="3"/>
    </row>
    <row r="8392" spans="1:4">
      <c r="A8392" s="3"/>
      <c r="D8392" s="3"/>
    </row>
    <row r="8393" spans="1:4">
      <c r="A8393" s="3"/>
      <c r="D8393" s="3"/>
    </row>
    <row r="8394" spans="1:4">
      <c r="A8394" s="3"/>
      <c r="D8394" s="3"/>
    </row>
    <row r="8395" spans="1:4">
      <c r="A8395" s="3"/>
      <c r="D8395" s="3"/>
    </row>
    <row r="8396" spans="1:4">
      <c r="A8396" s="3"/>
      <c r="D8396" s="3"/>
    </row>
    <row r="8397" spans="1:4">
      <c r="A8397" s="3"/>
      <c r="D8397" s="3"/>
    </row>
    <row r="8398" spans="1:4">
      <c r="A8398" s="3"/>
      <c r="D8398" s="3"/>
    </row>
    <row r="8399" spans="1:4">
      <c r="A8399" s="3"/>
      <c r="D8399" s="3"/>
    </row>
    <row r="8400" spans="1:4">
      <c r="A8400" s="3"/>
      <c r="D8400" s="3"/>
    </row>
    <row r="8401" spans="1:4">
      <c r="A8401" s="3"/>
      <c r="D8401" s="3"/>
    </row>
    <row r="8402" spans="1:4">
      <c r="A8402" s="3"/>
      <c r="D8402" s="3"/>
    </row>
    <row r="8403" spans="1:4">
      <c r="A8403" s="3"/>
      <c r="D8403" s="3"/>
    </row>
    <row r="8404" spans="1:4">
      <c r="A8404" s="3"/>
      <c r="D8404" s="3"/>
    </row>
    <row r="8405" spans="1:4">
      <c r="A8405" s="3"/>
      <c r="D8405" s="3"/>
    </row>
    <row r="8406" spans="1:4">
      <c r="A8406" s="3"/>
      <c r="D8406" s="3"/>
    </row>
    <row r="8407" spans="1:4">
      <c r="A8407" s="3"/>
      <c r="D8407" s="3"/>
    </row>
    <row r="8408" spans="1:4">
      <c r="A8408" s="3"/>
      <c r="D8408" s="3"/>
    </row>
    <row r="8409" spans="1:4">
      <c r="A8409" s="3"/>
      <c r="D8409" s="3"/>
    </row>
    <row r="8410" spans="1:4">
      <c r="A8410" s="3"/>
      <c r="D8410" s="3"/>
    </row>
    <row r="8411" spans="1:4">
      <c r="A8411" s="3"/>
      <c r="D8411" s="3"/>
    </row>
    <row r="8412" spans="1:4">
      <c r="A8412" s="3"/>
      <c r="D8412" s="3"/>
    </row>
    <row r="8413" spans="1:4">
      <c r="A8413" s="3"/>
      <c r="D8413" s="3"/>
    </row>
    <row r="8414" spans="1:4">
      <c r="A8414" s="3"/>
      <c r="D8414" s="3"/>
    </row>
    <row r="8415" spans="1:4">
      <c r="A8415" s="3"/>
      <c r="D8415" s="3"/>
    </row>
    <row r="8416" spans="1:4">
      <c r="A8416" s="3"/>
      <c r="D8416" s="3"/>
    </row>
    <row r="8417" spans="1:4">
      <c r="A8417" s="3"/>
      <c r="D8417" s="3"/>
    </row>
    <row r="8418" spans="1:4">
      <c r="A8418" s="3"/>
      <c r="D8418" s="3"/>
    </row>
    <row r="8419" spans="1:4">
      <c r="A8419" s="3"/>
      <c r="D8419" s="3"/>
    </row>
    <row r="8420" spans="1:4">
      <c r="A8420" s="3"/>
      <c r="D8420" s="3"/>
    </row>
    <row r="8421" spans="1:4">
      <c r="A8421" s="3"/>
      <c r="D8421" s="3"/>
    </row>
    <row r="8422" spans="1:4">
      <c r="A8422" s="3"/>
      <c r="D8422" s="3"/>
    </row>
    <row r="8423" spans="1:4">
      <c r="A8423" s="3"/>
      <c r="D8423" s="3"/>
    </row>
    <row r="8424" spans="1:4">
      <c r="A8424" s="3"/>
      <c r="D8424" s="3"/>
    </row>
    <row r="8425" spans="1:4">
      <c r="A8425" s="3"/>
      <c r="D8425" s="3"/>
    </row>
    <row r="8426" spans="1:4">
      <c r="A8426" s="3"/>
      <c r="D8426" s="3"/>
    </row>
    <row r="8427" spans="1:4">
      <c r="A8427" s="3"/>
      <c r="D8427" s="3"/>
    </row>
    <row r="8428" spans="1:4">
      <c r="A8428" s="3"/>
      <c r="D8428" s="3"/>
    </row>
    <row r="8429" spans="1:4">
      <c r="A8429" s="3"/>
      <c r="D8429" s="3"/>
    </row>
    <row r="8430" spans="1:4">
      <c r="A8430" s="3"/>
      <c r="D8430" s="3"/>
    </row>
    <row r="8431" spans="1:4">
      <c r="A8431" s="3"/>
      <c r="D8431" s="3"/>
    </row>
    <row r="8432" spans="1:4">
      <c r="A8432" s="3"/>
      <c r="D8432" s="3"/>
    </row>
    <row r="8433" spans="1:4">
      <c r="A8433" s="3"/>
      <c r="D8433" s="3"/>
    </row>
    <row r="8434" spans="1:4">
      <c r="A8434" s="3"/>
      <c r="D8434" s="3"/>
    </row>
    <row r="8435" spans="1:4">
      <c r="A8435" s="3"/>
      <c r="D8435" s="3"/>
    </row>
    <row r="8436" spans="1:4">
      <c r="A8436" s="3"/>
      <c r="D8436" s="3"/>
    </row>
    <row r="8437" spans="1:4">
      <c r="A8437" s="3"/>
      <c r="D8437" s="3"/>
    </row>
    <row r="8438" spans="1:4">
      <c r="A8438" s="3"/>
      <c r="D8438" s="3"/>
    </row>
    <row r="8439" spans="1:4">
      <c r="A8439" s="3"/>
      <c r="D8439" s="3"/>
    </row>
    <row r="8440" spans="1:4">
      <c r="A8440" s="3"/>
      <c r="D8440" s="3"/>
    </row>
    <row r="8441" spans="1:4">
      <c r="A8441" s="3"/>
      <c r="D8441" s="3"/>
    </row>
    <row r="8442" spans="1:4">
      <c r="A8442" s="3"/>
      <c r="D8442" s="3"/>
    </row>
    <row r="8443" spans="1:4">
      <c r="A8443" s="3"/>
      <c r="D8443" s="3"/>
    </row>
    <row r="8444" spans="1:4">
      <c r="A8444" s="3"/>
      <c r="D8444" s="3"/>
    </row>
    <row r="8445" spans="1:4">
      <c r="A8445" s="3"/>
      <c r="D8445" s="3"/>
    </row>
    <row r="8446" spans="1:4">
      <c r="A8446" s="3"/>
      <c r="D8446" s="3"/>
    </row>
    <row r="8447" spans="1:4">
      <c r="A8447" s="3"/>
      <c r="D8447" s="3"/>
    </row>
    <row r="8448" spans="1:4">
      <c r="A8448" s="3"/>
      <c r="D8448" s="3"/>
    </row>
    <row r="8449" spans="1:4">
      <c r="A8449" s="3"/>
      <c r="D8449" s="3"/>
    </row>
    <row r="8450" spans="1:4">
      <c r="A8450" s="3"/>
      <c r="D8450" s="3"/>
    </row>
    <row r="8451" spans="1:4">
      <c r="A8451" s="3"/>
      <c r="D8451" s="3"/>
    </row>
    <row r="8452" spans="1:4">
      <c r="A8452" s="3"/>
      <c r="D8452" s="3"/>
    </row>
    <row r="8453" spans="1:4">
      <c r="A8453" s="3"/>
      <c r="D8453" s="3"/>
    </row>
    <row r="8454" spans="1:4">
      <c r="A8454" s="3"/>
      <c r="D8454" s="3"/>
    </row>
    <row r="8455" spans="1:4">
      <c r="A8455" s="3"/>
      <c r="D8455" s="3"/>
    </row>
    <row r="8456" spans="1:4">
      <c r="A8456" s="3"/>
      <c r="D8456" s="3"/>
    </row>
    <row r="8457" spans="1:4">
      <c r="A8457" s="3"/>
      <c r="D8457" s="3"/>
    </row>
    <row r="8458" spans="1:4">
      <c r="A8458" s="3"/>
      <c r="D8458" s="3"/>
    </row>
    <row r="8459" spans="1:4">
      <c r="A8459" s="3"/>
      <c r="D8459" s="3"/>
    </row>
    <row r="8460" spans="1:4">
      <c r="A8460" s="3"/>
      <c r="D8460" s="3"/>
    </row>
    <row r="8461" spans="1:4">
      <c r="A8461" s="3"/>
      <c r="D8461" s="3"/>
    </row>
    <row r="8462" spans="1:4">
      <c r="A8462" s="3"/>
      <c r="D8462" s="3"/>
    </row>
    <row r="8463" spans="1:4">
      <c r="A8463" s="3"/>
      <c r="D8463" s="3"/>
    </row>
    <row r="8464" spans="1:4">
      <c r="A8464" s="3"/>
      <c r="D8464" s="3"/>
    </row>
    <row r="8465" spans="1:4">
      <c r="A8465" s="3"/>
      <c r="D8465" s="3"/>
    </row>
    <row r="8466" spans="1:4">
      <c r="A8466" s="3"/>
      <c r="D8466" s="3"/>
    </row>
    <row r="8467" spans="1:4">
      <c r="A8467" s="3"/>
      <c r="D8467" s="3"/>
    </row>
    <row r="8468" spans="1:4">
      <c r="A8468" s="3"/>
      <c r="D8468" s="3"/>
    </row>
    <row r="8469" spans="1:4">
      <c r="A8469" s="3"/>
      <c r="D8469" s="3"/>
    </row>
    <row r="8470" spans="1:4">
      <c r="A8470" s="3"/>
      <c r="D8470" s="3"/>
    </row>
    <row r="8471" spans="1:4">
      <c r="A8471" s="3"/>
      <c r="D8471" s="3"/>
    </row>
    <row r="8472" spans="1:4">
      <c r="A8472" s="3"/>
      <c r="D8472" s="3"/>
    </row>
    <row r="8473" spans="1:4">
      <c r="A8473" s="3"/>
      <c r="D8473" s="3"/>
    </row>
    <row r="8474" spans="1:4">
      <c r="A8474" s="3"/>
      <c r="D8474" s="3"/>
    </row>
    <row r="8475" spans="1:4">
      <c r="A8475" s="3"/>
      <c r="D8475" s="3"/>
    </row>
    <row r="8476" spans="1:4">
      <c r="A8476" s="3"/>
      <c r="D8476" s="3"/>
    </row>
    <row r="8477" spans="1:4">
      <c r="A8477" s="3"/>
      <c r="D8477" s="3"/>
    </row>
    <row r="8478" spans="1:4">
      <c r="A8478" s="3"/>
      <c r="D8478" s="3"/>
    </row>
    <row r="8479" spans="1:4">
      <c r="A8479" s="3"/>
      <c r="D8479" s="3"/>
    </row>
    <row r="8480" spans="1:4">
      <c r="A8480" s="3"/>
      <c r="D8480" s="3"/>
    </row>
    <row r="8481" spans="1:4">
      <c r="A8481" s="3"/>
      <c r="D8481" s="3"/>
    </row>
    <row r="8482" spans="1:4">
      <c r="A8482" s="3"/>
      <c r="D8482" s="3"/>
    </row>
    <row r="8483" spans="1:4">
      <c r="A8483" s="3"/>
      <c r="D8483" s="3"/>
    </row>
    <row r="8484" spans="1:4">
      <c r="A8484" s="3"/>
      <c r="D8484" s="3"/>
    </row>
    <row r="8485" spans="1:4">
      <c r="A8485" s="3"/>
      <c r="D8485" s="3"/>
    </row>
    <row r="8486" spans="1:4">
      <c r="A8486" s="3"/>
      <c r="D8486" s="3"/>
    </row>
    <row r="8487" spans="1:4">
      <c r="A8487" s="3"/>
      <c r="D8487" s="3"/>
    </row>
    <row r="8488" spans="1:4">
      <c r="A8488" s="3"/>
      <c r="D8488" s="3"/>
    </row>
    <row r="8489" spans="1:4">
      <c r="A8489" s="3"/>
      <c r="D8489" s="3"/>
    </row>
    <row r="8490" spans="1:4">
      <c r="A8490" s="3"/>
      <c r="D8490" s="3"/>
    </row>
    <row r="8491" spans="1:4">
      <c r="A8491" s="3"/>
      <c r="D8491" s="3"/>
    </row>
    <row r="8492" spans="1:4">
      <c r="A8492" s="3"/>
      <c r="D8492" s="3"/>
    </row>
    <row r="8493" spans="1:4">
      <c r="A8493" s="3"/>
      <c r="D8493" s="3"/>
    </row>
    <row r="8494" spans="1:4">
      <c r="A8494" s="3"/>
      <c r="D8494" s="3"/>
    </row>
    <row r="8495" spans="1:4">
      <c r="A8495" s="3"/>
      <c r="D8495" s="3"/>
    </row>
    <row r="8496" spans="1:4">
      <c r="A8496" s="3"/>
      <c r="D8496" s="3"/>
    </row>
    <row r="8497" spans="1:4">
      <c r="A8497" s="3"/>
      <c r="D8497" s="3"/>
    </row>
    <row r="8498" spans="1:4">
      <c r="A8498" s="3"/>
      <c r="D8498" s="3"/>
    </row>
    <row r="8499" spans="1:4">
      <c r="A8499" s="3"/>
      <c r="D8499" s="3"/>
    </row>
    <row r="8500" spans="1:4">
      <c r="A8500" s="3"/>
      <c r="D8500" s="3"/>
    </row>
    <row r="8501" spans="1:4">
      <c r="A8501" s="3"/>
      <c r="D8501" s="3"/>
    </row>
    <row r="8502" spans="1:4">
      <c r="A8502" s="3"/>
      <c r="D8502" s="3"/>
    </row>
    <row r="8503" spans="1:4">
      <c r="A8503" s="3"/>
      <c r="D8503" s="3"/>
    </row>
    <row r="8504" spans="1:4">
      <c r="A8504" s="3"/>
      <c r="D8504" s="3"/>
    </row>
    <row r="8505" spans="1:4">
      <c r="A8505" s="3"/>
      <c r="D8505" s="3"/>
    </row>
    <row r="8506" spans="1:4">
      <c r="A8506" s="3"/>
      <c r="D8506" s="3"/>
    </row>
    <row r="8507" spans="1:4">
      <c r="A8507" s="3"/>
      <c r="D8507" s="3"/>
    </row>
    <row r="8508" spans="1:4">
      <c r="A8508" s="3"/>
      <c r="D8508" s="3"/>
    </row>
    <row r="8509" spans="1:4">
      <c r="A8509" s="3"/>
      <c r="D8509" s="3"/>
    </row>
    <row r="8510" spans="1:4">
      <c r="A8510" s="3"/>
      <c r="D8510" s="3"/>
    </row>
    <row r="8511" spans="1:4">
      <c r="A8511" s="3"/>
      <c r="D8511" s="3"/>
    </row>
    <row r="8512" spans="1:4">
      <c r="A8512" s="3"/>
      <c r="D8512" s="3"/>
    </row>
    <row r="8513" spans="1:4">
      <c r="A8513" s="3"/>
      <c r="D8513" s="3"/>
    </row>
    <row r="8514" spans="1:4">
      <c r="A8514" s="3"/>
      <c r="D8514" s="3"/>
    </row>
    <row r="8515" spans="1:4">
      <c r="A8515" s="3"/>
      <c r="D8515" s="3"/>
    </row>
    <row r="8516" spans="1:4">
      <c r="A8516" s="3"/>
      <c r="D8516" s="3"/>
    </row>
    <row r="8517" spans="1:4">
      <c r="A8517" s="3"/>
      <c r="D8517" s="3"/>
    </row>
    <row r="8518" spans="1:4">
      <c r="A8518" s="3"/>
      <c r="D8518" s="3"/>
    </row>
    <row r="8519" spans="1:4">
      <c r="A8519" s="3"/>
      <c r="D8519" s="3"/>
    </row>
    <row r="8520" spans="1:4">
      <c r="A8520" s="3"/>
      <c r="D8520" s="3"/>
    </row>
    <row r="8521" spans="1:4">
      <c r="A8521" s="3"/>
      <c r="D8521" s="3"/>
    </row>
    <row r="8522" spans="1:4">
      <c r="A8522" s="3"/>
      <c r="D8522" s="3"/>
    </row>
    <row r="8523" spans="1:4">
      <c r="A8523" s="3"/>
      <c r="D8523" s="3"/>
    </row>
    <row r="8524" spans="1:4">
      <c r="A8524" s="3"/>
      <c r="D8524" s="3"/>
    </row>
    <row r="8525" spans="1:4">
      <c r="A8525" s="3"/>
      <c r="D8525" s="3"/>
    </row>
    <row r="8526" spans="1:4">
      <c r="A8526" s="3"/>
      <c r="D8526" s="3"/>
    </row>
    <row r="8527" spans="1:4">
      <c r="A8527" s="3"/>
      <c r="D8527" s="3"/>
    </row>
    <row r="8528" spans="1:4">
      <c r="A8528" s="3"/>
      <c r="D8528" s="3"/>
    </row>
    <row r="8529" spans="1:4">
      <c r="A8529" s="3"/>
      <c r="D8529" s="3"/>
    </row>
    <row r="8530" spans="1:4">
      <c r="A8530" s="3"/>
      <c r="D8530" s="3"/>
    </row>
    <row r="8531" spans="1:4">
      <c r="A8531" s="3"/>
      <c r="D8531" s="3"/>
    </row>
    <row r="8532" spans="1:4">
      <c r="A8532" s="3"/>
      <c r="D8532" s="3"/>
    </row>
    <row r="8533" spans="1:4">
      <c r="A8533" s="3"/>
      <c r="D8533" s="3"/>
    </row>
    <row r="8534" spans="1:4">
      <c r="A8534" s="3"/>
      <c r="D8534" s="3"/>
    </row>
    <row r="8535" spans="1:4">
      <c r="A8535" s="3"/>
      <c r="D8535" s="3"/>
    </row>
    <row r="8536" spans="1:4">
      <c r="A8536" s="3"/>
      <c r="D8536" s="3"/>
    </row>
    <row r="8537" spans="1:4">
      <c r="A8537" s="3"/>
      <c r="D8537" s="3"/>
    </row>
    <row r="8538" spans="1:4">
      <c r="A8538" s="3"/>
      <c r="D8538" s="3"/>
    </row>
    <row r="8539" spans="1:4">
      <c r="A8539" s="3"/>
      <c r="D8539" s="3"/>
    </row>
    <row r="8540" spans="1:4">
      <c r="A8540" s="3"/>
      <c r="D8540" s="3"/>
    </row>
    <row r="8541" spans="1:4">
      <c r="A8541" s="3"/>
      <c r="D8541" s="3"/>
    </row>
    <row r="8542" spans="1:4">
      <c r="A8542" s="3"/>
      <c r="D8542" s="3"/>
    </row>
    <row r="8543" spans="1:4">
      <c r="A8543" s="3"/>
      <c r="D8543" s="3"/>
    </row>
    <row r="8544" spans="1:4">
      <c r="A8544" s="3"/>
      <c r="D8544" s="3"/>
    </row>
    <row r="8545" spans="1:4">
      <c r="A8545" s="3"/>
      <c r="D8545" s="3"/>
    </row>
    <row r="8546" spans="1:4">
      <c r="A8546" s="3"/>
      <c r="D8546" s="3"/>
    </row>
    <row r="8547" spans="1:4">
      <c r="A8547" s="3"/>
      <c r="D8547" s="3"/>
    </row>
    <row r="8548" spans="1:4">
      <c r="A8548" s="3"/>
      <c r="D8548" s="3"/>
    </row>
    <row r="8549" spans="1:4">
      <c r="A8549" s="3"/>
      <c r="D8549" s="3"/>
    </row>
    <row r="8550" spans="1:4">
      <c r="A8550" s="3"/>
      <c r="D8550" s="3"/>
    </row>
    <row r="8551" spans="1:4">
      <c r="A8551" s="3"/>
      <c r="D8551" s="3"/>
    </row>
    <row r="8552" spans="1:4">
      <c r="A8552" s="3"/>
      <c r="D8552" s="3"/>
    </row>
    <row r="8553" spans="1:4">
      <c r="A8553" s="3"/>
      <c r="D8553" s="3"/>
    </row>
    <row r="8554" spans="1:4">
      <c r="A8554" s="3"/>
      <c r="D8554" s="3"/>
    </row>
    <row r="8555" spans="1:4">
      <c r="A8555" s="3"/>
      <c r="D8555" s="3"/>
    </row>
    <row r="8556" spans="1:4">
      <c r="A8556" s="3"/>
      <c r="D8556" s="3"/>
    </row>
    <row r="8557" spans="1:4">
      <c r="A8557" s="3"/>
      <c r="D8557" s="3"/>
    </row>
    <row r="8558" spans="1:4">
      <c r="A8558" s="3"/>
      <c r="D8558" s="3"/>
    </row>
    <row r="8559" spans="1:4">
      <c r="A8559" s="3"/>
      <c r="D8559" s="3"/>
    </row>
    <row r="8560" spans="1:4">
      <c r="A8560" s="3"/>
      <c r="D8560" s="3"/>
    </row>
    <row r="8561" spans="1:4">
      <c r="A8561" s="3"/>
      <c r="D8561" s="3"/>
    </row>
    <row r="8562" spans="1:4">
      <c r="A8562" s="3"/>
      <c r="D8562" s="3"/>
    </row>
    <row r="8563" spans="1:4">
      <c r="A8563" s="3"/>
      <c r="D8563" s="3"/>
    </row>
    <row r="8564" spans="1:4">
      <c r="A8564" s="3"/>
      <c r="D8564" s="3"/>
    </row>
    <row r="8565" spans="1:4">
      <c r="A8565" s="3"/>
      <c r="D8565" s="3"/>
    </row>
    <row r="8566" spans="1:4">
      <c r="A8566" s="3"/>
      <c r="D8566" s="3"/>
    </row>
    <row r="8567" spans="1:4">
      <c r="A8567" s="3"/>
      <c r="D8567" s="3"/>
    </row>
    <row r="8568" spans="1:4">
      <c r="A8568" s="3"/>
      <c r="D8568" s="3"/>
    </row>
    <row r="8569" spans="1:4">
      <c r="A8569" s="3"/>
      <c r="D8569" s="3"/>
    </row>
    <row r="8570" spans="1:4">
      <c r="A8570" s="3"/>
      <c r="D8570" s="3"/>
    </row>
    <row r="8571" spans="1:4">
      <c r="A8571" s="3"/>
      <c r="D8571" s="3"/>
    </row>
    <row r="8572" spans="1:4">
      <c r="A8572" s="3"/>
      <c r="D8572" s="3"/>
    </row>
    <row r="8573" spans="1:4">
      <c r="A8573" s="3"/>
      <c r="D8573" s="3"/>
    </row>
    <row r="8574" spans="1:4">
      <c r="A8574" s="3"/>
      <c r="D8574" s="3"/>
    </row>
    <row r="8575" spans="1:4">
      <c r="A8575" s="3"/>
      <c r="D8575" s="3"/>
    </row>
    <row r="8576" spans="1:4">
      <c r="A8576" s="3"/>
      <c r="D8576" s="3"/>
    </row>
    <row r="8577" spans="1:4">
      <c r="A8577" s="3"/>
      <c r="D8577" s="3"/>
    </row>
    <row r="8578" spans="1:4">
      <c r="A8578" s="3"/>
      <c r="D8578" s="3"/>
    </row>
    <row r="8579" spans="1:4">
      <c r="A8579" s="3"/>
      <c r="D8579" s="3"/>
    </row>
    <row r="8580" spans="1:4">
      <c r="A8580" s="3"/>
      <c r="D8580" s="3"/>
    </row>
    <row r="8581" spans="1:4">
      <c r="A8581" s="3"/>
      <c r="D8581" s="3"/>
    </row>
    <row r="8582" spans="1:4">
      <c r="A8582" s="3"/>
      <c r="D8582" s="3"/>
    </row>
    <row r="8583" spans="1:4">
      <c r="A8583" s="3"/>
      <c r="D8583" s="3"/>
    </row>
    <row r="8584" spans="1:4">
      <c r="A8584" s="3"/>
      <c r="D8584" s="3"/>
    </row>
    <row r="8585" spans="1:4">
      <c r="A8585" s="3"/>
      <c r="D8585" s="3"/>
    </row>
    <row r="8586" spans="1:4">
      <c r="A8586" s="3"/>
      <c r="D8586" s="3"/>
    </row>
    <row r="8587" spans="1:4">
      <c r="A8587" s="3"/>
      <c r="D8587" s="3"/>
    </row>
    <row r="8588" spans="1:4">
      <c r="A8588" s="3"/>
      <c r="D8588" s="3"/>
    </row>
    <row r="8589" spans="1:4">
      <c r="A8589" s="3"/>
      <c r="D8589" s="3"/>
    </row>
    <row r="8590" spans="1:4">
      <c r="A8590" s="3"/>
      <c r="D8590" s="3"/>
    </row>
    <row r="8591" spans="1:4">
      <c r="A8591" s="3"/>
      <c r="D8591" s="3"/>
    </row>
    <row r="8592" spans="1:4">
      <c r="A8592" s="3"/>
      <c r="D8592" s="3"/>
    </row>
    <row r="8593" spans="1:4">
      <c r="A8593" s="3"/>
      <c r="D8593" s="3"/>
    </row>
    <row r="8594" spans="1:4">
      <c r="A8594" s="3"/>
      <c r="D8594" s="3"/>
    </row>
    <row r="8595" spans="1:4">
      <c r="A8595" s="3"/>
      <c r="D8595" s="3"/>
    </row>
    <row r="8596" spans="1:4">
      <c r="A8596" s="3"/>
      <c r="D8596" s="3"/>
    </row>
    <row r="8597" spans="1:4">
      <c r="A8597" s="3"/>
      <c r="D8597" s="3"/>
    </row>
    <row r="8598" spans="1:4">
      <c r="A8598" s="3"/>
      <c r="D8598" s="3"/>
    </row>
    <row r="8599" spans="1:4">
      <c r="A8599" s="3"/>
      <c r="D8599" s="3"/>
    </row>
    <row r="8600" spans="1:4">
      <c r="A8600" s="3"/>
      <c r="D8600" s="3"/>
    </row>
    <row r="8601" spans="1:4">
      <c r="A8601" s="3"/>
      <c r="D8601" s="3"/>
    </row>
    <row r="8602" spans="1:4">
      <c r="A8602" s="3"/>
      <c r="D8602" s="3"/>
    </row>
    <row r="8603" spans="1:4">
      <c r="A8603" s="3"/>
      <c r="D8603" s="3"/>
    </row>
    <row r="8604" spans="1:4">
      <c r="A8604" s="3"/>
      <c r="D8604" s="3"/>
    </row>
    <row r="8605" spans="1:4">
      <c r="A8605" s="3"/>
      <c r="D8605" s="3"/>
    </row>
    <row r="8606" spans="1:4">
      <c r="A8606" s="3"/>
      <c r="D8606" s="3"/>
    </row>
    <row r="8607" spans="1:4">
      <c r="A8607" s="3"/>
      <c r="D8607" s="3"/>
    </row>
    <row r="8608" spans="1:4">
      <c r="A8608" s="3"/>
      <c r="D8608" s="3"/>
    </row>
    <row r="8609" spans="1:4">
      <c r="A8609" s="3"/>
      <c r="D8609" s="3"/>
    </row>
    <row r="8610" spans="1:4">
      <c r="A8610" s="3"/>
      <c r="D8610" s="3"/>
    </row>
    <row r="8611" spans="1:4">
      <c r="A8611" s="3"/>
      <c r="D8611" s="3"/>
    </row>
    <row r="8612" spans="1:4">
      <c r="A8612" s="3"/>
      <c r="D8612" s="3"/>
    </row>
    <row r="8613" spans="1:4">
      <c r="A8613" s="3"/>
      <c r="D8613" s="3"/>
    </row>
    <row r="8614" spans="1:4">
      <c r="A8614" s="3"/>
      <c r="D8614" s="3"/>
    </row>
    <row r="8615" spans="1:4">
      <c r="A8615" s="3"/>
      <c r="D8615" s="3"/>
    </row>
    <row r="8616" spans="1:4">
      <c r="A8616" s="3"/>
      <c r="D8616" s="3"/>
    </row>
    <row r="8617" spans="1:4">
      <c r="A8617" s="3"/>
      <c r="D8617" s="3"/>
    </row>
    <row r="8618" spans="1:4">
      <c r="A8618" s="3"/>
      <c r="D8618" s="3"/>
    </row>
    <row r="8619" spans="1:4">
      <c r="A8619" s="3"/>
      <c r="D8619" s="3"/>
    </row>
    <row r="8620" spans="1:4">
      <c r="A8620" s="3"/>
      <c r="D8620" s="3"/>
    </row>
    <row r="8621" spans="1:4">
      <c r="A8621" s="3"/>
      <c r="D8621" s="3"/>
    </row>
    <row r="8622" spans="1:4">
      <c r="A8622" s="3"/>
      <c r="D8622" s="3"/>
    </row>
    <row r="8623" spans="1:4">
      <c r="A8623" s="3"/>
      <c r="D8623" s="3"/>
    </row>
    <row r="8624" spans="1:4">
      <c r="A8624" s="3"/>
      <c r="D8624" s="3"/>
    </row>
    <row r="8625" spans="1:4">
      <c r="A8625" s="3"/>
      <c r="D8625" s="3"/>
    </row>
    <row r="8626" spans="1:4">
      <c r="A8626" s="3"/>
      <c r="D8626" s="3"/>
    </row>
    <row r="8627" spans="1:4">
      <c r="A8627" s="3"/>
      <c r="D8627" s="3"/>
    </row>
    <row r="8628" spans="1:4">
      <c r="A8628" s="3"/>
      <c r="D8628" s="3"/>
    </row>
    <row r="8629" spans="1:4">
      <c r="A8629" s="3"/>
      <c r="D8629" s="3"/>
    </row>
    <row r="8630" spans="1:4">
      <c r="A8630" s="3"/>
      <c r="D8630" s="3"/>
    </row>
    <row r="8631" spans="1:4">
      <c r="A8631" s="3"/>
      <c r="D8631" s="3"/>
    </row>
    <row r="8632" spans="1:4">
      <c r="A8632" s="3"/>
      <c r="D8632" s="3"/>
    </row>
    <row r="8633" spans="1:4">
      <c r="A8633" s="3"/>
      <c r="D8633" s="3"/>
    </row>
    <row r="8634" spans="1:4">
      <c r="A8634" s="3"/>
      <c r="D8634" s="3"/>
    </row>
    <row r="8635" spans="1:4">
      <c r="A8635" s="3"/>
      <c r="D8635" s="3"/>
    </row>
    <row r="8636" spans="1:4">
      <c r="A8636" s="3"/>
      <c r="D8636" s="3"/>
    </row>
    <row r="8637" spans="1:4">
      <c r="A8637" s="3"/>
      <c r="D8637" s="3"/>
    </row>
    <row r="8638" spans="1:4">
      <c r="A8638" s="3"/>
      <c r="D8638" s="3"/>
    </row>
    <row r="8639" spans="1:4">
      <c r="A8639" s="3"/>
      <c r="D8639" s="3"/>
    </row>
    <row r="8640" spans="1:4">
      <c r="A8640" s="3"/>
      <c r="D8640" s="3"/>
    </row>
    <row r="8641" spans="1:4">
      <c r="A8641" s="3"/>
      <c r="D8641" s="3"/>
    </row>
    <row r="8642" spans="1:4">
      <c r="A8642" s="3"/>
      <c r="D8642" s="3"/>
    </row>
    <row r="8643" spans="1:4">
      <c r="A8643" s="3"/>
      <c r="D8643" s="3"/>
    </row>
    <row r="8644" spans="1:4">
      <c r="A8644" s="3"/>
      <c r="D8644" s="3"/>
    </row>
    <row r="8645" spans="1:4">
      <c r="A8645" s="3"/>
      <c r="D8645" s="3"/>
    </row>
    <row r="8646" spans="1:4">
      <c r="A8646" s="3"/>
      <c r="D8646" s="3"/>
    </row>
    <row r="8647" spans="1:4">
      <c r="A8647" s="3"/>
      <c r="D8647" s="3"/>
    </row>
    <row r="8648" spans="1:4">
      <c r="A8648" s="3"/>
      <c r="D8648" s="3"/>
    </row>
    <row r="8649" spans="1:4">
      <c r="A8649" s="3"/>
      <c r="D8649" s="3"/>
    </row>
    <row r="8650" spans="1:4">
      <c r="A8650" s="3"/>
      <c r="D8650" s="3"/>
    </row>
    <row r="8651" spans="1:4">
      <c r="A8651" s="3"/>
      <c r="D8651" s="3"/>
    </row>
    <row r="8652" spans="1:4">
      <c r="A8652" s="3"/>
      <c r="D8652" s="3"/>
    </row>
    <row r="8653" spans="1:4">
      <c r="A8653" s="3"/>
      <c r="D8653" s="3"/>
    </row>
    <row r="8654" spans="1:4">
      <c r="A8654" s="3"/>
      <c r="D8654" s="3"/>
    </row>
    <row r="8655" spans="1:4">
      <c r="A8655" s="3"/>
      <c r="D8655" s="3"/>
    </row>
    <row r="8656" spans="1:4">
      <c r="A8656" s="3"/>
      <c r="D8656" s="3"/>
    </row>
    <row r="8657" spans="1:4">
      <c r="A8657" s="3"/>
      <c r="D8657" s="3"/>
    </row>
    <row r="8658" spans="1:4">
      <c r="A8658" s="3"/>
      <c r="D8658" s="3"/>
    </row>
    <row r="8659" spans="1:4">
      <c r="A8659" s="3"/>
      <c r="D8659" s="3"/>
    </row>
    <row r="8660" spans="1:4">
      <c r="A8660" s="3"/>
      <c r="D8660" s="3"/>
    </row>
    <row r="8661" spans="1:4">
      <c r="A8661" s="3"/>
      <c r="D8661" s="3"/>
    </row>
    <row r="8662" spans="1:4">
      <c r="A8662" s="3"/>
      <c r="D8662" s="3"/>
    </row>
    <row r="8663" spans="1:4">
      <c r="A8663" s="3"/>
      <c r="D8663" s="3"/>
    </row>
    <row r="8664" spans="1:4">
      <c r="A8664" s="3"/>
      <c r="D8664" s="3"/>
    </row>
    <row r="8665" spans="1:4">
      <c r="A8665" s="3"/>
      <c r="D8665" s="3"/>
    </row>
    <row r="8666" spans="1:4">
      <c r="A8666" s="3"/>
      <c r="D8666" s="3"/>
    </row>
    <row r="8667" spans="1:4">
      <c r="A8667" s="3"/>
      <c r="D8667" s="3"/>
    </row>
    <row r="8668" spans="1:4">
      <c r="A8668" s="3"/>
      <c r="D8668" s="3"/>
    </row>
    <row r="8669" spans="1:4">
      <c r="A8669" s="3"/>
      <c r="D8669" s="3"/>
    </row>
    <row r="8670" spans="1:4">
      <c r="A8670" s="3"/>
      <c r="D8670" s="3"/>
    </row>
    <row r="8671" spans="1:4">
      <c r="A8671" s="3"/>
      <c r="D8671" s="3"/>
    </row>
    <row r="8672" spans="1:4">
      <c r="A8672" s="3"/>
      <c r="D8672" s="3"/>
    </row>
    <row r="8673" spans="1:4">
      <c r="A8673" s="3"/>
      <c r="D8673" s="3"/>
    </row>
    <row r="8674" spans="1:4">
      <c r="A8674" s="3"/>
      <c r="D8674" s="3"/>
    </row>
    <row r="8675" spans="1:4">
      <c r="A8675" s="3"/>
      <c r="D8675" s="3"/>
    </row>
    <row r="8676" spans="1:4">
      <c r="A8676" s="3"/>
      <c r="D8676" s="3"/>
    </row>
    <row r="8677" spans="1:4">
      <c r="A8677" s="3"/>
      <c r="D8677" s="3"/>
    </row>
    <row r="8678" spans="1:4">
      <c r="A8678" s="3"/>
      <c r="D8678" s="3"/>
    </row>
    <row r="8679" spans="1:4">
      <c r="A8679" s="3"/>
      <c r="D8679" s="3"/>
    </row>
    <row r="8680" spans="1:4">
      <c r="A8680" s="3"/>
      <c r="D8680" s="3"/>
    </row>
    <row r="8681" spans="1:4">
      <c r="A8681" s="3"/>
      <c r="D8681" s="3"/>
    </row>
    <row r="8682" spans="1:4">
      <c r="A8682" s="3"/>
      <c r="D8682" s="3"/>
    </row>
    <row r="8683" spans="1:4">
      <c r="A8683" s="3"/>
      <c r="D8683" s="3"/>
    </row>
    <row r="8684" spans="1:4">
      <c r="A8684" s="3"/>
      <c r="D8684" s="3"/>
    </row>
    <row r="8685" spans="1:4">
      <c r="A8685" s="3"/>
      <c r="D8685" s="3"/>
    </row>
    <row r="8686" spans="1:4">
      <c r="A8686" s="3"/>
      <c r="D8686" s="3"/>
    </row>
    <row r="8687" spans="1:4">
      <c r="A8687" s="3"/>
      <c r="D8687" s="3"/>
    </row>
    <row r="8688" spans="1:4">
      <c r="A8688" s="3"/>
      <c r="D8688" s="3"/>
    </row>
    <row r="8689" spans="1:4">
      <c r="A8689" s="3"/>
      <c r="D8689" s="3"/>
    </row>
    <row r="8690" spans="1:4">
      <c r="A8690" s="3"/>
      <c r="D8690" s="3"/>
    </row>
    <row r="8691" spans="1:4">
      <c r="A8691" s="3"/>
      <c r="D8691" s="3"/>
    </row>
    <row r="8692" spans="1:4">
      <c r="A8692" s="3"/>
      <c r="D8692" s="3"/>
    </row>
    <row r="8693" spans="1:4">
      <c r="A8693" s="3"/>
      <c r="D8693" s="3"/>
    </row>
    <row r="8694" spans="1:4">
      <c r="A8694" s="3"/>
      <c r="D8694" s="3"/>
    </row>
    <row r="8695" spans="1:4">
      <c r="A8695" s="3"/>
      <c r="D8695" s="3"/>
    </row>
    <row r="8696" spans="1:4">
      <c r="A8696" s="3"/>
      <c r="D8696" s="3"/>
    </row>
    <row r="8697" spans="1:4">
      <c r="A8697" s="3"/>
      <c r="D8697" s="3"/>
    </row>
    <row r="8698" spans="1:4">
      <c r="A8698" s="3"/>
      <c r="D8698" s="3"/>
    </row>
    <row r="8699" spans="1:4">
      <c r="A8699" s="3"/>
      <c r="D8699" s="3"/>
    </row>
    <row r="8700" spans="1:4">
      <c r="A8700" s="3"/>
      <c r="D8700" s="3"/>
    </row>
    <row r="8701" spans="1:4">
      <c r="A8701" s="3"/>
      <c r="D8701" s="3"/>
    </row>
    <row r="8702" spans="1:4">
      <c r="A8702" s="3"/>
      <c r="D8702" s="3"/>
    </row>
    <row r="8703" spans="1:4">
      <c r="A8703" s="3"/>
      <c r="D8703" s="3"/>
    </row>
    <row r="8704" spans="1:4">
      <c r="A8704" s="3"/>
      <c r="D8704" s="3"/>
    </row>
    <row r="8705" spans="1:4">
      <c r="A8705" s="3"/>
      <c r="D8705" s="3"/>
    </row>
    <row r="8706" spans="1:4">
      <c r="A8706" s="3"/>
      <c r="D8706" s="3"/>
    </row>
    <row r="8707" spans="1:4">
      <c r="A8707" s="3"/>
      <c r="D8707" s="3"/>
    </row>
    <row r="8708" spans="1:4">
      <c r="A8708" s="3"/>
      <c r="D8708" s="3"/>
    </row>
    <row r="8709" spans="1:4">
      <c r="A8709" s="3"/>
      <c r="D8709" s="3"/>
    </row>
    <row r="8710" spans="1:4">
      <c r="A8710" s="3"/>
      <c r="D8710" s="3"/>
    </row>
    <row r="8711" spans="1:4">
      <c r="A8711" s="3"/>
      <c r="D8711" s="3"/>
    </row>
    <row r="8712" spans="1:4">
      <c r="A8712" s="3"/>
      <c r="D8712" s="3"/>
    </row>
    <row r="8713" spans="1:4">
      <c r="A8713" s="3"/>
      <c r="D8713" s="3"/>
    </row>
    <row r="8714" spans="1:4">
      <c r="A8714" s="3"/>
      <c r="D8714" s="3"/>
    </row>
    <row r="8715" spans="1:4">
      <c r="A8715" s="3"/>
      <c r="D8715" s="3"/>
    </row>
    <row r="8716" spans="1:4">
      <c r="A8716" s="3"/>
      <c r="D8716" s="3"/>
    </row>
    <row r="8717" spans="1:4">
      <c r="A8717" s="3"/>
      <c r="D8717" s="3"/>
    </row>
    <row r="8718" spans="1:4">
      <c r="A8718" s="3"/>
      <c r="D8718" s="3"/>
    </row>
    <row r="8719" spans="1:4">
      <c r="A8719" s="3"/>
      <c r="D8719" s="3"/>
    </row>
    <row r="8720" spans="1:4">
      <c r="A8720" s="3"/>
      <c r="D8720" s="3"/>
    </row>
    <row r="8721" spans="1:4">
      <c r="A8721" s="3"/>
      <c r="D8721" s="3"/>
    </row>
    <row r="8722" spans="1:4">
      <c r="A8722" s="3"/>
      <c r="D8722" s="3"/>
    </row>
    <row r="8723" spans="1:4">
      <c r="A8723" s="3"/>
      <c r="D8723" s="3"/>
    </row>
    <row r="8724" spans="1:4">
      <c r="A8724" s="3"/>
      <c r="D8724" s="3"/>
    </row>
    <row r="8725" spans="1:4">
      <c r="A8725" s="3"/>
      <c r="D8725" s="3"/>
    </row>
    <row r="8726" spans="1:4">
      <c r="A8726" s="3"/>
      <c r="D8726" s="3"/>
    </row>
    <row r="8727" spans="1:4">
      <c r="A8727" s="3"/>
      <c r="D8727" s="3"/>
    </row>
    <row r="8728" spans="1:4">
      <c r="A8728" s="3"/>
      <c r="D8728" s="3"/>
    </row>
    <row r="8729" spans="1:4">
      <c r="A8729" s="3"/>
      <c r="D8729" s="3"/>
    </row>
    <row r="8730" spans="1:4">
      <c r="A8730" s="3"/>
      <c r="D8730" s="3"/>
    </row>
    <row r="8731" spans="1:4">
      <c r="A8731" s="3"/>
      <c r="D8731" s="3"/>
    </row>
    <row r="8732" spans="1:4">
      <c r="A8732" s="3"/>
      <c r="D8732" s="3"/>
    </row>
    <row r="8733" spans="1:4">
      <c r="A8733" s="3"/>
      <c r="D8733" s="3"/>
    </row>
    <row r="8734" spans="1:4">
      <c r="A8734" s="3"/>
      <c r="D8734" s="3"/>
    </row>
    <row r="8735" spans="1:4">
      <c r="A8735" s="3"/>
      <c r="D8735" s="3"/>
    </row>
    <row r="8736" spans="1:4">
      <c r="A8736" s="3"/>
      <c r="D8736" s="3"/>
    </row>
    <row r="8737" spans="1:4">
      <c r="A8737" s="3"/>
      <c r="D8737" s="3"/>
    </row>
    <row r="8738" spans="1:4">
      <c r="A8738" s="3"/>
      <c r="D8738" s="3"/>
    </row>
    <row r="8739" spans="1:4">
      <c r="A8739" s="3"/>
      <c r="D8739" s="3"/>
    </row>
    <row r="8740" spans="1:4">
      <c r="A8740" s="3"/>
      <c r="D8740" s="3"/>
    </row>
    <row r="8741" spans="1:4">
      <c r="A8741" s="3"/>
      <c r="D8741" s="3"/>
    </row>
    <row r="8742" spans="1:4">
      <c r="A8742" s="3"/>
      <c r="D8742" s="3"/>
    </row>
    <row r="8743" spans="1:4">
      <c r="A8743" s="3"/>
      <c r="D8743" s="3"/>
    </row>
    <row r="8744" spans="1:4">
      <c r="A8744" s="3"/>
      <c r="D8744" s="3"/>
    </row>
    <row r="8745" spans="1:4">
      <c r="A8745" s="3"/>
      <c r="D8745" s="3"/>
    </row>
    <row r="8746" spans="1:4">
      <c r="A8746" s="3"/>
      <c r="D8746" s="3"/>
    </row>
    <row r="8747" spans="1:4">
      <c r="A8747" s="3"/>
      <c r="D8747" s="3"/>
    </row>
    <row r="8748" spans="1:4">
      <c r="A8748" s="3"/>
      <c r="D8748" s="3"/>
    </row>
    <row r="8749" spans="1:4">
      <c r="A8749" s="3"/>
      <c r="D8749" s="3"/>
    </row>
    <row r="8750" spans="1:4">
      <c r="A8750" s="3"/>
      <c r="D8750" s="3"/>
    </row>
    <row r="8751" spans="1:4">
      <c r="A8751" s="3"/>
      <c r="D8751" s="3"/>
    </row>
    <row r="8752" spans="1:4">
      <c r="A8752" s="3"/>
      <c r="D8752" s="3"/>
    </row>
    <row r="8753" spans="1:4">
      <c r="A8753" s="3"/>
      <c r="D8753" s="3"/>
    </row>
    <row r="8754" spans="1:4">
      <c r="A8754" s="3"/>
      <c r="D8754" s="3"/>
    </row>
    <row r="8755" spans="1:4">
      <c r="A8755" s="3"/>
      <c r="D8755" s="3"/>
    </row>
    <row r="8756" spans="1:4">
      <c r="A8756" s="3"/>
      <c r="D8756" s="3"/>
    </row>
    <row r="8757" spans="1:4">
      <c r="A8757" s="3"/>
      <c r="D8757" s="3"/>
    </row>
    <row r="8758" spans="1:4">
      <c r="A8758" s="3"/>
      <c r="D8758" s="3"/>
    </row>
    <row r="8759" spans="1:4">
      <c r="A8759" s="3"/>
      <c r="D8759" s="3"/>
    </row>
    <row r="8760" spans="1:4">
      <c r="A8760" s="3"/>
      <c r="D8760" s="3"/>
    </row>
    <row r="8761" spans="1:4">
      <c r="A8761" s="3"/>
      <c r="D8761" s="3"/>
    </row>
    <row r="8762" spans="1:4">
      <c r="A8762" s="3"/>
      <c r="D8762" s="3"/>
    </row>
    <row r="8763" spans="1:4">
      <c r="A8763" s="3"/>
      <c r="D8763" s="3"/>
    </row>
    <row r="8764" spans="1:4">
      <c r="A8764" s="3"/>
      <c r="D8764" s="3"/>
    </row>
    <row r="8765" spans="1:4">
      <c r="A8765" s="3"/>
      <c r="D8765" s="3"/>
    </row>
    <row r="8766" spans="1:4">
      <c r="A8766" s="3"/>
      <c r="D8766" s="3"/>
    </row>
    <row r="8767" spans="1:4">
      <c r="A8767" s="3"/>
      <c r="D8767" s="3"/>
    </row>
    <row r="8768" spans="1:4">
      <c r="A8768" s="3"/>
      <c r="D8768" s="3"/>
    </row>
    <row r="8769" spans="1:4">
      <c r="A8769" s="3"/>
      <c r="D8769" s="3"/>
    </row>
    <row r="8770" spans="1:4">
      <c r="A8770" s="3"/>
      <c r="D8770" s="3"/>
    </row>
    <row r="8771" spans="1:4">
      <c r="A8771" s="3"/>
      <c r="D8771" s="3"/>
    </row>
    <row r="8772" spans="1:4">
      <c r="A8772" s="3"/>
      <c r="D8772" s="3"/>
    </row>
    <row r="8773" spans="1:4">
      <c r="A8773" s="3"/>
      <c r="D8773" s="3"/>
    </row>
    <row r="8774" spans="1:4">
      <c r="A8774" s="3"/>
      <c r="D8774" s="3"/>
    </row>
    <row r="8775" spans="1:4">
      <c r="A8775" s="3"/>
      <c r="D8775" s="3"/>
    </row>
    <row r="8776" spans="1:4">
      <c r="A8776" s="3"/>
      <c r="D8776" s="3"/>
    </row>
    <row r="8777" spans="1:4">
      <c r="A8777" s="3"/>
      <c r="D8777" s="3"/>
    </row>
    <row r="8778" spans="1:4">
      <c r="A8778" s="3"/>
      <c r="D8778" s="3"/>
    </row>
    <row r="8779" spans="1:4">
      <c r="A8779" s="3"/>
      <c r="D8779" s="3"/>
    </row>
    <row r="8780" spans="1:4">
      <c r="A8780" s="3"/>
      <c r="D8780" s="3"/>
    </row>
    <row r="8781" spans="1:4">
      <c r="A8781" s="3"/>
      <c r="D8781" s="3"/>
    </row>
    <row r="8782" spans="1:4">
      <c r="A8782" s="3"/>
      <c r="D8782" s="3"/>
    </row>
    <row r="8783" spans="1:4">
      <c r="A8783" s="3"/>
      <c r="D8783" s="3"/>
    </row>
    <row r="8784" spans="1:4">
      <c r="A8784" s="3"/>
      <c r="D8784" s="3"/>
    </row>
    <row r="8785" spans="1:4">
      <c r="A8785" s="3"/>
      <c r="D8785" s="3"/>
    </row>
    <row r="8786" spans="1:4">
      <c r="A8786" s="3"/>
      <c r="D8786" s="3"/>
    </row>
    <row r="8787" spans="1:4">
      <c r="A8787" s="3"/>
      <c r="D8787" s="3"/>
    </row>
    <row r="8788" spans="1:4">
      <c r="A8788" s="3"/>
      <c r="D8788" s="3"/>
    </row>
    <row r="8789" spans="1:4">
      <c r="A8789" s="3"/>
      <c r="D8789" s="3"/>
    </row>
    <row r="8790" spans="1:4">
      <c r="A8790" s="3"/>
      <c r="D8790" s="3"/>
    </row>
    <row r="8791" spans="1:4">
      <c r="A8791" s="3"/>
      <c r="D8791" s="3"/>
    </row>
    <row r="8792" spans="1:4">
      <c r="A8792" s="3"/>
      <c r="D8792" s="3"/>
    </row>
    <row r="8793" spans="1:4">
      <c r="A8793" s="3"/>
      <c r="D8793" s="3"/>
    </row>
    <row r="8794" spans="1:4">
      <c r="A8794" s="3"/>
      <c r="D8794" s="3"/>
    </row>
    <row r="8795" spans="1:4">
      <c r="A8795" s="3"/>
      <c r="D8795" s="3"/>
    </row>
    <row r="8796" spans="1:4">
      <c r="A8796" s="3"/>
      <c r="D8796" s="3"/>
    </row>
    <row r="8797" spans="1:4">
      <c r="A8797" s="3"/>
      <c r="D8797" s="3"/>
    </row>
    <row r="8798" spans="1:4">
      <c r="A8798" s="3"/>
      <c r="D8798" s="3"/>
    </row>
    <row r="8799" spans="1:4">
      <c r="A8799" s="3"/>
      <c r="D8799" s="3"/>
    </row>
    <row r="8800" spans="1:4">
      <c r="A8800" s="3"/>
      <c r="D8800" s="3"/>
    </row>
    <row r="8801" spans="1:4">
      <c r="A8801" s="3"/>
      <c r="D8801" s="3"/>
    </row>
    <row r="8802" spans="1:4">
      <c r="A8802" s="3"/>
      <c r="D8802" s="3"/>
    </row>
    <row r="8803" spans="1:4">
      <c r="A8803" s="3"/>
      <c r="D8803" s="3"/>
    </row>
    <row r="8804" spans="1:4">
      <c r="A8804" s="3"/>
      <c r="D8804" s="3"/>
    </row>
    <row r="8805" spans="1:4">
      <c r="A8805" s="3"/>
      <c r="D8805" s="3"/>
    </row>
    <row r="8806" spans="1:4">
      <c r="A8806" s="3"/>
      <c r="D8806" s="3"/>
    </row>
    <row r="8807" spans="1:4">
      <c r="A8807" s="3"/>
      <c r="D8807" s="3"/>
    </row>
    <row r="8808" spans="1:4">
      <c r="A8808" s="3"/>
      <c r="D8808" s="3"/>
    </row>
    <row r="8809" spans="1:4">
      <c r="A8809" s="3"/>
      <c r="D8809" s="3"/>
    </row>
    <row r="8810" spans="1:4">
      <c r="A8810" s="3"/>
      <c r="D8810" s="3"/>
    </row>
    <row r="8811" spans="1:4">
      <c r="A8811" s="3"/>
      <c r="D8811" s="3"/>
    </row>
    <row r="8812" spans="1:4">
      <c r="A8812" s="3"/>
      <c r="D8812" s="3"/>
    </row>
    <row r="8813" spans="1:4">
      <c r="A8813" s="3"/>
      <c r="D8813" s="3"/>
    </row>
    <row r="8814" spans="1:4">
      <c r="A8814" s="3"/>
      <c r="D8814" s="3"/>
    </row>
    <row r="8815" spans="1:4">
      <c r="A8815" s="3"/>
      <c r="D8815" s="3"/>
    </row>
    <row r="8816" spans="1:4">
      <c r="A8816" s="3"/>
      <c r="D8816" s="3"/>
    </row>
    <row r="8817" spans="1:4">
      <c r="A8817" s="3"/>
      <c r="D8817" s="3"/>
    </row>
    <row r="8818" spans="1:4">
      <c r="A8818" s="3"/>
      <c r="D8818" s="3"/>
    </row>
    <row r="8819" spans="1:4">
      <c r="A8819" s="3"/>
      <c r="D8819" s="3"/>
    </row>
    <row r="8820" spans="1:4">
      <c r="A8820" s="3"/>
      <c r="D8820" s="3"/>
    </row>
    <row r="8821" spans="1:4">
      <c r="A8821" s="3"/>
      <c r="D8821" s="3"/>
    </row>
    <row r="8822" spans="1:4">
      <c r="A8822" s="3"/>
      <c r="D8822" s="3"/>
    </row>
    <row r="8823" spans="1:4">
      <c r="A8823" s="3"/>
      <c r="D8823" s="3"/>
    </row>
    <row r="8824" spans="1:4">
      <c r="A8824" s="3"/>
      <c r="D8824" s="3"/>
    </row>
    <row r="8825" spans="1:4">
      <c r="A8825" s="3"/>
      <c r="D8825" s="3"/>
    </row>
    <row r="8826" spans="1:4">
      <c r="A8826" s="3"/>
      <c r="D8826" s="3"/>
    </row>
    <row r="8827" spans="1:4">
      <c r="A8827" s="3"/>
      <c r="D8827" s="3"/>
    </row>
    <row r="8828" spans="1:4">
      <c r="A8828" s="3"/>
      <c r="D8828" s="3"/>
    </row>
    <row r="8829" spans="1:4">
      <c r="A8829" s="3"/>
      <c r="D8829" s="3"/>
    </row>
    <row r="8830" spans="1:4">
      <c r="A8830" s="3"/>
      <c r="D8830" s="3"/>
    </row>
    <row r="8831" spans="1:4">
      <c r="A8831" s="3"/>
      <c r="D8831" s="3"/>
    </row>
    <row r="8832" spans="1:4">
      <c r="A8832" s="3"/>
      <c r="D8832" s="3"/>
    </row>
    <row r="8833" spans="1:4">
      <c r="A8833" s="3"/>
      <c r="D8833" s="3"/>
    </row>
    <row r="8834" spans="1:4">
      <c r="A8834" s="3"/>
      <c r="D8834" s="3"/>
    </row>
    <row r="8835" spans="1:4">
      <c r="A8835" s="3"/>
      <c r="D8835" s="3"/>
    </row>
    <row r="8836" spans="1:4">
      <c r="A8836" s="3"/>
      <c r="D8836" s="3"/>
    </row>
    <row r="8837" spans="1:4">
      <c r="A8837" s="3"/>
      <c r="D8837" s="3"/>
    </row>
    <row r="8838" spans="1:4">
      <c r="A8838" s="3"/>
      <c r="D8838" s="3"/>
    </row>
    <row r="8839" spans="1:4">
      <c r="A8839" s="3"/>
      <c r="D8839" s="3"/>
    </row>
    <row r="8840" spans="1:4">
      <c r="A8840" s="3"/>
      <c r="D8840" s="3"/>
    </row>
    <row r="8841" spans="1:4">
      <c r="A8841" s="3"/>
      <c r="D8841" s="3"/>
    </row>
    <row r="8842" spans="1:4">
      <c r="A8842" s="3"/>
      <c r="D8842" s="3"/>
    </row>
    <row r="8843" spans="1:4">
      <c r="A8843" s="3"/>
      <c r="D8843" s="3"/>
    </row>
    <row r="8844" spans="1:4">
      <c r="A8844" s="3"/>
      <c r="D8844" s="3"/>
    </row>
    <row r="8845" spans="1:4">
      <c r="A8845" s="3"/>
      <c r="D8845" s="3"/>
    </row>
    <row r="8846" spans="1:4">
      <c r="A8846" s="3"/>
      <c r="D8846" s="3"/>
    </row>
    <row r="8847" spans="1:4">
      <c r="A8847" s="3"/>
      <c r="D8847" s="3"/>
    </row>
    <row r="8848" spans="1:4">
      <c r="A8848" s="3"/>
      <c r="D8848" s="3"/>
    </row>
    <row r="8849" spans="1:4">
      <c r="A8849" s="3"/>
      <c r="D8849" s="3"/>
    </row>
    <row r="8850" spans="1:4">
      <c r="A8850" s="3"/>
      <c r="D8850" s="3"/>
    </row>
    <row r="8851" spans="1:4">
      <c r="A8851" s="3"/>
      <c r="D8851" s="3"/>
    </row>
    <row r="8852" spans="1:4">
      <c r="A8852" s="3"/>
      <c r="D8852" s="3"/>
    </row>
    <row r="8853" spans="1:4">
      <c r="A8853" s="3"/>
      <c r="D8853" s="3"/>
    </row>
    <row r="8854" spans="1:4">
      <c r="A8854" s="3"/>
      <c r="D8854" s="3"/>
    </row>
    <row r="8855" spans="1:4">
      <c r="A8855" s="3"/>
      <c r="D8855" s="3"/>
    </row>
    <row r="8856" spans="1:4">
      <c r="A8856" s="3"/>
      <c r="D8856" s="3"/>
    </row>
    <row r="8857" spans="1:4">
      <c r="A8857" s="3"/>
      <c r="D8857" s="3"/>
    </row>
    <row r="8858" spans="1:4">
      <c r="A8858" s="3"/>
      <c r="D8858" s="3"/>
    </row>
    <row r="8859" spans="1:4">
      <c r="A8859" s="3"/>
      <c r="D8859" s="3"/>
    </row>
    <row r="8860" spans="1:4">
      <c r="A8860" s="3"/>
      <c r="D8860" s="3"/>
    </row>
    <row r="8861" spans="1:4">
      <c r="A8861" s="3"/>
      <c r="D8861" s="3"/>
    </row>
    <row r="8862" spans="1:4">
      <c r="A8862" s="3"/>
      <c r="D8862" s="3"/>
    </row>
    <row r="8863" spans="1:4">
      <c r="A8863" s="3"/>
      <c r="D8863" s="3"/>
    </row>
    <row r="8864" spans="1:4">
      <c r="A8864" s="3"/>
      <c r="D8864" s="3"/>
    </row>
    <row r="8865" spans="1:4">
      <c r="A8865" s="3"/>
      <c r="D8865" s="3"/>
    </row>
    <row r="8866" spans="1:4">
      <c r="A8866" s="3"/>
      <c r="D8866" s="3"/>
    </row>
    <row r="8867" spans="1:4">
      <c r="A8867" s="3"/>
      <c r="D8867" s="3"/>
    </row>
    <row r="8868" spans="1:4">
      <c r="A8868" s="3"/>
      <c r="D8868" s="3"/>
    </row>
    <row r="8869" spans="1:4">
      <c r="A8869" s="3"/>
      <c r="D8869" s="3"/>
    </row>
    <row r="8870" spans="1:4">
      <c r="A8870" s="3"/>
      <c r="D8870" s="3"/>
    </row>
    <row r="8871" spans="1:4">
      <c r="A8871" s="3"/>
      <c r="D8871" s="3"/>
    </row>
    <row r="8872" spans="1:4">
      <c r="A8872" s="3"/>
      <c r="D8872" s="3"/>
    </row>
    <row r="8873" spans="1:4">
      <c r="A8873" s="3"/>
      <c r="D8873" s="3"/>
    </row>
    <row r="8874" spans="1:4">
      <c r="A8874" s="3"/>
      <c r="D8874" s="3"/>
    </row>
    <row r="8875" spans="1:4">
      <c r="A8875" s="3"/>
      <c r="D8875" s="3"/>
    </row>
    <row r="8876" spans="1:4">
      <c r="A8876" s="3"/>
      <c r="D8876" s="3"/>
    </row>
    <row r="8877" spans="1:4">
      <c r="A8877" s="3"/>
      <c r="D8877" s="3"/>
    </row>
    <row r="8878" spans="1:4">
      <c r="A8878" s="3"/>
      <c r="D8878" s="3"/>
    </row>
    <row r="8879" spans="1:4">
      <c r="A8879" s="3"/>
      <c r="D8879" s="3"/>
    </row>
    <row r="8880" spans="1:4">
      <c r="A8880" s="3"/>
      <c r="D8880" s="3"/>
    </row>
    <row r="8881" spans="1:4">
      <c r="A8881" s="3"/>
      <c r="D8881" s="3"/>
    </row>
    <row r="8882" spans="1:4">
      <c r="A8882" s="3"/>
      <c r="D8882" s="3"/>
    </row>
    <row r="8883" spans="1:4">
      <c r="A8883" s="3"/>
      <c r="D8883" s="3"/>
    </row>
    <row r="8884" spans="1:4">
      <c r="A8884" s="3"/>
      <c r="D8884" s="3"/>
    </row>
    <row r="8885" spans="1:4">
      <c r="A8885" s="3"/>
      <c r="D8885" s="3"/>
    </row>
    <row r="8886" spans="1:4">
      <c r="A8886" s="3"/>
      <c r="D8886" s="3"/>
    </row>
    <row r="8887" spans="1:4">
      <c r="A8887" s="3"/>
      <c r="D8887" s="3"/>
    </row>
    <row r="8888" spans="1:4">
      <c r="A8888" s="3"/>
      <c r="D8888" s="3"/>
    </row>
    <row r="8889" spans="1:4">
      <c r="A8889" s="3"/>
      <c r="D8889" s="3"/>
    </row>
    <row r="8890" spans="1:4">
      <c r="A8890" s="3"/>
      <c r="D8890" s="3"/>
    </row>
    <row r="8891" spans="1:4">
      <c r="A8891" s="3"/>
      <c r="D8891" s="3"/>
    </row>
    <row r="8892" spans="1:4">
      <c r="A8892" s="3"/>
      <c r="D8892" s="3"/>
    </row>
    <row r="8893" spans="1:4">
      <c r="A8893" s="3"/>
      <c r="D8893" s="3"/>
    </row>
    <row r="8894" spans="1:4">
      <c r="A8894" s="3"/>
      <c r="D8894" s="3"/>
    </row>
    <row r="8895" spans="1:4">
      <c r="A8895" s="3"/>
      <c r="D8895" s="3"/>
    </row>
    <row r="8896" spans="1:4">
      <c r="A8896" s="3"/>
      <c r="D8896" s="3"/>
    </row>
    <row r="8897" spans="1:4">
      <c r="A8897" s="3"/>
      <c r="D8897" s="3"/>
    </row>
    <row r="8898" spans="1:4">
      <c r="A8898" s="3"/>
      <c r="D8898" s="3"/>
    </row>
    <row r="8899" spans="1:4">
      <c r="A8899" s="3"/>
      <c r="D8899" s="3"/>
    </row>
    <row r="8900" spans="1:4">
      <c r="A8900" s="3"/>
      <c r="D8900" s="3"/>
    </row>
    <row r="8901" spans="1:4">
      <c r="A8901" s="3"/>
      <c r="D8901" s="3"/>
    </row>
    <row r="8902" spans="1:4">
      <c r="A8902" s="3"/>
      <c r="D8902" s="3"/>
    </row>
    <row r="8903" spans="1:4">
      <c r="A8903" s="3"/>
      <c r="D8903" s="3"/>
    </row>
    <row r="8904" spans="1:4">
      <c r="A8904" s="3"/>
      <c r="D8904" s="3"/>
    </row>
    <row r="8905" spans="1:4">
      <c r="A8905" s="3"/>
      <c r="D8905" s="3"/>
    </row>
    <row r="8906" spans="1:4">
      <c r="A8906" s="3"/>
      <c r="D8906" s="3"/>
    </row>
    <row r="8907" spans="1:4">
      <c r="A8907" s="3"/>
      <c r="D8907" s="3"/>
    </row>
    <row r="8908" spans="1:4">
      <c r="A8908" s="3"/>
      <c r="D8908" s="3"/>
    </row>
    <row r="8909" spans="1:4">
      <c r="A8909" s="3"/>
      <c r="D8909" s="3"/>
    </row>
    <row r="8910" spans="1:4">
      <c r="A8910" s="3"/>
      <c r="D8910" s="3"/>
    </row>
    <row r="8911" spans="1:4">
      <c r="A8911" s="3"/>
      <c r="D8911" s="3"/>
    </row>
    <row r="8912" spans="1:4">
      <c r="A8912" s="3"/>
      <c r="D8912" s="3"/>
    </row>
    <row r="8913" spans="1:4">
      <c r="A8913" s="3"/>
      <c r="D8913" s="3"/>
    </row>
    <row r="8914" spans="1:4">
      <c r="A8914" s="3"/>
      <c r="D8914" s="3"/>
    </row>
    <row r="8915" spans="1:4">
      <c r="A8915" s="3"/>
      <c r="D8915" s="3"/>
    </row>
    <row r="8916" spans="1:4">
      <c r="A8916" s="3"/>
      <c r="D8916" s="3"/>
    </row>
    <row r="8917" spans="1:4">
      <c r="A8917" s="3"/>
      <c r="D8917" s="3"/>
    </row>
    <row r="8918" spans="1:4">
      <c r="A8918" s="3"/>
      <c r="D8918" s="3"/>
    </row>
    <row r="8919" spans="1:4">
      <c r="A8919" s="3"/>
      <c r="D8919" s="3"/>
    </row>
    <row r="8920" spans="1:4">
      <c r="A8920" s="3"/>
      <c r="D8920" s="3"/>
    </row>
    <row r="8921" spans="1:4">
      <c r="A8921" s="3"/>
      <c r="D8921" s="3"/>
    </row>
    <row r="8922" spans="1:4">
      <c r="A8922" s="3"/>
      <c r="D8922" s="3"/>
    </row>
    <row r="8923" spans="1:4">
      <c r="A8923" s="3"/>
      <c r="D8923" s="3"/>
    </row>
    <row r="8924" spans="1:4">
      <c r="A8924" s="3"/>
      <c r="D8924" s="3"/>
    </row>
    <row r="8925" spans="1:4">
      <c r="A8925" s="3"/>
      <c r="D8925" s="3"/>
    </row>
    <row r="8926" spans="1:4">
      <c r="A8926" s="3"/>
      <c r="D8926" s="3"/>
    </row>
    <row r="8927" spans="1:4">
      <c r="A8927" s="3"/>
      <c r="D8927" s="3"/>
    </row>
    <row r="8928" spans="1:4">
      <c r="A8928" s="3"/>
      <c r="D8928" s="3"/>
    </row>
    <row r="8929" spans="1:4">
      <c r="A8929" s="3"/>
      <c r="D8929" s="3"/>
    </row>
    <row r="8930" spans="1:4">
      <c r="A8930" s="3"/>
      <c r="D8930" s="3"/>
    </row>
    <row r="8931" spans="1:4">
      <c r="A8931" s="3"/>
      <c r="D8931" s="3"/>
    </row>
    <row r="8932" spans="1:4">
      <c r="A8932" s="3"/>
      <c r="D8932" s="3"/>
    </row>
    <row r="8933" spans="1:4">
      <c r="A8933" s="3"/>
      <c r="D8933" s="3"/>
    </row>
    <row r="8934" spans="1:4">
      <c r="A8934" s="3"/>
      <c r="D8934" s="3"/>
    </row>
    <row r="8935" spans="1:4">
      <c r="A8935" s="3"/>
      <c r="D8935" s="3"/>
    </row>
    <row r="8936" spans="1:4">
      <c r="A8936" s="3"/>
      <c r="D8936" s="3"/>
    </row>
    <row r="8937" spans="1:4">
      <c r="A8937" s="3"/>
      <c r="D8937" s="3"/>
    </row>
    <row r="8938" spans="1:4">
      <c r="A8938" s="3"/>
      <c r="D8938" s="3"/>
    </row>
    <row r="8939" spans="1:4">
      <c r="A8939" s="3"/>
      <c r="D8939" s="3"/>
    </row>
    <row r="8940" spans="1:4">
      <c r="A8940" s="3"/>
      <c r="D8940" s="3"/>
    </row>
    <row r="8941" spans="1:4">
      <c r="A8941" s="3"/>
      <c r="D8941" s="3"/>
    </row>
    <row r="8942" spans="1:4">
      <c r="A8942" s="3"/>
      <c r="D8942" s="3"/>
    </row>
    <row r="8943" spans="1:4">
      <c r="A8943" s="3"/>
      <c r="D8943" s="3"/>
    </row>
    <row r="8944" spans="1:4">
      <c r="A8944" s="3"/>
      <c r="D8944" s="3"/>
    </row>
    <row r="8945" spans="1:4">
      <c r="A8945" s="3"/>
      <c r="D8945" s="3"/>
    </row>
    <row r="8946" spans="1:4">
      <c r="A8946" s="3"/>
      <c r="D8946" s="3"/>
    </row>
    <row r="8947" spans="1:4">
      <c r="A8947" s="3"/>
      <c r="D8947" s="3"/>
    </row>
    <row r="8948" spans="1:4">
      <c r="A8948" s="3"/>
      <c r="D8948" s="3"/>
    </row>
    <row r="8949" spans="1:4">
      <c r="A8949" s="3"/>
      <c r="D8949" s="3"/>
    </row>
    <row r="8950" spans="1:4">
      <c r="A8950" s="3"/>
      <c r="D8950" s="3"/>
    </row>
    <row r="8951" spans="1:4">
      <c r="A8951" s="3"/>
      <c r="D8951" s="3"/>
    </row>
    <row r="8952" spans="1:4">
      <c r="A8952" s="3"/>
      <c r="D8952" s="3"/>
    </row>
    <row r="8953" spans="1:4">
      <c r="A8953" s="3"/>
      <c r="D8953" s="3"/>
    </row>
    <row r="8954" spans="1:4">
      <c r="A8954" s="3"/>
      <c r="D8954" s="3"/>
    </row>
    <row r="8955" spans="1:4">
      <c r="A8955" s="3"/>
      <c r="D8955" s="3"/>
    </row>
    <row r="8956" spans="1:4">
      <c r="A8956" s="3"/>
      <c r="D8956" s="3"/>
    </row>
    <row r="8957" spans="1:4">
      <c r="A8957" s="3"/>
      <c r="D8957" s="3"/>
    </row>
    <row r="8958" spans="1:4">
      <c r="A8958" s="3"/>
      <c r="D8958" s="3"/>
    </row>
    <row r="8959" spans="1:4">
      <c r="A8959" s="3"/>
      <c r="D8959" s="3"/>
    </row>
    <row r="8960" spans="1:4">
      <c r="A8960" s="3"/>
      <c r="D8960" s="3"/>
    </row>
    <row r="8961" spans="1:4">
      <c r="A8961" s="3"/>
      <c r="D8961" s="3"/>
    </row>
    <row r="8962" spans="1:4">
      <c r="A8962" s="3"/>
      <c r="D8962" s="3"/>
    </row>
    <row r="8963" spans="1:4">
      <c r="A8963" s="3"/>
      <c r="D8963" s="3"/>
    </row>
    <row r="8964" spans="1:4">
      <c r="A8964" s="3"/>
      <c r="D8964" s="3"/>
    </row>
    <row r="8965" spans="1:4">
      <c r="A8965" s="3"/>
      <c r="D8965" s="3"/>
    </row>
    <row r="8966" spans="1:4">
      <c r="A8966" s="3"/>
      <c r="D8966" s="3"/>
    </row>
    <row r="8967" spans="1:4">
      <c r="A8967" s="3"/>
      <c r="D8967" s="3"/>
    </row>
    <row r="8968" spans="1:4">
      <c r="A8968" s="3"/>
      <c r="D8968" s="3"/>
    </row>
    <row r="8969" spans="1:4">
      <c r="A8969" s="3"/>
      <c r="D8969" s="3"/>
    </row>
    <row r="8970" spans="1:4">
      <c r="A8970" s="3"/>
      <c r="D8970" s="3"/>
    </row>
    <row r="8971" spans="1:4">
      <c r="A8971" s="3"/>
      <c r="D8971" s="3"/>
    </row>
    <row r="8972" spans="1:4">
      <c r="A8972" s="3"/>
      <c r="D8972" s="3"/>
    </row>
    <row r="8973" spans="1:4">
      <c r="A8973" s="3"/>
      <c r="D8973" s="3"/>
    </row>
    <row r="8974" spans="1:4">
      <c r="A8974" s="3"/>
      <c r="D8974" s="3"/>
    </row>
    <row r="8975" spans="1:4">
      <c r="A8975" s="3"/>
      <c r="D8975" s="3"/>
    </row>
    <row r="8976" spans="1:4">
      <c r="A8976" s="3"/>
      <c r="D8976" s="3"/>
    </row>
    <row r="8977" spans="1:4">
      <c r="A8977" s="3"/>
      <c r="D8977" s="3"/>
    </row>
    <row r="8978" spans="1:4">
      <c r="A8978" s="3"/>
      <c r="D8978" s="3"/>
    </row>
    <row r="8979" spans="1:4">
      <c r="A8979" s="3"/>
      <c r="D8979" s="3"/>
    </row>
    <row r="8980" spans="1:4">
      <c r="A8980" s="3"/>
      <c r="D8980" s="3"/>
    </row>
    <row r="8981" spans="1:4">
      <c r="A8981" s="3"/>
      <c r="D8981" s="3"/>
    </row>
    <row r="8982" spans="1:4">
      <c r="A8982" s="3"/>
      <c r="D8982" s="3"/>
    </row>
    <row r="8983" spans="1:4">
      <c r="A8983" s="3"/>
      <c r="D8983" s="3"/>
    </row>
    <row r="8984" spans="1:4">
      <c r="A8984" s="3"/>
      <c r="D8984" s="3"/>
    </row>
    <row r="8985" spans="1:4">
      <c r="A8985" s="3"/>
      <c r="D8985" s="3"/>
    </row>
    <row r="8986" spans="1:4">
      <c r="A8986" s="3"/>
      <c r="D8986" s="3"/>
    </row>
    <row r="8987" spans="1:4">
      <c r="A8987" s="3"/>
      <c r="D8987" s="3"/>
    </row>
    <row r="8988" spans="1:4">
      <c r="A8988" s="3"/>
      <c r="D8988" s="3"/>
    </row>
    <row r="8989" spans="1:4">
      <c r="A8989" s="3"/>
      <c r="D8989" s="3"/>
    </row>
    <row r="8990" spans="1:4">
      <c r="A8990" s="3"/>
      <c r="D8990" s="3"/>
    </row>
    <row r="8991" spans="1:4">
      <c r="A8991" s="3"/>
      <c r="D8991" s="3"/>
    </row>
    <row r="8992" spans="1:4">
      <c r="A8992" s="3"/>
      <c r="D8992" s="3"/>
    </row>
    <row r="8993" spans="1:4">
      <c r="A8993" s="3"/>
      <c r="D8993" s="3"/>
    </row>
    <row r="8994" spans="1:4">
      <c r="A8994" s="3"/>
      <c r="D8994" s="3"/>
    </row>
    <row r="8995" spans="1:4">
      <c r="A8995" s="3"/>
      <c r="D8995" s="3"/>
    </row>
    <row r="8996" spans="1:4">
      <c r="A8996" s="3"/>
      <c r="D8996" s="3"/>
    </row>
    <row r="8997" spans="1:4">
      <c r="A8997" s="3"/>
      <c r="D8997" s="3"/>
    </row>
    <row r="8998" spans="1:4">
      <c r="A8998" s="3"/>
      <c r="D8998" s="3"/>
    </row>
    <row r="8999" spans="1:4">
      <c r="A8999" s="3"/>
      <c r="D8999" s="3"/>
    </row>
    <row r="9000" spans="1:4">
      <c r="A9000" s="3"/>
      <c r="D9000" s="3"/>
    </row>
    <row r="9001" spans="1:4">
      <c r="A9001" s="3"/>
      <c r="D9001" s="3"/>
    </row>
    <row r="9002" spans="1:4">
      <c r="A9002" s="3"/>
      <c r="D9002" s="3"/>
    </row>
    <row r="9003" spans="1:4">
      <c r="A9003" s="3"/>
      <c r="D9003" s="3"/>
    </row>
    <row r="9004" spans="1:4">
      <c r="A9004" s="3"/>
      <c r="D9004" s="3"/>
    </row>
    <row r="9005" spans="1:4">
      <c r="A9005" s="3"/>
      <c r="D9005" s="3"/>
    </row>
    <row r="9006" spans="1:4">
      <c r="A9006" s="3"/>
      <c r="D9006" s="3"/>
    </row>
    <row r="9007" spans="1:4">
      <c r="A9007" s="3"/>
      <c r="D9007" s="3"/>
    </row>
    <row r="9008" spans="1:4">
      <c r="A9008" s="3"/>
      <c r="D9008" s="3"/>
    </row>
    <row r="9009" spans="1:4">
      <c r="A9009" s="3"/>
      <c r="D9009" s="3"/>
    </row>
    <row r="9010" spans="1:4">
      <c r="A9010" s="3"/>
      <c r="D9010" s="3"/>
    </row>
    <row r="9011" spans="1:4">
      <c r="A9011" s="3"/>
      <c r="D9011" s="3"/>
    </row>
    <row r="9012" spans="1:4">
      <c r="A9012" s="3"/>
      <c r="D9012" s="3"/>
    </row>
    <row r="9013" spans="1:4">
      <c r="A9013" s="3"/>
      <c r="D9013" s="3"/>
    </row>
    <row r="9014" spans="1:4">
      <c r="A9014" s="3"/>
      <c r="D9014" s="3"/>
    </row>
    <row r="9015" spans="1:4">
      <c r="A9015" s="3"/>
      <c r="D9015" s="3"/>
    </row>
    <row r="9016" spans="1:4">
      <c r="A9016" s="3"/>
      <c r="D9016" s="3"/>
    </row>
    <row r="9017" spans="1:4">
      <c r="A9017" s="3"/>
      <c r="D9017" s="3"/>
    </row>
    <row r="9018" spans="1:4">
      <c r="A9018" s="3"/>
      <c r="D9018" s="3"/>
    </row>
    <row r="9019" spans="1:4">
      <c r="A9019" s="3"/>
      <c r="D9019" s="3"/>
    </row>
    <row r="9020" spans="1:4">
      <c r="A9020" s="3"/>
      <c r="D9020" s="3"/>
    </row>
    <row r="9021" spans="1:4">
      <c r="A9021" s="3"/>
      <c r="D9021" s="3"/>
    </row>
    <row r="9022" spans="1:4">
      <c r="A9022" s="3"/>
      <c r="D9022" s="3"/>
    </row>
    <row r="9023" spans="1:4">
      <c r="A9023" s="3"/>
      <c r="D9023" s="3"/>
    </row>
    <row r="9024" spans="1:4">
      <c r="A9024" s="3"/>
      <c r="D9024" s="3"/>
    </row>
    <row r="9025" spans="1:4">
      <c r="A9025" s="3"/>
      <c r="D9025" s="3"/>
    </row>
    <row r="9026" spans="1:4">
      <c r="A9026" s="3"/>
      <c r="D9026" s="3"/>
    </row>
    <row r="9027" spans="1:4">
      <c r="A9027" s="3"/>
      <c r="D9027" s="3"/>
    </row>
    <row r="9028" spans="1:4">
      <c r="A9028" s="3"/>
      <c r="D9028" s="3"/>
    </row>
    <row r="9029" spans="1:4">
      <c r="A9029" s="3"/>
      <c r="D9029" s="3"/>
    </row>
    <row r="9030" spans="1:4">
      <c r="A9030" s="3"/>
      <c r="D9030" s="3"/>
    </row>
    <row r="9031" spans="1:4">
      <c r="A9031" s="3"/>
      <c r="D9031" s="3"/>
    </row>
    <row r="9032" spans="1:4">
      <c r="A9032" s="3"/>
      <c r="D9032" s="3"/>
    </row>
    <row r="9033" spans="1:4">
      <c r="A9033" s="3"/>
      <c r="D9033" s="3"/>
    </row>
    <row r="9034" spans="1:4">
      <c r="A9034" s="3"/>
      <c r="D9034" s="3"/>
    </row>
    <row r="9035" spans="1:4">
      <c r="A9035" s="3"/>
      <c r="D9035" s="3"/>
    </row>
    <row r="9036" spans="1:4">
      <c r="A9036" s="3"/>
      <c r="D9036" s="3"/>
    </row>
    <row r="9037" spans="1:4">
      <c r="A9037" s="3"/>
      <c r="D9037" s="3"/>
    </row>
    <row r="9038" spans="1:4">
      <c r="A9038" s="3"/>
      <c r="D9038" s="3"/>
    </row>
    <row r="9039" spans="1:4">
      <c r="A9039" s="3"/>
      <c r="D9039" s="3"/>
    </row>
    <row r="9040" spans="1:4">
      <c r="A9040" s="3"/>
      <c r="D9040" s="3"/>
    </row>
    <row r="9041" spans="1:4">
      <c r="A9041" s="3"/>
      <c r="D9041" s="3"/>
    </row>
    <row r="9042" spans="1:4">
      <c r="A9042" s="3"/>
      <c r="D9042" s="3"/>
    </row>
    <row r="9043" spans="1:4">
      <c r="A9043" s="3"/>
      <c r="D9043" s="3"/>
    </row>
    <row r="9044" spans="1:4">
      <c r="A9044" s="3"/>
      <c r="D9044" s="3"/>
    </row>
    <row r="9045" spans="1:4">
      <c r="A9045" s="3"/>
      <c r="D9045" s="3"/>
    </row>
    <row r="9046" spans="1:4">
      <c r="A9046" s="3"/>
      <c r="D9046" s="3"/>
    </row>
    <row r="9047" spans="1:4">
      <c r="A9047" s="3"/>
      <c r="D9047" s="3"/>
    </row>
    <row r="9048" spans="1:4">
      <c r="A9048" s="3"/>
      <c r="D9048" s="3"/>
    </row>
    <row r="9049" spans="1:4">
      <c r="A9049" s="3"/>
      <c r="D9049" s="3"/>
    </row>
    <row r="9050" spans="1:4">
      <c r="A9050" s="3"/>
      <c r="D9050" s="3"/>
    </row>
    <row r="9051" spans="1:4">
      <c r="A9051" s="3"/>
      <c r="D9051" s="3"/>
    </row>
    <row r="9052" spans="1:4">
      <c r="A9052" s="3"/>
      <c r="D9052" s="3"/>
    </row>
    <row r="9053" spans="1:4">
      <c r="A9053" s="3"/>
      <c r="D9053" s="3"/>
    </row>
    <row r="9054" spans="1:4">
      <c r="A9054" s="3"/>
      <c r="D9054" s="3"/>
    </row>
    <row r="9055" spans="1:4">
      <c r="A9055" s="3"/>
      <c r="D9055" s="3"/>
    </row>
    <row r="9056" spans="1:4">
      <c r="A9056" s="3"/>
      <c r="D9056" s="3"/>
    </row>
    <row r="9057" spans="1:4">
      <c r="A9057" s="3"/>
      <c r="D9057" s="3"/>
    </row>
    <row r="9058" spans="1:4">
      <c r="A9058" s="3"/>
      <c r="D9058" s="3"/>
    </row>
    <row r="9059" spans="1:4">
      <c r="A9059" s="3"/>
      <c r="D9059" s="3"/>
    </row>
    <row r="9060" spans="1:4">
      <c r="A9060" s="3"/>
      <c r="D9060" s="3"/>
    </row>
    <row r="9061" spans="1:4">
      <c r="A9061" s="3"/>
      <c r="D9061" s="3"/>
    </row>
    <row r="9062" spans="1:4">
      <c r="A9062" s="3"/>
      <c r="D9062" s="3"/>
    </row>
    <row r="9063" spans="1:4">
      <c r="A9063" s="3"/>
      <c r="D9063" s="3"/>
    </row>
    <row r="9064" spans="1:4">
      <c r="A9064" s="3"/>
      <c r="D9064" s="3"/>
    </row>
    <row r="9065" spans="1:4">
      <c r="A9065" s="3"/>
      <c r="D9065" s="3"/>
    </row>
    <row r="9066" spans="1:4">
      <c r="A9066" s="3"/>
      <c r="D9066" s="3"/>
    </row>
    <row r="9067" spans="1:4">
      <c r="A9067" s="3"/>
      <c r="D9067" s="3"/>
    </row>
    <row r="9068" spans="1:4">
      <c r="A9068" s="3"/>
      <c r="D9068" s="3"/>
    </row>
    <row r="9069" spans="1:4">
      <c r="A9069" s="3"/>
      <c r="D9069" s="3"/>
    </row>
    <row r="9070" spans="1:4">
      <c r="A9070" s="3"/>
      <c r="D9070" s="3"/>
    </row>
    <row r="9071" spans="1:4">
      <c r="A9071" s="3"/>
      <c r="D9071" s="3"/>
    </row>
    <row r="9072" spans="1:4">
      <c r="A9072" s="3"/>
      <c r="D9072" s="3"/>
    </row>
    <row r="9073" spans="1:4">
      <c r="A9073" s="3"/>
      <c r="D9073" s="3"/>
    </row>
    <row r="9074" spans="1:4">
      <c r="A9074" s="3"/>
      <c r="D9074" s="3"/>
    </row>
    <row r="9075" spans="1:4">
      <c r="A9075" s="3"/>
      <c r="D9075" s="3"/>
    </row>
    <row r="9076" spans="1:4">
      <c r="A9076" s="3"/>
      <c r="D9076" s="3"/>
    </row>
    <row r="9077" spans="1:4">
      <c r="A9077" s="3"/>
      <c r="D9077" s="3"/>
    </row>
    <row r="9078" spans="1:4">
      <c r="A9078" s="3"/>
      <c r="D9078" s="3"/>
    </row>
    <row r="9079" spans="1:4">
      <c r="A9079" s="3"/>
      <c r="D9079" s="3"/>
    </row>
    <row r="9080" spans="1:4">
      <c r="A9080" s="3"/>
      <c r="D9080" s="3"/>
    </row>
    <row r="9081" spans="1:4">
      <c r="A9081" s="3"/>
      <c r="D9081" s="3"/>
    </row>
    <row r="9082" spans="1:4">
      <c r="A9082" s="3"/>
      <c r="D9082" s="3"/>
    </row>
    <row r="9083" spans="1:4">
      <c r="A9083" s="3"/>
      <c r="D9083" s="3"/>
    </row>
    <row r="9084" spans="1:4">
      <c r="A9084" s="3"/>
      <c r="D9084" s="3"/>
    </row>
    <row r="9085" spans="1:4">
      <c r="A9085" s="3"/>
      <c r="D9085" s="3"/>
    </row>
    <row r="9086" spans="1:4">
      <c r="A9086" s="3"/>
      <c r="D9086" s="3"/>
    </row>
    <row r="9087" spans="1:4">
      <c r="A9087" s="3"/>
      <c r="D9087" s="3"/>
    </row>
    <row r="9088" spans="1:4">
      <c r="A9088" s="3"/>
      <c r="D9088" s="3"/>
    </row>
    <row r="9089" spans="1:4">
      <c r="A9089" s="3"/>
      <c r="D9089" s="3"/>
    </row>
    <row r="9090" spans="1:4">
      <c r="A9090" s="3"/>
      <c r="D9090" s="3"/>
    </row>
    <row r="9091" spans="1:4">
      <c r="A9091" s="3"/>
      <c r="D9091" s="3"/>
    </row>
    <row r="9092" spans="1:4">
      <c r="A9092" s="3"/>
      <c r="D9092" s="3"/>
    </row>
    <row r="9093" spans="1:4">
      <c r="A9093" s="3"/>
      <c r="D9093" s="3"/>
    </row>
    <row r="9094" spans="1:4">
      <c r="A9094" s="3"/>
      <c r="D9094" s="3"/>
    </row>
    <row r="9095" spans="1:4">
      <c r="A9095" s="3"/>
      <c r="D9095" s="3"/>
    </row>
    <row r="9096" spans="1:4">
      <c r="A9096" s="3"/>
      <c r="D9096" s="3"/>
    </row>
    <row r="9097" spans="1:4">
      <c r="A9097" s="3"/>
      <c r="D9097" s="3"/>
    </row>
    <row r="9098" spans="1:4">
      <c r="A9098" s="3"/>
      <c r="D9098" s="3"/>
    </row>
    <row r="9099" spans="1:4">
      <c r="A9099" s="3"/>
      <c r="D9099" s="3"/>
    </row>
    <row r="9100" spans="1:4">
      <c r="A9100" s="3"/>
      <c r="D9100" s="3"/>
    </row>
    <row r="9101" spans="1:4">
      <c r="A9101" s="3"/>
      <c r="D9101" s="3"/>
    </row>
    <row r="9102" spans="1:4">
      <c r="A9102" s="3"/>
      <c r="D9102" s="3"/>
    </row>
    <row r="9103" spans="1:4">
      <c r="A9103" s="3"/>
      <c r="D9103" s="3"/>
    </row>
    <row r="9104" spans="1:4">
      <c r="A9104" s="3"/>
      <c r="D9104" s="3"/>
    </row>
    <row r="9105" spans="1:4">
      <c r="A9105" s="3"/>
      <c r="D9105" s="3"/>
    </row>
    <row r="9106" spans="1:4">
      <c r="A9106" s="3"/>
      <c r="D9106" s="3"/>
    </row>
    <row r="9107" spans="1:4">
      <c r="A9107" s="3"/>
      <c r="D9107" s="3"/>
    </row>
    <row r="9108" spans="1:4">
      <c r="A9108" s="3"/>
      <c r="D9108" s="3"/>
    </row>
    <row r="9109" spans="1:4">
      <c r="A9109" s="3"/>
      <c r="D9109" s="3"/>
    </row>
    <row r="9110" spans="1:4">
      <c r="A9110" s="3"/>
      <c r="D9110" s="3"/>
    </row>
    <row r="9111" spans="1:4">
      <c r="A9111" s="3"/>
      <c r="D9111" s="3"/>
    </row>
    <row r="9112" spans="1:4">
      <c r="A9112" s="3"/>
      <c r="D9112" s="3"/>
    </row>
    <row r="9113" spans="1:4">
      <c r="A9113" s="3"/>
      <c r="D9113" s="3"/>
    </row>
    <row r="9114" spans="1:4">
      <c r="A9114" s="3"/>
      <c r="D9114" s="3"/>
    </row>
    <row r="9115" spans="1:4">
      <c r="A9115" s="3"/>
      <c r="D9115" s="3"/>
    </row>
    <row r="9116" spans="1:4">
      <c r="A9116" s="3"/>
      <c r="D9116" s="3"/>
    </row>
    <row r="9117" spans="1:4">
      <c r="A9117" s="3"/>
      <c r="D9117" s="3"/>
    </row>
    <row r="9118" spans="1:4">
      <c r="A9118" s="3"/>
      <c r="D9118" s="3"/>
    </row>
    <row r="9119" spans="1:4">
      <c r="A9119" s="3"/>
      <c r="D9119" s="3"/>
    </row>
    <row r="9120" spans="1:4">
      <c r="A9120" s="3"/>
      <c r="D9120" s="3"/>
    </row>
    <row r="9121" spans="1:4">
      <c r="A9121" s="3"/>
      <c r="D9121" s="3"/>
    </row>
    <row r="9122" spans="1:4">
      <c r="A9122" s="3"/>
      <c r="D9122" s="3"/>
    </row>
    <row r="9123" spans="1:4">
      <c r="A9123" s="3"/>
      <c r="D9123" s="3"/>
    </row>
    <row r="9124" spans="1:4">
      <c r="A9124" s="3"/>
      <c r="D9124" s="3"/>
    </row>
    <row r="9125" spans="1:4">
      <c r="A9125" s="3"/>
      <c r="D9125" s="3"/>
    </row>
    <row r="9126" spans="1:4">
      <c r="A9126" s="3"/>
      <c r="D9126" s="3"/>
    </row>
    <row r="9127" spans="1:4">
      <c r="A9127" s="3"/>
      <c r="D9127" s="3"/>
    </row>
    <row r="9128" spans="1:4">
      <c r="A9128" s="3"/>
      <c r="D9128" s="3"/>
    </row>
    <row r="9129" spans="1:4">
      <c r="A9129" s="3"/>
      <c r="D9129" s="3"/>
    </row>
    <row r="9130" spans="1:4">
      <c r="A9130" s="3"/>
      <c r="D9130" s="3"/>
    </row>
    <row r="9131" spans="1:4">
      <c r="A9131" s="3"/>
      <c r="D9131" s="3"/>
    </row>
    <row r="9132" spans="1:4">
      <c r="A9132" s="3"/>
      <c r="D9132" s="3"/>
    </row>
    <row r="9133" spans="1:4">
      <c r="A9133" s="3"/>
      <c r="D9133" s="3"/>
    </row>
    <row r="9134" spans="1:4">
      <c r="A9134" s="3"/>
      <c r="D9134" s="3"/>
    </row>
    <row r="9135" spans="1:4">
      <c r="A9135" s="3"/>
      <c r="D9135" s="3"/>
    </row>
    <row r="9136" spans="1:4">
      <c r="A9136" s="3"/>
      <c r="D9136" s="3"/>
    </row>
    <row r="9137" spans="1:4">
      <c r="A9137" s="3"/>
      <c r="D9137" s="3"/>
    </row>
    <row r="9138" spans="1:4">
      <c r="A9138" s="3"/>
      <c r="D9138" s="3"/>
    </row>
    <row r="9139" spans="1:4">
      <c r="A9139" s="3"/>
      <c r="D9139" s="3"/>
    </row>
    <row r="9140" spans="1:4">
      <c r="A9140" s="3"/>
      <c r="D9140" s="3"/>
    </row>
    <row r="9141" spans="1:4">
      <c r="A9141" s="3"/>
      <c r="D9141" s="3"/>
    </row>
    <row r="9142" spans="1:4">
      <c r="A9142" s="3"/>
      <c r="D9142" s="3"/>
    </row>
    <row r="9143" spans="1:4">
      <c r="A9143" s="3"/>
      <c r="D9143" s="3"/>
    </row>
    <row r="9144" spans="1:4">
      <c r="A9144" s="3"/>
      <c r="D9144" s="3"/>
    </row>
    <row r="9145" spans="1:4">
      <c r="A9145" s="3"/>
      <c r="D9145" s="3"/>
    </row>
    <row r="9146" spans="1:4">
      <c r="A9146" s="3"/>
      <c r="D9146" s="3"/>
    </row>
    <row r="9147" spans="1:4">
      <c r="A9147" s="3"/>
      <c r="D9147" s="3"/>
    </row>
    <row r="9148" spans="1:4">
      <c r="A9148" s="3"/>
      <c r="D9148" s="3"/>
    </row>
    <row r="9149" spans="1:4">
      <c r="A9149" s="3"/>
      <c r="D9149" s="3"/>
    </row>
    <row r="9150" spans="1:4">
      <c r="A9150" s="3"/>
      <c r="D9150" s="3"/>
    </row>
    <row r="9151" spans="1:4">
      <c r="A9151" s="3"/>
      <c r="D9151" s="3"/>
    </row>
    <row r="9152" spans="1:4">
      <c r="A9152" s="3"/>
      <c r="D9152" s="3"/>
    </row>
    <row r="9153" spans="1:4">
      <c r="A9153" s="3"/>
      <c r="D9153" s="3"/>
    </row>
    <row r="9154" spans="1:4">
      <c r="A9154" s="3"/>
      <c r="D9154" s="3"/>
    </row>
    <row r="9155" spans="1:4">
      <c r="A9155" s="3"/>
      <c r="D9155" s="3"/>
    </row>
    <row r="9156" spans="1:4">
      <c r="A9156" s="3"/>
      <c r="D9156" s="3"/>
    </row>
    <row r="9157" spans="1:4">
      <c r="A9157" s="3"/>
      <c r="D9157" s="3"/>
    </row>
    <row r="9158" spans="1:4">
      <c r="A9158" s="3"/>
      <c r="D9158" s="3"/>
    </row>
    <row r="9159" spans="1:4">
      <c r="A9159" s="3"/>
      <c r="D9159" s="3"/>
    </row>
    <row r="9160" spans="1:4">
      <c r="A9160" s="3"/>
      <c r="D9160" s="3"/>
    </row>
    <row r="9161" spans="1:4">
      <c r="A9161" s="3"/>
      <c r="D9161" s="3"/>
    </row>
    <row r="9162" spans="1:4">
      <c r="A9162" s="3"/>
      <c r="D9162" s="3"/>
    </row>
    <row r="9163" spans="1:4">
      <c r="A9163" s="3"/>
      <c r="D9163" s="3"/>
    </row>
    <row r="9164" spans="1:4">
      <c r="A9164" s="3"/>
      <c r="D9164" s="3"/>
    </row>
    <row r="9165" spans="1:4">
      <c r="A9165" s="3"/>
      <c r="D9165" s="3"/>
    </row>
    <row r="9166" spans="1:4">
      <c r="A9166" s="3"/>
      <c r="D9166" s="3"/>
    </row>
    <row r="9167" spans="1:4">
      <c r="A9167" s="3"/>
      <c r="D9167" s="3"/>
    </row>
    <row r="9168" spans="1:4">
      <c r="A9168" s="3"/>
      <c r="D9168" s="3"/>
    </row>
    <row r="9169" spans="1:4">
      <c r="A9169" s="3"/>
      <c r="D9169" s="3"/>
    </row>
    <row r="9170" spans="1:4">
      <c r="A9170" s="3"/>
      <c r="D9170" s="3"/>
    </row>
    <row r="9171" spans="1:4">
      <c r="A9171" s="3"/>
      <c r="D9171" s="3"/>
    </row>
    <row r="9172" spans="1:4">
      <c r="A9172" s="3"/>
      <c r="D9172" s="3"/>
    </row>
    <row r="9173" spans="1:4">
      <c r="A9173" s="3"/>
      <c r="D9173" s="3"/>
    </row>
    <row r="9174" spans="1:4">
      <c r="A9174" s="3"/>
      <c r="D9174" s="3"/>
    </row>
    <row r="9175" spans="1:4">
      <c r="A9175" s="3"/>
      <c r="D9175" s="3"/>
    </row>
    <row r="9176" spans="1:4">
      <c r="A9176" s="3"/>
      <c r="D9176" s="3"/>
    </row>
    <row r="9177" spans="1:4">
      <c r="A9177" s="3"/>
      <c r="D9177" s="3"/>
    </row>
    <row r="9178" spans="1:4">
      <c r="A9178" s="3"/>
      <c r="D9178" s="3"/>
    </row>
    <row r="9179" spans="1:4">
      <c r="A9179" s="3"/>
      <c r="D9179" s="3"/>
    </row>
    <row r="9180" spans="1:4">
      <c r="A9180" s="3"/>
      <c r="D9180" s="3"/>
    </row>
    <row r="9181" spans="1:4">
      <c r="A9181" s="3"/>
      <c r="D9181" s="3"/>
    </row>
    <row r="9182" spans="1:4">
      <c r="A9182" s="3"/>
      <c r="D9182" s="3"/>
    </row>
    <row r="9183" spans="1:4">
      <c r="A9183" s="3"/>
      <c r="D9183" s="3"/>
    </row>
    <row r="9184" spans="1:4">
      <c r="A9184" s="3"/>
      <c r="D9184" s="3"/>
    </row>
    <row r="9185" spans="1:4">
      <c r="A9185" s="3"/>
      <c r="D9185" s="3"/>
    </row>
    <row r="9186" spans="1:4">
      <c r="A9186" s="3"/>
      <c r="D9186" s="3"/>
    </row>
    <row r="9187" spans="1:4">
      <c r="A9187" s="3"/>
      <c r="D9187" s="3"/>
    </row>
    <row r="9188" spans="1:4">
      <c r="A9188" s="3"/>
      <c r="D9188" s="3"/>
    </row>
    <row r="9189" spans="1:4">
      <c r="A9189" s="3"/>
      <c r="D9189" s="3"/>
    </row>
    <row r="9190" spans="1:4">
      <c r="A9190" s="3"/>
      <c r="D9190" s="3"/>
    </row>
    <row r="9191" spans="1:4">
      <c r="A9191" s="3"/>
      <c r="D9191" s="3"/>
    </row>
    <row r="9192" spans="1:4">
      <c r="A9192" s="3"/>
      <c r="D9192" s="3"/>
    </row>
    <row r="9193" spans="1:4">
      <c r="A9193" s="3"/>
      <c r="D9193" s="3"/>
    </row>
    <row r="9194" spans="1:4">
      <c r="A9194" s="3"/>
      <c r="D9194" s="3"/>
    </row>
    <row r="9195" spans="1:4">
      <c r="A9195" s="3"/>
      <c r="D9195" s="3"/>
    </row>
    <row r="9196" spans="1:4">
      <c r="A9196" s="3"/>
      <c r="D9196" s="3"/>
    </row>
    <row r="9197" spans="1:4">
      <c r="A9197" s="3"/>
      <c r="D9197" s="3"/>
    </row>
    <row r="9198" spans="1:4">
      <c r="A9198" s="3"/>
      <c r="D9198" s="3"/>
    </row>
    <row r="9199" spans="1:4">
      <c r="A9199" s="3"/>
      <c r="D9199" s="3"/>
    </row>
    <row r="9200" spans="1:4">
      <c r="A9200" s="3"/>
      <c r="D9200" s="3"/>
    </row>
    <row r="9201" spans="1:4">
      <c r="A9201" s="3"/>
      <c r="D9201" s="3"/>
    </row>
    <row r="9202" spans="1:4">
      <c r="A9202" s="3"/>
      <c r="D9202" s="3"/>
    </row>
    <row r="9203" spans="1:4">
      <c r="A9203" s="3"/>
      <c r="D9203" s="3"/>
    </row>
    <row r="9204" spans="1:4">
      <c r="A9204" s="3"/>
      <c r="D9204" s="3"/>
    </row>
    <row r="9205" spans="1:4">
      <c r="A9205" s="3"/>
      <c r="D9205" s="3"/>
    </row>
    <row r="9206" spans="1:4">
      <c r="A9206" s="3"/>
      <c r="D9206" s="3"/>
    </row>
    <row r="9207" spans="1:4">
      <c r="A9207" s="3"/>
      <c r="D9207" s="3"/>
    </row>
    <row r="9208" spans="1:4">
      <c r="A9208" s="3"/>
      <c r="D9208" s="3"/>
    </row>
    <row r="9209" spans="1:4">
      <c r="A9209" s="3"/>
      <c r="D9209" s="3"/>
    </row>
    <row r="9210" spans="1:4">
      <c r="A9210" s="3"/>
      <c r="D9210" s="3"/>
    </row>
    <row r="9211" spans="1:4">
      <c r="A9211" s="3"/>
      <c r="D9211" s="3"/>
    </row>
    <row r="9212" spans="1:4">
      <c r="A9212" s="3"/>
      <c r="D9212" s="3"/>
    </row>
    <row r="9213" spans="1:4">
      <c r="A9213" s="3"/>
      <c r="D9213" s="3"/>
    </row>
    <row r="9214" spans="1:4">
      <c r="A9214" s="3"/>
      <c r="D9214" s="3"/>
    </row>
    <row r="9215" spans="1:4">
      <c r="A9215" s="3"/>
      <c r="D9215" s="3"/>
    </row>
    <row r="9216" spans="1:4">
      <c r="A9216" s="3"/>
      <c r="D9216" s="3"/>
    </row>
    <row r="9217" spans="1:4">
      <c r="A9217" s="3"/>
      <c r="D9217" s="3"/>
    </row>
    <row r="9218" spans="1:4">
      <c r="A9218" s="3"/>
      <c r="D9218" s="3"/>
    </row>
    <row r="9219" spans="1:4">
      <c r="A9219" s="3"/>
      <c r="D9219" s="3"/>
    </row>
    <row r="9220" spans="1:4">
      <c r="A9220" s="3"/>
      <c r="D9220" s="3"/>
    </row>
    <row r="9221" spans="1:4">
      <c r="A9221" s="3"/>
      <c r="D9221" s="3"/>
    </row>
    <row r="9222" spans="1:4">
      <c r="A9222" s="3"/>
      <c r="D9222" s="3"/>
    </row>
    <row r="9223" spans="1:4">
      <c r="A9223" s="3"/>
      <c r="D9223" s="3"/>
    </row>
    <row r="9224" spans="1:4">
      <c r="A9224" s="3"/>
      <c r="D9224" s="3"/>
    </row>
    <row r="9225" spans="1:4">
      <c r="A9225" s="3"/>
      <c r="D9225" s="3"/>
    </row>
    <row r="9226" spans="1:4">
      <c r="A9226" s="3"/>
      <c r="D9226" s="3"/>
    </row>
    <row r="9227" spans="1:4">
      <c r="A9227" s="3"/>
      <c r="D9227" s="3"/>
    </row>
    <row r="9228" spans="1:4">
      <c r="A9228" s="3"/>
      <c r="D9228" s="3"/>
    </row>
    <row r="9229" spans="1:4">
      <c r="A9229" s="3"/>
      <c r="D9229" s="3"/>
    </row>
    <row r="9230" spans="1:4">
      <c r="A9230" s="3"/>
      <c r="D9230" s="3"/>
    </row>
    <row r="9231" spans="1:4">
      <c r="A9231" s="3"/>
      <c r="D9231" s="3"/>
    </row>
    <row r="9232" spans="1:4">
      <c r="A9232" s="3"/>
      <c r="D9232" s="3"/>
    </row>
    <row r="9233" spans="1:4">
      <c r="A9233" s="3"/>
      <c r="D9233" s="3"/>
    </row>
    <row r="9234" spans="1:4">
      <c r="A9234" s="3"/>
      <c r="D9234" s="3"/>
    </row>
    <row r="9235" spans="1:4">
      <c r="A9235" s="3"/>
      <c r="D9235" s="3"/>
    </row>
    <row r="9236" spans="1:4">
      <c r="A9236" s="3"/>
      <c r="D9236" s="3"/>
    </row>
    <row r="9237" spans="1:4">
      <c r="A9237" s="3"/>
      <c r="D9237" s="3"/>
    </row>
    <row r="9238" spans="1:4">
      <c r="A9238" s="3"/>
      <c r="D9238" s="3"/>
    </row>
    <row r="9239" spans="1:4">
      <c r="A9239" s="3"/>
      <c r="D9239" s="3"/>
    </row>
    <row r="9240" spans="1:4">
      <c r="A9240" s="3"/>
      <c r="D9240" s="3"/>
    </row>
    <row r="9241" spans="1:4">
      <c r="A9241" s="3"/>
      <c r="D9241" s="3"/>
    </row>
    <row r="9242" spans="1:4">
      <c r="A9242" s="3"/>
      <c r="D9242" s="3"/>
    </row>
    <row r="9243" spans="1:4">
      <c r="A9243" s="3"/>
      <c r="D9243" s="3"/>
    </row>
    <row r="9244" spans="1:4">
      <c r="A9244" s="3"/>
      <c r="D9244" s="3"/>
    </row>
    <row r="9245" spans="1:4">
      <c r="A9245" s="3"/>
      <c r="D9245" s="3"/>
    </row>
    <row r="9246" spans="1:4">
      <c r="A9246" s="3"/>
      <c r="D9246" s="3"/>
    </row>
    <row r="9247" spans="1:4">
      <c r="A9247" s="3"/>
      <c r="D9247" s="3"/>
    </row>
    <row r="9248" spans="1:4">
      <c r="A9248" s="3"/>
      <c r="D9248" s="3"/>
    </row>
    <row r="9249" spans="1:4">
      <c r="A9249" s="3"/>
      <c r="D9249" s="3"/>
    </row>
    <row r="9250" spans="1:4">
      <c r="A9250" s="3"/>
      <c r="D9250" s="3"/>
    </row>
    <row r="9251" spans="1:4">
      <c r="A9251" s="3"/>
      <c r="D9251" s="3"/>
    </row>
    <row r="9252" spans="1:4">
      <c r="A9252" s="3"/>
      <c r="D9252" s="3"/>
    </row>
    <row r="9253" spans="1:4">
      <c r="A9253" s="3"/>
      <c r="D9253" s="3"/>
    </row>
    <row r="9254" spans="1:4">
      <c r="A9254" s="3"/>
      <c r="D9254" s="3"/>
    </row>
    <row r="9255" spans="1:4">
      <c r="A9255" s="3"/>
      <c r="D9255" s="3"/>
    </row>
    <row r="9256" spans="1:4">
      <c r="A9256" s="3"/>
      <c r="D9256" s="3"/>
    </row>
    <row r="9257" spans="1:4">
      <c r="A9257" s="3"/>
      <c r="D9257" s="3"/>
    </row>
    <row r="9258" spans="1:4">
      <c r="A9258" s="3"/>
      <c r="D9258" s="3"/>
    </row>
    <row r="9259" spans="1:4">
      <c r="A9259" s="3"/>
      <c r="D9259" s="3"/>
    </row>
    <row r="9260" spans="1:4">
      <c r="A9260" s="3"/>
      <c r="D9260" s="3"/>
    </row>
    <row r="9261" spans="1:4">
      <c r="A9261" s="3"/>
      <c r="D9261" s="3"/>
    </row>
    <row r="9262" spans="1:4">
      <c r="A9262" s="3"/>
      <c r="D9262" s="3"/>
    </row>
    <row r="9263" spans="1:4">
      <c r="A9263" s="3"/>
      <c r="D9263" s="3"/>
    </row>
    <row r="9264" spans="1:4">
      <c r="A9264" s="3"/>
      <c r="D9264" s="3"/>
    </row>
    <row r="9265" spans="1:4">
      <c r="A9265" s="3"/>
      <c r="D9265" s="3"/>
    </row>
    <row r="9266" spans="1:4">
      <c r="A9266" s="3"/>
      <c r="D9266" s="3"/>
    </row>
    <row r="9267" spans="1:4">
      <c r="A9267" s="3"/>
      <c r="D9267" s="3"/>
    </row>
    <row r="9268" spans="1:4">
      <c r="A9268" s="3"/>
      <c r="D9268" s="3"/>
    </row>
    <row r="9269" spans="1:4">
      <c r="A9269" s="3"/>
      <c r="D9269" s="3"/>
    </row>
    <row r="9270" spans="1:4">
      <c r="A9270" s="3"/>
      <c r="D9270" s="3"/>
    </row>
    <row r="9271" spans="1:4">
      <c r="A9271" s="3"/>
      <c r="D9271" s="3"/>
    </row>
    <row r="9272" spans="1:4">
      <c r="A9272" s="3"/>
      <c r="D9272" s="3"/>
    </row>
    <row r="9273" spans="1:4">
      <c r="A9273" s="3"/>
      <c r="D9273" s="3"/>
    </row>
    <row r="9274" spans="1:4">
      <c r="A9274" s="3"/>
      <c r="D9274" s="3"/>
    </row>
    <row r="9275" spans="1:4">
      <c r="A9275" s="3"/>
      <c r="D9275" s="3"/>
    </row>
    <row r="9276" spans="1:4">
      <c r="A9276" s="3"/>
      <c r="D9276" s="3"/>
    </row>
    <row r="9277" spans="1:4">
      <c r="A9277" s="3"/>
      <c r="D9277" s="3"/>
    </row>
    <row r="9278" spans="1:4">
      <c r="A9278" s="3"/>
      <c r="D9278" s="3"/>
    </row>
    <row r="9279" spans="1:4">
      <c r="A9279" s="3"/>
      <c r="D9279" s="3"/>
    </row>
    <row r="9280" spans="1:4">
      <c r="A9280" s="3"/>
      <c r="D9280" s="3"/>
    </row>
    <row r="9281" spans="1:4">
      <c r="A9281" s="3"/>
      <c r="D9281" s="3"/>
    </row>
    <row r="9282" spans="1:4">
      <c r="A9282" s="3"/>
      <c r="D9282" s="3"/>
    </row>
    <row r="9283" spans="1:4">
      <c r="A9283" s="3"/>
      <c r="D9283" s="3"/>
    </row>
    <row r="9284" spans="1:4">
      <c r="A9284" s="3"/>
      <c r="D9284" s="3"/>
    </row>
    <row r="9285" spans="1:4">
      <c r="A9285" s="3"/>
      <c r="D9285" s="3"/>
    </row>
    <row r="9286" spans="1:4">
      <c r="A9286" s="3"/>
      <c r="D9286" s="3"/>
    </row>
    <row r="9287" spans="1:4">
      <c r="A9287" s="3"/>
      <c r="D9287" s="3"/>
    </row>
    <row r="9288" spans="1:4">
      <c r="A9288" s="3"/>
      <c r="D9288" s="3"/>
    </row>
    <row r="9289" spans="1:4">
      <c r="A9289" s="3"/>
      <c r="D9289" s="3"/>
    </row>
    <row r="9290" spans="1:4">
      <c r="A9290" s="3"/>
      <c r="D9290" s="3"/>
    </row>
    <row r="9291" spans="1:4">
      <c r="A9291" s="3"/>
      <c r="D9291" s="3"/>
    </row>
    <row r="9292" spans="1:4">
      <c r="A9292" s="3"/>
      <c r="D9292" s="3"/>
    </row>
    <row r="9293" spans="1:4">
      <c r="A9293" s="3"/>
      <c r="D9293" s="3"/>
    </row>
    <row r="9294" spans="1:4">
      <c r="A9294" s="3"/>
      <c r="D9294" s="3"/>
    </row>
    <row r="9295" spans="1:4">
      <c r="A9295" s="3"/>
      <c r="D9295" s="3"/>
    </row>
    <row r="9296" spans="1:4">
      <c r="A9296" s="3"/>
      <c r="D9296" s="3"/>
    </row>
    <row r="9297" spans="1:4">
      <c r="A9297" s="3"/>
      <c r="D9297" s="3"/>
    </row>
    <row r="9298" spans="1:4">
      <c r="A9298" s="3"/>
      <c r="D9298" s="3"/>
    </row>
    <row r="9299" spans="1:4">
      <c r="A9299" s="3"/>
      <c r="D9299" s="3"/>
    </row>
    <row r="9300" spans="1:4">
      <c r="A9300" s="3"/>
      <c r="D9300" s="3"/>
    </row>
    <row r="9301" spans="1:4">
      <c r="A9301" s="3"/>
      <c r="D9301" s="3"/>
    </row>
    <row r="9302" spans="1:4">
      <c r="A9302" s="3"/>
      <c r="D9302" s="3"/>
    </row>
    <row r="9303" spans="1:4">
      <c r="A9303" s="3"/>
      <c r="D9303" s="3"/>
    </row>
    <row r="9304" spans="1:4">
      <c r="A9304" s="3"/>
      <c r="D9304" s="3"/>
    </row>
    <row r="9305" spans="1:4">
      <c r="A9305" s="3"/>
      <c r="D9305" s="3"/>
    </row>
    <row r="9306" spans="1:4">
      <c r="A9306" s="3"/>
      <c r="D9306" s="3"/>
    </row>
    <row r="9307" spans="1:4">
      <c r="A9307" s="3"/>
      <c r="D9307" s="3"/>
    </row>
    <row r="9308" spans="1:4">
      <c r="A9308" s="3"/>
      <c r="D9308" s="3"/>
    </row>
    <row r="9309" spans="1:4">
      <c r="A9309" s="3"/>
      <c r="D9309" s="3"/>
    </row>
    <row r="9310" spans="1:4">
      <c r="A9310" s="3"/>
      <c r="D9310" s="3"/>
    </row>
    <row r="9311" spans="1:4">
      <c r="A9311" s="3"/>
      <c r="D9311" s="3"/>
    </row>
    <row r="9312" spans="1:4">
      <c r="A9312" s="3"/>
      <c r="D9312" s="3"/>
    </row>
    <row r="9313" spans="1:4">
      <c r="A9313" s="3"/>
      <c r="D9313" s="3"/>
    </row>
    <row r="9314" spans="1:4">
      <c r="A9314" s="3"/>
      <c r="D9314" s="3"/>
    </row>
    <row r="9315" spans="1:4">
      <c r="A9315" s="3"/>
      <c r="D9315" s="3"/>
    </row>
    <row r="9316" spans="1:4">
      <c r="A9316" s="3"/>
      <c r="D9316" s="3"/>
    </row>
    <row r="9317" spans="1:4">
      <c r="A9317" s="3"/>
      <c r="D9317" s="3"/>
    </row>
    <row r="9318" spans="1:4">
      <c r="A9318" s="3"/>
      <c r="D9318" s="3"/>
    </row>
    <row r="9319" spans="1:4">
      <c r="A9319" s="3"/>
      <c r="D9319" s="3"/>
    </row>
    <row r="9320" spans="1:4">
      <c r="A9320" s="3"/>
      <c r="D9320" s="3"/>
    </row>
    <row r="9321" spans="1:4">
      <c r="A9321" s="3"/>
      <c r="D9321" s="3"/>
    </row>
    <row r="9322" spans="1:4">
      <c r="A9322" s="3"/>
      <c r="D9322" s="3"/>
    </row>
    <row r="9323" spans="1:4">
      <c r="A9323" s="3"/>
      <c r="D9323" s="3"/>
    </row>
    <row r="9324" spans="1:4">
      <c r="A9324" s="3"/>
      <c r="D9324" s="3"/>
    </row>
    <row r="9325" spans="1:4">
      <c r="A9325" s="3"/>
      <c r="D9325" s="3"/>
    </row>
    <row r="9326" spans="1:4">
      <c r="A9326" s="3"/>
      <c r="D9326" s="3"/>
    </row>
    <row r="9327" spans="1:4">
      <c r="A9327" s="3"/>
      <c r="D9327" s="3"/>
    </row>
    <row r="9328" spans="1:4">
      <c r="A9328" s="3"/>
      <c r="D9328" s="3"/>
    </row>
    <row r="9329" spans="1:4">
      <c r="A9329" s="3"/>
      <c r="D9329" s="3"/>
    </row>
    <row r="9330" spans="1:4">
      <c r="A9330" s="3"/>
      <c r="D9330" s="3"/>
    </row>
    <row r="9331" spans="1:4">
      <c r="A9331" s="3"/>
      <c r="D9331" s="3"/>
    </row>
    <row r="9332" spans="1:4">
      <c r="A9332" s="3"/>
      <c r="D9332" s="3"/>
    </row>
    <row r="9333" spans="1:4">
      <c r="A9333" s="3"/>
      <c r="D9333" s="3"/>
    </row>
    <row r="9334" spans="1:4">
      <c r="A9334" s="3"/>
      <c r="D9334" s="3"/>
    </row>
    <row r="9335" spans="1:4">
      <c r="A9335" s="3"/>
      <c r="D9335" s="3"/>
    </row>
    <row r="9336" spans="1:4">
      <c r="A9336" s="3"/>
      <c r="D9336" s="3"/>
    </row>
    <row r="9337" spans="1:4">
      <c r="A9337" s="3"/>
      <c r="D9337" s="3"/>
    </row>
    <row r="9338" spans="1:4">
      <c r="A9338" s="3"/>
      <c r="D9338" s="3"/>
    </row>
    <row r="9339" spans="1:4">
      <c r="A9339" s="3"/>
      <c r="D9339" s="3"/>
    </row>
    <row r="9340" spans="1:4">
      <c r="A9340" s="3"/>
      <c r="D9340" s="3"/>
    </row>
    <row r="9341" spans="1:4">
      <c r="A9341" s="3"/>
      <c r="D9341" s="3"/>
    </row>
    <row r="9342" spans="1:4">
      <c r="A9342" s="3"/>
      <c r="D9342" s="3"/>
    </row>
    <row r="9343" spans="1:4">
      <c r="A9343" s="3"/>
      <c r="D9343" s="3"/>
    </row>
    <row r="9344" spans="1:4">
      <c r="A9344" s="3"/>
      <c r="D9344" s="3"/>
    </row>
    <row r="9345" spans="1:4">
      <c r="A9345" s="3"/>
      <c r="D9345" s="3"/>
    </row>
    <row r="9346" spans="1:4">
      <c r="A9346" s="3"/>
      <c r="D9346" s="3"/>
    </row>
    <row r="9347" spans="1:4">
      <c r="A9347" s="3"/>
      <c r="D9347" s="3"/>
    </row>
    <row r="9348" spans="1:4">
      <c r="A9348" s="3"/>
      <c r="D9348" s="3"/>
    </row>
    <row r="9349" spans="1:4">
      <c r="A9349" s="3"/>
      <c r="D9349" s="3"/>
    </row>
    <row r="9350" spans="1:4">
      <c r="A9350" s="3"/>
      <c r="D9350" s="3"/>
    </row>
    <row r="9351" spans="1:4">
      <c r="A9351" s="3"/>
      <c r="D9351" s="3"/>
    </row>
    <row r="9352" spans="1:4">
      <c r="A9352" s="3"/>
      <c r="D9352" s="3"/>
    </row>
    <row r="9353" spans="1:4">
      <c r="A9353" s="3"/>
      <c r="D9353" s="3"/>
    </row>
    <row r="9354" spans="1:4">
      <c r="A9354" s="3"/>
      <c r="D9354" s="3"/>
    </row>
    <row r="9355" spans="1:4">
      <c r="A9355" s="3"/>
      <c r="D9355" s="3"/>
    </row>
    <row r="9356" spans="1:4">
      <c r="A9356" s="3"/>
      <c r="D9356" s="3"/>
    </row>
    <row r="9357" spans="1:4">
      <c r="A9357" s="3"/>
      <c r="D9357" s="3"/>
    </row>
    <row r="9358" spans="1:4">
      <c r="A9358" s="3"/>
      <c r="D9358" s="3"/>
    </row>
    <row r="9359" spans="1:4">
      <c r="A9359" s="3"/>
      <c r="D9359" s="3"/>
    </row>
    <row r="9360" spans="1:4">
      <c r="A9360" s="3"/>
      <c r="D9360" s="3"/>
    </row>
    <row r="9361" spans="1:4">
      <c r="A9361" s="3"/>
      <c r="D9361" s="3"/>
    </row>
    <row r="9362" spans="1:4">
      <c r="A9362" s="3"/>
      <c r="D9362" s="3"/>
    </row>
    <row r="9363" spans="1:4">
      <c r="A9363" s="3"/>
      <c r="D9363" s="3"/>
    </row>
    <row r="9364" spans="1:4">
      <c r="A9364" s="3"/>
      <c r="D9364" s="3"/>
    </row>
    <row r="9365" spans="1:4">
      <c r="A9365" s="3"/>
      <c r="D9365" s="3"/>
    </row>
    <row r="9366" spans="1:4">
      <c r="A9366" s="3"/>
      <c r="D9366" s="3"/>
    </row>
    <row r="9367" spans="1:4">
      <c r="A9367" s="3"/>
      <c r="D9367" s="3"/>
    </row>
    <row r="9368" spans="1:4">
      <c r="A9368" s="3"/>
      <c r="D9368" s="3"/>
    </row>
    <row r="9369" spans="1:4">
      <c r="A9369" s="3"/>
      <c r="D9369" s="3"/>
    </row>
    <row r="9370" spans="1:4">
      <c r="A9370" s="3"/>
      <c r="D9370" s="3"/>
    </row>
    <row r="9371" spans="1:4">
      <c r="A9371" s="3"/>
      <c r="D9371" s="3"/>
    </row>
    <row r="9372" spans="1:4">
      <c r="A9372" s="3"/>
      <c r="D9372" s="3"/>
    </row>
    <row r="9373" spans="1:4">
      <c r="A9373" s="3"/>
      <c r="D9373" s="3"/>
    </row>
    <row r="9374" spans="1:4">
      <c r="A9374" s="3"/>
      <c r="D9374" s="3"/>
    </row>
    <row r="9375" spans="1:4">
      <c r="A9375" s="3"/>
      <c r="D9375" s="3"/>
    </row>
    <row r="9376" spans="1:4">
      <c r="A9376" s="3"/>
      <c r="D9376" s="3"/>
    </row>
    <row r="9377" spans="1:4">
      <c r="A9377" s="3"/>
      <c r="D9377" s="3"/>
    </row>
    <row r="9378" spans="1:4">
      <c r="A9378" s="3"/>
      <c r="D9378" s="3"/>
    </row>
    <row r="9379" spans="1:4">
      <c r="A9379" s="3"/>
      <c r="D9379" s="3"/>
    </row>
    <row r="9380" spans="1:4">
      <c r="A9380" s="3"/>
      <c r="D9380" s="3"/>
    </row>
    <row r="9381" spans="1:4">
      <c r="A9381" s="3"/>
      <c r="D9381" s="3"/>
    </row>
    <row r="9382" spans="1:4">
      <c r="A9382" s="3"/>
      <c r="D9382" s="3"/>
    </row>
    <row r="9383" spans="1:4">
      <c r="A9383" s="3"/>
      <c r="D9383" s="3"/>
    </row>
    <row r="9384" spans="1:4">
      <c r="A9384" s="3"/>
      <c r="D9384" s="3"/>
    </row>
    <row r="9385" spans="1:4">
      <c r="A9385" s="3"/>
      <c r="D9385" s="3"/>
    </row>
    <row r="9386" spans="1:4">
      <c r="A9386" s="3"/>
      <c r="D9386" s="3"/>
    </row>
    <row r="9387" spans="1:4">
      <c r="A9387" s="3"/>
      <c r="D9387" s="3"/>
    </row>
    <row r="9388" spans="1:4">
      <c r="A9388" s="3"/>
      <c r="D9388" s="3"/>
    </row>
    <row r="9389" spans="1:4">
      <c r="A9389" s="3"/>
      <c r="D9389" s="3"/>
    </row>
    <row r="9390" spans="1:4">
      <c r="A9390" s="3"/>
      <c r="D9390" s="3"/>
    </row>
    <row r="9391" spans="1:4">
      <c r="A9391" s="3"/>
      <c r="D9391" s="3"/>
    </row>
    <row r="9392" spans="1:4">
      <c r="A9392" s="3"/>
      <c r="D9392" s="3"/>
    </row>
    <row r="9393" spans="1:4">
      <c r="A9393" s="3"/>
      <c r="D9393" s="3"/>
    </row>
    <row r="9394" spans="1:4">
      <c r="A9394" s="3"/>
      <c r="D9394" s="3"/>
    </row>
    <row r="9395" spans="1:4">
      <c r="A9395" s="3"/>
      <c r="D9395" s="3"/>
    </row>
    <row r="9396" spans="1:4">
      <c r="A9396" s="3"/>
      <c r="D9396" s="3"/>
    </row>
    <row r="9397" spans="1:4">
      <c r="A9397" s="3"/>
      <c r="D9397" s="3"/>
    </row>
    <row r="9398" spans="1:4">
      <c r="A9398" s="3"/>
      <c r="D9398" s="3"/>
    </row>
    <row r="9399" spans="1:4">
      <c r="A9399" s="3"/>
      <c r="D9399" s="3"/>
    </row>
    <row r="9400" spans="1:4">
      <c r="A9400" s="3"/>
      <c r="D9400" s="3"/>
    </row>
    <row r="9401" spans="1:4">
      <c r="A9401" s="3"/>
      <c r="D9401" s="3"/>
    </row>
    <row r="9402" spans="1:4">
      <c r="A9402" s="3"/>
      <c r="D9402" s="3"/>
    </row>
    <row r="9403" spans="1:4">
      <c r="A9403" s="3"/>
      <c r="D9403" s="3"/>
    </row>
    <row r="9404" spans="1:4">
      <c r="A9404" s="3"/>
      <c r="D9404" s="3"/>
    </row>
    <row r="9405" spans="1:4">
      <c r="A9405" s="3"/>
      <c r="D9405" s="3"/>
    </row>
    <row r="9406" spans="1:4">
      <c r="A9406" s="3"/>
      <c r="D9406" s="3"/>
    </row>
    <row r="9407" spans="1:4">
      <c r="A9407" s="3"/>
      <c r="D9407" s="3"/>
    </row>
    <row r="9408" spans="1:4">
      <c r="A9408" s="3"/>
      <c r="D9408" s="3"/>
    </row>
    <row r="9409" spans="1:4">
      <c r="A9409" s="3"/>
      <c r="D9409" s="3"/>
    </row>
    <row r="9410" spans="1:4">
      <c r="A9410" s="3"/>
      <c r="D9410" s="3"/>
    </row>
    <row r="9411" spans="1:4">
      <c r="A9411" s="3"/>
      <c r="D9411" s="3"/>
    </row>
    <row r="9412" spans="1:4">
      <c r="A9412" s="3"/>
      <c r="D9412" s="3"/>
    </row>
    <row r="9413" spans="1:4">
      <c r="A9413" s="3"/>
      <c r="D9413" s="3"/>
    </row>
    <row r="9414" spans="1:4">
      <c r="A9414" s="3"/>
      <c r="D9414" s="3"/>
    </row>
    <row r="9415" spans="1:4">
      <c r="A9415" s="3"/>
      <c r="D9415" s="3"/>
    </row>
    <row r="9416" spans="1:4">
      <c r="A9416" s="3"/>
      <c r="D9416" s="3"/>
    </row>
    <row r="9417" spans="1:4">
      <c r="A9417" s="3"/>
      <c r="D9417" s="3"/>
    </row>
    <row r="9418" spans="1:4">
      <c r="A9418" s="3"/>
      <c r="D9418" s="3"/>
    </row>
    <row r="9419" spans="1:4">
      <c r="A9419" s="3"/>
      <c r="D9419" s="3"/>
    </row>
    <row r="9420" spans="1:4">
      <c r="A9420" s="3"/>
      <c r="D9420" s="3"/>
    </row>
    <row r="9421" spans="1:4">
      <c r="A9421" s="3"/>
      <c r="D9421" s="3"/>
    </row>
    <row r="9422" spans="1:4">
      <c r="A9422" s="3"/>
      <c r="D9422" s="3"/>
    </row>
    <row r="9423" spans="1:4">
      <c r="A9423" s="3"/>
      <c r="D9423" s="3"/>
    </row>
    <row r="9424" spans="1:4">
      <c r="A9424" s="3"/>
      <c r="D9424" s="3"/>
    </row>
    <row r="9425" spans="1:4">
      <c r="A9425" s="3"/>
      <c r="D9425" s="3"/>
    </row>
    <row r="9426" spans="1:4">
      <c r="A9426" s="3"/>
      <c r="D9426" s="3"/>
    </row>
    <row r="9427" spans="1:4">
      <c r="A9427" s="3"/>
      <c r="D9427" s="3"/>
    </row>
    <row r="9428" spans="1:4">
      <c r="A9428" s="3"/>
      <c r="D9428" s="3"/>
    </row>
    <row r="9429" spans="1:4">
      <c r="A9429" s="3"/>
      <c r="D9429" s="3"/>
    </row>
    <row r="9430" spans="1:4">
      <c r="A9430" s="3"/>
      <c r="D9430" s="3"/>
    </row>
    <row r="9431" spans="1:4">
      <c r="A9431" s="3"/>
      <c r="D9431" s="3"/>
    </row>
    <row r="9432" spans="1:4">
      <c r="A9432" s="3"/>
      <c r="D9432" s="3"/>
    </row>
    <row r="9433" spans="1:4">
      <c r="A9433" s="3"/>
      <c r="D9433" s="3"/>
    </row>
    <row r="9434" spans="1:4">
      <c r="A9434" s="3"/>
      <c r="D9434" s="3"/>
    </row>
    <row r="9435" spans="1:4">
      <c r="A9435" s="3"/>
      <c r="D9435" s="3"/>
    </row>
    <row r="9436" spans="1:4">
      <c r="A9436" s="3"/>
      <c r="D9436" s="3"/>
    </row>
    <row r="9437" spans="1:4">
      <c r="A9437" s="3"/>
      <c r="D9437" s="3"/>
    </row>
    <row r="9438" spans="1:4">
      <c r="A9438" s="3"/>
      <c r="D9438" s="3"/>
    </row>
    <row r="9439" spans="1:4">
      <c r="A9439" s="3"/>
      <c r="D9439" s="3"/>
    </row>
    <row r="9440" spans="1:4">
      <c r="A9440" s="3"/>
      <c r="D9440" s="3"/>
    </row>
    <row r="9441" spans="1:4">
      <c r="A9441" s="3"/>
      <c r="D9441" s="3"/>
    </row>
    <row r="9442" spans="1:4">
      <c r="A9442" s="3"/>
      <c r="D9442" s="3"/>
    </row>
    <row r="9443" spans="1:4">
      <c r="A9443" s="3"/>
      <c r="D9443" s="3"/>
    </row>
    <row r="9444" spans="1:4">
      <c r="A9444" s="3"/>
      <c r="D9444" s="3"/>
    </row>
    <row r="9445" spans="1:4">
      <c r="A9445" s="3"/>
      <c r="D9445" s="3"/>
    </row>
    <row r="9446" spans="1:4">
      <c r="A9446" s="3"/>
      <c r="D9446" s="3"/>
    </row>
    <row r="9447" spans="1:4">
      <c r="A9447" s="3"/>
      <c r="D9447" s="3"/>
    </row>
    <row r="9448" spans="1:4">
      <c r="A9448" s="3"/>
      <c r="D9448" s="3"/>
    </row>
    <row r="9449" spans="1:4">
      <c r="A9449" s="3"/>
      <c r="D9449" s="3"/>
    </row>
    <row r="9450" spans="1:4">
      <c r="A9450" s="3"/>
      <c r="D9450" s="3"/>
    </row>
    <row r="9451" spans="1:4">
      <c r="A9451" s="3"/>
      <c r="D9451" s="3"/>
    </row>
    <row r="9452" spans="1:4">
      <c r="A9452" s="3"/>
      <c r="D9452" s="3"/>
    </row>
    <row r="9453" spans="1:4">
      <c r="A9453" s="3"/>
      <c r="D9453" s="3"/>
    </row>
    <row r="9454" spans="1:4">
      <c r="A9454" s="3"/>
      <c r="D9454" s="3"/>
    </row>
    <row r="9455" spans="1:4">
      <c r="A9455" s="3"/>
      <c r="D9455" s="3"/>
    </row>
    <row r="9456" spans="1:4">
      <c r="A9456" s="3"/>
      <c r="D9456" s="3"/>
    </row>
    <row r="9457" spans="1:4">
      <c r="A9457" s="3"/>
      <c r="D9457" s="3"/>
    </row>
    <row r="9458" spans="1:4">
      <c r="A9458" s="3"/>
      <c r="D9458" s="3"/>
    </row>
    <row r="9459" spans="1:4">
      <c r="A9459" s="3"/>
      <c r="D9459" s="3"/>
    </row>
    <row r="9460" spans="1:4">
      <c r="A9460" s="3"/>
      <c r="D9460" s="3"/>
    </row>
    <row r="9461" spans="1:4">
      <c r="A9461" s="3"/>
      <c r="D9461" s="3"/>
    </row>
    <row r="9462" spans="1:4">
      <c r="A9462" s="3"/>
      <c r="D9462" s="3"/>
    </row>
    <row r="9463" spans="1:4">
      <c r="A9463" s="3"/>
      <c r="D9463" s="3"/>
    </row>
    <row r="9464" spans="1:4">
      <c r="A9464" s="3"/>
      <c r="D9464" s="3"/>
    </row>
    <row r="9465" spans="1:4">
      <c r="A9465" s="3"/>
      <c r="D9465" s="3"/>
    </row>
    <row r="9466" spans="1:4">
      <c r="A9466" s="3"/>
      <c r="D9466" s="3"/>
    </row>
    <row r="9467" spans="1:4">
      <c r="A9467" s="3"/>
      <c r="D9467" s="3"/>
    </row>
    <row r="9468" spans="1:4">
      <c r="A9468" s="3"/>
      <c r="D9468" s="3"/>
    </row>
    <row r="9469" spans="1:4">
      <c r="A9469" s="3"/>
      <c r="D9469" s="3"/>
    </row>
    <row r="9470" spans="1:4">
      <c r="A9470" s="3"/>
      <c r="D9470" s="3"/>
    </row>
    <row r="9471" spans="1:4">
      <c r="A9471" s="3"/>
      <c r="D9471" s="3"/>
    </row>
    <row r="9472" spans="1:4">
      <c r="A9472" s="3"/>
      <c r="D9472" s="3"/>
    </row>
    <row r="9473" spans="1:4">
      <c r="A9473" s="3"/>
      <c r="D9473" s="3"/>
    </row>
    <row r="9474" spans="1:4">
      <c r="A9474" s="3"/>
      <c r="D9474" s="3"/>
    </row>
    <row r="9475" spans="1:4">
      <c r="A9475" s="3"/>
      <c r="D9475" s="3"/>
    </row>
    <row r="9476" spans="1:4">
      <c r="A9476" s="3"/>
      <c r="D9476" s="3"/>
    </row>
    <row r="9477" spans="1:4">
      <c r="A9477" s="3"/>
      <c r="D9477" s="3"/>
    </row>
    <row r="9478" spans="1:4">
      <c r="A9478" s="3"/>
      <c r="D9478" s="3"/>
    </row>
    <row r="9479" spans="1:4">
      <c r="A9479" s="3"/>
      <c r="D9479" s="3"/>
    </row>
    <row r="9480" spans="1:4">
      <c r="A9480" s="3"/>
      <c r="D9480" s="3"/>
    </row>
    <row r="9481" spans="1:4">
      <c r="A9481" s="3"/>
      <c r="D9481" s="3"/>
    </row>
    <row r="9482" spans="1:4">
      <c r="A9482" s="3"/>
      <c r="D9482" s="3"/>
    </row>
    <row r="9483" spans="1:4">
      <c r="A9483" s="3"/>
      <c r="D9483" s="3"/>
    </row>
    <row r="9484" spans="1:4">
      <c r="A9484" s="3"/>
      <c r="D9484" s="3"/>
    </row>
    <row r="9485" spans="1:4">
      <c r="A9485" s="3"/>
      <c r="D9485" s="3"/>
    </row>
    <row r="9486" spans="1:4">
      <c r="A9486" s="3"/>
      <c r="D9486" s="3"/>
    </row>
    <row r="9487" spans="1:4">
      <c r="A9487" s="3"/>
      <c r="D9487" s="3"/>
    </row>
    <row r="9488" spans="1:4">
      <c r="A9488" s="3"/>
      <c r="D9488" s="3"/>
    </row>
    <row r="9489" spans="1:4">
      <c r="A9489" s="3"/>
      <c r="D9489" s="3"/>
    </row>
    <row r="9490" spans="1:4">
      <c r="A9490" s="3"/>
      <c r="D9490" s="3"/>
    </row>
    <row r="9491" spans="1:4">
      <c r="A9491" s="3"/>
      <c r="D9491" s="3"/>
    </row>
    <row r="9492" spans="1:4">
      <c r="A9492" s="3"/>
      <c r="D9492" s="3"/>
    </row>
    <row r="9493" spans="1:4">
      <c r="A9493" s="3"/>
      <c r="D9493" s="3"/>
    </row>
    <row r="9494" spans="1:4">
      <c r="A9494" s="3"/>
      <c r="D9494" s="3"/>
    </row>
    <row r="9495" spans="1:4">
      <c r="A9495" s="3"/>
      <c r="D9495" s="3"/>
    </row>
    <row r="9496" spans="1:4">
      <c r="A9496" s="3"/>
      <c r="D9496" s="3"/>
    </row>
    <row r="9497" spans="1:4">
      <c r="A9497" s="3"/>
      <c r="D9497" s="3"/>
    </row>
    <row r="9498" spans="1:4">
      <c r="A9498" s="3"/>
      <c r="D9498" s="3"/>
    </row>
    <row r="9499" spans="1:4">
      <c r="A9499" s="3"/>
      <c r="D9499" s="3"/>
    </row>
    <row r="9500" spans="1:4">
      <c r="A9500" s="3"/>
      <c r="D9500" s="3"/>
    </row>
    <row r="9501" spans="1:4">
      <c r="A9501" s="3"/>
      <c r="D9501" s="3"/>
    </row>
    <row r="9502" spans="1:4">
      <c r="A9502" s="3"/>
      <c r="D9502" s="3"/>
    </row>
    <row r="9503" spans="1:4">
      <c r="A9503" s="3"/>
      <c r="D9503" s="3"/>
    </row>
    <row r="9504" spans="1:4">
      <c r="A9504" s="3"/>
      <c r="D9504" s="3"/>
    </row>
    <row r="9505" spans="1:4">
      <c r="A9505" s="3"/>
      <c r="D9505" s="3"/>
    </row>
    <row r="9506" spans="1:4">
      <c r="A9506" s="3"/>
      <c r="D9506" s="3"/>
    </row>
    <row r="9507" spans="1:4">
      <c r="A9507" s="3"/>
      <c r="D9507" s="3"/>
    </row>
    <row r="9508" spans="1:4">
      <c r="A9508" s="3"/>
      <c r="D9508" s="3"/>
    </row>
    <row r="9509" spans="1:4">
      <c r="A9509" s="3"/>
      <c r="D9509" s="3"/>
    </row>
    <row r="9510" spans="1:4">
      <c r="A9510" s="3"/>
      <c r="D9510" s="3"/>
    </row>
    <row r="9511" spans="1:4">
      <c r="A9511" s="3"/>
      <c r="D9511" s="3"/>
    </row>
    <row r="9512" spans="1:4">
      <c r="A9512" s="3"/>
      <c r="D9512" s="3"/>
    </row>
    <row r="9513" spans="1:4">
      <c r="A9513" s="3"/>
      <c r="D9513" s="3"/>
    </row>
    <row r="9514" spans="1:4">
      <c r="A9514" s="3"/>
      <c r="D9514" s="3"/>
    </row>
    <row r="9515" spans="1:4">
      <c r="A9515" s="3"/>
      <c r="D9515" s="3"/>
    </row>
    <row r="9516" spans="1:4">
      <c r="A9516" s="3"/>
      <c r="D9516" s="3"/>
    </row>
    <row r="9517" spans="1:4">
      <c r="A9517" s="3"/>
      <c r="D9517" s="3"/>
    </row>
    <row r="9518" spans="1:4">
      <c r="A9518" s="3"/>
      <c r="D9518" s="3"/>
    </row>
    <row r="9519" spans="1:4">
      <c r="A9519" s="3"/>
      <c r="D9519" s="3"/>
    </row>
    <row r="9520" spans="1:4">
      <c r="A9520" s="3"/>
      <c r="D9520" s="3"/>
    </row>
    <row r="9521" spans="1:4">
      <c r="A9521" s="3"/>
      <c r="D9521" s="3"/>
    </row>
    <row r="9522" spans="1:4">
      <c r="A9522" s="3"/>
      <c r="D9522" s="3"/>
    </row>
    <row r="9523" spans="1:4">
      <c r="A9523" s="3"/>
      <c r="D9523" s="3"/>
    </row>
    <row r="9524" spans="1:4">
      <c r="A9524" s="3"/>
      <c r="D9524" s="3"/>
    </row>
    <row r="9525" spans="1:4">
      <c r="A9525" s="3"/>
      <c r="D9525" s="3"/>
    </row>
    <row r="9526" spans="1:4">
      <c r="A9526" s="3"/>
      <c r="D9526" s="3"/>
    </row>
    <row r="9527" spans="1:4">
      <c r="A9527" s="3"/>
      <c r="D9527" s="3"/>
    </row>
    <row r="9528" spans="1:4">
      <c r="A9528" s="3"/>
      <c r="D9528" s="3"/>
    </row>
    <row r="9529" spans="1:4">
      <c r="A9529" s="3"/>
      <c r="D9529" s="3"/>
    </row>
    <row r="9530" spans="1:4">
      <c r="A9530" s="3"/>
      <c r="D9530" s="3"/>
    </row>
    <row r="9531" spans="1:4">
      <c r="A9531" s="3"/>
      <c r="D9531" s="3"/>
    </row>
    <row r="9532" spans="1:4">
      <c r="A9532" s="3"/>
      <c r="D9532" s="3"/>
    </row>
    <row r="9533" spans="1:4">
      <c r="A9533" s="3"/>
      <c r="D9533" s="3"/>
    </row>
    <row r="9534" spans="1:4">
      <c r="A9534" s="3"/>
      <c r="D9534" s="3"/>
    </row>
    <row r="9535" spans="1:4">
      <c r="A9535" s="3"/>
      <c r="D9535" s="3"/>
    </row>
    <row r="9536" spans="1:4">
      <c r="A9536" s="3"/>
      <c r="D9536" s="3"/>
    </row>
    <row r="9537" spans="1:4">
      <c r="A9537" s="3"/>
      <c r="D9537" s="3"/>
    </row>
    <row r="9538" spans="1:4">
      <c r="A9538" s="3"/>
      <c r="D9538" s="3"/>
    </row>
    <row r="9539" spans="1:4">
      <c r="A9539" s="3"/>
      <c r="D9539" s="3"/>
    </row>
    <row r="9540" spans="1:4">
      <c r="A9540" s="3"/>
      <c r="D9540" s="3"/>
    </row>
    <row r="9541" spans="1:4">
      <c r="A9541" s="3"/>
      <c r="D9541" s="3"/>
    </row>
    <row r="9542" spans="1:4">
      <c r="A9542" s="3"/>
      <c r="D9542" s="3"/>
    </row>
    <row r="9543" spans="1:4">
      <c r="A9543" s="3"/>
      <c r="D9543" s="3"/>
    </row>
    <row r="9544" spans="1:4">
      <c r="A9544" s="3"/>
      <c r="D9544" s="3"/>
    </row>
    <row r="9545" spans="1:4">
      <c r="A9545" s="3"/>
      <c r="D9545" s="3"/>
    </row>
    <row r="9546" spans="1:4">
      <c r="A9546" s="3"/>
      <c r="D9546" s="3"/>
    </row>
    <row r="9547" spans="1:4">
      <c r="A9547" s="3"/>
      <c r="D9547" s="3"/>
    </row>
    <row r="9548" spans="1:4">
      <c r="A9548" s="3"/>
      <c r="D9548" s="3"/>
    </row>
    <row r="9549" spans="1:4">
      <c r="A9549" s="3"/>
      <c r="D9549" s="3"/>
    </row>
    <row r="9550" spans="1:4">
      <c r="A9550" s="3"/>
      <c r="D9550" s="3"/>
    </row>
    <row r="9551" spans="1:4">
      <c r="A9551" s="3"/>
      <c r="D9551" s="3"/>
    </row>
    <row r="9552" spans="1:4">
      <c r="A9552" s="3"/>
      <c r="D9552" s="3"/>
    </row>
    <row r="9553" spans="1:4">
      <c r="A9553" s="3"/>
      <c r="D9553" s="3"/>
    </row>
    <row r="9554" spans="1:4">
      <c r="A9554" s="3"/>
      <c r="D9554" s="3"/>
    </row>
    <row r="9555" spans="1:4">
      <c r="A9555" s="3"/>
      <c r="D9555" s="3"/>
    </row>
    <row r="9556" spans="1:4">
      <c r="A9556" s="3"/>
      <c r="D9556" s="3"/>
    </row>
    <row r="9557" spans="1:4">
      <c r="A9557" s="3"/>
      <c r="D9557" s="3"/>
    </row>
    <row r="9558" spans="1:4">
      <c r="A9558" s="3"/>
      <c r="D9558" s="3"/>
    </row>
    <row r="9559" spans="1:4">
      <c r="A9559" s="3"/>
      <c r="D9559" s="3"/>
    </row>
    <row r="9560" spans="1:4">
      <c r="A9560" s="3"/>
      <c r="D9560" s="3"/>
    </row>
    <row r="9561" spans="1:4">
      <c r="A9561" s="3"/>
      <c r="D9561" s="3"/>
    </row>
    <row r="9562" spans="1:4">
      <c r="A9562" s="3"/>
      <c r="D9562" s="3"/>
    </row>
    <row r="9563" spans="1:4">
      <c r="A9563" s="3"/>
      <c r="D9563" s="3"/>
    </row>
    <row r="9564" spans="1:4">
      <c r="A9564" s="3"/>
      <c r="D9564" s="3"/>
    </row>
    <row r="9565" spans="1:4">
      <c r="A9565" s="3"/>
      <c r="D9565" s="3"/>
    </row>
    <row r="9566" spans="1:4">
      <c r="A9566" s="3"/>
      <c r="D9566" s="3"/>
    </row>
    <row r="9567" spans="1:4">
      <c r="A9567" s="3"/>
      <c r="D9567" s="3"/>
    </row>
    <row r="9568" spans="1:4">
      <c r="A9568" s="3"/>
      <c r="D9568" s="3"/>
    </row>
    <row r="9569" spans="1:4">
      <c r="A9569" s="3"/>
      <c r="D9569" s="3"/>
    </row>
    <row r="9570" spans="1:4">
      <c r="A9570" s="3"/>
      <c r="D9570" s="3"/>
    </row>
    <row r="9571" spans="1:4">
      <c r="A9571" s="3"/>
      <c r="D9571" s="3"/>
    </row>
    <row r="9572" spans="1:4">
      <c r="A9572" s="3"/>
      <c r="D9572" s="3"/>
    </row>
    <row r="9573" spans="1:4">
      <c r="A9573" s="3"/>
      <c r="D9573" s="3"/>
    </row>
    <row r="9574" spans="1:4">
      <c r="A9574" s="3"/>
      <c r="D9574" s="3"/>
    </row>
    <row r="9575" spans="1:4">
      <c r="A9575" s="3"/>
      <c r="D9575" s="3"/>
    </row>
    <row r="9576" spans="1:4">
      <c r="A9576" s="3"/>
      <c r="D9576" s="3"/>
    </row>
    <row r="9577" spans="1:4">
      <c r="A9577" s="3"/>
      <c r="D9577" s="3"/>
    </row>
    <row r="9578" spans="1:4">
      <c r="A9578" s="3"/>
      <c r="D9578" s="3"/>
    </row>
    <row r="9579" spans="1:4">
      <c r="A9579" s="3"/>
      <c r="D9579" s="3"/>
    </row>
    <row r="9580" spans="1:4">
      <c r="A9580" s="3"/>
      <c r="D9580" s="3"/>
    </row>
    <row r="9581" spans="1:4">
      <c r="A9581" s="3"/>
      <c r="D9581" s="3"/>
    </row>
    <row r="9582" spans="1:4">
      <c r="A9582" s="3"/>
      <c r="D9582" s="3"/>
    </row>
    <row r="9583" spans="1:4">
      <c r="A9583" s="3"/>
      <c r="D9583" s="3"/>
    </row>
    <row r="9584" spans="1:4">
      <c r="A9584" s="3"/>
      <c r="D9584" s="3"/>
    </row>
    <row r="9585" spans="1:4">
      <c r="A9585" s="3"/>
      <c r="D9585" s="3"/>
    </row>
    <row r="9586" spans="1:4">
      <c r="A9586" s="3"/>
      <c r="D9586" s="3"/>
    </row>
    <row r="9587" spans="1:4">
      <c r="A9587" s="3"/>
      <c r="D9587" s="3"/>
    </row>
    <row r="9588" spans="1:4">
      <c r="A9588" s="3"/>
      <c r="D9588" s="3"/>
    </row>
    <row r="9589" spans="1:4">
      <c r="A9589" s="3"/>
      <c r="D9589" s="3"/>
    </row>
    <row r="9590" spans="1:4">
      <c r="A9590" s="3"/>
      <c r="D9590" s="3"/>
    </row>
    <row r="9591" spans="1:4">
      <c r="A9591" s="3"/>
      <c r="D9591" s="3"/>
    </row>
    <row r="9592" spans="1:4">
      <c r="A9592" s="3"/>
      <c r="D9592" s="3"/>
    </row>
    <row r="9593" spans="1:4">
      <c r="A9593" s="3"/>
      <c r="D9593" s="3"/>
    </row>
    <row r="9594" spans="1:4">
      <c r="A9594" s="3"/>
      <c r="D9594" s="3"/>
    </row>
    <row r="9595" spans="1:4">
      <c r="A9595" s="3"/>
      <c r="D9595" s="3"/>
    </row>
    <row r="9596" spans="1:4">
      <c r="A9596" s="3"/>
      <c r="D9596" s="3"/>
    </row>
    <row r="9597" spans="1:4">
      <c r="A9597" s="3"/>
      <c r="D9597" s="3"/>
    </row>
    <row r="9598" spans="1:4">
      <c r="A9598" s="3"/>
      <c r="D9598" s="3"/>
    </row>
    <row r="9599" spans="1:4">
      <c r="A9599" s="3"/>
      <c r="D9599" s="3"/>
    </row>
    <row r="9600" spans="1:4">
      <c r="A9600" s="3"/>
      <c r="D9600" s="3"/>
    </row>
    <row r="9601" spans="1:4">
      <c r="A9601" s="3"/>
      <c r="D9601" s="3"/>
    </row>
    <row r="9602" spans="1:4">
      <c r="A9602" s="3"/>
      <c r="D9602" s="3"/>
    </row>
    <row r="9603" spans="1:4">
      <c r="A9603" s="3"/>
      <c r="D9603" s="3"/>
    </row>
    <row r="9604" spans="1:4">
      <c r="A9604" s="3"/>
      <c r="D9604" s="3"/>
    </row>
    <row r="9605" spans="1:4">
      <c r="A9605" s="3"/>
      <c r="D9605" s="3"/>
    </row>
    <row r="9606" spans="1:4">
      <c r="A9606" s="3"/>
      <c r="D9606" s="3"/>
    </row>
    <row r="9607" spans="1:4">
      <c r="A9607" s="3"/>
      <c r="D9607" s="3"/>
    </row>
    <row r="9608" spans="1:4">
      <c r="A9608" s="3"/>
      <c r="D9608" s="3"/>
    </row>
    <row r="9609" spans="1:4">
      <c r="A9609" s="3"/>
      <c r="D9609" s="3"/>
    </row>
    <row r="9610" spans="1:4">
      <c r="A9610" s="3"/>
      <c r="D9610" s="3"/>
    </row>
    <row r="9611" spans="1:4">
      <c r="A9611" s="3"/>
      <c r="D9611" s="3"/>
    </row>
    <row r="9612" spans="1:4">
      <c r="A9612" s="3"/>
      <c r="D9612" s="3"/>
    </row>
    <row r="9613" spans="1:4">
      <c r="A9613" s="3"/>
      <c r="D9613" s="3"/>
    </row>
    <row r="9614" spans="1:4">
      <c r="A9614" s="3"/>
      <c r="D9614" s="3"/>
    </row>
    <row r="9615" spans="1:4">
      <c r="A9615" s="3"/>
      <c r="D9615" s="3"/>
    </row>
    <row r="9616" spans="1:4">
      <c r="A9616" s="3"/>
      <c r="D9616" s="3"/>
    </row>
    <row r="9617" spans="1:4">
      <c r="A9617" s="3"/>
      <c r="D9617" s="3"/>
    </row>
    <row r="9618" spans="1:4">
      <c r="A9618" s="3"/>
      <c r="D9618" s="3"/>
    </row>
    <row r="9619" spans="1:4">
      <c r="A9619" s="3"/>
      <c r="D9619" s="3"/>
    </row>
    <row r="9620" spans="1:4">
      <c r="A9620" s="3"/>
      <c r="D9620" s="3"/>
    </row>
    <row r="9621" spans="1:4">
      <c r="A9621" s="3"/>
      <c r="D9621" s="3"/>
    </row>
    <row r="9622" spans="1:4">
      <c r="A9622" s="3"/>
      <c r="D9622" s="3"/>
    </row>
    <row r="9623" spans="1:4">
      <c r="A9623" s="3"/>
      <c r="D9623" s="3"/>
    </row>
    <row r="9624" spans="1:4">
      <c r="A9624" s="3"/>
      <c r="D9624" s="3"/>
    </row>
    <row r="9625" spans="1:4">
      <c r="A9625" s="3"/>
      <c r="D9625" s="3"/>
    </row>
    <row r="9626" spans="1:4">
      <c r="A9626" s="3"/>
      <c r="D9626" s="3"/>
    </row>
    <row r="9627" spans="1:4">
      <c r="A9627" s="3"/>
      <c r="D9627" s="3"/>
    </row>
    <row r="9628" spans="1:4">
      <c r="A9628" s="3"/>
      <c r="D9628" s="3"/>
    </row>
    <row r="9629" spans="1:4">
      <c r="A9629" s="3"/>
      <c r="D9629" s="3"/>
    </row>
    <row r="9630" spans="1:4">
      <c r="A9630" s="3"/>
      <c r="D9630" s="3"/>
    </row>
    <row r="9631" spans="1:4">
      <c r="A9631" s="3"/>
      <c r="D9631" s="3"/>
    </row>
    <row r="9632" spans="1:4">
      <c r="A9632" s="3"/>
      <c r="D9632" s="3"/>
    </row>
    <row r="9633" spans="1:4">
      <c r="A9633" s="3"/>
      <c r="D9633" s="3"/>
    </row>
    <row r="9634" spans="1:4">
      <c r="A9634" s="3"/>
      <c r="D9634" s="3"/>
    </row>
    <row r="9635" spans="1:4">
      <c r="A9635" s="3"/>
      <c r="D9635" s="3"/>
    </row>
    <row r="9636" spans="1:4">
      <c r="A9636" s="3"/>
      <c r="D9636" s="3"/>
    </row>
    <row r="9637" spans="1:4">
      <c r="A9637" s="3"/>
      <c r="D9637" s="3"/>
    </row>
    <row r="9638" spans="1:4">
      <c r="A9638" s="3"/>
      <c r="D9638" s="3"/>
    </row>
    <row r="9639" spans="1:4">
      <c r="A9639" s="3"/>
      <c r="D9639" s="3"/>
    </row>
    <row r="9640" spans="1:4">
      <c r="A9640" s="3"/>
      <c r="D9640" s="3"/>
    </row>
    <row r="9641" spans="1:4">
      <c r="A9641" s="3"/>
      <c r="D9641" s="3"/>
    </row>
    <row r="9642" spans="1:4">
      <c r="A9642" s="3"/>
      <c r="D9642" s="3"/>
    </row>
    <row r="9643" spans="1:4">
      <c r="A9643" s="3"/>
      <c r="D9643" s="3"/>
    </row>
    <row r="9644" spans="1:4">
      <c r="A9644" s="3"/>
      <c r="D9644" s="3"/>
    </row>
    <row r="9645" spans="1:4">
      <c r="A9645" s="3"/>
      <c r="D9645" s="3"/>
    </row>
    <row r="9646" spans="1:4">
      <c r="A9646" s="3"/>
      <c r="D9646" s="3"/>
    </row>
    <row r="9647" spans="1:4">
      <c r="A9647" s="3"/>
      <c r="D9647" s="3"/>
    </row>
    <row r="9648" spans="1:4">
      <c r="A9648" s="3"/>
      <c r="D9648" s="3"/>
    </row>
    <row r="9649" spans="1:4">
      <c r="A9649" s="3"/>
      <c r="D9649" s="3"/>
    </row>
    <row r="9650" spans="1:4">
      <c r="A9650" s="3"/>
      <c r="D9650" s="3"/>
    </row>
    <row r="9651" spans="1:4">
      <c r="A9651" s="3"/>
      <c r="D9651" s="3"/>
    </row>
    <row r="9652" spans="1:4">
      <c r="A9652" s="3"/>
      <c r="D9652" s="3"/>
    </row>
    <row r="9653" spans="1:4">
      <c r="A9653" s="3"/>
      <c r="D9653" s="3"/>
    </row>
    <row r="9654" spans="1:4">
      <c r="A9654" s="3"/>
      <c r="D9654" s="3"/>
    </row>
    <row r="9655" spans="1:4">
      <c r="A9655" s="3"/>
      <c r="D9655" s="3"/>
    </row>
    <row r="9656" spans="1:4">
      <c r="A9656" s="3"/>
      <c r="D9656" s="3"/>
    </row>
    <row r="9657" spans="1:4">
      <c r="A9657" s="3"/>
      <c r="D9657" s="3"/>
    </row>
    <row r="9658" spans="1:4">
      <c r="A9658" s="3"/>
      <c r="D9658" s="3"/>
    </row>
    <row r="9659" spans="1:4">
      <c r="A9659" s="3"/>
      <c r="D9659" s="3"/>
    </row>
    <row r="9660" spans="1:4">
      <c r="A9660" s="3"/>
      <c r="D9660" s="3"/>
    </row>
    <row r="9661" spans="1:4">
      <c r="A9661" s="3"/>
      <c r="D9661" s="3"/>
    </row>
    <row r="9662" spans="1:4">
      <c r="A9662" s="3"/>
      <c r="D9662" s="3"/>
    </row>
    <row r="9663" spans="1:4">
      <c r="A9663" s="3"/>
      <c r="D9663" s="3"/>
    </row>
    <row r="9664" spans="1:4">
      <c r="A9664" s="3"/>
      <c r="D9664" s="3"/>
    </row>
    <row r="9665" spans="1:4">
      <c r="A9665" s="3"/>
      <c r="D9665" s="3"/>
    </row>
    <row r="9666" spans="1:4">
      <c r="A9666" s="3"/>
      <c r="D9666" s="3"/>
    </row>
    <row r="9667" spans="1:4">
      <c r="A9667" s="3"/>
      <c r="D9667" s="3"/>
    </row>
    <row r="9668" spans="1:4">
      <c r="A9668" s="3"/>
      <c r="D9668" s="3"/>
    </row>
    <row r="9669" spans="1:4">
      <c r="A9669" s="3"/>
      <c r="D9669" s="3"/>
    </row>
    <row r="9670" spans="1:4">
      <c r="A9670" s="3"/>
      <c r="D9670" s="3"/>
    </row>
    <row r="9671" spans="1:4">
      <c r="A9671" s="3"/>
      <c r="D9671" s="3"/>
    </row>
    <row r="9672" spans="1:4">
      <c r="A9672" s="3"/>
      <c r="D9672" s="3"/>
    </row>
    <row r="9673" spans="1:4">
      <c r="A9673" s="3"/>
      <c r="D9673" s="3"/>
    </row>
    <row r="9674" spans="1:4">
      <c r="A9674" s="3"/>
      <c r="D9674" s="3"/>
    </row>
    <row r="9675" spans="1:4">
      <c r="A9675" s="3"/>
      <c r="D9675" s="3"/>
    </row>
    <row r="9676" spans="1:4">
      <c r="A9676" s="3"/>
      <c r="D9676" s="3"/>
    </row>
    <row r="9677" spans="1:4">
      <c r="A9677" s="3"/>
      <c r="D9677" s="3"/>
    </row>
    <row r="9678" spans="1:4">
      <c r="A9678" s="3"/>
      <c r="D9678" s="3"/>
    </row>
    <row r="9679" spans="1:4">
      <c r="A9679" s="3"/>
      <c r="D9679" s="3"/>
    </row>
    <row r="9680" spans="1:4">
      <c r="A9680" s="3"/>
      <c r="D9680" s="3"/>
    </row>
    <row r="9681" spans="1:4">
      <c r="A9681" s="3"/>
      <c r="D9681" s="3"/>
    </row>
    <row r="9682" spans="1:4">
      <c r="A9682" s="3"/>
      <c r="D9682" s="3"/>
    </row>
    <row r="9683" spans="1:4">
      <c r="A9683" s="3"/>
      <c r="D9683" s="3"/>
    </row>
    <row r="9684" spans="1:4">
      <c r="A9684" s="3"/>
      <c r="D9684" s="3"/>
    </row>
    <row r="9685" spans="1:4">
      <c r="A9685" s="3"/>
      <c r="D9685" s="3"/>
    </row>
    <row r="9686" spans="1:4">
      <c r="A9686" s="3"/>
      <c r="D9686" s="3"/>
    </row>
    <row r="9687" spans="1:4">
      <c r="A9687" s="3"/>
      <c r="D9687" s="3"/>
    </row>
    <row r="9688" spans="1:4">
      <c r="A9688" s="3"/>
      <c r="D9688" s="3"/>
    </row>
    <row r="9689" spans="1:4">
      <c r="A9689" s="3"/>
      <c r="D9689" s="3"/>
    </row>
    <row r="9690" spans="1:4">
      <c r="A9690" s="3"/>
      <c r="D9690" s="3"/>
    </row>
    <row r="9691" spans="1:4">
      <c r="A9691" s="3"/>
      <c r="D9691" s="3"/>
    </row>
    <row r="9692" spans="1:4">
      <c r="A9692" s="3"/>
      <c r="D9692" s="3"/>
    </row>
    <row r="9693" spans="1:4">
      <c r="A9693" s="3"/>
      <c r="D9693" s="3"/>
    </row>
    <row r="9694" spans="1:4">
      <c r="A9694" s="3"/>
      <c r="D9694" s="3"/>
    </row>
    <row r="9695" spans="1:4">
      <c r="A9695" s="3"/>
      <c r="D9695" s="3"/>
    </row>
    <row r="9696" spans="1:4">
      <c r="A9696" s="3"/>
      <c r="D9696" s="3"/>
    </row>
    <row r="9697" spans="1:4">
      <c r="A9697" s="3"/>
      <c r="D9697" s="3"/>
    </row>
    <row r="9698" spans="1:4">
      <c r="A9698" s="3"/>
      <c r="D9698" s="3"/>
    </row>
    <row r="9699" spans="1:4">
      <c r="A9699" s="3"/>
      <c r="D9699" s="3"/>
    </row>
    <row r="9700" spans="1:4">
      <c r="A9700" s="3"/>
      <c r="D9700" s="3"/>
    </row>
    <row r="9701" spans="1:4">
      <c r="A9701" s="3"/>
      <c r="D9701" s="3"/>
    </row>
    <row r="9702" spans="1:4">
      <c r="A9702" s="3"/>
      <c r="D9702" s="3"/>
    </row>
    <row r="9703" spans="1:4">
      <c r="A9703" s="3"/>
      <c r="D9703" s="3"/>
    </row>
    <row r="9704" spans="1:4">
      <c r="A9704" s="3"/>
      <c r="D9704" s="3"/>
    </row>
    <row r="9705" spans="1:4">
      <c r="A9705" s="3"/>
      <c r="D9705" s="3"/>
    </row>
    <row r="9706" spans="1:4">
      <c r="A9706" s="3"/>
      <c r="D9706" s="3"/>
    </row>
    <row r="9707" spans="1:4">
      <c r="A9707" s="3"/>
      <c r="D9707" s="3"/>
    </row>
    <row r="9708" spans="1:4">
      <c r="A9708" s="3"/>
      <c r="D9708" s="3"/>
    </row>
    <row r="9709" spans="1:4">
      <c r="A9709" s="3"/>
      <c r="D9709" s="3"/>
    </row>
    <row r="9710" spans="1:4">
      <c r="A9710" s="3"/>
      <c r="D9710" s="3"/>
    </row>
    <row r="9711" spans="1:4">
      <c r="A9711" s="3"/>
      <c r="D9711" s="3"/>
    </row>
    <row r="9712" spans="1:4">
      <c r="A9712" s="3"/>
      <c r="D9712" s="3"/>
    </row>
    <row r="9713" spans="1:4">
      <c r="A9713" s="3"/>
      <c r="D9713" s="3"/>
    </row>
    <row r="9714" spans="1:4">
      <c r="A9714" s="3"/>
      <c r="D9714" s="3"/>
    </row>
    <row r="9715" spans="1:4">
      <c r="A9715" s="3"/>
      <c r="D9715" s="3"/>
    </row>
    <row r="9716" spans="1:4">
      <c r="A9716" s="3"/>
      <c r="D9716" s="3"/>
    </row>
    <row r="9717" spans="1:4">
      <c r="A9717" s="3"/>
      <c r="D9717" s="3"/>
    </row>
    <row r="9718" spans="1:4">
      <c r="A9718" s="3"/>
      <c r="D9718" s="3"/>
    </row>
    <row r="9719" spans="1:4">
      <c r="A9719" s="3"/>
      <c r="D9719" s="3"/>
    </row>
    <row r="9720" spans="1:4">
      <c r="A9720" s="3"/>
      <c r="D9720" s="3"/>
    </row>
    <row r="9721" spans="1:4">
      <c r="A9721" s="3"/>
      <c r="D9721" s="3"/>
    </row>
    <row r="9722" spans="1:4">
      <c r="A9722" s="3"/>
      <c r="D9722" s="3"/>
    </row>
    <row r="9723" spans="1:4">
      <c r="A9723" s="3"/>
      <c r="D9723" s="3"/>
    </row>
    <row r="9724" spans="1:4">
      <c r="A9724" s="3"/>
      <c r="D9724" s="3"/>
    </row>
    <row r="9725" spans="1:4">
      <c r="A9725" s="3"/>
      <c r="D9725" s="3"/>
    </row>
    <row r="9726" spans="1:4">
      <c r="A9726" s="3"/>
      <c r="D9726" s="3"/>
    </row>
    <row r="9727" spans="1:4">
      <c r="A9727" s="3"/>
      <c r="D9727" s="3"/>
    </row>
    <row r="9728" spans="1:4">
      <c r="A9728" s="3"/>
      <c r="D9728" s="3"/>
    </row>
    <row r="9729" spans="1:4">
      <c r="A9729" s="3"/>
      <c r="D9729" s="3"/>
    </row>
    <row r="9730" spans="1:4">
      <c r="A9730" s="3"/>
      <c r="D9730" s="3"/>
    </row>
    <row r="9731" spans="1:4">
      <c r="A9731" s="3"/>
      <c r="D9731" s="3"/>
    </row>
    <row r="9732" spans="1:4">
      <c r="A9732" s="3"/>
      <c r="D9732" s="3"/>
    </row>
    <row r="9733" spans="1:4">
      <c r="A9733" s="3"/>
      <c r="D9733" s="3"/>
    </row>
    <row r="9734" spans="1:4">
      <c r="A9734" s="3"/>
      <c r="D9734" s="3"/>
    </row>
    <row r="9735" spans="1:4">
      <c r="A9735" s="3"/>
      <c r="D9735" s="3"/>
    </row>
    <row r="9736" spans="1:4">
      <c r="A9736" s="3"/>
      <c r="D9736" s="3"/>
    </row>
    <row r="9737" spans="1:4">
      <c r="A9737" s="3"/>
      <c r="D9737" s="3"/>
    </row>
    <row r="9738" spans="1:4">
      <c r="A9738" s="3"/>
      <c r="D9738" s="3"/>
    </row>
    <row r="9739" spans="1:4">
      <c r="A9739" s="3"/>
      <c r="D9739" s="3"/>
    </row>
    <row r="9740" spans="1:4">
      <c r="A9740" s="3"/>
      <c r="D9740" s="3"/>
    </row>
    <row r="9741" spans="1:4">
      <c r="A9741" s="3"/>
      <c r="D9741" s="3"/>
    </row>
    <row r="9742" spans="1:4">
      <c r="A9742" s="3"/>
      <c r="D9742" s="3"/>
    </row>
    <row r="9743" spans="1:4">
      <c r="A9743" s="3"/>
      <c r="D9743" s="3"/>
    </row>
    <row r="9744" spans="1:4">
      <c r="A9744" s="3"/>
      <c r="D9744" s="3"/>
    </row>
    <row r="9745" spans="1:4">
      <c r="A9745" s="3"/>
      <c r="D9745" s="3"/>
    </row>
    <row r="9746" spans="1:4">
      <c r="A9746" s="3"/>
      <c r="D9746" s="3"/>
    </row>
    <row r="9747" spans="1:4">
      <c r="A9747" s="3"/>
      <c r="D9747" s="3"/>
    </row>
    <row r="9748" spans="1:4">
      <c r="A9748" s="3"/>
      <c r="D9748" s="3"/>
    </row>
    <row r="9749" spans="1:4">
      <c r="A9749" s="3"/>
      <c r="D9749" s="3"/>
    </row>
    <row r="9750" spans="1:4">
      <c r="A9750" s="3"/>
      <c r="D9750" s="3"/>
    </row>
    <row r="9751" spans="1:4">
      <c r="A9751" s="3"/>
      <c r="D9751" s="3"/>
    </row>
    <row r="9752" spans="1:4">
      <c r="A9752" s="3"/>
      <c r="D9752" s="3"/>
    </row>
    <row r="9753" spans="1:4">
      <c r="A9753" s="3"/>
      <c r="D9753" s="3"/>
    </row>
    <row r="9754" spans="1:4">
      <c r="A9754" s="3"/>
      <c r="D9754" s="3"/>
    </row>
    <row r="9755" spans="1:4">
      <c r="A9755" s="3"/>
      <c r="D9755" s="3"/>
    </row>
    <row r="9756" spans="1:4">
      <c r="A9756" s="3"/>
      <c r="D9756" s="3"/>
    </row>
    <row r="9757" spans="1:4">
      <c r="A9757" s="3"/>
      <c r="D9757" s="3"/>
    </row>
    <row r="9758" spans="1:4">
      <c r="A9758" s="3"/>
      <c r="D9758" s="3"/>
    </row>
    <row r="9759" spans="1:4">
      <c r="A9759" s="3"/>
      <c r="D9759" s="3"/>
    </row>
    <row r="9760" spans="1:4">
      <c r="A9760" s="3"/>
      <c r="D9760" s="3"/>
    </row>
    <row r="9761" spans="1:4">
      <c r="A9761" s="3"/>
      <c r="D9761" s="3"/>
    </row>
    <row r="9762" spans="1:4">
      <c r="A9762" s="3"/>
      <c r="D9762" s="3"/>
    </row>
    <row r="9763" spans="1:4">
      <c r="A9763" s="3"/>
      <c r="D9763" s="3"/>
    </row>
    <row r="9764" spans="1:4">
      <c r="A9764" s="3"/>
      <c r="D9764" s="3"/>
    </row>
    <row r="9765" spans="1:4">
      <c r="A9765" s="3"/>
      <c r="D9765" s="3"/>
    </row>
    <row r="9766" spans="1:4">
      <c r="A9766" s="3"/>
      <c r="D9766" s="3"/>
    </row>
    <row r="9767" spans="1:4">
      <c r="A9767" s="3"/>
      <c r="D9767" s="3"/>
    </row>
    <row r="9768" spans="1:4">
      <c r="A9768" s="3"/>
      <c r="D9768" s="3"/>
    </row>
    <row r="9769" spans="1:4">
      <c r="A9769" s="3"/>
      <c r="D9769" s="3"/>
    </row>
    <row r="9770" spans="1:4">
      <c r="A9770" s="3"/>
      <c r="D9770" s="3"/>
    </row>
    <row r="9771" spans="1:4">
      <c r="A9771" s="3"/>
      <c r="D9771" s="3"/>
    </row>
    <row r="9772" spans="1:4">
      <c r="A9772" s="3"/>
      <c r="D9772" s="3"/>
    </row>
    <row r="9773" spans="1:4">
      <c r="A9773" s="3"/>
      <c r="D9773" s="3"/>
    </row>
    <row r="9774" spans="1:4">
      <c r="A9774" s="3"/>
      <c r="D9774" s="3"/>
    </row>
    <row r="9775" spans="1:4">
      <c r="A9775" s="3"/>
      <c r="D9775" s="3"/>
    </row>
    <row r="9776" spans="1:4">
      <c r="A9776" s="3"/>
      <c r="D9776" s="3"/>
    </row>
    <row r="9777" spans="1:4">
      <c r="A9777" s="3"/>
      <c r="D9777" s="3"/>
    </row>
    <row r="9778" spans="1:4">
      <c r="A9778" s="3"/>
      <c r="D9778" s="3"/>
    </row>
    <row r="9779" spans="1:4">
      <c r="A9779" s="3"/>
      <c r="D9779" s="3"/>
    </row>
    <row r="9780" spans="1:4">
      <c r="A9780" s="3"/>
      <c r="D9780" s="3"/>
    </row>
    <row r="9781" spans="1:4">
      <c r="A9781" s="3"/>
      <c r="D9781" s="3"/>
    </row>
    <row r="9782" spans="1:4">
      <c r="A9782" s="3"/>
      <c r="D9782" s="3"/>
    </row>
    <row r="9783" spans="1:4">
      <c r="A9783" s="3"/>
      <c r="D9783" s="3"/>
    </row>
    <row r="9784" spans="1:4">
      <c r="A9784" s="3"/>
      <c r="D9784" s="3"/>
    </row>
    <row r="9785" spans="1:4">
      <c r="A9785" s="3"/>
      <c r="D9785" s="3"/>
    </row>
    <row r="9786" spans="1:4">
      <c r="A9786" s="3"/>
      <c r="D9786" s="3"/>
    </row>
    <row r="9787" spans="1:4">
      <c r="A9787" s="3"/>
      <c r="D9787" s="3"/>
    </row>
    <row r="9788" spans="1:4">
      <c r="A9788" s="3"/>
      <c r="D9788" s="3"/>
    </row>
    <row r="9789" spans="1:4">
      <c r="A9789" s="3"/>
      <c r="D9789" s="3"/>
    </row>
    <row r="9790" spans="1:4">
      <c r="A9790" s="3"/>
      <c r="D9790" s="3"/>
    </row>
    <row r="9791" spans="1:4">
      <c r="A9791" s="3"/>
      <c r="D9791" s="3"/>
    </row>
    <row r="9792" spans="1:4">
      <c r="A9792" s="3"/>
      <c r="D9792" s="3"/>
    </row>
    <row r="9793" spans="1:4">
      <c r="A9793" s="3"/>
      <c r="D9793" s="3"/>
    </row>
    <row r="9794" spans="1:4">
      <c r="A9794" s="3"/>
      <c r="D9794" s="3"/>
    </row>
    <row r="9795" spans="1:4">
      <c r="A9795" s="3"/>
      <c r="D9795" s="3"/>
    </row>
    <row r="9796" spans="1:4">
      <c r="A9796" s="3"/>
      <c r="D9796" s="3"/>
    </row>
    <row r="9797" spans="1:4">
      <c r="A9797" s="3"/>
      <c r="D9797" s="3"/>
    </row>
    <row r="9798" spans="1:4">
      <c r="A9798" s="3"/>
      <c r="D9798" s="3"/>
    </row>
    <row r="9799" spans="1:4">
      <c r="A9799" s="3"/>
      <c r="D9799" s="3"/>
    </row>
    <row r="9800" spans="1:4">
      <c r="A9800" s="3"/>
      <c r="D9800" s="3"/>
    </row>
    <row r="9801" spans="1:4">
      <c r="A9801" s="3"/>
      <c r="D9801" s="3"/>
    </row>
    <row r="9802" spans="1:4">
      <c r="A9802" s="3"/>
      <c r="D9802" s="3"/>
    </row>
    <row r="9803" spans="1:4">
      <c r="A9803" s="3"/>
      <c r="D9803" s="3"/>
    </row>
    <row r="9804" spans="1:4">
      <c r="A9804" s="3"/>
      <c r="D9804" s="3"/>
    </row>
    <row r="9805" spans="1:4">
      <c r="A9805" s="3"/>
      <c r="D9805" s="3"/>
    </row>
    <row r="9806" spans="1:4">
      <c r="A9806" s="3"/>
      <c r="D9806" s="3"/>
    </row>
    <row r="9807" spans="1:4">
      <c r="A9807" s="3"/>
      <c r="D9807" s="3"/>
    </row>
    <row r="9808" spans="1:4">
      <c r="A9808" s="3"/>
      <c r="D9808" s="3"/>
    </row>
    <row r="9809" spans="1:4">
      <c r="A9809" s="3"/>
      <c r="D9809" s="3"/>
    </row>
    <row r="9810" spans="1:4">
      <c r="A9810" s="3"/>
      <c r="D9810" s="3"/>
    </row>
    <row r="9811" spans="1:4">
      <c r="A9811" s="3"/>
      <c r="D9811" s="3"/>
    </row>
    <row r="9812" spans="1:4">
      <c r="A9812" s="3"/>
      <c r="D9812" s="3"/>
    </row>
    <row r="9813" spans="1:4">
      <c r="A9813" s="3"/>
      <c r="D9813" s="3"/>
    </row>
    <row r="9814" spans="1:4">
      <c r="A9814" s="3"/>
      <c r="D9814" s="3"/>
    </row>
    <row r="9815" spans="1:4">
      <c r="A9815" s="3"/>
      <c r="D9815" s="3"/>
    </row>
    <row r="9816" spans="1:4">
      <c r="A9816" s="3"/>
      <c r="D9816" s="3"/>
    </row>
    <row r="9817" spans="1:4">
      <c r="A9817" s="3"/>
      <c r="D9817" s="3"/>
    </row>
    <row r="9818" spans="1:4">
      <c r="A9818" s="3"/>
      <c r="D9818" s="3"/>
    </row>
    <row r="9819" spans="1:4">
      <c r="A9819" s="3"/>
      <c r="D9819" s="3"/>
    </row>
    <row r="9820" spans="1:4">
      <c r="A9820" s="3"/>
      <c r="D9820" s="3"/>
    </row>
    <row r="9821" spans="1:4">
      <c r="A9821" s="3"/>
      <c r="D9821" s="3"/>
    </row>
    <row r="9822" spans="1:4">
      <c r="A9822" s="3"/>
      <c r="D9822" s="3"/>
    </row>
    <row r="9823" spans="1:4">
      <c r="A9823" s="3"/>
      <c r="D9823" s="3"/>
    </row>
    <row r="9824" spans="1:4">
      <c r="A9824" s="3"/>
      <c r="D9824" s="3"/>
    </row>
    <row r="9825" spans="1:4">
      <c r="A9825" s="3"/>
      <c r="D9825" s="3"/>
    </row>
    <row r="9826" spans="1:4">
      <c r="A9826" s="3"/>
      <c r="D9826" s="3"/>
    </row>
    <row r="9827" spans="1:4">
      <c r="A9827" s="3"/>
      <c r="D9827" s="3"/>
    </row>
    <row r="9828" spans="1:4">
      <c r="A9828" s="3"/>
      <c r="D9828" s="3"/>
    </row>
    <row r="9829" spans="1:4">
      <c r="A9829" s="3"/>
      <c r="D9829" s="3"/>
    </row>
    <row r="9830" spans="1:4">
      <c r="A9830" s="3"/>
      <c r="D9830" s="3"/>
    </row>
    <row r="9831" spans="1:4">
      <c r="A9831" s="3"/>
      <c r="D9831" s="3"/>
    </row>
    <row r="9832" spans="1:4">
      <c r="A9832" s="3"/>
      <c r="D9832" s="3"/>
    </row>
    <row r="9833" spans="1:4">
      <c r="A9833" s="3"/>
      <c r="D9833" s="3"/>
    </row>
    <row r="9834" spans="1:4">
      <c r="A9834" s="3"/>
      <c r="D9834" s="3"/>
    </row>
    <row r="9835" spans="1:4">
      <c r="A9835" s="3"/>
      <c r="D9835" s="3"/>
    </row>
    <row r="9836" spans="1:4">
      <c r="A9836" s="3"/>
      <c r="D9836" s="3"/>
    </row>
    <row r="9837" spans="1:4">
      <c r="A9837" s="3"/>
      <c r="D9837" s="3"/>
    </row>
    <row r="9838" spans="1:4">
      <c r="A9838" s="3"/>
      <c r="D9838" s="3"/>
    </row>
    <row r="9839" spans="1:4">
      <c r="A9839" s="3"/>
      <c r="D9839" s="3"/>
    </row>
    <row r="9840" spans="1:4">
      <c r="A9840" s="3"/>
      <c r="D9840" s="3"/>
    </row>
    <row r="9841" spans="1:4">
      <c r="A9841" s="3"/>
      <c r="D9841" s="3"/>
    </row>
    <row r="9842" spans="1:4">
      <c r="A9842" s="3"/>
      <c r="D9842" s="3"/>
    </row>
    <row r="9843" spans="1:4">
      <c r="A9843" s="3"/>
      <c r="D9843" s="3"/>
    </row>
    <row r="9844" spans="1:4">
      <c r="A9844" s="3"/>
      <c r="D9844" s="3"/>
    </row>
    <row r="9845" spans="1:4">
      <c r="A9845" s="3"/>
      <c r="D9845" s="3"/>
    </row>
    <row r="9846" spans="1:4">
      <c r="A9846" s="3"/>
      <c r="D9846" s="3"/>
    </row>
    <row r="9847" spans="1:4">
      <c r="A9847" s="3"/>
      <c r="D9847" s="3"/>
    </row>
    <row r="9848" spans="1:4">
      <c r="A9848" s="3"/>
      <c r="D9848" s="3"/>
    </row>
    <row r="9849" spans="1:4">
      <c r="A9849" s="3"/>
      <c r="D9849" s="3"/>
    </row>
    <row r="9850" spans="1:4">
      <c r="A9850" s="3"/>
      <c r="D9850" s="3"/>
    </row>
    <row r="9851" spans="1:4">
      <c r="A9851" s="3"/>
      <c r="D9851" s="3"/>
    </row>
    <row r="9852" spans="1:4">
      <c r="A9852" s="3"/>
      <c r="D9852" s="3"/>
    </row>
    <row r="9853" spans="1:4">
      <c r="A9853" s="3"/>
      <c r="D9853" s="3"/>
    </row>
    <row r="9854" spans="1:4">
      <c r="A9854" s="3"/>
      <c r="D9854" s="3"/>
    </row>
    <row r="9855" spans="1:4">
      <c r="A9855" s="3"/>
      <c r="D9855" s="3"/>
    </row>
    <row r="9856" spans="1:4">
      <c r="A9856" s="3"/>
      <c r="D9856" s="3"/>
    </row>
    <row r="9857" spans="1:4">
      <c r="A9857" s="3"/>
      <c r="D9857" s="3"/>
    </row>
    <row r="9858" spans="1:4">
      <c r="A9858" s="3"/>
      <c r="D9858" s="3"/>
    </row>
    <row r="9859" spans="1:4">
      <c r="A9859" s="3"/>
      <c r="D9859" s="3"/>
    </row>
    <row r="9860" spans="1:4">
      <c r="A9860" s="3"/>
      <c r="D9860" s="3"/>
    </row>
    <row r="9861" spans="1:4">
      <c r="A9861" s="3"/>
      <c r="D9861" s="3"/>
    </row>
    <row r="9862" spans="1:4">
      <c r="A9862" s="3"/>
      <c r="D9862" s="3"/>
    </row>
    <row r="9863" spans="1:4">
      <c r="A9863" s="3"/>
      <c r="D9863" s="3"/>
    </row>
    <row r="9864" spans="1:4">
      <c r="A9864" s="3"/>
      <c r="D9864" s="3"/>
    </row>
    <row r="9865" spans="1:4">
      <c r="A9865" s="3"/>
      <c r="D9865" s="3"/>
    </row>
    <row r="9866" spans="1:4">
      <c r="A9866" s="3"/>
      <c r="D9866" s="3"/>
    </row>
    <row r="9867" spans="1:4">
      <c r="A9867" s="3"/>
      <c r="D9867" s="3"/>
    </row>
    <row r="9868" spans="1:4">
      <c r="A9868" s="3"/>
      <c r="D9868" s="3"/>
    </row>
    <row r="9869" spans="1:4">
      <c r="A9869" s="3"/>
      <c r="D9869" s="3"/>
    </row>
    <row r="9870" spans="1:4">
      <c r="A9870" s="3"/>
      <c r="D9870" s="3"/>
    </row>
    <row r="9871" spans="1:4">
      <c r="A9871" s="3"/>
      <c r="D9871" s="3"/>
    </row>
    <row r="9872" spans="1:4">
      <c r="A9872" s="3"/>
      <c r="D9872" s="3"/>
    </row>
    <row r="9873" spans="1:4">
      <c r="A9873" s="3"/>
      <c r="D9873" s="3"/>
    </row>
    <row r="9874" spans="1:4">
      <c r="A9874" s="3"/>
      <c r="D9874" s="3"/>
    </row>
    <row r="9875" spans="1:4">
      <c r="A9875" s="3"/>
      <c r="D9875" s="3"/>
    </row>
    <row r="9876" spans="1:4">
      <c r="A9876" s="3"/>
      <c r="D9876" s="3"/>
    </row>
    <row r="9877" spans="1:4">
      <c r="A9877" s="3"/>
      <c r="D9877" s="3"/>
    </row>
    <row r="9878" spans="1:4">
      <c r="A9878" s="3"/>
      <c r="D9878" s="3"/>
    </row>
    <row r="9879" spans="1:4">
      <c r="A9879" s="3"/>
      <c r="D9879" s="3"/>
    </row>
    <row r="9880" spans="1:4">
      <c r="A9880" s="3"/>
      <c r="D9880" s="3"/>
    </row>
    <row r="9881" spans="1:4">
      <c r="A9881" s="3"/>
      <c r="D9881" s="3"/>
    </row>
    <row r="9882" spans="1:4">
      <c r="A9882" s="3"/>
      <c r="D9882" s="3"/>
    </row>
    <row r="9883" spans="1:4">
      <c r="A9883" s="3"/>
      <c r="D9883" s="3"/>
    </row>
    <row r="9884" spans="1:4">
      <c r="A9884" s="3"/>
      <c r="D9884" s="3"/>
    </row>
    <row r="9885" spans="1:4">
      <c r="A9885" s="3"/>
      <c r="D9885" s="3"/>
    </row>
    <row r="9886" spans="1:4">
      <c r="A9886" s="3"/>
      <c r="D9886" s="3"/>
    </row>
    <row r="9887" spans="1:4">
      <c r="A9887" s="3"/>
      <c r="D9887" s="3"/>
    </row>
    <row r="9888" spans="1:4">
      <c r="A9888" s="3"/>
      <c r="D9888" s="3"/>
    </row>
    <row r="9889" spans="1:4">
      <c r="A9889" s="3"/>
      <c r="D9889" s="3"/>
    </row>
    <row r="9890" spans="1:4">
      <c r="A9890" s="3"/>
      <c r="D9890" s="3"/>
    </row>
    <row r="9891" spans="1:4">
      <c r="A9891" s="3"/>
      <c r="D9891" s="3"/>
    </row>
    <row r="9892" spans="1:4">
      <c r="A9892" s="3"/>
      <c r="D9892" s="3"/>
    </row>
    <row r="9893" spans="1:4">
      <c r="A9893" s="3"/>
      <c r="D9893" s="3"/>
    </row>
    <row r="9894" spans="1:4">
      <c r="A9894" s="3"/>
      <c r="D9894" s="3"/>
    </row>
    <row r="9895" spans="1:4">
      <c r="A9895" s="3"/>
      <c r="D9895" s="3"/>
    </row>
    <row r="9896" spans="1:4">
      <c r="A9896" s="3"/>
      <c r="D9896" s="3"/>
    </row>
    <row r="9897" spans="1:4">
      <c r="A9897" s="3"/>
      <c r="D9897" s="3"/>
    </row>
    <row r="9898" spans="1:4">
      <c r="A9898" s="3"/>
      <c r="D9898" s="3"/>
    </row>
    <row r="9899" spans="1:4">
      <c r="A9899" s="3"/>
      <c r="D9899" s="3"/>
    </row>
    <row r="9900" spans="1:4">
      <c r="A9900" s="3"/>
      <c r="D9900" s="3"/>
    </row>
    <row r="9901" spans="1:4">
      <c r="A9901" s="3"/>
      <c r="D9901" s="3"/>
    </row>
    <row r="9902" spans="1:4">
      <c r="A9902" s="3"/>
      <c r="D9902" s="3"/>
    </row>
    <row r="9903" spans="1:4">
      <c r="A9903" s="3"/>
      <c r="D9903" s="3"/>
    </row>
    <row r="9904" spans="1:4">
      <c r="A9904" s="3"/>
      <c r="D9904" s="3"/>
    </row>
    <row r="9905" spans="1:4">
      <c r="A9905" s="3"/>
      <c r="D9905" s="3"/>
    </row>
    <row r="9906" spans="1:4">
      <c r="A9906" s="3"/>
      <c r="D9906" s="3"/>
    </row>
    <row r="9907" spans="1:4">
      <c r="A9907" s="3"/>
      <c r="D9907" s="3"/>
    </row>
    <row r="9908" spans="1:4">
      <c r="A9908" s="3"/>
      <c r="D9908" s="3"/>
    </row>
    <row r="9909" spans="1:4">
      <c r="A9909" s="3"/>
      <c r="D9909" s="3"/>
    </row>
    <row r="9910" spans="1:4">
      <c r="A9910" s="3"/>
      <c r="D9910" s="3"/>
    </row>
    <row r="9911" spans="1:4">
      <c r="A9911" s="3"/>
      <c r="D9911" s="3"/>
    </row>
    <row r="9912" spans="1:4">
      <c r="A9912" s="3"/>
      <c r="D9912" s="3"/>
    </row>
    <row r="9913" spans="1:4">
      <c r="A9913" s="3"/>
      <c r="D9913" s="3"/>
    </row>
    <row r="9914" spans="1:4">
      <c r="A9914" s="3"/>
      <c r="D9914" s="3"/>
    </row>
    <row r="9915" spans="1:4">
      <c r="A9915" s="3"/>
      <c r="D9915" s="3"/>
    </row>
    <row r="9916" spans="1:4">
      <c r="A9916" s="3"/>
      <c r="D9916" s="3"/>
    </row>
    <row r="9917" spans="1:4">
      <c r="A9917" s="3"/>
      <c r="D9917" s="3"/>
    </row>
    <row r="9918" spans="1:4">
      <c r="A9918" s="3"/>
      <c r="D9918" s="3"/>
    </row>
    <row r="9919" spans="1:4">
      <c r="A9919" s="3"/>
      <c r="D9919" s="3"/>
    </row>
    <row r="9920" spans="1:4">
      <c r="A9920" s="3"/>
      <c r="D9920" s="3"/>
    </row>
    <row r="9921" spans="1:4">
      <c r="A9921" s="3"/>
      <c r="D9921" s="3"/>
    </row>
    <row r="9922" spans="1:4">
      <c r="A9922" s="3"/>
      <c r="D9922" s="3"/>
    </row>
    <row r="9923" spans="1:4">
      <c r="A9923" s="3"/>
      <c r="D9923" s="3"/>
    </row>
    <row r="9924" spans="1:4">
      <c r="A9924" s="3"/>
      <c r="D9924" s="3"/>
    </row>
    <row r="9925" spans="1:4">
      <c r="A9925" s="3"/>
      <c r="D9925" s="3"/>
    </row>
    <row r="9926" spans="1:4">
      <c r="A9926" s="3"/>
      <c r="D9926" s="3"/>
    </row>
    <row r="9927" spans="1:4">
      <c r="A9927" s="3"/>
      <c r="D9927" s="3"/>
    </row>
    <row r="9928" spans="1:4">
      <c r="A9928" s="3"/>
      <c r="D9928" s="3"/>
    </row>
    <row r="9929" spans="1:4">
      <c r="A9929" s="3"/>
      <c r="D9929" s="3"/>
    </row>
    <row r="9930" spans="1:4">
      <c r="A9930" s="3"/>
      <c r="D9930" s="3"/>
    </row>
    <row r="9931" spans="1:4">
      <c r="A9931" s="3"/>
      <c r="D9931" s="3"/>
    </row>
    <row r="9932" spans="1:4">
      <c r="A9932" s="3"/>
      <c r="D9932" s="3"/>
    </row>
    <row r="9933" spans="1:4">
      <c r="A9933" s="3"/>
      <c r="D9933" s="3"/>
    </row>
    <row r="9934" spans="1:4">
      <c r="A9934" s="3"/>
      <c r="D9934" s="3"/>
    </row>
    <row r="9935" spans="1:4">
      <c r="A9935" s="3"/>
      <c r="D9935" s="3"/>
    </row>
    <row r="9936" spans="1:4">
      <c r="A9936" s="3"/>
      <c r="D9936" s="3"/>
    </row>
    <row r="9937" spans="1:4">
      <c r="A9937" s="3"/>
      <c r="D9937" s="3"/>
    </row>
    <row r="9938" spans="1:4">
      <c r="A9938" s="3"/>
      <c r="D9938" s="3"/>
    </row>
    <row r="9939" spans="1:4">
      <c r="A9939" s="3"/>
      <c r="D9939" s="3"/>
    </row>
    <row r="9940" spans="1:4">
      <c r="A9940" s="3"/>
      <c r="D9940" s="3"/>
    </row>
    <row r="9941" spans="1:4">
      <c r="A9941" s="3"/>
      <c r="D9941" s="3"/>
    </row>
    <row r="9942" spans="1:4">
      <c r="A9942" s="3"/>
      <c r="D9942" s="3"/>
    </row>
    <row r="9943" spans="1:4">
      <c r="A9943" s="3"/>
      <c r="D9943" s="3"/>
    </row>
    <row r="9944" spans="1:4">
      <c r="A9944" s="3"/>
      <c r="D9944" s="3"/>
    </row>
    <row r="9945" spans="1:4">
      <c r="A9945" s="3"/>
      <c r="D9945" s="3"/>
    </row>
    <row r="9946" spans="1:4">
      <c r="A9946" s="3"/>
      <c r="D9946" s="3"/>
    </row>
    <row r="9947" spans="1:4">
      <c r="A9947" s="3"/>
      <c r="D9947" s="3"/>
    </row>
    <row r="9948" spans="1:4">
      <c r="A9948" s="3"/>
      <c r="D9948" s="3"/>
    </row>
    <row r="9949" spans="1:4">
      <c r="A9949" s="3"/>
      <c r="D9949" s="3"/>
    </row>
    <row r="9950" spans="1:4">
      <c r="A9950" s="3"/>
      <c r="D9950" s="3"/>
    </row>
    <row r="9951" spans="1:4">
      <c r="A9951" s="3"/>
      <c r="D9951" s="3"/>
    </row>
    <row r="9952" spans="1:4">
      <c r="A9952" s="3"/>
      <c r="D9952" s="3"/>
    </row>
    <row r="9953" spans="1:4">
      <c r="A9953" s="3"/>
      <c r="D9953" s="3"/>
    </row>
    <row r="9954" spans="1:4">
      <c r="A9954" s="3"/>
      <c r="D9954" s="3"/>
    </row>
    <row r="9955" spans="1:4">
      <c r="A9955" s="3"/>
      <c r="D9955" s="3"/>
    </row>
    <row r="9956" spans="1:4">
      <c r="A9956" s="3"/>
      <c r="D9956" s="3"/>
    </row>
    <row r="9957" spans="1:4">
      <c r="A9957" s="3"/>
      <c r="D9957" s="3"/>
    </row>
    <row r="9958" spans="1:4">
      <c r="A9958" s="3"/>
      <c r="D9958" s="3"/>
    </row>
    <row r="9959" spans="1:4">
      <c r="A9959" s="3"/>
      <c r="D9959" s="3"/>
    </row>
    <row r="9960" spans="1:4">
      <c r="A9960" s="3"/>
      <c r="D9960" s="3"/>
    </row>
    <row r="9961" spans="1:4">
      <c r="A9961" s="3"/>
      <c r="D9961" s="3"/>
    </row>
    <row r="9962" spans="1:4">
      <c r="A9962" s="3"/>
      <c r="D9962" s="3"/>
    </row>
    <row r="9963" spans="1:4">
      <c r="A9963" s="3"/>
      <c r="D9963" s="3"/>
    </row>
    <row r="9964" spans="1:4">
      <c r="A9964" s="3"/>
      <c r="D9964" s="3"/>
    </row>
    <row r="9965" spans="1:4">
      <c r="A9965" s="3"/>
      <c r="D9965" s="3"/>
    </row>
    <row r="9966" spans="1:4">
      <c r="A9966" s="3"/>
      <c r="D9966" s="3"/>
    </row>
    <row r="9967" spans="1:4">
      <c r="A9967" s="3"/>
      <c r="D9967" s="3"/>
    </row>
    <row r="9968" spans="1:4">
      <c r="A9968" s="3"/>
      <c r="D9968" s="3"/>
    </row>
    <row r="9969" spans="1:4">
      <c r="A9969" s="3"/>
      <c r="D9969" s="3"/>
    </row>
    <row r="9970" spans="1:4">
      <c r="A9970" s="3"/>
      <c r="D9970" s="3"/>
    </row>
    <row r="9971" spans="1:4">
      <c r="A9971" s="3"/>
      <c r="D9971" s="3"/>
    </row>
    <row r="9972" spans="1:4">
      <c r="A9972" s="3"/>
      <c r="D9972" s="3"/>
    </row>
    <row r="9973" spans="1:4">
      <c r="A9973" s="3"/>
      <c r="D9973" s="3"/>
    </row>
    <row r="9974" spans="1:4">
      <c r="A9974" s="3"/>
      <c r="D9974" s="3"/>
    </row>
    <row r="9975" spans="1:4">
      <c r="A9975" s="3"/>
      <c r="D9975" s="3"/>
    </row>
    <row r="9976" spans="1:4">
      <c r="A9976" s="3"/>
      <c r="D9976" s="3"/>
    </row>
    <row r="9977" spans="1:4">
      <c r="A9977" s="3"/>
      <c r="D9977" s="3"/>
    </row>
    <row r="9978" spans="1:4">
      <c r="A9978" s="3"/>
      <c r="D9978" s="3"/>
    </row>
    <row r="9979" spans="1:4">
      <c r="A9979" s="3"/>
      <c r="D9979" s="3"/>
    </row>
    <row r="9980" spans="1:4">
      <c r="A9980" s="3"/>
      <c r="D9980" s="3"/>
    </row>
    <row r="9981" spans="1:4">
      <c r="A9981" s="3"/>
      <c r="D9981" s="3"/>
    </row>
    <row r="9982" spans="1:4">
      <c r="A9982" s="3"/>
      <c r="D9982" s="3"/>
    </row>
    <row r="9983" spans="1:4">
      <c r="A9983" s="3"/>
      <c r="D9983" s="3"/>
    </row>
    <row r="9984" spans="1:4">
      <c r="A9984" s="3"/>
      <c r="D9984" s="3"/>
    </row>
    <row r="9985" spans="1:4">
      <c r="A9985" s="3"/>
      <c r="D9985" s="3"/>
    </row>
    <row r="9986" spans="1:4">
      <c r="A9986" s="3"/>
      <c r="D9986" s="3"/>
    </row>
    <row r="9987" spans="1:4">
      <c r="A9987" s="3"/>
      <c r="D9987" s="3"/>
    </row>
    <row r="9988" spans="1:4">
      <c r="A9988" s="3"/>
      <c r="D9988" s="3"/>
    </row>
    <row r="9989" spans="1:4">
      <c r="A9989" s="3"/>
      <c r="D9989" s="3"/>
    </row>
    <row r="9990" spans="1:4">
      <c r="A9990" s="3"/>
      <c r="D9990" s="3"/>
    </row>
    <row r="9991" spans="1:4">
      <c r="A9991" s="3"/>
      <c r="D9991" s="3"/>
    </row>
    <row r="9992" spans="1:4">
      <c r="A9992" s="3"/>
      <c r="D9992" s="3"/>
    </row>
    <row r="9993" spans="1:4">
      <c r="A9993" s="3"/>
      <c r="D9993" s="3"/>
    </row>
    <row r="9994" spans="1:4">
      <c r="A9994" s="3"/>
      <c r="D9994" s="3"/>
    </row>
    <row r="9995" spans="1:4">
      <c r="A9995" s="3"/>
      <c r="D9995" s="3"/>
    </row>
    <row r="9996" spans="1:4">
      <c r="A9996" s="3"/>
      <c r="D9996" s="3"/>
    </row>
    <row r="9997" spans="1:4">
      <c r="A9997" s="3"/>
      <c r="D9997" s="3"/>
    </row>
    <row r="9998" spans="1:4">
      <c r="A9998" s="3"/>
      <c r="D9998" s="3"/>
    </row>
    <row r="9999" spans="1:4">
      <c r="A9999" s="3"/>
      <c r="D9999" s="3"/>
    </row>
    <row r="10000" spans="1:4">
      <c r="A10000" s="3"/>
      <c r="D10000" s="3"/>
    </row>
    <row r="10001" spans="1:4">
      <c r="A10001" s="3"/>
      <c r="D10001" s="3"/>
    </row>
    <row r="10002" spans="1:4">
      <c r="A10002" s="3"/>
      <c r="D10002" s="3"/>
    </row>
    <row r="10003" spans="1:4">
      <c r="A10003" s="3"/>
      <c r="D10003" s="3"/>
    </row>
    <row r="10004" spans="1:4">
      <c r="A10004" s="3"/>
      <c r="D10004" s="3"/>
    </row>
    <row r="10005" spans="1:4">
      <c r="A10005" s="3"/>
      <c r="D10005" s="3"/>
    </row>
    <row r="10006" spans="1:4">
      <c r="A10006" s="3"/>
      <c r="D10006" s="3"/>
    </row>
    <row r="10007" spans="1:4">
      <c r="A10007" s="3"/>
      <c r="D10007" s="3"/>
    </row>
    <row r="10008" spans="1:4">
      <c r="A10008" s="3"/>
      <c r="D10008" s="3"/>
    </row>
    <row r="10009" spans="1:4">
      <c r="A10009" s="3"/>
      <c r="D10009" s="3"/>
    </row>
    <row r="10010" spans="1:4">
      <c r="A10010" s="3"/>
      <c r="D10010" s="3"/>
    </row>
    <row r="10011" spans="1:4">
      <c r="A10011" s="3"/>
      <c r="D10011" s="3"/>
    </row>
    <row r="10012" spans="1:4">
      <c r="A10012" s="3"/>
      <c r="D10012" s="3"/>
    </row>
    <row r="10013" spans="1:4">
      <c r="A10013" s="3"/>
      <c r="D10013" s="3"/>
    </row>
    <row r="10014" spans="1:4">
      <c r="A10014" s="3"/>
      <c r="D10014" s="3"/>
    </row>
    <row r="10015" spans="1:4">
      <c r="A10015" s="3"/>
      <c r="D10015" s="3"/>
    </row>
    <row r="10016" spans="1:4">
      <c r="A10016" s="3"/>
      <c r="D10016" s="3"/>
    </row>
    <row r="10017" spans="1:4">
      <c r="A10017" s="3"/>
      <c r="D10017" s="3"/>
    </row>
    <row r="10018" spans="1:4">
      <c r="A10018" s="3"/>
      <c r="D10018" s="3"/>
    </row>
    <row r="10019" spans="1:4">
      <c r="A10019" s="3"/>
      <c r="D10019" s="3"/>
    </row>
    <row r="10020" spans="1:4">
      <c r="A10020" s="3"/>
      <c r="D10020" s="3"/>
    </row>
    <row r="10021" spans="1:4">
      <c r="A10021" s="3"/>
      <c r="D10021" s="3"/>
    </row>
    <row r="10022" spans="1:4">
      <c r="A10022" s="3"/>
      <c r="D10022" s="3"/>
    </row>
    <row r="10023" spans="1:4">
      <c r="A10023" s="3"/>
      <c r="D10023" s="3"/>
    </row>
    <row r="10024" spans="1:4">
      <c r="A10024" s="3"/>
      <c r="D10024" s="3"/>
    </row>
    <row r="10025" spans="1:4">
      <c r="A10025" s="3"/>
      <c r="D10025" s="3"/>
    </row>
    <row r="10026" spans="1:4">
      <c r="A10026" s="3"/>
      <c r="D10026" s="3"/>
    </row>
    <row r="10027" spans="1:4">
      <c r="A10027" s="3"/>
      <c r="D10027" s="3"/>
    </row>
    <row r="10028" spans="1:4">
      <c r="A10028" s="3"/>
      <c r="D10028" s="3"/>
    </row>
    <row r="10029" spans="1:4">
      <c r="A10029" s="3"/>
      <c r="D10029" s="3"/>
    </row>
    <row r="10030" spans="1:4">
      <c r="A10030" s="3"/>
      <c r="D10030" s="3"/>
    </row>
    <row r="10031" spans="1:4">
      <c r="A10031" s="3"/>
      <c r="D10031" s="3"/>
    </row>
    <row r="10032" spans="1:4">
      <c r="A10032" s="3"/>
      <c r="D10032" s="3"/>
    </row>
    <row r="10033" spans="1:4">
      <c r="A10033" s="3"/>
      <c r="D10033" s="3"/>
    </row>
    <row r="10034" spans="1:4">
      <c r="A10034" s="3"/>
      <c r="D10034" s="3"/>
    </row>
    <row r="10035" spans="1:4">
      <c r="A10035" s="3"/>
      <c r="D10035" s="3"/>
    </row>
    <row r="10036" spans="1:4">
      <c r="A10036" s="3"/>
      <c r="D10036" s="3"/>
    </row>
    <row r="10037" spans="1:4">
      <c r="A10037" s="3"/>
      <c r="D10037" s="3"/>
    </row>
    <row r="10038" spans="1:4">
      <c r="A10038" s="3"/>
      <c r="D10038" s="3"/>
    </row>
    <row r="10039" spans="1:4">
      <c r="A10039" s="3"/>
      <c r="D10039" s="3"/>
    </row>
    <row r="10040" spans="1:4">
      <c r="A10040" s="3"/>
      <c r="D10040" s="3"/>
    </row>
    <row r="10041" spans="1:4">
      <c r="A10041" s="3"/>
      <c r="D10041" s="3"/>
    </row>
    <row r="10042" spans="1:4">
      <c r="A10042" s="3"/>
      <c r="D10042" s="3"/>
    </row>
    <row r="10043" spans="1:4">
      <c r="A10043" s="3"/>
      <c r="D10043" s="3"/>
    </row>
    <row r="10044" spans="1:4">
      <c r="A10044" s="3"/>
      <c r="D10044" s="3"/>
    </row>
    <row r="10045" spans="1:4">
      <c r="A10045" s="3"/>
      <c r="D10045" s="3"/>
    </row>
    <row r="10046" spans="1:4">
      <c r="A10046" s="3"/>
      <c r="D10046" s="3"/>
    </row>
    <row r="10047" spans="1:4">
      <c r="A10047" s="3"/>
      <c r="D10047" s="3"/>
    </row>
    <row r="10048" spans="1:4">
      <c r="A10048" s="3"/>
      <c r="D10048" s="3"/>
    </row>
    <row r="10049" spans="1:4">
      <c r="A10049" s="3"/>
      <c r="D10049" s="3"/>
    </row>
    <row r="10050" spans="1:4">
      <c r="A10050" s="3"/>
      <c r="D10050" s="3"/>
    </row>
    <row r="10051" spans="1:4">
      <c r="A10051" s="3"/>
      <c r="D10051" s="3"/>
    </row>
    <row r="10052" spans="1:4">
      <c r="A10052" s="3"/>
      <c r="D10052" s="3"/>
    </row>
    <row r="10053" spans="1:4">
      <c r="A10053" s="3"/>
      <c r="D10053" s="3"/>
    </row>
    <row r="10054" spans="1:4">
      <c r="A10054" s="3"/>
      <c r="D10054" s="3"/>
    </row>
    <row r="10055" spans="1:4">
      <c r="A10055" s="3"/>
      <c r="D10055" s="3"/>
    </row>
    <row r="10056" spans="1:4">
      <c r="A10056" s="3"/>
      <c r="D10056" s="3"/>
    </row>
    <row r="10057" spans="1:4">
      <c r="A10057" s="3"/>
      <c r="D10057" s="3"/>
    </row>
    <row r="10058" spans="1:4">
      <c r="A10058" s="3"/>
      <c r="D10058" s="3"/>
    </row>
    <row r="10059" spans="1:4">
      <c r="A10059" s="3"/>
      <c r="D10059" s="3"/>
    </row>
    <row r="10060" spans="1:4">
      <c r="A10060" s="3"/>
      <c r="D10060" s="3"/>
    </row>
    <row r="10061" spans="1:4">
      <c r="A10061" s="3"/>
      <c r="D10061" s="3"/>
    </row>
    <row r="10062" spans="1:4">
      <c r="A10062" s="3"/>
      <c r="D10062" s="3"/>
    </row>
    <row r="10063" spans="1:4">
      <c r="A10063" s="3"/>
      <c r="D10063" s="3"/>
    </row>
    <row r="10064" spans="1:4">
      <c r="A10064" s="3"/>
      <c r="D10064" s="3"/>
    </row>
    <row r="10065" spans="1:4">
      <c r="A10065" s="3"/>
      <c r="D10065" s="3"/>
    </row>
    <row r="10066" spans="1:4">
      <c r="A10066" s="3"/>
      <c r="D10066" s="3"/>
    </row>
    <row r="10067" spans="1:4">
      <c r="A10067" s="3"/>
      <c r="D10067" s="3"/>
    </row>
    <row r="10068" spans="1:4">
      <c r="A10068" s="3"/>
      <c r="D10068" s="3"/>
    </row>
    <row r="10069" spans="1:4">
      <c r="A10069" s="3"/>
      <c r="D10069" s="3"/>
    </row>
    <row r="10070" spans="1:4">
      <c r="A10070" s="3"/>
      <c r="D10070" s="3"/>
    </row>
    <row r="10071" spans="1:4">
      <c r="A10071" s="3"/>
      <c r="D10071" s="3"/>
    </row>
    <row r="10072" spans="1:4">
      <c r="A10072" s="3"/>
      <c r="D10072" s="3"/>
    </row>
    <row r="10073" spans="1:4">
      <c r="A10073" s="3"/>
      <c r="D10073" s="3"/>
    </row>
    <row r="10074" spans="1:4">
      <c r="A10074" s="3"/>
      <c r="D10074" s="3"/>
    </row>
    <row r="10075" spans="1:4">
      <c r="A10075" s="3"/>
      <c r="D10075" s="3"/>
    </row>
    <row r="10076" spans="1:4">
      <c r="A10076" s="3"/>
      <c r="D10076" s="3"/>
    </row>
    <row r="10077" spans="1:4">
      <c r="A10077" s="3"/>
      <c r="D10077" s="3"/>
    </row>
    <row r="10078" spans="1:4">
      <c r="A10078" s="3"/>
      <c r="D10078" s="3"/>
    </row>
    <row r="10079" spans="1:4">
      <c r="A10079" s="3"/>
      <c r="D10079" s="3"/>
    </row>
    <row r="10080" spans="1:4">
      <c r="A10080" s="3"/>
      <c r="D10080" s="3"/>
    </row>
    <row r="10081" spans="1:4">
      <c r="A10081" s="3"/>
      <c r="D10081" s="3"/>
    </row>
    <row r="10082" spans="1:4">
      <c r="A10082" s="3"/>
      <c r="D10082" s="3"/>
    </row>
    <row r="10083" spans="1:4">
      <c r="A10083" s="3"/>
      <c r="D10083" s="3"/>
    </row>
    <row r="10084" spans="1:4">
      <c r="A10084" s="3"/>
      <c r="D10084" s="3"/>
    </row>
    <row r="10085" spans="1:4">
      <c r="A10085" s="3"/>
      <c r="D10085" s="3"/>
    </row>
    <row r="10086" spans="1:4">
      <c r="A10086" s="3"/>
      <c r="D10086" s="3"/>
    </row>
    <row r="10087" spans="1:4">
      <c r="A10087" s="3"/>
      <c r="D10087" s="3"/>
    </row>
    <row r="10088" spans="1:4">
      <c r="A10088" s="3"/>
      <c r="D10088" s="3"/>
    </row>
    <row r="10089" spans="1:4">
      <c r="A10089" s="3"/>
      <c r="D10089" s="3"/>
    </row>
    <row r="10090" spans="1:4">
      <c r="A10090" s="3"/>
      <c r="D10090" s="3"/>
    </row>
    <row r="10091" spans="1:4">
      <c r="A10091" s="3"/>
      <c r="D10091" s="3"/>
    </row>
    <row r="10092" spans="1:4">
      <c r="A10092" s="3"/>
      <c r="D10092" s="3"/>
    </row>
    <row r="10093" spans="1:4">
      <c r="A10093" s="3"/>
      <c r="D10093" s="3"/>
    </row>
    <row r="10094" spans="1:4">
      <c r="A10094" s="3"/>
      <c r="D10094" s="3"/>
    </row>
    <row r="10095" spans="1:4">
      <c r="A10095" s="3"/>
      <c r="D10095" s="3"/>
    </row>
    <row r="10096" spans="1:4">
      <c r="A10096" s="3"/>
      <c r="D10096" s="3"/>
    </row>
    <row r="10097" spans="1:4">
      <c r="A10097" s="3"/>
      <c r="D10097" s="3"/>
    </row>
    <row r="10098" spans="1:4">
      <c r="A10098" s="3"/>
      <c r="D10098" s="3"/>
    </row>
    <row r="10099" spans="1:4">
      <c r="A10099" s="3"/>
      <c r="D10099" s="3"/>
    </row>
    <row r="10100" spans="1:4">
      <c r="A10100" s="3"/>
      <c r="D10100" s="3"/>
    </row>
    <row r="10101" spans="1:4">
      <c r="A10101" s="3"/>
      <c r="D10101" s="3"/>
    </row>
    <row r="10102" spans="1:4">
      <c r="A10102" s="3"/>
      <c r="D10102" s="3"/>
    </row>
    <row r="10103" spans="1:4">
      <c r="A10103" s="3"/>
      <c r="D10103" s="3"/>
    </row>
    <row r="10104" spans="1:4">
      <c r="A10104" s="3"/>
      <c r="D10104" s="3"/>
    </row>
    <row r="10105" spans="1:4">
      <c r="A10105" s="3"/>
      <c r="D10105" s="3"/>
    </row>
    <row r="10106" spans="1:4">
      <c r="A10106" s="3"/>
      <c r="D10106" s="3"/>
    </row>
    <row r="10107" spans="1:4">
      <c r="A10107" s="3"/>
      <c r="D10107" s="3"/>
    </row>
    <row r="10108" spans="1:4">
      <c r="A10108" s="3"/>
      <c r="D10108" s="3"/>
    </row>
    <row r="10109" spans="1:4">
      <c r="A10109" s="3"/>
      <c r="D10109" s="3"/>
    </row>
    <row r="10110" spans="1:4">
      <c r="A10110" s="3"/>
      <c r="D10110" s="3"/>
    </row>
    <row r="10111" spans="1:4">
      <c r="A10111" s="3"/>
      <c r="D10111" s="3"/>
    </row>
    <row r="10112" spans="1:4">
      <c r="A10112" s="3"/>
      <c r="D10112" s="3"/>
    </row>
    <row r="10113" spans="1:4">
      <c r="A10113" s="3"/>
      <c r="D10113" s="3"/>
    </row>
    <row r="10114" spans="1:4">
      <c r="A10114" s="3"/>
      <c r="D10114" s="3"/>
    </row>
    <row r="10115" spans="1:4">
      <c r="A10115" s="3"/>
      <c r="D10115" s="3"/>
    </row>
    <row r="10116" spans="1:4">
      <c r="A10116" s="3"/>
      <c r="D10116" s="3"/>
    </row>
    <row r="10117" spans="1:4">
      <c r="A10117" s="3"/>
      <c r="D10117" s="3"/>
    </row>
    <row r="10118" spans="1:4">
      <c r="A10118" s="3"/>
      <c r="D10118" s="3"/>
    </row>
    <row r="10119" spans="1:4">
      <c r="A10119" s="3"/>
      <c r="D10119" s="3"/>
    </row>
    <row r="10120" spans="1:4">
      <c r="A10120" s="3"/>
      <c r="D10120" s="3"/>
    </row>
    <row r="10121" spans="1:4">
      <c r="A10121" s="3"/>
      <c r="D10121" s="3"/>
    </row>
    <row r="10122" spans="1:4">
      <c r="A10122" s="3"/>
      <c r="D10122" s="3"/>
    </row>
    <row r="10123" spans="1:4">
      <c r="A10123" s="3"/>
      <c r="D10123" s="3"/>
    </row>
    <row r="10124" spans="1:4">
      <c r="A10124" s="3"/>
      <c r="D10124" s="3"/>
    </row>
    <row r="10125" spans="1:4">
      <c r="A10125" s="3"/>
      <c r="D10125" s="3"/>
    </row>
    <row r="10126" spans="1:4">
      <c r="A10126" s="3"/>
      <c r="D10126" s="3"/>
    </row>
    <row r="10127" spans="1:4">
      <c r="A10127" s="3"/>
      <c r="D10127" s="3"/>
    </row>
    <row r="10128" spans="1:4">
      <c r="A10128" s="3"/>
      <c r="D10128" s="3"/>
    </row>
    <row r="10129" spans="1:4">
      <c r="A10129" s="3"/>
      <c r="D10129" s="3"/>
    </row>
    <row r="10130" spans="1:4">
      <c r="A10130" s="3"/>
      <c r="D10130" s="3"/>
    </row>
    <row r="10131" spans="1:4">
      <c r="A10131" s="3"/>
      <c r="D10131" s="3"/>
    </row>
    <row r="10132" spans="1:4">
      <c r="A10132" s="3"/>
      <c r="D10132" s="3"/>
    </row>
    <row r="10133" spans="1:4">
      <c r="A10133" s="3"/>
      <c r="D10133" s="3"/>
    </row>
    <row r="10134" spans="1:4">
      <c r="A10134" s="3"/>
      <c r="D10134" s="3"/>
    </row>
    <row r="10135" spans="1:4">
      <c r="A10135" s="3"/>
      <c r="D10135" s="3"/>
    </row>
    <row r="10136" spans="1:4">
      <c r="A10136" s="3"/>
      <c r="D10136" s="3"/>
    </row>
    <row r="10137" spans="1:4">
      <c r="A10137" s="3"/>
      <c r="D10137" s="3"/>
    </row>
    <row r="10138" spans="1:4">
      <c r="A10138" s="3"/>
      <c r="D10138" s="3"/>
    </row>
    <row r="10139" spans="1:4">
      <c r="A10139" s="3"/>
      <c r="D10139" s="3"/>
    </row>
    <row r="10140" spans="1:4">
      <c r="A10140" s="3"/>
      <c r="D10140" s="3"/>
    </row>
    <row r="10141" spans="1:4">
      <c r="A10141" s="3"/>
      <c r="D10141" s="3"/>
    </row>
    <row r="10142" spans="1:4">
      <c r="A10142" s="3"/>
      <c r="D10142" s="3"/>
    </row>
    <row r="10143" spans="1:4">
      <c r="A10143" s="3"/>
      <c r="D10143" s="3"/>
    </row>
    <row r="10144" spans="1:4">
      <c r="A10144" s="3"/>
      <c r="D10144" s="3"/>
    </row>
    <row r="10145" spans="1:4">
      <c r="A10145" s="3"/>
      <c r="D10145" s="3"/>
    </row>
    <row r="10146" spans="1:4">
      <c r="A10146" s="3"/>
      <c r="D10146" s="3"/>
    </row>
    <row r="10147" spans="1:4">
      <c r="A10147" s="3"/>
      <c r="D10147" s="3"/>
    </row>
    <row r="10148" spans="1:4">
      <c r="A10148" s="3"/>
      <c r="D10148" s="3"/>
    </row>
    <row r="10149" spans="1:4">
      <c r="A10149" s="3"/>
      <c r="D10149" s="3"/>
    </row>
    <row r="10150" spans="1:4">
      <c r="A10150" s="3"/>
      <c r="D10150" s="3"/>
    </row>
    <row r="10151" spans="1:4">
      <c r="A10151" s="3"/>
      <c r="D10151" s="3"/>
    </row>
    <row r="10152" spans="1:4">
      <c r="A10152" s="3"/>
      <c r="D10152" s="3"/>
    </row>
    <row r="10153" spans="1:4">
      <c r="A10153" s="3"/>
      <c r="D10153" s="3"/>
    </row>
    <row r="10154" spans="1:4">
      <c r="A10154" s="3"/>
      <c r="D10154" s="3"/>
    </row>
    <row r="10155" spans="1:4">
      <c r="A10155" s="3"/>
      <c r="D10155" s="3"/>
    </row>
    <row r="10156" spans="1:4">
      <c r="A10156" s="3"/>
      <c r="D10156" s="3"/>
    </row>
    <row r="10157" spans="1:4">
      <c r="A10157" s="3"/>
      <c r="D10157" s="3"/>
    </row>
    <row r="10158" spans="1:4">
      <c r="A10158" s="3"/>
      <c r="D10158" s="3"/>
    </row>
    <row r="10159" spans="1:4">
      <c r="A10159" s="3"/>
      <c r="D10159" s="3"/>
    </row>
    <row r="10160" spans="1:4">
      <c r="A10160" s="3"/>
      <c r="D10160" s="3"/>
    </row>
    <row r="10161" spans="1:4">
      <c r="A10161" s="3"/>
      <c r="D10161" s="3"/>
    </row>
    <row r="10162" spans="1:4">
      <c r="A10162" s="3"/>
      <c r="D10162" s="3"/>
    </row>
    <row r="10163" spans="1:4">
      <c r="A10163" s="3"/>
      <c r="D10163" s="3"/>
    </row>
    <row r="10164" spans="1:4">
      <c r="A10164" s="3"/>
      <c r="D10164" s="3"/>
    </row>
    <row r="10165" spans="1:4">
      <c r="A10165" s="3"/>
      <c r="D10165" s="3"/>
    </row>
    <row r="10166" spans="1:4">
      <c r="A10166" s="3"/>
      <c r="D10166" s="3"/>
    </row>
    <row r="10167" spans="1:4">
      <c r="A10167" s="3"/>
      <c r="D10167" s="3"/>
    </row>
    <row r="10168" spans="1:4">
      <c r="A10168" s="3"/>
      <c r="D10168" s="3"/>
    </row>
    <row r="10169" spans="1:4">
      <c r="A10169" s="3"/>
      <c r="D10169" s="3"/>
    </row>
    <row r="10170" spans="1:4">
      <c r="A10170" s="3"/>
      <c r="D10170" s="3"/>
    </row>
    <row r="10171" spans="1:4">
      <c r="A10171" s="3"/>
      <c r="D10171" s="3"/>
    </row>
    <row r="10172" spans="1:4">
      <c r="A10172" s="3"/>
      <c r="D10172" s="3"/>
    </row>
    <row r="10173" spans="1:4">
      <c r="A10173" s="3"/>
      <c r="D10173" s="3"/>
    </row>
    <row r="10174" spans="1:4">
      <c r="A10174" s="3"/>
      <c r="D10174" s="3"/>
    </row>
    <row r="10175" spans="1:4">
      <c r="A10175" s="3"/>
      <c r="D10175" s="3"/>
    </row>
    <row r="10176" spans="1:4">
      <c r="A10176" s="3"/>
      <c r="D10176" s="3"/>
    </row>
    <row r="10177" spans="1:4">
      <c r="A10177" s="3"/>
      <c r="D10177" s="3"/>
    </row>
    <row r="10178" spans="1:4">
      <c r="A10178" s="3"/>
      <c r="D10178" s="3"/>
    </row>
    <row r="10179" spans="1:4">
      <c r="A10179" s="3"/>
      <c r="D10179" s="3"/>
    </row>
    <row r="10180" spans="1:4">
      <c r="A10180" s="3"/>
      <c r="D10180" s="3"/>
    </row>
    <row r="10181" spans="1:4">
      <c r="A10181" s="3"/>
      <c r="D10181" s="3"/>
    </row>
    <row r="10182" spans="1:4">
      <c r="A10182" s="3"/>
      <c r="D10182" s="3"/>
    </row>
    <row r="10183" spans="1:4">
      <c r="A10183" s="3"/>
      <c r="D10183" s="3"/>
    </row>
    <row r="10184" spans="1:4">
      <c r="A10184" s="3"/>
      <c r="D10184" s="3"/>
    </row>
    <row r="10185" spans="1:4">
      <c r="A10185" s="3"/>
      <c r="D10185" s="3"/>
    </row>
    <row r="10186" spans="1:4">
      <c r="A10186" s="3"/>
      <c r="D10186" s="3"/>
    </row>
    <row r="10187" spans="1:4">
      <c r="A10187" s="3"/>
      <c r="D10187" s="3"/>
    </row>
    <row r="10188" spans="1:4">
      <c r="A10188" s="3"/>
      <c r="D10188" s="3"/>
    </row>
    <row r="10189" spans="1:4">
      <c r="A10189" s="3"/>
      <c r="D10189" s="3"/>
    </row>
    <row r="10190" spans="1:4">
      <c r="A10190" s="3"/>
      <c r="D10190" s="3"/>
    </row>
    <row r="10191" spans="1:4">
      <c r="A10191" s="3"/>
      <c r="D10191" s="3"/>
    </row>
    <row r="10192" spans="1:4">
      <c r="A10192" s="3"/>
      <c r="D10192" s="3"/>
    </row>
    <row r="10193" spans="1:4">
      <c r="A10193" s="3"/>
      <c r="D10193" s="3"/>
    </row>
    <row r="10194" spans="1:4">
      <c r="A10194" s="3"/>
      <c r="D10194" s="3"/>
    </row>
    <row r="10195" spans="1:4">
      <c r="A10195" s="3"/>
      <c r="D10195" s="3"/>
    </row>
    <row r="10196" spans="1:4">
      <c r="A10196" s="3"/>
      <c r="D10196" s="3"/>
    </row>
    <row r="10197" spans="1:4">
      <c r="A10197" s="3"/>
      <c r="D10197" s="3"/>
    </row>
    <row r="10198" spans="1:4">
      <c r="A10198" s="3"/>
      <c r="D10198" s="3"/>
    </row>
    <row r="10199" spans="1:4">
      <c r="A10199" s="3"/>
      <c r="D10199" s="3"/>
    </row>
    <row r="10200" spans="1:4">
      <c r="A10200" s="3"/>
      <c r="D10200" s="3"/>
    </row>
    <row r="10201" spans="1:4">
      <c r="A10201" s="3"/>
      <c r="D10201" s="3"/>
    </row>
    <row r="10202" spans="1:4">
      <c r="A10202" s="3"/>
      <c r="D10202" s="3"/>
    </row>
    <row r="10203" spans="1:4">
      <c r="A10203" s="3"/>
      <c r="D10203" s="3"/>
    </row>
    <row r="10204" spans="1:4">
      <c r="A10204" s="3"/>
      <c r="D10204" s="3"/>
    </row>
    <row r="10205" spans="1:4">
      <c r="A10205" s="3"/>
      <c r="D10205" s="3"/>
    </row>
    <row r="10206" spans="1:4">
      <c r="A10206" s="3"/>
      <c r="D10206" s="3"/>
    </row>
    <row r="10207" spans="1:4">
      <c r="A10207" s="3"/>
      <c r="D10207" s="3"/>
    </row>
    <row r="10208" spans="1:4">
      <c r="A10208" s="3"/>
      <c r="D10208" s="3"/>
    </row>
    <row r="10209" spans="1:4">
      <c r="A10209" s="3"/>
      <c r="D10209" s="3"/>
    </row>
    <row r="10210" spans="1:4">
      <c r="A10210" s="3"/>
      <c r="D10210" s="3"/>
    </row>
    <row r="10211" spans="1:4">
      <c r="A10211" s="3"/>
      <c r="D10211" s="3"/>
    </row>
    <row r="10212" spans="1:4">
      <c r="A10212" s="3"/>
      <c r="D10212" s="3"/>
    </row>
    <row r="10213" spans="1:4">
      <c r="A10213" s="3"/>
      <c r="D10213" s="3"/>
    </row>
    <row r="10214" spans="1:4">
      <c r="A10214" s="3"/>
      <c r="D10214" s="3"/>
    </row>
    <row r="10215" spans="1:4">
      <c r="A10215" s="3"/>
      <c r="D10215" s="3"/>
    </row>
    <row r="10216" spans="1:4">
      <c r="A10216" s="3"/>
      <c r="D10216" s="3"/>
    </row>
    <row r="10217" spans="1:4">
      <c r="A10217" s="3"/>
      <c r="D10217" s="3"/>
    </row>
    <row r="10218" spans="1:4">
      <c r="A10218" s="3"/>
      <c r="D10218" s="3"/>
    </row>
    <row r="10219" spans="1:4">
      <c r="A10219" s="3"/>
      <c r="D10219" s="3"/>
    </row>
    <row r="10220" spans="1:4">
      <c r="A10220" s="3"/>
      <c r="D10220" s="3"/>
    </row>
    <row r="10221" spans="1:4">
      <c r="A10221" s="3"/>
      <c r="D10221" s="3"/>
    </row>
    <row r="10222" spans="1:4">
      <c r="A10222" s="3"/>
      <c r="D10222" s="3"/>
    </row>
    <row r="10223" spans="1:4">
      <c r="A10223" s="3"/>
      <c r="D10223" s="3"/>
    </row>
    <row r="10224" spans="1:4">
      <c r="A10224" s="3"/>
      <c r="D10224" s="3"/>
    </row>
    <row r="10225" spans="1:4">
      <c r="A10225" s="3"/>
      <c r="D10225" s="3"/>
    </row>
    <row r="10226" spans="1:4">
      <c r="A10226" s="3"/>
      <c r="D10226" s="3"/>
    </row>
    <row r="10227" spans="1:4">
      <c r="A10227" s="3"/>
      <c r="D10227" s="3"/>
    </row>
    <row r="10228" spans="1:4">
      <c r="A10228" s="3"/>
      <c r="D10228" s="3"/>
    </row>
    <row r="10229" spans="1:4">
      <c r="A10229" s="3"/>
      <c r="D10229" s="3"/>
    </row>
    <row r="10230" spans="1:4">
      <c r="A10230" s="3"/>
      <c r="D10230" s="3"/>
    </row>
    <row r="10231" spans="1:4">
      <c r="A10231" s="3"/>
      <c r="D10231" s="3"/>
    </row>
    <row r="10232" spans="1:4">
      <c r="A10232" s="3"/>
      <c r="D10232" s="3"/>
    </row>
    <row r="10233" spans="1:4">
      <c r="A10233" s="3"/>
      <c r="D10233" s="3"/>
    </row>
    <row r="10234" spans="1:4">
      <c r="A10234" s="3"/>
      <c r="D10234" s="3"/>
    </row>
    <row r="10235" spans="1:4">
      <c r="A10235" s="3"/>
      <c r="D10235" s="3"/>
    </row>
    <row r="10236" spans="1:4">
      <c r="A10236" s="3"/>
      <c r="D10236" s="3"/>
    </row>
    <row r="10237" spans="1:4">
      <c r="A10237" s="3"/>
      <c r="D10237" s="3"/>
    </row>
    <row r="10238" spans="1:4">
      <c r="A10238" s="3"/>
      <c r="D10238" s="3"/>
    </row>
    <row r="10239" spans="1:4">
      <c r="A10239" s="3"/>
      <c r="D10239" s="3"/>
    </row>
    <row r="10240" spans="1:4">
      <c r="A10240" s="3"/>
      <c r="D10240" s="3"/>
    </row>
    <row r="10241" spans="1:4">
      <c r="A10241" s="3"/>
      <c r="D10241" s="3"/>
    </row>
    <row r="10242" spans="1:4">
      <c r="A10242" s="3"/>
      <c r="D10242" s="3"/>
    </row>
    <row r="10243" spans="1:4">
      <c r="A10243" s="3"/>
      <c r="D10243" s="3"/>
    </row>
    <row r="10244" spans="1:4">
      <c r="A10244" s="3"/>
      <c r="D10244" s="3"/>
    </row>
    <row r="10245" spans="1:4">
      <c r="A10245" s="3"/>
      <c r="D10245" s="3"/>
    </row>
    <row r="10246" spans="1:4">
      <c r="A10246" s="3"/>
      <c r="D10246" s="3"/>
    </row>
    <row r="10247" spans="1:4">
      <c r="A10247" s="3"/>
      <c r="D10247" s="3"/>
    </row>
    <row r="10248" spans="1:4">
      <c r="A10248" s="3"/>
      <c r="D10248" s="3"/>
    </row>
    <row r="10249" spans="1:4">
      <c r="A10249" s="3"/>
      <c r="D10249" s="3"/>
    </row>
    <row r="10250" spans="1:4">
      <c r="A10250" s="3"/>
      <c r="D10250" s="3"/>
    </row>
    <row r="10251" spans="1:4">
      <c r="A10251" s="3"/>
      <c r="D10251" s="3"/>
    </row>
    <row r="10252" spans="1:4">
      <c r="A10252" s="3"/>
      <c r="D10252" s="3"/>
    </row>
    <row r="10253" spans="1:4">
      <c r="A10253" s="3"/>
      <c r="D10253" s="3"/>
    </row>
    <row r="10254" spans="1:4">
      <c r="A10254" s="3"/>
      <c r="D10254" s="3"/>
    </row>
    <row r="10255" spans="1:4">
      <c r="A10255" s="3"/>
      <c r="D10255" s="3"/>
    </row>
    <row r="10256" spans="1:4">
      <c r="A10256" s="3"/>
      <c r="D10256" s="3"/>
    </row>
    <row r="10257" spans="1:4">
      <c r="A10257" s="3"/>
      <c r="D10257" s="3"/>
    </row>
    <row r="10258" spans="1:4">
      <c r="A10258" s="3"/>
      <c r="D10258" s="3"/>
    </row>
    <row r="10259" spans="1:4">
      <c r="A10259" s="3"/>
      <c r="D10259" s="3"/>
    </row>
    <row r="10260" spans="1:4">
      <c r="A10260" s="3"/>
      <c r="D10260" s="3"/>
    </row>
    <row r="10261" spans="1:4">
      <c r="A10261" s="3"/>
      <c r="D10261" s="3"/>
    </row>
    <row r="10262" spans="1:4">
      <c r="A10262" s="3"/>
      <c r="D10262" s="3"/>
    </row>
    <row r="10263" spans="1:4">
      <c r="A10263" s="3"/>
      <c r="D10263" s="3"/>
    </row>
    <row r="10264" spans="1:4">
      <c r="A10264" s="3"/>
      <c r="D10264" s="3"/>
    </row>
    <row r="10265" spans="1:4">
      <c r="A10265" s="3"/>
      <c r="D10265" s="3"/>
    </row>
    <row r="10266" spans="1:4">
      <c r="A10266" s="3"/>
      <c r="D10266" s="3"/>
    </row>
    <row r="10267" spans="1:4">
      <c r="A10267" s="3"/>
      <c r="D10267" s="3"/>
    </row>
    <row r="10268" spans="1:4">
      <c r="A10268" s="3"/>
      <c r="D10268" s="3"/>
    </row>
    <row r="10269" spans="1:4">
      <c r="A10269" s="3"/>
      <c r="D10269" s="3"/>
    </row>
    <row r="10270" spans="1:4">
      <c r="A10270" s="3"/>
      <c r="D10270" s="3"/>
    </row>
    <row r="10271" spans="1:4">
      <c r="A10271" s="3"/>
      <c r="D10271" s="3"/>
    </row>
    <row r="10272" spans="1:4">
      <c r="A10272" s="3"/>
      <c r="D10272" s="3"/>
    </row>
    <row r="10273" spans="1:4">
      <c r="A10273" s="3"/>
      <c r="D10273" s="3"/>
    </row>
    <row r="10274" spans="1:4">
      <c r="A10274" s="3"/>
      <c r="D10274" s="3"/>
    </row>
    <row r="10275" spans="1:4">
      <c r="A10275" s="3"/>
      <c r="D10275" s="3"/>
    </row>
    <row r="10276" spans="1:4">
      <c r="A10276" s="3"/>
      <c r="D10276" s="3"/>
    </row>
    <row r="10277" spans="1:4">
      <c r="A10277" s="3"/>
      <c r="D10277" s="3"/>
    </row>
    <row r="10278" spans="1:4">
      <c r="A10278" s="3"/>
      <c r="D10278" s="3"/>
    </row>
    <row r="10279" spans="1:4">
      <c r="A10279" s="3"/>
      <c r="D10279" s="3"/>
    </row>
    <row r="10280" spans="1:4">
      <c r="A10280" s="3"/>
      <c r="D10280" s="3"/>
    </row>
    <row r="10281" spans="1:4">
      <c r="A10281" s="3"/>
      <c r="D10281" s="3"/>
    </row>
    <row r="10282" spans="1:4">
      <c r="A10282" s="3"/>
      <c r="D10282" s="3"/>
    </row>
    <row r="10283" spans="1:4">
      <c r="A10283" s="3"/>
      <c r="D10283" s="3"/>
    </row>
    <row r="10284" spans="1:4">
      <c r="A10284" s="3"/>
      <c r="D10284" s="3"/>
    </row>
    <row r="10285" spans="1:4">
      <c r="A10285" s="3"/>
      <c r="D10285" s="3"/>
    </row>
    <row r="10286" spans="1:4">
      <c r="A10286" s="3"/>
      <c r="D10286" s="3"/>
    </row>
    <row r="10287" spans="1:4">
      <c r="A10287" s="3"/>
      <c r="D10287" s="3"/>
    </row>
    <row r="10288" spans="1:4">
      <c r="A10288" s="3"/>
      <c r="D10288" s="3"/>
    </row>
    <row r="10289" spans="1:4">
      <c r="A10289" s="3"/>
      <c r="D10289" s="3"/>
    </row>
    <row r="10290" spans="1:4">
      <c r="A10290" s="3"/>
      <c r="D10290" s="3"/>
    </row>
    <row r="10291" spans="1:4">
      <c r="A10291" s="3"/>
      <c r="D10291" s="3"/>
    </row>
    <row r="10292" spans="1:4">
      <c r="A10292" s="3"/>
      <c r="D10292" s="3"/>
    </row>
    <row r="10293" spans="1:4">
      <c r="A10293" s="3"/>
      <c r="D10293" s="3"/>
    </row>
    <row r="10294" spans="1:4">
      <c r="A10294" s="3"/>
      <c r="D10294" s="3"/>
    </row>
    <row r="10295" spans="1:4">
      <c r="A10295" s="3"/>
      <c r="D10295" s="3"/>
    </row>
    <row r="10296" spans="1:4">
      <c r="A10296" s="3"/>
      <c r="D10296" s="3"/>
    </row>
    <row r="10297" spans="1:4">
      <c r="A10297" s="3"/>
      <c r="D10297" s="3"/>
    </row>
    <row r="10298" spans="1:4">
      <c r="A10298" s="3"/>
      <c r="D10298" s="3"/>
    </row>
    <row r="10299" spans="1:4">
      <c r="A10299" s="3"/>
      <c r="D10299" s="3"/>
    </row>
    <row r="10300" spans="1:4">
      <c r="A10300" s="3"/>
      <c r="D10300" s="3"/>
    </row>
    <row r="10301" spans="1:4">
      <c r="A10301" s="3"/>
      <c r="D10301" s="3"/>
    </row>
    <row r="10302" spans="1:4">
      <c r="A10302" s="3"/>
      <c r="D10302" s="3"/>
    </row>
    <row r="10303" spans="1:4">
      <c r="A10303" s="3"/>
      <c r="D10303" s="3"/>
    </row>
    <row r="10304" spans="1:4">
      <c r="A10304" s="3"/>
      <c r="D10304" s="3"/>
    </row>
    <row r="10305" spans="1:4">
      <c r="A10305" s="3"/>
      <c r="D10305" s="3"/>
    </row>
    <row r="10306" spans="1:4">
      <c r="A10306" s="3"/>
      <c r="D10306" s="3"/>
    </row>
    <row r="10307" spans="1:4">
      <c r="A10307" s="3"/>
      <c r="D10307" s="3"/>
    </row>
    <row r="10308" spans="1:4">
      <c r="A10308" s="3"/>
      <c r="D10308" s="3"/>
    </row>
    <row r="10309" spans="1:4">
      <c r="A10309" s="3"/>
      <c r="D10309" s="3"/>
    </row>
    <row r="10310" spans="1:4">
      <c r="A10310" s="3"/>
      <c r="D10310" s="3"/>
    </row>
    <row r="10311" spans="1:4">
      <c r="A10311" s="3"/>
      <c r="D10311" s="3"/>
    </row>
    <row r="10312" spans="1:4">
      <c r="A10312" s="3"/>
      <c r="D10312" s="3"/>
    </row>
    <row r="10313" spans="1:4">
      <c r="A10313" s="3"/>
      <c r="D10313" s="3"/>
    </row>
    <row r="10314" spans="1:4">
      <c r="A10314" s="3"/>
      <c r="D10314" s="3"/>
    </row>
    <row r="10315" spans="1:4">
      <c r="A10315" s="3"/>
      <c r="D10315" s="3"/>
    </row>
    <row r="10316" spans="1:4">
      <c r="A10316" s="3"/>
      <c r="D10316" s="3"/>
    </row>
    <row r="10317" spans="1:4">
      <c r="A10317" s="3"/>
      <c r="D10317" s="3"/>
    </row>
    <row r="10318" spans="1:4">
      <c r="A10318" s="3"/>
      <c r="D10318" s="3"/>
    </row>
    <row r="10319" spans="1:4">
      <c r="A10319" s="3"/>
      <c r="D10319" s="3"/>
    </row>
    <row r="10320" spans="1:4">
      <c r="A10320" s="3"/>
      <c r="D10320" s="3"/>
    </row>
    <row r="10321" spans="1:4">
      <c r="A10321" s="3"/>
      <c r="D10321" s="3"/>
    </row>
    <row r="10322" spans="1:4">
      <c r="A10322" s="3"/>
      <c r="D10322" s="3"/>
    </row>
    <row r="10323" spans="1:4">
      <c r="A10323" s="3"/>
      <c r="D10323" s="3"/>
    </row>
    <row r="10324" spans="1:4">
      <c r="A10324" s="3"/>
      <c r="D10324" s="3"/>
    </row>
    <row r="10325" spans="1:4">
      <c r="A10325" s="3"/>
      <c r="D10325" s="3"/>
    </row>
    <row r="10326" spans="1:4">
      <c r="A10326" s="3"/>
      <c r="D10326" s="3"/>
    </row>
    <row r="10327" spans="1:4">
      <c r="A10327" s="3"/>
      <c r="D10327" s="3"/>
    </row>
    <row r="10328" spans="1:4">
      <c r="A10328" s="3"/>
      <c r="D10328" s="3"/>
    </row>
    <row r="10329" spans="1:4">
      <c r="A10329" s="3"/>
      <c r="D10329" s="3"/>
    </row>
    <row r="10330" spans="1:4">
      <c r="A10330" s="3"/>
      <c r="D10330" s="3"/>
    </row>
    <row r="10331" spans="1:4">
      <c r="A10331" s="3"/>
      <c r="D10331" s="3"/>
    </row>
    <row r="10332" spans="1:4">
      <c r="A10332" s="3"/>
      <c r="D10332" s="3"/>
    </row>
    <row r="10333" spans="1:4">
      <c r="A10333" s="3"/>
      <c r="D10333" s="3"/>
    </row>
    <row r="10334" spans="1:4">
      <c r="A10334" s="3"/>
      <c r="D10334" s="3"/>
    </row>
    <row r="10335" spans="1:4">
      <c r="A10335" s="3"/>
      <c r="D10335" s="3"/>
    </row>
    <row r="10336" spans="1:4">
      <c r="A10336" s="3"/>
      <c r="D10336" s="3"/>
    </row>
    <row r="10337" spans="1:4">
      <c r="A10337" s="3"/>
      <c r="D10337" s="3"/>
    </row>
    <row r="10338" spans="1:4">
      <c r="A10338" s="3"/>
      <c r="D10338" s="3"/>
    </row>
    <row r="10339" spans="1:4">
      <c r="A10339" s="3"/>
      <c r="D10339" s="3"/>
    </row>
    <row r="10340" spans="1:4">
      <c r="A10340" s="3"/>
      <c r="D10340" s="3"/>
    </row>
    <row r="10341" spans="1:4">
      <c r="A10341" s="3"/>
      <c r="D10341" s="3"/>
    </row>
    <row r="10342" spans="1:4">
      <c r="A10342" s="3"/>
      <c r="D10342" s="3"/>
    </row>
    <row r="10343" spans="1:4">
      <c r="A10343" s="3"/>
      <c r="D10343" s="3"/>
    </row>
    <row r="10344" spans="1:4">
      <c r="A10344" s="3"/>
      <c r="D10344" s="3"/>
    </row>
    <row r="10345" spans="1:4">
      <c r="A10345" s="3"/>
      <c r="D10345" s="3"/>
    </row>
    <row r="10346" spans="1:4">
      <c r="A10346" s="3"/>
      <c r="D10346" s="3"/>
    </row>
    <row r="10347" spans="1:4">
      <c r="A10347" s="3"/>
      <c r="D10347" s="3"/>
    </row>
    <row r="10348" spans="1:4">
      <c r="A10348" s="3"/>
      <c r="D10348" s="3"/>
    </row>
    <row r="10349" spans="1:4">
      <c r="A10349" s="3"/>
      <c r="D10349" s="3"/>
    </row>
    <row r="10350" spans="1:4">
      <c r="A10350" s="3"/>
      <c r="D10350" s="3"/>
    </row>
    <row r="10351" spans="1:4">
      <c r="A10351" s="3"/>
      <c r="D10351" s="3"/>
    </row>
    <row r="10352" spans="1:4">
      <c r="A10352" s="3"/>
      <c r="D10352" s="3"/>
    </row>
    <row r="10353" spans="1:4">
      <c r="A10353" s="3"/>
      <c r="D10353" s="3"/>
    </row>
    <row r="10354" spans="1:4">
      <c r="A10354" s="3"/>
      <c r="D10354" s="3"/>
    </row>
    <row r="10355" spans="1:4">
      <c r="A10355" s="3"/>
      <c r="D10355" s="3"/>
    </row>
    <row r="10356" spans="1:4">
      <c r="A10356" s="3"/>
      <c r="D10356" s="3"/>
    </row>
    <row r="10357" spans="1:4">
      <c r="A10357" s="3"/>
      <c r="D10357" s="3"/>
    </row>
    <row r="10358" spans="1:4">
      <c r="A10358" s="3"/>
      <c r="D10358" s="3"/>
    </row>
    <row r="10359" spans="1:4">
      <c r="A10359" s="3"/>
      <c r="D10359" s="3"/>
    </row>
    <row r="10360" spans="1:4">
      <c r="A10360" s="3"/>
      <c r="D10360" s="3"/>
    </row>
    <row r="10361" spans="1:4">
      <c r="A10361" s="3"/>
      <c r="D10361" s="3"/>
    </row>
    <row r="10362" spans="1:4">
      <c r="A10362" s="3"/>
      <c r="D10362" s="3"/>
    </row>
    <row r="10363" spans="1:4">
      <c r="A10363" s="3"/>
      <c r="D10363" s="3"/>
    </row>
    <row r="10364" spans="1:4">
      <c r="A10364" s="3"/>
      <c r="D10364" s="3"/>
    </row>
    <row r="10365" spans="1:4">
      <c r="A10365" s="3"/>
      <c r="D10365" s="3"/>
    </row>
    <row r="10366" spans="1:4">
      <c r="A10366" s="3"/>
      <c r="D10366" s="3"/>
    </row>
    <row r="10367" spans="1:4">
      <c r="A10367" s="3"/>
      <c r="D10367" s="3"/>
    </row>
    <row r="10368" spans="1:4">
      <c r="A10368" s="3"/>
      <c r="D10368" s="3"/>
    </row>
    <row r="10369" spans="1:4">
      <c r="A10369" s="3"/>
      <c r="D10369" s="3"/>
    </row>
    <row r="10370" spans="1:4">
      <c r="A10370" s="3"/>
      <c r="D10370" s="3"/>
    </row>
    <row r="10371" spans="1:4">
      <c r="A10371" s="3"/>
      <c r="D10371" s="3"/>
    </row>
    <row r="10372" spans="1:4">
      <c r="A10372" s="3"/>
      <c r="D10372" s="3"/>
    </row>
    <row r="10373" spans="1:4">
      <c r="A10373" s="3"/>
      <c r="D10373" s="3"/>
    </row>
    <row r="10374" spans="1:4">
      <c r="A10374" s="3"/>
      <c r="D10374" s="3"/>
    </row>
    <row r="10375" spans="1:4">
      <c r="A10375" s="3"/>
      <c r="D10375" s="3"/>
    </row>
    <row r="10376" spans="1:4">
      <c r="A10376" s="3"/>
      <c r="D10376" s="3"/>
    </row>
    <row r="10377" spans="1:4">
      <c r="A10377" s="3"/>
      <c r="D10377" s="3"/>
    </row>
    <row r="10378" spans="1:4">
      <c r="A10378" s="3"/>
      <c r="D10378" s="3"/>
    </row>
    <row r="10379" spans="1:4">
      <c r="A10379" s="3"/>
      <c r="D10379" s="3"/>
    </row>
    <row r="10380" spans="1:4">
      <c r="A10380" s="3"/>
      <c r="D10380" s="3"/>
    </row>
    <row r="10381" spans="1:4">
      <c r="A10381" s="3"/>
      <c r="D10381" s="3"/>
    </row>
    <row r="10382" spans="1:4">
      <c r="A10382" s="3"/>
      <c r="D10382" s="3"/>
    </row>
    <row r="10383" spans="1:4">
      <c r="A10383" s="3"/>
      <c r="D10383" s="3"/>
    </row>
    <row r="10384" spans="1:4">
      <c r="A10384" s="3"/>
      <c r="D10384" s="3"/>
    </row>
    <row r="10385" spans="1:4">
      <c r="A10385" s="3"/>
      <c r="D10385" s="3"/>
    </row>
    <row r="10386" spans="1:4">
      <c r="A10386" s="3"/>
      <c r="D10386" s="3"/>
    </row>
    <row r="10387" spans="1:4">
      <c r="A10387" s="3"/>
      <c r="D10387" s="3"/>
    </row>
    <row r="10388" spans="1:4">
      <c r="A10388" s="3"/>
      <c r="D10388" s="3"/>
    </row>
    <row r="10389" spans="1:4">
      <c r="A10389" s="3"/>
      <c r="D10389" s="3"/>
    </row>
    <row r="10390" spans="1:4">
      <c r="A10390" s="3"/>
      <c r="D10390" s="3"/>
    </row>
    <row r="10391" spans="1:4">
      <c r="A10391" s="3"/>
      <c r="D10391" s="3"/>
    </row>
    <row r="10392" spans="1:4">
      <c r="A10392" s="3"/>
      <c r="D10392" s="3"/>
    </row>
    <row r="10393" spans="1:4">
      <c r="A10393" s="3"/>
      <c r="D10393" s="3"/>
    </row>
    <row r="10394" spans="1:4">
      <c r="A10394" s="3"/>
      <c r="D10394" s="3"/>
    </row>
    <row r="10395" spans="1:4">
      <c r="A10395" s="3"/>
      <c r="D10395" s="3"/>
    </row>
    <row r="10396" spans="1:4">
      <c r="A10396" s="3"/>
      <c r="D10396" s="3"/>
    </row>
    <row r="10397" spans="1:4">
      <c r="A10397" s="3"/>
      <c r="D10397" s="3"/>
    </row>
    <row r="10398" spans="1:4">
      <c r="A10398" s="3"/>
      <c r="D10398" s="3"/>
    </row>
    <row r="10399" spans="1:4">
      <c r="A10399" s="3"/>
      <c r="D10399" s="3"/>
    </row>
    <row r="10400" spans="1:4">
      <c r="A10400" s="3"/>
      <c r="D10400" s="3"/>
    </row>
    <row r="10401" spans="1:4">
      <c r="A10401" s="3"/>
      <c r="D10401" s="3"/>
    </row>
    <row r="10402" spans="1:4">
      <c r="A10402" s="3"/>
      <c r="D10402" s="3"/>
    </row>
    <row r="10403" spans="1:4">
      <c r="A10403" s="3"/>
      <c r="D10403" s="3"/>
    </row>
    <row r="10404" spans="1:4">
      <c r="A10404" s="3"/>
      <c r="D10404" s="3"/>
    </row>
    <row r="10405" spans="1:4">
      <c r="A10405" s="3"/>
      <c r="D10405" s="3"/>
    </row>
    <row r="10406" spans="1:4">
      <c r="A10406" s="3"/>
      <c r="D10406" s="3"/>
    </row>
    <row r="10407" spans="1:4">
      <c r="A10407" s="3"/>
      <c r="D10407" s="3"/>
    </row>
    <row r="10408" spans="1:4">
      <c r="A10408" s="3"/>
      <c r="D10408" s="3"/>
    </row>
    <row r="10409" spans="1:4">
      <c r="A10409" s="3"/>
      <c r="D10409" s="3"/>
    </row>
    <row r="10410" spans="1:4">
      <c r="A10410" s="3"/>
      <c r="D10410" s="3"/>
    </row>
    <row r="10411" spans="1:4">
      <c r="A10411" s="3"/>
      <c r="D10411" s="3"/>
    </row>
    <row r="10412" spans="1:4">
      <c r="A10412" s="3"/>
      <c r="D10412" s="3"/>
    </row>
    <row r="10413" spans="1:4">
      <c r="A10413" s="3"/>
      <c r="D10413" s="3"/>
    </row>
    <row r="10414" spans="1:4">
      <c r="A10414" s="3"/>
      <c r="D10414" s="3"/>
    </row>
    <row r="10415" spans="1:4">
      <c r="A10415" s="3"/>
      <c r="D10415" s="3"/>
    </row>
    <row r="10416" spans="1:4">
      <c r="A10416" s="3"/>
      <c r="D10416" s="3"/>
    </row>
    <row r="10417" spans="1:4">
      <c r="A10417" s="3"/>
      <c r="D10417" s="3"/>
    </row>
    <row r="10418" spans="1:4">
      <c r="A10418" s="3"/>
      <c r="D10418" s="3"/>
    </row>
    <row r="10419" spans="1:4">
      <c r="A10419" s="3"/>
      <c r="D10419" s="3"/>
    </row>
    <row r="10420" spans="1:4">
      <c r="A10420" s="3"/>
      <c r="D10420" s="3"/>
    </row>
    <row r="10421" spans="1:4">
      <c r="A10421" s="3"/>
      <c r="D10421" s="3"/>
    </row>
    <row r="10422" spans="1:4">
      <c r="A10422" s="3"/>
      <c r="D10422" s="3"/>
    </row>
    <row r="10423" spans="1:4">
      <c r="A10423" s="3"/>
      <c r="D10423" s="3"/>
    </row>
    <row r="10424" spans="1:4">
      <c r="A10424" s="3"/>
      <c r="D10424" s="3"/>
    </row>
    <row r="10425" spans="1:4">
      <c r="A10425" s="3"/>
      <c r="D10425" s="3"/>
    </row>
    <row r="10426" spans="1:4">
      <c r="A10426" s="3"/>
      <c r="D10426" s="3"/>
    </row>
    <row r="10427" spans="1:4">
      <c r="A10427" s="3"/>
      <c r="D10427" s="3"/>
    </row>
    <row r="10428" spans="1:4">
      <c r="A10428" s="3"/>
      <c r="D10428" s="3"/>
    </row>
    <row r="10429" spans="1:4">
      <c r="A10429" s="3"/>
      <c r="D10429" s="3"/>
    </row>
    <row r="10430" spans="1:4">
      <c r="A10430" s="3"/>
      <c r="D10430" s="3"/>
    </row>
    <row r="10431" spans="1:4">
      <c r="A10431" s="3"/>
      <c r="D10431" s="3"/>
    </row>
    <row r="10432" spans="1:4">
      <c r="A10432" s="3"/>
      <c r="D10432" s="3"/>
    </row>
    <row r="10433" spans="1:4">
      <c r="A10433" s="3"/>
      <c r="D10433" s="3"/>
    </row>
    <row r="10434" spans="1:4">
      <c r="A10434" s="3"/>
      <c r="D10434" s="3"/>
    </row>
    <row r="10435" spans="1:4">
      <c r="A10435" s="3"/>
      <c r="D10435" s="3"/>
    </row>
    <row r="10436" spans="1:4">
      <c r="A10436" s="3"/>
      <c r="D10436" s="3"/>
    </row>
    <row r="10437" spans="1:4">
      <c r="A10437" s="3"/>
      <c r="D10437" s="3"/>
    </row>
    <row r="10438" spans="1:4">
      <c r="A10438" s="3"/>
      <c r="D10438" s="3"/>
    </row>
    <row r="10439" spans="1:4">
      <c r="A10439" s="3"/>
      <c r="D10439" s="3"/>
    </row>
    <row r="10440" spans="1:4">
      <c r="A10440" s="3"/>
      <c r="D10440" s="3"/>
    </row>
    <row r="10441" spans="1:4">
      <c r="A10441" s="3"/>
      <c r="D10441" s="3"/>
    </row>
    <row r="10442" spans="1:4">
      <c r="A10442" s="3"/>
      <c r="D10442" s="3"/>
    </row>
    <row r="10443" spans="1:4">
      <c r="A10443" s="3"/>
      <c r="D10443" s="3"/>
    </row>
    <row r="10444" spans="1:4">
      <c r="A10444" s="3"/>
      <c r="D10444" s="3"/>
    </row>
    <row r="10445" spans="1:4">
      <c r="A10445" s="3"/>
      <c r="D10445" s="3"/>
    </row>
    <row r="10446" spans="1:4">
      <c r="A10446" s="3"/>
      <c r="D10446" s="3"/>
    </row>
    <row r="10447" spans="1:4">
      <c r="A10447" s="3"/>
      <c r="D10447" s="3"/>
    </row>
    <row r="10448" spans="1:4">
      <c r="A10448" s="3"/>
      <c r="D10448" s="3"/>
    </row>
    <row r="10449" spans="1:4">
      <c r="A10449" s="3"/>
      <c r="D10449" s="3"/>
    </row>
    <row r="10450" spans="1:4">
      <c r="A10450" s="3"/>
      <c r="D10450" s="3"/>
    </row>
    <row r="10451" spans="1:4">
      <c r="A10451" s="3"/>
      <c r="D10451" s="3"/>
    </row>
    <row r="10452" spans="1:4">
      <c r="A10452" s="3"/>
      <c r="D10452" s="3"/>
    </row>
    <row r="10453" spans="1:4">
      <c r="A10453" s="3"/>
      <c r="D10453" s="3"/>
    </row>
    <row r="10454" spans="1:4">
      <c r="A10454" s="3"/>
      <c r="D10454" s="3"/>
    </row>
    <row r="10455" spans="1:4">
      <c r="A10455" s="3"/>
      <c r="D10455" s="3"/>
    </row>
    <row r="10456" spans="1:4">
      <c r="A10456" s="3"/>
      <c r="D10456" s="3"/>
    </row>
    <row r="10457" spans="1:4">
      <c r="A10457" s="3"/>
      <c r="D10457" s="3"/>
    </row>
    <row r="10458" spans="1:4">
      <c r="A10458" s="3"/>
      <c r="D10458" s="3"/>
    </row>
    <row r="10459" spans="1:4">
      <c r="A10459" s="3"/>
      <c r="D10459" s="3"/>
    </row>
    <row r="10460" spans="1:4">
      <c r="A10460" s="3"/>
      <c r="D10460" s="3"/>
    </row>
    <row r="10461" spans="1:4">
      <c r="A10461" s="3"/>
      <c r="D10461" s="3"/>
    </row>
    <row r="10462" spans="1:4">
      <c r="A10462" s="3"/>
      <c r="D10462" s="3"/>
    </row>
    <row r="10463" spans="1:4">
      <c r="A10463" s="3"/>
      <c r="D10463" s="3"/>
    </row>
    <row r="10464" spans="1:4">
      <c r="A10464" s="3"/>
      <c r="D10464" s="3"/>
    </row>
    <row r="10465" spans="1:4">
      <c r="A10465" s="3"/>
      <c r="D10465" s="3"/>
    </row>
    <row r="10466" spans="1:4">
      <c r="A10466" s="3"/>
      <c r="D10466" s="3"/>
    </row>
    <row r="10467" spans="1:4">
      <c r="A10467" s="3"/>
      <c r="D10467" s="3"/>
    </row>
    <row r="10468" spans="1:4">
      <c r="A10468" s="3"/>
      <c r="D10468" s="3"/>
    </row>
    <row r="10469" spans="1:4">
      <c r="A10469" s="3"/>
      <c r="D10469" s="3"/>
    </row>
    <row r="10470" spans="1:4">
      <c r="A10470" s="3"/>
      <c r="D10470" s="3"/>
    </row>
    <row r="10471" spans="1:4">
      <c r="A10471" s="3"/>
      <c r="D10471" s="3"/>
    </row>
    <row r="10472" spans="1:4">
      <c r="A10472" s="3"/>
      <c r="D10472" s="3"/>
    </row>
    <row r="10473" spans="1:4">
      <c r="A10473" s="3"/>
      <c r="D10473" s="3"/>
    </row>
    <row r="10474" spans="1:4">
      <c r="A10474" s="3"/>
      <c r="D10474" s="3"/>
    </row>
    <row r="10475" spans="1:4">
      <c r="A10475" s="3"/>
      <c r="D10475" s="3"/>
    </row>
    <row r="10476" spans="1:4">
      <c r="A10476" s="3"/>
      <c r="D10476" s="3"/>
    </row>
    <row r="10477" spans="1:4">
      <c r="A10477" s="3"/>
      <c r="D10477" s="3"/>
    </row>
    <row r="10478" spans="1:4">
      <c r="A10478" s="3"/>
      <c r="D10478" s="3"/>
    </row>
    <row r="10479" spans="1:4">
      <c r="A10479" s="3"/>
      <c r="D10479" s="3"/>
    </row>
    <row r="10480" spans="1:4">
      <c r="A10480" s="3"/>
      <c r="D10480" s="3"/>
    </row>
    <row r="10481" spans="1:4">
      <c r="A10481" s="3"/>
      <c r="D10481" s="3"/>
    </row>
    <row r="10482" spans="1:4">
      <c r="A10482" s="3"/>
      <c r="D10482" s="3"/>
    </row>
    <row r="10483" spans="1:4">
      <c r="A10483" s="3"/>
      <c r="D10483" s="3"/>
    </row>
    <row r="10484" spans="1:4">
      <c r="A10484" s="3"/>
      <c r="D10484" s="3"/>
    </row>
    <row r="10485" spans="1:4">
      <c r="A10485" s="3"/>
      <c r="D10485" s="3"/>
    </row>
    <row r="10486" spans="1:4">
      <c r="A10486" s="3"/>
      <c r="D10486" s="3"/>
    </row>
    <row r="10487" spans="1:4">
      <c r="A10487" s="3"/>
      <c r="D10487" s="3"/>
    </row>
    <row r="10488" spans="1:4">
      <c r="A10488" s="3"/>
      <c r="D10488" s="3"/>
    </row>
    <row r="10489" spans="1:4">
      <c r="A10489" s="3"/>
      <c r="D10489" s="3"/>
    </row>
    <row r="10490" spans="1:4">
      <c r="A10490" s="3"/>
      <c r="D10490" s="3"/>
    </row>
    <row r="10491" spans="1:4">
      <c r="A10491" s="3"/>
      <c r="D10491" s="3"/>
    </row>
    <row r="10492" spans="1:4">
      <c r="A10492" s="3"/>
      <c r="D10492" s="3"/>
    </row>
    <row r="10493" spans="1:4">
      <c r="A10493" s="3"/>
      <c r="D10493" s="3"/>
    </row>
    <row r="10494" spans="1:4">
      <c r="A10494" s="3"/>
      <c r="D10494" s="3"/>
    </row>
    <row r="10495" spans="1:4">
      <c r="A10495" s="3"/>
      <c r="D10495" s="3"/>
    </row>
    <row r="10496" spans="1:4">
      <c r="A10496" s="3"/>
      <c r="D10496" s="3"/>
    </row>
    <row r="10497" spans="1:4">
      <c r="A10497" s="3"/>
      <c r="D10497" s="3"/>
    </row>
    <row r="10498" spans="1:4">
      <c r="A10498" s="3"/>
      <c r="D10498" s="3"/>
    </row>
    <row r="10499" spans="1:4">
      <c r="A10499" s="3"/>
      <c r="D10499" s="3"/>
    </row>
    <row r="10500" spans="1:4">
      <c r="A10500" s="3"/>
      <c r="D10500" s="3"/>
    </row>
    <row r="10501" spans="1:4">
      <c r="A10501" s="3"/>
      <c r="D10501" s="3"/>
    </row>
    <row r="10502" spans="1:4">
      <c r="A10502" s="3"/>
      <c r="D10502" s="3"/>
    </row>
    <row r="10503" spans="1:4">
      <c r="A10503" s="3"/>
      <c r="D10503" s="3"/>
    </row>
    <row r="10504" spans="1:4">
      <c r="A10504" s="3"/>
      <c r="D10504" s="3"/>
    </row>
    <row r="10505" spans="1:4">
      <c r="A10505" s="3"/>
      <c r="D10505" s="3"/>
    </row>
    <row r="10506" spans="1:4">
      <c r="A10506" s="3"/>
      <c r="D10506" s="3"/>
    </row>
    <row r="10507" spans="1:4">
      <c r="A10507" s="3"/>
      <c r="D10507" s="3"/>
    </row>
    <row r="10508" spans="1:4">
      <c r="A10508" s="3"/>
      <c r="D10508" s="3"/>
    </row>
    <row r="10509" spans="1:4">
      <c r="A10509" s="3"/>
      <c r="D10509" s="3"/>
    </row>
    <row r="10510" spans="1:4">
      <c r="A10510" s="3"/>
      <c r="D10510" s="3"/>
    </row>
    <row r="10511" spans="1:4">
      <c r="A10511" s="3"/>
      <c r="D10511" s="3"/>
    </row>
    <row r="10512" spans="1:4">
      <c r="A10512" s="3"/>
      <c r="D10512" s="3"/>
    </row>
    <row r="10513" spans="1:4">
      <c r="A10513" s="3"/>
      <c r="D10513" s="3"/>
    </row>
    <row r="10514" spans="1:4">
      <c r="A10514" s="3"/>
      <c r="D10514" s="3"/>
    </row>
    <row r="10515" spans="1:4">
      <c r="A10515" s="3"/>
      <c r="D10515" s="3"/>
    </row>
    <row r="10516" spans="1:4">
      <c r="A10516" s="3"/>
      <c r="D10516" s="3"/>
    </row>
    <row r="10517" spans="1:4">
      <c r="A10517" s="3"/>
      <c r="D10517" s="3"/>
    </row>
    <row r="10518" spans="1:4">
      <c r="A10518" s="3"/>
      <c r="D10518" s="3"/>
    </row>
    <row r="10519" spans="1:4">
      <c r="A10519" s="3"/>
      <c r="D10519" s="3"/>
    </row>
    <row r="10520" spans="1:4">
      <c r="A10520" s="3"/>
      <c r="D10520" s="3"/>
    </row>
    <row r="10521" spans="1:4">
      <c r="A10521" s="3"/>
      <c r="D10521" s="3"/>
    </row>
    <row r="10522" spans="1:4">
      <c r="A10522" s="3"/>
      <c r="D10522" s="3"/>
    </row>
    <row r="10523" spans="1:4">
      <c r="A10523" s="3"/>
      <c r="D10523" s="3"/>
    </row>
    <row r="10524" spans="1:4">
      <c r="A10524" s="3"/>
      <c r="D10524" s="3"/>
    </row>
    <row r="10525" spans="1:4">
      <c r="A10525" s="3"/>
      <c r="D10525" s="3"/>
    </row>
    <row r="10526" spans="1:4">
      <c r="A10526" s="3"/>
      <c r="D10526" s="3"/>
    </row>
    <row r="10527" spans="1:4">
      <c r="A10527" s="3"/>
      <c r="D10527" s="3"/>
    </row>
    <row r="10528" spans="1:4">
      <c r="A10528" s="3"/>
      <c r="D10528" s="3"/>
    </row>
    <row r="10529" spans="1:4">
      <c r="A10529" s="3"/>
      <c r="D10529" s="3"/>
    </row>
    <row r="10530" spans="1:4">
      <c r="A10530" s="3"/>
      <c r="D10530" s="3"/>
    </row>
    <row r="10531" spans="1:4">
      <c r="A10531" s="3"/>
      <c r="D10531" s="3"/>
    </row>
    <row r="10532" spans="1:4">
      <c r="A10532" s="3"/>
      <c r="D10532" s="3"/>
    </row>
    <row r="10533" spans="1:4">
      <c r="A10533" s="3"/>
      <c r="D10533" s="3"/>
    </row>
    <row r="10534" spans="1:4">
      <c r="A10534" s="3"/>
      <c r="D10534" s="3"/>
    </row>
    <row r="10535" spans="1:4">
      <c r="A10535" s="3"/>
      <c r="D10535" s="3"/>
    </row>
    <row r="10536" spans="1:4">
      <c r="A10536" s="3"/>
      <c r="D10536" s="3"/>
    </row>
    <row r="10537" spans="1:4">
      <c r="A10537" s="3"/>
      <c r="D10537" s="3"/>
    </row>
    <row r="10538" spans="1:4">
      <c r="A10538" s="3"/>
      <c r="D10538" s="3"/>
    </row>
    <row r="10539" spans="1:4">
      <c r="A10539" s="3"/>
      <c r="D10539" s="3"/>
    </row>
    <row r="10540" spans="1:4">
      <c r="A10540" s="3"/>
      <c r="D10540" s="3"/>
    </row>
    <row r="10541" spans="1:4">
      <c r="A10541" s="3"/>
      <c r="D10541" s="3"/>
    </row>
    <row r="10542" spans="1:4">
      <c r="A10542" s="3"/>
      <c r="D10542" s="3"/>
    </row>
    <row r="10543" spans="1:4">
      <c r="A10543" s="3"/>
      <c r="D10543" s="3"/>
    </row>
    <row r="10544" spans="1:4">
      <c r="A10544" s="3"/>
      <c r="D10544" s="3"/>
    </row>
    <row r="10545" spans="1:4">
      <c r="A10545" s="3"/>
      <c r="D10545" s="3"/>
    </row>
    <row r="10546" spans="1:4">
      <c r="A10546" s="3"/>
      <c r="D10546" s="3"/>
    </row>
    <row r="10547" spans="1:4">
      <c r="A10547" s="3"/>
      <c r="D10547" s="3"/>
    </row>
    <row r="10548" spans="1:4">
      <c r="A10548" s="3"/>
      <c r="D10548" s="3"/>
    </row>
    <row r="10549" spans="1:4">
      <c r="A10549" s="3"/>
      <c r="D10549" s="3"/>
    </row>
    <row r="10550" spans="1:4">
      <c r="A10550" s="3"/>
      <c r="D10550" s="3"/>
    </row>
    <row r="10551" spans="1:4">
      <c r="A10551" s="3"/>
      <c r="D10551" s="3"/>
    </row>
    <row r="10552" spans="1:4">
      <c r="A10552" s="3"/>
      <c r="D10552" s="3"/>
    </row>
    <row r="10553" spans="1:4">
      <c r="A10553" s="3"/>
      <c r="D10553" s="3"/>
    </row>
    <row r="10554" spans="1:4">
      <c r="A10554" s="3"/>
      <c r="D10554" s="3"/>
    </row>
    <row r="10555" spans="1:4">
      <c r="A10555" s="3"/>
      <c r="D10555" s="3"/>
    </row>
    <row r="10556" spans="1:4">
      <c r="A10556" s="3"/>
      <c r="D10556" s="3"/>
    </row>
    <row r="10557" spans="1:4">
      <c r="A10557" s="3"/>
      <c r="D10557" s="3"/>
    </row>
    <row r="10558" spans="1:4">
      <c r="A10558" s="3"/>
      <c r="D10558" s="3"/>
    </row>
    <row r="10559" spans="1:4">
      <c r="A10559" s="3"/>
      <c r="D10559" s="3"/>
    </row>
    <row r="10560" spans="1:4">
      <c r="A10560" s="3"/>
      <c r="D10560" s="3"/>
    </row>
    <row r="10561" spans="1:4">
      <c r="A10561" s="3"/>
      <c r="D10561" s="3"/>
    </row>
    <row r="10562" spans="1:4">
      <c r="A10562" s="3"/>
      <c r="D10562" s="3"/>
    </row>
    <row r="10563" spans="1:4">
      <c r="A10563" s="3"/>
      <c r="D10563" s="3"/>
    </row>
    <row r="10564" spans="1:4">
      <c r="A10564" s="3"/>
      <c r="D10564" s="3"/>
    </row>
    <row r="10565" spans="1:4">
      <c r="A10565" s="3"/>
      <c r="D10565" s="3"/>
    </row>
    <row r="10566" spans="1:4">
      <c r="A10566" s="3"/>
      <c r="D10566" s="3"/>
    </row>
    <row r="10567" spans="1:4">
      <c r="A10567" s="3"/>
      <c r="D10567" s="3"/>
    </row>
    <row r="10568" spans="1:4">
      <c r="A10568" s="3"/>
      <c r="D10568" s="3"/>
    </row>
    <row r="10569" spans="1:4">
      <c r="A10569" s="3"/>
      <c r="D10569" s="3"/>
    </row>
    <row r="10570" spans="1:4">
      <c r="A10570" s="3"/>
      <c r="D10570" s="3"/>
    </row>
    <row r="10571" spans="1:4">
      <c r="A10571" s="3"/>
      <c r="D10571" s="3"/>
    </row>
    <row r="10572" spans="1:4">
      <c r="A10572" s="3"/>
      <c r="D10572" s="3"/>
    </row>
    <row r="10573" spans="1:4">
      <c r="A10573" s="3"/>
      <c r="D10573" s="3"/>
    </row>
    <row r="10574" spans="1:4">
      <c r="A10574" s="3"/>
      <c r="D10574" s="3"/>
    </row>
    <row r="10575" spans="1:4">
      <c r="A10575" s="3"/>
      <c r="D10575" s="3"/>
    </row>
    <row r="10576" spans="1:4">
      <c r="A10576" s="3"/>
      <c r="D10576" s="3"/>
    </row>
    <row r="10577" spans="1:4">
      <c r="A10577" s="3"/>
      <c r="D10577" s="3"/>
    </row>
    <row r="10578" spans="1:4">
      <c r="A10578" s="3"/>
      <c r="D10578" s="3"/>
    </row>
    <row r="10579" spans="1:4">
      <c r="A10579" s="3"/>
      <c r="D10579" s="3"/>
    </row>
    <row r="10580" spans="1:4">
      <c r="A10580" s="3"/>
      <c r="D10580" s="3"/>
    </row>
    <row r="10581" spans="1:4">
      <c r="A10581" s="3"/>
      <c r="D10581" s="3"/>
    </row>
    <row r="10582" spans="1:4">
      <c r="A10582" s="3"/>
      <c r="D10582" s="3"/>
    </row>
    <row r="10583" spans="1:4">
      <c r="A10583" s="3"/>
      <c r="D10583" s="3"/>
    </row>
    <row r="10584" spans="1:4">
      <c r="A10584" s="3"/>
      <c r="D10584" s="3"/>
    </row>
    <row r="10585" spans="1:4">
      <c r="A10585" s="3"/>
      <c r="D10585" s="3"/>
    </row>
    <row r="10586" spans="1:4">
      <c r="A10586" s="3"/>
      <c r="D10586" s="3"/>
    </row>
    <row r="10587" spans="1:4">
      <c r="A10587" s="3"/>
      <c r="D10587" s="3"/>
    </row>
    <row r="10588" spans="1:4">
      <c r="A10588" s="3"/>
      <c r="D10588" s="3"/>
    </row>
    <row r="10589" spans="1:4">
      <c r="A10589" s="3"/>
      <c r="D10589" s="3"/>
    </row>
    <row r="10590" spans="1:4">
      <c r="A10590" s="3"/>
      <c r="D10590" s="3"/>
    </row>
    <row r="10591" spans="1:4">
      <c r="A10591" s="3"/>
      <c r="D10591" s="3"/>
    </row>
    <row r="10592" spans="1:4">
      <c r="A10592" s="3"/>
      <c r="D10592" s="3"/>
    </row>
    <row r="10593" spans="1:4">
      <c r="A10593" s="3"/>
      <c r="D10593" s="3"/>
    </row>
    <row r="10594" spans="1:4">
      <c r="A10594" s="3"/>
      <c r="D10594" s="3"/>
    </row>
    <row r="10595" spans="1:4">
      <c r="A10595" s="3"/>
      <c r="D10595" s="3"/>
    </row>
    <row r="10596" spans="1:4">
      <c r="A10596" s="3"/>
      <c r="D10596" s="3"/>
    </row>
    <row r="10597" spans="1:4">
      <c r="A10597" s="3"/>
      <c r="D10597" s="3"/>
    </row>
    <row r="10598" spans="1:4">
      <c r="A10598" s="3"/>
      <c r="D10598" s="3"/>
    </row>
    <row r="10599" spans="1:4">
      <c r="A10599" s="3"/>
      <c r="D10599" s="3"/>
    </row>
    <row r="10600" spans="1:4">
      <c r="A10600" s="3"/>
      <c r="D10600" s="3"/>
    </row>
    <row r="10601" spans="1:4">
      <c r="A10601" s="3"/>
      <c r="D10601" s="3"/>
    </row>
    <row r="10602" spans="1:4">
      <c r="A10602" s="3"/>
      <c r="D10602" s="3"/>
    </row>
    <row r="10603" spans="1:4">
      <c r="A10603" s="3"/>
      <c r="D10603" s="3"/>
    </row>
    <row r="10604" spans="1:4">
      <c r="A10604" s="3"/>
      <c r="D10604" s="3"/>
    </row>
    <row r="10605" spans="1:4">
      <c r="A10605" s="3"/>
      <c r="D10605" s="3"/>
    </row>
    <row r="10606" spans="1:4">
      <c r="A10606" s="3"/>
      <c r="D10606" s="3"/>
    </row>
    <row r="10607" spans="1:4">
      <c r="A10607" s="3"/>
      <c r="D10607" s="3"/>
    </row>
    <row r="10608" spans="1:4">
      <c r="A10608" s="3"/>
      <c r="D10608" s="3"/>
    </row>
    <row r="10609" spans="1:4">
      <c r="A10609" s="3"/>
      <c r="D10609" s="3"/>
    </row>
    <row r="10610" spans="1:4">
      <c r="A10610" s="3"/>
      <c r="D10610" s="3"/>
    </row>
    <row r="10611" spans="1:4">
      <c r="A10611" s="3"/>
      <c r="D10611" s="3"/>
    </row>
    <row r="10612" spans="1:4">
      <c r="A10612" s="3"/>
      <c r="D10612" s="3"/>
    </row>
    <row r="10613" spans="1:4">
      <c r="A10613" s="3"/>
      <c r="D10613" s="3"/>
    </row>
    <row r="10614" spans="1:4">
      <c r="A10614" s="3"/>
      <c r="D10614" s="3"/>
    </row>
    <row r="10615" spans="1:4">
      <c r="A10615" s="3"/>
      <c r="D10615" s="3"/>
    </row>
    <row r="10616" spans="1:4">
      <c r="A10616" s="3"/>
      <c r="D10616" s="3"/>
    </row>
    <row r="10617" spans="1:4">
      <c r="A10617" s="3"/>
      <c r="D10617" s="3"/>
    </row>
    <row r="10618" spans="1:4">
      <c r="A10618" s="3"/>
      <c r="D10618" s="3"/>
    </row>
    <row r="10619" spans="1:4">
      <c r="A10619" s="3"/>
      <c r="D10619" s="3"/>
    </row>
    <row r="10620" spans="1:4">
      <c r="A10620" s="3"/>
      <c r="D10620" s="3"/>
    </row>
    <row r="10621" spans="1:4">
      <c r="A10621" s="3"/>
      <c r="D10621" s="3"/>
    </row>
    <row r="10622" spans="1:4">
      <c r="A10622" s="3"/>
      <c r="D10622" s="3"/>
    </row>
    <row r="10623" spans="1:4">
      <c r="A10623" s="3"/>
      <c r="D10623" s="3"/>
    </row>
    <row r="10624" spans="1:4">
      <c r="A10624" s="3"/>
      <c r="D10624" s="3"/>
    </row>
    <row r="10625" spans="1:4">
      <c r="A10625" s="3"/>
      <c r="D10625" s="3"/>
    </row>
    <row r="10626" spans="1:4">
      <c r="A10626" s="3"/>
      <c r="D10626" s="3"/>
    </row>
    <row r="10627" spans="1:4">
      <c r="A10627" s="3"/>
      <c r="D10627" s="3"/>
    </row>
    <row r="10628" spans="1:4">
      <c r="A10628" s="3"/>
      <c r="D10628" s="3"/>
    </row>
    <row r="10629" spans="1:4">
      <c r="A10629" s="3"/>
      <c r="D10629" s="3"/>
    </row>
    <row r="10630" spans="1:4">
      <c r="A10630" s="3"/>
      <c r="D10630" s="3"/>
    </row>
    <row r="10631" spans="1:4">
      <c r="A10631" s="3"/>
      <c r="D10631" s="3"/>
    </row>
    <row r="10632" spans="1:4">
      <c r="A10632" s="3"/>
      <c r="D10632" s="3"/>
    </row>
    <row r="10633" spans="1:4">
      <c r="A10633" s="3"/>
      <c r="D10633" s="3"/>
    </row>
    <row r="10634" spans="1:4">
      <c r="A10634" s="3"/>
      <c r="D10634" s="3"/>
    </row>
    <row r="10635" spans="1:4">
      <c r="A10635" s="3"/>
      <c r="D10635" s="3"/>
    </row>
    <row r="10636" spans="1:4">
      <c r="A10636" s="3"/>
      <c r="D10636" s="3"/>
    </row>
    <row r="10637" spans="1:4">
      <c r="A10637" s="3"/>
      <c r="D10637" s="3"/>
    </row>
    <row r="10638" spans="1:4">
      <c r="A10638" s="3"/>
      <c r="D10638" s="3"/>
    </row>
    <row r="10639" spans="1:4">
      <c r="A10639" s="3"/>
      <c r="D10639" s="3"/>
    </row>
    <row r="10640" spans="1:4">
      <c r="A10640" s="3"/>
      <c r="D10640" s="3"/>
    </row>
    <row r="10641" spans="1:4">
      <c r="A10641" s="3"/>
      <c r="D10641" s="3"/>
    </row>
    <row r="10642" spans="1:4">
      <c r="A10642" s="3"/>
      <c r="D10642" s="3"/>
    </row>
    <row r="10643" spans="1:4">
      <c r="A10643" s="3"/>
      <c r="D10643" s="3"/>
    </row>
    <row r="10644" spans="1:4">
      <c r="A10644" s="3"/>
      <c r="D10644" s="3"/>
    </row>
    <row r="10645" spans="1:4">
      <c r="A10645" s="3"/>
      <c r="D10645" s="3"/>
    </row>
    <row r="10646" spans="1:4">
      <c r="A10646" s="3"/>
      <c r="D10646" s="3"/>
    </row>
    <row r="10647" spans="1:4">
      <c r="A10647" s="3"/>
      <c r="D10647" s="3"/>
    </row>
    <row r="10648" spans="1:4">
      <c r="A10648" s="3"/>
      <c r="D10648" s="3"/>
    </row>
    <row r="10649" spans="1:4">
      <c r="A10649" s="3"/>
      <c r="D10649" s="3"/>
    </row>
    <row r="10650" spans="1:4">
      <c r="A10650" s="3"/>
      <c r="D10650" s="3"/>
    </row>
    <row r="10651" spans="1:4">
      <c r="A10651" s="3"/>
      <c r="D10651" s="3"/>
    </row>
    <row r="10652" spans="1:4">
      <c r="A10652" s="3"/>
      <c r="D10652" s="3"/>
    </row>
    <row r="10653" spans="1:4">
      <c r="A10653" s="3"/>
      <c r="D10653" s="3"/>
    </row>
    <row r="10654" spans="1:4">
      <c r="A10654" s="3"/>
      <c r="D10654" s="3"/>
    </row>
    <row r="10655" spans="1:4">
      <c r="A10655" s="3"/>
      <c r="D10655" s="3"/>
    </row>
    <row r="10656" spans="1:4">
      <c r="A10656" s="3"/>
      <c r="D10656" s="3"/>
    </row>
    <row r="10657" spans="1:4">
      <c r="A10657" s="3"/>
      <c r="D10657" s="3"/>
    </row>
    <row r="10658" spans="1:4">
      <c r="A10658" s="3"/>
      <c r="D10658" s="3"/>
    </row>
    <row r="10659" spans="1:4">
      <c r="A10659" s="3"/>
      <c r="D10659" s="3"/>
    </row>
    <row r="10660" spans="1:4">
      <c r="A10660" s="3"/>
      <c r="D10660" s="3"/>
    </row>
    <row r="10661" spans="1:4">
      <c r="A10661" s="3"/>
      <c r="D10661" s="3"/>
    </row>
    <row r="10662" spans="1:4">
      <c r="A10662" s="3"/>
      <c r="D10662" s="3"/>
    </row>
    <row r="10663" spans="1:4">
      <c r="A10663" s="3"/>
      <c r="D10663" s="3"/>
    </row>
    <row r="10664" spans="1:4">
      <c r="A10664" s="3"/>
      <c r="D10664" s="3"/>
    </row>
    <row r="10665" spans="1:4">
      <c r="A10665" s="3"/>
      <c r="D10665" s="3"/>
    </row>
    <row r="10666" spans="1:4">
      <c r="A10666" s="3"/>
      <c r="D10666" s="3"/>
    </row>
    <row r="10667" spans="1:4">
      <c r="A10667" s="3"/>
      <c r="D10667" s="3"/>
    </row>
    <row r="10668" spans="1:4">
      <c r="A10668" s="3"/>
      <c r="D10668" s="3"/>
    </row>
    <row r="10669" spans="1:4">
      <c r="A10669" s="3"/>
      <c r="D10669" s="3"/>
    </row>
    <row r="10670" spans="1:4">
      <c r="A10670" s="3"/>
      <c r="D10670" s="3"/>
    </row>
    <row r="10671" spans="1:4">
      <c r="A10671" s="3"/>
      <c r="D10671" s="3"/>
    </row>
    <row r="10672" spans="1:4">
      <c r="A10672" s="3"/>
      <c r="D10672" s="3"/>
    </row>
    <row r="10673" spans="1:4">
      <c r="A10673" s="3"/>
      <c r="D10673" s="3"/>
    </row>
    <row r="10674" spans="1:4">
      <c r="A10674" s="3"/>
      <c r="D10674" s="3"/>
    </row>
    <row r="10675" spans="1:4">
      <c r="A10675" s="3"/>
      <c r="D10675" s="3"/>
    </row>
    <row r="10676" spans="1:4">
      <c r="A10676" s="3"/>
      <c r="D10676" s="3"/>
    </row>
    <row r="10677" spans="1:4">
      <c r="A10677" s="3"/>
      <c r="D10677" s="3"/>
    </row>
    <row r="10678" spans="1:4">
      <c r="A10678" s="3"/>
      <c r="D10678" s="3"/>
    </row>
    <row r="10679" spans="1:4">
      <c r="A10679" s="3"/>
      <c r="D10679" s="3"/>
    </row>
    <row r="10680" spans="1:4">
      <c r="A10680" s="3"/>
      <c r="D10680" s="3"/>
    </row>
    <row r="10681" spans="1:4">
      <c r="A10681" s="3"/>
      <c r="D10681" s="3"/>
    </row>
    <row r="10682" spans="1:4">
      <c r="A10682" s="3"/>
      <c r="D10682" s="3"/>
    </row>
    <row r="10683" spans="1:4">
      <c r="A10683" s="3"/>
      <c r="D10683" s="3"/>
    </row>
    <row r="10684" spans="1:4">
      <c r="A10684" s="3"/>
      <c r="D10684" s="3"/>
    </row>
    <row r="10685" spans="1:4">
      <c r="A10685" s="3"/>
      <c r="D10685" s="3"/>
    </row>
    <row r="10686" spans="1:4">
      <c r="A10686" s="3"/>
      <c r="D10686" s="3"/>
    </row>
    <row r="10687" spans="1:4">
      <c r="A10687" s="3"/>
      <c r="D10687" s="3"/>
    </row>
    <row r="10688" spans="1:4">
      <c r="A10688" s="3"/>
      <c r="D10688" s="3"/>
    </row>
    <row r="10689" spans="1:4">
      <c r="A10689" s="3"/>
      <c r="D10689" s="3"/>
    </row>
    <row r="10690" spans="1:4">
      <c r="A10690" s="3"/>
      <c r="D10690" s="3"/>
    </row>
    <row r="10691" spans="1:4">
      <c r="A10691" s="3"/>
      <c r="D10691" s="3"/>
    </row>
    <row r="10692" spans="1:4">
      <c r="A10692" s="3"/>
      <c r="D10692" s="3"/>
    </row>
    <row r="10693" spans="1:4">
      <c r="A10693" s="3"/>
      <c r="D10693" s="3"/>
    </row>
    <row r="10694" spans="1:4">
      <c r="A10694" s="3"/>
      <c r="D10694" s="3"/>
    </row>
    <row r="10695" spans="1:4">
      <c r="A10695" s="3"/>
      <c r="D10695" s="3"/>
    </row>
    <row r="10696" spans="1:4">
      <c r="A10696" s="3"/>
      <c r="D10696" s="3"/>
    </row>
    <row r="10697" spans="1:4">
      <c r="A10697" s="3"/>
      <c r="D10697" s="3"/>
    </row>
    <row r="10698" spans="1:4">
      <c r="A10698" s="3"/>
      <c r="D10698" s="3"/>
    </row>
    <row r="10699" spans="1:4">
      <c r="A10699" s="3"/>
      <c r="D10699" s="3"/>
    </row>
    <row r="10700" spans="1:4">
      <c r="A10700" s="3"/>
      <c r="D10700" s="3"/>
    </row>
    <row r="10701" spans="1:4">
      <c r="A10701" s="3"/>
      <c r="D10701" s="3"/>
    </row>
    <row r="10702" spans="1:4">
      <c r="A10702" s="3"/>
      <c r="D10702" s="3"/>
    </row>
    <row r="10703" spans="1:4">
      <c r="A10703" s="3"/>
      <c r="D10703" s="3"/>
    </row>
    <row r="10704" spans="1:4">
      <c r="A10704" s="3"/>
      <c r="D10704" s="3"/>
    </row>
    <row r="10705" spans="1:4">
      <c r="A10705" s="3"/>
      <c r="D10705" s="3"/>
    </row>
    <row r="10706" spans="1:4">
      <c r="A10706" s="3"/>
      <c r="D10706" s="3"/>
    </row>
    <row r="10707" spans="1:4">
      <c r="A10707" s="3"/>
      <c r="D10707" s="3"/>
    </row>
    <row r="10708" spans="1:4">
      <c r="A10708" s="3"/>
      <c r="D10708" s="3"/>
    </row>
    <row r="10709" spans="1:4">
      <c r="A10709" s="3"/>
      <c r="D10709" s="3"/>
    </row>
    <row r="10710" spans="1:4">
      <c r="A10710" s="3"/>
      <c r="D10710" s="3"/>
    </row>
    <row r="10711" spans="1:4">
      <c r="A10711" s="3"/>
      <c r="D10711" s="3"/>
    </row>
    <row r="10712" spans="1:4">
      <c r="A10712" s="3"/>
      <c r="D10712" s="3"/>
    </row>
    <row r="10713" spans="1:4">
      <c r="A10713" s="3"/>
      <c r="D10713" s="3"/>
    </row>
    <row r="10714" spans="1:4">
      <c r="A10714" s="3"/>
      <c r="D10714" s="3"/>
    </row>
    <row r="10715" spans="1:4">
      <c r="A10715" s="3"/>
      <c r="D10715" s="3"/>
    </row>
    <row r="10716" spans="1:4">
      <c r="A10716" s="3"/>
      <c r="D10716" s="3"/>
    </row>
    <row r="10717" spans="1:4">
      <c r="A10717" s="3"/>
      <c r="D10717" s="3"/>
    </row>
    <row r="10718" spans="1:4">
      <c r="A10718" s="3"/>
      <c r="D10718" s="3"/>
    </row>
    <row r="10719" spans="1:4">
      <c r="A10719" s="3"/>
      <c r="D10719" s="3"/>
    </row>
    <row r="10720" spans="1:4">
      <c r="A10720" s="3"/>
      <c r="D10720" s="3"/>
    </row>
    <row r="10721" spans="1:4">
      <c r="A10721" s="3"/>
      <c r="D10721" s="3"/>
    </row>
    <row r="10722" spans="1:4">
      <c r="A10722" s="3"/>
      <c r="D10722" s="3"/>
    </row>
    <row r="10723" spans="1:4">
      <c r="A10723" s="3"/>
      <c r="D10723" s="3"/>
    </row>
    <row r="10724" spans="1:4">
      <c r="A10724" s="3"/>
      <c r="D10724" s="3"/>
    </row>
    <row r="10725" spans="1:4">
      <c r="A10725" s="3"/>
      <c r="D10725" s="3"/>
    </row>
    <row r="10726" spans="1:4">
      <c r="A10726" s="3"/>
      <c r="D10726" s="3"/>
    </row>
    <row r="10727" spans="1:4">
      <c r="A10727" s="3"/>
      <c r="D10727" s="3"/>
    </row>
    <row r="10728" spans="1:4">
      <c r="A10728" s="3"/>
      <c r="D10728" s="3"/>
    </row>
    <row r="10729" spans="1:4">
      <c r="A10729" s="3"/>
      <c r="D10729" s="3"/>
    </row>
    <row r="10730" spans="1:4">
      <c r="A10730" s="3"/>
      <c r="D10730" s="3"/>
    </row>
    <row r="10731" spans="1:4">
      <c r="A10731" s="3"/>
      <c r="D10731" s="3"/>
    </row>
    <row r="10732" spans="1:4">
      <c r="A10732" s="3"/>
      <c r="D10732" s="3"/>
    </row>
    <row r="10733" spans="1:4">
      <c r="A10733" s="3"/>
      <c r="D10733" s="3"/>
    </row>
    <row r="10734" spans="1:4">
      <c r="A10734" s="3"/>
      <c r="D10734" s="3"/>
    </row>
    <row r="10735" spans="1:4">
      <c r="A10735" s="3"/>
      <c r="D10735" s="3"/>
    </row>
    <row r="10736" spans="1:4">
      <c r="A10736" s="3"/>
      <c r="D10736" s="3"/>
    </row>
    <row r="10737" spans="1:4">
      <c r="A10737" s="3"/>
      <c r="D10737" s="3"/>
    </row>
    <row r="10738" spans="1:4">
      <c r="A10738" s="3"/>
      <c r="D10738" s="3"/>
    </row>
    <row r="10739" spans="1:4">
      <c r="A10739" s="3"/>
      <c r="D10739" s="3"/>
    </row>
    <row r="10740" spans="1:4">
      <c r="A10740" s="3"/>
      <c r="D10740" s="3"/>
    </row>
    <row r="10741" spans="1:4">
      <c r="A10741" s="3"/>
      <c r="D10741" s="3"/>
    </row>
    <row r="10742" spans="1:4">
      <c r="A10742" s="3"/>
      <c r="D10742" s="3"/>
    </row>
    <row r="10743" spans="1:4">
      <c r="A10743" s="3"/>
      <c r="D10743" s="3"/>
    </row>
    <row r="10744" spans="1:4">
      <c r="A10744" s="3"/>
      <c r="D10744" s="3"/>
    </row>
    <row r="10745" spans="1:4">
      <c r="A10745" s="3"/>
      <c r="D10745" s="3"/>
    </row>
    <row r="10746" spans="1:4">
      <c r="A10746" s="3"/>
      <c r="D10746" s="3"/>
    </row>
    <row r="10747" spans="1:4">
      <c r="A10747" s="3"/>
      <c r="D10747" s="3"/>
    </row>
    <row r="10748" spans="1:4">
      <c r="A10748" s="3"/>
      <c r="D10748" s="3"/>
    </row>
    <row r="10749" spans="1:4">
      <c r="A10749" s="3"/>
      <c r="D10749" s="3"/>
    </row>
    <row r="10750" spans="1:4">
      <c r="A10750" s="3"/>
      <c r="D10750" s="3"/>
    </row>
    <row r="10751" spans="1:4">
      <c r="A10751" s="3"/>
      <c r="D10751" s="3"/>
    </row>
    <row r="10752" spans="1:4">
      <c r="A10752" s="3"/>
      <c r="D10752" s="3"/>
    </row>
    <row r="10753" spans="1:4">
      <c r="A10753" s="3"/>
      <c r="D10753" s="3"/>
    </row>
    <row r="10754" spans="1:4">
      <c r="A10754" s="3"/>
      <c r="D10754" s="3"/>
    </row>
    <row r="10755" spans="1:4">
      <c r="A10755" s="3"/>
      <c r="D10755" s="3"/>
    </row>
    <row r="10756" spans="1:4">
      <c r="A10756" s="3"/>
      <c r="D10756" s="3"/>
    </row>
    <row r="10757" spans="1:4">
      <c r="A10757" s="3"/>
      <c r="D10757" s="3"/>
    </row>
    <row r="10758" spans="1:4">
      <c r="A10758" s="3"/>
      <c r="D10758" s="3"/>
    </row>
    <row r="10759" spans="1:4">
      <c r="A10759" s="3"/>
      <c r="D10759" s="3"/>
    </row>
    <row r="10760" spans="1:4">
      <c r="A10760" s="3"/>
      <c r="D10760" s="3"/>
    </row>
    <row r="10761" spans="1:4">
      <c r="A10761" s="3"/>
      <c r="D10761" s="3"/>
    </row>
    <row r="10762" spans="1:4">
      <c r="A10762" s="3"/>
      <c r="D10762" s="3"/>
    </row>
    <row r="10763" spans="1:4">
      <c r="A10763" s="3"/>
      <c r="D10763" s="3"/>
    </row>
    <row r="10764" spans="1:4">
      <c r="A10764" s="3"/>
      <c r="D10764" s="3"/>
    </row>
    <row r="10765" spans="1:4">
      <c r="A10765" s="3"/>
      <c r="D10765" s="3"/>
    </row>
    <row r="10766" spans="1:4">
      <c r="A10766" s="3"/>
      <c r="D10766" s="3"/>
    </row>
    <row r="10767" spans="1:4">
      <c r="A10767" s="3"/>
      <c r="D10767" s="3"/>
    </row>
    <row r="10768" spans="1:4">
      <c r="A10768" s="3"/>
      <c r="D10768" s="3"/>
    </row>
    <row r="10769" spans="1:4">
      <c r="A10769" s="3"/>
      <c r="D10769" s="3"/>
    </row>
    <row r="10770" spans="1:4">
      <c r="A10770" s="3"/>
      <c r="D10770" s="3"/>
    </row>
    <row r="10771" spans="1:4">
      <c r="A10771" s="3"/>
      <c r="D10771" s="3"/>
    </row>
    <row r="10772" spans="1:4">
      <c r="A10772" s="3"/>
      <c r="D10772" s="3"/>
    </row>
    <row r="10773" spans="1:4">
      <c r="A10773" s="3"/>
      <c r="D10773" s="3"/>
    </row>
    <row r="10774" spans="1:4">
      <c r="A10774" s="3"/>
      <c r="D10774" s="3"/>
    </row>
    <row r="10775" spans="1:4">
      <c r="A10775" s="3"/>
      <c r="D10775" s="3"/>
    </row>
    <row r="10776" spans="1:4">
      <c r="A10776" s="3"/>
      <c r="D10776" s="3"/>
    </row>
    <row r="10777" spans="1:4">
      <c r="A10777" s="3"/>
      <c r="D10777" s="3"/>
    </row>
    <row r="10778" spans="1:4">
      <c r="A10778" s="3"/>
      <c r="D10778" s="3"/>
    </row>
    <row r="10779" spans="1:4">
      <c r="A10779" s="3"/>
      <c r="D10779" s="3"/>
    </row>
    <row r="10780" spans="1:4">
      <c r="A10780" s="3"/>
      <c r="D10780" s="3"/>
    </row>
    <row r="10781" spans="1:4">
      <c r="A10781" s="3"/>
      <c r="D10781" s="3"/>
    </row>
    <row r="10782" spans="1:4">
      <c r="A10782" s="3"/>
      <c r="D10782" s="3"/>
    </row>
    <row r="10783" spans="1:4">
      <c r="A10783" s="3"/>
      <c r="D10783" s="3"/>
    </row>
    <row r="10784" spans="1:4">
      <c r="A10784" s="3"/>
      <c r="D10784" s="3"/>
    </row>
    <row r="10785" spans="1:4">
      <c r="A10785" s="3"/>
      <c r="D10785" s="3"/>
    </row>
    <row r="10786" spans="1:4">
      <c r="A10786" s="3"/>
      <c r="D10786" s="3"/>
    </row>
    <row r="10787" spans="1:4">
      <c r="A10787" s="3"/>
      <c r="D10787" s="3"/>
    </row>
    <row r="10788" spans="1:4">
      <c r="A10788" s="3"/>
      <c r="D10788" s="3"/>
    </row>
    <row r="10789" spans="1:4">
      <c r="A10789" s="3"/>
      <c r="D10789" s="3"/>
    </row>
    <row r="10790" spans="1:4">
      <c r="A10790" s="3"/>
      <c r="D10790" s="3"/>
    </row>
    <row r="10791" spans="1:4">
      <c r="A10791" s="3"/>
      <c r="D10791" s="3"/>
    </row>
    <row r="10792" spans="1:4">
      <c r="A10792" s="3"/>
      <c r="D10792" s="3"/>
    </row>
    <row r="10793" spans="1:4">
      <c r="A10793" s="3"/>
      <c r="D10793" s="3"/>
    </row>
    <row r="10794" spans="1:4">
      <c r="A10794" s="3"/>
      <c r="D10794" s="3"/>
    </row>
    <row r="10795" spans="1:4">
      <c r="A10795" s="3"/>
      <c r="D10795" s="3"/>
    </row>
    <row r="10796" spans="1:4">
      <c r="A10796" s="3"/>
      <c r="D10796" s="3"/>
    </row>
    <row r="10797" spans="1:4">
      <c r="A10797" s="3"/>
      <c r="D10797" s="3"/>
    </row>
    <row r="10798" spans="1:4">
      <c r="A10798" s="3"/>
      <c r="D10798" s="3"/>
    </row>
    <row r="10799" spans="1:4">
      <c r="A10799" s="3"/>
      <c r="D10799" s="3"/>
    </row>
    <row r="10800" spans="1:4">
      <c r="A10800" s="3"/>
      <c r="D10800" s="3"/>
    </row>
    <row r="10801" spans="1:4">
      <c r="A10801" s="3"/>
      <c r="D10801" s="3"/>
    </row>
    <row r="10802" spans="1:4">
      <c r="A10802" s="3"/>
      <c r="D10802" s="3"/>
    </row>
    <row r="10803" spans="1:4">
      <c r="A10803" s="3"/>
      <c r="D10803" s="3"/>
    </row>
    <row r="10804" spans="1:4">
      <c r="A10804" s="3"/>
      <c r="D10804" s="3"/>
    </row>
    <row r="10805" spans="1:4">
      <c r="A10805" s="3"/>
      <c r="D10805" s="3"/>
    </row>
    <row r="10806" spans="1:4">
      <c r="A10806" s="3"/>
      <c r="D10806" s="3"/>
    </row>
    <row r="10807" spans="1:4">
      <c r="A10807" s="3"/>
      <c r="D10807" s="3"/>
    </row>
    <row r="10808" spans="1:4">
      <c r="A10808" s="3"/>
      <c r="D10808" s="3"/>
    </row>
    <row r="10809" spans="1:4">
      <c r="A10809" s="3"/>
      <c r="D10809" s="3"/>
    </row>
    <row r="10810" spans="1:4">
      <c r="A10810" s="3"/>
      <c r="D10810" s="3"/>
    </row>
    <row r="10811" spans="1:4">
      <c r="A10811" s="3"/>
      <c r="D10811" s="3"/>
    </row>
    <row r="10812" spans="1:4">
      <c r="A10812" s="3"/>
      <c r="D10812" s="3"/>
    </row>
    <row r="10813" spans="1:4">
      <c r="A10813" s="3"/>
      <c r="D10813" s="3"/>
    </row>
    <row r="10814" spans="1:4">
      <c r="A10814" s="3"/>
      <c r="D10814" s="3"/>
    </row>
    <row r="10815" spans="1:4">
      <c r="A10815" s="3"/>
      <c r="D10815" s="3"/>
    </row>
    <row r="10816" spans="1:4">
      <c r="A10816" s="3"/>
      <c r="D10816" s="3"/>
    </row>
    <row r="10817" spans="1:4">
      <c r="A10817" s="3"/>
      <c r="D10817" s="3"/>
    </row>
    <row r="10818" spans="1:4">
      <c r="A10818" s="3"/>
      <c r="D10818" s="3"/>
    </row>
    <row r="10819" spans="1:4">
      <c r="A10819" s="3"/>
      <c r="D10819" s="3"/>
    </row>
    <row r="10820" spans="1:4">
      <c r="A10820" s="3"/>
      <c r="D10820" s="3"/>
    </row>
    <row r="10821" spans="1:4">
      <c r="A10821" s="3"/>
      <c r="D10821" s="3"/>
    </row>
    <row r="10822" spans="1:4">
      <c r="A10822" s="3"/>
      <c r="D10822" s="3"/>
    </row>
    <row r="10823" spans="1:4">
      <c r="A10823" s="3"/>
      <c r="D10823" s="3"/>
    </row>
    <row r="10824" spans="1:4">
      <c r="A10824" s="3"/>
      <c r="D10824" s="3"/>
    </row>
    <row r="10825" spans="1:4">
      <c r="A10825" s="3"/>
      <c r="D10825" s="3"/>
    </row>
    <row r="10826" spans="1:4">
      <c r="A10826" s="3"/>
      <c r="D10826" s="3"/>
    </row>
    <row r="10827" spans="1:4">
      <c r="A10827" s="3"/>
      <c r="D10827" s="3"/>
    </row>
    <row r="10828" spans="1:4">
      <c r="A10828" s="3"/>
      <c r="D10828" s="3"/>
    </row>
    <row r="10829" spans="1:4">
      <c r="A10829" s="3"/>
      <c r="D10829" s="3"/>
    </row>
    <row r="10830" spans="1:4">
      <c r="A10830" s="3"/>
      <c r="D10830" s="3"/>
    </row>
    <row r="10831" spans="1:4">
      <c r="A10831" s="3"/>
      <c r="D10831" s="3"/>
    </row>
    <row r="10832" spans="1:4">
      <c r="A10832" s="3"/>
      <c r="D10832" s="3"/>
    </row>
    <row r="10833" spans="1:4">
      <c r="A10833" s="3"/>
      <c r="D10833" s="3"/>
    </row>
    <row r="10834" spans="1:4">
      <c r="A10834" s="3"/>
      <c r="D10834" s="3"/>
    </row>
    <row r="10835" spans="1:4">
      <c r="A10835" s="3"/>
      <c r="D10835" s="3"/>
    </row>
    <row r="10836" spans="1:4">
      <c r="A10836" s="3"/>
      <c r="D10836" s="3"/>
    </row>
    <row r="10837" spans="1:4">
      <c r="A10837" s="3"/>
      <c r="D10837" s="3"/>
    </row>
    <row r="10838" spans="1:4">
      <c r="A10838" s="3"/>
      <c r="D10838" s="3"/>
    </row>
    <row r="10839" spans="1:4">
      <c r="A10839" s="3"/>
      <c r="D10839" s="3"/>
    </row>
    <row r="10840" spans="1:4">
      <c r="A10840" s="3"/>
      <c r="D10840" s="3"/>
    </row>
    <row r="10841" spans="1:4">
      <c r="A10841" s="3"/>
      <c r="D10841" s="3"/>
    </row>
    <row r="10842" spans="1:4">
      <c r="A10842" s="3"/>
      <c r="D10842" s="3"/>
    </row>
    <row r="10843" spans="1:4">
      <c r="A10843" s="3"/>
      <c r="D10843" s="3"/>
    </row>
    <row r="10844" spans="1:4">
      <c r="A10844" s="3"/>
      <c r="D10844" s="3"/>
    </row>
    <row r="10845" spans="1:4">
      <c r="A10845" s="3"/>
      <c r="D10845" s="3"/>
    </row>
    <row r="10846" spans="1:4">
      <c r="A10846" s="3"/>
      <c r="D10846" s="3"/>
    </row>
    <row r="10847" spans="1:4">
      <c r="A10847" s="3"/>
      <c r="D10847" s="3"/>
    </row>
    <row r="10848" spans="1:4">
      <c r="A10848" s="3"/>
      <c r="D10848" s="3"/>
    </row>
    <row r="10849" spans="1:4">
      <c r="A10849" s="3"/>
      <c r="D10849" s="3"/>
    </row>
    <row r="10850" spans="1:4">
      <c r="A10850" s="3"/>
      <c r="D10850" s="3"/>
    </row>
    <row r="10851" spans="1:4">
      <c r="A10851" s="3"/>
      <c r="D10851" s="3"/>
    </row>
    <row r="10852" spans="1:4">
      <c r="A10852" s="3"/>
      <c r="D10852" s="3"/>
    </row>
    <row r="10853" spans="1:4">
      <c r="A10853" s="3"/>
      <c r="D10853" s="3"/>
    </row>
    <row r="10854" spans="1:4">
      <c r="A10854" s="3"/>
      <c r="D10854" s="3"/>
    </row>
    <row r="10855" spans="1:4">
      <c r="A10855" s="3"/>
      <c r="D10855" s="3"/>
    </row>
    <row r="10856" spans="1:4">
      <c r="A10856" s="3"/>
      <c r="D10856" s="3"/>
    </row>
    <row r="10857" spans="1:4">
      <c r="A10857" s="3"/>
      <c r="D10857" s="3"/>
    </row>
    <row r="10858" spans="1:4">
      <c r="A10858" s="3"/>
      <c r="D10858" s="3"/>
    </row>
    <row r="10859" spans="1:4">
      <c r="A10859" s="3"/>
      <c r="D10859" s="3"/>
    </row>
    <row r="10860" spans="1:4">
      <c r="A10860" s="3"/>
      <c r="D10860" s="3"/>
    </row>
    <row r="10861" spans="1:4">
      <c r="A10861" s="3"/>
      <c r="D10861" s="3"/>
    </row>
    <row r="10862" spans="1:4">
      <c r="A10862" s="3"/>
      <c r="D10862" s="3"/>
    </row>
    <row r="10863" spans="1:4">
      <c r="A10863" s="3"/>
      <c r="D10863" s="3"/>
    </row>
    <row r="10864" spans="1:4">
      <c r="A10864" s="3"/>
      <c r="D10864" s="3"/>
    </row>
    <row r="10865" spans="1:4">
      <c r="A10865" s="3"/>
      <c r="D10865" s="3"/>
    </row>
    <row r="10866" spans="1:4">
      <c r="A10866" s="3"/>
      <c r="D10866" s="3"/>
    </row>
    <row r="10867" spans="1:4">
      <c r="A10867" s="3"/>
      <c r="D10867" s="3"/>
    </row>
    <row r="10868" spans="1:4">
      <c r="A10868" s="3"/>
      <c r="D10868" s="3"/>
    </row>
    <row r="10869" spans="1:4">
      <c r="A10869" s="3"/>
      <c r="D10869" s="3"/>
    </row>
    <row r="10870" spans="1:4">
      <c r="A10870" s="3"/>
      <c r="D10870" s="3"/>
    </row>
    <row r="10871" spans="1:4">
      <c r="A10871" s="3"/>
      <c r="D10871" s="3"/>
    </row>
    <row r="10872" spans="1:4">
      <c r="A10872" s="3"/>
      <c r="D10872" s="3"/>
    </row>
    <row r="10873" spans="1:4">
      <c r="A10873" s="3"/>
      <c r="D10873" s="3"/>
    </row>
    <row r="10874" spans="1:4">
      <c r="A10874" s="3"/>
      <c r="D10874" s="3"/>
    </row>
    <row r="10875" spans="1:4">
      <c r="A10875" s="3"/>
      <c r="D10875" s="3"/>
    </row>
    <row r="10876" spans="1:4">
      <c r="A10876" s="3"/>
      <c r="D10876" s="3"/>
    </row>
    <row r="10877" spans="1:4">
      <c r="A10877" s="3"/>
      <c r="D10877" s="3"/>
    </row>
    <row r="10878" spans="1:4">
      <c r="A10878" s="3"/>
      <c r="D10878" s="3"/>
    </row>
    <row r="10879" spans="1:4">
      <c r="A10879" s="3"/>
      <c r="D10879" s="3"/>
    </row>
    <row r="10880" spans="1:4">
      <c r="A10880" s="3"/>
      <c r="D10880" s="3"/>
    </row>
    <row r="10881" spans="1:4">
      <c r="A10881" s="3"/>
      <c r="D10881" s="3"/>
    </row>
    <row r="10882" spans="1:4">
      <c r="A10882" s="3"/>
      <c r="D10882" s="3"/>
    </row>
    <row r="10883" spans="1:4">
      <c r="A10883" s="3"/>
      <c r="D10883" s="3"/>
    </row>
    <row r="10884" spans="1:4">
      <c r="A10884" s="3"/>
      <c r="D10884" s="3"/>
    </row>
    <row r="10885" spans="1:4">
      <c r="A10885" s="3"/>
      <c r="D10885" s="3"/>
    </row>
    <row r="10886" spans="1:4">
      <c r="A10886" s="3"/>
      <c r="D10886" s="3"/>
    </row>
    <row r="10887" spans="1:4">
      <c r="A10887" s="3"/>
      <c r="D10887" s="3"/>
    </row>
    <row r="10888" spans="1:4">
      <c r="A10888" s="3"/>
      <c r="D10888" s="3"/>
    </row>
    <row r="10889" spans="1:4">
      <c r="A10889" s="3"/>
      <c r="D10889" s="3"/>
    </row>
    <row r="10890" spans="1:4">
      <c r="A10890" s="3"/>
      <c r="D10890" s="3"/>
    </row>
    <row r="10891" spans="1:4">
      <c r="A10891" s="3"/>
      <c r="D10891" s="3"/>
    </row>
    <row r="10892" spans="1:4">
      <c r="A10892" s="3"/>
      <c r="D10892" s="3"/>
    </row>
    <row r="10893" spans="1:4">
      <c r="A10893" s="3"/>
      <c r="D10893" s="3"/>
    </row>
    <row r="10894" spans="1:4">
      <c r="A10894" s="3"/>
      <c r="D10894" s="3"/>
    </row>
    <row r="10895" spans="1:4">
      <c r="A10895" s="3"/>
      <c r="D10895" s="3"/>
    </row>
    <row r="10896" spans="1:4">
      <c r="A10896" s="3"/>
      <c r="D10896" s="3"/>
    </row>
    <row r="10897" spans="1:4">
      <c r="A10897" s="3"/>
      <c r="D10897" s="3"/>
    </row>
    <row r="10898" spans="1:4">
      <c r="A10898" s="3"/>
      <c r="D10898" s="3"/>
    </row>
    <row r="10899" spans="1:4">
      <c r="A10899" s="3"/>
      <c r="D10899" s="3"/>
    </row>
    <row r="10900" spans="1:4">
      <c r="A10900" s="3"/>
      <c r="D10900" s="3"/>
    </row>
    <row r="10901" spans="1:4">
      <c r="A10901" s="3"/>
      <c r="D10901" s="3"/>
    </row>
    <row r="10902" spans="1:4">
      <c r="A10902" s="3"/>
      <c r="D10902" s="3"/>
    </row>
    <row r="10903" spans="1:4">
      <c r="A10903" s="3"/>
      <c r="D10903" s="3"/>
    </row>
    <row r="10904" spans="1:4">
      <c r="A10904" s="3"/>
      <c r="D10904" s="3"/>
    </row>
    <row r="10905" spans="1:4">
      <c r="A10905" s="3"/>
      <c r="D10905" s="3"/>
    </row>
    <row r="10906" spans="1:4">
      <c r="A10906" s="3"/>
      <c r="D10906" s="3"/>
    </row>
    <row r="10907" spans="1:4">
      <c r="A10907" s="3"/>
      <c r="D10907" s="3"/>
    </row>
    <row r="10908" spans="1:4">
      <c r="A10908" s="3"/>
      <c r="D10908" s="3"/>
    </row>
    <row r="10909" spans="1:4">
      <c r="A10909" s="3"/>
      <c r="D10909" s="3"/>
    </row>
    <row r="10910" spans="1:4">
      <c r="A10910" s="3"/>
      <c r="D10910" s="3"/>
    </row>
    <row r="10911" spans="1:4">
      <c r="A10911" s="3"/>
      <c r="D10911" s="3"/>
    </row>
    <row r="10912" spans="1:4">
      <c r="A10912" s="3"/>
      <c r="D10912" s="3"/>
    </row>
    <row r="10913" spans="1:4">
      <c r="A10913" s="3"/>
      <c r="D10913" s="3"/>
    </row>
    <row r="10914" spans="1:4">
      <c r="A10914" s="3"/>
      <c r="D10914" s="3"/>
    </row>
    <row r="10915" spans="1:4">
      <c r="A10915" s="3"/>
      <c r="D10915" s="3"/>
    </row>
    <row r="10916" spans="1:4">
      <c r="A10916" s="3"/>
      <c r="D10916" s="3"/>
    </row>
    <row r="10917" spans="1:4">
      <c r="A10917" s="3"/>
      <c r="D10917" s="3"/>
    </row>
    <row r="10918" spans="1:4">
      <c r="A10918" s="3"/>
      <c r="D10918" s="3"/>
    </row>
    <row r="10919" spans="1:4">
      <c r="A10919" s="3"/>
      <c r="D10919" s="3"/>
    </row>
    <row r="10920" spans="1:4">
      <c r="A10920" s="3"/>
      <c r="D10920" s="3"/>
    </row>
    <row r="10921" spans="1:4">
      <c r="A10921" s="3"/>
      <c r="D10921" s="3"/>
    </row>
    <row r="10922" spans="1:4">
      <c r="A10922" s="3"/>
      <c r="D10922" s="3"/>
    </row>
    <row r="10923" spans="1:4">
      <c r="A10923" s="3"/>
      <c r="D10923" s="3"/>
    </row>
    <row r="10924" spans="1:4">
      <c r="A10924" s="3"/>
      <c r="D10924" s="3"/>
    </row>
    <row r="10925" spans="1:4">
      <c r="A10925" s="3"/>
      <c r="D10925" s="3"/>
    </row>
    <row r="10926" spans="1:4">
      <c r="A10926" s="3"/>
      <c r="D10926" s="3"/>
    </row>
    <row r="10927" spans="1:4">
      <c r="A10927" s="3"/>
      <c r="D10927" s="3"/>
    </row>
    <row r="10928" spans="1:4">
      <c r="A10928" s="3"/>
      <c r="D10928" s="3"/>
    </row>
    <row r="10929" spans="1:4">
      <c r="A10929" s="3"/>
      <c r="D10929" s="3"/>
    </row>
    <row r="10930" spans="1:4">
      <c r="A10930" s="3"/>
      <c r="D10930" s="3"/>
    </row>
    <row r="10931" spans="1:4">
      <c r="A10931" s="3"/>
      <c r="D10931" s="3"/>
    </row>
    <row r="10932" spans="1:4">
      <c r="A10932" s="3"/>
      <c r="D10932" s="3"/>
    </row>
    <row r="10933" spans="1:4">
      <c r="A10933" s="3"/>
      <c r="D10933" s="3"/>
    </row>
    <row r="10934" spans="1:4">
      <c r="A10934" s="3"/>
      <c r="D10934" s="3"/>
    </row>
    <row r="10935" spans="1:4">
      <c r="A10935" s="3"/>
      <c r="D10935" s="3"/>
    </row>
    <row r="10936" spans="1:4">
      <c r="A10936" s="3"/>
      <c r="D10936" s="3"/>
    </row>
    <row r="10937" spans="1:4">
      <c r="A10937" s="3"/>
      <c r="D10937" s="3"/>
    </row>
    <row r="10938" spans="1:4">
      <c r="A10938" s="3"/>
      <c r="D10938" s="3"/>
    </row>
    <row r="10939" spans="1:4">
      <c r="A10939" s="3"/>
      <c r="D10939" s="3"/>
    </row>
    <row r="10940" spans="1:4">
      <c r="A10940" s="3"/>
      <c r="D10940" s="3"/>
    </row>
    <row r="10941" spans="1:4">
      <c r="A10941" s="3"/>
      <c r="D10941" s="3"/>
    </row>
    <row r="10942" spans="1:4">
      <c r="A10942" s="3"/>
      <c r="D10942" s="3"/>
    </row>
    <row r="10943" spans="1:4">
      <c r="A10943" s="3"/>
      <c r="D10943" s="3"/>
    </row>
    <row r="10944" spans="1:4">
      <c r="A10944" s="3"/>
      <c r="D10944" s="3"/>
    </row>
    <row r="10945" spans="1:4">
      <c r="A10945" s="3"/>
      <c r="D10945" s="3"/>
    </row>
    <row r="10946" spans="1:4">
      <c r="A10946" s="3"/>
      <c r="D10946" s="3"/>
    </row>
    <row r="10947" spans="1:4">
      <c r="A10947" s="3"/>
      <c r="D10947" s="3"/>
    </row>
    <row r="10948" spans="1:4">
      <c r="A10948" s="3"/>
      <c r="D10948" s="3"/>
    </row>
    <row r="10949" spans="1:4">
      <c r="A10949" s="3"/>
      <c r="D10949" s="3"/>
    </row>
    <row r="10950" spans="1:4">
      <c r="A10950" s="3"/>
      <c r="D10950" s="3"/>
    </row>
    <row r="10951" spans="1:4">
      <c r="A10951" s="3"/>
      <c r="D10951" s="3"/>
    </row>
    <row r="10952" spans="1:4">
      <c r="A10952" s="3"/>
      <c r="D10952" s="3"/>
    </row>
    <row r="10953" spans="1:4">
      <c r="A10953" s="3"/>
      <c r="D10953" s="3"/>
    </row>
    <row r="10954" spans="1:4">
      <c r="A10954" s="3"/>
      <c r="D10954" s="3"/>
    </row>
    <row r="10955" spans="1:4">
      <c r="A10955" s="3"/>
      <c r="D10955" s="3"/>
    </row>
    <row r="10956" spans="1:4">
      <c r="A10956" s="3"/>
      <c r="D10956" s="3"/>
    </row>
    <row r="10957" spans="1:4">
      <c r="A10957" s="3"/>
      <c r="D10957" s="3"/>
    </row>
    <row r="10958" spans="1:4">
      <c r="A10958" s="3"/>
      <c r="D10958" s="3"/>
    </row>
    <row r="10959" spans="1:4">
      <c r="A10959" s="3"/>
      <c r="D10959" s="3"/>
    </row>
    <row r="10960" spans="1:4">
      <c r="A10960" s="3"/>
      <c r="D10960" s="3"/>
    </row>
    <row r="10961" spans="1:4">
      <c r="A10961" s="3"/>
      <c r="D10961" s="3"/>
    </row>
    <row r="10962" spans="1:4">
      <c r="A10962" s="3"/>
      <c r="D10962" s="3"/>
    </row>
    <row r="10963" spans="1:4">
      <c r="A10963" s="3"/>
      <c r="D10963" s="3"/>
    </row>
    <row r="10964" spans="1:4">
      <c r="A10964" s="3"/>
      <c r="D10964" s="3"/>
    </row>
    <row r="10965" spans="1:4">
      <c r="A10965" s="3"/>
      <c r="D10965" s="3"/>
    </row>
    <row r="10966" spans="1:4">
      <c r="A10966" s="3"/>
      <c r="D10966" s="3"/>
    </row>
    <row r="10967" spans="1:4">
      <c r="A10967" s="3"/>
      <c r="D10967" s="3"/>
    </row>
    <row r="10968" spans="1:4">
      <c r="A10968" s="3"/>
      <c r="D10968" s="3"/>
    </row>
    <row r="10969" spans="1:4">
      <c r="A10969" s="3"/>
      <c r="D10969" s="3"/>
    </row>
    <row r="10970" spans="1:4">
      <c r="A10970" s="3"/>
      <c r="D10970" s="3"/>
    </row>
    <row r="10971" spans="1:4">
      <c r="A10971" s="3"/>
      <c r="D10971" s="3"/>
    </row>
    <row r="10972" spans="1:4">
      <c r="A10972" s="3"/>
      <c r="D10972" s="3"/>
    </row>
    <row r="10973" spans="1:4">
      <c r="A10973" s="3"/>
      <c r="D10973" s="3"/>
    </row>
    <row r="10974" spans="1:4">
      <c r="A10974" s="3"/>
      <c r="D10974" s="3"/>
    </row>
    <row r="10975" spans="1:4">
      <c r="A10975" s="3"/>
      <c r="D10975" s="3"/>
    </row>
    <row r="10976" spans="1:4">
      <c r="A10976" s="3"/>
      <c r="D10976" s="3"/>
    </row>
    <row r="10977" spans="1:4">
      <c r="A10977" s="3"/>
      <c r="D10977" s="3"/>
    </row>
    <row r="10978" spans="1:4">
      <c r="A10978" s="3"/>
      <c r="D10978" s="3"/>
    </row>
    <row r="10979" spans="1:4">
      <c r="A10979" s="3"/>
      <c r="D10979" s="3"/>
    </row>
    <row r="10980" spans="1:4">
      <c r="A10980" s="3"/>
      <c r="D10980" s="3"/>
    </row>
    <row r="10981" spans="1:4">
      <c r="A10981" s="3"/>
      <c r="D10981" s="3"/>
    </row>
    <row r="10982" spans="1:4">
      <c r="A10982" s="3"/>
      <c r="D10982" s="3"/>
    </row>
    <row r="10983" spans="1:4">
      <c r="A10983" s="3"/>
      <c r="D10983" s="3"/>
    </row>
    <row r="10984" spans="1:4">
      <c r="A10984" s="3"/>
      <c r="D10984" s="3"/>
    </row>
    <row r="10985" spans="1:4">
      <c r="A10985" s="3"/>
      <c r="D10985" s="3"/>
    </row>
    <row r="10986" spans="1:4">
      <c r="A10986" s="3"/>
      <c r="D10986" s="3"/>
    </row>
    <row r="10987" spans="1:4">
      <c r="A10987" s="3"/>
      <c r="D10987" s="3"/>
    </row>
    <row r="10988" spans="1:4">
      <c r="A10988" s="3"/>
      <c r="D10988" s="3"/>
    </row>
    <row r="10989" spans="1:4">
      <c r="A10989" s="3"/>
      <c r="D10989" s="3"/>
    </row>
    <row r="10990" spans="1:4">
      <c r="A10990" s="3"/>
      <c r="D10990" s="3"/>
    </row>
    <row r="10991" spans="1:4">
      <c r="A10991" s="3"/>
      <c r="D10991" s="3"/>
    </row>
    <row r="10992" spans="1:4">
      <c r="A10992" s="3"/>
      <c r="D10992" s="3"/>
    </row>
    <row r="10993" spans="1:4">
      <c r="A10993" s="3"/>
      <c r="D10993" s="3"/>
    </row>
    <row r="10994" spans="1:4">
      <c r="A10994" s="3"/>
      <c r="D10994" s="3"/>
    </row>
    <row r="10995" spans="1:4">
      <c r="A10995" s="3"/>
      <c r="D10995" s="3"/>
    </row>
    <row r="10996" spans="1:4">
      <c r="A10996" s="3"/>
      <c r="D10996" s="3"/>
    </row>
    <row r="10997" spans="1:4">
      <c r="A10997" s="3"/>
      <c r="D10997" s="3"/>
    </row>
    <row r="10998" spans="1:4">
      <c r="A10998" s="3"/>
      <c r="D10998" s="3"/>
    </row>
    <row r="10999" spans="1:4">
      <c r="A10999" s="3"/>
      <c r="D10999" s="3"/>
    </row>
    <row r="11000" spans="1:4">
      <c r="A11000" s="3"/>
      <c r="D11000" s="3"/>
    </row>
    <row r="11001" spans="1:4">
      <c r="A11001" s="3"/>
      <c r="D11001" s="3"/>
    </row>
    <row r="11002" spans="1:4">
      <c r="A11002" s="3"/>
      <c r="D11002" s="3"/>
    </row>
    <row r="11003" spans="1:4">
      <c r="A11003" s="3"/>
      <c r="D11003" s="3"/>
    </row>
    <row r="11004" spans="1:4">
      <c r="A11004" s="3"/>
      <c r="D11004" s="3"/>
    </row>
    <row r="11005" spans="1:4">
      <c r="A11005" s="3"/>
      <c r="D11005" s="3"/>
    </row>
    <row r="11006" spans="1:4">
      <c r="A11006" s="3"/>
      <c r="D11006" s="3"/>
    </row>
    <row r="11007" spans="1:4">
      <c r="A11007" s="3"/>
      <c r="D11007" s="3"/>
    </row>
    <row r="11008" spans="1:4">
      <c r="A11008" s="3"/>
      <c r="D11008" s="3"/>
    </row>
    <row r="11009" spans="1:4">
      <c r="A11009" s="3"/>
      <c r="D11009" s="3"/>
    </row>
    <row r="11010" spans="1:4">
      <c r="A11010" s="3"/>
      <c r="D11010" s="3"/>
    </row>
    <row r="11011" spans="1:4">
      <c r="A11011" s="3"/>
      <c r="D11011" s="3"/>
    </row>
    <row r="11012" spans="1:4">
      <c r="A11012" s="3"/>
      <c r="D11012" s="3"/>
    </row>
    <row r="11013" spans="1:4">
      <c r="A11013" s="3"/>
      <c r="D11013" s="3"/>
    </row>
    <row r="11014" spans="1:4">
      <c r="A11014" s="3"/>
      <c r="D11014" s="3"/>
    </row>
    <row r="11015" spans="1:4">
      <c r="A11015" s="3"/>
      <c r="D11015" s="3"/>
    </row>
    <row r="11016" spans="1:4">
      <c r="A11016" s="3"/>
      <c r="D11016" s="3"/>
    </row>
    <row r="11017" spans="1:4">
      <c r="A11017" s="3"/>
      <c r="D11017" s="3"/>
    </row>
    <row r="11018" spans="1:4">
      <c r="A11018" s="3"/>
      <c r="D11018" s="3"/>
    </row>
    <row r="11019" spans="1:4">
      <c r="A11019" s="3"/>
      <c r="D11019" s="3"/>
    </row>
    <row r="11020" spans="1:4">
      <c r="A11020" s="3"/>
      <c r="D11020" s="3"/>
    </row>
    <row r="11021" spans="1:4">
      <c r="A11021" s="3"/>
      <c r="D11021" s="3"/>
    </row>
    <row r="11022" spans="1:4">
      <c r="A11022" s="3"/>
      <c r="D11022" s="3"/>
    </row>
    <row r="11023" spans="1:4">
      <c r="A11023" s="3"/>
      <c r="D11023" s="3"/>
    </row>
    <row r="11024" spans="1:4">
      <c r="A11024" s="3"/>
      <c r="D11024" s="3"/>
    </row>
    <row r="11025" spans="1:4">
      <c r="A11025" s="3"/>
      <c r="D11025" s="3"/>
    </row>
    <row r="11026" spans="1:4">
      <c r="A11026" s="3"/>
      <c r="D11026" s="3"/>
    </row>
    <row r="11027" spans="1:4">
      <c r="A11027" s="3"/>
      <c r="D11027" s="3"/>
    </row>
    <row r="11028" spans="1:4">
      <c r="A11028" s="3"/>
      <c r="D11028" s="3"/>
    </row>
    <row r="11029" spans="1:4">
      <c r="A11029" s="3"/>
      <c r="D11029" s="3"/>
    </row>
    <row r="11030" spans="1:4">
      <c r="A11030" s="3"/>
      <c r="D11030" s="3"/>
    </row>
    <row r="11031" spans="1:4">
      <c r="A11031" s="3"/>
      <c r="D11031" s="3"/>
    </row>
    <row r="11032" spans="1:4">
      <c r="A11032" s="3"/>
      <c r="D11032" s="3"/>
    </row>
    <row r="11033" spans="1:4">
      <c r="A11033" s="3"/>
      <c r="D11033" s="3"/>
    </row>
    <row r="11034" spans="1:4">
      <c r="A11034" s="3"/>
      <c r="D11034" s="3"/>
    </row>
    <row r="11035" spans="1:4">
      <c r="A11035" s="3"/>
      <c r="D11035" s="3"/>
    </row>
    <row r="11036" spans="1:4">
      <c r="A11036" s="3"/>
      <c r="D11036" s="3"/>
    </row>
    <row r="11037" spans="1:4">
      <c r="A11037" s="3"/>
      <c r="D11037" s="3"/>
    </row>
    <row r="11038" spans="1:4">
      <c r="A11038" s="3"/>
      <c r="D11038" s="3"/>
    </row>
    <row r="11039" spans="1:4">
      <c r="A11039" s="3"/>
      <c r="D11039" s="3"/>
    </row>
    <row r="11040" spans="1:4">
      <c r="A11040" s="3"/>
      <c r="D11040" s="3"/>
    </row>
    <row r="11041" spans="1:4">
      <c r="A11041" s="3"/>
      <c r="D11041" s="3"/>
    </row>
    <row r="11042" spans="1:4">
      <c r="A11042" s="3"/>
      <c r="D11042" s="3"/>
    </row>
    <row r="11043" spans="1:4">
      <c r="A11043" s="3"/>
      <c r="D11043" s="3"/>
    </row>
    <row r="11044" spans="1:4">
      <c r="A11044" s="3"/>
      <c r="D11044" s="3"/>
    </row>
    <row r="11045" spans="1:4">
      <c r="A11045" s="3"/>
      <c r="D11045" s="3"/>
    </row>
    <row r="11046" spans="1:4">
      <c r="A11046" s="3"/>
      <c r="D11046" s="3"/>
    </row>
    <row r="11047" spans="1:4">
      <c r="A11047" s="3"/>
      <c r="D11047" s="3"/>
    </row>
    <row r="11048" spans="1:4">
      <c r="A11048" s="3"/>
      <c r="D11048" s="3"/>
    </row>
    <row r="11049" spans="1:4">
      <c r="A11049" s="3"/>
      <c r="D11049" s="3"/>
    </row>
    <row r="11050" spans="1:4">
      <c r="A11050" s="3"/>
      <c r="D11050" s="3"/>
    </row>
    <row r="11051" spans="1:4">
      <c r="A11051" s="3"/>
      <c r="D11051" s="3"/>
    </row>
    <row r="11052" spans="1:4">
      <c r="A11052" s="3"/>
      <c r="D11052" s="3"/>
    </row>
    <row r="11053" spans="1:4">
      <c r="A11053" s="3"/>
      <c r="D11053" s="3"/>
    </row>
    <row r="11054" spans="1:4">
      <c r="A11054" s="3"/>
      <c r="D11054" s="3"/>
    </row>
    <row r="11055" spans="1:4">
      <c r="A11055" s="3"/>
      <c r="D11055" s="3"/>
    </row>
    <row r="11056" spans="1:4">
      <c r="A11056" s="3"/>
      <c r="D11056" s="3"/>
    </row>
    <row r="11057" spans="1:4">
      <c r="A11057" s="3"/>
      <c r="D11057" s="3"/>
    </row>
    <row r="11058" spans="1:4">
      <c r="A11058" s="3"/>
      <c r="D11058" s="3"/>
    </row>
    <row r="11059" spans="1:4">
      <c r="A11059" s="3"/>
      <c r="D11059" s="3"/>
    </row>
    <row r="11060" spans="1:4">
      <c r="A11060" s="3"/>
      <c r="D11060" s="3"/>
    </row>
    <row r="11061" spans="1:4">
      <c r="A11061" s="3"/>
      <c r="D11061" s="3"/>
    </row>
    <row r="11062" spans="1:4">
      <c r="A11062" s="3"/>
      <c r="D11062" s="3"/>
    </row>
    <row r="11063" spans="1:4">
      <c r="A11063" s="3"/>
      <c r="D11063" s="3"/>
    </row>
    <row r="11064" spans="1:4">
      <c r="A11064" s="3"/>
      <c r="D11064" s="3"/>
    </row>
    <row r="11065" spans="1:4">
      <c r="A11065" s="3"/>
      <c r="D11065" s="3"/>
    </row>
    <row r="11066" spans="1:4">
      <c r="A11066" s="3"/>
      <c r="D11066" s="3"/>
    </row>
    <row r="11067" spans="1:4">
      <c r="A11067" s="3"/>
      <c r="D11067" s="3"/>
    </row>
    <row r="11068" spans="1:4">
      <c r="A11068" s="3"/>
      <c r="D11068" s="3"/>
    </row>
    <row r="11069" spans="1:4">
      <c r="A11069" s="3"/>
      <c r="D11069" s="3"/>
    </row>
    <row r="11070" spans="1:4">
      <c r="A11070" s="3"/>
      <c r="D11070" s="3"/>
    </row>
    <row r="11071" spans="1:4">
      <c r="A11071" s="3"/>
      <c r="D11071" s="3"/>
    </row>
    <row r="11072" spans="1:4">
      <c r="A11072" s="3"/>
      <c r="D11072" s="3"/>
    </row>
    <row r="11073" spans="1:4">
      <c r="A11073" s="3"/>
      <c r="D11073" s="3"/>
    </row>
    <row r="11074" spans="1:4">
      <c r="A11074" s="3"/>
      <c r="D11074" s="3"/>
    </row>
    <row r="11075" spans="1:4">
      <c r="A11075" s="3"/>
      <c r="D11075" s="3"/>
    </row>
    <row r="11076" spans="1:4">
      <c r="A11076" s="3"/>
      <c r="D11076" s="3"/>
    </row>
    <row r="11077" spans="1:4">
      <c r="A11077" s="3"/>
      <c r="D11077" s="3"/>
    </row>
    <row r="11078" spans="1:4">
      <c r="A11078" s="3"/>
      <c r="D11078" s="3"/>
    </row>
    <row r="11079" spans="1:4">
      <c r="A11079" s="3"/>
      <c r="D11079" s="3"/>
    </row>
    <row r="11080" spans="1:4">
      <c r="A11080" s="3"/>
      <c r="D11080" s="3"/>
    </row>
    <row r="11081" spans="1:4">
      <c r="A11081" s="3"/>
      <c r="D11081" s="3"/>
    </row>
    <row r="11082" spans="1:4">
      <c r="A11082" s="3"/>
      <c r="D11082" s="3"/>
    </row>
    <row r="11083" spans="1:4">
      <c r="A11083" s="3"/>
      <c r="D11083" s="3"/>
    </row>
    <row r="11084" spans="1:4">
      <c r="A11084" s="3"/>
      <c r="D11084" s="3"/>
    </row>
    <row r="11085" spans="1:4">
      <c r="A11085" s="3"/>
      <c r="D11085" s="3"/>
    </row>
    <row r="11086" spans="1:4">
      <c r="A11086" s="3"/>
      <c r="D11086" s="3"/>
    </row>
    <row r="11087" spans="1:4">
      <c r="A11087" s="3"/>
      <c r="D11087" s="3"/>
    </row>
    <row r="11088" spans="1:4">
      <c r="A11088" s="3"/>
      <c r="D11088" s="3"/>
    </row>
    <row r="11089" spans="1:4">
      <c r="A11089" s="3"/>
      <c r="D11089" s="3"/>
    </row>
    <row r="11090" spans="1:4">
      <c r="A11090" s="3"/>
      <c r="D11090" s="3"/>
    </row>
    <row r="11091" spans="1:4">
      <c r="A11091" s="3"/>
      <c r="D11091" s="3"/>
    </row>
    <row r="11092" spans="1:4">
      <c r="A11092" s="3"/>
      <c r="D11092" s="3"/>
    </row>
    <row r="11093" spans="1:4">
      <c r="A11093" s="3"/>
      <c r="D11093" s="3"/>
    </row>
    <row r="11094" spans="1:4">
      <c r="A11094" s="3"/>
      <c r="D11094" s="3"/>
    </row>
    <row r="11095" spans="1:4">
      <c r="A11095" s="3"/>
      <c r="D11095" s="3"/>
    </row>
    <row r="11096" spans="1:4">
      <c r="A11096" s="3"/>
      <c r="D11096" s="3"/>
    </row>
    <row r="11097" spans="1:4">
      <c r="A11097" s="3"/>
      <c r="D11097" s="3"/>
    </row>
    <row r="11098" spans="1:4">
      <c r="A11098" s="3"/>
      <c r="D11098" s="3"/>
    </row>
    <row r="11099" spans="1:4">
      <c r="A11099" s="3"/>
      <c r="D11099" s="3"/>
    </row>
    <row r="11100" spans="1:4">
      <c r="A11100" s="3"/>
      <c r="D11100" s="3"/>
    </row>
    <row r="11101" spans="1:4">
      <c r="A11101" s="3"/>
      <c r="D11101" s="3"/>
    </row>
    <row r="11102" spans="1:4">
      <c r="A11102" s="3"/>
      <c r="D11102" s="3"/>
    </row>
    <row r="11103" spans="1:4">
      <c r="A11103" s="3"/>
      <c r="D11103" s="3"/>
    </row>
    <row r="11104" spans="1:4">
      <c r="A11104" s="3"/>
      <c r="D11104" s="3"/>
    </row>
    <row r="11105" spans="1:4">
      <c r="A11105" s="3"/>
      <c r="D11105" s="3"/>
    </row>
    <row r="11106" spans="1:4">
      <c r="A11106" s="3"/>
      <c r="D11106" s="3"/>
    </row>
    <row r="11107" spans="1:4">
      <c r="A11107" s="3"/>
      <c r="D11107" s="3"/>
    </row>
    <row r="11108" spans="1:4">
      <c r="A11108" s="3"/>
      <c r="D11108" s="3"/>
    </row>
    <row r="11109" spans="1:4">
      <c r="A11109" s="3"/>
      <c r="D11109" s="3"/>
    </row>
    <row r="11110" spans="1:4">
      <c r="A11110" s="3"/>
      <c r="D11110" s="3"/>
    </row>
    <row r="11111" spans="1:4">
      <c r="A11111" s="3"/>
      <c r="D11111" s="3"/>
    </row>
    <row r="11112" spans="1:4">
      <c r="A11112" s="3"/>
      <c r="D11112" s="3"/>
    </row>
    <row r="11113" spans="1:4">
      <c r="A11113" s="3"/>
      <c r="D11113" s="3"/>
    </row>
    <row r="11114" spans="1:4">
      <c r="A11114" s="3"/>
      <c r="D11114" s="3"/>
    </row>
    <row r="11115" spans="1:4">
      <c r="A11115" s="3"/>
      <c r="D11115" s="3"/>
    </row>
    <row r="11116" spans="1:4">
      <c r="A11116" s="3"/>
      <c r="D11116" s="3"/>
    </row>
    <row r="11117" spans="1:4">
      <c r="A11117" s="3"/>
      <c r="D11117" s="3"/>
    </row>
    <row r="11118" spans="1:4">
      <c r="A11118" s="3"/>
      <c r="D11118" s="3"/>
    </row>
    <row r="11119" spans="1:4">
      <c r="A11119" s="3"/>
      <c r="D11119" s="3"/>
    </row>
    <row r="11120" spans="1:4">
      <c r="A11120" s="3"/>
      <c r="D11120" s="3"/>
    </row>
    <row r="11121" spans="1:4">
      <c r="A11121" s="3"/>
      <c r="D11121" s="3"/>
    </row>
    <row r="11122" spans="1:4">
      <c r="A11122" s="3"/>
      <c r="D11122" s="3"/>
    </row>
    <row r="11123" spans="1:4">
      <c r="A11123" s="3"/>
      <c r="D11123" s="3"/>
    </row>
    <row r="11124" spans="1:4">
      <c r="A11124" s="3"/>
      <c r="D11124" s="3"/>
    </row>
    <row r="11125" spans="1:4">
      <c r="A11125" s="3"/>
      <c r="D11125" s="3"/>
    </row>
    <row r="11126" spans="1:4">
      <c r="A11126" s="3"/>
      <c r="D11126" s="3"/>
    </row>
    <row r="11127" spans="1:4">
      <c r="A11127" s="3"/>
      <c r="D11127" s="3"/>
    </row>
    <row r="11128" spans="1:4">
      <c r="A11128" s="3"/>
      <c r="D11128" s="3"/>
    </row>
    <row r="11129" spans="1:4">
      <c r="A11129" s="3"/>
      <c r="D11129" s="3"/>
    </row>
    <row r="11130" spans="1:4">
      <c r="A11130" s="3"/>
      <c r="D11130" s="3"/>
    </row>
    <row r="11131" spans="1:4">
      <c r="A11131" s="3"/>
      <c r="D11131" s="3"/>
    </row>
    <row r="11132" spans="1:4">
      <c r="A11132" s="3"/>
      <c r="D11132" s="3"/>
    </row>
    <row r="11133" spans="1:4">
      <c r="A11133" s="3"/>
      <c r="D11133" s="3"/>
    </row>
    <row r="11134" spans="1:4">
      <c r="A11134" s="3"/>
      <c r="D11134" s="3"/>
    </row>
    <row r="11135" spans="1:4">
      <c r="A11135" s="3"/>
      <c r="D11135" s="3"/>
    </row>
    <row r="11136" spans="1:4">
      <c r="A11136" s="3"/>
      <c r="D11136" s="3"/>
    </row>
    <row r="11137" spans="1:4">
      <c r="A11137" s="3"/>
      <c r="D11137" s="3"/>
    </row>
    <row r="11138" spans="1:4">
      <c r="A11138" s="3"/>
      <c r="D11138" s="3"/>
    </row>
    <row r="11139" spans="1:4">
      <c r="A11139" s="3"/>
      <c r="D11139" s="3"/>
    </row>
    <row r="11140" spans="1:4">
      <c r="A11140" s="3"/>
      <c r="D11140" s="3"/>
    </row>
    <row r="11141" spans="1:4">
      <c r="A11141" s="3"/>
      <c r="D11141" s="3"/>
    </row>
    <row r="11142" spans="1:4">
      <c r="A11142" s="3"/>
      <c r="D11142" s="3"/>
    </row>
    <row r="11143" spans="1:4">
      <c r="A11143" s="3"/>
      <c r="D11143" s="3"/>
    </row>
    <row r="11144" spans="1:4">
      <c r="A11144" s="3"/>
      <c r="D11144" s="3"/>
    </row>
    <row r="11145" spans="1:4">
      <c r="A11145" s="3"/>
      <c r="D11145" s="3"/>
    </row>
    <row r="11146" spans="1:4">
      <c r="A11146" s="3"/>
      <c r="D11146" s="3"/>
    </row>
    <row r="11147" spans="1:4">
      <c r="A11147" s="3"/>
      <c r="D11147" s="3"/>
    </row>
    <row r="11148" spans="1:4">
      <c r="A11148" s="3"/>
      <c r="D11148" s="3"/>
    </row>
    <row r="11149" spans="1:4">
      <c r="A11149" s="3"/>
      <c r="D11149" s="3"/>
    </row>
    <row r="11150" spans="1:4">
      <c r="A11150" s="3"/>
      <c r="D11150" s="3"/>
    </row>
    <row r="11151" spans="1:4">
      <c r="A11151" s="3"/>
      <c r="D11151" s="3"/>
    </row>
    <row r="11152" spans="1:4">
      <c r="A11152" s="3"/>
      <c r="D11152" s="3"/>
    </row>
    <row r="11153" spans="1:4">
      <c r="A11153" s="3"/>
      <c r="D11153" s="3"/>
    </row>
    <row r="11154" spans="1:4">
      <c r="A11154" s="3"/>
      <c r="D11154" s="3"/>
    </row>
    <row r="11155" spans="1:4">
      <c r="A11155" s="3"/>
      <c r="D11155" s="3"/>
    </row>
    <row r="11156" spans="1:4">
      <c r="A11156" s="3"/>
      <c r="D11156" s="3"/>
    </row>
    <row r="11157" spans="1:4">
      <c r="A11157" s="3"/>
      <c r="D11157" s="3"/>
    </row>
    <row r="11158" spans="1:4">
      <c r="A11158" s="3"/>
      <c r="D11158" s="3"/>
    </row>
    <row r="11159" spans="1:4">
      <c r="A11159" s="3"/>
      <c r="D11159" s="3"/>
    </row>
    <row r="11160" spans="1:4">
      <c r="A11160" s="3"/>
      <c r="D11160" s="3"/>
    </row>
    <row r="11161" spans="1:4">
      <c r="A11161" s="3"/>
      <c r="D11161" s="3"/>
    </row>
    <row r="11162" spans="1:4">
      <c r="A11162" s="3"/>
      <c r="D11162" s="3"/>
    </row>
    <row r="11163" spans="1:4">
      <c r="A11163" s="3"/>
      <c r="D11163" s="3"/>
    </row>
    <row r="11164" spans="1:4">
      <c r="A11164" s="3"/>
      <c r="D11164" s="3"/>
    </row>
    <row r="11165" spans="1:4">
      <c r="A11165" s="3"/>
      <c r="D11165" s="3"/>
    </row>
    <row r="11166" spans="1:4">
      <c r="A11166" s="3"/>
      <c r="D11166" s="3"/>
    </row>
    <row r="11167" spans="1:4">
      <c r="A11167" s="3"/>
      <c r="D11167" s="3"/>
    </row>
    <row r="11168" spans="1:4">
      <c r="A11168" s="3"/>
      <c r="D11168" s="3"/>
    </row>
    <row r="11169" spans="1:4">
      <c r="A11169" s="3"/>
      <c r="D11169" s="3"/>
    </row>
    <row r="11170" spans="1:4">
      <c r="A11170" s="3"/>
      <c r="D11170" s="3"/>
    </row>
    <row r="11171" spans="1:4">
      <c r="A11171" s="3"/>
      <c r="D11171" s="3"/>
    </row>
    <row r="11172" spans="1:4">
      <c r="A11172" s="3"/>
      <c r="D11172" s="3"/>
    </row>
    <row r="11173" spans="1:4">
      <c r="A11173" s="3"/>
      <c r="D11173" s="3"/>
    </row>
    <row r="11174" spans="1:4">
      <c r="A11174" s="3"/>
      <c r="D11174" s="3"/>
    </row>
    <row r="11175" spans="1:4">
      <c r="A11175" s="3"/>
      <c r="D11175" s="3"/>
    </row>
    <row r="11176" spans="1:4">
      <c r="A11176" s="3"/>
      <c r="D11176" s="3"/>
    </row>
    <row r="11177" spans="1:4">
      <c r="A11177" s="3"/>
      <c r="D11177" s="3"/>
    </row>
    <row r="11178" spans="1:4">
      <c r="A11178" s="3"/>
      <c r="D11178" s="3"/>
    </row>
    <row r="11179" spans="1:4">
      <c r="A11179" s="3"/>
      <c r="D11179" s="3"/>
    </row>
    <row r="11180" spans="1:4">
      <c r="A11180" s="3"/>
      <c r="D11180" s="3"/>
    </row>
    <row r="11181" spans="1:4">
      <c r="A11181" s="3"/>
      <c r="D11181" s="3"/>
    </row>
    <row r="11182" spans="1:4">
      <c r="A11182" s="3"/>
      <c r="D11182" s="3"/>
    </row>
    <row r="11183" spans="1:4">
      <c r="A11183" s="3"/>
      <c r="D11183" s="3"/>
    </row>
    <row r="11184" spans="1:4">
      <c r="A11184" s="3"/>
      <c r="D11184" s="3"/>
    </row>
    <row r="11185" spans="1:4">
      <c r="A11185" s="3"/>
      <c r="D11185" s="3"/>
    </row>
    <row r="11186" spans="1:4">
      <c r="A11186" s="3"/>
      <c r="D11186" s="3"/>
    </row>
    <row r="11187" spans="1:4">
      <c r="A11187" s="3"/>
      <c r="D11187" s="3"/>
    </row>
    <row r="11188" spans="1:4">
      <c r="A11188" s="3"/>
      <c r="D11188" s="3"/>
    </row>
    <row r="11189" spans="1:4">
      <c r="A11189" s="3"/>
      <c r="D11189" s="3"/>
    </row>
    <row r="11190" spans="1:4">
      <c r="A11190" s="3"/>
      <c r="D11190" s="3"/>
    </row>
    <row r="11191" spans="1:4">
      <c r="A11191" s="3"/>
      <c r="D11191" s="3"/>
    </row>
    <row r="11192" spans="1:4">
      <c r="A11192" s="3"/>
      <c r="D11192" s="3"/>
    </row>
    <row r="11193" spans="1:4">
      <c r="A11193" s="3"/>
      <c r="D11193" s="3"/>
    </row>
    <row r="11194" spans="1:4">
      <c r="A11194" s="3"/>
      <c r="D11194" s="3"/>
    </row>
    <row r="11195" spans="1:4">
      <c r="A11195" s="3"/>
      <c r="D11195" s="3"/>
    </row>
    <row r="11196" spans="1:4">
      <c r="A11196" s="3"/>
      <c r="D11196" s="3"/>
    </row>
    <row r="11197" spans="1:4">
      <c r="A11197" s="3"/>
      <c r="D11197" s="3"/>
    </row>
    <row r="11198" spans="1:4">
      <c r="A11198" s="3"/>
      <c r="D11198" s="3"/>
    </row>
    <row r="11199" spans="1:4">
      <c r="A11199" s="3"/>
      <c r="D11199" s="3"/>
    </row>
    <row r="11200" spans="1:4">
      <c r="A11200" s="3"/>
      <c r="D11200" s="3"/>
    </row>
    <row r="11201" spans="1:4">
      <c r="A11201" s="3"/>
      <c r="D11201" s="3"/>
    </row>
    <row r="11202" spans="1:4">
      <c r="A11202" s="3"/>
      <c r="D11202" s="3"/>
    </row>
    <row r="11203" spans="1:4">
      <c r="A11203" s="3"/>
      <c r="D11203" s="3"/>
    </row>
    <row r="11204" spans="1:4">
      <c r="A11204" s="3"/>
      <c r="D11204" s="3"/>
    </row>
    <row r="11205" spans="1:4">
      <c r="A11205" s="3"/>
      <c r="D11205" s="3"/>
    </row>
    <row r="11206" spans="1:4">
      <c r="A11206" s="3"/>
      <c r="D11206" s="3"/>
    </row>
    <row r="11207" spans="1:4">
      <c r="A11207" s="3"/>
      <c r="D11207" s="3"/>
    </row>
    <row r="11208" spans="1:4">
      <c r="A11208" s="3"/>
      <c r="D11208" s="3"/>
    </row>
    <row r="11209" spans="1:4">
      <c r="A11209" s="3"/>
      <c r="D11209" s="3"/>
    </row>
    <row r="11210" spans="1:4">
      <c r="A11210" s="3"/>
      <c r="D11210" s="3"/>
    </row>
    <row r="11211" spans="1:4">
      <c r="A11211" s="3"/>
      <c r="D11211" s="3"/>
    </row>
    <row r="11212" spans="1:4">
      <c r="A11212" s="3"/>
      <c r="D11212" s="3"/>
    </row>
    <row r="11213" spans="1:4">
      <c r="A11213" s="3"/>
      <c r="D11213" s="3"/>
    </row>
    <row r="11214" spans="1:4">
      <c r="A11214" s="3"/>
      <c r="D11214" s="3"/>
    </row>
    <row r="11215" spans="1:4">
      <c r="A11215" s="3"/>
      <c r="D11215" s="3"/>
    </row>
    <row r="11216" spans="1:4">
      <c r="A11216" s="3"/>
      <c r="D11216" s="3"/>
    </row>
    <row r="11217" spans="1:4">
      <c r="A11217" s="3"/>
      <c r="D11217" s="3"/>
    </row>
    <row r="11218" spans="1:4">
      <c r="A11218" s="3"/>
      <c r="D11218" s="3"/>
    </row>
    <row r="11219" spans="1:4">
      <c r="A11219" s="3"/>
      <c r="D11219" s="3"/>
    </row>
    <row r="11220" spans="1:4">
      <c r="A11220" s="3"/>
      <c r="D11220" s="3"/>
    </row>
    <row r="11221" spans="1:4">
      <c r="A11221" s="3"/>
      <c r="D11221" s="3"/>
    </row>
    <row r="11222" spans="1:4">
      <c r="A11222" s="3"/>
      <c r="D11222" s="3"/>
    </row>
    <row r="11223" spans="1:4">
      <c r="A11223" s="3"/>
      <c r="D11223" s="3"/>
    </row>
    <row r="11224" spans="1:4">
      <c r="A11224" s="3"/>
      <c r="D11224" s="3"/>
    </row>
    <row r="11225" spans="1:4">
      <c r="A11225" s="3"/>
      <c r="D11225" s="3"/>
    </row>
    <row r="11226" spans="1:4">
      <c r="A11226" s="3"/>
      <c r="D11226" s="3"/>
    </row>
    <row r="11227" spans="1:4">
      <c r="A11227" s="3"/>
      <c r="D11227" s="3"/>
    </row>
    <row r="11228" spans="1:4">
      <c r="A11228" s="3"/>
      <c r="D11228" s="3"/>
    </row>
    <row r="11229" spans="1:4">
      <c r="A11229" s="3"/>
      <c r="D11229" s="3"/>
    </row>
    <row r="11230" spans="1:4">
      <c r="A11230" s="3"/>
      <c r="D11230" s="3"/>
    </row>
    <row r="11231" spans="1:4">
      <c r="A11231" s="3"/>
      <c r="D11231" s="3"/>
    </row>
    <row r="11232" spans="1:4">
      <c r="A11232" s="3"/>
      <c r="D11232" s="3"/>
    </row>
    <row r="11233" spans="1:4">
      <c r="A11233" s="3"/>
      <c r="D11233" s="3"/>
    </row>
    <row r="11234" spans="1:4">
      <c r="A11234" s="3"/>
      <c r="D11234" s="3"/>
    </row>
    <row r="11235" spans="1:4">
      <c r="A11235" s="3"/>
      <c r="D11235" s="3"/>
    </row>
    <row r="11236" spans="1:4">
      <c r="A11236" s="3"/>
      <c r="D11236" s="3"/>
    </row>
    <row r="11237" spans="1:4">
      <c r="A11237" s="3"/>
      <c r="D11237" s="3"/>
    </row>
    <row r="11238" spans="1:4">
      <c r="A11238" s="3"/>
      <c r="D11238" s="3"/>
    </row>
    <row r="11239" spans="1:4">
      <c r="A11239" s="3"/>
      <c r="D11239" s="3"/>
    </row>
    <row r="11240" spans="1:4">
      <c r="A11240" s="3"/>
      <c r="D11240" s="3"/>
    </row>
    <row r="11241" spans="1:4">
      <c r="A11241" s="3"/>
      <c r="D11241" s="3"/>
    </row>
    <row r="11242" spans="1:4">
      <c r="A11242" s="3"/>
      <c r="D11242" s="3"/>
    </row>
    <row r="11243" spans="1:4">
      <c r="A11243" s="3"/>
      <c r="D11243" s="3"/>
    </row>
    <row r="11244" spans="1:4">
      <c r="A11244" s="3"/>
      <c r="D11244" s="3"/>
    </row>
    <row r="11245" spans="1:4">
      <c r="A11245" s="3"/>
      <c r="D11245" s="3"/>
    </row>
    <row r="11246" spans="1:4">
      <c r="A11246" s="3"/>
      <c r="D11246" s="3"/>
    </row>
    <row r="11247" spans="1:4">
      <c r="A11247" s="3"/>
      <c r="D11247" s="3"/>
    </row>
    <row r="11248" spans="1:4">
      <c r="A11248" s="3"/>
      <c r="D11248" s="3"/>
    </row>
    <row r="11249" spans="1:4">
      <c r="A11249" s="3"/>
      <c r="D11249" s="3"/>
    </row>
    <row r="11250" spans="1:4">
      <c r="A11250" s="3"/>
      <c r="D11250" s="3"/>
    </row>
    <row r="11251" spans="1:4">
      <c r="A11251" s="3"/>
      <c r="D11251" s="3"/>
    </row>
    <row r="11252" spans="1:4">
      <c r="A11252" s="3"/>
      <c r="D11252" s="3"/>
    </row>
    <row r="11253" spans="1:4">
      <c r="A11253" s="3"/>
      <c r="D11253" s="3"/>
    </row>
    <row r="11254" spans="1:4">
      <c r="A11254" s="3"/>
      <c r="D11254" s="3"/>
    </row>
    <row r="11255" spans="1:4">
      <c r="A11255" s="3"/>
      <c r="D11255" s="3"/>
    </row>
    <row r="11256" spans="1:4">
      <c r="A11256" s="3"/>
      <c r="D11256" s="3"/>
    </row>
    <row r="11257" spans="1:4">
      <c r="A11257" s="3"/>
      <c r="D11257" s="3"/>
    </row>
    <row r="11258" spans="1:4">
      <c r="A11258" s="3"/>
      <c r="D11258" s="3"/>
    </row>
    <row r="11259" spans="1:4">
      <c r="A11259" s="3"/>
      <c r="D11259" s="3"/>
    </row>
    <row r="11260" spans="1:4">
      <c r="A11260" s="3"/>
      <c r="D11260" s="3"/>
    </row>
    <row r="11261" spans="1:4">
      <c r="A11261" s="3"/>
      <c r="D11261" s="3"/>
    </row>
    <row r="11262" spans="1:4">
      <c r="A11262" s="3"/>
      <c r="D11262" s="3"/>
    </row>
    <row r="11263" spans="1:4">
      <c r="A11263" s="3"/>
      <c r="D11263" s="3"/>
    </row>
    <row r="11264" spans="1:4">
      <c r="A11264" s="3"/>
      <c r="D11264" s="3"/>
    </row>
    <row r="11265" spans="1:4">
      <c r="A11265" s="3"/>
      <c r="D11265" s="3"/>
    </row>
    <row r="11266" spans="1:4">
      <c r="A11266" s="3"/>
      <c r="D11266" s="3"/>
    </row>
    <row r="11267" spans="1:4">
      <c r="A11267" s="3"/>
      <c r="D11267" s="3"/>
    </row>
    <row r="11268" spans="1:4">
      <c r="A11268" s="3"/>
      <c r="D11268" s="3"/>
    </row>
    <row r="11269" spans="1:4">
      <c r="A11269" s="3"/>
      <c r="D11269" s="3"/>
    </row>
    <row r="11270" spans="1:4">
      <c r="A11270" s="3"/>
      <c r="D11270" s="3"/>
    </row>
    <row r="11271" spans="1:4">
      <c r="A11271" s="3"/>
      <c r="D11271" s="3"/>
    </row>
    <row r="11272" spans="1:4">
      <c r="A11272" s="3"/>
      <c r="D11272" s="3"/>
    </row>
    <row r="11273" spans="1:4">
      <c r="A11273" s="3"/>
      <c r="D11273" s="3"/>
    </row>
    <row r="11274" spans="1:4">
      <c r="A11274" s="3"/>
      <c r="D11274" s="3"/>
    </row>
    <row r="11275" spans="1:4">
      <c r="A11275" s="3"/>
      <c r="D11275" s="3"/>
    </row>
    <row r="11276" spans="1:4">
      <c r="A11276" s="3"/>
      <c r="D11276" s="3"/>
    </row>
    <row r="11277" spans="1:4">
      <c r="A11277" s="3"/>
      <c r="D11277" s="3"/>
    </row>
    <row r="11278" spans="1:4">
      <c r="A11278" s="3"/>
      <c r="D11278" s="3"/>
    </row>
    <row r="11279" spans="1:4">
      <c r="A11279" s="3"/>
      <c r="D11279" s="3"/>
    </row>
    <row r="11280" spans="1:4">
      <c r="A11280" s="3"/>
      <c r="D11280" s="3"/>
    </row>
    <row r="11281" spans="1:4">
      <c r="A11281" s="3"/>
      <c r="D11281" s="3"/>
    </row>
    <row r="11282" spans="1:4">
      <c r="A11282" s="3"/>
      <c r="D11282" s="3"/>
    </row>
    <row r="11283" spans="1:4">
      <c r="A11283" s="3"/>
      <c r="D11283" s="3"/>
    </row>
    <row r="11284" spans="1:4">
      <c r="A11284" s="3"/>
      <c r="D11284" s="3"/>
    </row>
    <row r="11285" spans="1:4">
      <c r="A11285" s="3"/>
      <c r="D11285" s="3"/>
    </row>
    <row r="11286" spans="1:4">
      <c r="A11286" s="3"/>
      <c r="D11286" s="3"/>
    </row>
    <row r="11287" spans="1:4">
      <c r="A11287" s="3"/>
      <c r="D11287" s="3"/>
    </row>
    <row r="11288" spans="1:4">
      <c r="A11288" s="3"/>
      <c r="D11288" s="3"/>
    </row>
    <row r="11289" spans="1:4">
      <c r="A11289" s="3"/>
      <c r="D11289" s="3"/>
    </row>
    <row r="11290" spans="1:4">
      <c r="A11290" s="3"/>
      <c r="D11290" s="3"/>
    </row>
    <row r="11291" spans="1:4">
      <c r="A11291" s="3"/>
      <c r="D11291" s="3"/>
    </row>
    <row r="11292" spans="1:4">
      <c r="A11292" s="3"/>
      <c r="D11292" s="3"/>
    </row>
    <row r="11293" spans="1:4">
      <c r="A11293" s="3"/>
      <c r="D11293" s="3"/>
    </row>
    <row r="11294" spans="1:4">
      <c r="A11294" s="3"/>
      <c r="D11294" s="3"/>
    </row>
    <row r="11295" spans="1:4">
      <c r="A11295" s="3"/>
      <c r="D11295" s="3"/>
    </row>
    <row r="11296" spans="1:4">
      <c r="A11296" s="3"/>
      <c r="D11296" s="3"/>
    </row>
    <row r="11297" spans="1:4">
      <c r="A11297" s="3"/>
      <c r="D11297" s="3"/>
    </row>
    <row r="11298" spans="1:4">
      <c r="A11298" s="3"/>
      <c r="D11298" s="3"/>
    </row>
    <row r="11299" spans="1:4">
      <c r="A11299" s="3"/>
      <c r="D11299" s="3"/>
    </row>
    <row r="11300" spans="1:4">
      <c r="A11300" s="3"/>
      <c r="D11300" s="3"/>
    </row>
    <row r="11301" spans="1:4">
      <c r="A11301" s="3"/>
      <c r="D11301" s="3"/>
    </row>
    <row r="11302" spans="1:4">
      <c r="A11302" s="3"/>
      <c r="D11302" s="3"/>
    </row>
    <row r="11303" spans="1:4">
      <c r="A11303" s="3"/>
      <c r="D11303" s="3"/>
    </row>
    <row r="11304" spans="1:4">
      <c r="A11304" s="3"/>
      <c r="D11304" s="3"/>
    </row>
    <row r="11305" spans="1:4">
      <c r="A11305" s="3"/>
      <c r="D11305" s="3"/>
    </row>
    <row r="11306" spans="1:4">
      <c r="A11306" s="3"/>
      <c r="D11306" s="3"/>
    </row>
    <row r="11307" spans="1:4">
      <c r="A11307" s="3"/>
      <c r="D11307" s="3"/>
    </row>
    <row r="11308" spans="1:4">
      <c r="A11308" s="3"/>
      <c r="D11308" s="3"/>
    </row>
    <row r="11309" spans="1:4">
      <c r="A11309" s="3"/>
      <c r="D11309" s="3"/>
    </row>
    <row r="11310" spans="1:4">
      <c r="A11310" s="3"/>
      <c r="D11310" s="3"/>
    </row>
    <row r="11311" spans="1:4">
      <c r="A11311" s="3"/>
      <c r="D11311" s="3"/>
    </row>
    <row r="11312" spans="1:4">
      <c r="A11312" s="3"/>
      <c r="D11312" s="3"/>
    </row>
    <row r="11313" spans="1:4">
      <c r="A11313" s="3"/>
      <c r="D11313" s="3"/>
    </row>
    <row r="11314" spans="1:4">
      <c r="A11314" s="3"/>
      <c r="D11314" s="3"/>
    </row>
    <row r="11315" spans="1:4">
      <c r="A11315" s="3"/>
      <c r="D11315" s="3"/>
    </row>
    <row r="11316" spans="1:4">
      <c r="A11316" s="3"/>
      <c r="D11316" s="3"/>
    </row>
    <row r="11317" spans="1:4">
      <c r="A11317" s="3"/>
      <c r="D11317" s="3"/>
    </row>
    <row r="11318" spans="1:4">
      <c r="A11318" s="3"/>
      <c r="D11318" s="3"/>
    </row>
    <row r="11319" spans="1:4">
      <c r="A11319" s="3"/>
      <c r="D11319" s="3"/>
    </row>
    <row r="11320" spans="1:4">
      <c r="A11320" s="3"/>
      <c r="D11320" s="3"/>
    </row>
    <row r="11321" spans="1:4">
      <c r="A11321" s="3"/>
      <c r="D11321" s="3"/>
    </row>
    <row r="11322" spans="1:4">
      <c r="A11322" s="3"/>
      <c r="D11322" s="3"/>
    </row>
    <row r="11323" spans="1:4">
      <c r="A11323" s="3"/>
      <c r="D11323" s="3"/>
    </row>
    <row r="11324" spans="1:4">
      <c r="A11324" s="3"/>
      <c r="D11324" s="3"/>
    </row>
    <row r="11325" spans="1:4">
      <c r="A11325" s="3"/>
      <c r="D11325" s="3"/>
    </row>
    <row r="11326" spans="1:4">
      <c r="A11326" s="3"/>
      <c r="D11326" s="3"/>
    </row>
    <row r="11327" spans="1:4">
      <c r="A11327" s="3"/>
      <c r="D11327" s="3"/>
    </row>
    <row r="11328" spans="1:4">
      <c r="A11328" s="3"/>
      <c r="D11328" s="3"/>
    </row>
    <row r="11329" spans="1:4">
      <c r="A11329" s="3"/>
      <c r="D11329" s="3"/>
    </row>
    <row r="11330" spans="1:4">
      <c r="A11330" s="3"/>
      <c r="D11330" s="3"/>
    </row>
    <row r="11331" spans="1:4">
      <c r="A11331" s="3"/>
      <c r="D11331" s="3"/>
    </row>
    <row r="11332" spans="1:4">
      <c r="A11332" s="3"/>
      <c r="D11332" s="3"/>
    </row>
    <row r="11333" spans="1:4">
      <c r="A11333" s="3"/>
      <c r="D11333" s="3"/>
    </row>
    <row r="11334" spans="1:4">
      <c r="A11334" s="3"/>
      <c r="D11334" s="3"/>
    </row>
    <row r="11335" spans="1:4">
      <c r="A11335" s="3"/>
      <c r="D11335" s="3"/>
    </row>
    <row r="11336" spans="1:4">
      <c r="A11336" s="3"/>
      <c r="D11336" s="3"/>
    </row>
    <row r="11337" spans="1:4">
      <c r="A11337" s="3"/>
      <c r="D11337" s="3"/>
    </row>
    <row r="11338" spans="1:4">
      <c r="A11338" s="3"/>
      <c r="D11338" s="3"/>
    </row>
    <row r="11339" spans="1:4">
      <c r="A11339" s="3"/>
      <c r="D11339" s="3"/>
    </row>
    <row r="11340" spans="1:4">
      <c r="A11340" s="3"/>
      <c r="D11340" s="3"/>
    </row>
    <row r="11341" spans="1:4">
      <c r="A11341" s="3"/>
      <c r="D11341" s="3"/>
    </row>
    <row r="11342" spans="1:4">
      <c r="A11342" s="3"/>
      <c r="D11342" s="3"/>
    </row>
    <row r="11343" spans="1:4">
      <c r="A11343" s="3"/>
      <c r="D11343" s="3"/>
    </row>
    <row r="11344" spans="1:4">
      <c r="A11344" s="3"/>
      <c r="D11344" s="3"/>
    </row>
    <row r="11345" spans="1:4">
      <c r="A11345" s="3"/>
      <c r="D11345" s="3"/>
    </row>
    <row r="11346" spans="1:4">
      <c r="A11346" s="3"/>
      <c r="D11346" s="3"/>
    </row>
    <row r="11347" spans="1:4">
      <c r="A11347" s="3"/>
      <c r="D11347" s="3"/>
    </row>
    <row r="11348" spans="1:4">
      <c r="A11348" s="3"/>
      <c r="D11348" s="3"/>
    </row>
    <row r="11349" spans="1:4">
      <c r="A11349" s="3"/>
      <c r="D11349" s="3"/>
    </row>
    <row r="11350" spans="1:4">
      <c r="A11350" s="3"/>
      <c r="D11350" s="3"/>
    </row>
    <row r="11351" spans="1:4">
      <c r="A11351" s="3"/>
      <c r="D11351" s="3"/>
    </row>
    <row r="11352" spans="1:4">
      <c r="A11352" s="3"/>
      <c r="D11352" s="3"/>
    </row>
    <row r="11353" spans="1:4">
      <c r="A11353" s="3"/>
      <c r="D11353" s="3"/>
    </row>
    <row r="11354" spans="1:4">
      <c r="A11354" s="3"/>
      <c r="D11354" s="3"/>
    </row>
    <row r="11355" spans="1:4">
      <c r="A11355" s="3"/>
      <c r="D11355" s="3"/>
    </row>
    <row r="11356" spans="1:4">
      <c r="A11356" s="3"/>
      <c r="D11356" s="3"/>
    </row>
    <row r="11357" spans="1:4">
      <c r="A11357" s="3"/>
      <c r="D11357" s="3"/>
    </row>
    <row r="11358" spans="1:4">
      <c r="A11358" s="3"/>
      <c r="D11358" s="3"/>
    </row>
    <row r="11359" spans="1:4">
      <c r="A11359" s="3"/>
      <c r="D11359" s="3"/>
    </row>
    <row r="11360" spans="1:4">
      <c r="A11360" s="3"/>
      <c r="D11360" s="3"/>
    </row>
    <row r="11361" spans="1:4">
      <c r="A11361" s="3"/>
      <c r="D11361" s="3"/>
    </row>
    <row r="11362" spans="1:4">
      <c r="A11362" s="3"/>
      <c r="D11362" s="3"/>
    </row>
    <row r="11363" spans="1:4">
      <c r="A11363" s="3"/>
      <c r="D11363" s="3"/>
    </row>
    <row r="11364" spans="1:4">
      <c r="A11364" s="3"/>
      <c r="D11364" s="3"/>
    </row>
    <row r="11365" spans="1:4">
      <c r="A11365" s="3"/>
      <c r="D11365" s="3"/>
    </row>
    <row r="11366" spans="1:4">
      <c r="A11366" s="3"/>
      <c r="D11366" s="3"/>
    </row>
    <row r="11367" spans="1:4">
      <c r="A11367" s="3"/>
      <c r="D11367" s="3"/>
    </row>
    <row r="11368" spans="1:4">
      <c r="A11368" s="3"/>
      <c r="D11368" s="3"/>
    </row>
    <row r="11369" spans="1:4">
      <c r="A11369" s="3"/>
      <c r="D11369" s="3"/>
    </row>
    <row r="11370" spans="1:4">
      <c r="A11370" s="3"/>
      <c r="D11370" s="3"/>
    </row>
    <row r="11371" spans="1:4">
      <c r="A11371" s="3"/>
      <c r="D11371" s="3"/>
    </row>
    <row r="11372" spans="1:4">
      <c r="A11372" s="3"/>
      <c r="D11372" s="3"/>
    </row>
    <row r="11373" spans="1:4">
      <c r="A11373" s="3"/>
      <c r="D11373" s="3"/>
    </row>
    <row r="11374" spans="1:4">
      <c r="A11374" s="3"/>
      <c r="D11374" s="3"/>
    </row>
    <row r="11375" spans="1:4">
      <c r="A11375" s="3"/>
      <c r="D11375" s="3"/>
    </row>
    <row r="11376" spans="1:4">
      <c r="A11376" s="3"/>
      <c r="D11376" s="3"/>
    </row>
    <row r="11377" spans="1:4">
      <c r="A11377" s="3"/>
      <c r="D11377" s="3"/>
    </row>
    <row r="11378" spans="1:4">
      <c r="A11378" s="3"/>
      <c r="D11378" s="3"/>
    </row>
    <row r="11379" spans="1:4">
      <c r="A11379" s="3"/>
      <c r="D11379" s="3"/>
    </row>
    <row r="11380" spans="1:4">
      <c r="A11380" s="3"/>
      <c r="D11380" s="3"/>
    </row>
    <row r="11381" spans="1:4">
      <c r="A11381" s="3"/>
      <c r="D11381" s="3"/>
    </row>
    <row r="11382" spans="1:4">
      <c r="A11382" s="3"/>
      <c r="D11382" s="3"/>
    </row>
    <row r="11383" spans="1:4">
      <c r="A11383" s="3"/>
      <c r="D11383" s="3"/>
    </row>
    <row r="11384" spans="1:4">
      <c r="A11384" s="3"/>
      <c r="D11384" s="3"/>
    </row>
    <row r="11385" spans="1:4">
      <c r="A11385" s="3"/>
      <c r="D11385" s="3"/>
    </row>
    <row r="11386" spans="1:4">
      <c r="A11386" s="3"/>
      <c r="D11386" s="3"/>
    </row>
    <row r="11387" spans="1:4">
      <c r="A11387" s="3"/>
      <c r="D11387" s="3"/>
    </row>
    <row r="11388" spans="1:4">
      <c r="A11388" s="3"/>
      <c r="D11388" s="3"/>
    </row>
    <row r="11389" spans="1:4">
      <c r="A11389" s="3"/>
      <c r="D11389" s="3"/>
    </row>
    <row r="11390" spans="1:4">
      <c r="A11390" s="3"/>
      <c r="D11390" s="3"/>
    </row>
    <row r="11391" spans="1:4">
      <c r="A11391" s="3"/>
      <c r="D11391" s="3"/>
    </row>
    <row r="11392" spans="1:4">
      <c r="A11392" s="3"/>
      <c r="D11392" s="3"/>
    </row>
    <row r="11393" spans="1:4">
      <c r="A11393" s="3"/>
      <c r="D11393" s="3"/>
    </row>
    <row r="11394" spans="1:4">
      <c r="A11394" s="3"/>
      <c r="D11394" s="3"/>
    </row>
    <row r="11395" spans="1:4">
      <c r="A11395" s="3"/>
      <c r="D11395" s="3"/>
    </row>
    <row r="11396" spans="1:4">
      <c r="A11396" s="3"/>
      <c r="D11396" s="3"/>
    </row>
    <row r="11397" spans="1:4">
      <c r="A11397" s="3"/>
      <c r="D11397" s="3"/>
    </row>
    <row r="11398" spans="1:4">
      <c r="A11398" s="3"/>
      <c r="D11398" s="3"/>
    </row>
    <row r="11399" spans="1:4">
      <c r="A11399" s="3"/>
      <c r="D11399" s="3"/>
    </row>
    <row r="11400" spans="1:4">
      <c r="A11400" s="3"/>
      <c r="D11400" s="3"/>
    </row>
    <row r="11401" spans="1:4">
      <c r="A11401" s="3"/>
      <c r="D11401" s="3"/>
    </row>
    <row r="11402" spans="1:4">
      <c r="A11402" s="3"/>
      <c r="D11402" s="3"/>
    </row>
    <row r="11403" spans="1:4">
      <c r="A11403" s="3"/>
      <c r="D11403" s="3"/>
    </row>
    <row r="11404" spans="1:4">
      <c r="A11404" s="3"/>
      <c r="D11404" s="3"/>
    </row>
    <row r="11405" spans="1:4">
      <c r="A11405" s="3"/>
      <c r="D11405" s="3"/>
    </row>
    <row r="11406" spans="1:4">
      <c r="A11406" s="3"/>
      <c r="D11406" s="3"/>
    </row>
    <row r="11407" spans="1:4">
      <c r="A11407" s="3"/>
      <c r="D11407" s="3"/>
    </row>
    <row r="11408" spans="1:4">
      <c r="A11408" s="3"/>
      <c r="D11408" s="3"/>
    </row>
    <row r="11409" spans="1:4">
      <c r="A11409" s="3"/>
      <c r="D11409" s="3"/>
    </row>
    <row r="11410" spans="1:4">
      <c r="A11410" s="3"/>
      <c r="D11410" s="3"/>
    </row>
    <row r="11411" spans="1:4">
      <c r="A11411" s="3"/>
      <c r="D11411" s="3"/>
    </row>
    <row r="11412" spans="1:4">
      <c r="A11412" s="3"/>
      <c r="D11412" s="3"/>
    </row>
    <row r="11413" spans="1:4">
      <c r="A11413" s="3"/>
      <c r="D11413" s="3"/>
    </row>
    <row r="11414" spans="1:4">
      <c r="A11414" s="3"/>
      <c r="D11414" s="3"/>
    </row>
    <row r="11415" spans="1:4">
      <c r="A11415" s="3"/>
      <c r="D11415" s="3"/>
    </row>
    <row r="11416" spans="1:4">
      <c r="A11416" s="3"/>
      <c r="D11416" s="3"/>
    </row>
    <row r="11417" spans="1:4">
      <c r="A11417" s="3"/>
      <c r="D11417" s="3"/>
    </row>
    <row r="11418" spans="1:4">
      <c r="A11418" s="3"/>
      <c r="D11418" s="3"/>
    </row>
    <row r="11419" spans="1:4">
      <c r="A11419" s="3"/>
      <c r="D11419" s="3"/>
    </row>
    <row r="11420" spans="1:4">
      <c r="A11420" s="3"/>
      <c r="D11420" s="3"/>
    </row>
    <row r="11421" spans="1:4">
      <c r="A11421" s="3"/>
      <c r="D11421" s="3"/>
    </row>
    <row r="11422" spans="1:4">
      <c r="A11422" s="3"/>
      <c r="D11422" s="3"/>
    </row>
    <row r="11423" spans="1:4">
      <c r="A11423" s="3"/>
      <c r="D11423" s="3"/>
    </row>
    <row r="11424" spans="1:4">
      <c r="A11424" s="3"/>
      <c r="D11424" s="3"/>
    </row>
    <row r="11425" spans="1:4">
      <c r="A11425" s="3"/>
      <c r="D11425" s="3"/>
    </row>
    <row r="11426" spans="1:4">
      <c r="A11426" s="3"/>
      <c r="D11426" s="3"/>
    </row>
    <row r="11427" spans="1:4">
      <c r="A11427" s="3"/>
      <c r="D11427" s="3"/>
    </row>
    <row r="11428" spans="1:4">
      <c r="A11428" s="3"/>
      <c r="D11428" s="3"/>
    </row>
    <row r="11429" spans="1:4">
      <c r="A11429" s="3"/>
      <c r="D11429" s="3"/>
    </row>
    <row r="11430" spans="1:4">
      <c r="A11430" s="3"/>
      <c r="D11430" s="3"/>
    </row>
    <row r="11431" spans="1:4">
      <c r="A11431" s="3"/>
      <c r="D11431" s="3"/>
    </row>
    <row r="11432" spans="1:4">
      <c r="A11432" s="3"/>
      <c r="D11432" s="3"/>
    </row>
    <row r="11433" spans="1:4">
      <c r="A11433" s="3"/>
      <c r="D11433" s="3"/>
    </row>
    <row r="11434" spans="1:4">
      <c r="A11434" s="3"/>
      <c r="D11434" s="3"/>
    </row>
    <row r="11435" spans="1:4">
      <c r="A11435" s="3"/>
      <c r="D11435" s="3"/>
    </row>
    <row r="11436" spans="1:4">
      <c r="A11436" s="3"/>
      <c r="D11436" s="3"/>
    </row>
    <row r="11437" spans="1:4">
      <c r="A11437" s="3"/>
      <c r="D11437" s="3"/>
    </row>
    <row r="11438" spans="1:4">
      <c r="A11438" s="3"/>
      <c r="D11438" s="3"/>
    </row>
    <row r="11439" spans="1:4">
      <c r="A11439" s="3"/>
      <c r="D11439" s="3"/>
    </row>
    <row r="11440" spans="1:4">
      <c r="A11440" s="3"/>
      <c r="D11440" s="3"/>
    </row>
    <row r="11441" spans="1:4">
      <c r="A11441" s="3"/>
      <c r="D11441" s="3"/>
    </row>
    <row r="11442" spans="1:4">
      <c r="A11442" s="3"/>
      <c r="D11442" s="3"/>
    </row>
    <row r="11443" spans="1:4">
      <c r="A11443" s="3"/>
      <c r="D11443" s="3"/>
    </row>
    <row r="11444" spans="1:4">
      <c r="A11444" s="3"/>
      <c r="D11444" s="3"/>
    </row>
    <row r="11445" spans="1:4">
      <c r="A11445" s="3"/>
      <c r="D11445" s="3"/>
    </row>
    <row r="11446" spans="1:4">
      <c r="A11446" s="3"/>
      <c r="D11446" s="3"/>
    </row>
    <row r="11447" spans="1:4">
      <c r="A11447" s="3"/>
      <c r="D11447" s="3"/>
    </row>
    <row r="11448" spans="1:4">
      <c r="A11448" s="3"/>
      <c r="D11448" s="3"/>
    </row>
    <row r="11449" spans="1:4">
      <c r="A11449" s="3"/>
      <c r="D11449" s="3"/>
    </row>
    <row r="11450" spans="1:4">
      <c r="A11450" s="3"/>
      <c r="D11450" s="3"/>
    </row>
    <row r="11451" spans="1:4">
      <c r="A11451" s="3"/>
      <c r="D11451" s="3"/>
    </row>
    <row r="11452" spans="1:4">
      <c r="A11452" s="3"/>
      <c r="D11452" s="3"/>
    </row>
    <row r="11453" spans="1:4">
      <c r="A11453" s="3"/>
      <c r="D11453" s="3"/>
    </row>
    <row r="11454" spans="1:4">
      <c r="A11454" s="3"/>
      <c r="D11454" s="3"/>
    </row>
    <row r="11455" spans="1:4">
      <c r="A11455" s="3"/>
      <c r="D11455" s="3"/>
    </row>
    <row r="11456" spans="1:4">
      <c r="A11456" s="3"/>
      <c r="D11456" s="3"/>
    </row>
    <row r="11457" spans="1:4">
      <c r="A11457" s="3"/>
      <c r="D11457" s="3"/>
    </row>
    <row r="11458" spans="1:4">
      <c r="A11458" s="3"/>
      <c r="D11458" s="3"/>
    </row>
    <row r="11459" spans="1:4">
      <c r="A11459" s="3"/>
      <c r="D11459" s="3"/>
    </row>
    <row r="11460" spans="1:4">
      <c r="A11460" s="3"/>
      <c r="D11460" s="3"/>
    </row>
    <row r="11461" spans="1:4">
      <c r="A11461" s="3"/>
      <c r="D11461" s="3"/>
    </row>
    <row r="11462" spans="1:4">
      <c r="A11462" s="3"/>
      <c r="D11462" s="3"/>
    </row>
    <row r="11463" spans="1:4">
      <c r="A11463" s="3"/>
      <c r="D11463" s="3"/>
    </row>
    <row r="11464" spans="1:4">
      <c r="A11464" s="3"/>
      <c r="D11464" s="3"/>
    </row>
    <row r="11465" spans="1:4">
      <c r="A11465" s="3"/>
      <c r="D11465" s="3"/>
    </row>
    <row r="11466" spans="1:4">
      <c r="A11466" s="3"/>
      <c r="D11466" s="3"/>
    </row>
    <row r="11467" spans="1:4">
      <c r="A11467" s="3"/>
      <c r="D11467" s="3"/>
    </row>
    <row r="11468" spans="1:4">
      <c r="A11468" s="3"/>
      <c r="D11468" s="3"/>
    </row>
    <row r="11469" spans="1:4">
      <c r="A11469" s="3"/>
      <c r="D11469" s="3"/>
    </row>
    <row r="11470" spans="1:4">
      <c r="A11470" s="3"/>
      <c r="D11470" s="3"/>
    </row>
    <row r="11471" spans="1:4">
      <c r="A11471" s="3"/>
      <c r="D11471" s="3"/>
    </row>
    <row r="11472" spans="1:4">
      <c r="A11472" s="3"/>
      <c r="D11472" s="3"/>
    </row>
    <row r="11473" spans="1:4">
      <c r="A11473" s="3"/>
      <c r="D11473" s="3"/>
    </row>
    <row r="11474" spans="1:4">
      <c r="A11474" s="3"/>
      <c r="D11474" s="3"/>
    </row>
    <row r="11475" spans="1:4">
      <c r="A11475" s="3"/>
      <c r="D11475" s="3"/>
    </row>
    <row r="11476" spans="1:4">
      <c r="A11476" s="3"/>
      <c r="D11476" s="3"/>
    </row>
    <row r="11477" spans="1:4">
      <c r="A11477" s="3"/>
      <c r="D11477" s="3"/>
    </row>
    <row r="11478" spans="1:4">
      <c r="A11478" s="3"/>
      <c r="D11478" s="3"/>
    </row>
    <row r="11479" spans="1:4">
      <c r="A11479" s="3"/>
      <c r="D11479" s="3"/>
    </row>
    <row r="11480" spans="1:4">
      <c r="A11480" s="3"/>
      <c r="D11480" s="3"/>
    </row>
    <row r="11481" spans="1:4">
      <c r="A11481" s="3"/>
      <c r="D11481" s="3"/>
    </row>
    <row r="11482" spans="1:4">
      <c r="A11482" s="3"/>
      <c r="D11482" s="3"/>
    </row>
    <row r="11483" spans="1:4">
      <c r="A11483" s="3"/>
      <c r="D11483" s="3"/>
    </row>
    <row r="11484" spans="1:4">
      <c r="A11484" s="3"/>
      <c r="D11484" s="3"/>
    </row>
    <row r="11485" spans="1:4">
      <c r="A11485" s="3"/>
      <c r="D11485" s="3"/>
    </row>
    <row r="11486" spans="1:4">
      <c r="A11486" s="3"/>
      <c r="D11486" s="3"/>
    </row>
    <row r="11487" spans="1:4">
      <c r="A11487" s="3"/>
      <c r="D11487" s="3"/>
    </row>
    <row r="11488" spans="1:4">
      <c r="A11488" s="3"/>
      <c r="D11488" s="3"/>
    </row>
    <row r="11489" spans="1:4">
      <c r="A11489" s="3"/>
      <c r="D11489" s="3"/>
    </row>
    <row r="11490" spans="1:4">
      <c r="A11490" s="3"/>
      <c r="D11490" s="3"/>
    </row>
    <row r="11491" spans="1:4">
      <c r="A11491" s="3"/>
      <c r="D11491" s="3"/>
    </row>
    <row r="11492" spans="1:4">
      <c r="A11492" s="3"/>
      <c r="D11492" s="3"/>
    </row>
    <row r="11493" spans="1:4">
      <c r="A11493" s="3"/>
      <c r="D11493" s="3"/>
    </row>
    <row r="11494" spans="1:4">
      <c r="A11494" s="3"/>
      <c r="D11494" s="3"/>
    </row>
    <row r="11495" spans="1:4">
      <c r="A11495" s="3"/>
      <c r="D11495" s="3"/>
    </row>
    <row r="11496" spans="1:4">
      <c r="A11496" s="3"/>
      <c r="D11496" s="3"/>
    </row>
    <row r="11497" spans="1:4">
      <c r="A11497" s="3"/>
      <c r="D11497" s="3"/>
    </row>
    <row r="11498" spans="1:4">
      <c r="A11498" s="3"/>
      <c r="D11498" s="3"/>
    </row>
    <row r="11499" spans="1:4">
      <c r="A11499" s="3"/>
      <c r="D11499" s="3"/>
    </row>
    <row r="11500" spans="1:4">
      <c r="A11500" s="3"/>
      <c r="D11500" s="3"/>
    </row>
    <row r="11501" spans="1:4">
      <c r="A11501" s="3"/>
      <c r="D11501" s="3"/>
    </row>
    <row r="11502" spans="1:4">
      <c r="A11502" s="3"/>
      <c r="D11502" s="3"/>
    </row>
    <row r="11503" spans="1:4">
      <c r="A11503" s="3"/>
      <c r="D11503" s="3"/>
    </row>
    <row r="11504" spans="1:4">
      <c r="A11504" s="3"/>
      <c r="D11504" s="3"/>
    </row>
    <row r="11505" spans="1:4">
      <c r="A11505" s="3"/>
      <c r="D11505" s="3"/>
    </row>
    <row r="11506" spans="1:4">
      <c r="A11506" s="3"/>
      <c r="D11506" s="3"/>
    </row>
    <row r="11507" spans="1:4">
      <c r="A11507" s="3"/>
      <c r="D11507" s="3"/>
    </row>
    <row r="11508" spans="1:4">
      <c r="A11508" s="3"/>
      <c r="D11508" s="3"/>
    </row>
    <row r="11509" spans="1:4">
      <c r="A11509" s="3"/>
      <c r="D11509" s="3"/>
    </row>
    <row r="11510" spans="1:4">
      <c r="A11510" s="3"/>
      <c r="D11510" s="3"/>
    </row>
    <row r="11511" spans="1:4">
      <c r="A11511" s="3"/>
      <c r="D11511" s="3"/>
    </row>
    <row r="11512" spans="1:4">
      <c r="A11512" s="3"/>
      <c r="D11512" s="3"/>
    </row>
    <row r="11513" spans="1:4">
      <c r="A11513" s="3"/>
      <c r="D11513" s="3"/>
    </row>
    <row r="11514" spans="1:4">
      <c r="A11514" s="3"/>
      <c r="D11514" s="3"/>
    </row>
    <row r="11515" spans="1:4">
      <c r="A11515" s="3"/>
      <c r="D11515" s="3"/>
    </row>
    <row r="11516" spans="1:4">
      <c r="A11516" s="3"/>
      <c r="D11516" s="3"/>
    </row>
    <row r="11517" spans="1:4">
      <c r="A11517" s="3"/>
      <c r="D11517" s="3"/>
    </row>
    <row r="11518" spans="1:4">
      <c r="A11518" s="3"/>
      <c r="D11518" s="3"/>
    </row>
    <row r="11519" spans="1:4">
      <c r="A11519" s="3"/>
      <c r="D11519" s="3"/>
    </row>
    <row r="11520" spans="1:4">
      <c r="A11520" s="3"/>
      <c r="D11520" s="3"/>
    </row>
    <row r="11521" spans="1:4">
      <c r="A11521" s="3"/>
      <c r="D11521" s="3"/>
    </row>
    <row r="11522" spans="1:4">
      <c r="A11522" s="3"/>
      <c r="D11522" s="3"/>
    </row>
    <row r="11523" spans="1:4">
      <c r="A11523" s="3"/>
      <c r="D11523" s="3"/>
    </row>
    <row r="11524" spans="1:4">
      <c r="A11524" s="3"/>
      <c r="D11524" s="3"/>
    </row>
    <row r="11525" spans="1:4">
      <c r="A11525" s="3"/>
      <c r="D11525" s="3"/>
    </row>
    <row r="11526" spans="1:4">
      <c r="A11526" s="3"/>
      <c r="D11526" s="3"/>
    </row>
    <row r="11527" spans="1:4">
      <c r="A11527" s="3"/>
      <c r="D11527" s="3"/>
    </row>
    <row r="11528" spans="1:4">
      <c r="A11528" s="3"/>
      <c r="D11528" s="3"/>
    </row>
    <row r="11529" spans="1:4">
      <c r="A11529" s="3"/>
      <c r="D11529" s="3"/>
    </row>
    <row r="11530" spans="1:4">
      <c r="A11530" s="3"/>
      <c r="D11530" s="3"/>
    </row>
    <row r="11531" spans="1:4">
      <c r="A11531" s="3"/>
      <c r="D11531" s="3"/>
    </row>
    <row r="11532" spans="1:4">
      <c r="A11532" s="3"/>
      <c r="D11532" s="3"/>
    </row>
    <row r="11533" spans="1:4">
      <c r="A11533" s="3"/>
      <c r="D11533" s="3"/>
    </row>
    <row r="11534" spans="1:4">
      <c r="A11534" s="3"/>
      <c r="D11534" s="3"/>
    </row>
    <row r="11535" spans="1:4">
      <c r="A11535" s="3"/>
      <c r="D11535" s="3"/>
    </row>
    <row r="11536" spans="1:4">
      <c r="A11536" s="3"/>
      <c r="D11536" s="3"/>
    </row>
    <row r="11537" spans="1:4">
      <c r="A11537" s="3"/>
      <c r="D11537" s="3"/>
    </row>
    <row r="11538" spans="1:4">
      <c r="A11538" s="3"/>
      <c r="D11538" s="3"/>
    </row>
    <row r="11539" spans="1:4">
      <c r="A11539" s="3"/>
      <c r="D11539" s="3"/>
    </row>
    <row r="11540" spans="1:4">
      <c r="A11540" s="3"/>
      <c r="D11540" s="3"/>
    </row>
    <row r="11541" spans="1:4">
      <c r="A11541" s="3"/>
      <c r="D11541" s="3"/>
    </row>
    <row r="11542" spans="1:4">
      <c r="A11542" s="3"/>
      <c r="D11542" s="3"/>
    </row>
    <row r="11543" spans="1:4">
      <c r="A11543" s="3"/>
      <c r="D11543" s="3"/>
    </row>
    <row r="11544" spans="1:4">
      <c r="A11544" s="3"/>
      <c r="D11544" s="3"/>
    </row>
    <row r="11545" spans="1:4">
      <c r="A11545" s="3"/>
      <c r="D11545" s="3"/>
    </row>
    <row r="11546" spans="1:4">
      <c r="A11546" s="3"/>
      <c r="D11546" s="3"/>
    </row>
    <row r="11547" spans="1:4">
      <c r="A11547" s="3"/>
      <c r="D11547" s="3"/>
    </row>
    <row r="11548" spans="1:4">
      <c r="A11548" s="3"/>
      <c r="D11548" s="3"/>
    </row>
    <row r="11549" spans="1:4">
      <c r="A11549" s="3"/>
      <c r="D11549" s="3"/>
    </row>
    <row r="11550" spans="1:4">
      <c r="A11550" s="3"/>
      <c r="D11550" s="3"/>
    </row>
    <row r="11551" spans="1:4">
      <c r="A11551" s="3"/>
      <c r="D11551" s="3"/>
    </row>
    <row r="11552" spans="1:4">
      <c r="A11552" s="3"/>
      <c r="D11552" s="3"/>
    </row>
    <row r="11553" spans="1:4">
      <c r="A11553" s="3"/>
      <c r="D11553" s="3"/>
    </row>
    <row r="11554" spans="1:4">
      <c r="A11554" s="3"/>
      <c r="D11554" s="3"/>
    </row>
    <row r="11555" spans="1:4">
      <c r="A11555" s="3"/>
      <c r="D11555" s="3"/>
    </row>
    <row r="11556" spans="1:4">
      <c r="A11556" s="3"/>
      <c r="D11556" s="3"/>
    </row>
    <row r="11557" spans="1:4">
      <c r="A11557" s="3"/>
      <c r="D11557" s="3"/>
    </row>
    <row r="11558" spans="1:4">
      <c r="A11558" s="3"/>
      <c r="D11558" s="3"/>
    </row>
    <row r="11559" spans="1:4">
      <c r="A11559" s="3"/>
      <c r="D11559" s="3"/>
    </row>
    <row r="11560" spans="1:4">
      <c r="A11560" s="3"/>
      <c r="D11560" s="3"/>
    </row>
    <row r="11561" spans="1:4">
      <c r="A11561" s="3"/>
      <c r="D11561" s="3"/>
    </row>
    <row r="11562" spans="1:4">
      <c r="A11562" s="3"/>
      <c r="D11562" s="3"/>
    </row>
    <row r="11563" spans="1:4">
      <c r="A11563" s="3"/>
      <c r="D11563" s="3"/>
    </row>
    <row r="11564" spans="1:4">
      <c r="A11564" s="3"/>
      <c r="D11564" s="3"/>
    </row>
    <row r="11565" spans="1:4">
      <c r="A11565" s="3"/>
      <c r="D11565" s="3"/>
    </row>
    <row r="11566" spans="1:4">
      <c r="A11566" s="3"/>
      <c r="D11566" s="3"/>
    </row>
    <row r="11567" spans="1:4">
      <c r="A11567" s="3"/>
      <c r="D11567" s="3"/>
    </row>
    <row r="11568" spans="1:4">
      <c r="A11568" s="3"/>
      <c r="D11568" s="3"/>
    </row>
    <row r="11569" spans="1:4">
      <c r="A11569" s="3"/>
      <c r="D11569" s="3"/>
    </row>
    <row r="11570" spans="1:4">
      <c r="A11570" s="3"/>
      <c r="D11570" s="3"/>
    </row>
    <row r="11571" spans="1:4">
      <c r="A11571" s="3"/>
      <c r="D11571" s="3"/>
    </row>
    <row r="11572" spans="1:4">
      <c r="A11572" s="3"/>
      <c r="D11572" s="3"/>
    </row>
    <row r="11573" spans="1:4">
      <c r="A11573" s="3"/>
      <c r="D11573" s="3"/>
    </row>
    <row r="11574" spans="1:4">
      <c r="A11574" s="3"/>
      <c r="D11574" s="3"/>
    </row>
    <row r="11575" spans="1:4">
      <c r="A11575" s="3"/>
      <c r="D11575" s="3"/>
    </row>
    <row r="11576" spans="1:4">
      <c r="A11576" s="3"/>
      <c r="D11576" s="3"/>
    </row>
    <row r="11577" spans="1:4">
      <c r="A11577" s="3"/>
      <c r="D11577" s="3"/>
    </row>
    <row r="11578" spans="1:4">
      <c r="A11578" s="3"/>
      <c r="D11578" s="3"/>
    </row>
    <row r="11579" spans="1:4">
      <c r="A11579" s="3"/>
      <c r="D11579" s="3"/>
    </row>
    <row r="11580" spans="1:4">
      <c r="A11580" s="3"/>
      <c r="D11580" s="3"/>
    </row>
    <row r="11581" spans="1:4">
      <c r="A11581" s="3"/>
      <c r="D11581" s="3"/>
    </row>
    <row r="11582" spans="1:4">
      <c r="A11582" s="3"/>
      <c r="D11582" s="3"/>
    </row>
    <row r="11583" spans="1:4">
      <c r="A11583" s="3"/>
      <c r="D11583" s="3"/>
    </row>
    <row r="11584" spans="1:4">
      <c r="A11584" s="3"/>
      <c r="D11584" s="3"/>
    </row>
    <row r="11585" spans="1:4">
      <c r="A11585" s="3"/>
      <c r="D11585" s="3"/>
    </row>
    <row r="11586" spans="1:4">
      <c r="A11586" s="3"/>
      <c r="D11586" s="3"/>
    </row>
    <row r="11587" spans="1:4">
      <c r="A11587" s="3"/>
      <c r="D11587" s="3"/>
    </row>
    <row r="11588" spans="1:4">
      <c r="A11588" s="3"/>
      <c r="D11588" s="3"/>
    </row>
    <row r="11589" spans="1:4">
      <c r="A11589" s="3"/>
      <c r="D11589" s="3"/>
    </row>
    <row r="11590" spans="1:4">
      <c r="A11590" s="3"/>
      <c r="D11590" s="3"/>
    </row>
    <row r="11591" spans="1:4">
      <c r="A11591" s="3"/>
      <c r="D11591" s="3"/>
    </row>
    <row r="11592" spans="1:4">
      <c r="A11592" s="3"/>
      <c r="D11592" s="3"/>
    </row>
    <row r="11593" spans="1:4">
      <c r="A11593" s="3"/>
      <c r="D11593" s="3"/>
    </row>
    <row r="11594" spans="1:4">
      <c r="A11594" s="3"/>
      <c r="D11594" s="3"/>
    </row>
    <row r="11595" spans="1:4">
      <c r="A11595" s="3"/>
      <c r="D11595" s="3"/>
    </row>
    <row r="11596" spans="1:4">
      <c r="A11596" s="3"/>
      <c r="D11596" s="3"/>
    </row>
    <row r="11597" spans="1:4">
      <c r="A11597" s="3"/>
      <c r="D11597" s="3"/>
    </row>
    <row r="11598" spans="1:4">
      <c r="A11598" s="3"/>
      <c r="D11598" s="3"/>
    </row>
    <row r="11599" spans="1:4">
      <c r="A11599" s="3"/>
      <c r="D11599" s="3"/>
    </row>
    <row r="11600" spans="1:4">
      <c r="A11600" s="3"/>
      <c r="D11600" s="3"/>
    </row>
    <row r="11601" spans="1:4">
      <c r="A11601" s="3"/>
      <c r="D11601" s="3"/>
    </row>
    <row r="11602" spans="1:4">
      <c r="A11602" s="3"/>
      <c r="D11602" s="3"/>
    </row>
    <row r="11603" spans="1:4">
      <c r="A11603" s="3"/>
      <c r="D11603" s="3"/>
    </row>
    <row r="11604" spans="1:4">
      <c r="A11604" s="3"/>
      <c r="D11604" s="3"/>
    </row>
    <row r="11605" spans="1:4">
      <c r="A11605" s="3"/>
      <c r="D11605" s="3"/>
    </row>
    <row r="11606" spans="1:4">
      <c r="A11606" s="3"/>
      <c r="D11606" s="3"/>
    </row>
    <row r="11607" spans="1:4">
      <c r="A11607" s="3"/>
      <c r="D11607" s="3"/>
    </row>
    <row r="11608" spans="1:4">
      <c r="A11608" s="3"/>
      <c r="D11608" s="3"/>
    </row>
    <row r="11609" spans="1:4">
      <c r="A11609" s="3"/>
      <c r="D11609" s="3"/>
    </row>
    <row r="11610" spans="1:4">
      <c r="A11610" s="3"/>
      <c r="D11610" s="3"/>
    </row>
    <row r="11611" spans="1:4">
      <c r="A11611" s="3"/>
      <c r="D11611" s="3"/>
    </row>
    <row r="11612" spans="1:4">
      <c r="A11612" s="3"/>
      <c r="D11612" s="3"/>
    </row>
    <row r="11613" spans="1:4">
      <c r="A11613" s="3"/>
      <c r="D11613" s="3"/>
    </row>
    <row r="11614" spans="1:4">
      <c r="A11614" s="3"/>
      <c r="D11614" s="3"/>
    </row>
    <row r="11615" spans="1:4">
      <c r="A11615" s="3"/>
      <c r="D11615" s="3"/>
    </row>
    <row r="11616" spans="1:4">
      <c r="A11616" s="3"/>
      <c r="D11616" s="3"/>
    </row>
    <row r="11617" spans="1:4">
      <c r="A11617" s="3"/>
      <c r="D11617" s="3"/>
    </row>
    <row r="11618" spans="1:4">
      <c r="A11618" s="3"/>
      <c r="D11618" s="3"/>
    </row>
    <row r="11619" spans="1:4">
      <c r="A11619" s="3"/>
      <c r="D11619" s="3"/>
    </row>
    <row r="11620" spans="1:4">
      <c r="A11620" s="3"/>
      <c r="D11620" s="3"/>
    </row>
    <row r="11621" spans="1:4">
      <c r="A11621" s="3"/>
      <c r="D11621" s="3"/>
    </row>
    <row r="11622" spans="1:4">
      <c r="A11622" s="3"/>
      <c r="D11622" s="3"/>
    </row>
    <row r="11623" spans="1:4">
      <c r="A11623" s="3"/>
      <c r="D11623" s="3"/>
    </row>
    <row r="11624" spans="1:4">
      <c r="A11624" s="3"/>
      <c r="D11624" s="3"/>
    </row>
    <row r="11625" spans="1:4">
      <c r="A11625" s="3"/>
      <c r="D11625" s="3"/>
    </row>
    <row r="11626" spans="1:4">
      <c r="A11626" s="3"/>
      <c r="D11626" s="3"/>
    </row>
    <row r="11627" spans="1:4">
      <c r="A11627" s="3"/>
      <c r="D11627" s="3"/>
    </row>
    <row r="11628" spans="1:4">
      <c r="A11628" s="3"/>
      <c r="D11628" s="3"/>
    </row>
    <row r="11629" spans="1:4">
      <c r="A11629" s="3"/>
      <c r="D11629" s="3"/>
    </row>
    <row r="11630" spans="1:4">
      <c r="A11630" s="3"/>
      <c r="D11630" s="3"/>
    </row>
    <row r="11631" spans="1:4">
      <c r="A11631" s="3"/>
      <c r="D11631" s="3"/>
    </row>
    <row r="11632" spans="1:4">
      <c r="A11632" s="3"/>
      <c r="D11632" s="3"/>
    </row>
    <row r="11633" spans="1:4">
      <c r="A11633" s="3"/>
      <c r="D11633" s="3"/>
    </row>
    <row r="11634" spans="1:4">
      <c r="A11634" s="3"/>
      <c r="D11634" s="3"/>
    </row>
    <row r="11635" spans="1:4">
      <c r="A11635" s="3"/>
      <c r="D11635" s="3"/>
    </row>
    <row r="11636" spans="1:4">
      <c r="A11636" s="3"/>
      <c r="D11636" s="3"/>
    </row>
    <row r="11637" spans="1:4">
      <c r="A11637" s="3"/>
      <c r="D11637" s="3"/>
    </row>
    <row r="11638" spans="1:4">
      <c r="A11638" s="3"/>
      <c r="D11638" s="3"/>
    </row>
    <row r="11639" spans="1:4">
      <c r="A11639" s="3"/>
      <c r="D11639" s="3"/>
    </row>
    <row r="11640" spans="1:4">
      <c r="A11640" s="3"/>
      <c r="D11640" s="3"/>
    </row>
    <row r="11641" spans="1:4">
      <c r="A11641" s="3"/>
      <c r="D11641" s="3"/>
    </row>
    <row r="11642" spans="1:4">
      <c r="A11642" s="3"/>
      <c r="D11642" s="3"/>
    </row>
    <row r="11643" spans="1:4">
      <c r="A11643" s="3"/>
      <c r="D11643" s="3"/>
    </row>
    <row r="11644" spans="1:4">
      <c r="A11644" s="3"/>
      <c r="D11644" s="3"/>
    </row>
    <row r="11645" spans="1:4">
      <c r="A11645" s="3"/>
      <c r="D11645" s="3"/>
    </row>
    <row r="11646" spans="1:4">
      <c r="A11646" s="3"/>
      <c r="D11646" s="3"/>
    </row>
    <row r="11647" spans="1:4">
      <c r="A11647" s="3"/>
      <c r="D11647" s="3"/>
    </row>
    <row r="11648" spans="1:4">
      <c r="A11648" s="3"/>
      <c r="D11648" s="3"/>
    </row>
    <row r="11649" spans="1:4">
      <c r="A11649" s="3"/>
      <c r="D11649" s="3"/>
    </row>
    <row r="11650" spans="1:4">
      <c r="A11650" s="3"/>
      <c r="D11650" s="3"/>
    </row>
    <row r="11651" spans="1:4">
      <c r="A11651" s="3"/>
      <c r="D11651" s="3"/>
    </row>
    <row r="11652" spans="1:4">
      <c r="A11652" s="3"/>
      <c r="D11652" s="3"/>
    </row>
    <row r="11653" spans="1:4">
      <c r="A11653" s="3"/>
      <c r="D11653" s="3"/>
    </row>
    <row r="11654" spans="1:4">
      <c r="A11654" s="3"/>
      <c r="D11654" s="3"/>
    </row>
    <row r="11655" spans="1:4">
      <c r="A11655" s="3"/>
      <c r="D11655" s="3"/>
    </row>
    <row r="11656" spans="1:4">
      <c r="A11656" s="3"/>
      <c r="D11656" s="3"/>
    </row>
    <row r="11657" spans="1:4">
      <c r="A11657" s="3"/>
      <c r="D11657" s="3"/>
    </row>
    <row r="11658" spans="1:4">
      <c r="A11658" s="3"/>
      <c r="D11658" s="3"/>
    </row>
    <row r="11659" spans="1:4">
      <c r="A11659" s="3"/>
      <c r="D11659" s="3"/>
    </row>
    <row r="11660" spans="1:4">
      <c r="A11660" s="3"/>
      <c r="D11660" s="3"/>
    </row>
    <row r="11661" spans="1:4">
      <c r="A11661" s="3"/>
      <c r="D11661" s="3"/>
    </row>
    <row r="11662" spans="1:4">
      <c r="A11662" s="3"/>
      <c r="D11662" s="3"/>
    </row>
    <row r="11663" spans="1:4">
      <c r="A11663" s="3"/>
      <c r="D11663" s="3"/>
    </row>
    <row r="11664" spans="1:4">
      <c r="A11664" s="3"/>
      <c r="D11664" s="3"/>
    </row>
    <row r="11665" spans="1:4">
      <c r="A11665" s="3"/>
      <c r="D11665" s="3"/>
    </row>
    <row r="11666" spans="1:4">
      <c r="A11666" s="3"/>
      <c r="D11666" s="3"/>
    </row>
    <row r="11667" spans="1:4">
      <c r="A11667" s="3"/>
      <c r="D11667" s="3"/>
    </row>
    <row r="11668" spans="1:4">
      <c r="A11668" s="3"/>
      <c r="D11668" s="3"/>
    </row>
    <row r="11669" spans="1:4">
      <c r="A11669" s="3"/>
      <c r="D11669" s="3"/>
    </row>
    <row r="11670" spans="1:4">
      <c r="A11670" s="3"/>
      <c r="D11670" s="3"/>
    </row>
    <row r="11671" spans="1:4">
      <c r="A11671" s="3"/>
      <c r="D11671" s="3"/>
    </row>
    <row r="11672" spans="1:4">
      <c r="A11672" s="3"/>
      <c r="D11672" s="3"/>
    </row>
    <row r="11673" spans="1:4">
      <c r="A11673" s="3"/>
      <c r="D11673" s="3"/>
    </row>
    <row r="11674" spans="1:4">
      <c r="A11674" s="3"/>
      <c r="D11674" s="3"/>
    </row>
    <row r="11675" spans="1:4">
      <c r="A11675" s="3"/>
      <c r="D11675" s="3"/>
    </row>
    <row r="11676" spans="1:4">
      <c r="A11676" s="3"/>
      <c r="D11676" s="3"/>
    </row>
    <row r="11677" spans="1:4">
      <c r="A11677" s="3"/>
      <c r="D11677" s="3"/>
    </row>
    <row r="11678" spans="1:4">
      <c r="A11678" s="3"/>
      <c r="D11678" s="3"/>
    </row>
    <row r="11679" spans="1:4">
      <c r="A11679" s="3"/>
      <c r="D11679" s="3"/>
    </row>
    <row r="11680" spans="1:4">
      <c r="A11680" s="3"/>
      <c r="D11680" s="3"/>
    </row>
    <row r="11681" spans="1:4">
      <c r="A11681" s="3"/>
      <c r="D11681" s="3"/>
    </row>
    <row r="11682" spans="1:4">
      <c r="A11682" s="3"/>
      <c r="D11682" s="3"/>
    </row>
    <row r="11683" spans="1:4">
      <c r="A11683" s="3"/>
      <c r="D11683" s="3"/>
    </row>
    <row r="11684" spans="1:4">
      <c r="A11684" s="3"/>
      <c r="D11684" s="3"/>
    </row>
    <row r="11685" spans="1:4">
      <c r="A11685" s="3"/>
      <c r="D11685" s="3"/>
    </row>
    <row r="11686" spans="1:4">
      <c r="A11686" s="3"/>
      <c r="D11686" s="3"/>
    </row>
    <row r="11687" spans="1:4">
      <c r="A11687" s="3"/>
      <c r="D11687" s="3"/>
    </row>
    <row r="11688" spans="1:4">
      <c r="A11688" s="3"/>
      <c r="D11688" s="3"/>
    </row>
    <row r="11689" spans="1:4">
      <c r="A11689" s="3"/>
      <c r="D11689" s="3"/>
    </row>
    <row r="11690" spans="1:4">
      <c r="A11690" s="3"/>
      <c r="D11690" s="3"/>
    </row>
    <row r="11691" spans="1:4">
      <c r="A11691" s="3"/>
      <c r="D11691" s="3"/>
    </row>
    <row r="11692" spans="1:4">
      <c r="A11692" s="3"/>
      <c r="D11692" s="3"/>
    </row>
    <row r="11693" spans="1:4">
      <c r="A11693" s="3"/>
      <c r="D11693" s="3"/>
    </row>
    <row r="11694" spans="1:4">
      <c r="A11694" s="3"/>
      <c r="D11694" s="3"/>
    </row>
    <row r="11695" spans="1:4">
      <c r="A11695" s="3"/>
      <c r="D11695" s="3"/>
    </row>
    <row r="11696" spans="1:4">
      <c r="A11696" s="3"/>
      <c r="D11696" s="3"/>
    </row>
    <row r="11697" spans="1:4">
      <c r="A11697" s="3"/>
      <c r="D11697" s="3"/>
    </row>
    <row r="11698" spans="1:4">
      <c r="A11698" s="3"/>
      <c r="D11698" s="3"/>
    </row>
    <row r="11699" spans="1:4">
      <c r="A11699" s="3"/>
      <c r="D11699" s="3"/>
    </row>
    <row r="11700" spans="1:4">
      <c r="A11700" s="3"/>
      <c r="D11700" s="3"/>
    </row>
    <row r="11701" spans="1:4">
      <c r="A11701" s="3"/>
      <c r="D11701" s="3"/>
    </row>
    <row r="11702" spans="1:4">
      <c r="A11702" s="3"/>
      <c r="D11702" s="3"/>
    </row>
    <row r="11703" spans="1:4">
      <c r="A11703" s="3"/>
      <c r="D11703" s="3"/>
    </row>
    <row r="11704" spans="1:4">
      <c r="A11704" s="3"/>
      <c r="D11704" s="3"/>
    </row>
    <row r="11705" spans="1:4">
      <c r="A11705" s="3"/>
      <c r="D11705" s="3"/>
    </row>
    <row r="11706" spans="1:4">
      <c r="A11706" s="3"/>
      <c r="D11706" s="3"/>
    </row>
    <row r="11707" spans="1:4">
      <c r="A11707" s="3"/>
      <c r="D11707" s="3"/>
    </row>
    <row r="11708" spans="1:4">
      <c r="A11708" s="3"/>
      <c r="D11708" s="3"/>
    </row>
    <row r="11709" spans="1:4">
      <c r="A11709" s="3"/>
      <c r="D11709" s="3"/>
    </row>
    <row r="11710" spans="1:4">
      <c r="A11710" s="3"/>
      <c r="D11710" s="3"/>
    </row>
    <row r="11711" spans="1:4">
      <c r="A11711" s="3"/>
      <c r="D11711" s="3"/>
    </row>
    <row r="11712" spans="1:4">
      <c r="A11712" s="3"/>
      <c r="D11712" s="3"/>
    </row>
    <row r="11713" spans="1:4">
      <c r="A11713" s="3"/>
      <c r="D11713" s="3"/>
    </row>
    <row r="11714" spans="1:4">
      <c r="A11714" s="3"/>
      <c r="D11714" s="3"/>
    </row>
    <row r="11715" spans="1:4">
      <c r="A11715" s="3"/>
      <c r="D11715" s="3"/>
    </row>
    <row r="11716" spans="1:4">
      <c r="A11716" s="3"/>
      <c r="D11716" s="3"/>
    </row>
    <row r="11717" spans="1:4">
      <c r="A11717" s="3"/>
      <c r="D11717" s="3"/>
    </row>
    <row r="11718" spans="1:4">
      <c r="A11718" s="3"/>
      <c r="D11718" s="3"/>
    </row>
    <row r="11719" spans="1:4">
      <c r="A11719" s="3"/>
      <c r="D11719" s="3"/>
    </row>
    <row r="11720" spans="1:4">
      <c r="A11720" s="3"/>
      <c r="D11720" s="3"/>
    </row>
    <row r="11721" spans="1:4">
      <c r="A11721" s="3"/>
      <c r="D11721" s="3"/>
    </row>
    <row r="11722" spans="1:4">
      <c r="A11722" s="3"/>
      <c r="D11722" s="3"/>
    </row>
    <row r="11723" spans="1:4">
      <c r="A11723" s="3"/>
      <c r="D11723" s="3"/>
    </row>
    <row r="11724" spans="1:4">
      <c r="A11724" s="3"/>
      <c r="D11724" s="3"/>
    </row>
    <row r="11725" spans="1:4">
      <c r="A11725" s="3"/>
      <c r="D11725" s="3"/>
    </row>
    <row r="11726" spans="1:4">
      <c r="A11726" s="3"/>
      <c r="D11726" s="3"/>
    </row>
    <row r="11727" spans="1:4">
      <c r="A11727" s="3"/>
      <c r="D11727" s="3"/>
    </row>
    <row r="11728" spans="1:4">
      <c r="A11728" s="3"/>
      <c r="D11728" s="3"/>
    </row>
    <row r="11729" spans="1:4">
      <c r="A11729" s="3"/>
      <c r="D11729" s="3"/>
    </row>
    <row r="11730" spans="1:4">
      <c r="A11730" s="3"/>
      <c r="D11730" s="3"/>
    </row>
    <row r="11731" spans="1:4">
      <c r="A11731" s="3"/>
      <c r="D11731" s="3"/>
    </row>
    <row r="11732" spans="1:4">
      <c r="A11732" s="3"/>
      <c r="D11732" s="3"/>
    </row>
    <row r="11733" spans="1:4">
      <c r="A11733" s="3"/>
      <c r="D11733" s="3"/>
    </row>
    <row r="11734" spans="1:4">
      <c r="A11734" s="3"/>
      <c r="D11734" s="3"/>
    </row>
    <row r="11735" spans="1:4">
      <c r="A11735" s="3"/>
      <c r="D11735" s="3"/>
    </row>
    <row r="11736" spans="1:4">
      <c r="A11736" s="3"/>
      <c r="D11736" s="3"/>
    </row>
    <row r="11737" spans="1:4">
      <c r="A11737" s="3"/>
      <c r="D11737" s="3"/>
    </row>
    <row r="11738" spans="1:4">
      <c r="A11738" s="3"/>
      <c r="D11738" s="3"/>
    </row>
    <row r="11739" spans="1:4">
      <c r="A11739" s="3"/>
      <c r="D11739" s="3"/>
    </row>
    <row r="11740" spans="1:4">
      <c r="A11740" s="3"/>
      <c r="D11740" s="3"/>
    </row>
    <row r="11741" spans="1:4">
      <c r="A11741" s="3"/>
      <c r="D11741" s="3"/>
    </row>
    <row r="11742" spans="1:4">
      <c r="A11742" s="3"/>
      <c r="D11742" s="3"/>
    </row>
    <row r="11743" spans="1:4">
      <c r="A11743" s="3"/>
      <c r="D11743" s="3"/>
    </row>
    <row r="11744" spans="1:4">
      <c r="A11744" s="3"/>
      <c r="D11744" s="3"/>
    </row>
    <row r="11745" spans="1:4">
      <c r="A11745" s="3"/>
      <c r="D11745" s="3"/>
    </row>
    <row r="11746" spans="1:4">
      <c r="A11746" s="3"/>
      <c r="D11746" s="3"/>
    </row>
    <row r="11747" spans="1:4">
      <c r="A11747" s="3"/>
      <c r="D11747" s="3"/>
    </row>
    <row r="11748" spans="1:4">
      <c r="A11748" s="3"/>
      <c r="D11748" s="3"/>
    </row>
    <row r="11749" spans="1:4">
      <c r="A11749" s="3"/>
      <c r="D11749" s="3"/>
    </row>
    <row r="11750" spans="1:4">
      <c r="A11750" s="3"/>
      <c r="D11750" s="3"/>
    </row>
    <row r="11751" spans="1:4">
      <c r="A11751" s="3"/>
      <c r="D11751" s="3"/>
    </row>
    <row r="11752" spans="1:4">
      <c r="A11752" s="3"/>
      <c r="D11752" s="3"/>
    </row>
    <row r="11753" spans="1:4">
      <c r="A11753" s="3"/>
      <c r="D11753" s="3"/>
    </row>
    <row r="11754" spans="1:4">
      <c r="A11754" s="3"/>
      <c r="D11754" s="3"/>
    </row>
    <row r="11755" spans="1:4">
      <c r="A11755" s="3"/>
      <c r="D11755" s="3"/>
    </row>
    <row r="11756" spans="1:4">
      <c r="A11756" s="3"/>
      <c r="D11756" s="3"/>
    </row>
    <row r="11757" spans="1:4">
      <c r="A11757" s="3"/>
      <c r="D11757" s="3"/>
    </row>
    <row r="11758" spans="1:4">
      <c r="A11758" s="3"/>
      <c r="D11758" s="3"/>
    </row>
    <row r="11759" spans="1:4">
      <c r="A11759" s="3"/>
      <c r="D11759" s="3"/>
    </row>
    <row r="11760" spans="1:4">
      <c r="A11760" s="3"/>
      <c r="D11760" s="3"/>
    </row>
    <row r="11761" spans="1:4">
      <c r="A11761" s="3"/>
      <c r="D11761" s="3"/>
    </row>
    <row r="11762" spans="1:4">
      <c r="A11762" s="3"/>
      <c r="D11762" s="3"/>
    </row>
    <row r="11763" spans="1:4">
      <c r="A11763" s="3"/>
      <c r="D11763" s="3"/>
    </row>
    <row r="11764" spans="1:4">
      <c r="A11764" s="3"/>
      <c r="D11764" s="3"/>
    </row>
    <row r="11765" spans="1:4">
      <c r="A11765" s="3"/>
      <c r="D11765" s="3"/>
    </row>
    <row r="11766" spans="1:4">
      <c r="A11766" s="3"/>
      <c r="D11766" s="3"/>
    </row>
    <row r="11767" spans="1:4">
      <c r="A11767" s="3"/>
      <c r="D11767" s="3"/>
    </row>
    <row r="11768" spans="1:4">
      <c r="A11768" s="3"/>
      <c r="D11768" s="3"/>
    </row>
    <row r="11769" spans="1:4">
      <c r="A11769" s="3"/>
      <c r="D11769" s="3"/>
    </row>
    <row r="11770" spans="1:4">
      <c r="A11770" s="3"/>
      <c r="D11770" s="3"/>
    </row>
    <row r="11771" spans="1:4">
      <c r="A11771" s="3"/>
      <c r="D11771" s="3"/>
    </row>
    <row r="11772" spans="1:4">
      <c r="A11772" s="3"/>
      <c r="D11772" s="3"/>
    </row>
    <row r="11773" spans="1:4">
      <c r="A11773" s="3"/>
      <c r="D11773" s="3"/>
    </row>
    <row r="11774" spans="1:4">
      <c r="A11774" s="3"/>
      <c r="D11774" s="3"/>
    </row>
    <row r="11775" spans="1:4">
      <c r="A11775" s="3"/>
      <c r="D11775" s="3"/>
    </row>
    <row r="11776" spans="1:4">
      <c r="A11776" s="3"/>
      <c r="D11776" s="3"/>
    </row>
    <row r="11777" spans="1:4">
      <c r="A11777" s="3"/>
      <c r="D11777" s="3"/>
    </row>
    <row r="11778" spans="1:4">
      <c r="A11778" s="3"/>
      <c r="D11778" s="3"/>
    </row>
    <row r="11779" spans="1:4">
      <c r="A11779" s="3"/>
      <c r="D11779" s="3"/>
    </row>
    <row r="11780" spans="1:4">
      <c r="A11780" s="3"/>
      <c r="D11780" s="3"/>
    </row>
    <row r="11781" spans="1:4">
      <c r="A11781" s="3"/>
      <c r="D11781" s="3"/>
    </row>
    <row r="11782" spans="1:4">
      <c r="A11782" s="3"/>
      <c r="D11782" s="3"/>
    </row>
    <row r="11783" spans="1:4">
      <c r="A11783" s="3"/>
      <c r="D11783" s="3"/>
    </row>
    <row r="11784" spans="1:4">
      <c r="A11784" s="3"/>
      <c r="D11784" s="3"/>
    </row>
    <row r="11785" spans="1:4">
      <c r="A11785" s="3"/>
      <c r="D11785" s="3"/>
    </row>
    <row r="11786" spans="1:4">
      <c r="A11786" s="3"/>
      <c r="D11786" s="3"/>
    </row>
    <row r="11787" spans="1:4">
      <c r="A11787" s="3"/>
      <c r="D11787" s="3"/>
    </row>
    <row r="11788" spans="1:4">
      <c r="A11788" s="3"/>
      <c r="D11788" s="3"/>
    </row>
    <row r="11789" spans="1:4">
      <c r="A11789" s="3"/>
      <c r="D11789" s="3"/>
    </row>
    <row r="11790" spans="1:4">
      <c r="A11790" s="3"/>
      <c r="D11790" s="3"/>
    </row>
    <row r="11791" spans="1:4">
      <c r="A11791" s="3"/>
      <c r="D11791" s="3"/>
    </row>
    <row r="11792" spans="1:4">
      <c r="A11792" s="3"/>
      <c r="D11792" s="3"/>
    </row>
    <row r="11793" spans="1:4">
      <c r="A11793" s="3"/>
      <c r="D11793" s="3"/>
    </row>
    <row r="11794" spans="1:4">
      <c r="A11794" s="3"/>
      <c r="D11794" s="3"/>
    </row>
    <row r="11795" spans="1:4">
      <c r="A11795" s="3"/>
      <c r="D11795" s="3"/>
    </row>
    <row r="11796" spans="1:4">
      <c r="A11796" s="3"/>
      <c r="D11796" s="3"/>
    </row>
    <row r="11797" spans="1:4">
      <c r="A11797" s="3"/>
      <c r="D11797" s="3"/>
    </row>
    <row r="11798" spans="1:4">
      <c r="A11798" s="3"/>
      <c r="D11798" s="3"/>
    </row>
    <row r="11799" spans="1:4">
      <c r="A11799" s="3"/>
      <c r="D11799" s="3"/>
    </row>
    <row r="11800" spans="1:4">
      <c r="A11800" s="3"/>
      <c r="D11800" s="3"/>
    </row>
    <row r="11801" spans="1:4">
      <c r="A11801" s="3"/>
      <c r="D11801" s="3"/>
    </row>
    <row r="11802" spans="1:4">
      <c r="A11802" s="3"/>
      <c r="D11802" s="3"/>
    </row>
    <row r="11803" spans="1:4">
      <c r="A11803" s="3"/>
      <c r="D11803" s="3"/>
    </row>
    <row r="11804" spans="1:4">
      <c r="A11804" s="3"/>
      <c r="D11804" s="3"/>
    </row>
    <row r="11805" spans="1:4">
      <c r="A11805" s="3"/>
      <c r="D11805" s="3"/>
    </row>
    <row r="11806" spans="1:4">
      <c r="A11806" s="3"/>
      <c r="D11806" s="3"/>
    </row>
    <row r="11807" spans="1:4">
      <c r="A11807" s="3"/>
      <c r="D11807" s="3"/>
    </row>
    <row r="11808" spans="1:4">
      <c r="A11808" s="3"/>
      <c r="D11808" s="3"/>
    </row>
    <row r="11809" spans="1:4">
      <c r="A11809" s="3"/>
      <c r="D11809" s="3"/>
    </row>
    <row r="11810" spans="1:4">
      <c r="A11810" s="3"/>
      <c r="D11810" s="3"/>
    </row>
    <row r="11811" spans="1:4">
      <c r="A11811" s="3"/>
      <c r="D11811" s="3"/>
    </row>
    <row r="11812" spans="1:4">
      <c r="A11812" s="3"/>
      <c r="D11812" s="3"/>
    </row>
    <row r="11813" spans="1:4">
      <c r="A11813" s="3"/>
      <c r="D11813" s="3"/>
    </row>
    <row r="11814" spans="1:4">
      <c r="A11814" s="3"/>
      <c r="D11814" s="3"/>
    </row>
    <row r="11815" spans="1:4">
      <c r="A11815" s="3"/>
      <c r="D11815" s="3"/>
    </row>
    <row r="11816" spans="1:4">
      <c r="A11816" s="3"/>
      <c r="D11816" s="3"/>
    </row>
    <row r="11817" spans="1:4">
      <c r="A11817" s="3"/>
      <c r="D11817" s="3"/>
    </row>
    <row r="11818" spans="1:4">
      <c r="A11818" s="3"/>
      <c r="D11818" s="3"/>
    </row>
    <row r="11819" spans="1:4">
      <c r="A11819" s="3"/>
      <c r="D11819" s="3"/>
    </row>
    <row r="11820" spans="1:4">
      <c r="A11820" s="3"/>
      <c r="D11820" s="3"/>
    </row>
    <row r="11821" spans="1:4">
      <c r="A11821" s="3"/>
      <c r="D11821" s="3"/>
    </row>
    <row r="11822" spans="1:4">
      <c r="A11822" s="3"/>
      <c r="D11822" s="3"/>
    </row>
    <row r="11823" spans="1:4">
      <c r="A11823" s="3"/>
      <c r="D11823" s="3"/>
    </row>
    <row r="11824" spans="1:4">
      <c r="A11824" s="3"/>
      <c r="D11824" s="3"/>
    </row>
    <row r="11825" spans="1:4">
      <c r="A11825" s="3"/>
      <c r="D11825" s="3"/>
    </row>
    <row r="11826" spans="1:4">
      <c r="A11826" s="3"/>
      <c r="D11826" s="3"/>
    </row>
    <row r="11827" spans="1:4">
      <c r="A11827" s="3"/>
      <c r="D11827" s="3"/>
    </row>
    <row r="11828" spans="1:4">
      <c r="A11828" s="3"/>
      <c r="D11828" s="3"/>
    </row>
    <row r="11829" spans="1:4">
      <c r="A11829" s="3"/>
      <c r="D11829" s="3"/>
    </row>
    <row r="11830" spans="1:4">
      <c r="A11830" s="3"/>
      <c r="D11830" s="3"/>
    </row>
    <row r="11831" spans="1:4">
      <c r="A11831" s="3"/>
      <c r="D11831" s="3"/>
    </row>
    <row r="11832" spans="1:4">
      <c r="A11832" s="3"/>
      <c r="D11832" s="3"/>
    </row>
    <row r="11833" spans="1:4">
      <c r="A11833" s="3"/>
      <c r="D11833" s="3"/>
    </row>
    <row r="11834" spans="1:4">
      <c r="A11834" s="3"/>
      <c r="D11834" s="3"/>
    </row>
    <row r="11835" spans="1:4">
      <c r="A11835" s="3"/>
      <c r="D11835" s="3"/>
    </row>
    <row r="11836" spans="1:4">
      <c r="A11836" s="3"/>
      <c r="D11836" s="3"/>
    </row>
    <row r="11837" spans="1:4">
      <c r="A11837" s="3"/>
      <c r="D11837" s="3"/>
    </row>
    <row r="11838" spans="1:4">
      <c r="A11838" s="3"/>
      <c r="D11838" s="3"/>
    </row>
    <row r="11839" spans="1:4">
      <c r="A11839" s="3"/>
      <c r="D11839" s="3"/>
    </row>
    <row r="11840" spans="1:4">
      <c r="A11840" s="3"/>
      <c r="D11840" s="3"/>
    </row>
    <row r="11841" spans="1:4">
      <c r="A11841" s="3"/>
      <c r="D11841" s="3"/>
    </row>
    <row r="11842" spans="1:4">
      <c r="A11842" s="3"/>
      <c r="D11842" s="3"/>
    </row>
    <row r="11843" spans="1:4">
      <c r="A11843" s="3"/>
      <c r="D11843" s="3"/>
    </row>
    <row r="11844" spans="1:4">
      <c r="A11844" s="3"/>
      <c r="D11844" s="3"/>
    </row>
    <row r="11845" spans="1:4">
      <c r="A11845" s="3"/>
      <c r="D11845" s="3"/>
    </row>
    <row r="11846" spans="1:4">
      <c r="A11846" s="3"/>
      <c r="D11846" s="3"/>
    </row>
    <row r="11847" spans="1:4">
      <c r="A11847" s="3"/>
      <c r="D11847" s="3"/>
    </row>
    <row r="11848" spans="1:4">
      <c r="A11848" s="3"/>
      <c r="D11848" s="3"/>
    </row>
    <row r="11849" spans="1:4">
      <c r="A11849" s="3"/>
      <c r="D11849" s="3"/>
    </row>
    <row r="11850" spans="1:4">
      <c r="A11850" s="3"/>
      <c r="D11850" s="3"/>
    </row>
    <row r="11851" spans="1:4">
      <c r="A11851" s="3"/>
      <c r="D11851" s="3"/>
    </row>
    <row r="11852" spans="1:4">
      <c r="A11852" s="3"/>
      <c r="D11852" s="3"/>
    </row>
    <row r="11853" spans="1:4">
      <c r="A11853" s="3"/>
      <c r="D11853" s="3"/>
    </row>
    <row r="11854" spans="1:4">
      <c r="A11854" s="3"/>
      <c r="D11854" s="3"/>
    </row>
    <row r="11855" spans="1:4">
      <c r="A11855" s="3"/>
      <c r="D11855" s="3"/>
    </row>
    <row r="11856" spans="1:4">
      <c r="A11856" s="3"/>
      <c r="D11856" s="3"/>
    </row>
    <row r="11857" spans="1:4">
      <c r="A11857" s="3"/>
      <c r="D11857" s="3"/>
    </row>
    <row r="11858" spans="1:4">
      <c r="A11858" s="3"/>
      <c r="D11858" s="3"/>
    </row>
    <row r="11859" spans="1:4">
      <c r="A11859" s="3"/>
      <c r="D11859" s="3"/>
    </row>
    <row r="11860" spans="1:4">
      <c r="A11860" s="3"/>
      <c r="D11860" s="3"/>
    </row>
    <row r="11861" spans="1:4">
      <c r="A11861" s="3"/>
      <c r="D11861" s="3"/>
    </row>
    <row r="11862" spans="1:4">
      <c r="A11862" s="3"/>
      <c r="D11862" s="3"/>
    </row>
    <row r="11863" spans="1:4">
      <c r="A11863" s="3"/>
      <c r="D11863" s="3"/>
    </row>
    <row r="11864" spans="1:4">
      <c r="A11864" s="3"/>
      <c r="D11864" s="3"/>
    </row>
    <row r="11865" spans="1:4">
      <c r="A11865" s="3"/>
      <c r="D11865" s="3"/>
    </row>
    <row r="11866" spans="1:4">
      <c r="A11866" s="3"/>
      <c r="D11866" s="3"/>
    </row>
    <row r="11867" spans="1:4">
      <c r="A11867" s="3"/>
      <c r="D11867" s="3"/>
    </row>
    <row r="11868" spans="1:4">
      <c r="A11868" s="3"/>
      <c r="D11868" s="3"/>
    </row>
    <row r="11869" spans="1:4">
      <c r="A11869" s="3"/>
      <c r="D11869" s="3"/>
    </row>
    <row r="11870" spans="1:4">
      <c r="A11870" s="3"/>
      <c r="D11870" s="3"/>
    </row>
    <row r="11871" spans="1:4">
      <c r="A11871" s="3"/>
      <c r="D11871" s="3"/>
    </row>
    <row r="11872" spans="1:4">
      <c r="A11872" s="3"/>
      <c r="D11872" s="3"/>
    </row>
    <row r="11873" spans="1:4">
      <c r="A11873" s="3"/>
      <c r="D11873" s="3"/>
    </row>
    <row r="11874" spans="1:4">
      <c r="A11874" s="3"/>
      <c r="D11874" s="3"/>
    </row>
    <row r="11875" spans="1:4">
      <c r="A11875" s="3"/>
      <c r="D11875" s="3"/>
    </row>
    <row r="11876" spans="1:4">
      <c r="A11876" s="3"/>
      <c r="D11876" s="3"/>
    </row>
    <row r="11877" spans="1:4">
      <c r="A11877" s="3"/>
      <c r="D11877" s="3"/>
    </row>
    <row r="11878" spans="1:4">
      <c r="A11878" s="3"/>
      <c r="D11878" s="3"/>
    </row>
    <row r="11879" spans="1:4">
      <c r="A11879" s="3"/>
      <c r="D11879" s="3"/>
    </row>
    <row r="11880" spans="1:4">
      <c r="A11880" s="3"/>
      <c r="D11880" s="3"/>
    </row>
    <row r="11881" spans="1:4">
      <c r="A11881" s="3"/>
      <c r="D11881" s="3"/>
    </row>
    <row r="11882" spans="1:4">
      <c r="A11882" s="3"/>
      <c r="D11882" s="3"/>
    </row>
    <row r="11883" spans="1:4">
      <c r="A11883" s="3"/>
      <c r="D11883" s="3"/>
    </row>
    <row r="11884" spans="1:4">
      <c r="A11884" s="3"/>
      <c r="D11884" s="3"/>
    </row>
    <row r="11885" spans="1:4">
      <c r="A11885" s="3"/>
      <c r="D11885" s="3"/>
    </row>
    <row r="11886" spans="1:4">
      <c r="A11886" s="3"/>
      <c r="D11886" s="3"/>
    </row>
    <row r="11887" spans="1:4">
      <c r="A11887" s="3"/>
      <c r="D11887" s="3"/>
    </row>
    <row r="11888" spans="1:4">
      <c r="A11888" s="3"/>
      <c r="D11888" s="3"/>
    </row>
    <row r="11889" spans="1:4">
      <c r="A11889" s="3"/>
      <c r="D11889" s="3"/>
    </row>
    <row r="11890" spans="1:4">
      <c r="A11890" s="3"/>
      <c r="D11890" s="3"/>
    </row>
    <row r="11891" spans="1:4">
      <c r="A11891" s="3"/>
      <c r="D11891" s="3"/>
    </row>
    <row r="11892" spans="1:4">
      <c r="A11892" s="3"/>
      <c r="D11892" s="3"/>
    </row>
    <row r="11893" spans="1:4">
      <c r="A11893" s="3"/>
      <c r="D11893" s="3"/>
    </row>
    <row r="11894" spans="1:4">
      <c r="A11894" s="3"/>
      <c r="D11894" s="3"/>
    </row>
    <row r="11895" spans="1:4">
      <c r="A11895" s="3"/>
      <c r="D11895" s="3"/>
    </row>
    <row r="11896" spans="1:4">
      <c r="A11896" s="3"/>
      <c r="D11896" s="3"/>
    </row>
    <row r="11897" spans="1:4">
      <c r="A11897" s="3"/>
      <c r="D11897" s="3"/>
    </row>
    <row r="11898" spans="1:4">
      <c r="A11898" s="3"/>
      <c r="D11898" s="3"/>
    </row>
    <row r="11899" spans="1:4">
      <c r="A11899" s="3"/>
      <c r="D11899" s="3"/>
    </row>
    <row r="11900" spans="1:4">
      <c r="A11900" s="3"/>
      <c r="D11900" s="3"/>
    </row>
    <row r="11901" spans="1:4">
      <c r="A11901" s="3"/>
      <c r="D11901" s="3"/>
    </row>
    <row r="11902" spans="1:4">
      <c r="A11902" s="3"/>
      <c r="D11902" s="3"/>
    </row>
    <row r="11903" spans="1:4">
      <c r="A11903" s="3"/>
      <c r="D11903" s="3"/>
    </row>
    <row r="11904" spans="1:4">
      <c r="A11904" s="3"/>
      <c r="D11904" s="3"/>
    </row>
    <row r="11905" spans="1:4">
      <c r="A11905" s="3"/>
      <c r="D11905" s="3"/>
    </row>
    <row r="11906" spans="1:4">
      <c r="A11906" s="3"/>
      <c r="D11906" s="3"/>
    </row>
    <row r="11907" spans="1:4">
      <c r="A11907" s="3"/>
      <c r="D11907" s="3"/>
    </row>
    <row r="11908" spans="1:4">
      <c r="A11908" s="3"/>
      <c r="D11908" s="3"/>
    </row>
    <row r="11909" spans="1:4">
      <c r="A11909" s="3"/>
      <c r="D11909" s="3"/>
    </row>
    <row r="11910" spans="1:4">
      <c r="A11910" s="3"/>
      <c r="D11910" s="3"/>
    </row>
    <row r="11911" spans="1:4">
      <c r="A11911" s="3"/>
      <c r="D11911" s="3"/>
    </row>
    <row r="11912" spans="1:4">
      <c r="A11912" s="3"/>
      <c r="D11912" s="3"/>
    </row>
    <row r="11913" spans="1:4">
      <c r="A11913" s="3"/>
      <c r="D11913" s="3"/>
    </row>
    <row r="11914" spans="1:4">
      <c r="A11914" s="3"/>
      <c r="D11914" s="3"/>
    </row>
    <row r="11915" spans="1:4">
      <c r="A11915" s="3"/>
      <c r="D11915" s="3"/>
    </row>
    <row r="11916" spans="1:4">
      <c r="A11916" s="3"/>
      <c r="D11916" s="3"/>
    </row>
    <row r="11917" spans="1:4">
      <c r="A11917" s="3"/>
      <c r="D11917" s="3"/>
    </row>
    <row r="11918" spans="1:4">
      <c r="A11918" s="3"/>
      <c r="D11918" s="3"/>
    </row>
    <row r="11919" spans="1:4">
      <c r="A11919" s="3"/>
      <c r="D11919" s="3"/>
    </row>
    <row r="11920" spans="1:4">
      <c r="A11920" s="3"/>
      <c r="D11920" s="3"/>
    </row>
    <row r="11921" spans="1:4">
      <c r="A11921" s="3"/>
      <c r="D11921" s="3"/>
    </row>
    <row r="11922" spans="1:4">
      <c r="A11922" s="3"/>
      <c r="D11922" s="3"/>
    </row>
    <row r="11923" spans="1:4">
      <c r="A11923" s="3"/>
      <c r="D11923" s="3"/>
    </row>
    <row r="11924" spans="1:4">
      <c r="A11924" s="3"/>
      <c r="D11924" s="3"/>
    </row>
    <row r="11925" spans="1:4">
      <c r="A11925" s="3"/>
      <c r="D11925" s="3"/>
    </row>
    <row r="11926" spans="1:4">
      <c r="A11926" s="3"/>
      <c r="D11926" s="3"/>
    </row>
    <row r="11927" spans="1:4">
      <c r="A11927" s="3"/>
      <c r="D11927" s="3"/>
    </row>
    <row r="11928" spans="1:4">
      <c r="A11928" s="3"/>
      <c r="D11928" s="3"/>
    </row>
    <row r="11929" spans="1:4">
      <c r="A11929" s="3"/>
      <c r="D11929" s="3"/>
    </row>
    <row r="11930" spans="1:4">
      <c r="A11930" s="3"/>
      <c r="D11930" s="3"/>
    </row>
    <row r="11931" spans="1:4">
      <c r="A11931" s="3"/>
      <c r="D11931" s="3"/>
    </row>
    <row r="11932" spans="1:4">
      <c r="A11932" s="3"/>
      <c r="D11932" s="3"/>
    </row>
    <row r="11933" spans="1:4">
      <c r="A11933" s="3"/>
      <c r="D11933" s="3"/>
    </row>
    <row r="11934" spans="1:4">
      <c r="A11934" s="3"/>
      <c r="D11934" s="3"/>
    </row>
    <row r="11935" spans="1:4">
      <c r="A11935" s="3"/>
      <c r="D11935" s="3"/>
    </row>
    <row r="11936" spans="1:4">
      <c r="A11936" s="3"/>
      <c r="D11936" s="3"/>
    </row>
    <row r="11937" spans="1:4">
      <c r="A11937" s="3"/>
      <c r="D11937" s="3"/>
    </row>
    <row r="11938" spans="1:4">
      <c r="A11938" s="3"/>
      <c r="D11938" s="3"/>
    </row>
    <row r="11939" spans="1:4">
      <c r="A11939" s="3"/>
      <c r="D11939" s="3"/>
    </row>
    <row r="11940" spans="1:4">
      <c r="A11940" s="3"/>
      <c r="D11940" s="3"/>
    </row>
    <row r="11941" spans="1:4">
      <c r="A11941" s="3"/>
      <c r="D11941" s="3"/>
    </row>
    <row r="11942" spans="1:4">
      <c r="A11942" s="3"/>
      <c r="D11942" s="3"/>
    </row>
    <row r="11943" spans="1:4">
      <c r="A11943" s="3"/>
      <c r="D11943" s="3"/>
    </row>
    <row r="11944" spans="1:4">
      <c r="A11944" s="3"/>
      <c r="D11944" s="3"/>
    </row>
    <row r="11945" spans="1:4">
      <c r="A11945" s="3"/>
      <c r="D11945" s="3"/>
    </row>
    <row r="11946" spans="1:4">
      <c r="A11946" s="3"/>
      <c r="D11946" s="3"/>
    </row>
    <row r="11947" spans="1:4">
      <c r="A11947" s="3"/>
      <c r="D11947" s="3"/>
    </row>
    <row r="11948" spans="1:4">
      <c r="A11948" s="3"/>
      <c r="D11948" s="3"/>
    </row>
    <row r="11949" spans="1:4">
      <c r="A11949" s="3"/>
      <c r="D11949" s="3"/>
    </row>
    <row r="11950" spans="1:4">
      <c r="A11950" s="3"/>
      <c r="D11950" s="3"/>
    </row>
    <row r="11951" spans="1:4">
      <c r="A11951" s="3"/>
      <c r="D11951" s="3"/>
    </row>
    <row r="11952" spans="1:4">
      <c r="A11952" s="3"/>
      <c r="D11952" s="3"/>
    </row>
    <row r="11953" spans="1:4">
      <c r="A11953" s="3"/>
      <c r="D11953" s="3"/>
    </row>
    <row r="11954" spans="1:4">
      <c r="A11954" s="3"/>
      <c r="D11954" s="3"/>
    </row>
    <row r="11955" spans="1:4">
      <c r="A11955" s="3"/>
      <c r="D11955" s="3"/>
    </row>
    <row r="11956" spans="1:4">
      <c r="A11956" s="3"/>
      <c r="D11956" s="3"/>
    </row>
    <row r="11957" spans="1:4">
      <c r="A11957" s="3"/>
      <c r="D11957" s="3"/>
    </row>
    <row r="11958" spans="1:4">
      <c r="A11958" s="3"/>
      <c r="D11958" s="3"/>
    </row>
    <row r="11959" spans="1:4">
      <c r="A11959" s="3"/>
      <c r="D11959" s="3"/>
    </row>
    <row r="11960" spans="1:4">
      <c r="A11960" s="3"/>
      <c r="D11960" s="3"/>
    </row>
    <row r="11961" spans="1:4">
      <c r="A11961" s="3"/>
      <c r="D11961" s="3"/>
    </row>
    <row r="11962" spans="1:4">
      <c r="A11962" s="3"/>
      <c r="D11962" s="3"/>
    </row>
    <row r="11963" spans="1:4">
      <c r="A11963" s="3"/>
      <c r="D11963" s="3"/>
    </row>
    <row r="11964" spans="1:4">
      <c r="A11964" s="3"/>
      <c r="D11964" s="3"/>
    </row>
    <row r="11965" spans="1:4">
      <c r="A11965" s="3"/>
      <c r="D11965" s="3"/>
    </row>
    <row r="11966" spans="1:4">
      <c r="A11966" s="3"/>
      <c r="D11966" s="3"/>
    </row>
    <row r="11967" spans="1:4">
      <c r="A11967" s="3"/>
      <c r="D11967" s="3"/>
    </row>
    <row r="11968" spans="1:4">
      <c r="A11968" s="3"/>
      <c r="D11968" s="3"/>
    </row>
    <row r="11969" spans="1:4">
      <c r="A11969" s="3"/>
      <c r="D11969" s="3"/>
    </row>
    <row r="11970" spans="1:4">
      <c r="A11970" s="3"/>
      <c r="D11970" s="3"/>
    </row>
    <row r="11971" spans="1:4">
      <c r="A11971" s="3"/>
      <c r="D11971" s="3"/>
    </row>
    <row r="11972" spans="1:4">
      <c r="A11972" s="3"/>
      <c r="D11972" s="3"/>
    </row>
    <row r="11973" spans="1:4">
      <c r="A11973" s="3"/>
      <c r="D11973" s="3"/>
    </row>
    <row r="11974" spans="1:4">
      <c r="A11974" s="3"/>
      <c r="D11974" s="3"/>
    </row>
    <row r="11975" spans="1:4">
      <c r="A11975" s="3"/>
      <c r="D11975" s="3"/>
    </row>
    <row r="11976" spans="1:4">
      <c r="A11976" s="3"/>
      <c r="D11976" s="3"/>
    </row>
    <row r="11977" spans="1:4">
      <c r="A11977" s="3"/>
      <c r="D11977" s="3"/>
    </row>
    <row r="11978" spans="1:4">
      <c r="A11978" s="3"/>
      <c r="D11978" s="3"/>
    </row>
    <row r="11979" spans="1:4">
      <c r="A11979" s="3"/>
      <c r="D11979" s="3"/>
    </row>
    <row r="11980" spans="1:4">
      <c r="A11980" s="3"/>
      <c r="D11980" s="3"/>
    </row>
    <row r="11981" spans="1:4">
      <c r="A11981" s="3"/>
      <c r="D11981" s="3"/>
    </row>
    <row r="11982" spans="1:4">
      <c r="A11982" s="3"/>
      <c r="D11982" s="3"/>
    </row>
    <row r="11983" spans="1:4">
      <c r="A11983" s="3"/>
      <c r="D11983" s="3"/>
    </row>
    <row r="11984" spans="1:4">
      <c r="A11984" s="3"/>
      <c r="D11984" s="3"/>
    </row>
    <row r="11985" spans="1:4">
      <c r="A11985" s="3"/>
      <c r="D11985" s="3"/>
    </row>
    <row r="11986" spans="1:4">
      <c r="A11986" s="3"/>
      <c r="D11986" s="3"/>
    </row>
    <row r="11987" spans="1:4">
      <c r="A11987" s="3"/>
      <c r="D11987" s="3"/>
    </row>
    <row r="11988" spans="1:4">
      <c r="A11988" s="3"/>
      <c r="D11988" s="3"/>
    </row>
    <row r="11989" spans="1:4">
      <c r="A11989" s="3"/>
      <c r="D11989" s="3"/>
    </row>
    <row r="11990" spans="1:4">
      <c r="A11990" s="3"/>
      <c r="D11990" s="3"/>
    </row>
    <row r="11991" spans="1:4">
      <c r="A11991" s="3"/>
      <c r="D11991" s="3"/>
    </row>
    <row r="11992" spans="1:4">
      <c r="A11992" s="3"/>
      <c r="D11992" s="3"/>
    </row>
    <row r="11993" spans="1:4">
      <c r="A11993" s="3"/>
      <c r="D11993" s="3"/>
    </row>
    <row r="11994" spans="1:4">
      <c r="A11994" s="3"/>
      <c r="D11994" s="3"/>
    </row>
    <row r="11995" spans="1:4">
      <c r="A11995" s="3"/>
      <c r="D11995" s="3"/>
    </row>
    <row r="11996" spans="1:4">
      <c r="A11996" s="3"/>
      <c r="D11996" s="3"/>
    </row>
    <row r="11997" spans="1:4">
      <c r="A11997" s="3"/>
      <c r="D11997" s="3"/>
    </row>
    <row r="11998" spans="1:4">
      <c r="A11998" s="3"/>
      <c r="D11998" s="3"/>
    </row>
    <row r="11999" spans="1:4">
      <c r="A11999" s="3"/>
      <c r="D11999" s="3"/>
    </row>
    <row r="12000" spans="1:4">
      <c r="A12000" s="3"/>
      <c r="D12000" s="3"/>
    </row>
    <row r="12001" spans="1:4">
      <c r="A12001" s="3"/>
      <c r="D12001" s="3"/>
    </row>
    <row r="12002" spans="1:4">
      <c r="A12002" s="3"/>
      <c r="D12002" s="3"/>
    </row>
    <row r="12003" spans="1:4">
      <c r="A12003" s="3"/>
      <c r="D12003" s="3"/>
    </row>
    <row r="12004" spans="1:4">
      <c r="A12004" s="3"/>
      <c r="D12004" s="3"/>
    </row>
    <row r="12005" spans="1:4">
      <c r="A12005" s="3"/>
      <c r="D12005" s="3"/>
    </row>
    <row r="12006" spans="1:4">
      <c r="A12006" s="3"/>
      <c r="D12006" s="3"/>
    </row>
    <row r="12007" spans="1:4">
      <c r="A12007" s="3"/>
      <c r="D12007" s="3"/>
    </row>
    <row r="12008" spans="1:4">
      <c r="A12008" s="3"/>
      <c r="D12008" s="3"/>
    </row>
    <row r="12009" spans="1:4">
      <c r="A12009" s="3"/>
      <c r="D12009" s="3"/>
    </row>
    <row r="12010" spans="1:4">
      <c r="A12010" s="3"/>
      <c r="D12010" s="3"/>
    </row>
    <row r="12011" spans="1:4">
      <c r="A12011" s="3"/>
      <c r="D12011" s="3"/>
    </row>
    <row r="12012" spans="1:4">
      <c r="A12012" s="3"/>
      <c r="D12012" s="3"/>
    </row>
    <row r="12013" spans="1:4">
      <c r="A12013" s="3"/>
      <c r="D12013" s="3"/>
    </row>
    <row r="12014" spans="1:4">
      <c r="A12014" s="3"/>
      <c r="D12014" s="3"/>
    </row>
    <row r="12015" spans="1:4">
      <c r="A12015" s="3"/>
      <c r="D12015" s="3"/>
    </row>
    <row r="12016" spans="1:4">
      <c r="A12016" s="3"/>
      <c r="D12016" s="3"/>
    </row>
    <row r="12017" spans="1:4">
      <c r="A12017" s="3"/>
      <c r="D12017" s="3"/>
    </row>
    <row r="12018" spans="1:4">
      <c r="A12018" s="3"/>
      <c r="D12018" s="3"/>
    </row>
    <row r="12019" spans="1:4">
      <c r="A12019" s="3"/>
      <c r="D12019" s="3"/>
    </row>
    <row r="12020" spans="1:4">
      <c r="A12020" s="3"/>
      <c r="D12020" s="3"/>
    </row>
    <row r="12021" spans="1:4">
      <c r="A12021" s="3"/>
      <c r="D12021" s="3"/>
    </row>
    <row r="12022" spans="1:4">
      <c r="A12022" s="3"/>
      <c r="D12022" s="3"/>
    </row>
    <row r="12023" spans="1:4">
      <c r="A12023" s="3"/>
      <c r="D12023" s="3"/>
    </row>
    <row r="12024" spans="1:4">
      <c r="A12024" s="3"/>
      <c r="D12024" s="3"/>
    </row>
    <row r="12025" spans="1:4">
      <c r="A12025" s="3"/>
      <c r="D12025" s="3"/>
    </row>
    <row r="12026" spans="1:4">
      <c r="A12026" s="3"/>
      <c r="D12026" s="3"/>
    </row>
    <row r="12027" spans="1:4">
      <c r="A12027" s="3"/>
      <c r="D12027" s="3"/>
    </row>
    <row r="12028" spans="1:4">
      <c r="A12028" s="3"/>
      <c r="D12028" s="3"/>
    </row>
    <row r="12029" spans="1:4">
      <c r="A12029" s="3"/>
      <c r="D12029" s="3"/>
    </row>
    <row r="12030" spans="1:4">
      <c r="A12030" s="3"/>
      <c r="D12030" s="3"/>
    </row>
    <row r="12031" spans="1:4">
      <c r="A12031" s="3"/>
      <c r="D12031" s="3"/>
    </row>
    <row r="12032" spans="1:4">
      <c r="A12032" s="3"/>
      <c r="D12032" s="3"/>
    </row>
    <row r="12033" spans="1:4">
      <c r="A12033" s="3"/>
      <c r="D12033" s="3"/>
    </row>
    <row r="12034" spans="1:4">
      <c r="A12034" s="3"/>
      <c r="D12034" s="3"/>
    </row>
    <row r="12035" spans="1:4">
      <c r="A12035" s="3"/>
      <c r="D12035" s="3"/>
    </row>
    <row r="12036" spans="1:4">
      <c r="A12036" s="3"/>
      <c r="D12036" s="3"/>
    </row>
    <row r="12037" spans="1:4">
      <c r="A12037" s="3"/>
      <c r="D12037" s="3"/>
    </row>
    <row r="12038" spans="1:4">
      <c r="A12038" s="3"/>
      <c r="D12038" s="3"/>
    </row>
    <row r="12039" spans="1:4">
      <c r="A12039" s="3"/>
      <c r="D12039" s="3"/>
    </row>
    <row r="12040" spans="1:4">
      <c r="A12040" s="3"/>
      <c r="D12040" s="3"/>
    </row>
    <row r="12041" spans="1:4">
      <c r="A12041" s="3"/>
      <c r="D12041" s="3"/>
    </row>
    <row r="12042" spans="1:4">
      <c r="A12042" s="3"/>
      <c r="D12042" s="3"/>
    </row>
    <row r="12043" spans="1:4">
      <c r="A12043" s="3"/>
      <c r="D12043" s="3"/>
    </row>
    <row r="12044" spans="1:4">
      <c r="A12044" s="3"/>
      <c r="D12044" s="3"/>
    </row>
    <row r="12045" spans="1:4">
      <c r="A12045" s="3"/>
      <c r="D12045" s="3"/>
    </row>
    <row r="12046" spans="1:4">
      <c r="A12046" s="3"/>
      <c r="D12046" s="3"/>
    </row>
    <row r="12047" spans="1:4">
      <c r="A12047" s="3"/>
      <c r="D12047" s="3"/>
    </row>
    <row r="12048" spans="1:4">
      <c r="A12048" s="3"/>
      <c r="D12048" s="3"/>
    </row>
    <row r="12049" spans="1:4">
      <c r="A12049" s="3"/>
      <c r="D12049" s="3"/>
    </row>
    <row r="12050" spans="1:4">
      <c r="A12050" s="3"/>
      <c r="D12050" s="3"/>
    </row>
    <row r="12051" spans="1:4">
      <c r="A12051" s="3"/>
      <c r="D12051" s="3"/>
    </row>
    <row r="12052" spans="1:4">
      <c r="A12052" s="3"/>
      <c r="D12052" s="3"/>
    </row>
    <row r="12053" spans="1:4">
      <c r="A12053" s="3"/>
      <c r="D12053" s="3"/>
    </row>
    <row r="12054" spans="1:4">
      <c r="A12054" s="3"/>
      <c r="D12054" s="3"/>
    </row>
    <row r="12055" spans="1:4">
      <c r="A12055" s="3"/>
      <c r="D12055" s="3"/>
    </row>
    <row r="12056" spans="1:4">
      <c r="A12056" s="3"/>
      <c r="D12056" s="3"/>
    </row>
    <row r="12057" spans="1:4">
      <c r="A12057" s="3"/>
      <c r="D12057" s="3"/>
    </row>
    <row r="12058" spans="1:4">
      <c r="A12058" s="3"/>
      <c r="D12058" s="3"/>
    </row>
    <row r="12059" spans="1:4">
      <c r="A12059" s="3"/>
      <c r="D12059" s="3"/>
    </row>
    <row r="12060" spans="1:4">
      <c r="A12060" s="3"/>
      <c r="D12060" s="3"/>
    </row>
    <row r="12061" spans="1:4">
      <c r="A12061" s="3"/>
      <c r="D12061" s="3"/>
    </row>
    <row r="12062" spans="1:4">
      <c r="A12062" s="3"/>
      <c r="D12062" s="3"/>
    </row>
    <row r="12063" spans="1:4">
      <c r="A12063" s="3"/>
      <c r="D12063" s="3"/>
    </row>
    <row r="12064" spans="1:4">
      <c r="A12064" s="3"/>
      <c r="D12064" s="3"/>
    </row>
    <row r="12065" spans="1:4">
      <c r="A12065" s="3"/>
      <c r="D12065" s="3"/>
    </row>
    <row r="12066" spans="1:4">
      <c r="A12066" s="3"/>
      <c r="D12066" s="3"/>
    </row>
    <row r="12067" spans="1:4">
      <c r="A12067" s="3"/>
      <c r="D12067" s="3"/>
    </row>
    <row r="12068" spans="1:4">
      <c r="A12068" s="3"/>
      <c r="D12068" s="3"/>
    </row>
    <row r="12069" spans="1:4">
      <c r="A12069" s="3"/>
      <c r="D12069" s="3"/>
    </row>
    <row r="12070" spans="1:4">
      <c r="A12070" s="3"/>
      <c r="D12070" s="3"/>
    </row>
    <row r="12071" spans="1:4">
      <c r="A12071" s="3"/>
      <c r="D12071" s="3"/>
    </row>
    <row r="12072" spans="1:4">
      <c r="A12072" s="3"/>
      <c r="D12072" s="3"/>
    </row>
    <row r="12073" spans="1:4">
      <c r="A12073" s="3"/>
      <c r="D12073" s="3"/>
    </row>
    <row r="12074" spans="1:4">
      <c r="A12074" s="3"/>
      <c r="D12074" s="3"/>
    </row>
    <row r="12075" spans="1:4">
      <c r="A12075" s="3"/>
      <c r="D12075" s="3"/>
    </row>
    <row r="12076" spans="1:4">
      <c r="A12076" s="3"/>
      <c r="D12076" s="3"/>
    </row>
    <row r="12077" spans="1:4">
      <c r="A12077" s="3"/>
      <c r="D12077" s="3"/>
    </row>
    <row r="12078" spans="1:4">
      <c r="A12078" s="3"/>
      <c r="D12078" s="3"/>
    </row>
    <row r="12079" spans="1:4">
      <c r="A12079" s="3"/>
      <c r="D12079" s="3"/>
    </row>
    <row r="12080" spans="1:4">
      <c r="A12080" s="3"/>
      <c r="D12080" s="3"/>
    </row>
    <row r="12081" spans="1:4">
      <c r="A12081" s="3"/>
      <c r="D12081" s="3"/>
    </row>
    <row r="12082" spans="1:4">
      <c r="A12082" s="3"/>
      <c r="D12082" s="3"/>
    </row>
    <row r="12083" spans="1:4">
      <c r="A12083" s="3"/>
      <c r="D12083" s="3"/>
    </row>
    <row r="12084" spans="1:4">
      <c r="A12084" s="3"/>
      <c r="D12084" s="3"/>
    </row>
    <row r="12085" spans="1:4">
      <c r="A12085" s="3"/>
      <c r="D12085" s="3"/>
    </row>
    <row r="12086" spans="1:4">
      <c r="A12086" s="3"/>
      <c r="D12086" s="3"/>
    </row>
    <row r="12087" spans="1:4">
      <c r="A12087" s="3"/>
      <c r="D12087" s="3"/>
    </row>
    <row r="12088" spans="1:4">
      <c r="A12088" s="3"/>
      <c r="D12088" s="3"/>
    </row>
    <row r="12089" spans="1:4">
      <c r="A12089" s="3"/>
      <c r="D12089" s="3"/>
    </row>
    <row r="12090" spans="1:4">
      <c r="A12090" s="3"/>
      <c r="D12090" s="3"/>
    </row>
    <row r="12091" spans="1:4">
      <c r="A12091" s="3"/>
      <c r="D12091" s="3"/>
    </row>
    <row r="12092" spans="1:4">
      <c r="A12092" s="3"/>
      <c r="D12092" s="3"/>
    </row>
    <row r="12093" spans="1:4">
      <c r="A12093" s="3"/>
      <c r="D12093" s="3"/>
    </row>
    <row r="12094" spans="1:4">
      <c r="A12094" s="3"/>
      <c r="D12094" s="3"/>
    </row>
    <row r="12095" spans="1:4">
      <c r="A12095" s="3"/>
      <c r="D12095" s="3"/>
    </row>
    <row r="12096" spans="1:4">
      <c r="A12096" s="3"/>
      <c r="D12096" s="3"/>
    </row>
    <row r="12097" spans="1:4">
      <c r="A12097" s="3"/>
      <c r="D12097" s="3"/>
    </row>
    <row r="12098" spans="1:4">
      <c r="A12098" s="3"/>
      <c r="D12098" s="3"/>
    </row>
    <row r="12099" spans="1:4">
      <c r="A12099" s="3"/>
      <c r="D12099" s="3"/>
    </row>
    <row r="12100" spans="1:4">
      <c r="A12100" s="3"/>
      <c r="D12100" s="3"/>
    </row>
    <row r="12101" spans="1:4">
      <c r="A12101" s="3"/>
      <c r="D12101" s="3"/>
    </row>
    <row r="12102" spans="1:4">
      <c r="A12102" s="3"/>
      <c r="D12102" s="3"/>
    </row>
    <row r="12103" spans="1:4">
      <c r="A12103" s="3"/>
      <c r="D12103" s="3"/>
    </row>
    <row r="12104" spans="1:4">
      <c r="A12104" s="3"/>
      <c r="D12104" s="3"/>
    </row>
    <row r="12105" spans="1:4">
      <c r="A12105" s="3"/>
      <c r="D12105" s="3"/>
    </row>
    <row r="12106" spans="1:4">
      <c r="A12106" s="3"/>
      <c r="D12106" s="3"/>
    </row>
    <row r="12107" spans="1:4">
      <c r="A12107" s="3"/>
      <c r="D12107" s="3"/>
    </row>
    <row r="12108" spans="1:4">
      <c r="A12108" s="3"/>
      <c r="D12108" s="3"/>
    </row>
    <row r="12109" spans="1:4">
      <c r="A12109" s="3"/>
      <c r="D12109" s="3"/>
    </row>
    <row r="12110" spans="1:4">
      <c r="A12110" s="3"/>
      <c r="D12110" s="3"/>
    </row>
    <row r="12111" spans="1:4">
      <c r="A12111" s="3"/>
      <c r="D12111" s="3"/>
    </row>
    <row r="12112" spans="1:4">
      <c r="A12112" s="3"/>
      <c r="D12112" s="3"/>
    </row>
    <row r="12113" spans="1:4">
      <c r="A12113" s="3"/>
      <c r="D12113" s="3"/>
    </row>
    <row r="12114" spans="1:4">
      <c r="A12114" s="3"/>
      <c r="D12114" s="3"/>
    </row>
    <row r="12115" spans="1:4">
      <c r="A12115" s="3"/>
      <c r="D12115" s="3"/>
    </row>
    <row r="12116" spans="1:4">
      <c r="A12116" s="3"/>
      <c r="D12116" s="3"/>
    </row>
    <row r="12117" spans="1:4">
      <c r="A12117" s="3"/>
      <c r="D12117" s="3"/>
    </row>
    <row r="12118" spans="1:4">
      <c r="A12118" s="3"/>
      <c r="D12118" s="3"/>
    </row>
    <row r="12119" spans="1:4">
      <c r="A12119" s="3"/>
      <c r="D12119" s="3"/>
    </row>
    <row r="12120" spans="1:4">
      <c r="A12120" s="3"/>
      <c r="D12120" s="3"/>
    </row>
    <row r="12121" spans="1:4">
      <c r="A12121" s="3"/>
      <c r="D12121" s="3"/>
    </row>
    <row r="12122" spans="1:4">
      <c r="A12122" s="3"/>
      <c r="D12122" s="3"/>
    </row>
    <row r="12123" spans="1:4">
      <c r="A12123" s="3"/>
      <c r="D12123" s="3"/>
    </row>
    <row r="12124" spans="1:4">
      <c r="A12124" s="3"/>
      <c r="D12124" s="3"/>
    </row>
    <row r="12125" spans="1:4">
      <c r="A12125" s="3"/>
      <c r="D12125" s="3"/>
    </row>
    <row r="12126" spans="1:4">
      <c r="A12126" s="3"/>
      <c r="D12126" s="3"/>
    </row>
    <row r="12127" spans="1:4">
      <c r="A12127" s="3"/>
      <c r="D12127" s="3"/>
    </row>
    <row r="12128" spans="1:4">
      <c r="A12128" s="3"/>
      <c r="D12128" s="3"/>
    </row>
    <row r="12129" spans="1:4">
      <c r="A12129" s="3"/>
      <c r="D12129" s="3"/>
    </row>
    <row r="12130" spans="1:4">
      <c r="A12130" s="3"/>
      <c r="D12130" s="3"/>
    </row>
    <row r="12131" spans="1:4">
      <c r="A12131" s="3"/>
      <c r="D12131" s="3"/>
    </row>
    <row r="12132" spans="1:4">
      <c r="A12132" s="3"/>
      <c r="D12132" s="3"/>
    </row>
    <row r="12133" spans="1:4">
      <c r="A12133" s="3"/>
      <c r="D12133" s="3"/>
    </row>
    <row r="12134" spans="1:4">
      <c r="A12134" s="3"/>
      <c r="D12134" s="3"/>
    </row>
    <row r="12135" spans="1:4">
      <c r="A12135" s="3"/>
      <c r="D12135" s="3"/>
    </row>
    <row r="12136" spans="1:4">
      <c r="A12136" s="3"/>
      <c r="D12136" s="3"/>
    </row>
    <row r="12137" spans="1:4">
      <c r="A12137" s="3"/>
      <c r="D12137" s="3"/>
    </row>
    <row r="12138" spans="1:4">
      <c r="A12138" s="3"/>
      <c r="D12138" s="3"/>
    </row>
    <row r="12139" spans="1:4">
      <c r="A12139" s="3"/>
      <c r="D12139" s="3"/>
    </row>
    <row r="12140" spans="1:4">
      <c r="A12140" s="3"/>
      <c r="D12140" s="3"/>
    </row>
    <row r="12141" spans="1:4">
      <c r="A12141" s="3"/>
      <c r="D12141" s="3"/>
    </row>
    <row r="12142" spans="1:4">
      <c r="A12142" s="3"/>
      <c r="D12142" s="3"/>
    </row>
    <row r="12143" spans="1:4">
      <c r="A12143" s="3"/>
      <c r="D12143" s="3"/>
    </row>
    <row r="12144" spans="1:4">
      <c r="A12144" s="3"/>
      <c r="D12144" s="3"/>
    </row>
    <row r="12145" spans="1:4">
      <c r="A12145" s="3"/>
      <c r="D12145" s="3"/>
    </row>
    <row r="12146" spans="1:4">
      <c r="A12146" s="3"/>
      <c r="D12146" s="3"/>
    </row>
    <row r="12147" spans="1:4">
      <c r="A12147" s="3"/>
      <c r="D12147" s="3"/>
    </row>
    <row r="12148" spans="1:4">
      <c r="A12148" s="3"/>
      <c r="D12148" s="3"/>
    </row>
    <row r="12149" spans="1:4">
      <c r="A12149" s="3"/>
      <c r="D12149" s="3"/>
    </row>
    <row r="12150" spans="1:4">
      <c r="A12150" s="3"/>
      <c r="D12150" s="3"/>
    </row>
    <row r="12151" spans="1:4">
      <c r="A12151" s="3"/>
      <c r="D12151" s="3"/>
    </row>
    <row r="12152" spans="1:4">
      <c r="A12152" s="3"/>
      <c r="D12152" s="3"/>
    </row>
    <row r="12153" spans="1:4">
      <c r="A12153" s="3"/>
      <c r="D12153" s="3"/>
    </row>
    <row r="12154" spans="1:4">
      <c r="A12154" s="3"/>
      <c r="D12154" s="3"/>
    </row>
    <row r="12155" spans="1:4">
      <c r="A12155" s="3"/>
      <c r="D12155" s="3"/>
    </row>
    <row r="12156" spans="1:4">
      <c r="A12156" s="3"/>
      <c r="D12156" s="3"/>
    </row>
    <row r="12157" spans="1:4">
      <c r="A12157" s="3"/>
      <c r="D12157" s="3"/>
    </row>
    <row r="12158" spans="1:4">
      <c r="A12158" s="3"/>
      <c r="D12158" s="3"/>
    </row>
    <row r="12159" spans="1:4">
      <c r="A12159" s="3"/>
      <c r="D12159" s="3"/>
    </row>
    <row r="12160" spans="1:4">
      <c r="A12160" s="3"/>
      <c r="D12160" s="3"/>
    </row>
    <row r="12161" spans="1:4">
      <c r="A12161" s="3"/>
      <c r="D12161" s="3"/>
    </row>
    <row r="12162" spans="1:4">
      <c r="A12162" s="3"/>
      <c r="D12162" s="3"/>
    </row>
    <row r="12163" spans="1:4">
      <c r="A12163" s="3"/>
      <c r="D12163" s="3"/>
    </row>
    <row r="12164" spans="1:4">
      <c r="A12164" s="3"/>
      <c r="D12164" s="3"/>
    </row>
    <row r="12165" spans="1:4">
      <c r="A12165" s="3"/>
      <c r="D12165" s="3"/>
    </row>
    <row r="12166" spans="1:4">
      <c r="A12166" s="3"/>
      <c r="D12166" s="3"/>
    </row>
    <row r="12167" spans="1:4">
      <c r="A12167" s="3"/>
      <c r="D12167" s="3"/>
    </row>
    <row r="12168" spans="1:4">
      <c r="A12168" s="3"/>
      <c r="D12168" s="3"/>
    </row>
    <row r="12169" spans="1:4">
      <c r="A12169" s="3"/>
      <c r="D12169" s="3"/>
    </row>
    <row r="12170" spans="1:4">
      <c r="A12170" s="3"/>
      <c r="D12170" s="3"/>
    </row>
    <row r="12171" spans="1:4">
      <c r="A12171" s="3"/>
      <c r="D12171" s="3"/>
    </row>
    <row r="12172" spans="1:4">
      <c r="A12172" s="3"/>
      <c r="D12172" s="3"/>
    </row>
    <row r="12173" spans="1:4">
      <c r="A12173" s="3"/>
      <c r="D12173" s="3"/>
    </row>
    <row r="12174" spans="1:4">
      <c r="A12174" s="3"/>
      <c r="D12174" s="3"/>
    </row>
    <row r="12175" spans="1:4">
      <c r="A12175" s="3"/>
      <c r="D12175" s="3"/>
    </row>
    <row r="12176" spans="1:4">
      <c r="A12176" s="3"/>
      <c r="D12176" s="3"/>
    </row>
    <row r="12177" spans="1:4">
      <c r="A12177" s="3"/>
      <c r="D12177" s="3"/>
    </row>
    <row r="12178" spans="1:4">
      <c r="A12178" s="3"/>
      <c r="D12178" s="3"/>
    </row>
    <row r="12179" spans="1:4">
      <c r="A12179" s="3"/>
      <c r="D12179" s="3"/>
    </row>
    <row r="12180" spans="1:4">
      <c r="A12180" s="3"/>
      <c r="D12180" s="3"/>
    </row>
    <row r="12181" spans="1:4">
      <c r="A12181" s="3"/>
      <c r="D12181" s="3"/>
    </row>
    <row r="12182" spans="1:4">
      <c r="A12182" s="3"/>
      <c r="D12182" s="3"/>
    </row>
    <row r="12183" spans="1:4">
      <c r="A12183" s="3"/>
      <c r="D12183" s="3"/>
    </row>
    <row r="12184" spans="1:4">
      <c r="A12184" s="3"/>
      <c r="D12184" s="3"/>
    </row>
    <row r="12185" spans="1:4">
      <c r="A12185" s="3"/>
      <c r="D12185" s="3"/>
    </row>
    <row r="12186" spans="1:4">
      <c r="A12186" s="3"/>
      <c r="D12186" s="3"/>
    </row>
    <row r="12187" spans="1:4">
      <c r="A12187" s="3"/>
      <c r="D12187" s="3"/>
    </row>
    <row r="12188" spans="1:4">
      <c r="A12188" s="3"/>
      <c r="D12188" s="3"/>
    </row>
    <row r="12189" spans="1:4">
      <c r="A12189" s="3"/>
      <c r="D12189" s="3"/>
    </row>
    <row r="12190" spans="1:4">
      <c r="A12190" s="3"/>
      <c r="D12190" s="3"/>
    </row>
    <row r="12191" spans="1:4">
      <c r="A12191" s="3"/>
      <c r="D12191" s="3"/>
    </row>
    <row r="12192" spans="1:4">
      <c r="A12192" s="3"/>
      <c r="D12192" s="3"/>
    </row>
    <row r="12193" spans="1:4">
      <c r="A12193" s="3"/>
      <c r="D12193" s="3"/>
    </row>
    <row r="12194" spans="1:4">
      <c r="A12194" s="3"/>
      <c r="D12194" s="3"/>
    </row>
    <row r="12195" spans="1:4">
      <c r="A12195" s="3"/>
      <c r="D12195" s="3"/>
    </row>
    <row r="12196" spans="1:4">
      <c r="A12196" s="3"/>
      <c r="D12196" s="3"/>
    </row>
    <row r="12197" spans="1:4">
      <c r="A12197" s="3"/>
      <c r="D12197" s="3"/>
    </row>
    <row r="12198" spans="1:4">
      <c r="A12198" s="3"/>
      <c r="D12198" s="3"/>
    </row>
    <row r="12199" spans="1:4">
      <c r="A12199" s="3"/>
      <c r="D12199" s="3"/>
    </row>
    <row r="12200" spans="1:4">
      <c r="A12200" s="3"/>
      <c r="D12200" s="3"/>
    </row>
    <row r="12201" spans="1:4">
      <c r="A12201" s="3"/>
      <c r="D12201" s="3"/>
    </row>
    <row r="12202" spans="1:4">
      <c r="A12202" s="3"/>
      <c r="D12202" s="3"/>
    </row>
    <row r="12203" spans="1:4">
      <c r="A12203" s="3"/>
      <c r="D12203" s="3"/>
    </row>
    <row r="12204" spans="1:4">
      <c r="A12204" s="3"/>
      <c r="D12204" s="3"/>
    </row>
    <row r="12205" spans="1:4">
      <c r="A12205" s="3"/>
      <c r="D12205" s="3"/>
    </row>
    <row r="12206" spans="1:4">
      <c r="A12206" s="3"/>
      <c r="D12206" s="3"/>
    </row>
    <row r="12207" spans="1:4">
      <c r="A12207" s="3"/>
      <c r="D12207" s="3"/>
    </row>
    <row r="12208" spans="1:4">
      <c r="A12208" s="3"/>
      <c r="D12208" s="3"/>
    </row>
    <row r="12209" spans="1:4">
      <c r="A12209" s="3"/>
      <c r="D12209" s="3"/>
    </row>
    <row r="12210" spans="1:4">
      <c r="A12210" s="3"/>
      <c r="D12210" s="3"/>
    </row>
    <row r="12211" spans="1:4">
      <c r="A12211" s="3"/>
      <c r="D12211" s="3"/>
    </row>
    <row r="12212" spans="1:4">
      <c r="A12212" s="3"/>
      <c r="D12212" s="3"/>
    </row>
    <row r="12213" spans="1:4">
      <c r="A12213" s="3"/>
      <c r="D12213" s="3"/>
    </row>
    <row r="12214" spans="1:4">
      <c r="A12214" s="3"/>
      <c r="D12214" s="3"/>
    </row>
    <row r="12215" spans="1:4">
      <c r="A12215" s="3"/>
      <c r="D12215" s="3"/>
    </row>
    <row r="12216" spans="1:4">
      <c r="A12216" s="3"/>
      <c r="D12216" s="3"/>
    </row>
    <row r="12217" spans="1:4">
      <c r="A12217" s="3"/>
      <c r="D12217" s="3"/>
    </row>
    <row r="12218" spans="1:4">
      <c r="A12218" s="3"/>
      <c r="D12218" s="3"/>
    </row>
    <row r="12219" spans="1:4">
      <c r="A12219" s="3"/>
      <c r="D12219" s="3"/>
    </row>
    <row r="12220" spans="1:4">
      <c r="A12220" s="3"/>
      <c r="D12220" s="3"/>
    </row>
    <row r="12221" spans="1:4">
      <c r="A12221" s="3"/>
      <c r="D12221" s="3"/>
    </row>
    <row r="12222" spans="1:4">
      <c r="A12222" s="3"/>
      <c r="D12222" s="3"/>
    </row>
    <row r="12223" spans="1:4">
      <c r="A12223" s="3"/>
      <c r="D12223" s="3"/>
    </row>
    <row r="12224" spans="1:4">
      <c r="A12224" s="3"/>
      <c r="D12224" s="3"/>
    </row>
    <row r="12225" spans="1:4">
      <c r="A12225" s="3"/>
      <c r="D12225" s="3"/>
    </row>
    <row r="12226" spans="1:4">
      <c r="A12226" s="3"/>
      <c r="D12226" s="3"/>
    </row>
    <row r="12227" spans="1:4">
      <c r="A12227" s="3"/>
      <c r="D12227" s="3"/>
    </row>
    <row r="12228" spans="1:4">
      <c r="A12228" s="3"/>
      <c r="D12228" s="3"/>
    </row>
    <row r="12229" spans="1:4">
      <c r="A12229" s="3"/>
      <c r="D12229" s="3"/>
    </row>
    <row r="12230" spans="1:4">
      <c r="A12230" s="3"/>
      <c r="D12230" s="3"/>
    </row>
    <row r="12231" spans="1:4">
      <c r="A12231" s="3"/>
      <c r="D12231" s="3"/>
    </row>
    <row r="12232" spans="1:4">
      <c r="A12232" s="3"/>
      <c r="D12232" s="3"/>
    </row>
    <row r="12233" spans="1:4">
      <c r="A12233" s="3"/>
      <c r="D12233" s="3"/>
    </row>
    <row r="12234" spans="1:4">
      <c r="A12234" s="3"/>
      <c r="D12234" s="3"/>
    </row>
    <row r="12235" spans="1:4">
      <c r="A12235" s="3"/>
      <c r="D12235" s="3"/>
    </row>
    <row r="12236" spans="1:4">
      <c r="A12236" s="3"/>
      <c r="D12236" s="3"/>
    </row>
    <row r="12237" spans="1:4">
      <c r="A12237" s="3"/>
      <c r="D12237" s="3"/>
    </row>
    <row r="12238" spans="1:4">
      <c r="A12238" s="3"/>
      <c r="D12238" s="3"/>
    </row>
    <row r="12239" spans="1:4">
      <c r="A12239" s="3"/>
      <c r="D12239" s="3"/>
    </row>
    <row r="12240" spans="1:4">
      <c r="A12240" s="3"/>
      <c r="D12240" s="3"/>
    </row>
    <row r="12241" spans="1:4">
      <c r="A12241" s="3"/>
      <c r="D12241" s="3"/>
    </row>
    <row r="12242" spans="1:4">
      <c r="A12242" s="3"/>
      <c r="D12242" s="3"/>
    </row>
    <row r="12243" spans="1:4">
      <c r="A12243" s="3"/>
      <c r="D12243" s="3"/>
    </row>
    <row r="12244" spans="1:4">
      <c r="A12244" s="3"/>
      <c r="D12244" s="3"/>
    </row>
    <row r="12245" spans="1:4">
      <c r="A12245" s="3"/>
      <c r="D12245" s="3"/>
    </row>
    <row r="12246" spans="1:4">
      <c r="A12246" s="3"/>
      <c r="D12246" s="3"/>
    </row>
    <row r="12247" spans="1:4">
      <c r="A12247" s="3"/>
      <c r="D12247" s="3"/>
    </row>
    <row r="12248" spans="1:4">
      <c r="A12248" s="3"/>
      <c r="D12248" s="3"/>
    </row>
    <row r="12249" spans="1:4">
      <c r="A12249" s="3"/>
      <c r="D12249" s="3"/>
    </row>
    <row r="12250" spans="1:4">
      <c r="A12250" s="3"/>
      <c r="D12250" s="3"/>
    </row>
    <row r="12251" spans="1:4">
      <c r="A12251" s="3"/>
      <c r="D12251" s="3"/>
    </row>
    <row r="12252" spans="1:4">
      <c r="A12252" s="3"/>
      <c r="D12252" s="3"/>
    </row>
    <row r="12253" spans="1:4">
      <c r="A12253" s="3"/>
      <c r="D12253" s="3"/>
    </row>
    <row r="12254" spans="1:4">
      <c r="A12254" s="3"/>
      <c r="D12254" s="3"/>
    </row>
    <row r="12255" spans="1:4">
      <c r="A12255" s="3"/>
      <c r="D12255" s="3"/>
    </row>
    <row r="12256" spans="1:4">
      <c r="A12256" s="3"/>
      <c r="D12256" s="3"/>
    </row>
    <row r="12257" spans="1:4">
      <c r="A12257" s="3"/>
      <c r="D12257" s="3"/>
    </row>
    <row r="12258" spans="1:4">
      <c r="A12258" s="3"/>
      <c r="D12258" s="3"/>
    </row>
    <row r="12259" spans="1:4">
      <c r="A12259" s="3"/>
      <c r="D12259" s="3"/>
    </row>
    <row r="12260" spans="1:4">
      <c r="A12260" s="3"/>
      <c r="D12260" s="3"/>
    </row>
    <row r="12261" spans="1:4">
      <c r="A12261" s="3"/>
      <c r="D12261" s="3"/>
    </row>
    <row r="12262" spans="1:4">
      <c r="A12262" s="3"/>
      <c r="D12262" s="3"/>
    </row>
    <row r="12263" spans="1:4">
      <c r="A12263" s="3"/>
      <c r="D12263" s="3"/>
    </row>
    <row r="12264" spans="1:4">
      <c r="A12264" s="3"/>
      <c r="D12264" s="3"/>
    </row>
    <row r="12265" spans="1:4">
      <c r="A12265" s="3"/>
      <c r="D12265" s="3"/>
    </row>
    <row r="12266" spans="1:4">
      <c r="A12266" s="3"/>
      <c r="D12266" s="3"/>
    </row>
    <row r="12267" spans="1:4">
      <c r="A12267" s="3"/>
      <c r="D12267" s="3"/>
    </row>
    <row r="12268" spans="1:4">
      <c r="A12268" s="3"/>
      <c r="D12268" s="3"/>
    </row>
    <row r="12269" spans="1:4">
      <c r="A12269" s="3"/>
      <c r="D12269" s="3"/>
    </row>
    <row r="12270" spans="1:4">
      <c r="A12270" s="3"/>
      <c r="D12270" s="3"/>
    </row>
    <row r="12271" spans="1:4">
      <c r="A12271" s="3"/>
      <c r="D12271" s="3"/>
    </row>
    <row r="12272" spans="1:4">
      <c r="A12272" s="3"/>
      <c r="D12272" s="3"/>
    </row>
    <row r="12273" spans="1:4">
      <c r="A12273" s="3"/>
      <c r="D12273" s="3"/>
    </row>
    <row r="12274" spans="1:4">
      <c r="A12274" s="3"/>
      <c r="D12274" s="3"/>
    </row>
    <row r="12275" spans="1:4">
      <c r="A12275" s="3"/>
      <c r="D12275" s="3"/>
    </row>
    <row r="12276" spans="1:4">
      <c r="A12276" s="3"/>
      <c r="D12276" s="3"/>
    </row>
    <row r="12277" spans="1:4">
      <c r="A12277" s="3"/>
      <c r="D12277" s="3"/>
    </row>
    <row r="12278" spans="1:4">
      <c r="A12278" s="3"/>
      <c r="D12278" s="3"/>
    </row>
    <row r="12279" spans="1:4">
      <c r="A12279" s="3"/>
      <c r="D12279" s="3"/>
    </row>
    <row r="12280" spans="1:4">
      <c r="A12280" s="3"/>
      <c r="D12280" s="3"/>
    </row>
    <row r="12281" spans="1:4">
      <c r="A12281" s="3"/>
      <c r="D12281" s="3"/>
    </row>
    <row r="12282" spans="1:4">
      <c r="A12282" s="3"/>
      <c r="D12282" s="3"/>
    </row>
    <row r="12283" spans="1:4">
      <c r="A12283" s="3"/>
      <c r="D12283" s="3"/>
    </row>
    <row r="12284" spans="1:4">
      <c r="A12284" s="3"/>
      <c r="D12284" s="3"/>
    </row>
    <row r="12285" spans="1:4">
      <c r="A12285" s="3"/>
      <c r="D12285" s="3"/>
    </row>
    <row r="12286" spans="1:4">
      <c r="A12286" s="3"/>
      <c r="D12286" s="3"/>
    </row>
    <row r="12287" spans="1:4">
      <c r="A12287" s="3"/>
      <c r="D12287" s="3"/>
    </row>
    <row r="12288" spans="1:4">
      <c r="A12288" s="3"/>
      <c r="D12288" s="3"/>
    </row>
    <row r="12289" spans="1:4">
      <c r="A12289" s="3"/>
      <c r="D12289" s="3"/>
    </row>
    <row r="12290" spans="1:4">
      <c r="A12290" s="3"/>
      <c r="D12290" s="3"/>
    </row>
    <row r="12291" spans="1:4">
      <c r="A12291" s="3"/>
      <c r="D12291" s="3"/>
    </row>
    <row r="12292" spans="1:4">
      <c r="A12292" s="3"/>
      <c r="D12292" s="3"/>
    </row>
    <row r="12293" spans="1:4">
      <c r="A12293" s="3"/>
      <c r="D12293" s="3"/>
    </row>
    <row r="12294" spans="1:4">
      <c r="A12294" s="3"/>
      <c r="D12294" s="3"/>
    </row>
    <row r="12295" spans="1:4">
      <c r="A12295" s="3"/>
      <c r="D12295" s="3"/>
    </row>
    <row r="12296" spans="1:4">
      <c r="A12296" s="3"/>
      <c r="D12296" s="3"/>
    </row>
    <row r="12297" spans="1:4">
      <c r="A12297" s="3"/>
      <c r="D12297" s="3"/>
    </row>
    <row r="12298" spans="1:4">
      <c r="A12298" s="3"/>
      <c r="D12298" s="3"/>
    </row>
    <row r="12299" spans="1:4">
      <c r="A12299" s="3"/>
      <c r="D12299" s="3"/>
    </row>
    <row r="12300" spans="1:4">
      <c r="A12300" s="3"/>
      <c r="D12300" s="3"/>
    </row>
    <row r="12301" spans="1:4">
      <c r="A12301" s="3"/>
      <c r="D12301" s="3"/>
    </row>
    <row r="12302" spans="1:4">
      <c r="A12302" s="3"/>
      <c r="D12302" s="3"/>
    </row>
    <row r="12303" spans="1:4">
      <c r="A12303" s="3"/>
      <c r="D12303" s="3"/>
    </row>
    <row r="12304" spans="1:4">
      <c r="A12304" s="3"/>
      <c r="D12304" s="3"/>
    </row>
    <row r="12305" spans="1:4">
      <c r="A12305" s="3"/>
      <c r="D12305" s="3"/>
    </row>
    <row r="12306" spans="1:4">
      <c r="A12306" s="3"/>
      <c r="D12306" s="3"/>
    </row>
    <row r="12307" spans="1:4">
      <c r="A12307" s="3"/>
      <c r="D12307" s="3"/>
    </row>
    <row r="12308" spans="1:4">
      <c r="A12308" s="3"/>
      <c r="D12308" s="3"/>
    </row>
    <row r="12309" spans="1:4">
      <c r="A12309" s="3"/>
      <c r="D12309" s="3"/>
    </row>
    <row r="12310" spans="1:4">
      <c r="A12310" s="3"/>
      <c r="D12310" s="3"/>
    </row>
    <row r="12311" spans="1:4">
      <c r="A12311" s="3"/>
      <c r="D12311" s="3"/>
    </row>
    <row r="12312" spans="1:4">
      <c r="A12312" s="3"/>
      <c r="D12312" s="3"/>
    </row>
    <row r="12313" spans="1:4">
      <c r="A12313" s="3"/>
      <c r="D12313" s="3"/>
    </row>
    <row r="12314" spans="1:4">
      <c r="A12314" s="3"/>
      <c r="D12314" s="3"/>
    </row>
    <row r="12315" spans="1:4">
      <c r="A12315" s="3"/>
      <c r="D12315" s="3"/>
    </row>
    <row r="12316" spans="1:4">
      <c r="A12316" s="3"/>
      <c r="D12316" s="3"/>
    </row>
    <row r="12317" spans="1:4">
      <c r="A12317" s="3"/>
      <c r="D12317" s="3"/>
    </row>
    <row r="12318" spans="1:4">
      <c r="A12318" s="3"/>
      <c r="D12318" s="3"/>
    </row>
    <row r="12319" spans="1:4">
      <c r="A12319" s="3"/>
      <c r="D12319" s="3"/>
    </row>
    <row r="12320" spans="1:4">
      <c r="A12320" s="3"/>
      <c r="D12320" s="3"/>
    </row>
    <row r="12321" spans="1:4">
      <c r="A12321" s="3"/>
      <c r="D12321" s="3"/>
    </row>
    <row r="12322" spans="1:4">
      <c r="A12322" s="3"/>
      <c r="D12322" s="3"/>
    </row>
    <row r="12323" spans="1:4">
      <c r="A12323" s="3"/>
      <c r="D12323" s="3"/>
    </row>
    <row r="12324" spans="1:4">
      <c r="A12324" s="3"/>
      <c r="D12324" s="3"/>
    </row>
    <row r="12325" spans="1:4">
      <c r="A12325" s="3"/>
      <c r="D12325" s="3"/>
    </row>
    <row r="12326" spans="1:4">
      <c r="A12326" s="3"/>
      <c r="D12326" s="3"/>
    </row>
    <row r="12327" spans="1:4">
      <c r="A12327" s="3"/>
      <c r="D12327" s="3"/>
    </row>
    <row r="12328" spans="1:4">
      <c r="A12328" s="3"/>
      <c r="D12328" s="3"/>
    </row>
    <row r="12329" spans="1:4">
      <c r="A12329" s="3"/>
      <c r="D12329" s="3"/>
    </row>
    <row r="12330" spans="1:4">
      <c r="A12330" s="3"/>
      <c r="D12330" s="3"/>
    </row>
    <row r="12331" spans="1:4">
      <c r="A12331" s="3"/>
      <c r="D12331" s="3"/>
    </row>
    <row r="12332" spans="1:4">
      <c r="A12332" s="3"/>
      <c r="D12332" s="3"/>
    </row>
    <row r="12333" spans="1:4">
      <c r="A12333" s="3"/>
      <c r="D12333" s="3"/>
    </row>
    <row r="12334" spans="1:4">
      <c r="A12334" s="3"/>
      <c r="D12334" s="3"/>
    </row>
    <row r="12335" spans="1:4">
      <c r="A12335" s="3"/>
      <c r="D12335" s="3"/>
    </row>
    <row r="12336" spans="1:4">
      <c r="A12336" s="3"/>
      <c r="D12336" s="3"/>
    </row>
    <row r="12337" spans="1:4">
      <c r="A12337" s="3"/>
      <c r="D12337" s="3"/>
    </row>
    <row r="12338" spans="1:4">
      <c r="A12338" s="3"/>
      <c r="D12338" s="3"/>
    </row>
    <row r="12339" spans="1:4">
      <c r="A12339" s="3"/>
      <c r="D12339" s="3"/>
    </row>
    <row r="12340" spans="1:4">
      <c r="A12340" s="3"/>
      <c r="D12340" s="3"/>
    </row>
    <row r="12341" spans="1:4">
      <c r="A12341" s="3"/>
      <c r="D12341" s="3"/>
    </row>
    <row r="12342" spans="1:4">
      <c r="A12342" s="3"/>
      <c r="D12342" s="3"/>
    </row>
    <row r="12343" spans="1:4">
      <c r="A12343" s="3"/>
      <c r="D12343" s="3"/>
    </row>
    <row r="12344" spans="1:4">
      <c r="A12344" s="3"/>
      <c r="D12344" s="3"/>
    </row>
    <row r="12345" spans="1:4">
      <c r="A12345" s="3"/>
      <c r="D12345" s="3"/>
    </row>
    <row r="12346" spans="1:4">
      <c r="A12346" s="3"/>
      <c r="D12346" s="3"/>
    </row>
    <row r="12347" spans="1:4">
      <c r="A12347" s="3"/>
      <c r="D12347" s="3"/>
    </row>
    <row r="12348" spans="1:4">
      <c r="A12348" s="3"/>
      <c r="D12348" s="3"/>
    </row>
    <row r="12349" spans="1:4">
      <c r="A12349" s="3"/>
      <c r="D12349" s="3"/>
    </row>
    <row r="12350" spans="1:4">
      <c r="A12350" s="3"/>
      <c r="D12350" s="3"/>
    </row>
    <row r="12351" spans="1:4">
      <c r="A12351" s="3"/>
      <c r="D12351" s="3"/>
    </row>
    <row r="12352" spans="1:4">
      <c r="A12352" s="3"/>
      <c r="D12352" s="3"/>
    </row>
    <row r="12353" spans="1:4">
      <c r="A12353" s="3"/>
      <c r="D12353" s="3"/>
    </row>
    <row r="12354" spans="1:4">
      <c r="A12354" s="3"/>
      <c r="D12354" s="3"/>
    </row>
    <row r="12355" spans="1:4">
      <c r="A12355" s="3"/>
      <c r="D12355" s="3"/>
    </row>
    <row r="12356" spans="1:4">
      <c r="A12356" s="3"/>
      <c r="D12356" s="3"/>
    </row>
    <row r="12357" spans="1:4">
      <c r="A12357" s="3"/>
      <c r="D12357" s="3"/>
    </row>
    <row r="12358" spans="1:4">
      <c r="A12358" s="3"/>
      <c r="D12358" s="3"/>
    </row>
    <row r="12359" spans="1:4">
      <c r="A12359" s="3"/>
      <c r="D12359" s="3"/>
    </row>
    <row r="12360" spans="1:4">
      <c r="A12360" s="3"/>
      <c r="D12360" s="3"/>
    </row>
    <row r="12361" spans="1:4">
      <c r="A12361" s="3"/>
      <c r="D12361" s="3"/>
    </row>
    <row r="12362" spans="1:4">
      <c r="A12362" s="3"/>
      <c r="D12362" s="3"/>
    </row>
    <row r="12363" spans="1:4">
      <c r="A12363" s="3"/>
      <c r="D12363" s="3"/>
    </row>
    <row r="12364" spans="1:4">
      <c r="A12364" s="3"/>
      <c r="D12364" s="3"/>
    </row>
    <row r="12365" spans="1:4">
      <c r="A12365" s="3"/>
      <c r="D12365" s="3"/>
    </row>
    <row r="12366" spans="1:4">
      <c r="A12366" s="3"/>
      <c r="D12366" s="3"/>
    </row>
    <row r="12367" spans="1:4">
      <c r="A12367" s="3"/>
      <c r="D12367" s="3"/>
    </row>
    <row r="12368" spans="1:4">
      <c r="A12368" s="3"/>
      <c r="D12368" s="3"/>
    </row>
    <row r="12369" spans="1:4">
      <c r="A12369" s="3"/>
      <c r="D12369" s="3"/>
    </row>
    <row r="12370" spans="1:4">
      <c r="A12370" s="3"/>
      <c r="D12370" s="3"/>
    </row>
    <row r="12371" spans="1:4">
      <c r="A12371" s="3"/>
      <c r="D12371" s="3"/>
    </row>
    <row r="12372" spans="1:4">
      <c r="A12372" s="3"/>
      <c r="D12372" s="3"/>
    </row>
    <row r="12373" spans="1:4">
      <c r="A12373" s="3"/>
      <c r="D12373" s="3"/>
    </row>
    <row r="12374" spans="1:4">
      <c r="A12374" s="3"/>
      <c r="D12374" s="3"/>
    </row>
    <row r="12375" spans="1:4">
      <c r="A12375" s="3"/>
      <c r="D12375" s="3"/>
    </row>
    <row r="12376" spans="1:4">
      <c r="A12376" s="3"/>
      <c r="D12376" s="3"/>
    </row>
    <row r="12377" spans="1:4">
      <c r="A12377" s="3"/>
      <c r="D12377" s="3"/>
    </row>
    <row r="12378" spans="1:4">
      <c r="A12378" s="3"/>
      <c r="D12378" s="3"/>
    </row>
    <row r="12379" spans="1:4">
      <c r="A12379" s="3"/>
      <c r="D12379" s="3"/>
    </row>
    <row r="12380" spans="1:4">
      <c r="A12380" s="3"/>
      <c r="D12380" s="3"/>
    </row>
    <row r="12381" spans="1:4">
      <c r="A12381" s="3"/>
      <c r="D12381" s="3"/>
    </row>
    <row r="12382" spans="1:4">
      <c r="A12382" s="3"/>
      <c r="D12382" s="3"/>
    </row>
    <row r="12383" spans="1:4">
      <c r="A12383" s="3"/>
      <c r="D12383" s="3"/>
    </row>
    <row r="12384" spans="1:4">
      <c r="A12384" s="3"/>
      <c r="D12384" s="3"/>
    </row>
    <row r="12385" spans="1:4">
      <c r="A12385" s="3"/>
      <c r="D12385" s="3"/>
    </row>
    <row r="12386" spans="1:4">
      <c r="A12386" s="3"/>
      <c r="D12386" s="3"/>
    </row>
    <row r="12387" spans="1:4">
      <c r="A12387" s="3"/>
      <c r="D12387" s="3"/>
    </row>
    <row r="12388" spans="1:4">
      <c r="A12388" s="3"/>
      <c r="D12388" s="3"/>
    </row>
    <row r="12389" spans="1:4">
      <c r="A12389" s="3"/>
      <c r="D12389" s="3"/>
    </row>
    <row r="12390" spans="1:4">
      <c r="A12390" s="3"/>
      <c r="D12390" s="3"/>
    </row>
    <row r="12391" spans="1:4">
      <c r="A12391" s="3"/>
      <c r="D12391" s="3"/>
    </row>
    <row r="12392" spans="1:4">
      <c r="A12392" s="3"/>
      <c r="D12392" s="3"/>
    </row>
    <row r="12393" spans="1:4">
      <c r="A12393" s="3"/>
      <c r="D12393" s="3"/>
    </row>
    <row r="12394" spans="1:4">
      <c r="A12394" s="3"/>
      <c r="D12394" s="3"/>
    </row>
    <row r="12395" spans="1:4">
      <c r="A12395" s="3"/>
      <c r="D12395" s="3"/>
    </row>
    <row r="12396" spans="1:4">
      <c r="A12396" s="3"/>
      <c r="D12396" s="3"/>
    </row>
    <row r="12397" spans="1:4">
      <c r="A12397" s="3"/>
      <c r="D12397" s="3"/>
    </row>
    <row r="12398" spans="1:4">
      <c r="A12398" s="3"/>
      <c r="D12398" s="3"/>
    </row>
    <row r="12399" spans="1:4">
      <c r="A12399" s="3"/>
      <c r="D12399" s="3"/>
    </row>
    <row r="12400" spans="1:4">
      <c r="A12400" s="3"/>
      <c r="D12400" s="3"/>
    </row>
    <row r="12401" spans="1:4">
      <c r="A12401" s="3"/>
      <c r="D12401" s="3"/>
    </row>
    <row r="12402" spans="1:4">
      <c r="A12402" s="3"/>
      <c r="D12402" s="3"/>
    </row>
    <row r="12403" spans="1:4">
      <c r="A12403" s="3"/>
      <c r="D12403" s="3"/>
    </row>
    <row r="12404" spans="1:4">
      <c r="A12404" s="3"/>
      <c r="D12404" s="3"/>
    </row>
    <row r="12405" spans="1:4">
      <c r="A12405" s="3"/>
      <c r="D12405" s="3"/>
    </row>
    <row r="12406" spans="1:4">
      <c r="A12406" s="3"/>
      <c r="D12406" s="3"/>
    </row>
    <row r="12407" spans="1:4">
      <c r="A12407" s="3"/>
      <c r="D12407" s="3"/>
    </row>
    <row r="12408" spans="1:4">
      <c r="A12408" s="3"/>
      <c r="D12408" s="3"/>
    </row>
    <row r="12409" spans="1:4">
      <c r="A12409" s="3"/>
      <c r="D12409" s="3"/>
    </row>
    <row r="12410" spans="1:4">
      <c r="A12410" s="3"/>
      <c r="D12410" s="3"/>
    </row>
    <row r="12411" spans="1:4">
      <c r="A12411" s="3"/>
      <c r="D12411" s="3"/>
    </row>
    <row r="12412" spans="1:4">
      <c r="A12412" s="3"/>
      <c r="D12412" s="3"/>
    </row>
    <row r="12413" spans="1:4">
      <c r="A12413" s="3"/>
      <c r="D12413" s="3"/>
    </row>
    <row r="12414" spans="1:4">
      <c r="A12414" s="3"/>
      <c r="D12414" s="3"/>
    </row>
    <row r="12415" spans="1:4">
      <c r="A12415" s="3"/>
      <c r="D12415" s="3"/>
    </row>
    <row r="12416" spans="1:4">
      <c r="A12416" s="3"/>
      <c r="D12416" s="3"/>
    </row>
    <row r="12417" spans="1:4">
      <c r="A12417" s="3"/>
      <c r="D12417" s="3"/>
    </row>
    <row r="12418" spans="1:4">
      <c r="A12418" s="3"/>
      <c r="D12418" s="3"/>
    </row>
    <row r="12419" spans="1:4">
      <c r="A12419" s="3"/>
      <c r="D12419" s="3"/>
    </row>
    <row r="12420" spans="1:4">
      <c r="A12420" s="3"/>
      <c r="D12420" s="3"/>
    </row>
    <row r="12421" spans="1:4">
      <c r="A12421" s="3"/>
      <c r="D12421" s="3"/>
    </row>
    <row r="12422" spans="1:4">
      <c r="A12422" s="3"/>
      <c r="D12422" s="3"/>
    </row>
    <row r="12423" spans="1:4">
      <c r="A12423" s="3"/>
      <c r="D12423" s="3"/>
    </row>
    <row r="12424" spans="1:4">
      <c r="A12424" s="3"/>
      <c r="D12424" s="3"/>
    </row>
    <row r="12425" spans="1:4">
      <c r="A12425" s="3"/>
      <c r="D12425" s="3"/>
    </row>
    <row r="12426" spans="1:4">
      <c r="A12426" s="3"/>
      <c r="D12426" s="3"/>
    </row>
    <row r="12427" spans="1:4">
      <c r="A12427" s="3"/>
      <c r="D12427" s="3"/>
    </row>
    <row r="12428" spans="1:4">
      <c r="A12428" s="3"/>
      <c r="D12428" s="3"/>
    </row>
    <row r="12429" spans="1:4">
      <c r="A12429" s="3"/>
      <c r="D12429" s="3"/>
    </row>
    <row r="12430" spans="1:4">
      <c r="A12430" s="3"/>
      <c r="D12430" s="3"/>
    </row>
    <row r="12431" spans="1:4">
      <c r="A12431" s="3"/>
      <c r="D12431" s="3"/>
    </row>
    <row r="12432" spans="1:4">
      <c r="A12432" s="3"/>
      <c r="D12432" s="3"/>
    </row>
    <row r="12433" spans="1:4">
      <c r="A12433" s="3"/>
      <c r="D12433" s="3"/>
    </row>
    <row r="12434" spans="1:4">
      <c r="A12434" s="3"/>
      <c r="D12434" s="3"/>
    </row>
    <row r="12435" spans="1:4">
      <c r="A12435" s="3"/>
      <c r="D12435" s="3"/>
    </row>
    <row r="12436" spans="1:4">
      <c r="A12436" s="3"/>
      <c r="D12436" s="3"/>
    </row>
    <row r="12437" spans="1:4">
      <c r="A12437" s="3"/>
      <c r="D12437" s="3"/>
    </row>
    <row r="12438" spans="1:4">
      <c r="A12438" s="3"/>
      <c r="D12438" s="3"/>
    </row>
    <row r="12439" spans="1:4">
      <c r="A12439" s="3"/>
      <c r="D12439" s="3"/>
    </row>
    <row r="12440" spans="1:4">
      <c r="A12440" s="3"/>
      <c r="D12440" s="3"/>
    </row>
    <row r="12441" spans="1:4">
      <c r="A12441" s="3"/>
      <c r="D12441" s="3"/>
    </row>
    <row r="12442" spans="1:4">
      <c r="A12442" s="3"/>
      <c r="D12442" s="3"/>
    </row>
    <row r="12443" spans="1:4">
      <c r="A12443" s="3"/>
      <c r="D12443" s="3"/>
    </row>
    <row r="12444" spans="1:4">
      <c r="A12444" s="3"/>
      <c r="D12444" s="3"/>
    </row>
    <row r="12445" spans="1:4">
      <c r="A12445" s="3"/>
      <c r="D12445" s="3"/>
    </row>
    <row r="12446" spans="1:4">
      <c r="A12446" s="3"/>
      <c r="D12446" s="3"/>
    </row>
    <row r="12447" spans="1:4">
      <c r="A12447" s="3"/>
      <c r="D12447" s="3"/>
    </row>
    <row r="12448" spans="1:4">
      <c r="A12448" s="3"/>
      <c r="D12448" s="3"/>
    </row>
    <row r="12449" spans="1:4">
      <c r="A12449" s="3"/>
      <c r="D12449" s="3"/>
    </row>
    <row r="12450" spans="1:4">
      <c r="A12450" s="3"/>
      <c r="D12450" s="3"/>
    </row>
    <row r="12451" spans="1:4">
      <c r="A12451" s="3"/>
      <c r="D12451" s="3"/>
    </row>
    <row r="12452" spans="1:4">
      <c r="A12452" s="3"/>
      <c r="D12452" s="3"/>
    </row>
    <row r="12453" spans="1:4">
      <c r="A12453" s="3"/>
      <c r="D12453" s="3"/>
    </row>
    <row r="12454" spans="1:4">
      <c r="A12454" s="3"/>
      <c r="D12454" s="3"/>
    </row>
    <row r="12455" spans="1:4">
      <c r="A12455" s="3"/>
      <c r="D12455" s="3"/>
    </row>
    <row r="12456" spans="1:4">
      <c r="A12456" s="3"/>
      <c r="D12456" s="3"/>
    </row>
    <row r="12457" spans="1:4">
      <c r="A12457" s="3"/>
      <c r="D12457" s="3"/>
    </row>
    <row r="12458" spans="1:4">
      <c r="A12458" s="3"/>
      <c r="D12458" s="3"/>
    </row>
    <row r="12459" spans="1:4">
      <c r="A12459" s="3"/>
      <c r="D12459" s="3"/>
    </row>
    <row r="12460" spans="1:4">
      <c r="A12460" s="3"/>
      <c r="D12460" s="3"/>
    </row>
    <row r="12461" spans="1:4">
      <c r="A12461" s="3"/>
      <c r="D12461" s="3"/>
    </row>
    <row r="12462" spans="1:4">
      <c r="A12462" s="3"/>
      <c r="D12462" s="3"/>
    </row>
    <row r="12463" spans="1:4">
      <c r="A12463" s="3"/>
      <c r="D12463" s="3"/>
    </row>
    <row r="12464" spans="1:4">
      <c r="A12464" s="3"/>
      <c r="D12464" s="3"/>
    </row>
    <row r="12465" spans="1:4">
      <c r="A12465" s="3"/>
      <c r="D12465" s="3"/>
    </row>
    <row r="12466" spans="1:4">
      <c r="A12466" s="3"/>
      <c r="D12466" s="3"/>
    </row>
    <row r="12467" spans="1:4">
      <c r="A12467" s="3"/>
      <c r="D12467" s="3"/>
    </row>
    <row r="12468" spans="1:4">
      <c r="A12468" s="3"/>
      <c r="D12468" s="3"/>
    </row>
    <row r="12469" spans="1:4">
      <c r="A12469" s="3"/>
      <c r="D12469" s="3"/>
    </row>
    <row r="12470" spans="1:4">
      <c r="A12470" s="3"/>
      <c r="D12470" s="3"/>
    </row>
    <row r="12471" spans="1:4">
      <c r="A12471" s="3"/>
      <c r="D12471" s="3"/>
    </row>
    <row r="12472" spans="1:4">
      <c r="A12472" s="3"/>
      <c r="D12472" s="3"/>
    </row>
    <row r="12473" spans="1:4">
      <c r="A12473" s="3"/>
      <c r="D12473" s="3"/>
    </row>
    <row r="12474" spans="1:4">
      <c r="A12474" s="3"/>
      <c r="D12474" s="3"/>
    </row>
    <row r="12475" spans="1:4">
      <c r="A12475" s="3"/>
      <c r="D12475" s="3"/>
    </row>
    <row r="12476" spans="1:4">
      <c r="A12476" s="3"/>
      <c r="D12476" s="3"/>
    </row>
    <row r="12477" spans="1:4">
      <c r="A12477" s="3"/>
      <c r="D12477" s="3"/>
    </row>
    <row r="12478" spans="1:4">
      <c r="A12478" s="3"/>
      <c r="D12478" s="3"/>
    </row>
    <row r="12479" spans="1:4">
      <c r="A12479" s="3"/>
      <c r="D12479" s="3"/>
    </row>
    <row r="12480" spans="1:4">
      <c r="A12480" s="3"/>
      <c r="D12480" s="3"/>
    </row>
    <row r="12481" spans="1:4">
      <c r="A12481" s="3"/>
      <c r="D12481" s="3"/>
    </row>
    <row r="12482" spans="1:4">
      <c r="A12482" s="3"/>
      <c r="D12482" s="3"/>
    </row>
    <row r="12483" spans="1:4">
      <c r="A12483" s="3"/>
      <c r="D12483" s="3"/>
    </row>
    <row r="12484" spans="1:4">
      <c r="A12484" s="3"/>
      <c r="D12484" s="3"/>
    </row>
    <row r="12485" spans="1:4">
      <c r="A12485" s="3"/>
      <c r="D12485" s="3"/>
    </row>
    <row r="12486" spans="1:4">
      <c r="A12486" s="3"/>
      <c r="D12486" s="3"/>
    </row>
    <row r="12487" spans="1:4">
      <c r="A12487" s="3"/>
      <c r="D12487" s="3"/>
    </row>
    <row r="12488" spans="1:4">
      <c r="A12488" s="3"/>
      <c r="D12488" s="3"/>
    </row>
    <row r="12489" spans="1:4">
      <c r="A12489" s="3"/>
      <c r="D12489" s="3"/>
    </row>
    <row r="12490" spans="1:4">
      <c r="A12490" s="3"/>
      <c r="D12490" s="3"/>
    </row>
    <row r="12491" spans="1:4">
      <c r="A12491" s="3"/>
      <c r="D12491" s="3"/>
    </row>
    <row r="12492" spans="1:4">
      <c r="A12492" s="3"/>
      <c r="D12492" s="3"/>
    </row>
    <row r="12493" spans="1:4">
      <c r="A12493" s="3"/>
      <c r="D12493" s="3"/>
    </row>
    <row r="12494" spans="1:4">
      <c r="A12494" s="3"/>
      <c r="D12494" s="3"/>
    </row>
    <row r="12495" spans="1:4">
      <c r="A12495" s="3"/>
      <c r="D12495" s="3"/>
    </row>
    <row r="12496" spans="1:4">
      <c r="A12496" s="3"/>
      <c r="D12496" s="3"/>
    </row>
    <row r="12497" spans="1:4">
      <c r="A12497" s="3"/>
      <c r="D12497" s="3"/>
    </row>
    <row r="12498" spans="1:4">
      <c r="A12498" s="3"/>
      <c r="D12498" s="3"/>
    </row>
    <row r="12499" spans="1:4">
      <c r="A12499" s="3"/>
      <c r="D12499" s="3"/>
    </row>
    <row r="12500" spans="1:4">
      <c r="A12500" s="3"/>
      <c r="D12500" s="3"/>
    </row>
    <row r="12501" spans="1:4">
      <c r="A12501" s="3"/>
      <c r="D12501" s="3"/>
    </row>
    <row r="12502" spans="1:4">
      <c r="A12502" s="3"/>
      <c r="D12502" s="3"/>
    </row>
    <row r="12503" spans="1:4">
      <c r="A12503" s="3"/>
      <c r="D12503" s="3"/>
    </row>
    <row r="12504" spans="1:4">
      <c r="A12504" s="3"/>
      <c r="D12504" s="3"/>
    </row>
    <row r="12505" spans="1:4">
      <c r="A12505" s="3"/>
      <c r="D12505" s="3"/>
    </row>
    <row r="12506" spans="1:4">
      <c r="A12506" s="3"/>
      <c r="D12506" s="3"/>
    </row>
    <row r="12507" spans="1:4">
      <c r="A12507" s="3"/>
      <c r="D12507" s="3"/>
    </row>
    <row r="12508" spans="1:4">
      <c r="A12508" s="3"/>
      <c r="D12508" s="3"/>
    </row>
    <row r="12509" spans="1:4">
      <c r="A12509" s="3"/>
      <c r="D12509" s="3"/>
    </row>
    <row r="12510" spans="1:4">
      <c r="A12510" s="3"/>
      <c r="D12510" s="3"/>
    </row>
    <row r="12511" spans="1:4">
      <c r="A12511" s="3"/>
      <c r="D12511" s="3"/>
    </row>
    <row r="12512" spans="1:4">
      <c r="A12512" s="3"/>
      <c r="D12512" s="3"/>
    </row>
    <row r="12513" spans="1:4">
      <c r="A12513" s="3"/>
      <c r="D12513" s="3"/>
    </row>
    <row r="12514" spans="1:4">
      <c r="A12514" s="3"/>
      <c r="D12514" s="3"/>
    </row>
    <row r="12515" spans="1:4">
      <c r="A12515" s="3"/>
      <c r="D12515" s="3"/>
    </row>
    <row r="12516" spans="1:4">
      <c r="A12516" s="3"/>
      <c r="D12516" s="3"/>
    </row>
    <row r="12517" spans="1:4">
      <c r="A12517" s="3"/>
      <c r="D12517" s="3"/>
    </row>
    <row r="12518" spans="1:4">
      <c r="A12518" s="3"/>
      <c r="D12518" s="3"/>
    </row>
    <row r="12519" spans="1:4">
      <c r="A12519" s="3"/>
      <c r="D12519" s="3"/>
    </row>
    <row r="12520" spans="1:4">
      <c r="A12520" s="3"/>
      <c r="D12520" s="3"/>
    </row>
    <row r="12521" spans="1:4">
      <c r="A12521" s="3"/>
      <c r="D12521" s="3"/>
    </row>
    <row r="12522" spans="1:4">
      <c r="A12522" s="3"/>
      <c r="D12522" s="3"/>
    </row>
    <row r="12523" spans="1:4">
      <c r="A12523" s="3"/>
      <c r="D12523" s="3"/>
    </row>
    <row r="12524" spans="1:4">
      <c r="A12524" s="3"/>
      <c r="D12524" s="3"/>
    </row>
    <row r="12525" spans="1:4">
      <c r="A12525" s="3"/>
      <c r="D12525" s="3"/>
    </row>
    <row r="12526" spans="1:4">
      <c r="A12526" s="3"/>
      <c r="D12526" s="3"/>
    </row>
    <row r="12527" spans="1:4">
      <c r="A12527" s="3"/>
      <c r="D12527" s="3"/>
    </row>
    <row r="12528" spans="1:4">
      <c r="A12528" s="3"/>
      <c r="D12528" s="3"/>
    </row>
    <row r="12529" spans="1:4">
      <c r="A12529" s="3"/>
      <c r="D12529" s="3"/>
    </row>
    <row r="12530" spans="1:4">
      <c r="A12530" s="3"/>
      <c r="D12530" s="3"/>
    </row>
    <row r="12531" spans="1:4">
      <c r="A12531" s="3"/>
      <c r="D12531" s="3"/>
    </row>
    <row r="12532" spans="1:4">
      <c r="A12532" s="3"/>
      <c r="D12532" s="3"/>
    </row>
    <row r="12533" spans="1:4">
      <c r="A12533" s="3"/>
      <c r="D12533" s="3"/>
    </row>
    <row r="12534" spans="1:4">
      <c r="A12534" s="3"/>
      <c r="D12534" s="3"/>
    </row>
    <row r="12535" spans="1:4">
      <c r="A12535" s="3"/>
      <c r="D12535" s="3"/>
    </row>
    <row r="12536" spans="1:4">
      <c r="A12536" s="3"/>
      <c r="D12536" s="3"/>
    </row>
    <row r="12537" spans="1:4">
      <c r="A12537" s="3"/>
      <c r="D12537" s="3"/>
    </row>
    <row r="12538" spans="1:4">
      <c r="A12538" s="3"/>
      <c r="D12538" s="3"/>
    </row>
    <row r="12539" spans="1:4">
      <c r="A12539" s="3"/>
      <c r="D12539" s="3"/>
    </row>
    <row r="12540" spans="1:4">
      <c r="A12540" s="3"/>
      <c r="D12540" s="3"/>
    </row>
    <row r="12541" spans="1:4">
      <c r="A12541" s="3"/>
      <c r="D12541" s="3"/>
    </row>
    <row r="12542" spans="1:4">
      <c r="A12542" s="3"/>
      <c r="D12542" s="3"/>
    </row>
    <row r="12543" spans="1:4">
      <c r="A12543" s="3"/>
      <c r="D12543" s="3"/>
    </row>
    <row r="12544" spans="1:4">
      <c r="A12544" s="3"/>
      <c r="D12544" s="3"/>
    </row>
    <row r="12545" spans="1:4">
      <c r="A12545" s="3"/>
      <c r="D12545" s="3"/>
    </row>
    <row r="12546" spans="1:4">
      <c r="A12546" s="3"/>
      <c r="D12546" s="3"/>
    </row>
    <row r="12547" spans="1:4">
      <c r="A12547" s="3"/>
      <c r="D12547" s="3"/>
    </row>
    <row r="12548" spans="1:4">
      <c r="A12548" s="3"/>
      <c r="D12548" s="3"/>
    </row>
    <row r="12549" spans="1:4">
      <c r="A12549" s="3"/>
      <c r="D12549" s="3"/>
    </row>
    <row r="12550" spans="1:4">
      <c r="A12550" s="3"/>
      <c r="D12550" s="3"/>
    </row>
    <row r="12551" spans="1:4">
      <c r="A12551" s="3"/>
      <c r="D12551" s="3"/>
    </row>
    <row r="12552" spans="1:4">
      <c r="A12552" s="3"/>
      <c r="D12552" s="3"/>
    </row>
    <row r="12553" spans="1:4">
      <c r="A12553" s="3"/>
      <c r="D12553" s="3"/>
    </row>
    <row r="12554" spans="1:4">
      <c r="A12554" s="3"/>
      <c r="D12554" s="3"/>
    </row>
    <row r="12555" spans="1:4">
      <c r="A12555" s="3"/>
      <c r="D12555" s="3"/>
    </row>
    <row r="12556" spans="1:4">
      <c r="A12556" s="3"/>
      <c r="D12556" s="3"/>
    </row>
    <row r="12557" spans="1:4">
      <c r="A12557" s="3"/>
      <c r="D12557" s="3"/>
    </row>
    <row r="12558" spans="1:4">
      <c r="A12558" s="3"/>
      <c r="D12558" s="3"/>
    </row>
    <row r="12559" spans="1:4">
      <c r="A12559" s="3"/>
      <c r="D12559" s="3"/>
    </row>
    <row r="12560" spans="1:4">
      <c r="A12560" s="3"/>
      <c r="D12560" s="3"/>
    </row>
    <row r="12561" spans="1:4">
      <c r="A12561" s="3"/>
      <c r="D12561" s="3"/>
    </row>
    <row r="12562" spans="1:4">
      <c r="A12562" s="3"/>
      <c r="D12562" s="3"/>
    </row>
    <row r="12563" spans="1:4">
      <c r="A12563" s="3"/>
      <c r="D12563" s="3"/>
    </row>
    <row r="12564" spans="1:4">
      <c r="A12564" s="3"/>
      <c r="D12564" s="3"/>
    </row>
    <row r="12565" spans="1:4">
      <c r="A12565" s="3"/>
      <c r="D12565" s="3"/>
    </row>
    <row r="12566" spans="1:4">
      <c r="A12566" s="3"/>
      <c r="D12566" s="3"/>
    </row>
    <row r="12567" spans="1:4">
      <c r="A12567" s="3"/>
      <c r="D12567" s="3"/>
    </row>
    <row r="12568" spans="1:4">
      <c r="A12568" s="3"/>
      <c r="D12568" s="3"/>
    </row>
    <row r="12569" spans="1:4">
      <c r="A12569" s="3"/>
      <c r="D12569" s="3"/>
    </row>
    <row r="12570" spans="1:4">
      <c r="A12570" s="3"/>
      <c r="D12570" s="3"/>
    </row>
    <row r="12571" spans="1:4">
      <c r="A12571" s="3"/>
      <c r="D12571" s="3"/>
    </row>
    <row r="12572" spans="1:4">
      <c r="A12572" s="3"/>
      <c r="D12572" s="3"/>
    </row>
    <row r="12573" spans="1:4">
      <c r="A12573" s="3"/>
      <c r="D12573" s="3"/>
    </row>
    <row r="12574" spans="1:4">
      <c r="A12574" s="3"/>
      <c r="D12574" s="3"/>
    </row>
    <row r="12575" spans="1:4">
      <c r="A12575" s="3"/>
      <c r="D12575" s="3"/>
    </row>
    <row r="12576" spans="1:4">
      <c r="A12576" s="3"/>
      <c r="D12576" s="3"/>
    </row>
    <row r="12577" spans="1:4">
      <c r="A12577" s="3"/>
      <c r="D12577" s="3"/>
    </row>
    <row r="12578" spans="1:4">
      <c r="A12578" s="3"/>
      <c r="D12578" s="3"/>
    </row>
    <row r="12579" spans="1:4">
      <c r="A12579" s="3"/>
      <c r="D12579" s="3"/>
    </row>
    <row r="12580" spans="1:4">
      <c r="A12580" s="3"/>
      <c r="D12580" s="3"/>
    </row>
    <row r="12581" spans="1:4">
      <c r="A12581" s="3"/>
      <c r="D12581" s="3"/>
    </row>
    <row r="12582" spans="1:4">
      <c r="A12582" s="3"/>
      <c r="D12582" s="3"/>
    </row>
    <row r="12583" spans="1:4">
      <c r="A12583" s="3"/>
      <c r="D12583" s="3"/>
    </row>
    <row r="12584" spans="1:4">
      <c r="A12584" s="3"/>
      <c r="D12584" s="3"/>
    </row>
    <row r="12585" spans="1:4">
      <c r="A12585" s="3"/>
      <c r="D12585" s="3"/>
    </row>
    <row r="12586" spans="1:4">
      <c r="A12586" s="3"/>
      <c r="D12586" s="3"/>
    </row>
    <row r="12587" spans="1:4">
      <c r="A12587" s="3"/>
      <c r="D12587" s="3"/>
    </row>
    <row r="12588" spans="1:4">
      <c r="A12588" s="3"/>
      <c r="D12588" s="3"/>
    </row>
    <row r="12589" spans="1:4">
      <c r="A12589" s="3"/>
      <c r="D12589" s="3"/>
    </row>
    <row r="12590" spans="1:4">
      <c r="A12590" s="3"/>
      <c r="D12590" s="3"/>
    </row>
    <row r="12591" spans="1:4">
      <c r="A12591" s="3"/>
      <c r="D12591" s="3"/>
    </row>
    <row r="12592" spans="1:4">
      <c r="A12592" s="3"/>
      <c r="D12592" s="3"/>
    </row>
    <row r="12593" spans="1:4">
      <c r="A12593" s="3"/>
      <c r="D12593" s="3"/>
    </row>
    <row r="12594" spans="1:4">
      <c r="A12594" s="3"/>
      <c r="D12594" s="3"/>
    </row>
    <row r="12595" spans="1:4">
      <c r="A12595" s="3"/>
      <c r="D12595" s="3"/>
    </row>
    <row r="12596" spans="1:4">
      <c r="A12596" s="3"/>
      <c r="D12596" s="3"/>
    </row>
    <row r="12597" spans="1:4">
      <c r="A12597" s="3"/>
      <c r="D12597" s="3"/>
    </row>
    <row r="12598" spans="1:4">
      <c r="A12598" s="3"/>
      <c r="D12598" s="3"/>
    </row>
    <row r="12599" spans="1:4">
      <c r="A12599" s="3"/>
      <c r="D12599" s="3"/>
    </row>
    <row r="12600" spans="1:4">
      <c r="A12600" s="3"/>
      <c r="D12600" s="3"/>
    </row>
    <row r="12601" spans="1:4">
      <c r="A12601" s="3"/>
      <c r="D12601" s="3"/>
    </row>
    <row r="12602" spans="1:4">
      <c r="A12602" s="3"/>
      <c r="D12602" s="3"/>
    </row>
    <row r="12603" spans="1:4">
      <c r="A12603" s="3"/>
      <c r="D12603" s="3"/>
    </row>
    <row r="12604" spans="1:4">
      <c r="A12604" s="3"/>
      <c r="D12604" s="3"/>
    </row>
    <row r="12605" spans="1:4">
      <c r="A12605" s="3"/>
      <c r="D12605" s="3"/>
    </row>
    <row r="12606" spans="1:4">
      <c r="A12606" s="3"/>
      <c r="D12606" s="3"/>
    </row>
    <row r="12607" spans="1:4">
      <c r="A12607" s="3"/>
      <c r="D12607" s="3"/>
    </row>
    <row r="12608" spans="1:4">
      <c r="A12608" s="3"/>
      <c r="D12608" s="3"/>
    </row>
    <row r="12609" spans="1:4">
      <c r="A12609" s="3"/>
      <c r="D12609" s="3"/>
    </row>
    <row r="12610" spans="1:4">
      <c r="A12610" s="3"/>
      <c r="D12610" s="3"/>
    </row>
    <row r="12611" spans="1:4">
      <c r="A12611" s="3"/>
      <c r="D12611" s="3"/>
    </row>
    <row r="12612" spans="1:4">
      <c r="A12612" s="3"/>
      <c r="D12612" s="3"/>
    </row>
    <row r="12613" spans="1:4">
      <c r="A12613" s="3"/>
      <c r="D12613" s="3"/>
    </row>
    <row r="12614" spans="1:4">
      <c r="A12614" s="3"/>
      <c r="D12614" s="3"/>
    </row>
    <row r="12615" spans="1:4">
      <c r="A12615" s="3"/>
      <c r="D12615" s="3"/>
    </row>
    <row r="12616" spans="1:4">
      <c r="A12616" s="3"/>
      <c r="D12616" s="3"/>
    </row>
    <row r="12617" spans="1:4">
      <c r="A12617" s="3"/>
      <c r="D12617" s="3"/>
    </row>
    <row r="12618" spans="1:4">
      <c r="A12618" s="3"/>
      <c r="D12618" s="3"/>
    </row>
    <row r="12619" spans="1:4">
      <c r="A12619" s="3"/>
      <c r="D12619" s="3"/>
    </row>
    <row r="12620" spans="1:4">
      <c r="A12620" s="3"/>
      <c r="D12620" s="3"/>
    </row>
    <row r="12621" spans="1:4">
      <c r="A12621" s="3"/>
      <c r="D12621" s="3"/>
    </row>
    <row r="12622" spans="1:4">
      <c r="A12622" s="3"/>
      <c r="D12622" s="3"/>
    </row>
    <row r="12623" spans="1:4">
      <c r="A12623" s="3"/>
      <c r="D12623" s="3"/>
    </row>
    <row r="12624" spans="1:4">
      <c r="A12624" s="3"/>
      <c r="D12624" s="3"/>
    </row>
    <row r="12625" spans="1:4">
      <c r="A12625" s="3"/>
      <c r="D12625" s="3"/>
    </row>
    <row r="12626" spans="1:4">
      <c r="A12626" s="3"/>
      <c r="D12626" s="3"/>
    </row>
    <row r="12627" spans="1:4">
      <c r="A12627" s="3"/>
      <c r="D12627" s="3"/>
    </row>
    <row r="12628" spans="1:4">
      <c r="A12628" s="3"/>
      <c r="D12628" s="3"/>
    </row>
    <row r="12629" spans="1:4">
      <c r="A12629" s="3"/>
      <c r="D12629" s="3"/>
    </row>
    <row r="12630" spans="1:4">
      <c r="A12630" s="3"/>
      <c r="D12630" s="3"/>
    </row>
    <row r="12631" spans="1:4">
      <c r="A12631" s="3"/>
      <c r="D12631" s="3"/>
    </row>
    <row r="12632" spans="1:4">
      <c r="A12632" s="3"/>
      <c r="D12632" s="3"/>
    </row>
    <row r="12633" spans="1:4">
      <c r="A12633" s="3"/>
      <c r="D12633" s="3"/>
    </row>
    <row r="12634" spans="1:4">
      <c r="A12634" s="3"/>
      <c r="D12634" s="3"/>
    </row>
    <row r="12635" spans="1:4">
      <c r="A12635" s="3"/>
      <c r="D12635" s="3"/>
    </row>
    <row r="12636" spans="1:4">
      <c r="A12636" s="3"/>
      <c r="D12636" s="3"/>
    </row>
    <row r="12637" spans="1:4">
      <c r="A12637" s="3"/>
      <c r="D12637" s="3"/>
    </row>
    <row r="12638" spans="1:4">
      <c r="A12638" s="3"/>
      <c r="D12638" s="3"/>
    </row>
    <row r="12639" spans="1:4">
      <c r="A12639" s="3"/>
      <c r="D12639" s="3"/>
    </row>
    <row r="12640" spans="1:4">
      <c r="A12640" s="3"/>
      <c r="D12640" s="3"/>
    </row>
    <row r="12641" spans="1:4">
      <c r="A12641" s="3"/>
      <c r="D12641" s="3"/>
    </row>
    <row r="12642" spans="1:4">
      <c r="A12642" s="3"/>
      <c r="D12642" s="3"/>
    </row>
    <row r="12643" spans="1:4">
      <c r="A12643" s="3"/>
      <c r="D12643" s="3"/>
    </row>
    <row r="12644" spans="1:4">
      <c r="A12644" s="3"/>
      <c r="D12644" s="3"/>
    </row>
    <row r="12645" spans="1:4">
      <c r="A12645" s="3"/>
      <c r="D12645" s="3"/>
    </row>
    <row r="12646" spans="1:4">
      <c r="A12646" s="3"/>
      <c r="D12646" s="3"/>
    </row>
    <row r="12647" spans="1:4">
      <c r="A12647" s="3"/>
      <c r="D12647" s="3"/>
    </row>
    <row r="12648" spans="1:4">
      <c r="A12648" s="3"/>
      <c r="D12648" s="3"/>
    </row>
    <row r="12649" spans="1:4">
      <c r="A12649" s="3"/>
      <c r="D12649" s="3"/>
    </row>
    <row r="12650" spans="1:4">
      <c r="A12650" s="3"/>
      <c r="D12650" s="3"/>
    </row>
    <row r="12651" spans="1:4">
      <c r="A12651" s="3"/>
      <c r="D12651" s="3"/>
    </row>
    <row r="12652" spans="1:4">
      <c r="A12652" s="3"/>
      <c r="D12652" s="3"/>
    </row>
    <row r="12653" spans="1:4">
      <c r="A12653" s="3"/>
      <c r="D12653" s="3"/>
    </row>
    <row r="12654" spans="1:4">
      <c r="A12654" s="3"/>
      <c r="D12654" s="3"/>
    </row>
    <row r="12655" spans="1:4">
      <c r="A12655" s="3"/>
      <c r="D12655" s="3"/>
    </row>
    <row r="12656" spans="1:4">
      <c r="A12656" s="3"/>
      <c r="D12656" s="3"/>
    </row>
    <row r="12657" spans="1:4">
      <c r="A12657" s="3"/>
      <c r="D12657" s="3"/>
    </row>
    <row r="12658" spans="1:4">
      <c r="A12658" s="3"/>
      <c r="D12658" s="3"/>
    </row>
    <row r="12659" spans="1:4">
      <c r="A12659" s="3"/>
      <c r="D12659" s="3"/>
    </row>
    <row r="12660" spans="1:4">
      <c r="A12660" s="3"/>
      <c r="D12660" s="3"/>
    </row>
    <row r="12661" spans="1:4">
      <c r="A12661" s="3"/>
      <c r="D12661" s="3"/>
    </row>
    <row r="12662" spans="1:4">
      <c r="A12662" s="3"/>
      <c r="D12662" s="3"/>
    </row>
    <row r="12663" spans="1:4">
      <c r="A12663" s="3"/>
      <c r="D12663" s="3"/>
    </row>
    <row r="12664" spans="1:4">
      <c r="A12664" s="3"/>
      <c r="D12664" s="3"/>
    </row>
    <row r="12665" spans="1:4">
      <c r="A12665" s="3"/>
      <c r="D12665" s="3"/>
    </row>
    <row r="12666" spans="1:4">
      <c r="A12666" s="3"/>
      <c r="D12666" s="3"/>
    </row>
    <row r="12667" spans="1:4">
      <c r="A12667" s="3"/>
      <c r="D12667" s="3"/>
    </row>
    <row r="12668" spans="1:4">
      <c r="A12668" s="3"/>
      <c r="D12668" s="3"/>
    </row>
    <row r="12669" spans="1:4">
      <c r="A12669" s="3"/>
      <c r="D12669" s="3"/>
    </row>
    <row r="12670" spans="1:4">
      <c r="A12670" s="3"/>
      <c r="D12670" s="3"/>
    </row>
    <row r="12671" spans="1:4">
      <c r="A12671" s="3"/>
      <c r="D12671" s="3"/>
    </row>
    <row r="12672" spans="1:4">
      <c r="A12672" s="3"/>
      <c r="D12672" s="3"/>
    </row>
    <row r="12673" spans="1:4">
      <c r="A12673" s="3"/>
      <c r="D12673" s="3"/>
    </row>
    <row r="12674" spans="1:4">
      <c r="A12674" s="3"/>
      <c r="D12674" s="3"/>
    </row>
    <row r="12675" spans="1:4">
      <c r="A12675" s="3"/>
      <c r="D12675" s="3"/>
    </row>
    <row r="12676" spans="1:4">
      <c r="A12676" s="3"/>
      <c r="D12676" s="3"/>
    </row>
    <row r="12677" spans="1:4">
      <c r="A12677" s="3"/>
      <c r="D12677" s="3"/>
    </row>
    <row r="12678" spans="1:4">
      <c r="A12678" s="3"/>
      <c r="D12678" s="3"/>
    </row>
    <row r="12679" spans="1:4">
      <c r="A12679" s="3"/>
      <c r="D12679" s="3"/>
    </row>
    <row r="12680" spans="1:4">
      <c r="A12680" s="3"/>
      <c r="D12680" s="3"/>
    </row>
    <row r="12681" spans="1:4">
      <c r="A12681" s="3"/>
      <c r="D12681" s="3"/>
    </row>
    <row r="12682" spans="1:4">
      <c r="A12682" s="3"/>
      <c r="D12682" s="3"/>
    </row>
    <row r="12683" spans="1:4">
      <c r="A12683" s="3"/>
      <c r="D12683" s="3"/>
    </row>
    <row r="12684" spans="1:4">
      <c r="A12684" s="3"/>
      <c r="D12684" s="3"/>
    </row>
    <row r="12685" spans="1:4">
      <c r="A12685" s="3"/>
      <c r="D12685" s="3"/>
    </row>
    <row r="12686" spans="1:4">
      <c r="A12686" s="3"/>
      <c r="D12686" s="3"/>
    </row>
    <row r="12687" spans="1:4">
      <c r="A12687" s="3"/>
      <c r="D12687" s="3"/>
    </row>
    <row r="12688" spans="1:4">
      <c r="A12688" s="3"/>
      <c r="D12688" s="3"/>
    </row>
    <row r="12689" spans="1:4">
      <c r="A12689" s="3"/>
      <c r="D12689" s="3"/>
    </row>
    <row r="12690" spans="1:4">
      <c r="A12690" s="3"/>
      <c r="D12690" s="3"/>
    </row>
    <row r="12691" spans="1:4">
      <c r="A12691" s="3"/>
      <c r="D12691" s="3"/>
    </row>
    <row r="12692" spans="1:4">
      <c r="A12692" s="3"/>
      <c r="D12692" s="3"/>
    </row>
    <row r="12693" spans="1:4">
      <c r="A12693" s="3"/>
      <c r="D12693" s="3"/>
    </row>
    <row r="12694" spans="1:4">
      <c r="A12694" s="3"/>
      <c r="D12694" s="3"/>
    </row>
    <row r="12695" spans="1:4">
      <c r="A12695" s="3"/>
      <c r="D12695" s="3"/>
    </row>
    <row r="12696" spans="1:4">
      <c r="A12696" s="3"/>
      <c r="D12696" s="3"/>
    </row>
    <row r="12697" spans="1:4">
      <c r="A12697" s="3"/>
      <c r="D12697" s="3"/>
    </row>
    <row r="12698" spans="1:4">
      <c r="A12698" s="3"/>
      <c r="D12698" s="3"/>
    </row>
    <row r="12699" spans="1:4">
      <c r="A12699" s="3"/>
      <c r="D12699" s="3"/>
    </row>
    <row r="12700" spans="1:4">
      <c r="A12700" s="3"/>
      <c r="D12700" s="3"/>
    </row>
    <row r="12701" spans="1:4">
      <c r="A12701" s="3"/>
      <c r="D12701" s="3"/>
    </row>
    <row r="12702" spans="1:4">
      <c r="A12702" s="3"/>
      <c r="D12702" s="3"/>
    </row>
    <row r="12703" spans="1:4">
      <c r="A12703" s="3"/>
      <c r="D12703" s="3"/>
    </row>
    <row r="12704" spans="1:4">
      <c r="A12704" s="3"/>
      <c r="D12704" s="3"/>
    </row>
    <row r="12705" spans="1:4">
      <c r="A12705" s="3"/>
      <c r="D12705" s="3"/>
    </row>
    <row r="12706" spans="1:4">
      <c r="A12706" s="3"/>
      <c r="D12706" s="3"/>
    </row>
    <row r="12707" spans="1:4">
      <c r="A12707" s="3"/>
      <c r="D12707" s="3"/>
    </row>
    <row r="12708" spans="1:4">
      <c r="A12708" s="3"/>
      <c r="D12708" s="3"/>
    </row>
    <row r="12709" spans="1:4">
      <c r="A12709" s="3"/>
      <c r="D12709" s="3"/>
    </row>
    <row r="12710" spans="1:4">
      <c r="A12710" s="3"/>
      <c r="D12710" s="3"/>
    </row>
    <row r="12711" spans="1:4">
      <c r="A12711" s="3"/>
      <c r="D12711" s="3"/>
    </row>
    <row r="12712" spans="1:4">
      <c r="A12712" s="3"/>
      <c r="D12712" s="3"/>
    </row>
    <row r="12713" spans="1:4">
      <c r="A12713" s="3"/>
      <c r="D12713" s="3"/>
    </row>
    <row r="12714" spans="1:4">
      <c r="A12714" s="3"/>
      <c r="D12714" s="3"/>
    </row>
    <row r="12715" spans="1:4">
      <c r="A12715" s="3"/>
      <c r="D12715" s="3"/>
    </row>
    <row r="12716" spans="1:4">
      <c r="A12716" s="3"/>
      <c r="D12716" s="3"/>
    </row>
    <row r="12717" spans="1:4">
      <c r="A12717" s="3"/>
      <c r="D12717" s="3"/>
    </row>
    <row r="12718" spans="1:4">
      <c r="A12718" s="3"/>
      <c r="D12718" s="3"/>
    </row>
    <row r="12719" spans="1:4">
      <c r="A12719" s="3"/>
      <c r="D12719" s="3"/>
    </row>
    <row r="12720" spans="1:4">
      <c r="A12720" s="3"/>
      <c r="D12720" s="3"/>
    </row>
    <row r="12721" spans="1:4">
      <c r="A12721" s="3"/>
      <c r="D12721" s="3"/>
    </row>
    <row r="12722" spans="1:4">
      <c r="A12722" s="3"/>
      <c r="D12722" s="3"/>
    </row>
    <row r="12723" spans="1:4">
      <c r="A12723" s="3"/>
      <c r="D12723" s="3"/>
    </row>
    <row r="12724" spans="1:4">
      <c r="A12724" s="3"/>
      <c r="D12724" s="3"/>
    </row>
    <row r="12725" spans="1:4">
      <c r="A12725" s="3"/>
      <c r="D12725" s="3"/>
    </row>
    <row r="12726" spans="1:4">
      <c r="A12726" s="3"/>
      <c r="D12726" s="3"/>
    </row>
    <row r="12727" spans="1:4">
      <c r="A12727" s="3"/>
      <c r="D12727" s="3"/>
    </row>
    <row r="12728" spans="1:4">
      <c r="A12728" s="3"/>
      <c r="D12728" s="3"/>
    </row>
    <row r="12729" spans="1:4">
      <c r="A12729" s="3"/>
      <c r="D12729" s="3"/>
    </row>
    <row r="12730" spans="1:4">
      <c r="A12730" s="3"/>
      <c r="D12730" s="3"/>
    </row>
    <row r="12731" spans="1:4">
      <c r="A12731" s="3"/>
      <c r="D12731" s="3"/>
    </row>
    <row r="12732" spans="1:4">
      <c r="A12732" s="3"/>
      <c r="D12732" s="3"/>
    </row>
    <row r="12733" spans="1:4">
      <c r="A12733" s="3"/>
      <c r="D12733" s="3"/>
    </row>
    <row r="12734" spans="1:4">
      <c r="A12734" s="3"/>
      <c r="D12734" s="3"/>
    </row>
    <row r="12735" spans="1:4">
      <c r="A12735" s="3"/>
      <c r="D12735" s="3"/>
    </row>
    <row r="12736" spans="1:4">
      <c r="A12736" s="3"/>
      <c r="D12736" s="3"/>
    </row>
    <row r="12737" spans="1:4">
      <c r="A12737" s="3"/>
      <c r="D12737" s="3"/>
    </row>
    <row r="12738" spans="1:4">
      <c r="A12738" s="3"/>
      <c r="D12738" s="3"/>
    </row>
    <row r="12739" spans="1:4">
      <c r="A12739" s="3"/>
      <c r="D12739" s="3"/>
    </row>
    <row r="12740" spans="1:4">
      <c r="A12740" s="3"/>
      <c r="D12740" s="3"/>
    </row>
    <row r="12741" spans="1:4">
      <c r="A12741" s="3"/>
      <c r="D12741" s="3"/>
    </row>
    <row r="12742" spans="1:4">
      <c r="A12742" s="3"/>
      <c r="D12742" s="3"/>
    </row>
    <row r="12743" spans="1:4">
      <c r="A12743" s="3"/>
      <c r="D12743" s="3"/>
    </row>
    <row r="12744" spans="1:4">
      <c r="A12744" s="3"/>
      <c r="D12744" s="3"/>
    </row>
    <row r="12745" spans="1:4">
      <c r="A12745" s="3"/>
      <c r="D12745" s="3"/>
    </row>
    <row r="12746" spans="1:4">
      <c r="A12746" s="3"/>
      <c r="D12746" s="3"/>
    </row>
    <row r="12747" spans="1:4">
      <c r="A12747" s="3"/>
      <c r="D12747" s="3"/>
    </row>
    <row r="12748" spans="1:4">
      <c r="A12748" s="3"/>
      <c r="D12748" s="3"/>
    </row>
    <row r="12749" spans="1:4">
      <c r="A12749" s="3"/>
      <c r="D12749" s="3"/>
    </row>
    <row r="12750" spans="1:4">
      <c r="A12750" s="3"/>
      <c r="D12750" s="3"/>
    </row>
    <row r="12751" spans="1:4">
      <c r="A12751" s="3"/>
      <c r="D12751" s="3"/>
    </row>
    <row r="12752" spans="1:4">
      <c r="A12752" s="3"/>
      <c r="D12752" s="3"/>
    </row>
    <row r="12753" spans="1:4">
      <c r="A12753" s="3"/>
      <c r="D12753" s="3"/>
    </row>
    <row r="12754" spans="1:4">
      <c r="A12754" s="3"/>
      <c r="D12754" s="3"/>
    </row>
    <row r="12755" spans="1:4">
      <c r="A12755" s="3"/>
      <c r="D12755" s="3"/>
    </row>
    <row r="12756" spans="1:4">
      <c r="A12756" s="3"/>
      <c r="D12756" s="3"/>
    </row>
    <row r="12757" spans="1:4">
      <c r="A12757" s="3"/>
      <c r="D12757" s="3"/>
    </row>
    <row r="12758" spans="1:4">
      <c r="A12758" s="3"/>
      <c r="D12758" s="3"/>
    </row>
    <row r="12759" spans="1:4">
      <c r="A12759" s="3"/>
      <c r="D12759" s="3"/>
    </row>
    <row r="12760" spans="1:4">
      <c r="A12760" s="3"/>
      <c r="D12760" s="3"/>
    </row>
    <row r="12761" spans="1:4">
      <c r="A12761" s="3"/>
      <c r="D12761" s="3"/>
    </row>
    <row r="12762" spans="1:4">
      <c r="A12762" s="3"/>
      <c r="D12762" s="3"/>
    </row>
    <row r="12763" spans="1:4">
      <c r="A12763" s="3"/>
      <c r="D12763" s="3"/>
    </row>
    <row r="12764" spans="1:4">
      <c r="A12764" s="3"/>
      <c r="D12764" s="3"/>
    </row>
    <row r="12765" spans="1:4">
      <c r="A12765" s="3"/>
      <c r="D12765" s="3"/>
    </row>
    <row r="12766" spans="1:4">
      <c r="A12766" s="3"/>
      <c r="D12766" s="3"/>
    </row>
    <row r="12767" spans="1:4">
      <c r="A12767" s="3"/>
      <c r="D12767" s="3"/>
    </row>
    <row r="12768" spans="1:4">
      <c r="A12768" s="3"/>
      <c r="D12768" s="3"/>
    </row>
    <row r="12769" spans="1:4">
      <c r="A12769" s="3"/>
      <c r="D12769" s="3"/>
    </row>
    <row r="12770" spans="1:4">
      <c r="A12770" s="3"/>
      <c r="D12770" s="3"/>
    </row>
    <row r="12771" spans="1:4">
      <c r="A12771" s="3"/>
      <c r="D12771" s="3"/>
    </row>
    <row r="12772" spans="1:4">
      <c r="A12772" s="3"/>
      <c r="D12772" s="3"/>
    </row>
    <row r="12773" spans="1:4">
      <c r="A12773" s="3"/>
      <c r="D12773" s="3"/>
    </row>
    <row r="12774" spans="1:4">
      <c r="A12774" s="3"/>
      <c r="D12774" s="3"/>
    </row>
    <row r="12775" spans="1:4">
      <c r="A12775" s="3"/>
      <c r="D12775" s="3"/>
    </row>
    <row r="12776" spans="1:4">
      <c r="A12776" s="3"/>
      <c r="D12776" s="3"/>
    </row>
    <row r="12777" spans="1:4">
      <c r="A12777" s="3"/>
      <c r="D12777" s="3"/>
    </row>
    <row r="12778" spans="1:4">
      <c r="A12778" s="3"/>
      <c r="D12778" s="3"/>
    </row>
    <row r="12779" spans="1:4">
      <c r="A12779" s="3"/>
      <c r="D12779" s="3"/>
    </row>
    <row r="12780" spans="1:4">
      <c r="A12780" s="3"/>
      <c r="D12780" s="3"/>
    </row>
    <row r="12781" spans="1:4">
      <c r="A12781" s="3"/>
      <c r="D12781" s="3"/>
    </row>
    <row r="12782" spans="1:4">
      <c r="A12782" s="3"/>
      <c r="D12782" s="3"/>
    </row>
    <row r="12783" spans="1:4">
      <c r="A12783" s="3"/>
      <c r="D12783" s="3"/>
    </row>
    <row r="12784" spans="1:4">
      <c r="A12784" s="3"/>
      <c r="D12784" s="3"/>
    </row>
    <row r="12785" spans="1:4">
      <c r="A12785" s="3"/>
      <c r="D12785" s="3"/>
    </row>
    <row r="12786" spans="1:4">
      <c r="A12786" s="3"/>
      <c r="D12786" s="3"/>
    </row>
    <row r="12787" spans="1:4">
      <c r="A12787" s="3"/>
      <c r="D12787" s="3"/>
    </row>
    <row r="12788" spans="1:4">
      <c r="A12788" s="3"/>
      <c r="D12788" s="3"/>
    </row>
    <row r="12789" spans="1:4">
      <c r="A12789" s="3"/>
      <c r="D12789" s="3"/>
    </row>
    <row r="12790" spans="1:4">
      <c r="A12790" s="3"/>
      <c r="D12790" s="3"/>
    </row>
    <row r="12791" spans="1:4">
      <c r="A12791" s="3"/>
      <c r="D12791" s="3"/>
    </row>
    <row r="12792" spans="1:4">
      <c r="A12792" s="3"/>
      <c r="D12792" s="3"/>
    </row>
    <row r="12793" spans="1:4">
      <c r="A12793" s="3"/>
      <c r="D12793" s="3"/>
    </row>
    <row r="12794" spans="1:4">
      <c r="A12794" s="3"/>
      <c r="D12794" s="3"/>
    </row>
    <row r="12795" spans="1:4">
      <c r="A12795" s="3"/>
      <c r="D12795" s="3"/>
    </row>
    <row r="12796" spans="1:4">
      <c r="A12796" s="3"/>
      <c r="D12796" s="3"/>
    </row>
    <row r="12797" spans="1:4">
      <c r="A12797" s="3"/>
      <c r="D12797" s="3"/>
    </row>
    <row r="12798" spans="1:4">
      <c r="A12798" s="3"/>
      <c r="D12798" s="3"/>
    </row>
    <row r="12799" spans="1:4">
      <c r="A12799" s="3"/>
      <c r="D12799" s="3"/>
    </row>
    <row r="12800" spans="1:4">
      <c r="A12800" s="3"/>
      <c r="D12800" s="3"/>
    </row>
    <row r="12801" spans="1:4">
      <c r="A12801" s="3"/>
      <c r="D12801" s="3"/>
    </row>
    <row r="12802" spans="1:4">
      <c r="A12802" s="3"/>
      <c r="D12802" s="3"/>
    </row>
    <row r="12803" spans="1:4">
      <c r="A12803" s="3"/>
      <c r="D12803" s="3"/>
    </row>
    <row r="12804" spans="1:4">
      <c r="A12804" s="3"/>
      <c r="D12804" s="3"/>
    </row>
    <row r="12805" spans="1:4">
      <c r="A12805" s="3"/>
      <c r="D12805" s="3"/>
    </row>
    <row r="12806" spans="1:4">
      <c r="A12806" s="3"/>
      <c r="D12806" s="3"/>
    </row>
    <row r="12807" spans="1:4">
      <c r="A12807" s="3"/>
      <c r="D12807" s="3"/>
    </row>
    <row r="12808" spans="1:4">
      <c r="A12808" s="3"/>
      <c r="D12808" s="3"/>
    </row>
    <row r="12809" spans="1:4">
      <c r="A12809" s="3"/>
      <c r="D12809" s="3"/>
    </row>
    <row r="12810" spans="1:4">
      <c r="A12810" s="3"/>
      <c r="D12810" s="3"/>
    </row>
    <row r="12811" spans="1:4">
      <c r="A12811" s="3"/>
      <c r="D12811" s="3"/>
    </row>
    <row r="12812" spans="1:4">
      <c r="A12812" s="3"/>
      <c r="D12812" s="3"/>
    </row>
    <row r="12813" spans="1:4">
      <c r="A12813" s="3"/>
      <c r="D12813" s="3"/>
    </row>
    <row r="12814" spans="1:4">
      <c r="A12814" s="3"/>
      <c r="D12814" s="3"/>
    </row>
    <row r="12815" spans="1:4">
      <c r="A12815" s="3"/>
      <c r="D12815" s="3"/>
    </row>
    <row r="12816" spans="1:4">
      <c r="A12816" s="3"/>
      <c r="D12816" s="3"/>
    </row>
    <row r="12817" spans="1:4">
      <c r="A12817" s="3"/>
      <c r="D12817" s="3"/>
    </row>
    <row r="12818" spans="1:4">
      <c r="A12818" s="3"/>
      <c r="D12818" s="3"/>
    </row>
    <row r="12819" spans="1:4">
      <c r="A12819" s="3"/>
      <c r="D12819" s="3"/>
    </row>
    <row r="12820" spans="1:4">
      <c r="A12820" s="3"/>
      <c r="D12820" s="3"/>
    </row>
    <row r="12821" spans="1:4">
      <c r="A12821" s="3"/>
      <c r="D12821" s="3"/>
    </row>
    <row r="12822" spans="1:4">
      <c r="A12822" s="3"/>
      <c r="D12822" s="3"/>
    </row>
    <row r="12823" spans="1:4">
      <c r="A12823" s="3"/>
      <c r="D12823" s="3"/>
    </row>
    <row r="12824" spans="1:4">
      <c r="A12824" s="3"/>
      <c r="D12824" s="3"/>
    </row>
    <row r="12825" spans="1:4">
      <c r="A12825" s="3"/>
      <c r="D12825" s="3"/>
    </row>
    <row r="12826" spans="1:4">
      <c r="A12826" s="3"/>
      <c r="D12826" s="3"/>
    </row>
    <row r="12827" spans="1:4">
      <c r="A12827" s="3"/>
      <c r="D12827" s="3"/>
    </row>
    <row r="12828" spans="1:4">
      <c r="A12828" s="3"/>
      <c r="D12828" s="3"/>
    </row>
    <row r="12829" spans="1:4">
      <c r="A12829" s="3"/>
      <c r="D12829" s="3"/>
    </row>
    <row r="12830" spans="1:4">
      <c r="A12830" s="3"/>
      <c r="D12830" s="3"/>
    </row>
    <row r="12831" spans="1:4">
      <c r="A12831" s="3"/>
      <c r="D12831" s="3"/>
    </row>
    <row r="12832" spans="1:4">
      <c r="A12832" s="3"/>
      <c r="D12832" s="3"/>
    </row>
    <row r="12833" spans="1:4">
      <c r="A12833" s="3"/>
      <c r="D12833" s="3"/>
    </row>
    <row r="12834" spans="1:4">
      <c r="A12834" s="3"/>
      <c r="D12834" s="3"/>
    </row>
    <row r="12835" spans="1:4">
      <c r="A12835" s="3"/>
      <c r="D12835" s="3"/>
    </row>
    <row r="12836" spans="1:4">
      <c r="A12836" s="3"/>
      <c r="D12836" s="3"/>
    </row>
    <row r="12837" spans="1:4">
      <c r="A12837" s="3"/>
      <c r="D12837" s="3"/>
    </row>
    <row r="12838" spans="1:4">
      <c r="A12838" s="3"/>
      <c r="D12838" s="3"/>
    </row>
    <row r="12839" spans="1:4">
      <c r="A12839" s="3"/>
      <c r="D12839" s="3"/>
    </row>
    <row r="12840" spans="1:4">
      <c r="A12840" s="3"/>
      <c r="D12840" s="3"/>
    </row>
    <row r="12841" spans="1:4">
      <c r="A12841" s="3"/>
      <c r="D12841" s="3"/>
    </row>
    <row r="12842" spans="1:4">
      <c r="A12842" s="3"/>
      <c r="D12842" s="3"/>
    </row>
    <row r="12843" spans="1:4">
      <c r="A12843" s="3"/>
      <c r="D12843" s="3"/>
    </row>
    <row r="12844" spans="1:4">
      <c r="A12844" s="3"/>
      <c r="D12844" s="3"/>
    </row>
    <row r="12845" spans="1:4">
      <c r="A12845" s="3"/>
      <c r="D12845" s="3"/>
    </row>
    <row r="12846" spans="1:4">
      <c r="A12846" s="3"/>
      <c r="D12846" s="3"/>
    </row>
    <row r="12847" spans="1:4">
      <c r="A12847" s="3"/>
      <c r="D12847" s="3"/>
    </row>
    <row r="12848" spans="1:4">
      <c r="A12848" s="3"/>
      <c r="D12848" s="3"/>
    </row>
    <row r="12849" spans="1:4">
      <c r="A12849" s="3"/>
      <c r="D12849" s="3"/>
    </row>
    <row r="12850" spans="1:4">
      <c r="A12850" s="3"/>
      <c r="D12850" s="3"/>
    </row>
    <row r="12851" spans="1:4">
      <c r="A12851" s="3"/>
      <c r="D12851" s="3"/>
    </row>
    <row r="12852" spans="1:4">
      <c r="A12852" s="3"/>
      <c r="D12852" s="3"/>
    </row>
    <row r="12853" spans="1:4">
      <c r="A12853" s="3"/>
      <c r="D12853" s="3"/>
    </row>
    <row r="12854" spans="1:4">
      <c r="A12854" s="3"/>
      <c r="D12854" s="3"/>
    </row>
    <row r="12855" spans="1:4">
      <c r="A12855" s="3"/>
      <c r="D12855" s="3"/>
    </row>
    <row r="12856" spans="1:4">
      <c r="A12856" s="3"/>
      <c r="D12856" s="3"/>
    </row>
    <row r="12857" spans="1:4">
      <c r="A12857" s="3"/>
      <c r="D12857" s="3"/>
    </row>
    <row r="12858" spans="1:4">
      <c r="A12858" s="3"/>
      <c r="D12858" s="3"/>
    </row>
    <row r="12859" spans="1:4">
      <c r="A12859" s="3"/>
      <c r="D12859" s="3"/>
    </row>
    <row r="12860" spans="1:4">
      <c r="A12860" s="3"/>
      <c r="D12860" s="3"/>
    </row>
    <row r="12861" spans="1:4">
      <c r="A12861" s="3"/>
      <c r="D12861" s="3"/>
    </row>
    <row r="12862" spans="1:4">
      <c r="A12862" s="3"/>
      <c r="D12862" s="3"/>
    </row>
    <row r="12863" spans="1:4">
      <c r="A12863" s="3"/>
      <c r="D12863" s="3"/>
    </row>
    <row r="12864" spans="1:4">
      <c r="A12864" s="3"/>
      <c r="D12864" s="3"/>
    </row>
    <row r="12865" spans="1:4">
      <c r="A12865" s="3"/>
      <c r="D12865" s="3"/>
    </row>
    <row r="12866" spans="1:4">
      <c r="A12866" s="3"/>
      <c r="D12866" s="3"/>
    </row>
    <row r="12867" spans="1:4">
      <c r="A12867" s="3"/>
      <c r="D12867" s="3"/>
    </row>
    <row r="12868" spans="1:4">
      <c r="A12868" s="3"/>
      <c r="D12868" s="3"/>
    </row>
    <row r="12869" spans="1:4">
      <c r="A12869" s="3"/>
      <c r="D12869" s="3"/>
    </row>
    <row r="12870" spans="1:4">
      <c r="A12870" s="3"/>
      <c r="D12870" s="3"/>
    </row>
    <row r="12871" spans="1:4">
      <c r="A12871" s="3"/>
      <c r="D12871" s="3"/>
    </row>
    <row r="12872" spans="1:4">
      <c r="A12872" s="3"/>
      <c r="D12872" s="3"/>
    </row>
    <row r="12873" spans="1:4">
      <c r="A12873" s="3"/>
      <c r="D12873" s="3"/>
    </row>
    <row r="12874" spans="1:4">
      <c r="A12874" s="3"/>
      <c r="D12874" s="3"/>
    </row>
    <row r="12875" spans="1:4">
      <c r="A12875" s="3"/>
      <c r="D12875" s="3"/>
    </row>
    <row r="12876" spans="1:4">
      <c r="A12876" s="3"/>
      <c r="D12876" s="3"/>
    </row>
    <row r="12877" spans="1:4">
      <c r="A12877" s="3"/>
      <c r="D12877" s="3"/>
    </row>
    <row r="12878" spans="1:4">
      <c r="A12878" s="3"/>
      <c r="D12878" s="3"/>
    </row>
    <row r="12879" spans="1:4">
      <c r="A12879" s="3"/>
      <c r="D12879" s="3"/>
    </row>
    <row r="12880" spans="1:4">
      <c r="A12880" s="3"/>
      <c r="D12880" s="3"/>
    </row>
    <row r="12881" spans="1:4">
      <c r="A12881" s="3"/>
      <c r="D12881" s="3"/>
    </row>
    <row r="12882" spans="1:4">
      <c r="A12882" s="3"/>
      <c r="D12882" s="3"/>
    </row>
    <row r="12883" spans="1:4">
      <c r="A12883" s="3"/>
      <c r="D12883" s="3"/>
    </row>
    <row r="12884" spans="1:4">
      <c r="A12884" s="3"/>
      <c r="D12884" s="3"/>
    </row>
    <row r="12885" spans="1:4">
      <c r="A12885" s="3"/>
      <c r="D12885" s="3"/>
    </row>
    <row r="12886" spans="1:4">
      <c r="A12886" s="3"/>
      <c r="D12886" s="3"/>
    </row>
    <row r="12887" spans="1:4">
      <c r="A12887" s="3"/>
      <c r="D12887" s="3"/>
    </row>
    <row r="12888" spans="1:4">
      <c r="A12888" s="3"/>
      <c r="D12888" s="3"/>
    </row>
    <row r="12889" spans="1:4">
      <c r="A12889" s="3"/>
      <c r="D12889" s="3"/>
    </row>
    <row r="12890" spans="1:4">
      <c r="A12890" s="3"/>
      <c r="D12890" s="3"/>
    </row>
    <row r="12891" spans="1:4">
      <c r="A12891" s="3"/>
      <c r="D12891" s="3"/>
    </row>
    <row r="12892" spans="1:4">
      <c r="A12892" s="3"/>
      <c r="D12892" s="3"/>
    </row>
    <row r="12893" spans="1:4">
      <c r="A12893" s="3"/>
      <c r="D12893" s="3"/>
    </row>
    <row r="12894" spans="1:4">
      <c r="A12894" s="3"/>
      <c r="D12894" s="3"/>
    </row>
    <row r="12895" spans="1:4">
      <c r="A12895" s="3"/>
      <c r="D12895" s="3"/>
    </row>
    <row r="12896" spans="1:4">
      <c r="A12896" s="3"/>
      <c r="D12896" s="3"/>
    </row>
    <row r="12897" spans="1:4">
      <c r="A12897" s="3"/>
      <c r="D12897" s="3"/>
    </row>
    <row r="12898" spans="1:4">
      <c r="A12898" s="3"/>
      <c r="D12898" s="3"/>
    </row>
    <row r="12899" spans="1:4">
      <c r="A12899" s="3"/>
      <c r="D12899" s="3"/>
    </row>
    <row r="12900" spans="1:4">
      <c r="A12900" s="3"/>
      <c r="D12900" s="3"/>
    </row>
    <row r="12901" spans="1:4">
      <c r="A12901" s="3"/>
      <c r="D12901" s="3"/>
    </row>
    <row r="12902" spans="1:4">
      <c r="A12902" s="3"/>
      <c r="D12902" s="3"/>
    </row>
    <row r="12903" spans="1:4">
      <c r="A12903" s="3"/>
      <c r="D12903" s="3"/>
    </row>
    <row r="12904" spans="1:4">
      <c r="A12904" s="3"/>
      <c r="D12904" s="3"/>
    </row>
    <row r="12905" spans="1:4">
      <c r="A12905" s="3"/>
      <c r="D12905" s="3"/>
    </row>
    <row r="12906" spans="1:4">
      <c r="A12906" s="3"/>
      <c r="D12906" s="3"/>
    </row>
    <row r="12907" spans="1:4">
      <c r="A12907" s="3"/>
      <c r="D12907" s="3"/>
    </row>
    <row r="12908" spans="1:4">
      <c r="A12908" s="3"/>
      <c r="D12908" s="3"/>
    </row>
    <row r="12909" spans="1:4">
      <c r="A12909" s="3"/>
      <c r="D12909" s="3"/>
    </row>
    <row r="12910" spans="1:4">
      <c r="A12910" s="3"/>
      <c r="D12910" s="3"/>
    </row>
    <row r="12911" spans="1:4">
      <c r="A12911" s="3"/>
      <c r="D12911" s="3"/>
    </row>
    <row r="12912" spans="1:4">
      <c r="A12912" s="3"/>
      <c r="D12912" s="3"/>
    </row>
    <row r="12913" spans="1:4">
      <c r="A12913" s="3"/>
      <c r="D12913" s="3"/>
    </row>
    <row r="12914" spans="1:4">
      <c r="A12914" s="3"/>
      <c r="D12914" s="3"/>
    </row>
    <row r="12915" spans="1:4">
      <c r="A12915" s="3"/>
      <c r="D12915" s="3"/>
    </row>
    <row r="12916" spans="1:4">
      <c r="A12916" s="3"/>
      <c r="D12916" s="3"/>
    </row>
    <row r="12917" spans="1:4">
      <c r="A12917" s="3"/>
      <c r="D12917" s="3"/>
    </row>
    <row r="12918" spans="1:4">
      <c r="A12918" s="3"/>
      <c r="D12918" s="3"/>
    </row>
    <row r="12919" spans="1:4">
      <c r="A12919" s="3"/>
      <c r="D12919" s="3"/>
    </row>
    <row r="12920" spans="1:4">
      <c r="A12920" s="3"/>
      <c r="D12920" s="3"/>
    </row>
    <row r="12921" spans="1:4">
      <c r="A12921" s="3"/>
      <c r="D12921" s="3"/>
    </row>
    <row r="12922" spans="1:4">
      <c r="A12922" s="3"/>
      <c r="D12922" s="3"/>
    </row>
    <row r="12923" spans="1:4">
      <c r="A12923" s="3"/>
      <c r="D12923" s="3"/>
    </row>
    <row r="12924" spans="1:4">
      <c r="A12924" s="3"/>
      <c r="D12924" s="3"/>
    </row>
    <row r="12925" spans="1:4">
      <c r="A12925" s="3"/>
      <c r="D12925" s="3"/>
    </row>
    <row r="12926" spans="1:4">
      <c r="A12926" s="3"/>
      <c r="D12926" s="3"/>
    </row>
    <row r="12927" spans="1:4">
      <c r="A12927" s="3"/>
      <c r="D12927" s="3"/>
    </row>
    <row r="12928" spans="1:4">
      <c r="A12928" s="3"/>
      <c r="D12928" s="3"/>
    </row>
    <row r="12929" spans="1:4">
      <c r="A12929" s="3"/>
      <c r="D12929" s="3"/>
    </row>
    <row r="12930" spans="1:4">
      <c r="A12930" s="3"/>
      <c r="D12930" s="3"/>
    </row>
    <row r="12931" spans="1:4">
      <c r="A12931" s="3"/>
      <c r="D12931" s="3"/>
    </row>
    <row r="12932" spans="1:4">
      <c r="A12932" s="3"/>
      <c r="D12932" s="3"/>
    </row>
    <row r="12933" spans="1:4">
      <c r="A12933" s="3"/>
      <c r="D12933" s="3"/>
    </row>
    <row r="12934" spans="1:4">
      <c r="A12934" s="3"/>
      <c r="D12934" s="3"/>
    </row>
    <row r="12935" spans="1:4">
      <c r="A12935" s="3"/>
      <c r="D12935" s="3"/>
    </row>
    <row r="12936" spans="1:4">
      <c r="A12936" s="3"/>
      <c r="D12936" s="3"/>
    </row>
    <row r="12937" spans="1:4">
      <c r="A12937" s="3"/>
      <c r="D12937" s="3"/>
    </row>
    <row r="12938" spans="1:4">
      <c r="A12938" s="3"/>
      <c r="D12938" s="3"/>
    </row>
    <row r="12939" spans="1:4">
      <c r="A12939" s="3"/>
      <c r="D12939" s="3"/>
    </row>
    <row r="12940" spans="1:4">
      <c r="A12940" s="3"/>
      <c r="D12940" s="3"/>
    </row>
    <row r="12941" spans="1:4">
      <c r="A12941" s="3"/>
      <c r="D12941" s="3"/>
    </row>
    <row r="12942" spans="1:4">
      <c r="A12942" s="3"/>
      <c r="D12942" s="3"/>
    </row>
    <row r="12943" spans="1:4">
      <c r="A12943" s="3"/>
      <c r="D12943" s="3"/>
    </row>
    <row r="12944" spans="1:4">
      <c r="A12944" s="3"/>
      <c r="D12944" s="3"/>
    </row>
    <row r="12945" spans="1:4">
      <c r="A12945" s="3"/>
      <c r="D12945" s="3"/>
    </row>
    <row r="12946" spans="1:4">
      <c r="A12946" s="3"/>
      <c r="D12946" s="3"/>
    </row>
    <row r="12947" spans="1:4">
      <c r="A12947" s="3"/>
      <c r="D12947" s="3"/>
    </row>
    <row r="12948" spans="1:4">
      <c r="A12948" s="3"/>
      <c r="D12948" s="3"/>
    </row>
    <row r="12949" spans="1:4">
      <c r="A12949" s="3"/>
      <c r="D12949" s="3"/>
    </row>
    <row r="12950" spans="1:4">
      <c r="A12950" s="3"/>
      <c r="D12950" s="3"/>
    </row>
    <row r="12951" spans="1:4">
      <c r="A12951" s="3"/>
      <c r="D12951" s="3"/>
    </row>
    <row r="12952" spans="1:4">
      <c r="A12952" s="3"/>
      <c r="D12952" s="3"/>
    </row>
    <row r="12953" spans="1:4">
      <c r="A12953" s="3"/>
      <c r="D12953" s="3"/>
    </row>
    <row r="12954" spans="1:4">
      <c r="A12954" s="3"/>
      <c r="D12954" s="3"/>
    </row>
    <row r="12955" spans="1:4">
      <c r="A12955" s="3"/>
      <c r="D12955" s="3"/>
    </row>
    <row r="12956" spans="1:4">
      <c r="A12956" s="3"/>
      <c r="D12956" s="3"/>
    </row>
    <row r="12957" spans="1:4">
      <c r="A12957" s="3"/>
      <c r="D12957" s="3"/>
    </row>
    <row r="12958" spans="1:4">
      <c r="A12958" s="3"/>
      <c r="D12958" s="3"/>
    </row>
    <row r="12959" spans="1:4">
      <c r="A12959" s="3"/>
      <c r="D12959" s="3"/>
    </row>
    <row r="12960" spans="1:4">
      <c r="A12960" s="3"/>
      <c r="D12960" s="3"/>
    </row>
    <row r="12961" spans="1:4">
      <c r="A12961" s="3"/>
      <c r="D12961" s="3"/>
    </row>
    <row r="12962" spans="1:4">
      <c r="A12962" s="3"/>
      <c r="D12962" s="3"/>
    </row>
    <row r="12963" spans="1:4">
      <c r="A12963" s="3"/>
      <c r="D12963" s="3"/>
    </row>
    <row r="12964" spans="1:4">
      <c r="A12964" s="3"/>
      <c r="D12964" s="3"/>
    </row>
    <row r="12965" spans="1:4">
      <c r="A12965" s="3"/>
      <c r="D12965" s="3"/>
    </row>
    <row r="12966" spans="1:4">
      <c r="A12966" s="3"/>
      <c r="D12966" s="3"/>
    </row>
    <row r="12967" spans="1:4">
      <c r="A12967" s="3"/>
      <c r="D12967" s="3"/>
    </row>
    <row r="12968" spans="1:4">
      <c r="A12968" s="3"/>
      <c r="D12968" s="3"/>
    </row>
    <row r="12969" spans="1:4">
      <c r="A12969" s="3"/>
      <c r="D12969" s="3"/>
    </row>
    <row r="12970" spans="1:4">
      <c r="A12970" s="3"/>
      <c r="D12970" s="3"/>
    </row>
    <row r="12971" spans="1:4">
      <c r="A12971" s="3"/>
      <c r="D12971" s="3"/>
    </row>
    <row r="12972" spans="1:4">
      <c r="A12972" s="3"/>
      <c r="D12972" s="3"/>
    </row>
    <row r="12973" spans="1:4">
      <c r="A12973" s="3"/>
      <c r="D12973" s="3"/>
    </row>
    <row r="12974" spans="1:4">
      <c r="A12974" s="3"/>
      <c r="D12974" s="3"/>
    </row>
    <row r="12975" spans="1:4">
      <c r="A12975" s="3"/>
      <c r="D12975" s="3"/>
    </row>
    <row r="12976" spans="1:4">
      <c r="A12976" s="3"/>
      <c r="D12976" s="3"/>
    </row>
    <row r="12977" spans="1:4">
      <c r="A12977" s="3"/>
      <c r="D12977" s="3"/>
    </row>
    <row r="12978" spans="1:4">
      <c r="A12978" s="3"/>
      <c r="D12978" s="3"/>
    </row>
    <row r="12979" spans="1:4">
      <c r="A12979" s="3"/>
      <c r="D12979" s="3"/>
    </row>
    <row r="12980" spans="1:4">
      <c r="A12980" s="3"/>
      <c r="D12980" s="3"/>
    </row>
    <row r="12981" spans="1:4">
      <c r="A12981" s="3"/>
      <c r="D12981" s="3"/>
    </row>
    <row r="12982" spans="1:4">
      <c r="A12982" s="3"/>
      <c r="D12982" s="3"/>
    </row>
    <row r="12983" spans="1:4">
      <c r="A12983" s="3"/>
      <c r="D12983" s="3"/>
    </row>
    <row r="12984" spans="1:4">
      <c r="A12984" s="3"/>
      <c r="D12984" s="3"/>
    </row>
    <row r="12985" spans="1:4">
      <c r="A12985" s="3"/>
      <c r="D12985" s="3"/>
    </row>
    <row r="12986" spans="1:4">
      <c r="A12986" s="3"/>
      <c r="D12986" s="3"/>
    </row>
    <row r="12987" spans="1:4">
      <c r="A12987" s="3"/>
      <c r="D12987" s="3"/>
    </row>
    <row r="12988" spans="1:4">
      <c r="A12988" s="3"/>
      <c r="D12988" s="3"/>
    </row>
    <row r="12989" spans="1:4">
      <c r="A12989" s="3"/>
      <c r="D12989" s="3"/>
    </row>
    <row r="12990" spans="1:4">
      <c r="A12990" s="3"/>
      <c r="D12990" s="3"/>
    </row>
    <row r="12991" spans="1:4">
      <c r="A12991" s="3"/>
      <c r="D12991" s="3"/>
    </row>
    <row r="12992" spans="1:4">
      <c r="A12992" s="3"/>
      <c r="D12992" s="3"/>
    </row>
    <row r="12993" spans="1:4">
      <c r="A12993" s="3"/>
      <c r="D12993" s="3"/>
    </row>
    <row r="12994" spans="1:4">
      <c r="A12994" s="3"/>
      <c r="D12994" s="3"/>
    </row>
    <row r="12995" spans="1:4">
      <c r="A12995" s="3"/>
      <c r="D12995" s="3"/>
    </row>
    <row r="12996" spans="1:4">
      <c r="A12996" s="3"/>
      <c r="D12996" s="3"/>
    </row>
    <row r="12997" spans="1:4">
      <c r="A12997" s="3"/>
      <c r="D12997" s="3"/>
    </row>
    <row r="12998" spans="1:4">
      <c r="A12998" s="3"/>
      <c r="D12998" s="3"/>
    </row>
    <row r="12999" spans="1:4">
      <c r="A12999" s="3"/>
      <c r="D12999" s="3"/>
    </row>
    <row r="13000" spans="1:4">
      <c r="A13000" s="3"/>
      <c r="D13000" s="3"/>
    </row>
    <row r="13001" spans="1:4">
      <c r="A13001" s="3"/>
      <c r="D13001" s="3"/>
    </row>
    <row r="13002" spans="1:4">
      <c r="A13002" s="3"/>
      <c r="D13002" s="3"/>
    </row>
    <row r="13003" spans="1:4">
      <c r="A13003" s="3"/>
      <c r="D13003" s="3"/>
    </row>
    <row r="13004" spans="1:4">
      <c r="A13004" s="3"/>
      <c r="D13004" s="3"/>
    </row>
    <row r="13005" spans="1:4">
      <c r="A13005" s="3"/>
      <c r="D13005" s="3"/>
    </row>
    <row r="13006" spans="1:4">
      <c r="A13006" s="3"/>
      <c r="D13006" s="3"/>
    </row>
    <row r="13007" spans="1:4">
      <c r="A13007" s="3"/>
      <c r="D13007" s="3"/>
    </row>
    <row r="13008" spans="1:4">
      <c r="A13008" s="3"/>
      <c r="D13008" s="3"/>
    </row>
    <row r="13009" spans="1:4">
      <c r="A13009" s="3"/>
      <c r="D13009" s="3"/>
    </row>
    <row r="13010" spans="1:4">
      <c r="A13010" s="3"/>
      <c r="D13010" s="3"/>
    </row>
    <row r="13011" spans="1:4">
      <c r="A13011" s="3"/>
      <c r="D13011" s="3"/>
    </row>
    <row r="13012" spans="1:4">
      <c r="A13012" s="3"/>
      <c r="D13012" s="3"/>
    </row>
    <row r="13013" spans="1:4">
      <c r="A13013" s="3"/>
      <c r="D13013" s="3"/>
    </row>
    <row r="13014" spans="1:4">
      <c r="A13014" s="3"/>
      <c r="D13014" s="3"/>
    </row>
    <row r="13015" spans="1:4">
      <c r="A13015" s="3"/>
      <c r="D13015" s="3"/>
    </row>
    <row r="13016" spans="1:4">
      <c r="A13016" s="3"/>
      <c r="D13016" s="3"/>
    </row>
    <row r="13017" spans="1:4">
      <c r="A13017" s="3"/>
      <c r="D13017" s="3"/>
    </row>
    <row r="13018" spans="1:4">
      <c r="A13018" s="3"/>
      <c r="D13018" s="3"/>
    </row>
    <row r="13019" spans="1:4">
      <c r="A13019" s="3"/>
      <c r="D13019" s="3"/>
    </row>
    <row r="13020" spans="1:4">
      <c r="A13020" s="3"/>
      <c r="D13020" s="3"/>
    </row>
    <row r="13021" spans="1:4">
      <c r="A13021" s="3"/>
      <c r="D13021" s="3"/>
    </row>
    <row r="13022" spans="1:4">
      <c r="A13022" s="3"/>
      <c r="D13022" s="3"/>
    </row>
    <row r="13023" spans="1:4">
      <c r="A13023" s="3"/>
      <c r="D13023" s="3"/>
    </row>
    <row r="13024" spans="1:4">
      <c r="A13024" s="3"/>
      <c r="D13024" s="3"/>
    </row>
    <row r="13025" spans="1:4">
      <c r="A13025" s="3"/>
      <c r="D13025" s="3"/>
    </row>
    <row r="13026" spans="1:4">
      <c r="A13026" s="3"/>
      <c r="D13026" s="3"/>
    </row>
    <row r="13027" spans="1:4">
      <c r="A13027" s="3"/>
      <c r="D13027" s="3"/>
    </row>
    <row r="13028" spans="1:4">
      <c r="A13028" s="3"/>
      <c r="D13028" s="3"/>
    </row>
    <row r="13029" spans="1:4">
      <c r="A13029" s="3"/>
      <c r="D13029" s="3"/>
    </row>
    <row r="13030" spans="1:4">
      <c r="A13030" s="3"/>
      <c r="D13030" s="3"/>
    </row>
    <row r="13031" spans="1:4">
      <c r="A13031" s="3"/>
      <c r="D13031" s="3"/>
    </row>
    <row r="13032" spans="1:4">
      <c r="A13032" s="3"/>
      <c r="D13032" s="3"/>
    </row>
    <row r="13033" spans="1:4">
      <c r="A13033" s="3"/>
      <c r="D13033" s="3"/>
    </row>
    <row r="13034" spans="1:4">
      <c r="A13034" s="3"/>
      <c r="D13034" s="3"/>
    </row>
    <row r="13035" spans="1:4">
      <c r="A13035" s="3"/>
      <c r="D13035" s="3"/>
    </row>
    <row r="13036" spans="1:4">
      <c r="A13036" s="3"/>
      <c r="D13036" s="3"/>
    </row>
    <row r="13037" spans="1:4">
      <c r="A13037" s="3"/>
      <c r="D13037" s="3"/>
    </row>
    <row r="13038" spans="1:4">
      <c r="A13038" s="3"/>
      <c r="D13038" s="3"/>
    </row>
    <row r="13039" spans="1:4">
      <c r="A13039" s="3"/>
      <c r="D13039" s="3"/>
    </row>
    <row r="13040" spans="1:4">
      <c r="A13040" s="3"/>
      <c r="D13040" s="3"/>
    </row>
    <row r="13041" spans="1:4">
      <c r="A13041" s="3"/>
      <c r="D13041" s="3"/>
    </row>
    <row r="13042" spans="1:4">
      <c r="A13042" s="3"/>
      <c r="D13042" s="3"/>
    </row>
    <row r="13043" spans="1:4">
      <c r="A13043" s="3"/>
      <c r="D13043" s="3"/>
    </row>
    <row r="13044" spans="1:4">
      <c r="A13044" s="3"/>
      <c r="D13044" s="3"/>
    </row>
    <row r="13045" spans="1:4">
      <c r="A13045" s="3"/>
      <c r="D13045" s="3"/>
    </row>
    <row r="13046" spans="1:4">
      <c r="A13046" s="3"/>
      <c r="D13046" s="3"/>
    </row>
    <row r="13047" spans="1:4">
      <c r="A13047" s="3"/>
      <c r="D13047" s="3"/>
    </row>
    <row r="13048" spans="1:4">
      <c r="A13048" s="3"/>
      <c r="D13048" s="3"/>
    </row>
    <row r="13049" spans="1:4">
      <c r="A13049" s="3"/>
      <c r="D13049" s="3"/>
    </row>
    <row r="13050" spans="1:4">
      <c r="A13050" s="3"/>
      <c r="D13050" s="3"/>
    </row>
    <row r="13051" spans="1:4">
      <c r="A13051" s="3"/>
      <c r="D13051" s="3"/>
    </row>
    <row r="13052" spans="1:4">
      <c r="A13052" s="3"/>
      <c r="D13052" s="3"/>
    </row>
    <row r="13053" spans="1:4">
      <c r="A13053" s="3"/>
      <c r="D13053" s="3"/>
    </row>
    <row r="13054" spans="1:4">
      <c r="A13054" s="3"/>
      <c r="D13054" s="3"/>
    </row>
    <row r="13055" spans="1:4">
      <c r="A13055" s="3"/>
      <c r="D13055" s="3"/>
    </row>
    <row r="13056" spans="1:4">
      <c r="A13056" s="3"/>
      <c r="D13056" s="3"/>
    </row>
    <row r="13057" spans="1:4">
      <c r="A13057" s="3"/>
      <c r="D13057" s="3"/>
    </row>
    <row r="13058" spans="1:4">
      <c r="A13058" s="3"/>
      <c r="D13058" s="3"/>
    </row>
    <row r="13059" spans="1:4">
      <c r="A13059" s="3"/>
      <c r="D13059" s="3"/>
    </row>
    <row r="13060" spans="1:4">
      <c r="A13060" s="3"/>
      <c r="D13060" s="3"/>
    </row>
    <row r="13061" spans="1:4">
      <c r="A13061" s="3"/>
      <c r="D13061" s="3"/>
    </row>
    <row r="13062" spans="1:4">
      <c r="A13062" s="3"/>
      <c r="D13062" s="3"/>
    </row>
    <row r="13063" spans="1:4">
      <c r="A13063" s="3"/>
      <c r="D13063" s="3"/>
    </row>
    <row r="13064" spans="1:4">
      <c r="A13064" s="3"/>
      <c r="D13064" s="3"/>
    </row>
    <row r="13065" spans="1:4">
      <c r="A13065" s="3"/>
      <c r="D13065" s="3"/>
    </row>
    <row r="13066" spans="1:4">
      <c r="A13066" s="3"/>
      <c r="D13066" s="3"/>
    </row>
    <row r="13067" spans="1:4">
      <c r="A13067" s="3"/>
      <c r="D13067" s="3"/>
    </row>
    <row r="13068" spans="1:4">
      <c r="A13068" s="3"/>
      <c r="D13068" s="3"/>
    </row>
    <row r="13069" spans="1:4">
      <c r="A13069" s="3"/>
      <c r="D13069" s="3"/>
    </row>
    <row r="13070" spans="1:4">
      <c r="A13070" s="3"/>
      <c r="D13070" s="3"/>
    </row>
    <row r="13071" spans="1:4">
      <c r="A13071" s="3"/>
      <c r="D13071" s="3"/>
    </row>
    <row r="13072" spans="1:4">
      <c r="A13072" s="3"/>
      <c r="D13072" s="3"/>
    </row>
    <row r="13073" spans="1:4">
      <c r="A13073" s="3"/>
      <c r="D13073" s="3"/>
    </row>
    <row r="13074" spans="1:4">
      <c r="A13074" s="3"/>
      <c r="D13074" s="3"/>
    </row>
    <row r="13075" spans="1:4">
      <c r="A13075" s="3"/>
      <c r="D13075" s="3"/>
    </row>
    <row r="13076" spans="1:4">
      <c r="A13076" s="3"/>
      <c r="D13076" s="3"/>
    </row>
    <row r="13077" spans="1:4">
      <c r="A13077" s="3"/>
      <c r="D13077" s="3"/>
    </row>
    <row r="13078" spans="1:4">
      <c r="A13078" s="3"/>
      <c r="D13078" s="3"/>
    </row>
    <row r="13079" spans="1:4">
      <c r="A13079" s="3"/>
      <c r="D13079" s="3"/>
    </row>
    <row r="13080" spans="1:4">
      <c r="A13080" s="3"/>
      <c r="D13080" s="3"/>
    </row>
    <row r="13081" spans="1:4">
      <c r="A13081" s="3"/>
      <c r="D13081" s="3"/>
    </row>
    <row r="13082" spans="1:4">
      <c r="A13082" s="3"/>
      <c r="D13082" s="3"/>
    </row>
    <row r="13083" spans="1:4">
      <c r="A13083" s="3"/>
      <c r="D13083" s="3"/>
    </row>
    <row r="13084" spans="1:4">
      <c r="A13084" s="3"/>
      <c r="D13084" s="3"/>
    </row>
    <row r="13085" spans="1:4">
      <c r="A13085" s="3"/>
      <c r="D13085" s="3"/>
    </row>
    <row r="13086" spans="1:4">
      <c r="A13086" s="3"/>
      <c r="D13086" s="3"/>
    </row>
    <row r="13087" spans="1:4">
      <c r="A13087" s="3"/>
      <c r="D13087" s="3"/>
    </row>
    <row r="13088" spans="1:4">
      <c r="A13088" s="3"/>
      <c r="D13088" s="3"/>
    </row>
    <row r="13089" spans="1:4">
      <c r="A13089" s="3"/>
      <c r="D13089" s="3"/>
    </row>
    <row r="13090" spans="1:4">
      <c r="A13090" s="3"/>
      <c r="D13090" s="3"/>
    </row>
    <row r="13091" spans="1:4">
      <c r="A13091" s="3"/>
      <c r="D13091" s="3"/>
    </row>
    <row r="13092" spans="1:4">
      <c r="A13092" s="3"/>
      <c r="D13092" s="3"/>
    </row>
    <row r="13093" spans="1:4">
      <c r="A13093" s="3"/>
      <c r="D13093" s="3"/>
    </row>
    <row r="13094" spans="1:4">
      <c r="A13094" s="3"/>
      <c r="D13094" s="3"/>
    </row>
    <row r="13095" spans="1:4">
      <c r="A13095" s="3"/>
      <c r="D13095" s="3"/>
    </row>
    <row r="13096" spans="1:4">
      <c r="A13096" s="3"/>
      <c r="D13096" s="3"/>
    </row>
    <row r="13097" spans="1:4">
      <c r="A13097" s="3"/>
      <c r="D13097" s="3"/>
    </row>
    <row r="13098" spans="1:4">
      <c r="A13098" s="3"/>
      <c r="D13098" s="3"/>
    </row>
    <row r="13099" spans="1:4">
      <c r="A13099" s="3"/>
      <c r="D13099" s="3"/>
    </row>
    <row r="13100" spans="1:4">
      <c r="A13100" s="3"/>
      <c r="D13100" s="3"/>
    </row>
    <row r="13101" spans="1:4">
      <c r="A13101" s="3"/>
      <c r="D13101" s="3"/>
    </row>
    <row r="13102" spans="1:4">
      <c r="A13102" s="3"/>
      <c r="D13102" s="3"/>
    </row>
    <row r="13103" spans="1:4">
      <c r="A13103" s="3"/>
      <c r="D13103" s="3"/>
    </row>
    <row r="13104" spans="1:4">
      <c r="A13104" s="3"/>
      <c r="D13104" s="3"/>
    </row>
    <row r="13105" spans="1:4">
      <c r="A13105" s="3"/>
      <c r="D13105" s="3"/>
    </row>
    <row r="13106" spans="1:4">
      <c r="A13106" s="3"/>
      <c r="D13106" s="3"/>
    </row>
    <row r="13107" spans="1:4">
      <c r="A13107" s="3"/>
      <c r="D13107" s="3"/>
    </row>
    <row r="13108" spans="1:4">
      <c r="A13108" s="3"/>
      <c r="D13108" s="3"/>
    </row>
    <row r="13109" spans="1:4">
      <c r="A13109" s="3"/>
      <c r="D13109" s="3"/>
    </row>
    <row r="13110" spans="1:4">
      <c r="A13110" s="3"/>
      <c r="D13110" s="3"/>
    </row>
    <row r="13111" spans="1:4">
      <c r="A13111" s="3"/>
      <c r="D13111" s="3"/>
    </row>
    <row r="13112" spans="1:4">
      <c r="A13112" s="3"/>
      <c r="D13112" s="3"/>
    </row>
    <row r="13113" spans="1:4">
      <c r="A13113" s="3"/>
      <c r="D13113" s="3"/>
    </row>
    <row r="13114" spans="1:4">
      <c r="A13114" s="3"/>
      <c r="D13114" s="3"/>
    </row>
    <row r="13115" spans="1:4">
      <c r="A13115" s="3"/>
      <c r="D13115" s="3"/>
    </row>
    <row r="13116" spans="1:4">
      <c r="A13116" s="3"/>
      <c r="D13116" s="3"/>
    </row>
    <row r="13117" spans="1:4">
      <c r="A13117" s="3"/>
      <c r="D13117" s="3"/>
    </row>
    <row r="13118" spans="1:4">
      <c r="A13118" s="3"/>
      <c r="D13118" s="3"/>
    </row>
    <row r="13119" spans="1:4">
      <c r="A13119" s="3"/>
      <c r="D13119" s="3"/>
    </row>
    <row r="13120" spans="1:4">
      <c r="A13120" s="3"/>
      <c r="D13120" s="3"/>
    </row>
    <row r="13121" spans="1:4">
      <c r="A13121" s="3"/>
      <c r="D13121" s="3"/>
    </row>
    <row r="13122" spans="1:4">
      <c r="A13122" s="3"/>
      <c r="D13122" s="3"/>
    </row>
    <row r="13123" spans="1:4">
      <c r="A13123" s="3"/>
      <c r="D13123" s="3"/>
    </row>
    <row r="13124" spans="1:4">
      <c r="A13124" s="3"/>
      <c r="D13124" s="3"/>
    </row>
    <row r="13125" spans="1:4">
      <c r="A13125" s="3"/>
      <c r="D13125" s="3"/>
    </row>
    <row r="13126" spans="1:4">
      <c r="A13126" s="3"/>
      <c r="D13126" s="3"/>
    </row>
    <row r="13127" spans="1:4">
      <c r="A13127" s="3"/>
      <c r="D13127" s="3"/>
    </row>
    <row r="13128" spans="1:4">
      <c r="A13128" s="3"/>
      <c r="D13128" s="3"/>
    </row>
    <row r="13129" spans="1:4">
      <c r="A13129" s="3"/>
      <c r="D13129" s="3"/>
    </row>
    <row r="13130" spans="1:4">
      <c r="A13130" s="3"/>
      <c r="D13130" s="3"/>
    </row>
    <row r="13131" spans="1:4">
      <c r="A13131" s="3"/>
      <c r="D13131" s="3"/>
    </row>
    <row r="13132" spans="1:4">
      <c r="A13132" s="3"/>
      <c r="D13132" s="3"/>
    </row>
    <row r="13133" spans="1:4">
      <c r="A13133" s="3"/>
      <c r="D13133" s="3"/>
    </row>
    <row r="13134" spans="1:4">
      <c r="A13134" s="3"/>
      <c r="D13134" s="3"/>
    </row>
    <row r="13135" spans="1:4">
      <c r="A13135" s="3"/>
      <c r="D13135" s="3"/>
    </row>
    <row r="13136" spans="1:4">
      <c r="A13136" s="3"/>
      <c r="D13136" s="3"/>
    </row>
    <row r="13137" spans="1:4">
      <c r="A13137" s="3"/>
      <c r="D13137" s="3"/>
    </row>
    <row r="13138" spans="1:4">
      <c r="A13138" s="3"/>
      <c r="D13138" s="3"/>
    </row>
    <row r="13139" spans="1:4">
      <c r="A13139" s="3"/>
      <c r="D13139" s="3"/>
    </row>
    <row r="13140" spans="1:4">
      <c r="A13140" s="3"/>
      <c r="D13140" s="3"/>
    </row>
    <row r="13141" spans="1:4">
      <c r="A13141" s="3"/>
      <c r="D13141" s="3"/>
    </row>
    <row r="13142" spans="1:4">
      <c r="A13142" s="3"/>
      <c r="D13142" s="3"/>
    </row>
    <row r="13143" spans="1:4">
      <c r="A13143" s="3"/>
      <c r="D13143" s="3"/>
    </row>
    <row r="13144" spans="1:4">
      <c r="A13144" s="3"/>
      <c r="D13144" s="3"/>
    </row>
    <row r="13145" spans="1:4">
      <c r="A13145" s="3"/>
      <c r="D13145" s="3"/>
    </row>
    <row r="13146" spans="1:4">
      <c r="A13146" s="3"/>
      <c r="D13146" s="3"/>
    </row>
    <row r="13147" spans="1:4">
      <c r="A13147" s="3"/>
      <c r="D13147" s="3"/>
    </row>
    <row r="13148" spans="1:4">
      <c r="A13148" s="3"/>
      <c r="D13148" s="3"/>
    </row>
    <row r="13149" spans="1:4">
      <c r="A13149" s="3"/>
      <c r="D13149" s="3"/>
    </row>
    <row r="13150" spans="1:4">
      <c r="A13150" s="3"/>
      <c r="D13150" s="3"/>
    </row>
    <row r="13151" spans="1:4">
      <c r="A13151" s="3"/>
      <c r="D13151" s="3"/>
    </row>
    <row r="13152" spans="1:4">
      <c r="A13152" s="3"/>
      <c r="D13152" s="3"/>
    </row>
    <row r="13153" spans="1:4">
      <c r="A13153" s="3"/>
      <c r="D13153" s="3"/>
    </row>
    <row r="13154" spans="1:4">
      <c r="A13154" s="3"/>
      <c r="D13154" s="3"/>
    </row>
    <row r="13155" spans="1:4">
      <c r="A13155" s="3"/>
      <c r="D13155" s="3"/>
    </row>
    <row r="13156" spans="1:4">
      <c r="A13156" s="3"/>
      <c r="D13156" s="3"/>
    </row>
    <row r="13157" spans="1:4">
      <c r="A13157" s="3"/>
      <c r="D13157" s="3"/>
    </row>
    <row r="13158" spans="1:4">
      <c r="A13158" s="3"/>
      <c r="D13158" s="3"/>
    </row>
    <row r="13159" spans="1:4">
      <c r="A13159" s="3"/>
      <c r="D13159" s="3"/>
    </row>
    <row r="13160" spans="1:4">
      <c r="A13160" s="3"/>
      <c r="D13160" s="3"/>
    </row>
    <row r="13161" spans="1:4">
      <c r="A13161" s="3"/>
      <c r="D13161" s="3"/>
    </row>
    <row r="13162" spans="1:4">
      <c r="A13162" s="3"/>
      <c r="D13162" s="3"/>
    </row>
    <row r="13163" spans="1:4">
      <c r="A13163" s="3"/>
      <c r="D13163" s="3"/>
    </row>
    <row r="13164" spans="1:4">
      <c r="A13164" s="3"/>
      <c r="D13164" s="3"/>
    </row>
    <row r="13165" spans="1:4">
      <c r="A13165" s="3"/>
      <c r="D13165" s="3"/>
    </row>
    <row r="13166" spans="1:4">
      <c r="A13166" s="3"/>
      <c r="D13166" s="3"/>
    </row>
    <row r="13167" spans="1:4">
      <c r="A13167" s="3"/>
      <c r="D13167" s="3"/>
    </row>
    <row r="13168" spans="1:4">
      <c r="A13168" s="3"/>
      <c r="D13168" s="3"/>
    </row>
    <row r="13169" spans="1:4">
      <c r="A13169" s="3"/>
      <c r="D13169" s="3"/>
    </row>
    <row r="13170" spans="1:4">
      <c r="A13170" s="3"/>
      <c r="D13170" s="3"/>
    </row>
    <row r="13171" spans="1:4">
      <c r="A13171" s="3"/>
      <c r="D13171" s="3"/>
    </row>
    <row r="13172" spans="1:4">
      <c r="A13172" s="3"/>
      <c r="D13172" s="3"/>
    </row>
    <row r="13173" spans="1:4">
      <c r="A13173" s="3"/>
      <c r="D13173" s="3"/>
    </row>
    <row r="13174" spans="1:4">
      <c r="A13174" s="3"/>
      <c r="D13174" s="3"/>
    </row>
    <row r="13175" spans="1:4">
      <c r="A13175" s="3"/>
      <c r="D13175" s="3"/>
    </row>
    <row r="13176" spans="1:4">
      <c r="A13176" s="3"/>
      <c r="D13176" s="3"/>
    </row>
    <row r="13177" spans="1:4">
      <c r="A13177" s="3"/>
      <c r="D13177" s="3"/>
    </row>
    <row r="13178" spans="1:4">
      <c r="A13178" s="3"/>
      <c r="D13178" s="3"/>
    </row>
    <row r="13179" spans="1:4">
      <c r="A13179" s="3"/>
      <c r="D13179" s="3"/>
    </row>
    <row r="13180" spans="1:4">
      <c r="A13180" s="3"/>
      <c r="D13180" s="3"/>
    </row>
    <row r="13181" spans="1:4">
      <c r="A13181" s="3"/>
      <c r="D13181" s="3"/>
    </row>
    <row r="13182" spans="1:4">
      <c r="A13182" s="3"/>
      <c r="D13182" s="3"/>
    </row>
    <row r="13183" spans="1:4">
      <c r="A13183" s="3"/>
      <c r="D13183" s="3"/>
    </row>
    <row r="13184" spans="1:4">
      <c r="A13184" s="3"/>
      <c r="D13184" s="3"/>
    </row>
    <row r="13185" spans="1:4">
      <c r="A13185" s="3"/>
      <c r="D13185" s="3"/>
    </row>
    <row r="13186" spans="1:4">
      <c r="A13186" s="3"/>
      <c r="D13186" s="3"/>
    </row>
    <row r="13187" spans="1:4">
      <c r="A13187" s="3"/>
      <c r="D13187" s="3"/>
    </row>
    <row r="13188" spans="1:4">
      <c r="A13188" s="3"/>
      <c r="D13188" s="3"/>
    </row>
    <row r="13189" spans="1:4">
      <c r="A13189" s="3"/>
      <c r="D13189" s="3"/>
    </row>
    <row r="13190" spans="1:4">
      <c r="A13190" s="3"/>
      <c r="D13190" s="3"/>
    </row>
    <row r="13191" spans="1:4">
      <c r="A13191" s="3"/>
      <c r="D13191" s="3"/>
    </row>
    <row r="13192" spans="1:4">
      <c r="A13192" s="3"/>
      <c r="D13192" s="3"/>
    </row>
    <row r="13193" spans="1:4">
      <c r="A13193" s="3"/>
      <c r="D13193" s="3"/>
    </row>
    <row r="13194" spans="1:4">
      <c r="A13194" s="3"/>
      <c r="D13194" s="3"/>
    </row>
    <row r="13195" spans="1:4">
      <c r="A13195" s="3"/>
      <c r="D13195" s="3"/>
    </row>
    <row r="13196" spans="1:4">
      <c r="A13196" s="3"/>
      <c r="D13196" s="3"/>
    </row>
    <row r="13197" spans="1:4">
      <c r="A13197" s="3"/>
      <c r="D13197" s="3"/>
    </row>
    <row r="13198" spans="1:4">
      <c r="A13198" s="3"/>
      <c r="D13198" s="3"/>
    </row>
    <row r="13199" spans="1:4">
      <c r="A13199" s="3"/>
      <c r="D13199" s="3"/>
    </row>
    <row r="13200" spans="1:4">
      <c r="A13200" s="3"/>
      <c r="D13200" s="3"/>
    </row>
    <row r="13201" spans="1:4">
      <c r="A13201" s="3"/>
      <c r="D13201" s="3"/>
    </row>
    <row r="13202" spans="1:4">
      <c r="A13202" s="3"/>
      <c r="D13202" s="3"/>
    </row>
    <row r="13203" spans="1:4">
      <c r="A13203" s="3"/>
      <c r="D13203" s="3"/>
    </row>
    <row r="13204" spans="1:4">
      <c r="A13204" s="3"/>
      <c r="D13204" s="3"/>
    </row>
    <row r="13205" spans="1:4">
      <c r="A13205" s="3"/>
      <c r="D13205" s="3"/>
    </row>
    <row r="13206" spans="1:4">
      <c r="A13206" s="3"/>
      <c r="D13206" s="3"/>
    </row>
    <row r="13207" spans="1:4">
      <c r="A13207" s="3"/>
      <c r="D13207" s="3"/>
    </row>
    <row r="13208" spans="1:4">
      <c r="A13208" s="3"/>
      <c r="D13208" s="3"/>
    </row>
    <row r="13209" spans="1:4">
      <c r="A13209" s="3"/>
      <c r="D13209" s="3"/>
    </row>
    <row r="13210" spans="1:4">
      <c r="A13210" s="3"/>
      <c r="D13210" s="3"/>
    </row>
    <row r="13211" spans="1:4">
      <c r="A13211" s="3"/>
      <c r="D13211" s="3"/>
    </row>
    <row r="13212" spans="1:4">
      <c r="A13212" s="3"/>
      <c r="D13212" s="3"/>
    </row>
    <row r="13213" spans="1:4">
      <c r="A13213" s="3"/>
      <c r="D13213" s="3"/>
    </row>
    <row r="13214" spans="1:4">
      <c r="A13214" s="3"/>
      <c r="D13214" s="3"/>
    </row>
    <row r="13215" spans="1:4">
      <c r="A13215" s="3"/>
      <c r="D13215" s="3"/>
    </row>
    <row r="13216" spans="1:4">
      <c r="A13216" s="3"/>
      <c r="D13216" s="3"/>
    </row>
    <row r="13217" spans="1:4">
      <c r="A13217" s="3"/>
      <c r="D13217" s="3"/>
    </row>
    <row r="13218" spans="1:4">
      <c r="A13218" s="3"/>
      <c r="D13218" s="3"/>
    </row>
    <row r="13219" spans="1:4">
      <c r="A13219" s="3"/>
      <c r="D13219" s="3"/>
    </row>
    <row r="13220" spans="1:4">
      <c r="A13220" s="3"/>
      <c r="D13220" s="3"/>
    </row>
    <row r="13221" spans="1:4">
      <c r="A13221" s="3"/>
      <c r="D13221" s="3"/>
    </row>
    <row r="13222" spans="1:4">
      <c r="A13222" s="3"/>
      <c r="D13222" s="3"/>
    </row>
    <row r="13223" spans="1:4">
      <c r="A13223" s="3"/>
      <c r="D13223" s="3"/>
    </row>
    <row r="13224" spans="1:4">
      <c r="A13224" s="3"/>
      <c r="D13224" s="3"/>
    </row>
    <row r="13225" spans="1:4">
      <c r="A13225" s="3"/>
      <c r="D13225" s="3"/>
    </row>
    <row r="13226" spans="1:4">
      <c r="A13226" s="3"/>
      <c r="D13226" s="3"/>
    </row>
    <row r="13227" spans="1:4">
      <c r="A13227" s="3"/>
      <c r="D13227" s="3"/>
    </row>
    <row r="13228" spans="1:4">
      <c r="A13228" s="3"/>
      <c r="D13228" s="3"/>
    </row>
    <row r="13229" spans="1:4">
      <c r="A13229" s="3"/>
      <c r="D13229" s="3"/>
    </row>
    <row r="13230" spans="1:4">
      <c r="A13230" s="3"/>
      <c r="D13230" s="3"/>
    </row>
    <row r="13231" spans="1:4">
      <c r="A13231" s="3"/>
      <c r="D13231" s="3"/>
    </row>
    <row r="13232" spans="1:4">
      <c r="A13232" s="3"/>
      <c r="D13232" s="3"/>
    </row>
    <row r="13233" spans="1:4">
      <c r="A13233" s="3"/>
      <c r="D13233" s="3"/>
    </row>
    <row r="13234" spans="1:4">
      <c r="A13234" s="3"/>
      <c r="D13234" s="3"/>
    </row>
    <row r="13235" spans="1:4">
      <c r="A13235" s="3"/>
      <c r="D13235" s="3"/>
    </row>
    <row r="13236" spans="1:4">
      <c r="A13236" s="3"/>
      <c r="D13236" s="3"/>
    </row>
    <row r="13237" spans="1:4">
      <c r="A13237" s="3"/>
      <c r="D13237" s="3"/>
    </row>
    <row r="13238" spans="1:4">
      <c r="A13238" s="3"/>
      <c r="D13238" s="3"/>
    </row>
    <row r="13239" spans="1:4">
      <c r="A13239" s="3"/>
      <c r="D13239" s="3"/>
    </row>
    <row r="13240" spans="1:4">
      <c r="A13240" s="3"/>
      <c r="D13240" s="3"/>
    </row>
    <row r="13241" spans="1:4">
      <c r="A13241" s="3"/>
      <c r="D13241" s="3"/>
    </row>
    <row r="13242" spans="1:4">
      <c r="A13242" s="3"/>
      <c r="D13242" s="3"/>
    </row>
    <row r="13243" spans="1:4">
      <c r="A13243" s="3"/>
      <c r="D13243" s="3"/>
    </row>
    <row r="13244" spans="1:4">
      <c r="A13244" s="3"/>
      <c r="D13244" s="3"/>
    </row>
    <row r="13245" spans="1:4">
      <c r="A13245" s="3"/>
      <c r="D13245" s="3"/>
    </row>
    <row r="13246" spans="1:4">
      <c r="A13246" s="3"/>
      <c r="D13246" s="3"/>
    </row>
    <row r="13247" spans="1:4">
      <c r="A13247" s="3"/>
      <c r="D13247" s="3"/>
    </row>
    <row r="13248" spans="1:4">
      <c r="A13248" s="3"/>
      <c r="D13248" s="3"/>
    </row>
    <row r="13249" spans="1:4">
      <c r="A13249" s="3"/>
      <c r="D13249" s="3"/>
    </row>
    <row r="13250" spans="1:4">
      <c r="A13250" s="3"/>
      <c r="D13250" s="3"/>
    </row>
    <row r="13251" spans="1:4">
      <c r="A13251" s="3"/>
      <c r="D13251" s="3"/>
    </row>
    <row r="13252" spans="1:4">
      <c r="A13252" s="3"/>
      <c r="D13252" s="3"/>
    </row>
    <row r="13253" spans="1:4">
      <c r="A13253" s="3"/>
      <c r="D13253" s="3"/>
    </row>
    <row r="13254" spans="1:4">
      <c r="A13254" s="3"/>
      <c r="D13254" s="3"/>
    </row>
    <row r="13255" spans="1:4">
      <c r="A13255" s="3"/>
      <c r="D13255" s="3"/>
    </row>
    <row r="13256" spans="1:4">
      <c r="A13256" s="3"/>
      <c r="D13256" s="3"/>
    </row>
    <row r="13257" spans="1:4">
      <c r="A13257" s="3"/>
      <c r="D13257" s="3"/>
    </row>
    <row r="13258" spans="1:4">
      <c r="A13258" s="3"/>
      <c r="D13258" s="3"/>
    </row>
    <row r="13259" spans="1:4">
      <c r="A13259" s="3"/>
      <c r="D13259" s="3"/>
    </row>
    <row r="13260" spans="1:4">
      <c r="A13260" s="3"/>
      <c r="D13260" s="3"/>
    </row>
    <row r="13261" spans="1:4">
      <c r="A13261" s="3"/>
      <c r="D13261" s="3"/>
    </row>
    <row r="13262" spans="1:4">
      <c r="A13262" s="3"/>
      <c r="D13262" s="3"/>
    </row>
    <row r="13263" spans="1:4">
      <c r="A13263" s="3"/>
      <c r="D13263" s="3"/>
    </row>
    <row r="13264" spans="1:4">
      <c r="A13264" s="3"/>
      <c r="D13264" s="3"/>
    </row>
    <row r="13265" spans="1:4">
      <c r="A13265" s="3"/>
      <c r="D13265" s="3"/>
    </row>
    <row r="13266" spans="1:4">
      <c r="A13266" s="3"/>
      <c r="D13266" s="3"/>
    </row>
    <row r="13267" spans="1:4">
      <c r="A13267" s="3"/>
      <c r="D13267" s="3"/>
    </row>
    <row r="13268" spans="1:4">
      <c r="A13268" s="3"/>
      <c r="D13268" s="3"/>
    </row>
    <row r="13269" spans="1:4">
      <c r="A13269" s="3"/>
      <c r="D13269" s="3"/>
    </row>
    <row r="13270" spans="1:4">
      <c r="A13270" s="3"/>
      <c r="D13270" s="3"/>
    </row>
    <row r="13271" spans="1:4">
      <c r="A13271" s="3"/>
      <c r="D13271" s="3"/>
    </row>
    <row r="13272" spans="1:4">
      <c r="A13272" s="3"/>
      <c r="D13272" s="3"/>
    </row>
    <row r="13273" spans="1:4">
      <c r="A13273" s="3"/>
      <c r="D13273" s="3"/>
    </row>
    <row r="13274" spans="1:4">
      <c r="A13274" s="3"/>
      <c r="D13274" s="3"/>
    </row>
    <row r="13275" spans="1:4">
      <c r="A13275" s="3"/>
      <c r="D13275" s="3"/>
    </row>
    <row r="13276" spans="1:4">
      <c r="A13276" s="3"/>
      <c r="D13276" s="3"/>
    </row>
    <row r="13277" spans="1:4">
      <c r="A13277" s="3"/>
      <c r="D13277" s="3"/>
    </row>
    <row r="13278" spans="1:4">
      <c r="A13278" s="3"/>
      <c r="D13278" s="3"/>
    </row>
    <row r="13279" spans="1:4">
      <c r="A13279" s="3"/>
      <c r="D13279" s="3"/>
    </row>
    <row r="13280" spans="1:4">
      <c r="A13280" s="3"/>
      <c r="D13280" s="3"/>
    </row>
    <row r="13281" spans="1:4">
      <c r="A13281" s="3"/>
      <c r="D13281" s="3"/>
    </row>
    <row r="13282" spans="1:4">
      <c r="A13282" s="3"/>
      <c r="D13282" s="3"/>
    </row>
    <row r="13283" spans="1:4">
      <c r="A13283" s="3"/>
      <c r="D13283" s="3"/>
    </row>
    <row r="13284" spans="1:4">
      <c r="A13284" s="3"/>
      <c r="D13284" s="3"/>
    </row>
    <row r="13285" spans="1:4">
      <c r="A13285" s="3"/>
      <c r="D13285" s="3"/>
    </row>
    <row r="13286" spans="1:4">
      <c r="A13286" s="3"/>
      <c r="D13286" s="3"/>
    </row>
    <row r="13287" spans="1:4">
      <c r="A13287" s="3"/>
      <c r="D13287" s="3"/>
    </row>
    <row r="13288" spans="1:4">
      <c r="A13288" s="3"/>
      <c r="D13288" s="3"/>
    </row>
    <row r="13289" spans="1:4">
      <c r="A13289" s="3"/>
      <c r="D13289" s="3"/>
    </row>
    <row r="13290" spans="1:4">
      <c r="A13290" s="3"/>
      <c r="D13290" s="3"/>
    </row>
    <row r="13291" spans="1:4">
      <c r="A13291" s="3"/>
      <c r="D13291" s="3"/>
    </row>
    <row r="13292" spans="1:4">
      <c r="A13292" s="3"/>
      <c r="D13292" s="3"/>
    </row>
    <row r="13293" spans="1:4">
      <c r="A13293" s="3"/>
      <c r="D13293" s="3"/>
    </row>
    <row r="13294" spans="1:4">
      <c r="A13294" s="3"/>
      <c r="D13294" s="3"/>
    </row>
    <row r="13295" spans="1:4">
      <c r="A13295" s="3"/>
      <c r="D13295" s="3"/>
    </row>
    <row r="13296" spans="1:4">
      <c r="A13296" s="3"/>
      <c r="D13296" s="3"/>
    </row>
    <row r="13297" spans="1:4">
      <c r="A13297" s="3"/>
      <c r="D13297" s="3"/>
    </row>
    <row r="13298" spans="1:4">
      <c r="A13298" s="3"/>
      <c r="D13298" s="3"/>
    </row>
    <row r="13299" spans="1:4">
      <c r="A13299" s="3"/>
      <c r="D13299" s="3"/>
    </row>
    <row r="13300" spans="1:4">
      <c r="A13300" s="3"/>
      <c r="D13300" s="3"/>
    </row>
    <row r="13301" spans="1:4">
      <c r="A13301" s="3"/>
      <c r="D13301" s="3"/>
    </row>
    <row r="13302" spans="1:4">
      <c r="A13302" s="3"/>
      <c r="D13302" s="3"/>
    </row>
    <row r="13303" spans="1:4">
      <c r="A13303" s="3"/>
      <c r="D13303" s="3"/>
    </row>
    <row r="13304" spans="1:4">
      <c r="A13304" s="3"/>
      <c r="D13304" s="3"/>
    </row>
    <row r="13305" spans="1:4">
      <c r="A13305" s="3"/>
      <c r="D13305" s="3"/>
    </row>
    <row r="13306" spans="1:4">
      <c r="A13306" s="3"/>
      <c r="D13306" s="3"/>
    </row>
    <row r="13307" spans="1:4">
      <c r="A13307" s="3"/>
      <c r="D13307" s="3"/>
    </row>
    <row r="13308" spans="1:4">
      <c r="A13308" s="3"/>
      <c r="D13308" s="3"/>
    </row>
    <row r="13309" spans="1:4">
      <c r="A13309" s="3"/>
      <c r="D13309" s="3"/>
    </row>
    <row r="13310" spans="1:4">
      <c r="A13310" s="3"/>
      <c r="D13310" s="3"/>
    </row>
    <row r="13311" spans="1:4">
      <c r="A13311" s="3"/>
      <c r="D13311" s="3"/>
    </row>
    <row r="13312" spans="1:4">
      <c r="A13312" s="3"/>
      <c r="D13312" s="3"/>
    </row>
    <row r="13313" spans="1:4">
      <c r="A13313" s="3"/>
      <c r="D13313" s="3"/>
    </row>
    <row r="13314" spans="1:4">
      <c r="A13314" s="3"/>
      <c r="D13314" s="3"/>
    </row>
    <row r="13315" spans="1:4">
      <c r="A13315" s="3"/>
      <c r="D13315" s="3"/>
    </row>
    <row r="13316" spans="1:4">
      <c r="A13316" s="3"/>
      <c r="D13316" s="3"/>
    </row>
    <row r="13317" spans="1:4">
      <c r="A13317" s="3"/>
      <c r="D13317" s="3"/>
    </row>
    <row r="13318" spans="1:4">
      <c r="A13318" s="3"/>
      <c r="D13318" s="3"/>
    </row>
    <row r="13319" spans="1:4">
      <c r="A13319" s="3"/>
      <c r="D13319" s="3"/>
    </row>
    <row r="13320" spans="1:4">
      <c r="A13320" s="3"/>
      <c r="D13320" s="3"/>
    </row>
    <row r="13321" spans="1:4">
      <c r="A13321" s="3"/>
      <c r="D13321" s="3"/>
    </row>
    <row r="13322" spans="1:4">
      <c r="A13322" s="3"/>
      <c r="D13322" s="3"/>
    </row>
    <row r="13323" spans="1:4">
      <c r="A13323" s="3"/>
      <c r="D13323" s="3"/>
    </row>
    <row r="13324" spans="1:4">
      <c r="A13324" s="3"/>
      <c r="D13324" s="3"/>
    </row>
    <row r="13325" spans="1:4">
      <c r="A13325" s="3"/>
      <c r="D13325" s="3"/>
    </row>
    <row r="13326" spans="1:4">
      <c r="A13326" s="3"/>
      <c r="D13326" s="3"/>
    </row>
    <row r="13327" spans="1:4">
      <c r="A13327" s="3"/>
      <c r="D13327" s="3"/>
    </row>
    <row r="13328" spans="1:4">
      <c r="A13328" s="3"/>
      <c r="D13328" s="3"/>
    </row>
    <row r="13329" spans="1:4">
      <c r="A13329" s="3"/>
      <c r="D13329" s="3"/>
    </row>
    <row r="13330" spans="1:4">
      <c r="A13330" s="3"/>
      <c r="D13330" s="3"/>
    </row>
    <row r="13331" spans="1:4">
      <c r="A13331" s="3"/>
      <c r="D13331" s="3"/>
    </row>
    <row r="13332" spans="1:4">
      <c r="A13332" s="3"/>
      <c r="D13332" s="3"/>
    </row>
    <row r="13333" spans="1:4">
      <c r="A13333" s="3"/>
      <c r="D13333" s="3"/>
    </row>
    <row r="13334" spans="1:4">
      <c r="A13334" s="3"/>
      <c r="D13334" s="3"/>
    </row>
    <row r="13335" spans="1:4">
      <c r="A13335" s="3"/>
      <c r="D13335" s="3"/>
    </row>
    <row r="13336" spans="1:4">
      <c r="A13336" s="3"/>
      <c r="D13336" s="3"/>
    </row>
    <row r="13337" spans="1:4">
      <c r="A13337" s="3"/>
      <c r="D13337" s="3"/>
    </row>
    <row r="13338" spans="1:4">
      <c r="A13338" s="3"/>
      <c r="D13338" s="3"/>
    </row>
    <row r="13339" spans="1:4">
      <c r="A13339" s="3"/>
      <c r="D13339" s="3"/>
    </row>
    <row r="13340" spans="1:4">
      <c r="A13340" s="3"/>
      <c r="D13340" s="3"/>
    </row>
    <row r="13341" spans="1:4">
      <c r="A13341" s="3"/>
      <c r="D13341" s="3"/>
    </row>
    <row r="13342" spans="1:4">
      <c r="A13342" s="3"/>
      <c r="D13342" s="3"/>
    </row>
    <row r="13343" spans="1:4">
      <c r="A13343" s="3"/>
      <c r="D13343" s="3"/>
    </row>
    <row r="13344" spans="1:4">
      <c r="A13344" s="3"/>
      <c r="D13344" s="3"/>
    </row>
    <row r="13345" spans="1:4">
      <c r="A13345" s="3"/>
      <c r="D13345" s="3"/>
    </row>
    <row r="13346" spans="1:4">
      <c r="A13346" s="3"/>
      <c r="D13346" s="3"/>
    </row>
    <row r="13347" spans="1:4">
      <c r="A13347" s="3"/>
      <c r="D13347" s="3"/>
    </row>
    <row r="13348" spans="1:4">
      <c r="A13348" s="3"/>
      <c r="D13348" s="3"/>
    </row>
    <row r="13349" spans="1:4">
      <c r="A13349" s="3"/>
      <c r="D13349" s="3"/>
    </row>
    <row r="13350" spans="1:4">
      <c r="A13350" s="3"/>
      <c r="D13350" s="3"/>
    </row>
    <row r="13351" spans="1:4">
      <c r="A13351" s="3"/>
      <c r="D13351" s="3"/>
    </row>
    <row r="13352" spans="1:4">
      <c r="A13352" s="3"/>
      <c r="D13352" s="3"/>
    </row>
    <row r="13353" spans="1:4">
      <c r="A13353" s="3"/>
      <c r="D13353" s="3"/>
    </row>
    <row r="13354" spans="1:4">
      <c r="A13354" s="3"/>
      <c r="D13354" s="3"/>
    </row>
    <row r="13355" spans="1:4">
      <c r="A13355" s="3"/>
      <c r="D13355" s="3"/>
    </row>
    <row r="13356" spans="1:4">
      <c r="A13356" s="3"/>
      <c r="D13356" s="3"/>
    </row>
    <row r="13357" spans="1:4">
      <c r="A13357" s="3"/>
      <c r="D13357" s="3"/>
    </row>
    <row r="13358" spans="1:4">
      <c r="A13358" s="3"/>
      <c r="D13358" s="3"/>
    </row>
    <row r="13359" spans="1:4">
      <c r="A13359" s="3"/>
      <c r="D13359" s="3"/>
    </row>
    <row r="13360" spans="1:4">
      <c r="A13360" s="3"/>
      <c r="D13360" s="3"/>
    </row>
    <row r="13361" spans="1:4">
      <c r="A13361" s="3"/>
      <c r="D13361" s="3"/>
    </row>
    <row r="13362" spans="1:4">
      <c r="A13362" s="3"/>
      <c r="D13362" s="3"/>
    </row>
    <row r="13363" spans="1:4">
      <c r="A13363" s="3"/>
      <c r="D13363" s="3"/>
    </row>
    <row r="13364" spans="1:4">
      <c r="A13364" s="3"/>
      <c r="D13364" s="3"/>
    </row>
    <row r="13365" spans="1:4">
      <c r="A13365" s="3"/>
      <c r="D13365" s="3"/>
    </row>
    <row r="13366" spans="1:4">
      <c r="A13366" s="3"/>
      <c r="D13366" s="3"/>
    </row>
    <row r="13367" spans="1:4">
      <c r="A13367" s="3"/>
      <c r="D13367" s="3"/>
    </row>
    <row r="13368" spans="1:4">
      <c r="A13368" s="3"/>
      <c r="D13368" s="3"/>
    </row>
    <row r="13369" spans="1:4">
      <c r="A13369" s="3"/>
      <c r="D13369" s="3"/>
    </row>
    <row r="13370" spans="1:4">
      <c r="A13370" s="3"/>
      <c r="D13370" s="3"/>
    </row>
    <row r="13371" spans="1:4">
      <c r="A13371" s="3"/>
      <c r="D13371" s="3"/>
    </row>
    <row r="13372" spans="1:4">
      <c r="A13372" s="3"/>
      <c r="D13372" s="3"/>
    </row>
    <row r="13373" spans="1:4">
      <c r="A13373" s="3"/>
      <c r="D13373" s="3"/>
    </row>
    <row r="13374" spans="1:4">
      <c r="A13374" s="3"/>
      <c r="D13374" s="3"/>
    </row>
    <row r="13375" spans="1:4">
      <c r="A13375" s="3"/>
      <c r="D13375" s="3"/>
    </row>
    <row r="13376" spans="1:4">
      <c r="A13376" s="3"/>
      <c r="D13376" s="3"/>
    </row>
    <row r="13377" spans="1:4">
      <c r="A13377" s="3"/>
      <c r="D13377" s="3"/>
    </row>
    <row r="13378" spans="1:4">
      <c r="A13378" s="3"/>
      <c r="D13378" s="3"/>
    </row>
    <row r="13379" spans="1:4">
      <c r="A13379" s="3"/>
      <c r="D13379" s="3"/>
    </row>
    <row r="13380" spans="1:4">
      <c r="A13380" s="3"/>
      <c r="D13380" s="3"/>
    </row>
    <row r="13381" spans="1:4">
      <c r="A13381" s="3"/>
      <c r="D13381" s="3"/>
    </row>
    <row r="13382" spans="1:4">
      <c r="A13382" s="3"/>
      <c r="D13382" s="3"/>
    </row>
    <row r="13383" spans="1:4">
      <c r="A13383" s="3"/>
      <c r="D13383" s="3"/>
    </row>
    <row r="13384" spans="1:4">
      <c r="A13384" s="3"/>
      <c r="D13384" s="3"/>
    </row>
    <row r="13385" spans="1:4">
      <c r="A13385" s="3"/>
      <c r="D13385" s="3"/>
    </row>
    <row r="13386" spans="1:4">
      <c r="A13386" s="3"/>
      <c r="D13386" s="3"/>
    </row>
    <row r="13387" spans="1:4">
      <c r="A13387" s="3"/>
      <c r="D13387" s="3"/>
    </row>
    <row r="13388" spans="1:4">
      <c r="A13388" s="3"/>
      <c r="D13388" s="3"/>
    </row>
    <row r="13389" spans="1:4">
      <c r="A13389" s="3"/>
      <c r="D13389" s="3"/>
    </row>
    <row r="13390" spans="1:4">
      <c r="A13390" s="3"/>
      <c r="D13390" s="3"/>
    </row>
    <row r="13391" spans="1:4">
      <c r="A13391" s="3"/>
      <c r="D13391" s="3"/>
    </row>
    <row r="13392" spans="1:4">
      <c r="A13392" s="3"/>
      <c r="D13392" s="3"/>
    </row>
    <row r="13393" spans="1:4">
      <c r="A13393" s="3"/>
      <c r="D13393" s="3"/>
    </row>
    <row r="13394" spans="1:4">
      <c r="A13394" s="3"/>
      <c r="D13394" s="3"/>
    </row>
    <row r="13395" spans="1:4">
      <c r="A13395" s="3"/>
      <c r="D13395" s="3"/>
    </row>
    <row r="13396" spans="1:4">
      <c r="A13396" s="3"/>
      <c r="D13396" s="3"/>
    </row>
    <row r="13397" spans="1:4">
      <c r="A13397" s="3"/>
      <c r="D13397" s="3"/>
    </row>
    <row r="13398" spans="1:4">
      <c r="A13398" s="3"/>
      <c r="D13398" s="3"/>
    </row>
    <row r="13399" spans="1:4">
      <c r="A13399" s="3"/>
      <c r="D13399" s="3"/>
    </row>
    <row r="13400" spans="1:4">
      <c r="A13400" s="3"/>
      <c r="D13400" s="3"/>
    </row>
    <row r="13401" spans="1:4">
      <c r="A13401" s="3"/>
      <c r="D13401" s="3"/>
    </row>
    <row r="13402" spans="1:4">
      <c r="A13402" s="3"/>
      <c r="D13402" s="3"/>
    </row>
    <row r="13403" spans="1:4">
      <c r="A13403" s="3"/>
      <c r="D13403" s="3"/>
    </row>
    <row r="13404" spans="1:4">
      <c r="A13404" s="3"/>
      <c r="D13404" s="3"/>
    </row>
    <row r="13405" spans="1:4">
      <c r="A13405" s="3"/>
      <c r="D13405" s="3"/>
    </row>
    <row r="13406" spans="1:4">
      <c r="A13406" s="3"/>
      <c r="D13406" s="3"/>
    </row>
    <row r="13407" spans="1:4">
      <c r="A13407" s="3"/>
      <c r="D13407" s="3"/>
    </row>
    <row r="13408" spans="1:4">
      <c r="A13408" s="3"/>
      <c r="D13408" s="3"/>
    </row>
    <row r="13409" spans="1:4">
      <c r="A13409" s="3"/>
      <c r="D13409" s="3"/>
    </row>
    <row r="13410" spans="1:4">
      <c r="A13410" s="3"/>
      <c r="D13410" s="3"/>
    </row>
    <row r="13411" spans="1:4">
      <c r="A13411" s="3"/>
      <c r="D13411" s="3"/>
    </row>
    <row r="13412" spans="1:4">
      <c r="A13412" s="3"/>
      <c r="D13412" s="3"/>
    </row>
    <row r="13413" spans="1:4">
      <c r="A13413" s="3"/>
      <c r="D13413" s="3"/>
    </row>
    <row r="13414" spans="1:4">
      <c r="A13414" s="3"/>
      <c r="D13414" s="3"/>
    </row>
    <row r="13415" spans="1:4">
      <c r="A13415" s="3"/>
      <c r="D13415" s="3"/>
    </row>
    <row r="13416" spans="1:4">
      <c r="A13416" s="3"/>
      <c r="D13416" s="3"/>
    </row>
    <row r="13417" spans="1:4">
      <c r="A13417" s="3"/>
      <c r="D13417" s="3"/>
    </row>
    <row r="13418" spans="1:4">
      <c r="A13418" s="3"/>
      <c r="D13418" s="3"/>
    </row>
    <row r="13419" spans="1:4">
      <c r="A13419" s="3"/>
      <c r="D13419" s="3"/>
    </row>
    <row r="13420" spans="1:4">
      <c r="A13420" s="3"/>
      <c r="D13420" s="3"/>
    </row>
    <row r="13421" spans="1:4">
      <c r="A13421" s="3"/>
      <c r="D13421" s="3"/>
    </row>
    <row r="13422" spans="1:4">
      <c r="A13422" s="3"/>
      <c r="D13422" s="3"/>
    </row>
    <row r="13423" spans="1:4">
      <c r="A13423" s="3"/>
      <c r="D13423" s="3"/>
    </row>
    <row r="13424" spans="1:4">
      <c r="A13424" s="3"/>
      <c r="D13424" s="3"/>
    </row>
    <row r="13425" spans="1:4">
      <c r="A13425" s="3"/>
      <c r="D13425" s="3"/>
    </row>
    <row r="13426" spans="1:4">
      <c r="A13426" s="3"/>
      <c r="D13426" s="3"/>
    </row>
    <row r="13427" spans="1:4">
      <c r="A13427" s="3"/>
      <c r="D13427" s="3"/>
    </row>
    <row r="13428" spans="1:4">
      <c r="A13428" s="3"/>
      <c r="D13428" s="3"/>
    </row>
    <row r="13429" spans="1:4">
      <c r="A13429" s="3"/>
      <c r="D13429" s="3"/>
    </row>
    <row r="13430" spans="1:4">
      <c r="A13430" s="3"/>
      <c r="D13430" s="3"/>
    </row>
    <row r="13431" spans="1:4">
      <c r="A13431" s="3"/>
      <c r="D13431" s="3"/>
    </row>
    <row r="13432" spans="1:4">
      <c r="A13432" s="3"/>
      <c r="D13432" s="3"/>
    </row>
    <row r="13433" spans="1:4">
      <c r="A13433" s="3"/>
      <c r="D13433" s="3"/>
    </row>
    <row r="13434" spans="1:4">
      <c r="A13434" s="3"/>
      <c r="D13434" s="3"/>
    </row>
    <row r="13435" spans="1:4">
      <c r="A13435" s="3"/>
      <c r="D13435" s="3"/>
    </row>
    <row r="13436" spans="1:4">
      <c r="A13436" s="3"/>
      <c r="D13436" s="3"/>
    </row>
    <row r="13437" spans="1:4">
      <c r="A13437" s="3"/>
      <c r="D13437" s="3"/>
    </row>
    <row r="13438" spans="1:4">
      <c r="A13438" s="3"/>
      <c r="D13438" s="3"/>
    </row>
    <row r="13439" spans="1:4">
      <c r="A13439" s="3"/>
      <c r="D13439" s="3"/>
    </row>
    <row r="13440" spans="1:4">
      <c r="A13440" s="3"/>
      <c r="D13440" s="3"/>
    </row>
    <row r="13441" spans="1:4">
      <c r="A13441" s="3"/>
      <c r="D13441" s="3"/>
    </row>
    <row r="13442" spans="1:4">
      <c r="A13442" s="3"/>
      <c r="D13442" s="3"/>
    </row>
    <row r="13443" spans="1:4">
      <c r="A13443" s="3"/>
      <c r="D13443" s="3"/>
    </row>
    <row r="13444" spans="1:4">
      <c r="A13444" s="3"/>
      <c r="D13444" s="3"/>
    </row>
    <row r="13445" spans="1:4">
      <c r="A13445" s="3"/>
      <c r="D13445" s="3"/>
    </row>
    <row r="13446" spans="1:4">
      <c r="A13446" s="3"/>
      <c r="D13446" s="3"/>
    </row>
    <row r="13447" spans="1:4">
      <c r="A13447" s="3"/>
      <c r="D13447" s="3"/>
    </row>
    <row r="13448" spans="1:4">
      <c r="A13448" s="3"/>
      <c r="D13448" s="3"/>
    </row>
    <row r="13449" spans="1:4">
      <c r="A13449" s="3"/>
      <c r="D13449" s="3"/>
    </row>
    <row r="13450" spans="1:4">
      <c r="A13450" s="3"/>
      <c r="D13450" s="3"/>
    </row>
    <row r="13451" spans="1:4">
      <c r="A13451" s="3"/>
      <c r="D13451" s="3"/>
    </row>
    <row r="13452" spans="1:4">
      <c r="A13452" s="3"/>
      <c r="D13452" s="3"/>
    </row>
    <row r="13453" spans="1:4">
      <c r="A13453" s="3"/>
      <c r="D13453" s="3"/>
    </row>
    <row r="13454" spans="1:4">
      <c r="A13454" s="3"/>
      <c r="D13454" s="3"/>
    </row>
    <row r="13455" spans="1:4">
      <c r="A13455" s="3"/>
      <c r="D13455" s="3"/>
    </row>
    <row r="13456" spans="1:4">
      <c r="A13456" s="3"/>
      <c r="D13456" s="3"/>
    </row>
    <row r="13457" spans="1:4">
      <c r="A13457" s="3"/>
      <c r="D13457" s="3"/>
    </row>
    <row r="13458" spans="1:4">
      <c r="A13458" s="3"/>
      <c r="D13458" s="3"/>
    </row>
    <row r="13459" spans="1:4">
      <c r="A13459" s="3"/>
      <c r="D13459" s="3"/>
    </row>
    <row r="13460" spans="1:4">
      <c r="A13460" s="3"/>
      <c r="D13460" s="3"/>
    </row>
    <row r="13461" spans="1:4">
      <c r="A13461" s="3"/>
      <c r="D13461" s="3"/>
    </row>
    <row r="13462" spans="1:4">
      <c r="A13462" s="3"/>
      <c r="D13462" s="3"/>
    </row>
    <row r="13463" spans="1:4">
      <c r="A13463" s="3"/>
      <c r="D13463" s="3"/>
    </row>
    <row r="13464" spans="1:4">
      <c r="A13464" s="3"/>
      <c r="D13464" s="3"/>
    </row>
    <row r="13465" spans="1:4">
      <c r="A13465" s="3"/>
      <c r="D13465" s="3"/>
    </row>
    <row r="13466" spans="1:4">
      <c r="A13466" s="3"/>
      <c r="D13466" s="3"/>
    </row>
    <row r="13467" spans="1:4">
      <c r="A13467" s="3"/>
      <c r="D13467" s="3"/>
    </row>
    <row r="13468" spans="1:4">
      <c r="A13468" s="3"/>
      <c r="D13468" s="3"/>
    </row>
    <row r="13469" spans="1:4">
      <c r="A13469" s="3"/>
      <c r="D13469" s="3"/>
    </row>
    <row r="13470" spans="1:4">
      <c r="A13470" s="3"/>
      <c r="D13470" s="3"/>
    </row>
    <row r="13471" spans="1:4">
      <c r="A13471" s="3"/>
      <c r="D13471" s="3"/>
    </row>
    <row r="13472" spans="1:4">
      <c r="A13472" s="3"/>
      <c r="D13472" s="3"/>
    </row>
    <row r="13473" spans="1:4">
      <c r="A13473" s="3"/>
      <c r="D13473" s="3"/>
    </row>
    <row r="13474" spans="1:4">
      <c r="A13474" s="3"/>
      <c r="D13474" s="3"/>
    </row>
    <row r="13475" spans="1:4">
      <c r="A13475" s="3"/>
      <c r="D13475" s="3"/>
    </row>
    <row r="13476" spans="1:4">
      <c r="A13476" s="3"/>
      <c r="D13476" s="3"/>
    </row>
    <row r="13477" spans="1:4">
      <c r="A13477" s="3"/>
      <c r="D13477" s="3"/>
    </row>
    <row r="13478" spans="1:4">
      <c r="A13478" s="3"/>
      <c r="D13478" s="3"/>
    </row>
    <row r="13479" spans="1:4">
      <c r="A13479" s="3"/>
      <c r="D13479" s="3"/>
    </row>
    <row r="13480" spans="1:4">
      <c r="A13480" s="3"/>
      <c r="D13480" s="3"/>
    </row>
    <row r="13481" spans="1:4">
      <c r="A13481" s="3"/>
      <c r="D13481" s="3"/>
    </row>
    <row r="13482" spans="1:4">
      <c r="A13482" s="3"/>
      <c r="D13482" s="3"/>
    </row>
    <row r="13483" spans="1:4">
      <c r="A13483" s="3"/>
      <c r="D13483" s="3"/>
    </row>
    <row r="13484" spans="1:4">
      <c r="A13484" s="3"/>
      <c r="D13484" s="3"/>
    </row>
    <row r="13485" spans="1:4">
      <c r="A13485" s="3"/>
      <c r="D13485" s="3"/>
    </row>
    <row r="13486" spans="1:4">
      <c r="A13486" s="3"/>
      <c r="D13486" s="3"/>
    </row>
    <row r="13487" spans="1:4">
      <c r="A13487" s="3"/>
      <c r="D13487" s="3"/>
    </row>
    <row r="13488" spans="1:4">
      <c r="A13488" s="3"/>
      <c r="D13488" s="3"/>
    </row>
    <row r="13489" spans="1:4">
      <c r="A13489" s="3"/>
      <c r="D13489" s="3"/>
    </row>
    <row r="13490" spans="1:4">
      <c r="A13490" s="3"/>
      <c r="D13490" s="3"/>
    </row>
    <row r="13491" spans="1:4">
      <c r="A13491" s="3"/>
      <c r="D13491" s="3"/>
    </row>
    <row r="13492" spans="1:4">
      <c r="A13492" s="3"/>
      <c r="D13492" s="3"/>
    </row>
    <row r="13493" spans="1:4">
      <c r="A13493" s="3"/>
      <c r="D13493" s="3"/>
    </row>
    <row r="13494" spans="1:4">
      <c r="A13494" s="3"/>
      <c r="D13494" s="3"/>
    </row>
    <row r="13495" spans="1:4">
      <c r="A13495" s="3"/>
      <c r="D13495" s="3"/>
    </row>
    <row r="13496" spans="1:4">
      <c r="A13496" s="3"/>
      <c r="D13496" s="3"/>
    </row>
    <row r="13497" spans="1:4">
      <c r="A13497" s="3"/>
      <c r="D13497" s="3"/>
    </row>
    <row r="13498" spans="1:4">
      <c r="A13498" s="3"/>
      <c r="D13498" s="3"/>
    </row>
    <row r="13499" spans="1:4">
      <c r="A13499" s="3"/>
      <c r="D13499" s="3"/>
    </row>
    <row r="13500" spans="1:4">
      <c r="A13500" s="3"/>
      <c r="D13500" s="3"/>
    </row>
    <row r="13501" spans="1:4">
      <c r="A13501" s="3"/>
      <c r="D13501" s="3"/>
    </row>
    <row r="13502" spans="1:4">
      <c r="A13502" s="3"/>
      <c r="D13502" s="3"/>
    </row>
    <row r="13503" spans="1:4">
      <c r="A13503" s="3"/>
      <c r="D13503" s="3"/>
    </row>
    <row r="13504" spans="1:4">
      <c r="A13504" s="3"/>
      <c r="D13504" s="3"/>
    </row>
    <row r="13505" spans="1:4">
      <c r="A13505" s="3"/>
      <c r="D13505" s="3"/>
    </row>
    <row r="13506" spans="1:4">
      <c r="A13506" s="3"/>
      <c r="D13506" s="3"/>
    </row>
    <row r="13507" spans="1:4">
      <c r="A13507" s="3"/>
      <c r="D13507" s="3"/>
    </row>
    <row r="13508" spans="1:4">
      <c r="A13508" s="3"/>
      <c r="D13508" s="3"/>
    </row>
    <row r="13509" spans="1:4">
      <c r="A13509" s="3"/>
      <c r="D13509" s="3"/>
    </row>
    <row r="13510" spans="1:4">
      <c r="A13510" s="3"/>
      <c r="D13510" s="3"/>
    </row>
    <row r="13511" spans="1:4">
      <c r="A13511" s="3"/>
      <c r="D13511" s="3"/>
    </row>
    <row r="13512" spans="1:4">
      <c r="A13512" s="3"/>
      <c r="D13512" s="3"/>
    </row>
    <row r="13513" spans="1:4">
      <c r="A13513" s="3"/>
      <c r="D13513" s="3"/>
    </row>
    <row r="13514" spans="1:4">
      <c r="A13514" s="3"/>
      <c r="D13514" s="3"/>
    </row>
    <row r="13515" spans="1:4">
      <c r="A13515" s="3"/>
      <c r="D13515" s="3"/>
    </row>
    <row r="13516" spans="1:4">
      <c r="A13516" s="3"/>
      <c r="D13516" s="3"/>
    </row>
    <row r="13517" spans="1:4">
      <c r="A13517" s="3"/>
      <c r="D13517" s="3"/>
    </row>
    <row r="13518" spans="1:4">
      <c r="A13518" s="3"/>
      <c r="D13518" s="3"/>
    </row>
    <row r="13519" spans="1:4">
      <c r="A13519" s="3"/>
      <c r="D13519" s="3"/>
    </row>
    <row r="13520" spans="1:4">
      <c r="A13520" s="3"/>
      <c r="D13520" s="3"/>
    </row>
    <row r="13521" spans="1:4">
      <c r="A13521" s="3"/>
      <c r="D13521" s="3"/>
    </row>
    <row r="13522" spans="1:4">
      <c r="A13522" s="3"/>
      <c r="D13522" s="3"/>
    </row>
    <row r="13523" spans="1:4">
      <c r="A13523" s="3"/>
      <c r="D13523" s="3"/>
    </row>
    <row r="13524" spans="1:4">
      <c r="A13524" s="3"/>
      <c r="D13524" s="3"/>
    </row>
    <row r="13525" spans="1:4">
      <c r="A13525" s="3"/>
      <c r="D13525" s="3"/>
    </row>
    <row r="13526" spans="1:4">
      <c r="A13526" s="3"/>
      <c r="D13526" s="3"/>
    </row>
    <row r="13527" spans="1:4">
      <c r="A13527" s="3"/>
      <c r="D13527" s="3"/>
    </row>
    <row r="13528" spans="1:4">
      <c r="A13528" s="3"/>
      <c r="D13528" s="3"/>
    </row>
    <row r="13529" spans="1:4">
      <c r="A13529" s="3"/>
      <c r="D13529" s="3"/>
    </row>
    <row r="13530" spans="1:4">
      <c r="A13530" s="3"/>
      <c r="D13530" s="3"/>
    </row>
    <row r="13531" spans="1:4">
      <c r="A13531" s="3"/>
      <c r="D13531" s="3"/>
    </row>
    <row r="13532" spans="1:4">
      <c r="A13532" s="3"/>
      <c r="D13532" s="3"/>
    </row>
    <row r="13533" spans="1:4">
      <c r="A13533" s="3"/>
      <c r="D13533" s="3"/>
    </row>
    <row r="13534" spans="1:4">
      <c r="A13534" s="3"/>
      <c r="D13534" s="3"/>
    </row>
    <row r="13535" spans="1:4">
      <c r="A13535" s="3"/>
      <c r="D13535" s="3"/>
    </row>
    <row r="13536" spans="1:4">
      <c r="A13536" s="3"/>
      <c r="D13536" s="3"/>
    </row>
    <row r="13537" spans="1:4">
      <c r="A13537" s="3"/>
      <c r="D13537" s="3"/>
    </row>
    <row r="13538" spans="1:4">
      <c r="A13538" s="3"/>
      <c r="D13538" s="3"/>
    </row>
    <row r="13539" spans="1:4">
      <c r="A13539" s="3"/>
      <c r="D13539" s="3"/>
    </row>
    <row r="13540" spans="1:4">
      <c r="A13540" s="3"/>
      <c r="D13540" s="3"/>
    </row>
    <row r="13541" spans="1:4">
      <c r="A13541" s="3"/>
      <c r="D13541" s="3"/>
    </row>
    <row r="13542" spans="1:4">
      <c r="A13542" s="3"/>
      <c r="D13542" s="3"/>
    </row>
    <row r="13543" spans="1:4">
      <c r="A13543" s="3"/>
      <c r="D13543" s="3"/>
    </row>
    <row r="13544" spans="1:4">
      <c r="A13544" s="3"/>
      <c r="D13544" s="3"/>
    </row>
    <row r="13545" spans="1:4">
      <c r="A13545" s="3"/>
      <c r="D13545" s="3"/>
    </row>
    <row r="13546" spans="1:4">
      <c r="A13546" s="3"/>
      <c r="D13546" s="3"/>
    </row>
    <row r="13547" spans="1:4">
      <c r="A13547" s="3"/>
      <c r="D13547" s="3"/>
    </row>
    <row r="13548" spans="1:4">
      <c r="A13548" s="3"/>
      <c r="D13548" s="3"/>
    </row>
    <row r="13549" spans="1:4">
      <c r="A13549" s="3"/>
      <c r="D13549" s="3"/>
    </row>
    <row r="13550" spans="1:4">
      <c r="A13550" s="3"/>
      <c r="D13550" s="3"/>
    </row>
    <row r="13551" spans="1:4">
      <c r="A13551" s="3"/>
      <c r="D13551" s="3"/>
    </row>
    <row r="13552" spans="1:4">
      <c r="A13552" s="3"/>
      <c r="D13552" s="3"/>
    </row>
    <row r="13553" spans="1:4">
      <c r="A13553" s="3"/>
      <c r="D13553" s="3"/>
    </row>
    <row r="13554" spans="1:4">
      <c r="A13554" s="3"/>
      <c r="D13554" s="3"/>
    </row>
    <row r="13555" spans="1:4">
      <c r="A13555" s="3"/>
      <c r="D13555" s="3"/>
    </row>
    <row r="13556" spans="1:4">
      <c r="A13556" s="3"/>
      <c r="D13556" s="3"/>
    </row>
    <row r="13557" spans="1:4">
      <c r="A13557" s="3"/>
      <c r="D13557" s="3"/>
    </row>
    <row r="13558" spans="1:4">
      <c r="A13558" s="3"/>
      <c r="D13558" s="3"/>
    </row>
    <row r="13559" spans="1:4">
      <c r="A13559" s="3"/>
      <c r="D13559" s="3"/>
    </row>
    <row r="13560" spans="1:4">
      <c r="A13560" s="3"/>
      <c r="D13560" s="3"/>
    </row>
    <row r="13561" spans="1:4">
      <c r="A13561" s="3"/>
      <c r="D13561" s="3"/>
    </row>
    <row r="13562" spans="1:4">
      <c r="A13562" s="3"/>
      <c r="D13562" s="3"/>
    </row>
    <row r="13563" spans="1:4">
      <c r="A13563" s="3"/>
      <c r="D13563" s="3"/>
    </row>
    <row r="13564" spans="1:4">
      <c r="A13564" s="3"/>
      <c r="D13564" s="3"/>
    </row>
    <row r="13565" spans="1:4">
      <c r="A13565" s="3"/>
      <c r="D13565" s="3"/>
    </row>
    <row r="13566" spans="1:4">
      <c r="A13566" s="3"/>
      <c r="D13566" s="3"/>
    </row>
    <row r="13567" spans="1:4">
      <c r="A13567" s="3"/>
      <c r="D13567" s="3"/>
    </row>
    <row r="13568" spans="1:4">
      <c r="A13568" s="3"/>
      <c r="D13568" s="3"/>
    </row>
    <row r="13569" spans="1:4">
      <c r="A13569" s="3"/>
      <c r="D13569" s="3"/>
    </row>
    <row r="13570" spans="1:4">
      <c r="A13570" s="3"/>
      <c r="D13570" s="3"/>
    </row>
    <row r="13571" spans="1:4">
      <c r="A13571" s="3"/>
      <c r="D13571" s="3"/>
    </row>
    <row r="13572" spans="1:4">
      <c r="A13572" s="3"/>
      <c r="D13572" s="3"/>
    </row>
    <row r="13573" spans="1:4">
      <c r="A13573" s="3"/>
      <c r="D13573" s="3"/>
    </row>
    <row r="13574" spans="1:4">
      <c r="A13574" s="3"/>
      <c r="D13574" s="3"/>
    </row>
    <row r="13575" spans="1:4">
      <c r="A13575" s="3"/>
      <c r="D13575" s="3"/>
    </row>
    <row r="13576" spans="1:4">
      <c r="A13576" s="3"/>
      <c r="D13576" s="3"/>
    </row>
    <row r="13577" spans="1:4">
      <c r="A13577" s="3"/>
      <c r="D13577" s="3"/>
    </row>
    <row r="13578" spans="1:4">
      <c r="A13578" s="3"/>
      <c r="D13578" s="3"/>
    </row>
    <row r="13579" spans="1:4">
      <c r="A13579" s="3"/>
      <c r="D13579" s="3"/>
    </row>
    <row r="13580" spans="1:4">
      <c r="A13580" s="3"/>
      <c r="D13580" s="3"/>
    </row>
    <row r="13581" spans="1:4">
      <c r="A13581" s="3"/>
      <c r="D13581" s="3"/>
    </row>
    <row r="13582" spans="1:4">
      <c r="A13582" s="3"/>
      <c r="D13582" s="3"/>
    </row>
    <row r="13583" spans="1:4">
      <c r="A13583" s="3"/>
      <c r="D13583" s="3"/>
    </row>
    <row r="13584" spans="1:4">
      <c r="A13584" s="3"/>
      <c r="D13584" s="3"/>
    </row>
    <row r="13585" spans="1:4">
      <c r="A13585" s="3"/>
      <c r="D13585" s="3"/>
    </row>
    <row r="13586" spans="1:4">
      <c r="A13586" s="3"/>
      <c r="D13586" s="3"/>
    </row>
    <row r="13587" spans="1:4">
      <c r="A13587" s="3"/>
      <c r="D13587" s="3"/>
    </row>
    <row r="13588" spans="1:4">
      <c r="A13588" s="3"/>
      <c r="D13588" s="3"/>
    </row>
    <row r="13589" spans="1:4">
      <c r="A13589" s="3"/>
      <c r="D13589" s="3"/>
    </row>
    <row r="13590" spans="1:4">
      <c r="A13590" s="3"/>
      <c r="D13590" s="3"/>
    </row>
    <row r="13591" spans="1:4">
      <c r="A13591" s="3"/>
      <c r="D13591" s="3"/>
    </row>
    <row r="13592" spans="1:4">
      <c r="A13592" s="3"/>
      <c r="D13592" s="3"/>
    </row>
    <row r="13593" spans="1:4">
      <c r="A13593" s="3"/>
      <c r="D13593" s="3"/>
    </row>
    <row r="13594" spans="1:4">
      <c r="A13594" s="3"/>
      <c r="D13594" s="3"/>
    </row>
    <row r="13595" spans="1:4">
      <c r="A13595" s="3"/>
      <c r="D13595" s="3"/>
    </row>
    <row r="13596" spans="1:4">
      <c r="A13596" s="3"/>
      <c r="D13596" s="3"/>
    </row>
    <row r="13597" spans="1:4">
      <c r="A13597" s="3"/>
      <c r="D13597" s="3"/>
    </row>
    <row r="13598" spans="1:4">
      <c r="A13598" s="3"/>
      <c r="D13598" s="3"/>
    </row>
    <row r="13599" spans="1:4">
      <c r="A13599" s="3"/>
      <c r="D13599" s="3"/>
    </row>
    <row r="13600" spans="1:4">
      <c r="A13600" s="3"/>
      <c r="D13600" s="3"/>
    </row>
    <row r="13601" spans="1:4">
      <c r="A13601" s="3"/>
      <c r="D13601" s="3"/>
    </row>
    <row r="13602" spans="1:4">
      <c r="A13602" s="3"/>
      <c r="D13602" s="3"/>
    </row>
    <row r="13603" spans="1:4">
      <c r="A13603" s="3"/>
      <c r="D13603" s="3"/>
    </row>
    <row r="13604" spans="1:4">
      <c r="A13604" s="3"/>
      <c r="D13604" s="3"/>
    </row>
    <row r="13605" spans="1:4">
      <c r="A13605" s="3"/>
      <c r="D13605" s="3"/>
    </row>
    <row r="13606" spans="1:4">
      <c r="A13606" s="3"/>
      <c r="D13606" s="3"/>
    </row>
    <row r="13607" spans="1:4">
      <c r="A13607" s="3"/>
      <c r="D13607" s="3"/>
    </row>
    <row r="13608" spans="1:4">
      <c r="A13608" s="3"/>
      <c r="D13608" s="3"/>
    </row>
    <row r="13609" spans="1:4">
      <c r="A13609" s="3"/>
      <c r="D13609" s="3"/>
    </row>
    <row r="13610" spans="1:4">
      <c r="A13610" s="3"/>
      <c r="D13610" s="3"/>
    </row>
    <row r="13611" spans="1:4">
      <c r="A13611" s="3"/>
      <c r="D13611" s="3"/>
    </row>
    <row r="13612" spans="1:4">
      <c r="A13612" s="3"/>
      <c r="D13612" s="3"/>
    </row>
    <row r="13613" spans="1:4">
      <c r="A13613" s="3"/>
      <c r="D13613" s="3"/>
    </row>
    <row r="13614" spans="1:4">
      <c r="A13614" s="3"/>
      <c r="D13614" s="3"/>
    </row>
    <row r="13615" spans="1:4">
      <c r="A13615" s="3"/>
      <c r="D13615" s="3"/>
    </row>
    <row r="13616" spans="1:4">
      <c r="A13616" s="3"/>
      <c r="D13616" s="3"/>
    </row>
    <row r="13617" spans="1:4">
      <c r="A13617" s="3"/>
      <c r="D13617" s="3"/>
    </row>
    <row r="13618" spans="1:4">
      <c r="A13618" s="3"/>
      <c r="D13618" s="3"/>
    </row>
    <row r="13619" spans="1:4">
      <c r="A13619" s="3"/>
      <c r="D13619" s="3"/>
    </row>
    <row r="13620" spans="1:4">
      <c r="A13620" s="3"/>
      <c r="D13620" s="3"/>
    </row>
    <row r="13621" spans="1:4">
      <c r="A13621" s="3"/>
      <c r="D13621" s="3"/>
    </row>
    <row r="13622" spans="1:4">
      <c r="A13622" s="3"/>
      <c r="D13622" s="3"/>
    </row>
    <row r="13623" spans="1:4">
      <c r="A13623" s="3"/>
      <c r="D13623" s="3"/>
    </row>
    <row r="13624" spans="1:4">
      <c r="A13624" s="3"/>
      <c r="D13624" s="3"/>
    </row>
    <row r="13625" spans="1:4">
      <c r="A13625" s="3"/>
      <c r="D13625" s="3"/>
    </row>
    <row r="13626" spans="1:4">
      <c r="A13626" s="3"/>
      <c r="D13626" s="3"/>
    </row>
    <row r="13627" spans="1:4">
      <c r="A13627" s="3"/>
      <c r="D13627" s="3"/>
    </row>
    <row r="13628" spans="1:4">
      <c r="A13628" s="3"/>
      <c r="D13628" s="3"/>
    </row>
    <row r="13629" spans="1:4">
      <c r="A13629" s="3"/>
      <c r="D13629" s="3"/>
    </row>
    <row r="13630" spans="1:4">
      <c r="A13630" s="3"/>
      <c r="D13630" s="3"/>
    </row>
    <row r="13631" spans="1:4">
      <c r="A13631" s="3"/>
      <c r="D13631" s="3"/>
    </row>
    <row r="13632" spans="1:4">
      <c r="A13632" s="3"/>
      <c r="D13632" s="3"/>
    </row>
    <row r="13633" spans="1:4">
      <c r="A13633" s="3"/>
      <c r="D13633" s="3"/>
    </row>
    <row r="13634" spans="1:4">
      <c r="A13634" s="3"/>
      <c r="D13634" s="3"/>
    </row>
    <row r="13635" spans="1:4">
      <c r="A13635" s="3"/>
      <c r="D13635" s="3"/>
    </row>
    <row r="13636" spans="1:4">
      <c r="A13636" s="3"/>
      <c r="D13636" s="3"/>
    </row>
    <row r="13637" spans="1:4">
      <c r="A13637" s="3"/>
      <c r="D13637" s="3"/>
    </row>
    <row r="13638" spans="1:4">
      <c r="A13638" s="3"/>
      <c r="D13638" s="3"/>
    </row>
    <row r="13639" spans="1:4">
      <c r="A13639" s="3"/>
      <c r="D13639" s="3"/>
    </row>
    <row r="13640" spans="1:4">
      <c r="A13640" s="3"/>
      <c r="D13640" s="3"/>
    </row>
    <row r="13641" spans="1:4">
      <c r="A13641" s="3"/>
      <c r="D13641" s="3"/>
    </row>
    <row r="13642" spans="1:4">
      <c r="A13642" s="3"/>
      <c r="D13642" s="3"/>
    </row>
    <row r="13643" spans="1:4">
      <c r="A13643" s="3"/>
      <c r="D13643" s="3"/>
    </row>
    <row r="13644" spans="1:4">
      <c r="A13644" s="3"/>
      <c r="D13644" s="3"/>
    </row>
    <row r="13645" spans="1:4">
      <c r="A13645" s="3"/>
      <c r="D13645" s="3"/>
    </row>
    <row r="13646" spans="1:4">
      <c r="A13646" s="3"/>
      <c r="D13646" s="3"/>
    </row>
    <row r="13647" spans="1:4">
      <c r="A13647" s="3"/>
      <c r="D13647" s="3"/>
    </row>
    <row r="13648" spans="1:4">
      <c r="A13648" s="3"/>
      <c r="D13648" s="3"/>
    </row>
    <row r="13649" spans="1:4">
      <c r="A13649" s="3"/>
      <c r="D13649" s="3"/>
    </row>
    <row r="13650" spans="1:4">
      <c r="A13650" s="3"/>
      <c r="D13650" s="3"/>
    </row>
    <row r="13651" spans="1:4">
      <c r="A13651" s="3"/>
      <c r="D13651" s="3"/>
    </row>
    <row r="13652" spans="1:4">
      <c r="A13652" s="3"/>
      <c r="D13652" s="3"/>
    </row>
    <row r="13653" spans="1:4">
      <c r="A13653" s="3"/>
      <c r="D13653" s="3"/>
    </row>
    <row r="13654" spans="1:4">
      <c r="A13654" s="3"/>
      <c r="D13654" s="3"/>
    </row>
    <row r="13655" spans="1:4">
      <c r="A13655" s="3"/>
      <c r="D13655" s="3"/>
    </row>
    <row r="13656" spans="1:4">
      <c r="A13656" s="3"/>
      <c r="D13656" s="3"/>
    </row>
    <row r="13657" spans="1:4">
      <c r="A13657" s="3"/>
      <c r="D13657" s="3"/>
    </row>
    <row r="13658" spans="1:4">
      <c r="A13658" s="3"/>
      <c r="D13658" s="3"/>
    </row>
    <row r="13659" spans="1:4">
      <c r="A13659" s="3"/>
      <c r="D13659" s="3"/>
    </row>
    <row r="13660" spans="1:4">
      <c r="A13660" s="3"/>
      <c r="D13660" s="3"/>
    </row>
    <row r="13661" spans="1:4">
      <c r="A13661" s="3"/>
      <c r="D13661" s="3"/>
    </row>
    <row r="13662" spans="1:4">
      <c r="A13662" s="3"/>
      <c r="D13662" s="3"/>
    </row>
    <row r="13663" spans="1:4">
      <c r="A13663" s="3"/>
      <c r="D13663" s="3"/>
    </row>
    <row r="13664" spans="1:4">
      <c r="A13664" s="3"/>
      <c r="D13664" s="3"/>
    </row>
    <row r="13665" spans="1:4">
      <c r="A13665" s="3"/>
      <c r="D13665" s="3"/>
    </row>
    <row r="13666" spans="1:4">
      <c r="A13666" s="3"/>
      <c r="D13666" s="3"/>
    </row>
    <row r="13667" spans="1:4">
      <c r="A13667" s="3"/>
      <c r="D13667" s="3"/>
    </row>
    <row r="13668" spans="1:4">
      <c r="A13668" s="3"/>
      <c r="D13668" s="3"/>
    </row>
    <row r="13669" spans="1:4">
      <c r="A13669" s="3"/>
      <c r="D13669" s="3"/>
    </row>
    <row r="13670" spans="1:4">
      <c r="A13670" s="3"/>
      <c r="D13670" s="3"/>
    </row>
    <row r="13671" spans="1:4">
      <c r="A13671" s="3"/>
      <c r="D13671" s="3"/>
    </row>
    <row r="13672" spans="1:4">
      <c r="A13672" s="3"/>
      <c r="D13672" s="3"/>
    </row>
    <row r="13673" spans="1:4">
      <c r="A13673" s="3"/>
      <c r="D13673" s="3"/>
    </row>
    <row r="13674" spans="1:4">
      <c r="A13674" s="3"/>
      <c r="D13674" s="3"/>
    </row>
    <row r="13675" spans="1:4">
      <c r="A13675" s="3"/>
      <c r="D13675" s="3"/>
    </row>
    <row r="13676" spans="1:4">
      <c r="A13676" s="3"/>
      <c r="D13676" s="3"/>
    </row>
    <row r="13677" spans="1:4">
      <c r="A13677" s="3"/>
      <c r="D13677" s="3"/>
    </row>
    <row r="13678" spans="1:4">
      <c r="A13678" s="3"/>
      <c r="D13678" s="3"/>
    </row>
    <row r="13679" spans="1:4">
      <c r="A13679" s="3"/>
      <c r="D13679" s="3"/>
    </row>
    <row r="13680" spans="1:4">
      <c r="A13680" s="3"/>
      <c r="D13680" s="3"/>
    </row>
    <row r="13681" spans="1:4">
      <c r="A13681" s="3"/>
      <c r="D13681" s="3"/>
    </row>
    <row r="13682" spans="1:4">
      <c r="A13682" s="3"/>
      <c r="D13682" s="3"/>
    </row>
    <row r="13683" spans="1:4">
      <c r="A13683" s="3"/>
      <c r="D13683" s="3"/>
    </row>
    <row r="13684" spans="1:4">
      <c r="A13684" s="3"/>
      <c r="D13684" s="3"/>
    </row>
    <row r="13685" spans="1:4">
      <c r="A13685" s="3"/>
      <c r="D13685" s="3"/>
    </row>
    <row r="13686" spans="1:4">
      <c r="A13686" s="3"/>
      <c r="D13686" s="3"/>
    </row>
    <row r="13687" spans="1:4">
      <c r="A13687" s="3"/>
      <c r="D13687" s="3"/>
    </row>
    <row r="13688" spans="1:4">
      <c r="A13688" s="3"/>
      <c r="D13688" s="3"/>
    </row>
    <row r="13689" spans="1:4">
      <c r="A13689" s="3"/>
      <c r="D13689" s="3"/>
    </row>
    <row r="13690" spans="1:4">
      <c r="A13690" s="3"/>
      <c r="D13690" s="3"/>
    </row>
    <row r="13691" spans="1:4">
      <c r="A13691" s="3"/>
      <c r="D13691" s="3"/>
    </row>
    <row r="13692" spans="1:4">
      <c r="A13692" s="3"/>
      <c r="D13692" s="3"/>
    </row>
    <row r="13693" spans="1:4">
      <c r="A13693" s="3"/>
      <c r="D13693" s="3"/>
    </row>
    <row r="13694" spans="1:4">
      <c r="A13694" s="3"/>
      <c r="D13694" s="3"/>
    </row>
    <row r="13695" spans="1:4">
      <c r="A13695" s="3"/>
      <c r="D13695" s="3"/>
    </row>
    <row r="13696" spans="1:4">
      <c r="A13696" s="3"/>
      <c r="D13696" s="3"/>
    </row>
    <row r="13697" spans="1:4">
      <c r="A13697" s="3"/>
      <c r="D13697" s="3"/>
    </row>
    <row r="13698" spans="1:4">
      <c r="A13698" s="3"/>
      <c r="D13698" s="3"/>
    </row>
    <row r="13699" spans="1:4">
      <c r="A13699" s="3"/>
      <c r="D13699" s="3"/>
    </row>
    <row r="13700" spans="1:4">
      <c r="A13700" s="3"/>
      <c r="D13700" s="3"/>
    </row>
    <row r="13701" spans="1:4">
      <c r="A13701" s="3"/>
      <c r="D13701" s="3"/>
    </row>
    <row r="13702" spans="1:4">
      <c r="A13702" s="3"/>
      <c r="D13702" s="3"/>
    </row>
    <row r="13703" spans="1:4">
      <c r="A13703" s="3"/>
      <c r="D13703" s="3"/>
    </row>
    <row r="13704" spans="1:4">
      <c r="A13704" s="3"/>
      <c r="D13704" s="3"/>
    </row>
    <row r="13705" spans="1:4">
      <c r="A13705" s="3"/>
      <c r="D13705" s="3"/>
    </row>
    <row r="13706" spans="1:4">
      <c r="A13706" s="3"/>
      <c r="D13706" s="3"/>
    </row>
    <row r="13707" spans="1:4">
      <c r="A13707" s="3"/>
      <c r="D13707" s="3"/>
    </row>
    <row r="13708" spans="1:4">
      <c r="A13708" s="3"/>
      <c r="D13708" s="3"/>
    </row>
    <row r="13709" spans="1:4">
      <c r="A13709" s="3"/>
      <c r="D13709" s="3"/>
    </row>
    <row r="13710" spans="1:4">
      <c r="A13710" s="3"/>
      <c r="D13710" s="3"/>
    </row>
    <row r="13711" spans="1:4">
      <c r="A13711" s="3"/>
      <c r="D13711" s="3"/>
    </row>
    <row r="13712" spans="1:4">
      <c r="A13712" s="3"/>
      <c r="D13712" s="3"/>
    </row>
    <row r="13713" spans="1:4">
      <c r="A13713" s="3"/>
      <c r="D13713" s="3"/>
    </row>
    <row r="13714" spans="1:4">
      <c r="A13714" s="3"/>
      <c r="D13714" s="3"/>
    </row>
    <row r="13715" spans="1:4">
      <c r="A13715" s="3"/>
      <c r="D13715" s="3"/>
    </row>
    <row r="13716" spans="1:4">
      <c r="A13716" s="3"/>
      <c r="D13716" s="3"/>
    </row>
    <row r="13717" spans="1:4">
      <c r="A13717" s="3"/>
      <c r="D13717" s="3"/>
    </row>
    <row r="13718" spans="1:4">
      <c r="A13718" s="3"/>
      <c r="D13718" s="3"/>
    </row>
    <row r="13719" spans="1:4">
      <c r="A13719" s="3"/>
      <c r="D13719" s="3"/>
    </row>
    <row r="13720" spans="1:4">
      <c r="A13720" s="3"/>
      <c r="D13720" s="3"/>
    </row>
    <row r="13721" spans="1:4">
      <c r="A13721" s="3"/>
      <c r="D13721" s="3"/>
    </row>
    <row r="13722" spans="1:4">
      <c r="A13722" s="3"/>
      <c r="D13722" s="3"/>
    </row>
    <row r="13723" spans="1:4">
      <c r="A13723" s="3"/>
      <c r="D13723" s="3"/>
    </row>
    <row r="13724" spans="1:4">
      <c r="A13724" s="3"/>
      <c r="D13724" s="3"/>
    </row>
    <row r="13725" spans="1:4">
      <c r="A13725" s="3"/>
      <c r="D13725" s="3"/>
    </row>
    <row r="13726" spans="1:4">
      <c r="A13726" s="3"/>
      <c r="D13726" s="3"/>
    </row>
    <row r="13727" spans="1:4">
      <c r="A13727" s="3"/>
      <c r="D13727" s="3"/>
    </row>
    <row r="13728" spans="1:4">
      <c r="A13728" s="3"/>
      <c r="D13728" s="3"/>
    </row>
    <row r="13729" spans="1:4">
      <c r="A13729" s="3"/>
      <c r="D13729" s="3"/>
    </row>
    <row r="13730" spans="1:4">
      <c r="A13730" s="3"/>
      <c r="D13730" s="3"/>
    </row>
    <row r="13731" spans="1:4">
      <c r="A13731" s="3"/>
      <c r="D13731" s="3"/>
    </row>
    <row r="13732" spans="1:4">
      <c r="A13732" s="3"/>
      <c r="D13732" s="3"/>
    </row>
    <row r="13733" spans="1:4">
      <c r="A13733" s="3"/>
      <c r="D13733" s="3"/>
    </row>
    <row r="13734" spans="1:4">
      <c r="A13734" s="3"/>
      <c r="D13734" s="3"/>
    </row>
    <row r="13735" spans="1:4">
      <c r="A13735" s="3"/>
      <c r="D13735" s="3"/>
    </row>
    <row r="13736" spans="1:4">
      <c r="A13736" s="3"/>
      <c r="D13736" s="3"/>
    </row>
    <row r="13737" spans="1:4">
      <c r="A13737" s="3"/>
      <c r="D13737" s="3"/>
    </row>
    <row r="13738" spans="1:4">
      <c r="A13738" s="3"/>
      <c r="D13738" s="3"/>
    </row>
    <row r="13739" spans="1:4">
      <c r="A13739" s="3"/>
      <c r="D13739" s="3"/>
    </row>
    <row r="13740" spans="1:4">
      <c r="A13740" s="3"/>
      <c r="D13740" s="3"/>
    </row>
    <row r="13741" spans="1:4">
      <c r="A13741" s="3"/>
      <c r="D13741" s="3"/>
    </row>
    <row r="13742" spans="1:4">
      <c r="A13742" s="3"/>
      <c r="D13742" s="3"/>
    </row>
    <row r="13743" spans="1:4">
      <c r="A13743" s="3"/>
      <c r="D13743" s="3"/>
    </row>
    <row r="13744" spans="1:4">
      <c r="A13744" s="3"/>
      <c r="D13744" s="3"/>
    </row>
    <row r="13745" spans="1:4">
      <c r="A13745" s="3"/>
      <c r="D13745" s="3"/>
    </row>
    <row r="13746" spans="1:4">
      <c r="A13746" s="3"/>
      <c r="D13746" s="3"/>
    </row>
    <row r="13747" spans="1:4">
      <c r="A13747" s="3"/>
      <c r="D13747" s="3"/>
    </row>
    <row r="13748" spans="1:4">
      <c r="A13748" s="3"/>
      <c r="D13748" s="3"/>
    </row>
    <row r="13749" spans="1:4">
      <c r="A13749" s="3"/>
      <c r="D13749" s="3"/>
    </row>
    <row r="13750" spans="1:4">
      <c r="A13750" s="3"/>
      <c r="D13750" s="3"/>
    </row>
    <row r="13751" spans="1:4">
      <c r="A13751" s="3"/>
      <c r="D13751" s="3"/>
    </row>
    <row r="13752" spans="1:4">
      <c r="A13752" s="3"/>
      <c r="D13752" s="3"/>
    </row>
    <row r="13753" spans="1:4">
      <c r="A13753" s="3"/>
      <c r="D13753" s="3"/>
    </row>
    <row r="13754" spans="1:4">
      <c r="A13754" s="3"/>
      <c r="D13754" s="3"/>
    </row>
    <row r="13755" spans="1:4">
      <c r="A13755" s="3"/>
      <c r="D13755" s="3"/>
    </row>
    <row r="13756" spans="1:4">
      <c r="A13756" s="3"/>
      <c r="D13756" s="3"/>
    </row>
    <row r="13757" spans="1:4">
      <c r="A13757" s="3"/>
      <c r="D13757" s="3"/>
    </row>
    <row r="13758" spans="1:4">
      <c r="A13758" s="3"/>
      <c r="D13758" s="3"/>
    </row>
    <row r="13759" spans="1:4">
      <c r="A13759" s="3"/>
      <c r="D13759" s="3"/>
    </row>
    <row r="13760" spans="1:4">
      <c r="A13760" s="3"/>
      <c r="D13760" s="3"/>
    </row>
    <row r="13761" spans="1:4">
      <c r="A13761" s="3"/>
      <c r="D13761" s="3"/>
    </row>
    <row r="13762" spans="1:4">
      <c r="A13762" s="3"/>
      <c r="D13762" s="3"/>
    </row>
    <row r="13763" spans="1:4">
      <c r="A13763" s="3"/>
      <c r="D13763" s="3"/>
    </row>
    <row r="13764" spans="1:4">
      <c r="A13764" s="3"/>
      <c r="D13764" s="3"/>
    </row>
    <row r="13765" spans="1:4">
      <c r="A13765" s="3"/>
      <c r="D13765" s="3"/>
    </row>
    <row r="13766" spans="1:4">
      <c r="A13766" s="3"/>
      <c r="D13766" s="3"/>
    </row>
    <row r="13767" spans="1:4">
      <c r="A13767" s="3"/>
      <c r="D13767" s="3"/>
    </row>
    <row r="13768" spans="1:4">
      <c r="A13768" s="3"/>
      <c r="D13768" s="3"/>
    </row>
    <row r="13769" spans="1:4">
      <c r="A13769" s="3"/>
      <c r="D13769" s="3"/>
    </row>
    <row r="13770" spans="1:4">
      <c r="A13770" s="3"/>
      <c r="D13770" s="3"/>
    </row>
    <row r="13771" spans="1:4">
      <c r="A13771" s="3"/>
      <c r="D13771" s="3"/>
    </row>
    <row r="13772" spans="1:4">
      <c r="A13772" s="3"/>
      <c r="D13772" s="3"/>
    </row>
    <row r="13773" spans="1:4">
      <c r="A13773" s="3"/>
      <c r="D13773" s="3"/>
    </row>
    <row r="13774" spans="1:4">
      <c r="A13774" s="3"/>
      <c r="D13774" s="3"/>
    </row>
    <row r="13775" spans="1:4">
      <c r="A13775" s="3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3:Y17011"/>
  <sheetViews>
    <sheetView workbookViewId="0">
      <selection sqref="A1:XFD1048576"/>
    </sheetView>
  </sheetViews>
  <sheetFormatPr defaultColWidth="9" defaultRowHeight="12.75"/>
  <cols>
    <col min="1" max="1" width="6.125" style="10" customWidth="1"/>
    <col min="2" max="2" width="20.125" style="3" customWidth="1"/>
    <col min="3" max="3" width="13.75" style="3" customWidth="1"/>
    <col min="4" max="4" width="13.75" style="167" customWidth="1"/>
    <col min="5" max="8" width="13.75" style="3" customWidth="1"/>
    <col min="9" max="9" width="14.25" style="3" customWidth="1"/>
    <col min="10" max="13" width="11.125" style="3" customWidth="1"/>
    <col min="14" max="14" width="14" style="3" customWidth="1"/>
    <col min="15" max="17" width="11" style="3" customWidth="1"/>
    <col min="18" max="18" width="13.875" style="3" customWidth="1"/>
    <col min="19" max="19" width="9.375" style="3" hidden="1" customWidth="1"/>
    <col min="20" max="20" width="10.75" style="3" customWidth="1"/>
    <col min="21" max="21" width="10.875" style="3" customWidth="1"/>
    <col min="22" max="22" width="11.5" style="3" customWidth="1"/>
    <col min="23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 ht="15.75">
      <c r="B3" s="10"/>
      <c r="C3" s="3" t="s">
        <v>1034</v>
      </c>
      <c r="D3" s="3" t="s">
        <v>341</v>
      </c>
      <c r="U3"/>
      <c r="V3"/>
      <c r="W3"/>
    </row>
    <row r="4" spans="1:25" ht="26.25">
      <c r="B4" s="10"/>
      <c r="C4" s="3" t="s">
        <v>1030</v>
      </c>
      <c r="D4" s="3"/>
      <c r="I4" s="3" t="s">
        <v>1035</v>
      </c>
      <c r="J4" s="3" t="s">
        <v>1031</v>
      </c>
      <c r="N4" s="3" t="s">
        <v>1036</v>
      </c>
      <c r="O4" s="3" t="s">
        <v>1032</v>
      </c>
      <c r="R4" s="3" t="s">
        <v>1037</v>
      </c>
      <c r="S4" s="3" t="s">
        <v>1033</v>
      </c>
      <c r="T4" s="575" t="s">
        <v>1038</v>
      </c>
      <c r="U4" t="s">
        <v>758</v>
      </c>
      <c r="V4"/>
      <c r="W4"/>
    </row>
    <row r="5" spans="1:25" ht="15.75">
      <c r="A5" s="10" t="s">
        <v>342</v>
      </c>
      <c r="B5" s="3" t="s">
        <v>1029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J5" s="3">
        <v>7</v>
      </c>
      <c r="K5" s="3">
        <v>8</v>
      </c>
      <c r="L5" s="3">
        <v>9</v>
      </c>
      <c r="M5" s="3">
        <v>10</v>
      </c>
      <c r="O5" s="3">
        <v>12</v>
      </c>
      <c r="P5" s="3">
        <v>13</v>
      </c>
      <c r="Q5" s="3">
        <v>14</v>
      </c>
      <c r="S5" s="3">
        <v>15</v>
      </c>
      <c r="T5" s="575"/>
      <c r="U5"/>
      <c r="V5"/>
      <c r="W5"/>
    </row>
    <row r="6" spans="1:25" ht="15.75">
      <c r="A6" s="673" t="s">
        <v>30</v>
      </c>
      <c r="B6" s="3" t="s">
        <v>1159</v>
      </c>
      <c r="C6" s="583">
        <v>13593</v>
      </c>
      <c r="D6" s="583">
        <v>1278</v>
      </c>
      <c r="E6" s="583">
        <v>7731</v>
      </c>
      <c r="F6" s="583">
        <v>2924</v>
      </c>
      <c r="G6" s="583">
        <v>1474</v>
      </c>
      <c r="H6" s="583">
        <v>756</v>
      </c>
      <c r="I6" s="583">
        <v>27756</v>
      </c>
      <c r="J6" s="583"/>
      <c r="K6" s="583">
        <v>1720</v>
      </c>
      <c r="L6" s="583">
        <v>6096</v>
      </c>
      <c r="M6" s="583">
        <v>2853</v>
      </c>
      <c r="N6" s="583">
        <v>10669</v>
      </c>
      <c r="O6" s="583">
        <v>433</v>
      </c>
      <c r="P6" s="583">
        <v>539</v>
      </c>
      <c r="Q6" s="583"/>
      <c r="R6" s="583">
        <v>972</v>
      </c>
      <c r="S6" s="583">
        <v>86</v>
      </c>
      <c r="T6" s="583">
        <v>86</v>
      </c>
      <c r="U6">
        <v>39483</v>
      </c>
      <c r="V6"/>
      <c r="W6"/>
    </row>
    <row r="7" spans="1:25" ht="15.75">
      <c r="A7" s="379"/>
      <c r="B7" s="3" t="s">
        <v>1161</v>
      </c>
      <c r="C7" s="583">
        <v>14080</v>
      </c>
      <c r="D7" s="583">
        <v>1337</v>
      </c>
      <c r="E7" s="583">
        <v>7983</v>
      </c>
      <c r="F7" s="583">
        <v>3244</v>
      </c>
      <c r="G7" s="583">
        <v>1711</v>
      </c>
      <c r="H7" s="583">
        <v>833</v>
      </c>
      <c r="I7" s="583">
        <v>29188</v>
      </c>
      <c r="J7" s="583"/>
      <c r="K7" s="583">
        <v>1826</v>
      </c>
      <c r="L7" s="583">
        <v>5905</v>
      </c>
      <c r="M7" s="583">
        <v>2996</v>
      </c>
      <c r="N7" s="583">
        <v>10727</v>
      </c>
      <c r="O7" s="583">
        <v>480</v>
      </c>
      <c r="P7" s="583">
        <v>544</v>
      </c>
      <c r="Q7" s="583"/>
      <c r="R7" s="583">
        <v>1024</v>
      </c>
      <c r="S7" s="583">
        <v>61</v>
      </c>
      <c r="T7" s="583">
        <v>61</v>
      </c>
      <c r="U7">
        <v>41000</v>
      </c>
      <c r="V7"/>
      <c r="W7"/>
    </row>
    <row r="8" spans="1:25" s="386" customFormat="1" ht="15.75">
      <c r="A8" s="387"/>
      <c r="B8" s="584" t="s">
        <v>1163</v>
      </c>
      <c r="C8" s="384">
        <v>3.5827264032958141E-2</v>
      </c>
      <c r="D8" s="384">
        <v>4.6165884194053208E-2</v>
      </c>
      <c r="E8" s="384">
        <v>3.2596041909196738E-2</v>
      </c>
      <c r="F8" s="384">
        <v>0.1094391244870041</v>
      </c>
      <c r="G8" s="384">
        <v>0.16078697421981003</v>
      </c>
      <c r="H8" s="384">
        <v>0.10185185185185185</v>
      </c>
      <c r="I8" s="384">
        <v>5.1592448479608012E-2</v>
      </c>
      <c r="J8" s="384">
        <v>0</v>
      </c>
      <c r="K8" s="384">
        <v>6.1627906976744189E-2</v>
      </c>
      <c r="L8" s="384">
        <v>-3.133202099737533E-2</v>
      </c>
      <c r="M8" s="384">
        <v>5.0122677882930247E-2</v>
      </c>
      <c r="N8" s="384">
        <v>5.4363108070109665E-3</v>
      </c>
      <c r="O8" s="384">
        <v>0.10854503464203233</v>
      </c>
      <c r="P8" s="384">
        <v>9.2764378478664197E-3</v>
      </c>
      <c r="Q8" s="384">
        <v>0</v>
      </c>
      <c r="R8" s="384">
        <v>5.3497942386831275E-2</v>
      </c>
      <c r="S8" s="384">
        <v>-0.29069767441860467</v>
      </c>
      <c r="T8" s="384">
        <v>-0.29069767441860467</v>
      </c>
      <c r="U8">
        <v>3.8421599169262723E-2</v>
      </c>
      <c r="V8"/>
      <c r="W8"/>
      <c r="X8" s="3"/>
      <c r="Y8" s="3"/>
    </row>
    <row r="9" spans="1:25" ht="15.75">
      <c r="A9" s="673" t="s">
        <v>345</v>
      </c>
      <c r="B9" s="3" t="s">
        <v>1159</v>
      </c>
      <c r="C9" s="583">
        <v>3586</v>
      </c>
      <c r="D9" s="583"/>
      <c r="E9" s="583">
        <v>5987</v>
      </c>
      <c r="F9" s="583">
        <v>1933</v>
      </c>
      <c r="G9" s="583">
        <v>1409</v>
      </c>
      <c r="H9" s="583">
        <v>1400</v>
      </c>
      <c r="I9" s="583">
        <v>14315</v>
      </c>
      <c r="J9" s="583"/>
      <c r="K9" s="583">
        <v>1262</v>
      </c>
      <c r="L9" s="583">
        <v>1617</v>
      </c>
      <c r="M9" s="583">
        <v>6952</v>
      </c>
      <c r="N9" s="583">
        <v>9831</v>
      </c>
      <c r="O9" s="583"/>
      <c r="P9" s="583"/>
      <c r="Q9" s="583"/>
      <c r="R9" s="583"/>
      <c r="S9" s="583">
        <v>833</v>
      </c>
      <c r="T9" s="583">
        <v>833</v>
      </c>
      <c r="U9">
        <v>24979</v>
      </c>
      <c r="V9"/>
      <c r="W9"/>
    </row>
    <row r="10" spans="1:25" ht="15.75">
      <c r="A10" s="379"/>
      <c r="B10" s="3" t="s">
        <v>1161</v>
      </c>
      <c r="C10" s="583">
        <v>3739</v>
      </c>
      <c r="D10" s="583"/>
      <c r="E10" s="583">
        <v>6447</v>
      </c>
      <c r="F10" s="583">
        <v>2232</v>
      </c>
      <c r="G10" s="583">
        <v>1352</v>
      </c>
      <c r="H10" s="583">
        <v>1616</v>
      </c>
      <c r="I10" s="583">
        <v>15386</v>
      </c>
      <c r="J10" s="583"/>
      <c r="K10" s="583">
        <v>1437</v>
      </c>
      <c r="L10" s="583">
        <v>1849</v>
      </c>
      <c r="M10" s="583">
        <v>8355</v>
      </c>
      <c r="N10" s="583">
        <v>11641</v>
      </c>
      <c r="O10" s="583"/>
      <c r="P10" s="583"/>
      <c r="Q10" s="583"/>
      <c r="R10" s="583"/>
      <c r="S10" s="583">
        <v>806</v>
      </c>
      <c r="T10" s="583">
        <v>806</v>
      </c>
      <c r="U10">
        <v>27833</v>
      </c>
      <c r="V10"/>
      <c r="W10"/>
    </row>
    <row r="11" spans="1:25" s="386" customFormat="1" ht="15.75">
      <c r="A11" s="387"/>
      <c r="B11" s="584" t="s">
        <v>1163</v>
      </c>
      <c r="C11" s="384">
        <v>4.266592303402119E-2</v>
      </c>
      <c r="D11" s="384">
        <v>0</v>
      </c>
      <c r="E11" s="384">
        <v>7.6833138466677803E-2</v>
      </c>
      <c r="F11" s="384">
        <v>0.15468184169684429</v>
      </c>
      <c r="G11" s="384">
        <v>-4.0454222853087293E-2</v>
      </c>
      <c r="H11" s="384">
        <v>0.15428571428571428</v>
      </c>
      <c r="I11" s="384">
        <v>7.4816625916870411E-2</v>
      </c>
      <c r="J11" s="384">
        <v>0</v>
      </c>
      <c r="K11" s="384">
        <v>0.13866877971473851</v>
      </c>
      <c r="L11" s="384">
        <v>0.14347557204700062</v>
      </c>
      <c r="M11" s="384">
        <v>0.20181242807825087</v>
      </c>
      <c r="N11" s="384">
        <v>0.18411148408096836</v>
      </c>
      <c r="O11" s="384">
        <v>0</v>
      </c>
      <c r="P11" s="384">
        <v>0</v>
      </c>
      <c r="Q11" s="384">
        <v>0</v>
      </c>
      <c r="R11" s="384">
        <v>0</v>
      </c>
      <c r="S11" s="384">
        <v>-3.2412965186074429E-2</v>
      </c>
      <c r="T11" s="384">
        <v>-3.2412965186074429E-2</v>
      </c>
      <c r="U11">
        <v>0.11425597501901598</v>
      </c>
      <c r="V11"/>
      <c r="W11"/>
      <c r="X11" s="3"/>
      <c r="Y11" s="3"/>
    </row>
    <row r="12" spans="1:25" ht="15.75">
      <c r="A12" s="673" t="s">
        <v>950</v>
      </c>
      <c r="B12" s="3" t="s">
        <v>1159</v>
      </c>
      <c r="C12" s="583">
        <v>4591</v>
      </c>
      <c r="D12" s="583"/>
      <c r="E12" s="583"/>
      <c r="F12" s="583">
        <v>596</v>
      </c>
      <c r="G12" s="583"/>
      <c r="H12" s="583"/>
      <c r="I12" s="583">
        <v>5187</v>
      </c>
      <c r="J12" s="583"/>
      <c r="K12" s="583"/>
      <c r="L12" s="583">
        <v>2009</v>
      </c>
      <c r="M12" s="583"/>
      <c r="N12" s="583">
        <v>2009</v>
      </c>
      <c r="O12" s="583"/>
      <c r="P12" s="583"/>
      <c r="Q12" s="583"/>
      <c r="R12" s="583"/>
      <c r="S12" s="583"/>
      <c r="T12" s="583"/>
      <c r="U12">
        <v>7196</v>
      </c>
      <c r="V12"/>
      <c r="W12"/>
    </row>
    <row r="13" spans="1:25" ht="15.75">
      <c r="A13" s="379"/>
      <c r="B13" s="3" t="s">
        <v>1161</v>
      </c>
      <c r="C13" s="583">
        <v>4662</v>
      </c>
      <c r="D13" s="583"/>
      <c r="E13" s="583"/>
      <c r="F13" s="583">
        <v>644</v>
      </c>
      <c r="G13" s="583"/>
      <c r="H13" s="583"/>
      <c r="I13" s="583">
        <v>5306</v>
      </c>
      <c r="J13" s="583"/>
      <c r="K13" s="583"/>
      <c r="L13" s="583">
        <v>1991</v>
      </c>
      <c r="M13" s="583"/>
      <c r="N13" s="583">
        <v>1991</v>
      </c>
      <c r="O13" s="583"/>
      <c r="P13" s="583"/>
      <c r="Q13" s="583"/>
      <c r="R13" s="583"/>
      <c r="S13" s="583"/>
      <c r="T13" s="583"/>
      <c r="U13">
        <v>7297</v>
      </c>
      <c r="V13"/>
      <c r="W13"/>
    </row>
    <row r="14" spans="1:25" s="386" customFormat="1" ht="15.75">
      <c r="A14" s="387"/>
      <c r="B14" s="584" t="s">
        <v>1163</v>
      </c>
      <c r="C14" s="384">
        <v>1.5465040296231757E-2</v>
      </c>
      <c r="D14" s="384">
        <v>0</v>
      </c>
      <c r="E14" s="384">
        <v>0</v>
      </c>
      <c r="F14" s="384">
        <v>8.0536912751677847E-2</v>
      </c>
      <c r="G14" s="384">
        <v>0</v>
      </c>
      <c r="H14" s="384">
        <v>0</v>
      </c>
      <c r="I14" s="384">
        <v>2.2941970310391364E-2</v>
      </c>
      <c r="J14" s="384">
        <v>0</v>
      </c>
      <c r="K14" s="384">
        <v>0</v>
      </c>
      <c r="L14" s="384">
        <v>-8.9596814335490289E-3</v>
      </c>
      <c r="M14" s="384">
        <v>0</v>
      </c>
      <c r="N14" s="384">
        <v>-8.9596814335490289E-3</v>
      </c>
      <c r="O14" s="384">
        <v>0</v>
      </c>
      <c r="P14" s="384">
        <v>0</v>
      </c>
      <c r="Q14" s="384">
        <v>0</v>
      </c>
      <c r="R14" s="384">
        <v>0</v>
      </c>
      <c r="S14" s="384">
        <v>0</v>
      </c>
      <c r="T14" s="384">
        <v>0</v>
      </c>
      <c r="U14">
        <v>1.4035575319622013E-2</v>
      </c>
      <c r="V14"/>
      <c r="W14"/>
      <c r="X14" s="3"/>
      <c r="Y14" s="3"/>
    </row>
    <row r="15" spans="1:25" ht="15.75">
      <c r="A15" s="673" t="s">
        <v>346</v>
      </c>
      <c r="B15" s="3" t="s">
        <v>1159</v>
      </c>
      <c r="C15" s="583">
        <v>54635</v>
      </c>
      <c r="D15" s="583">
        <v>5861</v>
      </c>
      <c r="E15" s="583">
        <v>8203</v>
      </c>
      <c r="F15" s="583">
        <v>1665</v>
      </c>
      <c r="G15" s="583"/>
      <c r="H15" s="583">
        <v>168</v>
      </c>
      <c r="I15" s="583">
        <v>70532</v>
      </c>
      <c r="J15" s="583">
        <v>18151</v>
      </c>
      <c r="K15" s="583">
        <v>47335</v>
      </c>
      <c r="L15" s="583">
        <v>5193</v>
      </c>
      <c r="M15" s="583">
        <v>543</v>
      </c>
      <c r="N15" s="583">
        <v>71222</v>
      </c>
      <c r="O15" s="583"/>
      <c r="P15" s="583"/>
      <c r="Q15" s="583"/>
      <c r="R15" s="583"/>
      <c r="S15" s="583"/>
      <c r="T15" s="583"/>
      <c r="U15">
        <v>141754</v>
      </c>
      <c r="V15"/>
      <c r="W15"/>
    </row>
    <row r="16" spans="1:25" ht="15.75">
      <c r="A16" s="379"/>
      <c r="B16" s="3" t="s">
        <v>1161</v>
      </c>
      <c r="C16" s="583">
        <v>56179</v>
      </c>
      <c r="D16" s="583">
        <v>5860</v>
      </c>
      <c r="E16" s="583">
        <v>8446</v>
      </c>
      <c r="F16" s="583">
        <v>1875</v>
      </c>
      <c r="G16" s="583"/>
      <c r="H16" s="583">
        <v>158</v>
      </c>
      <c r="I16" s="583">
        <v>72518</v>
      </c>
      <c r="J16" s="583">
        <v>18981</v>
      </c>
      <c r="K16" s="583">
        <v>49683</v>
      </c>
      <c r="L16" s="583">
        <v>5222</v>
      </c>
      <c r="M16" s="583">
        <v>515</v>
      </c>
      <c r="N16" s="583">
        <v>74401</v>
      </c>
      <c r="O16" s="583"/>
      <c r="P16" s="583"/>
      <c r="Q16" s="583"/>
      <c r="R16" s="583"/>
      <c r="S16" s="583"/>
      <c r="T16" s="583"/>
      <c r="U16">
        <v>146919</v>
      </c>
      <c r="V16"/>
      <c r="W16"/>
    </row>
    <row r="17" spans="1:25" s="386" customFormat="1" ht="15.75">
      <c r="A17" s="387"/>
      <c r="B17" s="584" t="s">
        <v>1163</v>
      </c>
      <c r="C17" s="384">
        <v>2.8260272718953053E-2</v>
      </c>
      <c r="D17" s="384">
        <v>-1.7061934823408976E-4</v>
      </c>
      <c r="E17" s="384">
        <v>2.962330854565403E-2</v>
      </c>
      <c r="F17" s="384">
        <v>0.12612612612612611</v>
      </c>
      <c r="G17" s="384">
        <v>0</v>
      </c>
      <c r="H17" s="384">
        <v>-5.9523809523809521E-2</v>
      </c>
      <c r="I17" s="384">
        <v>2.8157432087563092E-2</v>
      </c>
      <c r="J17" s="384">
        <v>4.5727508126274033E-2</v>
      </c>
      <c r="K17" s="384">
        <v>4.9603887187070879E-2</v>
      </c>
      <c r="L17" s="384">
        <v>5.5844405931061046E-3</v>
      </c>
      <c r="M17" s="384">
        <v>-5.1565377532228361E-2</v>
      </c>
      <c r="N17" s="384">
        <v>4.4635084664850749E-2</v>
      </c>
      <c r="O17" s="384">
        <v>0</v>
      </c>
      <c r="P17" s="384">
        <v>0</v>
      </c>
      <c r="Q17" s="384">
        <v>0</v>
      </c>
      <c r="R17" s="384">
        <v>0</v>
      </c>
      <c r="S17" s="384">
        <v>0</v>
      </c>
      <c r="T17" s="384">
        <v>0</v>
      </c>
      <c r="U17">
        <v>3.6436361584152831E-2</v>
      </c>
      <c r="V17"/>
      <c r="W17"/>
      <c r="X17" s="3"/>
      <c r="Y17" s="3"/>
    </row>
    <row r="18" spans="1:25" ht="15.75">
      <c r="A18" s="673" t="s">
        <v>955</v>
      </c>
      <c r="B18" s="3" t="s">
        <v>1159</v>
      </c>
      <c r="C18" s="583">
        <v>14674</v>
      </c>
      <c r="D18" s="583">
        <v>4482</v>
      </c>
      <c r="E18" s="583">
        <v>6842</v>
      </c>
      <c r="F18" s="583">
        <v>8214</v>
      </c>
      <c r="G18" s="583">
        <v>3260</v>
      </c>
      <c r="H18" s="583">
        <v>1771</v>
      </c>
      <c r="I18" s="583">
        <v>39243</v>
      </c>
      <c r="J18" s="583">
        <v>682</v>
      </c>
      <c r="K18" s="583">
        <v>1627</v>
      </c>
      <c r="L18" s="583">
        <v>4027</v>
      </c>
      <c r="M18" s="583">
        <v>556</v>
      </c>
      <c r="N18" s="583">
        <v>6892</v>
      </c>
      <c r="O18" s="583">
        <v>33687</v>
      </c>
      <c r="P18" s="583">
        <v>1873</v>
      </c>
      <c r="Q18" s="583"/>
      <c r="R18" s="583">
        <v>35560</v>
      </c>
      <c r="S18" s="583">
        <v>1480</v>
      </c>
      <c r="T18" s="583">
        <v>1480</v>
      </c>
      <c r="U18">
        <v>83175</v>
      </c>
      <c r="V18"/>
      <c r="W18"/>
    </row>
    <row r="19" spans="1:25" ht="15.75">
      <c r="A19" s="379"/>
      <c r="B19" s="3" t="s">
        <v>1161</v>
      </c>
      <c r="C19" s="583">
        <v>15497</v>
      </c>
      <c r="D19" s="583">
        <v>5065</v>
      </c>
      <c r="E19" s="583">
        <v>7132</v>
      </c>
      <c r="F19" s="583">
        <v>8859</v>
      </c>
      <c r="G19" s="583">
        <v>3412</v>
      </c>
      <c r="H19" s="583">
        <v>1922</v>
      </c>
      <c r="I19" s="583">
        <v>41887</v>
      </c>
      <c r="J19" s="583">
        <v>588</v>
      </c>
      <c r="K19" s="583">
        <v>1514</v>
      </c>
      <c r="L19" s="583">
        <v>3940</v>
      </c>
      <c r="M19" s="583">
        <v>672</v>
      </c>
      <c r="N19" s="583">
        <v>6714</v>
      </c>
      <c r="O19" s="583">
        <v>36665</v>
      </c>
      <c r="P19" s="583">
        <v>1867</v>
      </c>
      <c r="Q19" s="583"/>
      <c r="R19" s="583">
        <v>38532</v>
      </c>
      <c r="S19" s="583">
        <v>1623</v>
      </c>
      <c r="T19" s="583">
        <v>1623</v>
      </c>
      <c r="U19">
        <v>88756</v>
      </c>
      <c r="V19"/>
      <c r="W19"/>
    </row>
    <row r="20" spans="1:25" s="386" customFormat="1" ht="15.75">
      <c r="A20" s="387"/>
      <c r="B20" s="584" t="s">
        <v>1163</v>
      </c>
      <c r="C20" s="384">
        <v>5.6085593566852936E-2</v>
      </c>
      <c r="D20" s="384">
        <v>0.13007585899152163</v>
      </c>
      <c r="E20" s="384">
        <v>4.2385267465653319E-2</v>
      </c>
      <c r="F20" s="384">
        <v>7.8524470416362305E-2</v>
      </c>
      <c r="G20" s="384">
        <v>4.6625766871165646E-2</v>
      </c>
      <c r="H20" s="384">
        <v>8.5262563523433088E-2</v>
      </c>
      <c r="I20" s="384">
        <v>6.7375073261473378E-2</v>
      </c>
      <c r="J20" s="384">
        <v>-0.1378299120234604</v>
      </c>
      <c r="K20" s="384">
        <v>-6.9452980946527354E-2</v>
      </c>
      <c r="L20" s="384">
        <v>-2.1604171840079463E-2</v>
      </c>
      <c r="M20" s="384">
        <v>0.20863309352517986</v>
      </c>
      <c r="N20" s="384">
        <v>-2.5827045850261174E-2</v>
      </c>
      <c r="O20" s="384">
        <v>8.8402054204886157E-2</v>
      </c>
      <c r="P20" s="384">
        <v>-3.2034169781099838E-3</v>
      </c>
      <c r="Q20" s="384">
        <v>0</v>
      </c>
      <c r="R20" s="384">
        <v>8.3577052868391455E-2</v>
      </c>
      <c r="S20" s="384">
        <v>9.662162162162162E-2</v>
      </c>
      <c r="T20" s="384">
        <v>9.662162162162162E-2</v>
      </c>
      <c r="U20">
        <v>6.7099489029155399E-2</v>
      </c>
      <c r="V20"/>
      <c r="W20"/>
      <c r="X20" s="3"/>
      <c r="Y20" s="3"/>
    </row>
    <row r="21" spans="1:25" ht="15.75">
      <c r="A21" s="673" t="s">
        <v>29</v>
      </c>
      <c r="B21" s="3" t="s">
        <v>1159</v>
      </c>
      <c r="C21" s="583">
        <v>10127</v>
      </c>
      <c r="D21" s="583"/>
      <c r="E21" s="583">
        <v>8608</v>
      </c>
      <c r="F21" s="583">
        <v>4072</v>
      </c>
      <c r="G21" s="583">
        <v>315</v>
      </c>
      <c r="H21" s="583"/>
      <c r="I21" s="583">
        <v>23122</v>
      </c>
      <c r="J21" s="583"/>
      <c r="K21" s="583">
        <v>5946</v>
      </c>
      <c r="L21" s="583">
        <v>12757</v>
      </c>
      <c r="M21" s="583">
        <v>2138</v>
      </c>
      <c r="N21" s="583">
        <v>20841</v>
      </c>
      <c r="O21" s="583">
        <v>1941</v>
      </c>
      <c r="P21" s="583"/>
      <c r="Q21" s="583"/>
      <c r="R21" s="583">
        <v>1941</v>
      </c>
      <c r="S21" s="583"/>
      <c r="T21" s="583"/>
      <c r="U21">
        <v>45904</v>
      </c>
      <c r="V21"/>
      <c r="W21"/>
    </row>
    <row r="22" spans="1:25" ht="15.75">
      <c r="A22" s="379"/>
      <c r="B22" s="3" t="s">
        <v>1161</v>
      </c>
      <c r="C22" s="583">
        <v>10204</v>
      </c>
      <c r="D22" s="583"/>
      <c r="E22" s="583">
        <v>8710</v>
      </c>
      <c r="F22" s="583">
        <v>4132</v>
      </c>
      <c r="G22" s="583">
        <v>263</v>
      </c>
      <c r="H22" s="583"/>
      <c r="I22" s="583">
        <v>23309</v>
      </c>
      <c r="J22" s="583"/>
      <c r="K22" s="583">
        <v>5978</v>
      </c>
      <c r="L22" s="583">
        <v>12559</v>
      </c>
      <c r="M22" s="583">
        <v>2128</v>
      </c>
      <c r="N22" s="583">
        <v>20665</v>
      </c>
      <c r="O22" s="583">
        <v>2079</v>
      </c>
      <c r="P22" s="583"/>
      <c r="Q22" s="583"/>
      <c r="R22" s="583">
        <v>2079</v>
      </c>
      <c r="S22" s="583"/>
      <c r="T22" s="583"/>
      <c r="U22">
        <v>46053</v>
      </c>
      <c r="V22"/>
      <c r="W22"/>
    </row>
    <row r="23" spans="1:25" s="386" customFormat="1" ht="15.75">
      <c r="A23" s="387"/>
      <c r="B23" s="584" t="s">
        <v>1163</v>
      </c>
      <c r="C23" s="384">
        <v>7.6034363582502219E-3</v>
      </c>
      <c r="D23" s="384">
        <v>0</v>
      </c>
      <c r="E23" s="384">
        <v>1.1849442379182156E-2</v>
      </c>
      <c r="F23" s="384">
        <v>1.4734774066797643E-2</v>
      </c>
      <c r="G23" s="384">
        <v>-0.16507936507936508</v>
      </c>
      <c r="H23" s="384">
        <v>0</v>
      </c>
      <c r="I23" s="384">
        <v>8.0875356803044723E-3</v>
      </c>
      <c r="J23" s="384">
        <v>0</v>
      </c>
      <c r="K23" s="384">
        <v>5.3817692566431215E-3</v>
      </c>
      <c r="L23" s="384">
        <v>-1.5520890491494866E-2</v>
      </c>
      <c r="M23" s="384">
        <v>-4.6772684752104769E-3</v>
      </c>
      <c r="N23" s="384">
        <v>-8.4448922796410923E-3</v>
      </c>
      <c r="O23" s="384">
        <v>7.1097372488408042E-2</v>
      </c>
      <c r="P23" s="384">
        <v>0</v>
      </c>
      <c r="Q23" s="384">
        <v>0</v>
      </c>
      <c r="R23" s="384">
        <v>7.1097372488408042E-2</v>
      </c>
      <c r="S23" s="384">
        <v>0</v>
      </c>
      <c r="T23" s="384">
        <v>0</v>
      </c>
      <c r="U23">
        <v>3.2459044963401881E-3</v>
      </c>
      <c r="V23"/>
      <c r="W23"/>
      <c r="X23" s="3"/>
      <c r="Y23" s="3"/>
    </row>
    <row r="24" spans="1:25" ht="15.75">
      <c r="A24" s="673" t="s">
        <v>759</v>
      </c>
      <c r="B24" s="3" t="s">
        <v>1159</v>
      </c>
      <c r="C24" s="583">
        <v>6108</v>
      </c>
      <c r="D24" s="583">
        <v>6320</v>
      </c>
      <c r="E24" s="583">
        <v>4921</v>
      </c>
      <c r="F24" s="583">
        <v>5826</v>
      </c>
      <c r="G24" s="583"/>
      <c r="H24" s="583"/>
      <c r="I24" s="583">
        <v>23175</v>
      </c>
      <c r="J24" s="583">
        <v>295</v>
      </c>
      <c r="K24" s="583">
        <v>1063</v>
      </c>
      <c r="L24" s="583">
        <v>971</v>
      </c>
      <c r="M24" s="583">
        <v>765</v>
      </c>
      <c r="N24" s="583">
        <v>3094</v>
      </c>
      <c r="O24" s="583">
        <v>329</v>
      </c>
      <c r="P24" s="583">
        <v>86</v>
      </c>
      <c r="Q24" s="583">
        <v>2950</v>
      </c>
      <c r="R24" s="583">
        <v>3365</v>
      </c>
      <c r="S24" s="583">
        <v>904</v>
      </c>
      <c r="T24" s="583">
        <v>904</v>
      </c>
      <c r="U24">
        <v>30538</v>
      </c>
      <c r="V24"/>
      <c r="W24"/>
    </row>
    <row r="25" spans="1:25" ht="15.75">
      <c r="A25" s="379"/>
      <c r="B25" s="3" t="s">
        <v>1161</v>
      </c>
      <c r="C25" s="583">
        <v>6223</v>
      </c>
      <c r="D25" s="583">
        <v>6324</v>
      </c>
      <c r="E25" s="583">
        <v>4920</v>
      </c>
      <c r="F25" s="583">
        <v>5962</v>
      </c>
      <c r="G25" s="583"/>
      <c r="H25" s="583"/>
      <c r="I25" s="583">
        <v>23429</v>
      </c>
      <c r="J25" s="583">
        <v>328</v>
      </c>
      <c r="K25" s="583">
        <v>1132</v>
      </c>
      <c r="L25" s="583">
        <v>1141</v>
      </c>
      <c r="M25" s="583">
        <v>1093</v>
      </c>
      <c r="N25" s="583">
        <v>3694</v>
      </c>
      <c r="O25" s="583">
        <v>357</v>
      </c>
      <c r="P25" s="583">
        <v>122</v>
      </c>
      <c r="Q25" s="583">
        <v>4795</v>
      </c>
      <c r="R25" s="583">
        <v>5274</v>
      </c>
      <c r="S25" s="583">
        <v>950</v>
      </c>
      <c r="T25" s="583">
        <v>950</v>
      </c>
      <c r="U25">
        <v>33347</v>
      </c>
      <c r="V25"/>
      <c r="W25"/>
    </row>
    <row r="26" spans="1:25" s="386" customFormat="1" ht="15.75">
      <c r="A26" s="387"/>
      <c r="B26" s="584" t="s">
        <v>1163</v>
      </c>
      <c r="C26" s="384">
        <v>1.882776686313032E-2</v>
      </c>
      <c r="D26" s="384">
        <v>6.329113924050633E-4</v>
      </c>
      <c r="E26" s="384">
        <v>-2.03210729526519E-4</v>
      </c>
      <c r="F26" s="384">
        <v>2.3343631994507379E-2</v>
      </c>
      <c r="G26" s="384">
        <v>0</v>
      </c>
      <c r="H26" s="384">
        <v>0</v>
      </c>
      <c r="I26" s="384">
        <v>1.0960086299892126E-2</v>
      </c>
      <c r="J26" s="384">
        <v>0.11186440677966102</v>
      </c>
      <c r="K26" s="384">
        <v>6.4910630291627469E-2</v>
      </c>
      <c r="L26" s="384">
        <v>0.17507723995880536</v>
      </c>
      <c r="M26" s="384">
        <v>0.4287581699346405</v>
      </c>
      <c r="N26" s="384">
        <v>0.19392372333548805</v>
      </c>
      <c r="O26" s="384">
        <v>8.5106382978723402E-2</v>
      </c>
      <c r="P26" s="384">
        <v>0.41860465116279072</v>
      </c>
      <c r="Q26" s="384">
        <v>0.62542372881355934</v>
      </c>
      <c r="R26" s="384">
        <v>0.56731054977711737</v>
      </c>
      <c r="S26" s="384">
        <v>5.0884955752212392E-2</v>
      </c>
      <c r="T26" s="384">
        <v>5.0884955752212392E-2</v>
      </c>
      <c r="U26">
        <v>9.1983757940926059E-2</v>
      </c>
      <c r="V26"/>
      <c r="W26"/>
      <c r="X26" s="3"/>
      <c r="Y26" s="3"/>
    </row>
    <row r="27" spans="1:25" ht="15.75">
      <c r="A27" s="673" t="s">
        <v>954</v>
      </c>
      <c r="B27" s="3" t="s">
        <v>1159</v>
      </c>
      <c r="C27" s="583">
        <v>9251</v>
      </c>
      <c r="D27" s="583">
        <v>2599</v>
      </c>
      <c r="E27" s="583">
        <v>5237</v>
      </c>
      <c r="F27" s="583">
        <v>5982</v>
      </c>
      <c r="G27" s="583"/>
      <c r="H27" s="583">
        <v>449</v>
      </c>
      <c r="I27" s="583">
        <v>23518</v>
      </c>
      <c r="J27" s="583"/>
      <c r="K27" s="583">
        <v>6574</v>
      </c>
      <c r="L27" s="583">
        <v>4738</v>
      </c>
      <c r="M27" s="583">
        <v>1400</v>
      </c>
      <c r="N27" s="583">
        <v>12712</v>
      </c>
      <c r="O27" s="583"/>
      <c r="P27" s="583"/>
      <c r="Q27" s="583"/>
      <c r="R27" s="583"/>
      <c r="S27" s="583">
        <v>7742</v>
      </c>
      <c r="T27" s="583">
        <v>7742</v>
      </c>
      <c r="U27">
        <v>43972</v>
      </c>
      <c r="V27"/>
      <c r="W27"/>
    </row>
    <row r="28" spans="1:25" ht="15.75">
      <c r="A28" s="379"/>
      <c r="B28" s="3" t="s">
        <v>1161</v>
      </c>
      <c r="C28" s="583">
        <v>9543</v>
      </c>
      <c r="D28" s="583">
        <v>2470</v>
      </c>
      <c r="E28" s="583">
        <v>5451</v>
      </c>
      <c r="F28" s="583">
        <v>5959</v>
      </c>
      <c r="G28" s="583"/>
      <c r="H28" s="583">
        <v>516</v>
      </c>
      <c r="I28" s="583">
        <v>23939</v>
      </c>
      <c r="J28" s="583"/>
      <c r="K28" s="583">
        <v>6408</v>
      </c>
      <c r="L28" s="583">
        <v>5043</v>
      </c>
      <c r="M28" s="583">
        <v>1470</v>
      </c>
      <c r="N28" s="583">
        <v>12921</v>
      </c>
      <c r="O28" s="583"/>
      <c r="P28" s="583"/>
      <c r="Q28" s="583"/>
      <c r="R28" s="583"/>
      <c r="S28" s="583">
        <v>7566</v>
      </c>
      <c r="T28" s="583">
        <v>7566</v>
      </c>
      <c r="U28">
        <v>44426</v>
      </c>
      <c r="V28"/>
      <c r="W28"/>
    </row>
    <row r="29" spans="1:25" s="386" customFormat="1" ht="15.75">
      <c r="A29" s="387"/>
      <c r="B29" s="584" t="s">
        <v>1163</v>
      </c>
      <c r="C29" s="384">
        <v>3.1564155226462005E-2</v>
      </c>
      <c r="D29" s="384">
        <v>-4.9634474797999227E-2</v>
      </c>
      <c r="E29" s="384">
        <v>4.0863089555088793E-2</v>
      </c>
      <c r="F29" s="384">
        <v>-3.8448679371447677E-3</v>
      </c>
      <c r="G29" s="384">
        <v>0</v>
      </c>
      <c r="H29" s="384">
        <v>0.1492204899777283</v>
      </c>
      <c r="I29" s="384">
        <v>1.7901182073305554E-2</v>
      </c>
      <c r="J29" s="384">
        <v>0</v>
      </c>
      <c r="K29" s="384">
        <v>-2.5250988743535138E-2</v>
      </c>
      <c r="L29" s="384">
        <v>6.4373153229210639E-2</v>
      </c>
      <c r="M29" s="384">
        <v>0.05</v>
      </c>
      <c r="N29" s="384">
        <v>1.644115796098175E-2</v>
      </c>
      <c r="O29" s="384">
        <v>0</v>
      </c>
      <c r="P29" s="384">
        <v>0</v>
      </c>
      <c r="Q29" s="384">
        <v>0</v>
      </c>
      <c r="R29" s="384">
        <v>0</v>
      </c>
      <c r="S29" s="384">
        <v>-2.2733143890467579E-2</v>
      </c>
      <c r="T29" s="384">
        <v>-2.2733143890467579E-2</v>
      </c>
      <c r="U29">
        <v>1.0324752114982261E-2</v>
      </c>
      <c r="V29"/>
      <c r="W29"/>
      <c r="X29" s="3"/>
      <c r="Y29" s="3"/>
    </row>
    <row r="30" spans="1:25" ht="15.75">
      <c r="A30" s="673" t="s">
        <v>983</v>
      </c>
      <c r="B30" s="3" t="s">
        <v>1159</v>
      </c>
      <c r="C30" s="583">
        <v>6661</v>
      </c>
      <c r="D30" s="583">
        <v>4718</v>
      </c>
      <c r="E30" s="583"/>
      <c r="F30" s="583">
        <v>1981</v>
      </c>
      <c r="G30" s="583">
        <v>469</v>
      </c>
      <c r="H30" s="583"/>
      <c r="I30" s="583">
        <v>13829</v>
      </c>
      <c r="J30" s="583"/>
      <c r="K30" s="583">
        <v>3841</v>
      </c>
      <c r="L30" s="583">
        <v>5745</v>
      </c>
      <c r="M30" s="583">
        <v>583</v>
      </c>
      <c r="N30" s="583">
        <v>10169</v>
      </c>
      <c r="O30" s="583"/>
      <c r="P30" s="583"/>
      <c r="Q30" s="583"/>
      <c r="R30" s="583"/>
      <c r="S30" s="583">
        <v>537</v>
      </c>
      <c r="T30" s="583">
        <v>537</v>
      </c>
      <c r="U30">
        <v>24535</v>
      </c>
      <c r="V30"/>
      <c r="W30"/>
    </row>
    <row r="31" spans="1:25" ht="15.75">
      <c r="A31" s="379"/>
      <c r="B31" s="3" t="s">
        <v>1161</v>
      </c>
      <c r="C31" s="583">
        <v>6966</v>
      </c>
      <c r="D31" s="583">
        <v>4678</v>
      </c>
      <c r="E31" s="583"/>
      <c r="F31" s="583">
        <v>1943</v>
      </c>
      <c r="G31" s="583">
        <v>508</v>
      </c>
      <c r="H31" s="583"/>
      <c r="I31" s="583">
        <v>14095</v>
      </c>
      <c r="J31" s="583"/>
      <c r="K31" s="583">
        <v>3987</v>
      </c>
      <c r="L31" s="583">
        <v>6139</v>
      </c>
      <c r="M31" s="583">
        <v>673</v>
      </c>
      <c r="N31" s="583">
        <v>10799</v>
      </c>
      <c r="O31" s="583"/>
      <c r="P31" s="583"/>
      <c r="Q31" s="583"/>
      <c r="R31" s="583"/>
      <c r="S31" s="583">
        <v>560</v>
      </c>
      <c r="T31" s="583">
        <v>560</v>
      </c>
      <c r="U31">
        <v>25454</v>
      </c>
      <c r="V31"/>
      <c r="W31"/>
    </row>
    <row r="32" spans="1:25" s="386" customFormat="1" ht="15.75">
      <c r="A32" s="387"/>
      <c r="B32" s="584" t="s">
        <v>1163</v>
      </c>
      <c r="C32" s="384">
        <v>4.5788920582495118E-2</v>
      </c>
      <c r="D32" s="384">
        <v>-8.4781687155574392E-3</v>
      </c>
      <c r="E32" s="384">
        <v>0</v>
      </c>
      <c r="F32" s="384">
        <v>-1.9182231196365473E-2</v>
      </c>
      <c r="G32" s="384">
        <v>8.3155650319829424E-2</v>
      </c>
      <c r="H32" s="384">
        <v>0</v>
      </c>
      <c r="I32" s="384">
        <v>1.9234941065876057E-2</v>
      </c>
      <c r="J32" s="384">
        <v>0</v>
      </c>
      <c r="K32" s="384">
        <v>3.8010934652434263E-2</v>
      </c>
      <c r="L32" s="384">
        <v>6.8581375108790255E-2</v>
      </c>
      <c r="M32" s="384">
        <v>0.15437392795883362</v>
      </c>
      <c r="N32" s="384">
        <v>6.195299439472908E-2</v>
      </c>
      <c r="O32" s="384">
        <v>0</v>
      </c>
      <c r="P32" s="384">
        <v>0</v>
      </c>
      <c r="Q32" s="384">
        <v>0</v>
      </c>
      <c r="R32" s="384">
        <v>0</v>
      </c>
      <c r="S32" s="384">
        <v>4.2830540037243951E-2</v>
      </c>
      <c r="T32" s="384">
        <v>4.2830540037243951E-2</v>
      </c>
      <c r="U32">
        <v>3.745669451803546E-2</v>
      </c>
      <c r="V32"/>
      <c r="W32"/>
      <c r="X32" s="3"/>
      <c r="Y32" s="3"/>
    </row>
    <row r="33" spans="1:25" ht="15.75">
      <c r="A33" s="673" t="s">
        <v>984</v>
      </c>
      <c r="B33" s="3" t="s">
        <v>1159</v>
      </c>
      <c r="C33" s="583">
        <v>13767</v>
      </c>
      <c r="D33" s="583">
        <v>7967</v>
      </c>
      <c r="E33" s="583">
        <v>16242</v>
      </c>
      <c r="F33" s="583">
        <v>948</v>
      </c>
      <c r="G33" s="583">
        <v>1864</v>
      </c>
      <c r="H33" s="583">
        <v>1126</v>
      </c>
      <c r="I33" s="583">
        <v>41914</v>
      </c>
      <c r="J33" s="583"/>
      <c r="K33" s="583">
        <v>12775</v>
      </c>
      <c r="L33" s="583">
        <v>16929</v>
      </c>
      <c r="M33" s="583">
        <v>3369</v>
      </c>
      <c r="N33" s="583">
        <v>33073</v>
      </c>
      <c r="O33" s="583"/>
      <c r="P33" s="583"/>
      <c r="Q33" s="583"/>
      <c r="R33" s="583"/>
      <c r="S33" s="583">
        <v>185</v>
      </c>
      <c r="T33" s="583">
        <v>185</v>
      </c>
      <c r="U33">
        <v>75172</v>
      </c>
      <c r="V33"/>
      <c r="W33"/>
    </row>
    <row r="34" spans="1:25" ht="15.75">
      <c r="A34" s="379"/>
      <c r="B34" s="3" t="s">
        <v>1161</v>
      </c>
      <c r="C34" s="583">
        <v>14182</v>
      </c>
      <c r="D34" s="583">
        <v>8148</v>
      </c>
      <c r="E34" s="583">
        <v>17124</v>
      </c>
      <c r="F34" s="583">
        <v>927</v>
      </c>
      <c r="G34" s="583">
        <v>2072</v>
      </c>
      <c r="H34" s="583">
        <v>1028</v>
      </c>
      <c r="I34" s="583">
        <v>43481</v>
      </c>
      <c r="J34" s="583"/>
      <c r="K34" s="583">
        <v>13319</v>
      </c>
      <c r="L34" s="583">
        <v>15921</v>
      </c>
      <c r="M34" s="583">
        <v>3256</v>
      </c>
      <c r="N34" s="583">
        <v>32496</v>
      </c>
      <c r="O34" s="583"/>
      <c r="P34" s="583"/>
      <c r="Q34" s="583"/>
      <c r="R34" s="583"/>
      <c r="S34" s="583">
        <v>212</v>
      </c>
      <c r="T34" s="583">
        <v>212</v>
      </c>
      <c r="U34">
        <v>76189</v>
      </c>
      <c r="V34"/>
      <c r="W34"/>
    </row>
    <row r="35" spans="1:25" s="386" customFormat="1" ht="15.75">
      <c r="A35" s="387"/>
      <c r="B35" s="584" t="s">
        <v>1163</v>
      </c>
      <c r="C35" s="384">
        <v>3.0144548558146293E-2</v>
      </c>
      <c r="D35" s="384">
        <v>2.2718714698129784E-2</v>
      </c>
      <c r="E35" s="384">
        <v>5.4303657185075731E-2</v>
      </c>
      <c r="F35" s="384">
        <v>-2.2151898734177215E-2</v>
      </c>
      <c r="G35" s="384">
        <v>0.11158798283261803</v>
      </c>
      <c r="H35" s="384">
        <v>-8.7033747779751328E-2</v>
      </c>
      <c r="I35" s="384">
        <v>3.7386076251371858E-2</v>
      </c>
      <c r="J35" s="384">
        <v>0</v>
      </c>
      <c r="K35" s="384">
        <v>4.2583170254403134E-2</v>
      </c>
      <c r="L35" s="384">
        <v>-5.9542796384901647E-2</v>
      </c>
      <c r="M35" s="384">
        <v>-3.3541110121697831E-2</v>
      </c>
      <c r="N35" s="384">
        <v>-1.7446255253530069E-2</v>
      </c>
      <c r="O35" s="384">
        <v>0</v>
      </c>
      <c r="P35" s="384">
        <v>0</v>
      </c>
      <c r="Q35" s="384">
        <v>0</v>
      </c>
      <c r="R35" s="384">
        <v>0</v>
      </c>
      <c r="S35" s="384">
        <v>0.14594594594594595</v>
      </c>
      <c r="T35" s="384">
        <v>0.14594594594594595</v>
      </c>
      <c r="U35">
        <v>1.3528973553982866E-2</v>
      </c>
      <c r="V35"/>
      <c r="W35"/>
      <c r="X35" s="3"/>
      <c r="Y35" s="3"/>
    </row>
    <row r="36" spans="1:25" ht="15.75">
      <c r="A36" s="673" t="s">
        <v>31</v>
      </c>
      <c r="B36" s="3" t="s">
        <v>1159</v>
      </c>
      <c r="C36" s="583">
        <v>11849</v>
      </c>
      <c r="D36" s="583"/>
      <c r="E36" s="583">
        <v>4416</v>
      </c>
      <c r="F36" s="583"/>
      <c r="G36" s="583">
        <v>4205</v>
      </c>
      <c r="H36" s="583">
        <v>783</v>
      </c>
      <c r="I36" s="583">
        <v>21253</v>
      </c>
      <c r="J36" s="583">
        <v>545</v>
      </c>
      <c r="K36" s="583">
        <v>3373</v>
      </c>
      <c r="L36" s="583">
        <v>1822</v>
      </c>
      <c r="M36" s="583">
        <v>2571</v>
      </c>
      <c r="N36" s="583">
        <v>8311</v>
      </c>
      <c r="O36" s="583">
        <v>1631</v>
      </c>
      <c r="P36" s="583">
        <v>5468</v>
      </c>
      <c r="Q36" s="583">
        <v>0</v>
      </c>
      <c r="R36" s="583">
        <v>7099</v>
      </c>
      <c r="S36" s="583"/>
      <c r="T36" s="583"/>
      <c r="U36">
        <v>36663</v>
      </c>
      <c r="V36"/>
      <c r="W36"/>
    </row>
    <row r="37" spans="1:25" ht="15.75">
      <c r="A37" s="379"/>
      <c r="B37" s="3" t="s">
        <v>1161</v>
      </c>
      <c r="C37" s="583">
        <v>12498</v>
      </c>
      <c r="D37" s="583"/>
      <c r="E37" s="583">
        <v>4584</v>
      </c>
      <c r="F37" s="583"/>
      <c r="G37" s="583">
        <v>4367</v>
      </c>
      <c r="H37" s="583">
        <v>840</v>
      </c>
      <c r="I37" s="583">
        <v>22289</v>
      </c>
      <c r="J37" s="583">
        <v>559</v>
      </c>
      <c r="K37" s="583">
        <v>3277</v>
      </c>
      <c r="L37" s="583">
        <v>1962</v>
      </c>
      <c r="M37" s="583">
        <v>2578</v>
      </c>
      <c r="N37" s="583">
        <v>8376</v>
      </c>
      <c r="O37" s="583">
        <v>2699</v>
      </c>
      <c r="P37" s="583">
        <v>8994</v>
      </c>
      <c r="Q37" s="583">
        <v>0</v>
      </c>
      <c r="R37" s="583">
        <v>11693</v>
      </c>
      <c r="S37" s="583"/>
      <c r="T37" s="583"/>
      <c r="U37">
        <v>42358</v>
      </c>
      <c r="V37"/>
      <c r="W37"/>
    </row>
    <row r="38" spans="1:25" s="386" customFormat="1" ht="15.75">
      <c r="A38" s="387"/>
      <c r="B38" s="584" t="s">
        <v>1163</v>
      </c>
      <c r="C38" s="384">
        <v>5.4772554645961688E-2</v>
      </c>
      <c r="D38" s="384">
        <v>0</v>
      </c>
      <c r="E38" s="384">
        <v>3.8043478260869568E-2</v>
      </c>
      <c r="F38" s="384">
        <v>0</v>
      </c>
      <c r="G38" s="384">
        <v>3.8525564803804993E-2</v>
      </c>
      <c r="H38" s="384">
        <v>7.2796934865900387E-2</v>
      </c>
      <c r="I38" s="384">
        <v>4.8746059379852255E-2</v>
      </c>
      <c r="J38" s="384">
        <v>2.5688073394495414E-2</v>
      </c>
      <c r="K38" s="384">
        <v>-2.8461310406166618E-2</v>
      </c>
      <c r="L38" s="384">
        <v>7.6838638858397368E-2</v>
      </c>
      <c r="M38" s="384">
        <v>2.7226760015558148E-3</v>
      </c>
      <c r="N38" s="384">
        <v>7.8209601732643491E-3</v>
      </c>
      <c r="O38" s="384">
        <v>0.65481299816063765</v>
      </c>
      <c r="P38" s="384">
        <v>0.64484272128749087</v>
      </c>
      <c r="Q38" s="384">
        <v>0</v>
      </c>
      <c r="R38" s="384">
        <v>0.64713339907029155</v>
      </c>
      <c r="S38" s="384">
        <v>0</v>
      </c>
      <c r="T38" s="384">
        <v>0</v>
      </c>
      <c r="U38">
        <v>0.15533371518970079</v>
      </c>
      <c r="V38"/>
      <c r="W38"/>
      <c r="X38" s="3"/>
      <c r="Y38" s="3"/>
    </row>
    <row r="39" spans="1:25" ht="15.75">
      <c r="A39" s="673" t="s">
        <v>35</v>
      </c>
      <c r="B39" s="3" t="s">
        <v>1159</v>
      </c>
      <c r="C39" s="583">
        <v>10224</v>
      </c>
      <c r="D39" s="583"/>
      <c r="E39" s="583">
        <v>3545</v>
      </c>
      <c r="F39" s="583">
        <v>688</v>
      </c>
      <c r="G39" s="583">
        <v>2472</v>
      </c>
      <c r="H39" s="583">
        <v>2039</v>
      </c>
      <c r="I39" s="583">
        <v>18968</v>
      </c>
      <c r="J39" s="583"/>
      <c r="K39" s="583">
        <v>6053</v>
      </c>
      <c r="L39" s="583">
        <v>6536</v>
      </c>
      <c r="M39" s="583">
        <v>1295</v>
      </c>
      <c r="N39" s="583">
        <v>13884</v>
      </c>
      <c r="O39" s="583"/>
      <c r="P39" s="583"/>
      <c r="Q39" s="583"/>
      <c r="R39" s="583"/>
      <c r="S39" s="583">
        <v>899</v>
      </c>
      <c r="T39" s="583">
        <v>899</v>
      </c>
      <c r="U39">
        <v>33751</v>
      </c>
      <c r="V39"/>
      <c r="W39"/>
    </row>
    <row r="40" spans="1:25" ht="15.75">
      <c r="A40" s="379"/>
      <c r="B40" s="3" t="s">
        <v>1161</v>
      </c>
      <c r="C40" s="583">
        <v>10611</v>
      </c>
      <c r="D40" s="583"/>
      <c r="E40" s="583">
        <v>3394</v>
      </c>
      <c r="F40" s="583">
        <v>768</v>
      </c>
      <c r="G40" s="583">
        <v>2642</v>
      </c>
      <c r="H40" s="583">
        <v>2079</v>
      </c>
      <c r="I40" s="583">
        <v>19494</v>
      </c>
      <c r="J40" s="583"/>
      <c r="K40" s="583">
        <v>6129</v>
      </c>
      <c r="L40" s="583">
        <v>6744</v>
      </c>
      <c r="M40" s="583">
        <v>1323</v>
      </c>
      <c r="N40" s="583">
        <v>14196</v>
      </c>
      <c r="O40" s="583"/>
      <c r="P40" s="583"/>
      <c r="Q40" s="583"/>
      <c r="R40" s="583"/>
      <c r="S40" s="583">
        <v>870</v>
      </c>
      <c r="T40" s="583">
        <v>870</v>
      </c>
      <c r="U40">
        <v>34560</v>
      </c>
      <c r="V40"/>
      <c r="W40"/>
    </row>
    <row r="41" spans="1:25" s="386" customFormat="1" ht="15.75">
      <c r="A41" s="387"/>
      <c r="B41" s="584" t="s">
        <v>1163</v>
      </c>
      <c r="C41" s="384">
        <v>3.7852112676056336E-2</v>
      </c>
      <c r="D41" s="384">
        <v>0</v>
      </c>
      <c r="E41" s="384">
        <v>-4.2595204513399154E-2</v>
      </c>
      <c r="F41" s="384">
        <v>0.11627906976744186</v>
      </c>
      <c r="G41" s="384">
        <v>6.877022653721683E-2</v>
      </c>
      <c r="H41" s="384">
        <v>1.96174595389897E-2</v>
      </c>
      <c r="I41" s="384">
        <v>2.773091522564319E-2</v>
      </c>
      <c r="J41" s="384">
        <v>0</v>
      </c>
      <c r="K41" s="384">
        <v>1.2555757475631918E-2</v>
      </c>
      <c r="L41" s="384">
        <v>3.182374541003672E-2</v>
      </c>
      <c r="M41" s="384">
        <v>2.1621621621621623E-2</v>
      </c>
      <c r="N41" s="384">
        <v>2.247191011235955E-2</v>
      </c>
      <c r="O41" s="384">
        <v>0</v>
      </c>
      <c r="P41" s="384">
        <v>0</v>
      </c>
      <c r="Q41" s="384">
        <v>0</v>
      </c>
      <c r="R41" s="384">
        <v>0</v>
      </c>
      <c r="S41" s="384">
        <v>-3.2258064516129031E-2</v>
      </c>
      <c r="T41" s="384">
        <v>-3.2258064516129031E-2</v>
      </c>
      <c r="U41">
        <v>2.3969660158217533E-2</v>
      </c>
      <c r="V41"/>
      <c r="W41"/>
      <c r="X41" s="3"/>
      <c r="Y41" s="3"/>
    </row>
    <row r="42" spans="1:25" ht="15.75">
      <c r="A42" s="673" t="s">
        <v>32</v>
      </c>
      <c r="B42" s="3" t="s">
        <v>1159</v>
      </c>
      <c r="C42" s="583">
        <v>9142</v>
      </c>
      <c r="D42" s="583"/>
      <c r="E42" s="583">
        <v>12091</v>
      </c>
      <c r="F42" s="583">
        <v>1499</v>
      </c>
      <c r="G42" s="583">
        <v>1138</v>
      </c>
      <c r="H42" s="583"/>
      <c r="I42" s="583">
        <v>23870</v>
      </c>
      <c r="J42" s="583"/>
      <c r="K42" s="583">
        <v>2579</v>
      </c>
      <c r="L42" s="583">
        <v>5459</v>
      </c>
      <c r="M42" s="583">
        <v>196</v>
      </c>
      <c r="N42" s="583">
        <v>8234</v>
      </c>
      <c r="O42" s="583"/>
      <c r="P42" s="583">
        <v>6404</v>
      </c>
      <c r="Q42" s="583"/>
      <c r="R42" s="583">
        <v>6404</v>
      </c>
      <c r="S42" s="583">
        <v>960</v>
      </c>
      <c r="T42" s="583">
        <v>960</v>
      </c>
      <c r="U42">
        <v>39468</v>
      </c>
      <c r="V42"/>
      <c r="W42"/>
    </row>
    <row r="43" spans="1:25" ht="15.75">
      <c r="A43" s="379"/>
      <c r="B43" s="3" t="s">
        <v>1161</v>
      </c>
      <c r="C43" s="583">
        <v>9553</v>
      </c>
      <c r="D43" s="583"/>
      <c r="E43" s="583">
        <v>12172</v>
      </c>
      <c r="F43" s="583">
        <v>1396</v>
      </c>
      <c r="G43" s="583">
        <v>1005</v>
      </c>
      <c r="H43" s="583"/>
      <c r="I43" s="583">
        <v>24126</v>
      </c>
      <c r="J43" s="583"/>
      <c r="K43" s="583">
        <v>2090</v>
      </c>
      <c r="L43" s="583">
        <v>4501</v>
      </c>
      <c r="M43" s="583">
        <v>227</v>
      </c>
      <c r="N43" s="583">
        <v>6818</v>
      </c>
      <c r="O43" s="583"/>
      <c r="P43" s="583">
        <v>6762</v>
      </c>
      <c r="Q43" s="583"/>
      <c r="R43" s="583">
        <v>6762</v>
      </c>
      <c r="S43" s="583">
        <v>1076</v>
      </c>
      <c r="T43" s="583">
        <v>1076</v>
      </c>
      <c r="U43">
        <v>38782</v>
      </c>
      <c r="V43"/>
      <c r="W43"/>
    </row>
    <row r="44" spans="1:25" s="386" customFormat="1" ht="15.75">
      <c r="A44" s="387"/>
      <c r="B44" s="584" t="s">
        <v>1163</v>
      </c>
      <c r="C44" s="384">
        <v>4.4957339750601621E-2</v>
      </c>
      <c r="D44" s="384">
        <v>0</v>
      </c>
      <c r="E44" s="384">
        <v>6.6991977503928542E-3</v>
      </c>
      <c r="F44" s="384">
        <v>-6.8712474983322211E-2</v>
      </c>
      <c r="G44" s="384">
        <v>-0.11687170474516696</v>
      </c>
      <c r="H44" s="384">
        <v>0</v>
      </c>
      <c r="I44" s="384">
        <v>1.0724759111855886E-2</v>
      </c>
      <c r="J44" s="384">
        <v>0</v>
      </c>
      <c r="K44" s="384">
        <v>-0.1896083753392788</v>
      </c>
      <c r="L44" s="384">
        <v>-0.175490016486536</v>
      </c>
      <c r="M44" s="384">
        <v>0.15816326530612246</v>
      </c>
      <c r="N44" s="384">
        <v>-0.17196988098129706</v>
      </c>
      <c r="O44" s="384">
        <v>0</v>
      </c>
      <c r="P44" s="384">
        <v>5.5902560899437855E-2</v>
      </c>
      <c r="Q44" s="384">
        <v>0</v>
      </c>
      <c r="R44" s="384">
        <v>5.5902560899437855E-2</v>
      </c>
      <c r="S44" s="384">
        <v>0.12083333333333333</v>
      </c>
      <c r="T44" s="384">
        <v>0.12083333333333333</v>
      </c>
      <c r="U44">
        <v>-1.73811695550826E-2</v>
      </c>
      <c r="V44"/>
      <c r="W44"/>
      <c r="X44" s="3"/>
      <c r="Y44" s="3"/>
    </row>
    <row r="45" spans="1:25" ht="15.75">
      <c r="A45" s="673" t="s">
        <v>951</v>
      </c>
      <c r="B45" s="3" t="s">
        <v>1159</v>
      </c>
      <c r="C45" s="583">
        <v>53894</v>
      </c>
      <c r="D45" s="583">
        <v>11261</v>
      </c>
      <c r="E45" s="583">
        <v>35909</v>
      </c>
      <c r="F45" s="583">
        <v>2974</v>
      </c>
      <c r="G45" s="583">
        <v>2286</v>
      </c>
      <c r="H45" s="583">
        <v>263</v>
      </c>
      <c r="I45" s="583">
        <v>106587</v>
      </c>
      <c r="J45" s="583">
        <v>2981</v>
      </c>
      <c r="K45" s="583">
        <v>35675</v>
      </c>
      <c r="L45" s="583">
        <v>17280</v>
      </c>
      <c r="M45" s="583">
        <v>3113</v>
      </c>
      <c r="N45" s="583">
        <v>59049</v>
      </c>
      <c r="O45" s="583"/>
      <c r="P45" s="583"/>
      <c r="Q45" s="583"/>
      <c r="R45" s="583"/>
      <c r="S45" s="583">
        <v>5003</v>
      </c>
      <c r="T45" s="583">
        <v>5003</v>
      </c>
      <c r="U45">
        <v>170639</v>
      </c>
      <c r="V45"/>
      <c r="W45"/>
    </row>
    <row r="46" spans="1:25" ht="15.75">
      <c r="A46" s="379"/>
      <c r="B46" s="3" t="s">
        <v>1161</v>
      </c>
      <c r="C46" s="583">
        <v>54565</v>
      </c>
      <c r="D46" s="583">
        <v>11780</v>
      </c>
      <c r="E46" s="583">
        <v>38803</v>
      </c>
      <c r="F46" s="583">
        <v>3330</v>
      </c>
      <c r="G46" s="583">
        <v>2439</v>
      </c>
      <c r="H46" s="583">
        <v>250</v>
      </c>
      <c r="I46" s="583">
        <v>111167</v>
      </c>
      <c r="J46" s="583">
        <v>3279</v>
      </c>
      <c r="K46" s="583">
        <v>39178</v>
      </c>
      <c r="L46" s="583">
        <v>19180</v>
      </c>
      <c r="M46" s="583">
        <v>3012</v>
      </c>
      <c r="N46" s="583">
        <v>64649</v>
      </c>
      <c r="O46" s="583"/>
      <c r="P46" s="583"/>
      <c r="Q46" s="583"/>
      <c r="R46" s="583"/>
      <c r="S46" s="583">
        <v>5108</v>
      </c>
      <c r="T46" s="583">
        <v>5108</v>
      </c>
      <c r="U46">
        <v>180924</v>
      </c>
      <c r="V46"/>
      <c r="W46"/>
    </row>
    <row r="47" spans="1:25" s="386" customFormat="1" ht="15.75">
      <c r="A47" s="387"/>
      <c r="B47" s="584" t="s">
        <v>1163</v>
      </c>
      <c r="C47" s="384">
        <v>1.2450365532341263E-2</v>
      </c>
      <c r="D47" s="384">
        <v>4.608826924784655E-2</v>
      </c>
      <c r="E47" s="384">
        <v>8.0592609095212903E-2</v>
      </c>
      <c r="F47" s="384">
        <v>0.11970410221923336</v>
      </c>
      <c r="G47" s="384">
        <v>6.6929133858267723E-2</v>
      </c>
      <c r="H47" s="384">
        <v>-4.9429657794676805E-2</v>
      </c>
      <c r="I47" s="384">
        <v>4.2969592914708171E-2</v>
      </c>
      <c r="J47" s="384">
        <v>9.9966454209996641E-2</v>
      </c>
      <c r="K47" s="384">
        <v>9.8192011212333563E-2</v>
      </c>
      <c r="L47" s="384">
        <v>0.10995370370370371</v>
      </c>
      <c r="M47" s="384">
        <v>-3.2444587214905236E-2</v>
      </c>
      <c r="N47" s="384">
        <v>9.4836491727209607E-2</v>
      </c>
      <c r="O47" s="384">
        <v>0</v>
      </c>
      <c r="P47" s="384">
        <v>0</v>
      </c>
      <c r="Q47" s="384">
        <v>0</v>
      </c>
      <c r="R47" s="384">
        <v>0</v>
      </c>
      <c r="S47" s="384">
        <v>2.0987407555466721E-2</v>
      </c>
      <c r="T47" s="384">
        <v>2.0987407555466721E-2</v>
      </c>
      <c r="U47">
        <v>6.0273442765135757E-2</v>
      </c>
      <c r="V47"/>
      <c r="W47"/>
      <c r="X47" s="3"/>
      <c r="Y47" s="3"/>
    </row>
    <row r="48" spans="1:25" ht="15.75">
      <c r="A48" s="673" t="s">
        <v>347</v>
      </c>
      <c r="B48" s="3" t="s">
        <v>1159</v>
      </c>
      <c r="C48" s="583">
        <v>24022</v>
      </c>
      <c r="D48" s="583">
        <v>8016</v>
      </c>
      <c r="E48" s="583">
        <v>5147</v>
      </c>
      <c r="F48" s="583">
        <v>2984</v>
      </c>
      <c r="G48" s="583">
        <v>3047</v>
      </c>
      <c r="H48" s="583">
        <v>308</v>
      </c>
      <c r="I48" s="583">
        <v>43524</v>
      </c>
      <c r="J48" s="583"/>
      <c r="K48" s="583">
        <v>7971</v>
      </c>
      <c r="L48" s="583">
        <v>6513</v>
      </c>
      <c r="M48" s="583">
        <v>2676</v>
      </c>
      <c r="N48" s="583">
        <v>17160</v>
      </c>
      <c r="O48" s="583"/>
      <c r="P48" s="583"/>
      <c r="Q48" s="583"/>
      <c r="R48" s="583"/>
      <c r="S48" s="583">
        <v>280</v>
      </c>
      <c r="T48" s="583">
        <v>280</v>
      </c>
      <c r="U48">
        <v>60964</v>
      </c>
      <c r="V48"/>
      <c r="W48"/>
    </row>
    <row r="49" spans="1:25" ht="15.75">
      <c r="A49" s="379"/>
      <c r="B49" s="3" t="s">
        <v>1161</v>
      </c>
      <c r="C49" s="583">
        <v>24584</v>
      </c>
      <c r="D49" s="583">
        <v>8377</v>
      </c>
      <c r="E49" s="583">
        <v>5397</v>
      </c>
      <c r="F49" s="583">
        <v>2928</v>
      </c>
      <c r="G49" s="583">
        <v>3123</v>
      </c>
      <c r="H49" s="583">
        <v>287</v>
      </c>
      <c r="I49" s="583">
        <v>44696</v>
      </c>
      <c r="J49" s="583"/>
      <c r="K49" s="583">
        <v>8427</v>
      </c>
      <c r="L49" s="583">
        <v>6766</v>
      </c>
      <c r="M49" s="583">
        <v>3230</v>
      </c>
      <c r="N49" s="583">
        <v>18423</v>
      </c>
      <c r="O49" s="583"/>
      <c r="P49" s="583"/>
      <c r="Q49" s="583"/>
      <c r="R49" s="583"/>
      <c r="S49" s="583">
        <v>290</v>
      </c>
      <c r="T49" s="583">
        <v>290</v>
      </c>
      <c r="U49">
        <v>63409</v>
      </c>
      <c r="V49"/>
      <c r="W49"/>
    </row>
    <row r="50" spans="1:25" s="386" customFormat="1" ht="15.75">
      <c r="A50" s="387"/>
      <c r="B50" s="584" t="s">
        <v>1163</v>
      </c>
      <c r="C50" s="384">
        <v>2.3395221047373242E-2</v>
      </c>
      <c r="D50" s="384">
        <v>4.5034930139720562E-2</v>
      </c>
      <c r="E50" s="384">
        <v>4.8571983679813482E-2</v>
      </c>
      <c r="F50" s="384">
        <v>-1.876675603217158E-2</v>
      </c>
      <c r="G50" s="384">
        <v>2.4942566458811946E-2</v>
      </c>
      <c r="H50" s="384">
        <v>-6.8181818181818177E-2</v>
      </c>
      <c r="I50" s="384">
        <v>2.692767208896241E-2</v>
      </c>
      <c r="J50" s="384">
        <v>0</v>
      </c>
      <c r="K50" s="384">
        <v>5.7207376740684983E-2</v>
      </c>
      <c r="L50" s="384">
        <v>3.8845386150775374E-2</v>
      </c>
      <c r="M50" s="384">
        <v>0.2070254110612855</v>
      </c>
      <c r="N50" s="384">
        <v>7.3601398601398596E-2</v>
      </c>
      <c r="O50" s="384">
        <v>0</v>
      </c>
      <c r="P50" s="384">
        <v>0</v>
      </c>
      <c r="Q50" s="384">
        <v>0</v>
      </c>
      <c r="R50" s="384">
        <v>0</v>
      </c>
      <c r="S50" s="384">
        <v>3.5714285714285712E-2</v>
      </c>
      <c r="T50" s="384">
        <v>3.5714285714285712E-2</v>
      </c>
      <c r="U50">
        <v>4.010563611311594E-2</v>
      </c>
      <c r="V50"/>
      <c r="W50"/>
      <c r="X50" s="3"/>
      <c r="Y50" s="3"/>
    </row>
    <row r="51" spans="1:25" ht="15.75">
      <c r="A51" s="673" t="s">
        <v>70</v>
      </c>
      <c r="B51" s="3" t="s">
        <v>1159</v>
      </c>
      <c r="C51" s="583">
        <v>5876</v>
      </c>
      <c r="D51" s="583"/>
      <c r="E51" s="583">
        <v>2485</v>
      </c>
      <c r="F51" s="583"/>
      <c r="G51" s="583">
        <v>814</v>
      </c>
      <c r="H51" s="583">
        <v>2646</v>
      </c>
      <c r="I51" s="583">
        <v>11821</v>
      </c>
      <c r="J51" s="583">
        <v>777</v>
      </c>
      <c r="K51" s="583"/>
      <c r="L51" s="583">
        <v>424</v>
      </c>
      <c r="M51" s="583">
        <v>1924</v>
      </c>
      <c r="N51" s="583">
        <v>3125</v>
      </c>
      <c r="O51" s="583"/>
      <c r="P51" s="583"/>
      <c r="Q51" s="583"/>
      <c r="R51" s="583"/>
      <c r="S51" s="583">
        <v>94</v>
      </c>
      <c r="T51" s="583">
        <v>94</v>
      </c>
      <c r="U51">
        <v>15040</v>
      </c>
      <c r="V51"/>
      <c r="W51"/>
    </row>
    <row r="52" spans="1:25" ht="15.75">
      <c r="A52" s="379"/>
      <c r="B52" s="3" t="s">
        <v>1161</v>
      </c>
      <c r="C52" s="583">
        <v>5926</v>
      </c>
      <c r="D52" s="583"/>
      <c r="E52" s="583">
        <v>2483</v>
      </c>
      <c r="F52" s="583"/>
      <c r="G52" s="583">
        <v>837</v>
      </c>
      <c r="H52" s="583">
        <v>2545</v>
      </c>
      <c r="I52" s="583">
        <v>11791</v>
      </c>
      <c r="J52" s="583">
        <v>740</v>
      </c>
      <c r="K52" s="583"/>
      <c r="L52" s="583">
        <v>391</v>
      </c>
      <c r="M52" s="583">
        <v>1898</v>
      </c>
      <c r="N52" s="583">
        <v>3029</v>
      </c>
      <c r="O52" s="583"/>
      <c r="P52" s="583"/>
      <c r="Q52" s="583"/>
      <c r="R52" s="583"/>
      <c r="S52" s="583">
        <v>97</v>
      </c>
      <c r="T52" s="583">
        <v>97</v>
      </c>
      <c r="U52">
        <v>14917</v>
      </c>
      <c r="V52"/>
      <c r="W52"/>
    </row>
    <row r="53" spans="1:25" s="386" customFormat="1" ht="15.75">
      <c r="A53" s="387"/>
      <c r="B53" s="584" t="s">
        <v>1163</v>
      </c>
      <c r="C53" s="384">
        <v>8.5091899251191292E-3</v>
      </c>
      <c r="D53" s="384">
        <v>0</v>
      </c>
      <c r="E53" s="384">
        <v>-8.0482897384305833E-4</v>
      </c>
      <c r="F53" s="384">
        <v>0</v>
      </c>
      <c r="G53" s="384">
        <v>2.8255528255528257E-2</v>
      </c>
      <c r="H53" s="384">
        <v>-3.8170823885109596E-2</v>
      </c>
      <c r="I53" s="384">
        <v>-2.5378563573301752E-3</v>
      </c>
      <c r="J53" s="384">
        <v>-4.7619047619047616E-2</v>
      </c>
      <c r="K53" s="384">
        <v>0</v>
      </c>
      <c r="L53" s="384">
        <v>-7.783018867924528E-2</v>
      </c>
      <c r="M53" s="384">
        <v>-1.3513513513513514E-2</v>
      </c>
      <c r="N53" s="384">
        <v>-3.0720000000000001E-2</v>
      </c>
      <c r="O53" s="384">
        <v>0</v>
      </c>
      <c r="P53" s="384">
        <v>0</v>
      </c>
      <c r="Q53" s="384">
        <v>0</v>
      </c>
      <c r="R53" s="384">
        <v>0</v>
      </c>
      <c r="S53" s="384">
        <v>3.1914893617021274E-2</v>
      </c>
      <c r="T53" s="384">
        <v>3.1914893617021274E-2</v>
      </c>
      <c r="U53">
        <v>-8.1781914893617018E-3</v>
      </c>
      <c r="V53"/>
      <c r="W53"/>
      <c r="X53" s="3"/>
      <c r="Y53" s="3"/>
    </row>
    <row r="54" spans="1:25" ht="15.75">
      <c r="A54" s="673" t="s">
        <v>1160</v>
      </c>
      <c r="C54" s="583">
        <v>252000</v>
      </c>
      <c r="D54" s="583">
        <v>52502</v>
      </c>
      <c r="E54" s="583">
        <v>127364</v>
      </c>
      <c r="F54" s="583">
        <v>42286</v>
      </c>
      <c r="G54" s="583">
        <v>22753</v>
      </c>
      <c r="H54" s="583">
        <v>11709</v>
      </c>
      <c r="I54" s="583">
        <v>508614</v>
      </c>
      <c r="J54" s="583">
        <v>23431</v>
      </c>
      <c r="K54" s="583">
        <v>137794</v>
      </c>
      <c r="L54" s="583">
        <v>98116</v>
      </c>
      <c r="M54" s="583">
        <v>30934</v>
      </c>
      <c r="N54" s="583">
        <v>290275</v>
      </c>
      <c r="O54" s="583">
        <v>38021</v>
      </c>
      <c r="P54" s="583">
        <v>14370</v>
      </c>
      <c r="Q54" s="583">
        <v>2950</v>
      </c>
      <c r="R54" s="583">
        <v>55341</v>
      </c>
      <c r="S54" s="583">
        <v>19003</v>
      </c>
      <c r="T54" s="583">
        <v>19003</v>
      </c>
      <c r="U54">
        <v>873233</v>
      </c>
      <c r="V54"/>
      <c r="W54"/>
    </row>
    <row r="55" spans="1:25" ht="15.75">
      <c r="A55" s="379" t="s">
        <v>1162</v>
      </c>
      <c r="C55" s="583">
        <v>259012</v>
      </c>
      <c r="D55" s="583">
        <v>54039</v>
      </c>
      <c r="E55" s="583">
        <v>133046</v>
      </c>
      <c r="F55" s="583">
        <v>44199</v>
      </c>
      <c r="G55" s="583">
        <v>23731</v>
      </c>
      <c r="H55" s="583">
        <v>12074</v>
      </c>
      <c r="I55" s="583">
        <v>526101</v>
      </c>
      <c r="J55" s="583">
        <v>24475</v>
      </c>
      <c r="K55" s="583">
        <v>144385</v>
      </c>
      <c r="L55" s="583">
        <v>99254</v>
      </c>
      <c r="M55" s="583">
        <v>33426</v>
      </c>
      <c r="N55" s="583">
        <v>301540</v>
      </c>
      <c r="O55" s="583">
        <v>42280</v>
      </c>
      <c r="P55" s="583">
        <v>18289</v>
      </c>
      <c r="Q55" s="583">
        <v>4795</v>
      </c>
      <c r="R55" s="583">
        <v>65364</v>
      </c>
      <c r="S55" s="583">
        <v>19219</v>
      </c>
      <c r="T55" s="583">
        <v>19219</v>
      </c>
      <c r="U55">
        <v>912224</v>
      </c>
      <c r="V55"/>
      <c r="W55"/>
    </row>
    <row r="56" spans="1:25" s="386" customFormat="1" ht="15.75">
      <c r="A56" s="387" t="s">
        <v>1164</v>
      </c>
      <c r="B56" s="584"/>
      <c r="C56" s="384">
        <v>2.7825396825396826E-2</v>
      </c>
      <c r="D56" s="384">
        <v>2.9275075235229132E-2</v>
      </c>
      <c r="E56" s="384">
        <v>4.461229232750228E-2</v>
      </c>
      <c r="F56" s="384">
        <v>4.5239559192167621E-2</v>
      </c>
      <c r="G56" s="384">
        <v>4.2983342855887133E-2</v>
      </c>
      <c r="H56" s="384">
        <v>3.1172602271756767E-2</v>
      </c>
      <c r="I56" s="384">
        <v>3.4381672545388056E-2</v>
      </c>
      <c r="J56" s="384">
        <v>4.4556356962997735E-2</v>
      </c>
      <c r="K56" s="384">
        <v>4.7832271361597747E-2</v>
      </c>
      <c r="L56" s="384">
        <v>1.1598516042235722E-2</v>
      </c>
      <c r="M56" s="384">
        <v>8.0558608650675628E-2</v>
      </c>
      <c r="N56" s="384">
        <v>3.8808026871070538E-2</v>
      </c>
      <c r="O56" s="384">
        <v>0.11201704321296126</v>
      </c>
      <c r="P56" s="384">
        <v>0.27272094641614475</v>
      </c>
      <c r="Q56" s="384">
        <v>0.62542372881355934</v>
      </c>
      <c r="R56" s="384">
        <v>0.18111346018322763</v>
      </c>
      <c r="S56" s="384">
        <v>1.136662632215966E-2</v>
      </c>
      <c r="T56" s="384">
        <v>1.136662632215966E-2</v>
      </c>
      <c r="U56">
        <v>4.4651312994355458E-2</v>
      </c>
      <c r="V56"/>
      <c r="W56"/>
      <c r="X56" s="3"/>
      <c r="Y56" s="3"/>
    </row>
    <row r="57" spans="1:25">
      <c r="A57" s="691"/>
      <c r="D57" s="3"/>
    </row>
    <row r="58" spans="1:25">
      <c r="A58" s="691"/>
      <c r="D58" s="3"/>
    </row>
    <row r="59" spans="1:25" s="386" customFormat="1">
      <c r="A59" s="691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>
      <c r="A60" s="691"/>
      <c r="D60" s="3"/>
    </row>
    <row r="61" spans="1:25">
      <c r="A61" s="691"/>
      <c r="D61" s="3"/>
    </row>
    <row r="62" spans="1:25" s="386" customFormat="1">
      <c r="A62" s="691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>
      <c r="A63" s="691"/>
      <c r="D63" s="3"/>
    </row>
    <row r="64" spans="1:25">
      <c r="A64" s="691"/>
      <c r="D64" s="3"/>
    </row>
    <row r="65" spans="1:25" s="386" customFormat="1">
      <c r="A65" s="691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>
      <c r="A66" s="691"/>
      <c r="D66" s="3"/>
    </row>
    <row r="67" spans="1:25">
      <c r="A67" s="691"/>
      <c r="D67" s="3"/>
    </row>
    <row r="68" spans="1:25" s="386" customFormat="1">
      <c r="A68" s="691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>
      <c r="A69" s="691"/>
      <c r="D69" s="3"/>
    </row>
    <row r="70" spans="1:25">
      <c r="A70" s="691"/>
      <c r="D70" s="3"/>
    </row>
    <row r="71" spans="1:25" s="386" customFormat="1">
      <c r="A71" s="691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>
      <c r="A72" s="691"/>
      <c r="D72" s="3"/>
    </row>
    <row r="73" spans="1:25">
      <c r="A73" s="691"/>
      <c r="D73" s="3"/>
    </row>
    <row r="74" spans="1:25" s="386" customFormat="1">
      <c r="A74" s="691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>
      <c r="A75" s="691"/>
      <c r="D75" s="3"/>
    </row>
    <row r="76" spans="1:25">
      <c r="A76" s="691"/>
      <c r="D76" s="3"/>
    </row>
    <row r="77" spans="1:25" s="386" customFormat="1">
      <c r="A77" s="691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>
      <c r="A78" s="691"/>
      <c r="D78" s="3"/>
    </row>
    <row r="79" spans="1:25">
      <c r="A79" s="691"/>
      <c r="D79" s="3"/>
    </row>
    <row r="80" spans="1:25" s="386" customFormat="1">
      <c r="A80" s="691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>
      <c r="A81" s="691"/>
      <c r="D81" s="3"/>
    </row>
    <row r="82" spans="1:25">
      <c r="A82" s="691"/>
      <c r="D82" s="3"/>
    </row>
    <row r="83" spans="1:25" s="386" customFormat="1">
      <c r="A83" s="691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>
      <c r="A84" s="691"/>
      <c r="D84" s="3"/>
    </row>
    <row r="85" spans="1:25">
      <c r="A85" s="691"/>
      <c r="D85" s="3"/>
    </row>
    <row r="86" spans="1:25" s="386" customFormat="1">
      <c r="A86" s="691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>
      <c r="A87" s="691"/>
      <c r="D87" s="3"/>
    </row>
    <row r="88" spans="1:25">
      <c r="A88" s="691"/>
      <c r="D88" s="3"/>
    </row>
    <row r="89" spans="1:25" s="386" customFormat="1">
      <c r="A89" s="691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>
      <c r="A90" s="691"/>
      <c r="D90" s="3"/>
    </row>
    <row r="91" spans="1:25">
      <c r="A91" s="691"/>
      <c r="D91" s="3"/>
    </row>
    <row r="92" spans="1:25" s="386" customFormat="1">
      <c r="A92" s="691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>
      <c r="A93" s="691"/>
      <c r="D93" s="3"/>
    </row>
    <row r="94" spans="1:25">
      <c r="A94" s="691"/>
      <c r="D94" s="3"/>
    </row>
    <row r="95" spans="1:25" s="386" customFormat="1">
      <c r="A95" s="691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>
      <c r="A96" s="691"/>
      <c r="D96" s="3"/>
    </row>
    <row r="97" spans="1:25">
      <c r="A97" s="691"/>
      <c r="D97" s="3"/>
    </row>
    <row r="98" spans="1:25" s="386" customFormat="1">
      <c r="A98" s="69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>
      <c r="A99" s="691"/>
      <c r="D99" s="3"/>
    </row>
    <row r="100" spans="1:25">
      <c r="A100" s="691"/>
      <c r="D100" s="3"/>
    </row>
    <row r="101" spans="1:25" s="386" customFormat="1">
      <c r="A101" s="691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>
      <c r="A102" s="691"/>
      <c r="D102" s="3"/>
    </row>
    <row r="103" spans="1:25">
      <c r="A103" s="691"/>
      <c r="D103" s="3"/>
    </row>
    <row r="104" spans="1:25" s="386" customFormat="1">
      <c r="A104" s="691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>
      <c r="A105" s="691"/>
      <c r="D105" s="3"/>
    </row>
    <row r="106" spans="1:25">
      <c r="A106" s="691"/>
      <c r="D106" s="3"/>
    </row>
    <row r="107" spans="1:25" s="386" customFormat="1">
      <c r="A107" s="691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>
      <c r="A108" s="691"/>
      <c r="D108" s="3"/>
    </row>
    <row r="109" spans="1:25">
      <c r="A109" s="691"/>
      <c r="D109" s="3"/>
    </row>
    <row r="110" spans="1:25" s="386" customFormat="1">
      <c r="A110" s="691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>
      <c r="A111" s="691"/>
      <c r="D111" s="3"/>
    </row>
    <row r="112" spans="1:25">
      <c r="A112" s="691"/>
      <c r="D112" s="3"/>
    </row>
    <row r="113" spans="1:25" s="386" customFormat="1">
      <c r="A113" s="691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>
      <c r="A114" s="691"/>
      <c r="D114" s="3"/>
    </row>
    <row r="115" spans="1:25">
      <c r="A115" s="691"/>
      <c r="D115" s="3"/>
    </row>
    <row r="116" spans="1:25" s="386" customFormat="1">
      <c r="A116" s="691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>
      <c r="A117" s="691"/>
      <c r="D117" s="3"/>
    </row>
    <row r="118" spans="1:25">
      <c r="A118" s="691"/>
      <c r="D118" s="3"/>
    </row>
    <row r="119" spans="1:25" s="386" customFormat="1">
      <c r="A119" s="691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>
      <c r="A120" s="691"/>
      <c r="D120" s="3"/>
    </row>
    <row r="121" spans="1:25">
      <c r="A121" s="691"/>
      <c r="D121" s="3"/>
    </row>
    <row r="122" spans="1:25" s="386" customFormat="1">
      <c r="A122" s="691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>
      <c r="A123" s="691"/>
      <c r="D123" s="3"/>
    </row>
    <row r="124" spans="1:25">
      <c r="A124" s="691"/>
      <c r="D124" s="3"/>
    </row>
    <row r="125" spans="1:25" s="386" customFormat="1">
      <c r="A125" s="691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>
      <c r="A126" s="691"/>
      <c r="D126" s="3"/>
    </row>
    <row r="127" spans="1:25">
      <c r="A127" s="691"/>
      <c r="D127" s="3"/>
    </row>
    <row r="128" spans="1:25" s="386" customFormat="1">
      <c r="A128" s="691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>
      <c r="A129" s="691"/>
      <c r="D129" s="3"/>
    </row>
    <row r="130" spans="1:25">
      <c r="A130" s="691"/>
      <c r="D130" s="3"/>
    </row>
    <row r="131" spans="1:25" s="386" customFormat="1">
      <c r="A131" s="691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>
      <c r="A132" s="691"/>
      <c r="D132" s="3"/>
    </row>
    <row r="133" spans="1:25">
      <c r="A133" s="691"/>
      <c r="D133" s="3"/>
    </row>
    <row r="134" spans="1:25" s="386" customFormat="1">
      <c r="A134" s="691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>
      <c r="A135" s="691"/>
      <c r="D135" s="3"/>
    </row>
    <row r="136" spans="1:25">
      <c r="A136" s="691"/>
      <c r="D136" s="3"/>
    </row>
    <row r="137" spans="1:25" s="386" customFormat="1">
      <c r="A137" s="691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>
      <c r="A138" s="691"/>
      <c r="D138" s="3"/>
    </row>
    <row r="139" spans="1:25">
      <c r="A139" s="691"/>
      <c r="D139" s="3"/>
    </row>
    <row r="140" spans="1:25" s="386" customFormat="1">
      <c r="A140" s="691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>
      <c r="A141" s="691"/>
      <c r="D141" s="3"/>
    </row>
    <row r="142" spans="1:25">
      <c r="A142" s="691"/>
      <c r="D142" s="3"/>
    </row>
    <row r="143" spans="1:25" s="386" customFormat="1">
      <c r="A143" s="691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>
      <c r="A144" s="691"/>
      <c r="D144" s="3"/>
    </row>
    <row r="145" spans="1:25">
      <c r="A145" s="691"/>
      <c r="D145" s="3"/>
    </row>
    <row r="146" spans="1:25" s="386" customFormat="1">
      <c r="A146" s="691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>
      <c r="A147" s="691"/>
      <c r="D147" s="3"/>
    </row>
    <row r="148" spans="1:25">
      <c r="A148" s="691"/>
      <c r="D148" s="3"/>
    </row>
    <row r="149" spans="1:25" s="386" customFormat="1">
      <c r="A149" s="69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>
      <c r="A150" s="691"/>
      <c r="D150" s="3"/>
    </row>
    <row r="151" spans="1:25">
      <c r="A151" s="691"/>
      <c r="D151" s="3"/>
    </row>
    <row r="152" spans="1:25" s="386" customFormat="1">
      <c r="A152" s="691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>
      <c r="A153" s="691"/>
      <c r="D153" s="3"/>
    </row>
    <row r="154" spans="1:25">
      <c r="A154" s="691"/>
      <c r="D154" s="3"/>
    </row>
    <row r="155" spans="1:25" s="386" customFormat="1">
      <c r="A155" s="69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>
      <c r="A156" s="691"/>
      <c r="D156" s="3"/>
    </row>
    <row r="157" spans="1:25">
      <c r="A157" s="691"/>
      <c r="D157" s="3"/>
    </row>
    <row r="158" spans="1:25" s="386" customFormat="1">
      <c r="A158" s="691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>
      <c r="A159" s="691"/>
      <c r="D159" s="3"/>
    </row>
    <row r="160" spans="1:25">
      <c r="A160" s="691"/>
      <c r="D160" s="3"/>
    </row>
    <row r="161" spans="1:25" s="386" customFormat="1">
      <c r="A161" s="691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>
      <c r="A162" s="691"/>
      <c r="D162" s="3"/>
    </row>
    <row r="163" spans="1:25">
      <c r="A163" s="691"/>
      <c r="D163" s="3"/>
    </row>
    <row r="164" spans="1:25" s="386" customFormat="1">
      <c r="A164" s="691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>
      <c r="A165" s="691"/>
      <c r="D165" s="3"/>
    </row>
    <row r="166" spans="1:25">
      <c r="A166" s="691"/>
      <c r="D166" s="3"/>
    </row>
    <row r="167" spans="1:25" s="386" customFormat="1">
      <c r="A167" s="691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>
      <c r="A168" s="691"/>
      <c r="D168" s="3"/>
    </row>
    <row r="169" spans="1:25">
      <c r="A169" s="691"/>
      <c r="D169" s="3"/>
    </row>
    <row r="170" spans="1:25" s="386" customFormat="1">
      <c r="A170" s="691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>
      <c r="A171" s="691"/>
      <c r="D171" s="3"/>
    </row>
    <row r="172" spans="1:25">
      <c r="A172" s="691"/>
      <c r="D172" s="3"/>
    </row>
    <row r="173" spans="1:25" s="386" customFormat="1">
      <c r="A173" s="69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691"/>
      <c r="D174" s="3"/>
    </row>
    <row r="175" spans="1:25">
      <c r="A175" s="691"/>
      <c r="D175" s="3"/>
    </row>
    <row r="176" spans="1:25" s="386" customFormat="1">
      <c r="A176" s="69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>
      <c r="A177" s="691"/>
      <c r="D177" s="3"/>
    </row>
    <row r="178" spans="1:25">
      <c r="A178" s="691"/>
      <c r="D178" s="3"/>
    </row>
    <row r="179" spans="1:25" s="386" customFormat="1">
      <c r="A179" s="69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>
      <c r="A180" s="691"/>
      <c r="D180" s="3"/>
    </row>
    <row r="181" spans="1:25">
      <c r="A181" s="691"/>
      <c r="D181" s="3"/>
    </row>
    <row r="182" spans="1:25" s="386" customFormat="1">
      <c r="A182" s="69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>
      <c r="A183" s="691"/>
      <c r="D183" s="3"/>
    </row>
    <row r="184" spans="1:25">
      <c r="A184" s="691"/>
      <c r="D184" s="3"/>
    </row>
    <row r="185" spans="1:25" s="386" customFormat="1">
      <c r="A185" s="69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>
      <c r="A186" s="691"/>
      <c r="D186" s="3"/>
    </row>
    <row r="187" spans="1:25">
      <c r="A187" s="691"/>
      <c r="D187" s="3"/>
    </row>
    <row r="188" spans="1:25" s="386" customFormat="1">
      <c r="A188" s="69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>
      <c r="A189" s="691"/>
      <c r="D189" s="3"/>
    </row>
    <row r="190" spans="1:25">
      <c r="A190" s="691"/>
      <c r="D190" s="3"/>
    </row>
    <row r="191" spans="1:25" s="386" customFormat="1">
      <c r="A191" s="691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>
      <c r="A192" s="691"/>
      <c r="D192" s="3"/>
    </row>
    <row r="193" spans="1:25">
      <c r="A193" s="691"/>
      <c r="D193" s="3"/>
    </row>
    <row r="194" spans="1:25" s="386" customFormat="1">
      <c r="A194" s="69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>
      <c r="A195" s="691"/>
      <c r="D195" s="3"/>
    </row>
    <row r="196" spans="1:25">
      <c r="A196" s="691"/>
      <c r="D196" s="3"/>
    </row>
    <row r="197" spans="1:25" s="386" customFormat="1">
      <c r="A197" s="69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>
      <c r="A198" s="691"/>
      <c r="D198" s="3"/>
    </row>
    <row r="199" spans="1:25">
      <c r="A199" s="691"/>
      <c r="D199" s="3"/>
    </row>
    <row r="200" spans="1:25" s="386" customFormat="1">
      <c r="A200" s="69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>
      <c r="A201" s="691"/>
      <c r="D201" s="3"/>
    </row>
    <row r="202" spans="1:25">
      <c r="A202" s="691"/>
      <c r="D202" s="3"/>
    </row>
    <row r="203" spans="1:25" s="386" customFormat="1">
      <c r="A203" s="69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>
      <c r="A204" s="691"/>
      <c r="D204" s="3"/>
    </row>
    <row r="205" spans="1:25">
      <c r="A205" s="691"/>
      <c r="D205" s="3"/>
    </row>
    <row r="206" spans="1:25" s="386" customFormat="1">
      <c r="A206" s="69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>
      <c r="A207" s="691"/>
      <c r="D207" s="3"/>
    </row>
    <row r="208" spans="1:25">
      <c r="A208" s="691"/>
      <c r="D208" s="3"/>
    </row>
    <row r="209" spans="1:25" s="386" customFormat="1">
      <c r="A209" s="69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>
      <c r="A210" s="691"/>
      <c r="D210" s="3"/>
    </row>
    <row r="211" spans="1:25">
      <c r="A211" s="691"/>
      <c r="D211" s="3"/>
    </row>
    <row r="212" spans="1:25" s="386" customFormat="1">
      <c r="A212" s="69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>
      <c r="A213" s="691"/>
      <c r="D213" s="3"/>
    </row>
    <row r="214" spans="1:25">
      <c r="A214" s="691"/>
      <c r="D214" s="3"/>
    </row>
    <row r="215" spans="1:25" s="386" customFormat="1">
      <c r="A215" s="69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>
      <c r="A216" s="691"/>
      <c r="D216" s="3"/>
    </row>
    <row r="217" spans="1:25">
      <c r="A217" s="691"/>
      <c r="D217" s="3"/>
    </row>
    <row r="218" spans="1:25" s="386" customFormat="1">
      <c r="A218" s="69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>
      <c r="A219" s="691"/>
      <c r="D219" s="3"/>
    </row>
    <row r="220" spans="1:25">
      <c r="A220" s="691"/>
      <c r="D220" s="3"/>
    </row>
    <row r="221" spans="1:25" s="386" customFormat="1">
      <c r="A221" s="69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>
      <c r="A222" s="691"/>
      <c r="D222" s="3"/>
    </row>
    <row r="223" spans="1:25">
      <c r="A223" s="691"/>
      <c r="D223" s="3"/>
    </row>
    <row r="224" spans="1:25" s="386" customFormat="1">
      <c r="A224" s="69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>
      <c r="A225" s="691"/>
      <c r="D225" s="3"/>
    </row>
    <row r="226" spans="1:25">
      <c r="A226" s="691"/>
      <c r="D226" s="3"/>
    </row>
    <row r="227" spans="1:25" s="386" customFormat="1">
      <c r="A227" s="69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>
      <c r="A228" s="691"/>
      <c r="D228" s="3"/>
    </row>
    <row r="229" spans="1:25">
      <c r="A229" s="691"/>
      <c r="D229" s="3"/>
    </row>
    <row r="230" spans="1:25" s="386" customFormat="1">
      <c r="A230" s="69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>
      <c r="A231" s="691"/>
      <c r="D231" s="3"/>
    </row>
    <row r="232" spans="1:25">
      <c r="A232" s="691"/>
      <c r="D232" s="3"/>
    </row>
    <row r="233" spans="1:25" s="386" customFormat="1">
      <c r="A233" s="69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>
      <c r="A234" s="691"/>
      <c r="D234" s="3"/>
    </row>
    <row r="235" spans="1:25">
      <c r="A235" s="691"/>
      <c r="D235" s="3"/>
    </row>
    <row r="236" spans="1:25" s="386" customFormat="1">
      <c r="A236" s="69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>
      <c r="A237" s="691"/>
      <c r="D237" s="3"/>
    </row>
    <row r="238" spans="1:25">
      <c r="A238" s="691"/>
      <c r="D238" s="3"/>
    </row>
    <row r="239" spans="1:25" s="386" customFormat="1">
      <c r="A239" s="69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>
      <c r="A240" s="691"/>
      <c r="D240" s="3"/>
    </row>
    <row r="241" spans="1:25">
      <c r="A241" s="691"/>
      <c r="D241" s="3"/>
    </row>
    <row r="242" spans="1:25" s="386" customFormat="1">
      <c r="A242" s="69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>
      <c r="A243" s="691"/>
      <c r="D243" s="3"/>
    </row>
    <row r="244" spans="1:25">
      <c r="A244" s="691"/>
      <c r="D244" s="3"/>
    </row>
    <row r="245" spans="1:25" s="386" customFormat="1">
      <c r="A245" s="691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>
      <c r="A246" s="691"/>
      <c r="D246" s="3"/>
    </row>
    <row r="247" spans="1:25">
      <c r="A247" s="691"/>
      <c r="D247" s="3"/>
    </row>
    <row r="248" spans="1:25" s="386" customFormat="1">
      <c r="A248" s="691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>
      <c r="A249" s="691"/>
      <c r="D249" s="3"/>
    </row>
    <row r="250" spans="1:25">
      <c r="A250" s="691"/>
      <c r="D250" s="3"/>
    </row>
    <row r="251" spans="1:25" s="386" customFormat="1">
      <c r="A251" s="691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>
      <c r="A252" s="691"/>
      <c r="D252" s="3"/>
    </row>
    <row r="253" spans="1:25">
      <c r="A253" s="691"/>
      <c r="D253" s="3"/>
    </row>
    <row r="254" spans="1:25" s="386" customFormat="1">
      <c r="A254" s="691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>
      <c r="A255" s="691"/>
      <c r="D255" s="3"/>
    </row>
    <row r="256" spans="1:25">
      <c r="A256" s="691"/>
      <c r="D256" s="3"/>
    </row>
    <row r="257" spans="1:25" s="386" customFormat="1">
      <c r="A257" s="691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>
      <c r="A258" s="691"/>
      <c r="D258" s="3"/>
    </row>
    <row r="259" spans="1:25">
      <c r="A259" s="691"/>
      <c r="D259" s="3"/>
    </row>
    <row r="260" spans="1:25" s="386" customFormat="1">
      <c r="A260" s="691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>
      <c r="A261" s="691"/>
      <c r="D261" s="3"/>
    </row>
    <row r="262" spans="1:25">
      <c r="A262" s="691"/>
      <c r="D262" s="3"/>
    </row>
    <row r="263" spans="1:25" s="386" customFormat="1">
      <c r="A263" s="691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691"/>
      <c r="D264" s="3"/>
    </row>
    <row r="265" spans="1:25">
      <c r="A265" s="691"/>
      <c r="D265" s="3"/>
    </row>
    <row r="266" spans="1:25" s="386" customFormat="1">
      <c r="A266" s="691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691"/>
      <c r="D267" s="3"/>
    </row>
    <row r="268" spans="1:25">
      <c r="A268" s="691"/>
      <c r="D268" s="3"/>
    </row>
    <row r="269" spans="1:25" s="386" customFormat="1">
      <c r="A269" s="691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691"/>
      <c r="D270" s="3"/>
    </row>
    <row r="271" spans="1:25">
      <c r="A271" s="691"/>
      <c r="D271" s="3"/>
    </row>
    <row r="272" spans="1:25" s="386" customFormat="1">
      <c r="A272" s="691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691"/>
      <c r="D273" s="3"/>
    </row>
    <row r="274" spans="1:25">
      <c r="A274" s="691"/>
      <c r="D274" s="3"/>
    </row>
    <row r="275" spans="1:25" s="386" customFormat="1">
      <c r="A275" s="691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691"/>
      <c r="D276" s="3"/>
    </row>
    <row r="277" spans="1:25">
      <c r="A277" s="691"/>
      <c r="D277" s="3"/>
    </row>
    <row r="278" spans="1:25" s="386" customFormat="1">
      <c r="A278" s="691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691"/>
      <c r="D279" s="3"/>
    </row>
    <row r="280" spans="1:25">
      <c r="A280" s="691"/>
      <c r="D280" s="3"/>
    </row>
    <row r="281" spans="1:25" s="386" customFormat="1">
      <c r="A281" s="69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691"/>
      <c r="D282" s="3"/>
    </row>
    <row r="283" spans="1:25">
      <c r="A283" s="691"/>
      <c r="D283" s="3"/>
    </row>
    <row r="284" spans="1:25" s="386" customFormat="1">
      <c r="A284" s="69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691"/>
      <c r="D285" s="3"/>
    </row>
    <row r="286" spans="1:25">
      <c r="A286" s="691"/>
      <c r="D286" s="3"/>
    </row>
    <row r="287" spans="1:25" s="386" customFormat="1">
      <c r="A287" s="69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691"/>
      <c r="D288" s="3"/>
    </row>
    <row r="289" spans="1:25">
      <c r="A289" s="691"/>
      <c r="D289" s="3"/>
    </row>
    <row r="290" spans="1:25" s="386" customFormat="1">
      <c r="A290" s="69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691"/>
      <c r="D291" s="3"/>
    </row>
    <row r="292" spans="1:25">
      <c r="A292" s="691"/>
      <c r="D292" s="3"/>
    </row>
    <row r="293" spans="1:25" s="386" customFormat="1">
      <c r="A293" s="69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691"/>
      <c r="D294" s="3"/>
    </row>
    <row r="295" spans="1:25">
      <c r="A295" s="691"/>
      <c r="D295" s="3"/>
    </row>
    <row r="296" spans="1:25" s="386" customFormat="1">
      <c r="A296" s="69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691"/>
      <c r="D297" s="3"/>
    </row>
    <row r="298" spans="1:25">
      <c r="A298" s="691"/>
      <c r="D298" s="3"/>
    </row>
    <row r="299" spans="1:25" s="386" customFormat="1">
      <c r="A299" s="69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691"/>
      <c r="D300" s="3"/>
    </row>
    <row r="301" spans="1:25">
      <c r="A301" s="691"/>
      <c r="D301" s="3"/>
    </row>
    <row r="302" spans="1:25" s="386" customFormat="1">
      <c r="A302" s="69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691"/>
      <c r="D303" s="3"/>
    </row>
    <row r="304" spans="1:25">
      <c r="A304" s="691"/>
      <c r="D304" s="3"/>
    </row>
    <row r="305" spans="1:25" s="386" customFormat="1">
      <c r="A305" s="69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691"/>
      <c r="D306" s="3"/>
    </row>
    <row r="307" spans="1:25">
      <c r="A307" s="691"/>
      <c r="D307" s="3"/>
    </row>
    <row r="308" spans="1:25" s="386" customFormat="1">
      <c r="A308" s="69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691"/>
      <c r="D309" s="3"/>
    </row>
    <row r="310" spans="1:25">
      <c r="A310" s="691"/>
      <c r="D310" s="3"/>
    </row>
    <row r="311" spans="1:25" s="386" customFormat="1">
      <c r="A311" s="69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691"/>
      <c r="D312" s="3"/>
    </row>
    <row r="313" spans="1:25">
      <c r="A313" s="691"/>
      <c r="D313" s="3"/>
    </row>
    <row r="314" spans="1:25" s="386" customFormat="1">
      <c r="A314" s="69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691"/>
      <c r="D315" s="3"/>
    </row>
    <row r="316" spans="1:25">
      <c r="A316" s="691"/>
      <c r="D316" s="3"/>
    </row>
    <row r="317" spans="1:25" s="386" customFormat="1">
      <c r="A317" s="69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691"/>
      <c r="D318" s="3"/>
    </row>
    <row r="319" spans="1:25">
      <c r="A319" s="691"/>
      <c r="D319" s="3"/>
    </row>
    <row r="320" spans="1:25" s="386" customFormat="1">
      <c r="A320" s="69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691"/>
      <c r="D321" s="3"/>
    </row>
    <row r="322" spans="1:25">
      <c r="A322" s="691"/>
      <c r="D322" s="3"/>
    </row>
    <row r="323" spans="1:25" s="386" customFormat="1">
      <c r="A323" s="69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691"/>
      <c r="D324" s="3"/>
    </row>
    <row r="325" spans="1:25">
      <c r="A325" s="691"/>
      <c r="D325" s="3"/>
    </row>
    <row r="326" spans="1:25" s="386" customFormat="1">
      <c r="A326" s="69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691"/>
      <c r="D327" s="3"/>
    </row>
    <row r="328" spans="1:25">
      <c r="A328" s="691"/>
      <c r="D328" s="3"/>
    </row>
    <row r="329" spans="1:25" s="386" customFormat="1">
      <c r="A329" s="69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691"/>
      <c r="D330" s="3"/>
    </row>
    <row r="331" spans="1:25">
      <c r="A331" s="691"/>
      <c r="D331" s="3"/>
    </row>
    <row r="332" spans="1:25" s="386" customFormat="1">
      <c r="A332" s="69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691"/>
      <c r="D333" s="3"/>
    </row>
    <row r="334" spans="1:25">
      <c r="A334" s="691"/>
      <c r="D334" s="3"/>
    </row>
    <row r="335" spans="1:25" s="386" customFormat="1">
      <c r="A335" s="69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691"/>
      <c r="D336" s="3"/>
    </row>
    <row r="337" spans="1:25">
      <c r="A337" s="691"/>
      <c r="D337" s="3"/>
    </row>
    <row r="338" spans="1:25" s="386" customFormat="1">
      <c r="A338" s="69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691"/>
      <c r="D339" s="3"/>
    </row>
    <row r="340" spans="1:25">
      <c r="A340" s="691"/>
      <c r="D340" s="3"/>
    </row>
    <row r="341" spans="1:25" s="386" customFormat="1">
      <c r="A341" s="69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691"/>
      <c r="D342" s="3"/>
    </row>
    <row r="343" spans="1:25">
      <c r="A343" s="691"/>
      <c r="D343" s="3"/>
    </row>
    <row r="344" spans="1:25" s="386" customFormat="1">
      <c r="A344" s="69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691"/>
      <c r="D345" s="3"/>
    </row>
    <row r="346" spans="1:25">
      <c r="A346" s="691"/>
      <c r="D346" s="3"/>
    </row>
    <row r="347" spans="1:25" s="386" customFormat="1">
      <c r="A347" s="69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691"/>
      <c r="D348" s="3"/>
    </row>
    <row r="349" spans="1:25">
      <c r="A349" s="691"/>
      <c r="D349" s="3"/>
    </row>
    <row r="350" spans="1:25" s="386" customFormat="1">
      <c r="A350" s="69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691"/>
      <c r="D351" s="3"/>
    </row>
    <row r="352" spans="1:25">
      <c r="A352" s="691"/>
      <c r="D352" s="3"/>
    </row>
    <row r="353" spans="1:25" s="386" customFormat="1">
      <c r="A353" s="69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691"/>
      <c r="D354" s="3"/>
    </row>
    <row r="355" spans="1:25">
      <c r="A355" s="691"/>
      <c r="D355" s="3"/>
    </row>
    <row r="356" spans="1:25" s="386" customFormat="1">
      <c r="A356" s="69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691"/>
      <c r="D357" s="3"/>
    </row>
    <row r="358" spans="1:25">
      <c r="A358" s="691"/>
      <c r="D358" s="3"/>
    </row>
    <row r="359" spans="1:25" s="386" customFormat="1">
      <c r="A359" s="69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691"/>
      <c r="D360" s="3"/>
    </row>
    <row r="361" spans="1:25">
      <c r="A361" s="691"/>
      <c r="D361" s="3"/>
    </row>
    <row r="362" spans="1:25" s="386" customFormat="1">
      <c r="A362" s="69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691"/>
      <c r="D363" s="3"/>
    </row>
    <row r="364" spans="1:25">
      <c r="A364" s="691"/>
      <c r="D364" s="3"/>
    </row>
    <row r="365" spans="1:25" s="386" customFormat="1">
      <c r="A365" s="69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691"/>
      <c r="D366" s="3"/>
    </row>
    <row r="367" spans="1:25">
      <c r="A367" s="691"/>
      <c r="D367" s="3"/>
    </row>
    <row r="368" spans="1:25" s="386" customFormat="1">
      <c r="A368" s="69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691"/>
      <c r="D369" s="3"/>
    </row>
    <row r="370" spans="1:25">
      <c r="A370" s="691"/>
      <c r="D370" s="3"/>
    </row>
    <row r="371" spans="1:25" s="386" customFormat="1">
      <c r="A371" s="69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691"/>
      <c r="D372" s="3"/>
    </row>
    <row r="373" spans="1:25">
      <c r="A373" s="691"/>
      <c r="D373" s="3"/>
    </row>
    <row r="374" spans="1:25" s="386" customFormat="1">
      <c r="A374" s="69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691"/>
      <c r="D375" s="3"/>
    </row>
    <row r="376" spans="1:25">
      <c r="A376" s="691"/>
      <c r="D376" s="3"/>
    </row>
    <row r="377" spans="1:25" s="386" customFormat="1">
      <c r="A377" s="69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691"/>
      <c r="D378" s="3"/>
    </row>
    <row r="379" spans="1:25">
      <c r="A379" s="691"/>
      <c r="D379" s="3"/>
    </row>
    <row r="380" spans="1:25" s="386" customFormat="1">
      <c r="A380" s="69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691"/>
      <c r="D381" s="3"/>
    </row>
    <row r="382" spans="1:25">
      <c r="A382" s="691"/>
      <c r="D382" s="3"/>
    </row>
    <row r="383" spans="1:25" s="386" customFormat="1">
      <c r="A383" s="69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691"/>
      <c r="D384" s="3"/>
    </row>
    <row r="385" spans="1:25">
      <c r="A385" s="691"/>
      <c r="D385" s="3"/>
    </row>
    <row r="386" spans="1:25" s="386" customFormat="1">
      <c r="A386" s="69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691"/>
      <c r="D387" s="3"/>
    </row>
    <row r="388" spans="1:25">
      <c r="A388" s="691"/>
      <c r="D388" s="3"/>
    </row>
    <row r="389" spans="1:25" s="386" customFormat="1">
      <c r="A389" s="69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691"/>
      <c r="D390" s="3"/>
    </row>
    <row r="391" spans="1:25">
      <c r="A391" s="691"/>
      <c r="D391" s="3"/>
    </row>
    <row r="392" spans="1:25" s="386" customFormat="1">
      <c r="A392" s="69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691"/>
      <c r="D393" s="3"/>
    </row>
    <row r="394" spans="1:25">
      <c r="A394" s="691"/>
      <c r="D394" s="3"/>
    </row>
    <row r="395" spans="1:25" s="386" customFormat="1">
      <c r="A395" s="69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691"/>
      <c r="D396" s="3"/>
    </row>
    <row r="397" spans="1:25">
      <c r="A397" s="691"/>
      <c r="D397" s="3"/>
    </row>
    <row r="398" spans="1:25" s="386" customFormat="1">
      <c r="A398" s="69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691"/>
      <c r="D399" s="3"/>
    </row>
    <row r="400" spans="1:25">
      <c r="A400" s="691"/>
      <c r="D400" s="3"/>
    </row>
    <row r="401" spans="1:25" s="386" customFormat="1">
      <c r="A401" s="69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691"/>
      <c r="D402" s="3"/>
    </row>
    <row r="403" spans="1:25">
      <c r="A403" s="691"/>
      <c r="D403" s="3"/>
    </row>
    <row r="404" spans="1:25" s="386" customFormat="1">
      <c r="A404" s="69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691"/>
      <c r="D405" s="3"/>
    </row>
    <row r="406" spans="1:25">
      <c r="A406" s="691"/>
      <c r="D406" s="3"/>
    </row>
    <row r="407" spans="1:25" s="386" customFormat="1">
      <c r="A407" s="69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691"/>
      <c r="D408" s="3"/>
    </row>
    <row r="409" spans="1:25">
      <c r="A409" s="691"/>
      <c r="D409" s="3"/>
    </row>
    <row r="410" spans="1:25" s="386" customFormat="1">
      <c r="A410" s="69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691"/>
      <c r="D411" s="3"/>
    </row>
    <row r="412" spans="1:25">
      <c r="A412" s="691"/>
      <c r="D412" s="3"/>
    </row>
    <row r="413" spans="1:25" s="386" customFormat="1">
      <c r="A413" s="69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691"/>
      <c r="D414" s="3"/>
    </row>
    <row r="415" spans="1:25">
      <c r="A415" s="691"/>
      <c r="D415" s="3"/>
    </row>
    <row r="416" spans="1:25" s="386" customFormat="1">
      <c r="A416" s="69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691"/>
      <c r="D417" s="3"/>
    </row>
    <row r="418" spans="1:25">
      <c r="A418" s="691"/>
      <c r="D418" s="3"/>
    </row>
    <row r="419" spans="1:25" s="386" customFormat="1">
      <c r="A419" s="69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691"/>
      <c r="D420" s="3"/>
    </row>
    <row r="421" spans="1:25">
      <c r="A421" s="691"/>
      <c r="D421" s="3"/>
    </row>
    <row r="422" spans="1:25" s="386" customFormat="1">
      <c r="A422" s="69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691"/>
      <c r="D423" s="3"/>
    </row>
    <row r="424" spans="1:25">
      <c r="A424" s="691"/>
      <c r="D424" s="3"/>
    </row>
    <row r="425" spans="1:25" s="386" customFormat="1">
      <c r="A425" s="69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691"/>
      <c r="D426" s="3"/>
    </row>
    <row r="427" spans="1:25">
      <c r="A427" s="691"/>
      <c r="D427" s="3"/>
    </row>
    <row r="428" spans="1:25" s="386" customFormat="1">
      <c r="A428" s="69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691"/>
      <c r="D429" s="3"/>
    </row>
    <row r="430" spans="1:25">
      <c r="A430" s="691"/>
      <c r="D430" s="3"/>
    </row>
    <row r="431" spans="1:25" s="386" customFormat="1">
      <c r="A431" s="69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691"/>
      <c r="D432" s="3"/>
    </row>
    <row r="433" spans="1:25">
      <c r="A433" s="691"/>
      <c r="D433" s="3"/>
    </row>
    <row r="434" spans="1:25" s="386" customFormat="1">
      <c r="A434" s="69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691"/>
      <c r="D435" s="3"/>
    </row>
    <row r="436" spans="1:25">
      <c r="A436" s="691"/>
      <c r="D436" s="3"/>
    </row>
    <row r="437" spans="1:25" s="386" customFormat="1">
      <c r="A437" s="69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691"/>
      <c r="D438" s="3"/>
    </row>
    <row r="439" spans="1:25">
      <c r="A439" s="691"/>
      <c r="D439" s="3"/>
    </row>
    <row r="440" spans="1:25" s="386" customFormat="1">
      <c r="A440" s="69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691"/>
      <c r="D441" s="3"/>
    </row>
    <row r="442" spans="1:25">
      <c r="A442" s="691"/>
      <c r="D442" s="3"/>
    </row>
    <row r="443" spans="1:25" s="386" customFormat="1">
      <c r="A443" s="69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691"/>
      <c r="D444" s="3"/>
    </row>
    <row r="445" spans="1:25">
      <c r="A445" s="691"/>
      <c r="D445" s="3"/>
    </row>
    <row r="446" spans="1:25" s="386" customFormat="1">
      <c r="A446" s="69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691"/>
      <c r="D447" s="3"/>
    </row>
    <row r="448" spans="1:25">
      <c r="A448" s="691"/>
      <c r="D448" s="3"/>
    </row>
    <row r="449" spans="1:25" s="386" customFormat="1">
      <c r="A449" s="69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691"/>
      <c r="D450" s="3"/>
    </row>
    <row r="451" spans="1:25">
      <c r="A451" s="691"/>
      <c r="D451" s="3"/>
    </row>
    <row r="452" spans="1:25" s="386" customFormat="1">
      <c r="A452" s="69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691"/>
      <c r="D453" s="3"/>
    </row>
    <row r="454" spans="1:25">
      <c r="A454" s="691"/>
      <c r="D454" s="3"/>
    </row>
    <row r="455" spans="1:25" s="386" customFormat="1">
      <c r="A455" s="69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691"/>
      <c r="D456" s="3"/>
    </row>
    <row r="457" spans="1:25">
      <c r="A457" s="691"/>
      <c r="D457" s="3"/>
    </row>
    <row r="458" spans="1:25" s="386" customFormat="1">
      <c r="A458" s="69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691"/>
      <c r="D459" s="3"/>
    </row>
    <row r="460" spans="1:25">
      <c r="A460" s="691"/>
      <c r="D460" s="3"/>
    </row>
    <row r="461" spans="1:25" s="386" customFormat="1">
      <c r="A461" s="69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691"/>
      <c r="D462" s="3"/>
    </row>
    <row r="463" spans="1:25">
      <c r="A463" s="691"/>
      <c r="D463" s="3"/>
    </row>
    <row r="464" spans="1:25" s="386" customFormat="1">
      <c r="A464" s="69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691"/>
      <c r="D465" s="3"/>
    </row>
    <row r="466" spans="1:25">
      <c r="A466" s="691"/>
      <c r="D466" s="3"/>
    </row>
    <row r="467" spans="1:25" s="386" customFormat="1">
      <c r="A467" s="69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691"/>
      <c r="D468" s="3"/>
    </row>
    <row r="469" spans="1:25">
      <c r="A469" s="691"/>
      <c r="D469" s="3"/>
    </row>
    <row r="470" spans="1:25" s="386" customFormat="1">
      <c r="A470" s="69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691"/>
      <c r="D471" s="3"/>
    </row>
    <row r="472" spans="1:25">
      <c r="A472" s="691"/>
      <c r="D472" s="3"/>
    </row>
    <row r="473" spans="1:25" s="386" customFormat="1">
      <c r="A473" s="69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691"/>
      <c r="D474" s="3"/>
    </row>
    <row r="475" spans="1:25">
      <c r="A475" s="691"/>
      <c r="D475" s="3"/>
    </row>
    <row r="476" spans="1:25" s="386" customFormat="1">
      <c r="A476" s="69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691"/>
      <c r="D477" s="3"/>
    </row>
    <row r="478" spans="1:25">
      <c r="A478" s="691"/>
      <c r="D478" s="3"/>
    </row>
    <row r="479" spans="1:25" s="386" customFormat="1">
      <c r="A479" s="69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691"/>
      <c r="D480" s="3"/>
    </row>
    <row r="481" spans="1:25">
      <c r="A481" s="691"/>
      <c r="D481" s="3"/>
    </row>
    <row r="482" spans="1:25" s="386" customFormat="1">
      <c r="A482" s="69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691"/>
      <c r="D483" s="3"/>
    </row>
    <row r="484" spans="1:25">
      <c r="A484" s="691"/>
      <c r="D484" s="3"/>
    </row>
    <row r="485" spans="1:25" s="386" customFormat="1">
      <c r="A485" s="69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691"/>
      <c r="D486" s="3"/>
    </row>
    <row r="487" spans="1:25">
      <c r="A487" s="691"/>
      <c r="D487" s="3"/>
    </row>
    <row r="488" spans="1:25" s="386" customFormat="1">
      <c r="A488" s="69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691"/>
      <c r="D489" s="3"/>
    </row>
    <row r="490" spans="1:25">
      <c r="A490" s="691"/>
      <c r="D490" s="3"/>
    </row>
    <row r="491" spans="1:25" s="386" customFormat="1">
      <c r="A491" s="69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691"/>
      <c r="D492" s="3"/>
    </row>
    <row r="493" spans="1:25">
      <c r="A493" s="691"/>
      <c r="D493" s="3"/>
    </row>
    <row r="494" spans="1:25" s="386" customFormat="1">
      <c r="A494" s="69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691"/>
      <c r="D495" s="3"/>
    </row>
    <row r="496" spans="1:25">
      <c r="A496" s="691"/>
      <c r="D496" s="3"/>
    </row>
    <row r="497" spans="1:25" s="386" customFormat="1">
      <c r="A497" s="69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691"/>
      <c r="D498" s="3"/>
    </row>
    <row r="499" spans="1:25">
      <c r="A499" s="691"/>
      <c r="D499" s="3"/>
    </row>
    <row r="500" spans="1:25" s="386" customFormat="1">
      <c r="A500" s="69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691"/>
      <c r="D501" s="3"/>
    </row>
    <row r="502" spans="1:25">
      <c r="A502" s="691"/>
      <c r="D502" s="3"/>
    </row>
    <row r="503" spans="1:25" s="386" customFormat="1">
      <c r="A503" s="69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691"/>
      <c r="D504" s="3"/>
    </row>
    <row r="505" spans="1:25">
      <c r="A505" s="691"/>
      <c r="D505" s="3"/>
    </row>
    <row r="506" spans="1:25" s="386" customFormat="1">
      <c r="A506" s="69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691"/>
      <c r="D507" s="3"/>
    </row>
    <row r="508" spans="1:25">
      <c r="A508" s="691"/>
      <c r="D508" s="3"/>
    </row>
    <row r="509" spans="1:25" s="386" customFormat="1">
      <c r="A509" s="69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691"/>
      <c r="D510" s="3"/>
    </row>
    <row r="511" spans="1:25">
      <c r="A511" s="691"/>
      <c r="D511" s="3"/>
    </row>
    <row r="512" spans="1:25" s="386" customFormat="1">
      <c r="A512" s="69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691"/>
      <c r="D513" s="3"/>
    </row>
    <row r="514" spans="1:25">
      <c r="A514" s="691"/>
      <c r="D514" s="3"/>
    </row>
    <row r="515" spans="1:25" s="386" customFormat="1">
      <c r="A515" s="69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691"/>
      <c r="D516" s="3"/>
    </row>
    <row r="517" spans="1:25">
      <c r="A517" s="691"/>
      <c r="D517" s="3"/>
    </row>
    <row r="518" spans="1:25" s="386" customFormat="1">
      <c r="A518" s="69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691"/>
      <c r="D519" s="3"/>
    </row>
    <row r="520" spans="1:25">
      <c r="A520" s="691"/>
      <c r="D520" s="3"/>
    </row>
    <row r="521" spans="1:25" s="386" customFormat="1">
      <c r="A521" s="69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691"/>
      <c r="D522" s="3"/>
    </row>
    <row r="523" spans="1:25">
      <c r="A523" s="691"/>
      <c r="D523" s="3"/>
    </row>
    <row r="524" spans="1:25" s="386" customFormat="1">
      <c r="A524" s="69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691"/>
      <c r="D525" s="3"/>
    </row>
    <row r="526" spans="1:25">
      <c r="A526" s="691"/>
      <c r="D526" s="3"/>
    </row>
    <row r="527" spans="1:25" s="386" customFormat="1">
      <c r="A527" s="69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691"/>
      <c r="D528" s="3"/>
    </row>
    <row r="529" spans="1:25">
      <c r="A529" s="691"/>
      <c r="D529" s="3"/>
    </row>
    <row r="530" spans="1:25" s="386" customFormat="1">
      <c r="A530" s="69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691"/>
      <c r="D531" s="3"/>
    </row>
    <row r="532" spans="1:25">
      <c r="A532" s="691"/>
      <c r="D532" s="3"/>
    </row>
    <row r="533" spans="1:25" s="386" customFormat="1">
      <c r="A533" s="69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691"/>
      <c r="D534" s="3"/>
    </row>
    <row r="535" spans="1:25">
      <c r="A535" s="691"/>
      <c r="D535" s="3"/>
    </row>
    <row r="536" spans="1:25" s="386" customFormat="1">
      <c r="A536" s="69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691"/>
      <c r="D537" s="3"/>
    </row>
    <row r="538" spans="1:25">
      <c r="A538" s="691"/>
      <c r="D538" s="3"/>
    </row>
    <row r="539" spans="1:25" s="386" customFormat="1">
      <c r="A539" s="69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691"/>
      <c r="D540" s="3"/>
    </row>
    <row r="541" spans="1:25">
      <c r="A541" s="691"/>
      <c r="D541" s="3"/>
    </row>
    <row r="542" spans="1:25" s="386" customFormat="1">
      <c r="A542" s="69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691"/>
      <c r="D543" s="3"/>
    </row>
    <row r="544" spans="1:25">
      <c r="A544" s="691"/>
      <c r="D544" s="3"/>
    </row>
    <row r="545" spans="1:25" s="386" customFormat="1">
      <c r="A545" s="69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691"/>
      <c r="D546" s="3"/>
    </row>
    <row r="547" spans="1:25">
      <c r="A547" s="691"/>
      <c r="D547" s="3"/>
    </row>
    <row r="548" spans="1:25" s="386" customFormat="1">
      <c r="A548" s="69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691"/>
      <c r="D549" s="3"/>
    </row>
    <row r="550" spans="1:25">
      <c r="A550" s="691"/>
      <c r="D550" s="3"/>
    </row>
    <row r="551" spans="1:25" s="386" customFormat="1">
      <c r="A551" s="69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691"/>
      <c r="D552" s="3"/>
    </row>
    <row r="553" spans="1:25">
      <c r="A553" s="691"/>
      <c r="D553" s="3"/>
    </row>
    <row r="554" spans="1:25" s="386" customFormat="1">
      <c r="A554" s="69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691"/>
      <c r="D555" s="3"/>
    </row>
    <row r="556" spans="1:25">
      <c r="A556" s="691"/>
      <c r="D556" s="3"/>
    </row>
    <row r="557" spans="1:25" s="386" customFormat="1">
      <c r="A557" s="69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691"/>
      <c r="D558" s="3"/>
    </row>
    <row r="559" spans="1:25">
      <c r="A559" s="691"/>
      <c r="D559" s="3"/>
    </row>
    <row r="560" spans="1:25" s="386" customFormat="1">
      <c r="A560" s="69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691"/>
      <c r="D561" s="3"/>
    </row>
    <row r="562" spans="1:25">
      <c r="A562" s="691"/>
      <c r="D562" s="3"/>
    </row>
    <row r="563" spans="1:25" s="386" customFormat="1">
      <c r="A563" s="69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691"/>
      <c r="D564" s="3"/>
    </row>
    <row r="565" spans="1:25">
      <c r="A565" s="691"/>
      <c r="D565" s="3"/>
    </row>
    <row r="566" spans="1:25" s="386" customFormat="1">
      <c r="A566" s="69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691"/>
      <c r="D567" s="3"/>
    </row>
    <row r="568" spans="1:25">
      <c r="A568" s="691"/>
      <c r="D568" s="3"/>
    </row>
    <row r="569" spans="1:25" s="386" customFormat="1">
      <c r="A569" s="69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691"/>
      <c r="D570" s="3"/>
    </row>
    <row r="571" spans="1:25">
      <c r="A571" s="691"/>
      <c r="D571" s="3"/>
    </row>
    <row r="572" spans="1:25" s="386" customFormat="1">
      <c r="A572" s="69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691"/>
      <c r="D573" s="3"/>
    </row>
    <row r="574" spans="1:25">
      <c r="A574" s="691"/>
      <c r="D574" s="3"/>
    </row>
    <row r="575" spans="1:25" s="386" customFormat="1">
      <c r="A575" s="69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691"/>
      <c r="D576" s="3"/>
    </row>
    <row r="577" spans="1:25">
      <c r="A577" s="691"/>
      <c r="D577" s="3"/>
    </row>
    <row r="578" spans="1:25" s="386" customFormat="1">
      <c r="A578" s="69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691"/>
      <c r="D579" s="3"/>
    </row>
    <row r="580" spans="1:25">
      <c r="A580" s="691"/>
      <c r="D580" s="3"/>
    </row>
    <row r="581" spans="1:25" s="386" customFormat="1">
      <c r="A581" s="69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691"/>
      <c r="D582" s="3"/>
    </row>
    <row r="583" spans="1:25">
      <c r="A583" s="691"/>
      <c r="D583" s="3"/>
    </row>
    <row r="584" spans="1:25" s="386" customFormat="1">
      <c r="A584" s="69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691"/>
      <c r="D585" s="3"/>
    </row>
    <row r="586" spans="1:25">
      <c r="A586" s="691"/>
      <c r="D586" s="3"/>
    </row>
    <row r="587" spans="1:25" s="386" customFormat="1">
      <c r="A587" s="69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691"/>
      <c r="D588" s="3"/>
    </row>
    <row r="589" spans="1:25">
      <c r="A589" s="691"/>
      <c r="D589" s="3"/>
    </row>
    <row r="590" spans="1:25" s="386" customFormat="1">
      <c r="A590" s="69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691"/>
      <c r="D591" s="3"/>
    </row>
    <row r="592" spans="1:25">
      <c r="A592" s="691"/>
      <c r="D592" s="3"/>
    </row>
    <row r="593" spans="1:25" s="386" customFormat="1">
      <c r="A593" s="69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691"/>
      <c r="D594" s="3"/>
    </row>
    <row r="595" spans="1:25">
      <c r="A595" s="691"/>
      <c r="D595" s="3"/>
    </row>
    <row r="596" spans="1:25" s="386" customFormat="1">
      <c r="A596" s="69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691"/>
      <c r="D597" s="3"/>
    </row>
    <row r="598" spans="1:25">
      <c r="A598" s="691"/>
      <c r="D598" s="3"/>
    </row>
    <row r="599" spans="1:25" s="386" customFormat="1">
      <c r="A599" s="69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691"/>
      <c r="D600" s="3"/>
    </row>
    <row r="601" spans="1:25">
      <c r="A601" s="691"/>
      <c r="D601" s="3"/>
    </row>
    <row r="602" spans="1:25" s="386" customFormat="1">
      <c r="A602" s="69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691"/>
      <c r="D603" s="3"/>
    </row>
    <row r="604" spans="1:25">
      <c r="A604" s="691"/>
      <c r="D604" s="3"/>
    </row>
    <row r="605" spans="1:25" s="386" customFormat="1">
      <c r="A605" s="69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691"/>
      <c r="D606" s="3"/>
    </row>
    <row r="607" spans="1:25">
      <c r="A607" s="691"/>
      <c r="D607" s="3"/>
    </row>
    <row r="608" spans="1:25" s="386" customFormat="1">
      <c r="A608" s="69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691"/>
      <c r="D609" s="3"/>
    </row>
    <row r="610" spans="1:25">
      <c r="A610" s="691"/>
      <c r="D610" s="3"/>
    </row>
    <row r="611" spans="1:25" s="386" customFormat="1">
      <c r="A611" s="69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691"/>
      <c r="D612" s="3"/>
    </row>
    <row r="613" spans="1:25">
      <c r="A613" s="691"/>
      <c r="D613" s="3"/>
    </row>
    <row r="614" spans="1:25" s="386" customFormat="1">
      <c r="A614" s="69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691"/>
      <c r="D615" s="3"/>
    </row>
    <row r="616" spans="1:25">
      <c r="A616" s="691"/>
      <c r="D616" s="3"/>
    </row>
    <row r="617" spans="1:25" s="386" customFormat="1">
      <c r="A617" s="69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691"/>
      <c r="D618" s="3"/>
    </row>
    <row r="619" spans="1:25">
      <c r="A619" s="691"/>
      <c r="D619" s="3"/>
    </row>
    <row r="620" spans="1:25" s="386" customFormat="1">
      <c r="A620" s="69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691"/>
      <c r="D621" s="3"/>
    </row>
    <row r="622" spans="1:25">
      <c r="A622" s="691"/>
      <c r="D622" s="3"/>
    </row>
    <row r="623" spans="1:25" s="386" customFormat="1">
      <c r="A623" s="69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691"/>
      <c r="D624" s="3"/>
    </row>
    <row r="625" spans="1:25">
      <c r="A625" s="691"/>
      <c r="D625" s="3"/>
    </row>
    <row r="626" spans="1:25" s="386" customFormat="1">
      <c r="A626" s="69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691"/>
      <c r="D627" s="3"/>
    </row>
    <row r="628" spans="1:25">
      <c r="A628" s="691"/>
      <c r="D628" s="3"/>
    </row>
    <row r="629" spans="1:25" s="386" customFormat="1">
      <c r="A629" s="69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691"/>
      <c r="D630" s="3"/>
    </row>
    <row r="631" spans="1:25">
      <c r="A631" s="691"/>
      <c r="D631" s="3"/>
    </row>
    <row r="632" spans="1:25" s="386" customFormat="1">
      <c r="A632" s="69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691"/>
      <c r="D633" s="3"/>
    </row>
    <row r="634" spans="1:25">
      <c r="A634" s="691"/>
      <c r="D634" s="3"/>
    </row>
    <row r="635" spans="1:25" s="386" customFormat="1">
      <c r="A635" s="69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691"/>
      <c r="D636" s="3"/>
    </row>
    <row r="637" spans="1:25">
      <c r="A637" s="691"/>
      <c r="D637" s="3"/>
    </row>
    <row r="638" spans="1:25" s="386" customFormat="1">
      <c r="A638" s="69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691"/>
      <c r="D639" s="3"/>
    </row>
    <row r="640" spans="1:25">
      <c r="A640" s="691"/>
      <c r="D640" s="3"/>
    </row>
    <row r="641" spans="1:25" s="386" customFormat="1">
      <c r="A641" s="69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691"/>
      <c r="D642" s="3"/>
    </row>
    <row r="643" spans="1:25">
      <c r="A643" s="691"/>
      <c r="D643" s="3"/>
    </row>
    <row r="644" spans="1:25" s="386" customFormat="1">
      <c r="A644" s="69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691"/>
      <c r="D645" s="3"/>
    </row>
    <row r="646" spans="1:25">
      <c r="A646" s="691"/>
      <c r="D646" s="3"/>
    </row>
    <row r="647" spans="1:25" s="386" customFormat="1">
      <c r="A647" s="69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691"/>
      <c r="D648" s="3"/>
    </row>
    <row r="649" spans="1:25">
      <c r="A649" s="691"/>
      <c r="D649" s="3"/>
    </row>
    <row r="650" spans="1:25" s="386" customFormat="1">
      <c r="A650" s="69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691"/>
      <c r="D651" s="3"/>
    </row>
    <row r="652" spans="1:25">
      <c r="A652" s="691"/>
      <c r="D652" s="3"/>
    </row>
    <row r="653" spans="1:25" s="386" customFormat="1">
      <c r="A653" s="69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691"/>
      <c r="D654" s="3"/>
    </row>
    <row r="655" spans="1:25">
      <c r="A655" s="691"/>
      <c r="D655" s="3"/>
    </row>
    <row r="656" spans="1:25" s="386" customFormat="1">
      <c r="A656" s="69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691"/>
      <c r="D657" s="3"/>
    </row>
    <row r="658" spans="1:25">
      <c r="A658" s="691"/>
      <c r="D658" s="3"/>
    </row>
    <row r="659" spans="1:25" s="386" customFormat="1">
      <c r="A659" s="69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691"/>
      <c r="D660" s="3"/>
    </row>
    <row r="661" spans="1:25">
      <c r="A661" s="691"/>
      <c r="D661" s="3"/>
    </row>
    <row r="662" spans="1:25" s="386" customFormat="1">
      <c r="A662" s="69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691"/>
      <c r="D663" s="3"/>
    </row>
    <row r="664" spans="1:25">
      <c r="A664" s="691"/>
      <c r="D664" s="3"/>
    </row>
    <row r="665" spans="1:25" s="386" customFormat="1">
      <c r="A665" s="69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691"/>
      <c r="D666" s="3"/>
    </row>
    <row r="667" spans="1:25">
      <c r="A667" s="691"/>
      <c r="D667" s="3"/>
    </row>
    <row r="668" spans="1:25" s="386" customFormat="1">
      <c r="A668" s="69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691"/>
      <c r="D669" s="3"/>
    </row>
    <row r="670" spans="1:25">
      <c r="A670" s="691"/>
      <c r="D670" s="3"/>
    </row>
    <row r="671" spans="1:25" s="386" customFormat="1">
      <c r="A671" s="69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691"/>
      <c r="D672" s="3"/>
    </row>
    <row r="673" spans="1:25">
      <c r="A673" s="691"/>
      <c r="D673" s="3"/>
    </row>
    <row r="674" spans="1:25" s="386" customFormat="1">
      <c r="A674" s="69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691"/>
      <c r="D675" s="3"/>
    </row>
    <row r="676" spans="1:25">
      <c r="A676" s="691"/>
      <c r="D676" s="3"/>
    </row>
    <row r="677" spans="1:25" s="386" customFormat="1">
      <c r="A677" s="69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691"/>
      <c r="D678" s="3"/>
    </row>
    <row r="679" spans="1:25">
      <c r="A679" s="691"/>
      <c r="D679" s="3"/>
    </row>
    <row r="680" spans="1:25" s="386" customFormat="1">
      <c r="A680" s="69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691"/>
      <c r="D681" s="3"/>
    </row>
    <row r="682" spans="1:25">
      <c r="A682" s="691"/>
      <c r="D682" s="3"/>
    </row>
    <row r="683" spans="1:25" s="386" customFormat="1">
      <c r="A683" s="69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691"/>
      <c r="D684" s="3"/>
    </row>
    <row r="685" spans="1:25">
      <c r="A685" s="691"/>
      <c r="D685" s="3"/>
    </row>
    <row r="686" spans="1:25" s="386" customFormat="1">
      <c r="A686" s="69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691"/>
      <c r="D687" s="3"/>
    </row>
    <row r="688" spans="1:25">
      <c r="A688" s="691"/>
      <c r="D688" s="3"/>
    </row>
    <row r="689" spans="1:25" s="386" customFormat="1">
      <c r="A689" s="69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691"/>
      <c r="D690" s="3"/>
    </row>
    <row r="691" spans="1:25">
      <c r="A691" s="691"/>
      <c r="D691" s="3"/>
    </row>
    <row r="692" spans="1:25" s="386" customFormat="1">
      <c r="A692" s="69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691"/>
      <c r="D693" s="3"/>
    </row>
    <row r="694" spans="1:25">
      <c r="A694" s="691"/>
      <c r="D694" s="3"/>
    </row>
    <row r="695" spans="1:25" s="386" customFormat="1">
      <c r="A695" s="69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691"/>
      <c r="D696" s="3"/>
    </row>
    <row r="697" spans="1:25">
      <c r="A697" s="691"/>
      <c r="D697" s="3"/>
    </row>
    <row r="698" spans="1:25" s="386" customFormat="1">
      <c r="A698" s="69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691"/>
      <c r="D699" s="3"/>
    </row>
    <row r="700" spans="1:25">
      <c r="A700" s="691"/>
      <c r="D700" s="3"/>
    </row>
    <row r="701" spans="1:25" s="386" customFormat="1">
      <c r="A701" s="69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691"/>
      <c r="D702" s="3"/>
    </row>
    <row r="703" spans="1:25">
      <c r="A703" s="691"/>
      <c r="D703" s="3"/>
    </row>
    <row r="704" spans="1:25" s="386" customFormat="1">
      <c r="A704" s="69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691"/>
      <c r="D705" s="3"/>
    </row>
    <row r="706" spans="1:25">
      <c r="A706" s="691"/>
      <c r="D706" s="3"/>
    </row>
    <row r="707" spans="1:25" s="386" customFormat="1">
      <c r="A707" s="69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691"/>
      <c r="D708" s="3"/>
    </row>
    <row r="709" spans="1:25">
      <c r="A709" s="691"/>
      <c r="D709" s="3"/>
    </row>
    <row r="710" spans="1:25" s="386" customFormat="1">
      <c r="A710" s="69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691"/>
      <c r="D711" s="3"/>
    </row>
    <row r="712" spans="1:25">
      <c r="A712" s="691"/>
      <c r="D712" s="3"/>
    </row>
    <row r="713" spans="1:25" s="386" customFormat="1">
      <c r="A713" s="69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691"/>
      <c r="D714" s="3"/>
    </row>
    <row r="715" spans="1:25">
      <c r="A715" s="691"/>
      <c r="D715" s="3"/>
    </row>
    <row r="716" spans="1:25" s="386" customFormat="1">
      <c r="A716" s="69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691"/>
      <c r="D717" s="3"/>
    </row>
    <row r="718" spans="1:25">
      <c r="A718" s="691"/>
      <c r="D718" s="3"/>
    </row>
    <row r="719" spans="1:25" s="386" customFormat="1">
      <c r="A719" s="69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691"/>
      <c r="D720" s="3"/>
    </row>
    <row r="721" spans="1:25">
      <c r="A721" s="691"/>
      <c r="D721" s="3"/>
    </row>
    <row r="722" spans="1:25" s="386" customFormat="1">
      <c r="A722" s="69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691"/>
      <c r="D723" s="3"/>
    </row>
    <row r="724" spans="1:25">
      <c r="A724" s="691"/>
      <c r="D724" s="3"/>
    </row>
    <row r="725" spans="1:25" s="386" customFormat="1">
      <c r="A725" s="69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691"/>
      <c r="D726" s="3"/>
    </row>
    <row r="727" spans="1:25">
      <c r="A727" s="691"/>
      <c r="D727" s="3"/>
    </row>
    <row r="728" spans="1:25" s="386" customFormat="1">
      <c r="A728" s="69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691"/>
      <c r="D729" s="3"/>
    </row>
    <row r="730" spans="1:25">
      <c r="A730" s="691"/>
      <c r="D730" s="3"/>
    </row>
    <row r="731" spans="1:25" s="386" customFormat="1">
      <c r="A731" s="69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691"/>
      <c r="D732" s="3"/>
    </row>
    <row r="733" spans="1:25">
      <c r="A733" s="691"/>
      <c r="D733" s="3"/>
    </row>
    <row r="734" spans="1:25" s="386" customFormat="1">
      <c r="A734" s="69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691"/>
      <c r="D735" s="3"/>
    </row>
    <row r="736" spans="1:25">
      <c r="A736" s="691"/>
      <c r="D736" s="3"/>
    </row>
    <row r="737" spans="1:25" s="386" customFormat="1">
      <c r="A737" s="69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691"/>
      <c r="D738" s="3"/>
    </row>
    <row r="739" spans="1:25">
      <c r="A739" s="691"/>
      <c r="D739" s="3"/>
    </row>
    <row r="740" spans="1:25" s="386" customFormat="1">
      <c r="A740" s="69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691"/>
      <c r="D741" s="3"/>
    </row>
    <row r="742" spans="1:25">
      <c r="A742" s="691"/>
      <c r="D742" s="3"/>
    </row>
    <row r="743" spans="1:25" s="386" customFormat="1">
      <c r="A743" s="69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691"/>
      <c r="D744" s="3"/>
    </row>
    <row r="745" spans="1:25">
      <c r="A745" s="691"/>
      <c r="D745" s="3"/>
    </row>
    <row r="746" spans="1:25" s="386" customFormat="1">
      <c r="A746" s="69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691"/>
      <c r="D747" s="3"/>
    </row>
    <row r="748" spans="1:25">
      <c r="A748" s="691"/>
      <c r="D748" s="3"/>
    </row>
    <row r="749" spans="1:25" s="386" customFormat="1">
      <c r="A749" s="69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691"/>
      <c r="D750" s="3"/>
    </row>
    <row r="751" spans="1:25">
      <c r="A751" s="691"/>
      <c r="D751" s="3"/>
    </row>
    <row r="752" spans="1:25" s="386" customFormat="1">
      <c r="A752" s="69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691"/>
      <c r="D753" s="3"/>
    </row>
    <row r="754" spans="1:25">
      <c r="A754" s="691"/>
      <c r="D754" s="3"/>
    </row>
    <row r="755" spans="1:25" s="386" customFormat="1">
      <c r="A755" s="69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691"/>
      <c r="D756" s="3"/>
    </row>
    <row r="757" spans="1:25">
      <c r="A757" s="691"/>
      <c r="D757" s="3"/>
    </row>
    <row r="758" spans="1:25" s="386" customFormat="1">
      <c r="A758" s="69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691"/>
      <c r="D759" s="3"/>
    </row>
    <row r="760" spans="1:25">
      <c r="A760" s="691"/>
      <c r="D760" s="3"/>
    </row>
    <row r="761" spans="1:25" s="386" customFormat="1">
      <c r="A761" s="69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691"/>
      <c r="D762" s="3"/>
    </row>
    <row r="763" spans="1:25">
      <c r="A763" s="691"/>
      <c r="D763" s="3"/>
    </row>
    <row r="764" spans="1:25" s="386" customFormat="1">
      <c r="A764" s="69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691"/>
      <c r="D765" s="3"/>
    </row>
    <row r="766" spans="1:25">
      <c r="A766" s="691"/>
      <c r="D766" s="3"/>
    </row>
    <row r="767" spans="1:25" s="386" customFormat="1">
      <c r="A767" s="69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691"/>
      <c r="D768" s="3"/>
    </row>
    <row r="769" spans="1:25">
      <c r="A769" s="691"/>
      <c r="D769" s="3"/>
    </row>
    <row r="770" spans="1:25" s="386" customFormat="1">
      <c r="A770" s="69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691"/>
      <c r="D771" s="3"/>
    </row>
    <row r="772" spans="1:25">
      <c r="A772" s="691"/>
      <c r="D772" s="3"/>
    </row>
    <row r="773" spans="1:25" s="386" customFormat="1">
      <c r="A773" s="69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691"/>
      <c r="D774" s="3"/>
    </row>
    <row r="775" spans="1:25">
      <c r="A775" s="691"/>
      <c r="D775" s="3"/>
    </row>
    <row r="776" spans="1:25" s="386" customFormat="1">
      <c r="A776" s="69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691"/>
      <c r="D777" s="3"/>
    </row>
    <row r="778" spans="1:25">
      <c r="A778" s="691"/>
      <c r="D778" s="3"/>
    </row>
    <row r="779" spans="1:25" s="386" customFormat="1">
      <c r="A779" s="69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691"/>
      <c r="D780" s="3"/>
    </row>
    <row r="781" spans="1:25">
      <c r="A781" s="691"/>
      <c r="D781" s="3"/>
    </row>
    <row r="782" spans="1:25" s="386" customFormat="1">
      <c r="A782" s="69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691"/>
      <c r="D783" s="3"/>
    </row>
    <row r="784" spans="1:25">
      <c r="A784" s="691"/>
      <c r="D784" s="3"/>
    </row>
    <row r="785" spans="1:25" s="386" customFormat="1">
      <c r="A785" s="69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691"/>
      <c r="D786" s="3"/>
    </row>
    <row r="787" spans="1:25">
      <c r="A787" s="691"/>
      <c r="D787" s="3"/>
    </row>
    <row r="788" spans="1:25" s="386" customFormat="1">
      <c r="A788" s="69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691"/>
      <c r="D789" s="3"/>
    </row>
    <row r="790" spans="1:25">
      <c r="A790" s="691"/>
      <c r="D790" s="3"/>
    </row>
    <row r="791" spans="1:25" s="386" customFormat="1">
      <c r="A791" s="69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691"/>
      <c r="D792" s="3"/>
    </row>
    <row r="793" spans="1:25">
      <c r="A793" s="691"/>
      <c r="D793" s="3"/>
    </row>
    <row r="794" spans="1:25" s="386" customFormat="1">
      <c r="A794" s="69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691"/>
      <c r="D795" s="3"/>
    </row>
    <row r="796" spans="1:25">
      <c r="A796" s="691"/>
      <c r="D796" s="3"/>
    </row>
    <row r="797" spans="1:25" s="386" customFormat="1">
      <c r="A797" s="69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691"/>
      <c r="D798" s="3"/>
    </row>
    <row r="799" spans="1:25">
      <c r="A799" s="691"/>
      <c r="D799" s="3"/>
    </row>
    <row r="800" spans="1:25" s="386" customFormat="1">
      <c r="A800" s="69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691"/>
      <c r="D801" s="3"/>
    </row>
    <row r="802" spans="1:25">
      <c r="A802" s="691"/>
      <c r="D802" s="3"/>
    </row>
    <row r="803" spans="1:25" s="386" customFormat="1">
      <c r="A803" s="69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691"/>
      <c r="D804" s="3"/>
    </row>
    <row r="805" spans="1:25">
      <c r="A805" s="691"/>
      <c r="D805" s="3"/>
    </row>
    <row r="806" spans="1:25" s="386" customFormat="1">
      <c r="A806" s="69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691"/>
      <c r="D807" s="3"/>
    </row>
    <row r="808" spans="1:25">
      <c r="A808" s="691"/>
      <c r="D808" s="3"/>
    </row>
    <row r="809" spans="1:25" s="386" customFormat="1">
      <c r="A809" s="69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691"/>
      <c r="D810" s="3"/>
    </row>
    <row r="811" spans="1:25">
      <c r="A811" s="691"/>
      <c r="D811" s="3"/>
    </row>
    <row r="812" spans="1:25" s="386" customFormat="1">
      <c r="A812" s="69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691"/>
      <c r="D813" s="3"/>
    </row>
    <row r="814" spans="1:25">
      <c r="A814" s="691"/>
      <c r="D814" s="3"/>
    </row>
    <row r="815" spans="1:25" s="386" customFormat="1">
      <c r="A815" s="69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691"/>
      <c r="D816" s="3"/>
    </row>
    <row r="817" spans="1:25">
      <c r="A817" s="691"/>
      <c r="D817" s="3"/>
    </row>
    <row r="818" spans="1:25" s="386" customFormat="1">
      <c r="A818" s="69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691"/>
      <c r="D819" s="3"/>
    </row>
    <row r="820" spans="1:25">
      <c r="A820" s="691"/>
      <c r="D820" s="3"/>
    </row>
    <row r="821" spans="1:25" s="386" customFormat="1">
      <c r="A821" s="69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691"/>
      <c r="D822" s="3"/>
    </row>
    <row r="823" spans="1:25">
      <c r="A823" s="691"/>
      <c r="D823" s="3"/>
    </row>
    <row r="824" spans="1:25" s="386" customFormat="1">
      <c r="A824" s="69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691"/>
      <c r="D825" s="3"/>
    </row>
    <row r="826" spans="1:25">
      <c r="A826" s="691"/>
      <c r="D826" s="3"/>
    </row>
    <row r="827" spans="1:25" s="386" customFormat="1">
      <c r="A827" s="69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691"/>
      <c r="D828" s="3"/>
    </row>
    <row r="829" spans="1:25">
      <c r="A829" s="691"/>
      <c r="D829" s="3"/>
    </row>
    <row r="830" spans="1:25" s="386" customFormat="1">
      <c r="A830" s="69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691"/>
      <c r="D831" s="3"/>
    </row>
    <row r="832" spans="1:25">
      <c r="A832" s="691"/>
      <c r="D832" s="3"/>
    </row>
    <row r="833" spans="1:25" s="386" customFormat="1">
      <c r="A833" s="69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691"/>
      <c r="D834" s="3"/>
    </row>
    <row r="835" spans="1:25">
      <c r="A835" s="691"/>
      <c r="D835" s="3"/>
    </row>
    <row r="836" spans="1:25" s="386" customFormat="1">
      <c r="A836" s="69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691"/>
      <c r="D837" s="3"/>
    </row>
    <row r="838" spans="1:25">
      <c r="A838" s="691"/>
      <c r="D838" s="3"/>
    </row>
    <row r="839" spans="1:25" s="386" customFormat="1">
      <c r="A839" s="69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691"/>
      <c r="D840" s="3"/>
    </row>
    <row r="841" spans="1:25">
      <c r="A841" s="691"/>
      <c r="D841" s="3"/>
    </row>
    <row r="842" spans="1:25" s="386" customFormat="1">
      <c r="A842" s="69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691"/>
      <c r="D843" s="3"/>
    </row>
    <row r="844" spans="1:25">
      <c r="A844" s="691"/>
      <c r="D844" s="3"/>
    </row>
    <row r="845" spans="1:25" s="386" customFormat="1">
      <c r="A845" s="69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691"/>
      <c r="D846" s="3"/>
    </row>
    <row r="847" spans="1:25">
      <c r="A847" s="691"/>
      <c r="D847" s="3"/>
    </row>
    <row r="848" spans="1:25" s="386" customFormat="1">
      <c r="A848" s="69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691"/>
      <c r="D849" s="3"/>
    </row>
    <row r="850" spans="1:25">
      <c r="A850" s="691"/>
      <c r="D850" s="3"/>
    </row>
    <row r="851" spans="1:25" s="386" customFormat="1">
      <c r="A851" s="69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691"/>
      <c r="D852" s="3"/>
    </row>
    <row r="853" spans="1:25">
      <c r="A853" s="691"/>
      <c r="D853" s="3"/>
    </row>
    <row r="854" spans="1:25" s="386" customFormat="1">
      <c r="A854" s="69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691"/>
      <c r="D855" s="3"/>
    </row>
    <row r="856" spans="1:25">
      <c r="A856" s="691"/>
      <c r="D856" s="3"/>
    </row>
    <row r="857" spans="1:25" s="386" customFormat="1">
      <c r="A857" s="69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691"/>
      <c r="D858" s="3"/>
    </row>
    <row r="859" spans="1:25">
      <c r="A859" s="691"/>
      <c r="D859" s="3"/>
    </row>
    <row r="860" spans="1:25" s="386" customFormat="1">
      <c r="A860" s="69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691"/>
      <c r="D861" s="3"/>
    </row>
    <row r="862" spans="1:25">
      <c r="A862" s="691"/>
      <c r="D862" s="3"/>
    </row>
    <row r="863" spans="1:25" s="386" customFormat="1">
      <c r="A863" s="69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691"/>
      <c r="D864" s="3"/>
    </row>
    <row r="865" spans="1:25">
      <c r="A865" s="691"/>
      <c r="D865" s="3"/>
    </row>
    <row r="866" spans="1:25" s="386" customFormat="1">
      <c r="A866" s="69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691"/>
      <c r="D867" s="3"/>
    </row>
    <row r="868" spans="1:25">
      <c r="A868" s="691"/>
      <c r="D868" s="3"/>
    </row>
    <row r="869" spans="1:25" s="386" customFormat="1">
      <c r="A869" s="69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691"/>
      <c r="D870" s="3"/>
    </row>
    <row r="871" spans="1:25">
      <c r="A871" s="691"/>
      <c r="D871" s="3"/>
    </row>
    <row r="872" spans="1:25" s="386" customFormat="1">
      <c r="A872" s="69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691"/>
      <c r="D873" s="3"/>
    </row>
    <row r="874" spans="1:25">
      <c r="A874" s="691"/>
      <c r="D874" s="3"/>
    </row>
    <row r="875" spans="1:25">
      <c r="A875" s="691"/>
      <c r="D875" s="3"/>
    </row>
    <row r="876" spans="1:25">
      <c r="A876" s="691"/>
      <c r="D876" s="3"/>
    </row>
    <row r="877" spans="1:25">
      <c r="A877" s="691"/>
      <c r="D877" s="3"/>
    </row>
    <row r="878" spans="1:25">
      <c r="A878" s="691"/>
      <c r="D878" s="3"/>
    </row>
    <row r="879" spans="1:25">
      <c r="A879" s="691"/>
      <c r="D879" s="3"/>
    </row>
    <row r="880" spans="1:25">
      <c r="A880" s="691"/>
      <c r="D880" s="3"/>
    </row>
    <row r="881" spans="1:4">
      <c r="A881" s="691"/>
      <c r="D881" s="3"/>
    </row>
    <row r="882" spans="1:4">
      <c r="A882" s="691"/>
      <c r="D882" s="3"/>
    </row>
    <row r="883" spans="1:4">
      <c r="A883" s="691"/>
      <c r="D883" s="3"/>
    </row>
    <row r="884" spans="1:4">
      <c r="A884" s="691"/>
      <c r="D884" s="3"/>
    </row>
    <row r="885" spans="1:4">
      <c r="A885" s="691"/>
      <c r="D885" s="3"/>
    </row>
    <row r="886" spans="1:4">
      <c r="A886" s="691"/>
      <c r="D886" s="3"/>
    </row>
    <row r="887" spans="1:4">
      <c r="A887" s="691"/>
      <c r="D887" s="3"/>
    </row>
    <row r="888" spans="1:4">
      <c r="A888" s="691"/>
      <c r="D888" s="3"/>
    </row>
    <row r="889" spans="1:4">
      <c r="A889" s="691"/>
      <c r="D889" s="3"/>
    </row>
    <row r="890" spans="1:4">
      <c r="A890" s="691"/>
      <c r="D890" s="3"/>
    </row>
    <row r="891" spans="1:4">
      <c r="A891" s="691"/>
      <c r="D891" s="3"/>
    </row>
    <row r="892" spans="1:4">
      <c r="A892" s="691"/>
      <c r="D892" s="3"/>
    </row>
    <row r="893" spans="1:4">
      <c r="A893" s="691"/>
      <c r="D893" s="3"/>
    </row>
    <row r="894" spans="1:4">
      <c r="A894" s="691"/>
      <c r="D894" s="3"/>
    </row>
    <row r="895" spans="1:4">
      <c r="A895" s="691"/>
      <c r="D895" s="3"/>
    </row>
    <row r="896" spans="1:4">
      <c r="A896" s="691"/>
      <c r="D896" s="3"/>
    </row>
    <row r="897" spans="1:4">
      <c r="A897" s="691"/>
      <c r="D897" s="3"/>
    </row>
    <row r="898" spans="1:4">
      <c r="A898" s="691"/>
      <c r="D898" s="3"/>
    </row>
    <row r="899" spans="1:4">
      <c r="A899" s="691"/>
      <c r="D899" s="3"/>
    </row>
    <row r="900" spans="1:4">
      <c r="A900" s="691"/>
      <c r="D900" s="3"/>
    </row>
    <row r="901" spans="1:4">
      <c r="A901" s="691"/>
      <c r="D901" s="3"/>
    </row>
    <row r="902" spans="1:4">
      <c r="A902" s="691"/>
      <c r="D902" s="3"/>
    </row>
    <row r="903" spans="1:4">
      <c r="A903" s="691"/>
      <c r="D903" s="3"/>
    </row>
    <row r="904" spans="1:4">
      <c r="A904" s="691"/>
      <c r="D904" s="3"/>
    </row>
    <row r="905" spans="1:4">
      <c r="A905" s="691"/>
      <c r="D905" s="3"/>
    </row>
    <row r="906" spans="1:4">
      <c r="A906" s="691"/>
      <c r="D906" s="3"/>
    </row>
    <row r="907" spans="1:4">
      <c r="A907" s="691"/>
      <c r="D907" s="3"/>
    </row>
    <row r="908" spans="1:4">
      <c r="A908" s="691"/>
      <c r="D908" s="3"/>
    </row>
    <row r="909" spans="1:4">
      <c r="A909" s="691"/>
      <c r="D909" s="3"/>
    </row>
    <row r="910" spans="1:4">
      <c r="A910" s="691"/>
      <c r="D910" s="3"/>
    </row>
    <row r="911" spans="1:4">
      <c r="A911" s="691"/>
      <c r="D911" s="3"/>
    </row>
    <row r="912" spans="1:4">
      <c r="A912" s="691"/>
      <c r="D912" s="3"/>
    </row>
    <row r="913" spans="1:4">
      <c r="A913" s="691"/>
      <c r="D913" s="3"/>
    </row>
    <row r="914" spans="1:4">
      <c r="A914" s="691"/>
      <c r="D914" s="3"/>
    </row>
    <row r="915" spans="1:4">
      <c r="A915" s="691"/>
      <c r="D915" s="3"/>
    </row>
    <row r="916" spans="1:4">
      <c r="A916" s="691"/>
      <c r="D916" s="3"/>
    </row>
    <row r="917" spans="1:4">
      <c r="A917" s="691"/>
      <c r="D917" s="3"/>
    </row>
    <row r="918" spans="1:4">
      <c r="A918" s="691"/>
      <c r="D918" s="3"/>
    </row>
    <row r="919" spans="1:4">
      <c r="A919" s="691"/>
      <c r="D919" s="3"/>
    </row>
    <row r="920" spans="1:4">
      <c r="A920" s="691"/>
      <c r="D920" s="3"/>
    </row>
    <row r="921" spans="1:4">
      <c r="A921" s="691"/>
      <c r="D921" s="3"/>
    </row>
    <row r="922" spans="1:4">
      <c r="A922" s="691"/>
      <c r="D922" s="3"/>
    </row>
    <row r="923" spans="1:4">
      <c r="A923" s="691"/>
      <c r="D923" s="3"/>
    </row>
    <row r="924" spans="1:4">
      <c r="A924" s="691"/>
      <c r="D924" s="3"/>
    </row>
    <row r="925" spans="1:4">
      <c r="A925" s="691"/>
      <c r="D925" s="3"/>
    </row>
    <row r="926" spans="1:4">
      <c r="A926" s="691"/>
      <c r="D926" s="3"/>
    </row>
    <row r="927" spans="1:4">
      <c r="A927" s="691"/>
      <c r="D927" s="3"/>
    </row>
    <row r="928" spans="1:4">
      <c r="A928" s="691"/>
      <c r="D928" s="3"/>
    </row>
    <row r="929" spans="1:4">
      <c r="A929" s="691"/>
      <c r="D929" s="3"/>
    </row>
    <row r="930" spans="1:4">
      <c r="A930" s="691"/>
      <c r="D930" s="3"/>
    </row>
    <row r="931" spans="1:4">
      <c r="A931" s="691"/>
      <c r="D931" s="3"/>
    </row>
    <row r="932" spans="1:4">
      <c r="A932" s="691"/>
      <c r="D932" s="3"/>
    </row>
    <row r="933" spans="1:4">
      <c r="A933" s="691"/>
      <c r="D933" s="3"/>
    </row>
    <row r="934" spans="1:4">
      <c r="A934" s="691"/>
      <c r="D934" s="3"/>
    </row>
    <row r="935" spans="1:4">
      <c r="A935" s="691"/>
      <c r="D935" s="3"/>
    </row>
    <row r="936" spans="1:4">
      <c r="A936" s="691"/>
      <c r="D936" s="3"/>
    </row>
    <row r="937" spans="1:4">
      <c r="A937" s="691"/>
      <c r="D937" s="3"/>
    </row>
    <row r="938" spans="1:4">
      <c r="A938" s="691"/>
      <c r="D938" s="3"/>
    </row>
    <row r="939" spans="1:4">
      <c r="A939" s="691"/>
      <c r="D939" s="3"/>
    </row>
    <row r="940" spans="1:4">
      <c r="A940" s="691"/>
      <c r="D940" s="3"/>
    </row>
    <row r="941" spans="1:4">
      <c r="A941" s="691"/>
      <c r="D941" s="3"/>
    </row>
    <row r="942" spans="1:4">
      <c r="A942" s="691"/>
      <c r="D942" s="3"/>
    </row>
    <row r="943" spans="1:4">
      <c r="A943" s="691"/>
      <c r="D943" s="3"/>
    </row>
    <row r="944" spans="1:4">
      <c r="A944" s="691"/>
      <c r="D944" s="3"/>
    </row>
    <row r="945" spans="1:4">
      <c r="A945" s="691"/>
      <c r="D945" s="3"/>
    </row>
    <row r="946" spans="1:4">
      <c r="A946" s="691"/>
      <c r="D946" s="3"/>
    </row>
    <row r="947" spans="1:4">
      <c r="A947" s="691"/>
      <c r="D947" s="3"/>
    </row>
    <row r="948" spans="1:4">
      <c r="A948" s="691"/>
      <c r="D948" s="3"/>
    </row>
    <row r="949" spans="1:4">
      <c r="A949" s="691"/>
      <c r="D949" s="3"/>
    </row>
    <row r="950" spans="1:4">
      <c r="A950" s="691"/>
      <c r="D950" s="3"/>
    </row>
    <row r="951" spans="1:4">
      <c r="A951" s="691"/>
      <c r="D951" s="3"/>
    </row>
    <row r="952" spans="1:4">
      <c r="A952" s="691"/>
      <c r="D952" s="3"/>
    </row>
    <row r="953" spans="1:4">
      <c r="A953" s="691"/>
      <c r="D953" s="3"/>
    </row>
    <row r="954" spans="1:4">
      <c r="A954" s="691"/>
      <c r="D954" s="3"/>
    </row>
    <row r="955" spans="1:4">
      <c r="A955" s="691"/>
      <c r="D955" s="3"/>
    </row>
    <row r="956" spans="1:4">
      <c r="A956" s="691"/>
      <c r="D956" s="3"/>
    </row>
    <row r="957" spans="1:4">
      <c r="A957" s="691"/>
      <c r="D957" s="3"/>
    </row>
    <row r="958" spans="1:4">
      <c r="A958" s="691"/>
      <c r="D958" s="3"/>
    </row>
    <row r="959" spans="1:4">
      <c r="A959" s="691"/>
      <c r="D959" s="3"/>
    </row>
    <row r="960" spans="1:4">
      <c r="A960" s="691"/>
      <c r="D960" s="3"/>
    </row>
    <row r="961" spans="1:4">
      <c r="A961" s="691"/>
      <c r="D961" s="3"/>
    </row>
    <row r="962" spans="1:4">
      <c r="A962" s="691"/>
      <c r="D962" s="3"/>
    </row>
    <row r="963" spans="1:4">
      <c r="A963" s="691"/>
      <c r="D963" s="3"/>
    </row>
    <row r="964" spans="1:4">
      <c r="A964" s="691"/>
      <c r="D964" s="3"/>
    </row>
    <row r="965" spans="1:4">
      <c r="A965" s="691"/>
      <c r="D965" s="3"/>
    </row>
    <row r="966" spans="1:4">
      <c r="A966" s="691"/>
      <c r="D966" s="3"/>
    </row>
    <row r="967" spans="1:4">
      <c r="A967" s="691"/>
      <c r="D967" s="3"/>
    </row>
    <row r="968" spans="1:4">
      <c r="A968" s="691"/>
      <c r="D968" s="3"/>
    </row>
    <row r="969" spans="1:4">
      <c r="A969" s="691"/>
      <c r="D969" s="3"/>
    </row>
    <row r="970" spans="1:4">
      <c r="A970" s="691"/>
      <c r="D970" s="3"/>
    </row>
    <row r="971" spans="1:4">
      <c r="A971" s="691"/>
      <c r="D971" s="3"/>
    </row>
    <row r="972" spans="1:4">
      <c r="A972" s="691"/>
      <c r="D972" s="3"/>
    </row>
    <row r="973" spans="1:4">
      <c r="A973" s="691"/>
      <c r="D973" s="3"/>
    </row>
    <row r="974" spans="1:4">
      <c r="A974" s="691"/>
      <c r="D974" s="3"/>
    </row>
    <row r="975" spans="1:4">
      <c r="A975" s="691"/>
      <c r="D975" s="3"/>
    </row>
    <row r="976" spans="1:4">
      <c r="A976" s="691"/>
      <c r="D976" s="3"/>
    </row>
    <row r="977" spans="1:4">
      <c r="A977" s="691"/>
      <c r="D977" s="3"/>
    </row>
    <row r="978" spans="1:4">
      <c r="A978" s="691"/>
      <c r="D978" s="3"/>
    </row>
    <row r="979" spans="1:4">
      <c r="A979" s="691"/>
      <c r="D979" s="3"/>
    </row>
    <row r="980" spans="1:4">
      <c r="A980" s="691"/>
      <c r="D980" s="3"/>
    </row>
    <row r="981" spans="1:4">
      <c r="A981" s="691"/>
      <c r="D981" s="3"/>
    </row>
    <row r="982" spans="1:4">
      <c r="A982" s="691"/>
      <c r="D982" s="3"/>
    </row>
    <row r="983" spans="1:4">
      <c r="A983" s="691"/>
      <c r="D983" s="3"/>
    </row>
    <row r="984" spans="1:4">
      <c r="A984" s="691"/>
      <c r="D984" s="3"/>
    </row>
    <row r="985" spans="1:4">
      <c r="A985" s="691"/>
      <c r="D985" s="3"/>
    </row>
    <row r="986" spans="1:4">
      <c r="A986" s="691"/>
      <c r="D986" s="3"/>
    </row>
    <row r="987" spans="1:4">
      <c r="A987" s="691"/>
      <c r="D987" s="3"/>
    </row>
    <row r="988" spans="1:4">
      <c r="A988" s="691"/>
      <c r="D988" s="3"/>
    </row>
    <row r="989" spans="1:4">
      <c r="A989" s="691"/>
      <c r="D989" s="3"/>
    </row>
    <row r="990" spans="1:4">
      <c r="A990" s="691"/>
      <c r="D990" s="3"/>
    </row>
    <row r="991" spans="1:4">
      <c r="A991" s="691"/>
      <c r="D991" s="3"/>
    </row>
    <row r="992" spans="1:4">
      <c r="A992" s="691"/>
      <c r="D992" s="3"/>
    </row>
    <row r="993" spans="1:4">
      <c r="A993" s="691"/>
      <c r="D993" s="3"/>
    </row>
    <row r="994" spans="1:4">
      <c r="A994" s="691"/>
      <c r="D994" s="3"/>
    </row>
    <row r="995" spans="1:4">
      <c r="A995" s="691"/>
      <c r="D995" s="3"/>
    </row>
    <row r="996" spans="1:4">
      <c r="A996" s="691"/>
      <c r="D996" s="3"/>
    </row>
    <row r="997" spans="1:4">
      <c r="A997" s="691"/>
      <c r="D997" s="3"/>
    </row>
    <row r="998" spans="1:4">
      <c r="A998" s="691"/>
      <c r="D998" s="3"/>
    </row>
    <row r="999" spans="1:4">
      <c r="A999" s="691"/>
      <c r="D999" s="3"/>
    </row>
    <row r="1000" spans="1:4">
      <c r="A1000" s="691"/>
      <c r="D1000" s="3"/>
    </row>
    <row r="1001" spans="1:4">
      <c r="A1001" s="691"/>
      <c r="D1001" s="3"/>
    </row>
    <row r="1002" spans="1:4">
      <c r="A1002" s="691"/>
      <c r="D1002" s="3"/>
    </row>
    <row r="1003" spans="1:4">
      <c r="A1003" s="691"/>
      <c r="D1003" s="3"/>
    </row>
    <row r="1004" spans="1:4">
      <c r="A1004" s="691"/>
      <c r="D1004" s="3"/>
    </row>
    <row r="1005" spans="1:4">
      <c r="A1005" s="691"/>
      <c r="D1005" s="3"/>
    </row>
    <row r="1006" spans="1:4">
      <c r="A1006" s="691"/>
      <c r="D1006" s="3"/>
    </row>
    <row r="1007" spans="1:4">
      <c r="A1007" s="691"/>
      <c r="D1007" s="3"/>
    </row>
    <row r="1008" spans="1:4">
      <c r="A1008" s="691"/>
      <c r="D1008" s="3"/>
    </row>
    <row r="1009" spans="1:4">
      <c r="A1009" s="691"/>
      <c r="D1009" s="3"/>
    </row>
    <row r="1010" spans="1:4">
      <c r="A1010" s="691"/>
      <c r="D1010" s="3"/>
    </row>
    <row r="1011" spans="1:4">
      <c r="A1011" s="691"/>
      <c r="D1011" s="3"/>
    </row>
    <row r="1012" spans="1:4">
      <c r="A1012" s="691"/>
      <c r="D1012" s="3"/>
    </row>
    <row r="1013" spans="1:4">
      <c r="A1013" s="691"/>
      <c r="D1013" s="3"/>
    </row>
    <row r="1014" spans="1:4">
      <c r="A1014" s="691"/>
      <c r="D1014" s="3"/>
    </row>
    <row r="1015" spans="1:4">
      <c r="A1015" s="691"/>
      <c r="D1015" s="3"/>
    </row>
    <row r="1016" spans="1:4">
      <c r="A1016" s="691"/>
      <c r="D1016" s="3"/>
    </row>
    <row r="1017" spans="1:4">
      <c r="A1017" s="691"/>
      <c r="D1017" s="3"/>
    </row>
    <row r="1018" spans="1:4">
      <c r="A1018" s="691"/>
      <c r="D1018" s="3"/>
    </row>
    <row r="1019" spans="1:4">
      <c r="A1019" s="691"/>
      <c r="D1019" s="3"/>
    </row>
    <row r="1020" spans="1:4">
      <c r="A1020" s="691"/>
      <c r="D1020" s="3"/>
    </row>
    <row r="1021" spans="1:4">
      <c r="A1021" s="691"/>
      <c r="D1021" s="3"/>
    </row>
    <row r="1022" spans="1:4">
      <c r="A1022" s="691"/>
      <c r="D1022" s="3"/>
    </row>
    <row r="1023" spans="1:4">
      <c r="A1023" s="691"/>
      <c r="D1023" s="3"/>
    </row>
    <row r="1024" spans="1:4">
      <c r="A1024" s="691"/>
      <c r="D1024" s="3"/>
    </row>
    <row r="1025" spans="1:4">
      <c r="A1025" s="691"/>
      <c r="D1025" s="3"/>
    </row>
    <row r="1026" spans="1:4">
      <c r="A1026" s="691"/>
      <c r="D1026" s="3"/>
    </row>
    <row r="1027" spans="1:4">
      <c r="A1027" s="691"/>
      <c r="D1027" s="3"/>
    </row>
    <row r="1028" spans="1:4">
      <c r="A1028" s="691"/>
      <c r="D1028" s="3"/>
    </row>
    <row r="1029" spans="1:4">
      <c r="A1029" s="691"/>
      <c r="D1029" s="3"/>
    </row>
    <row r="1030" spans="1:4">
      <c r="A1030" s="691"/>
      <c r="D1030" s="3"/>
    </row>
    <row r="1031" spans="1:4">
      <c r="A1031" s="691"/>
      <c r="D1031" s="3"/>
    </row>
    <row r="1032" spans="1:4">
      <c r="A1032" s="691"/>
      <c r="D1032" s="3"/>
    </row>
    <row r="1033" spans="1:4">
      <c r="A1033" s="691"/>
      <c r="D1033" s="3"/>
    </row>
    <row r="1034" spans="1:4">
      <c r="A1034" s="691"/>
      <c r="D1034" s="3"/>
    </row>
    <row r="1035" spans="1:4">
      <c r="A1035" s="691"/>
      <c r="D1035" s="3"/>
    </row>
    <row r="1036" spans="1:4">
      <c r="A1036" s="691"/>
      <c r="D1036" s="3"/>
    </row>
    <row r="1037" spans="1:4">
      <c r="A1037" s="691"/>
      <c r="D1037" s="3"/>
    </row>
    <row r="1038" spans="1:4">
      <c r="A1038" s="691"/>
      <c r="D1038" s="3"/>
    </row>
    <row r="1039" spans="1:4">
      <c r="A1039" s="691"/>
      <c r="D1039" s="3"/>
    </row>
    <row r="1040" spans="1:4">
      <c r="A1040" s="691"/>
      <c r="D1040" s="3"/>
    </row>
    <row r="1041" spans="1:4">
      <c r="A1041" s="691"/>
      <c r="D1041" s="3"/>
    </row>
    <row r="1042" spans="1:4">
      <c r="A1042" s="691"/>
      <c r="D1042" s="3"/>
    </row>
    <row r="1043" spans="1:4">
      <c r="A1043" s="691"/>
      <c r="D1043" s="3"/>
    </row>
    <row r="1044" spans="1:4">
      <c r="A1044" s="691"/>
      <c r="D1044" s="3"/>
    </row>
    <row r="1045" spans="1:4">
      <c r="A1045" s="691"/>
      <c r="D1045" s="3"/>
    </row>
    <row r="1046" spans="1:4">
      <c r="A1046" s="691"/>
      <c r="D1046" s="3"/>
    </row>
    <row r="1047" spans="1:4">
      <c r="A1047" s="691"/>
      <c r="D1047" s="3"/>
    </row>
    <row r="1048" spans="1:4">
      <c r="A1048" s="691"/>
      <c r="D1048" s="3"/>
    </row>
    <row r="1049" spans="1:4">
      <c r="A1049" s="691"/>
      <c r="D1049" s="3"/>
    </row>
    <row r="1050" spans="1:4">
      <c r="A1050" s="691"/>
      <c r="D1050" s="3"/>
    </row>
    <row r="1051" spans="1:4">
      <c r="A1051" s="691"/>
      <c r="D1051" s="3"/>
    </row>
    <row r="1052" spans="1:4">
      <c r="A1052" s="691"/>
      <c r="D1052" s="3"/>
    </row>
    <row r="1053" spans="1:4">
      <c r="A1053" s="691"/>
      <c r="D1053" s="3"/>
    </row>
    <row r="1054" spans="1:4">
      <c r="A1054" s="691"/>
      <c r="D1054" s="3"/>
    </row>
    <row r="1055" spans="1:4">
      <c r="A1055" s="691"/>
      <c r="D1055" s="3"/>
    </row>
    <row r="1056" spans="1:4">
      <c r="A1056" s="691"/>
      <c r="D1056" s="3"/>
    </row>
    <row r="1057" spans="1:4">
      <c r="A1057" s="691"/>
      <c r="D1057" s="3"/>
    </row>
    <row r="1058" spans="1:4">
      <c r="A1058" s="691"/>
      <c r="D1058" s="3"/>
    </row>
    <row r="1059" spans="1:4">
      <c r="A1059" s="691"/>
      <c r="D1059" s="3"/>
    </row>
    <row r="1060" spans="1:4">
      <c r="A1060" s="691"/>
      <c r="D1060" s="3"/>
    </row>
    <row r="1061" spans="1:4">
      <c r="A1061" s="691"/>
      <c r="D1061" s="3"/>
    </row>
    <row r="1062" spans="1:4">
      <c r="A1062" s="691"/>
      <c r="D1062" s="3"/>
    </row>
    <row r="1063" spans="1:4">
      <c r="A1063" s="691"/>
      <c r="D1063" s="3"/>
    </row>
    <row r="1064" spans="1:4">
      <c r="A1064" s="691"/>
      <c r="D1064" s="3"/>
    </row>
    <row r="1065" spans="1:4">
      <c r="A1065" s="691"/>
      <c r="D1065" s="3"/>
    </row>
    <row r="1066" spans="1:4">
      <c r="A1066" s="691"/>
      <c r="D1066" s="3"/>
    </row>
    <row r="1067" spans="1:4">
      <c r="A1067" s="691"/>
      <c r="D1067" s="3"/>
    </row>
    <row r="1068" spans="1:4">
      <c r="A1068" s="691"/>
      <c r="D1068" s="3"/>
    </row>
    <row r="1069" spans="1:4">
      <c r="A1069" s="691"/>
      <c r="D1069" s="3"/>
    </row>
    <row r="1070" spans="1:4">
      <c r="A1070" s="691"/>
      <c r="D1070" s="3"/>
    </row>
    <row r="1071" spans="1:4">
      <c r="A1071" s="691"/>
      <c r="D1071" s="3"/>
    </row>
    <row r="1072" spans="1:4">
      <c r="A1072" s="691"/>
      <c r="D1072" s="3"/>
    </row>
    <row r="1073" spans="1:4">
      <c r="A1073" s="691"/>
      <c r="D1073" s="3"/>
    </row>
    <row r="1074" spans="1:4">
      <c r="A1074" s="691"/>
      <c r="D1074" s="3"/>
    </row>
    <row r="1075" spans="1:4">
      <c r="A1075" s="691"/>
      <c r="D1075" s="3"/>
    </row>
    <row r="1076" spans="1:4">
      <c r="A1076" s="691"/>
      <c r="D1076" s="3"/>
    </row>
    <row r="1077" spans="1:4">
      <c r="A1077" s="691"/>
      <c r="D1077" s="3"/>
    </row>
    <row r="1078" spans="1:4">
      <c r="A1078" s="691"/>
      <c r="D1078" s="3"/>
    </row>
    <row r="1079" spans="1:4">
      <c r="A1079" s="691"/>
      <c r="D1079" s="3"/>
    </row>
    <row r="1080" spans="1:4">
      <c r="A1080" s="691"/>
      <c r="D1080" s="3"/>
    </row>
    <row r="1081" spans="1:4">
      <c r="A1081" s="691"/>
      <c r="D1081" s="3"/>
    </row>
    <row r="1082" spans="1:4">
      <c r="A1082" s="691"/>
      <c r="D1082" s="3"/>
    </row>
    <row r="1083" spans="1:4">
      <c r="A1083" s="691"/>
      <c r="D1083" s="3"/>
    </row>
    <row r="1084" spans="1:4">
      <c r="A1084" s="691"/>
      <c r="D1084" s="3"/>
    </row>
    <row r="1085" spans="1:4">
      <c r="A1085" s="691"/>
      <c r="D1085" s="3"/>
    </row>
    <row r="1086" spans="1:4">
      <c r="A1086" s="691"/>
      <c r="D1086" s="3"/>
    </row>
    <row r="1087" spans="1:4">
      <c r="A1087" s="691"/>
      <c r="D1087" s="3"/>
    </row>
    <row r="1088" spans="1:4">
      <c r="A1088" s="691"/>
      <c r="D1088" s="3"/>
    </row>
    <row r="1089" spans="1:4">
      <c r="A1089" s="691"/>
      <c r="D1089" s="3"/>
    </row>
    <row r="1090" spans="1:4">
      <c r="A1090" s="691"/>
      <c r="D1090" s="3"/>
    </row>
    <row r="1091" spans="1:4">
      <c r="A1091" s="691"/>
      <c r="D1091" s="3"/>
    </row>
    <row r="1092" spans="1:4">
      <c r="A1092" s="691"/>
      <c r="D1092" s="3"/>
    </row>
    <row r="1093" spans="1:4">
      <c r="A1093" s="691"/>
      <c r="D1093" s="3"/>
    </row>
    <row r="1094" spans="1:4">
      <c r="A1094" s="691"/>
      <c r="D1094" s="3"/>
    </row>
    <row r="1095" spans="1:4">
      <c r="A1095" s="691"/>
      <c r="D1095" s="3"/>
    </row>
    <row r="1096" spans="1:4">
      <c r="A1096" s="691"/>
      <c r="D1096" s="3"/>
    </row>
    <row r="1097" spans="1:4">
      <c r="A1097" s="691"/>
      <c r="D1097" s="3"/>
    </row>
    <row r="1098" spans="1:4">
      <c r="A1098" s="691"/>
      <c r="D1098" s="3"/>
    </row>
    <row r="1099" spans="1:4">
      <c r="A1099" s="691"/>
      <c r="D1099" s="3"/>
    </row>
    <row r="1100" spans="1:4">
      <c r="A1100" s="691"/>
      <c r="D1100" s="3"/>
    </row>
    <row r="1101" spans="1:4">
      <c r="A1101" s="691"/>
      <c r="D1101" s="3"/>
    </row>
    <row r="1102" spans="1:4">
      <c r="A1102" s="691"/>
      <c r="D1102" s="3"/>
    </row>
    <row r="1103" spans="1:4">
      <c r="A1103" s="691"/>
      <c r="D1103" s="3"/>
    </row>
    <row r="1104" spans="1:4">
      <c r="A1104" s="691"/>
      <c r="D1104" s="3"/>
    </row>
    <row r="1105" spans="1:4">
      <c r="A1105" s="691"/>
      <c r="D1105" s="3"/>
    </row>
    <row r="1106" spans="1:4">
      <c r="A1106" s="691"/>
      <c r="D1106" s="3"/>
    </row>
    <row r="1107" spans="1:4">
      <c r="A1107" s="691"/>
      <c r="D1107" s="3"/>
    </row>
    <row r="1108" spans="1:4">
      <c r="A1108" s="691"/>
      <c r="D1108" s="3"/>
    </row>
    <row r="1109" spans="1:4">
      <c r="A1109" s="691"/>
      <c r="D1109" s="3"/>
    </row>
    <row r="1110" spans="1:4">
      <c r="A1110" s="691"/>
      <c r="D1110" s="3"/>
    </row>
    <row r="1111" spans="1:4">
      <c r="A1111" s="691"/>
      <c r="D1111" s="3"/>
    </row>
    <row r="1112" spans="1:4">
      <c r="A1112" s="691"/>
      <c r="D1112" s="3"/>
    </row>
    <row r="1113" spans="1:4">
      <c r="A1113" s="691"/>
      <c r="D1113" s="3"/>
    </row>
    <row r="1114" spans="1:4">
      <c r="A1114" s="691"/>
      <c r="D1114" s="3"/>
    </row>
    <row r="1115" spans="1:4">
      <c r="A1115" s="691"/>
      <c r="D1115" s="3"/>
    </row>
    <row r="1116" spans="1:4">
      <c r="A1116" s="691"/>
      <c r="D1116" s="3"/>
    </row>
    <row r="1117" spans="1:4">
      <c r="A1117" s="691"/>
      <c r="D1117" s="3"/>
    </row>
    <row r="1118" spans="1:4">
      <c r="A1118" s="691"/>
      <c r="D1118" s="3"/>
    </row>
    <row r="1119" spans="1:4">
      <c r="A1119" s="691"/>
      <c r="D1119" s="3"/>
    </row>
    <row r="1120" spans="1:4">
      <c r="A1120" s="691"/>
      <c r="D1120" s="3"/>
    </row>
    <row r="1121" spans="1:4">
      <c r="A1121" s="691"/>
      <c r="D1121" s="3"/>
    </row>
    <row r="1122" spans="1:4">
      <c r="A1122" s="691"/>
      <c r="D1122" s="3"/>
    </row>
    <row r="1123" spans="1:4">
      <c r="A1123" s="691"/>
      <c r="D1123" s="3"/>
    </row>
    <row r="1124" spans="1:4">
      <c r="A1124" s="691"/>
      <c r="D1124" s="3"/>
    </row>
    <row r="1125" spans="1:4">
      <c r="A1125" s="691"/>
      <c r="D1125" s="3"/>
    </row>
    <row r="1126" spans="1:4">
      <c r="A1126" s="691"/>
      <c r="D1126" s="3"/>
    </row>
    <row r="1127" spans="1:4">
      <c r="A1127" s="691"/>
      <c r="D1127" s="3"/>
    </row>
    <row r="1128" spans="1:4">
      <c r="A1128" s="691"/>
      <c r="D1128" s="3"/>
    </row>
    <row r="1129" spans="1:4">
      <c r="A1129" s="691"/>
      <c r="D1129" s="3"/>
    </row>
    <row r="1130" spans="1:4">
      <c r="A1130" s="691"/>
      <c r="D1130" s="3"/>
    </row>
    <row r="1131" spans="1:4">
      <c r="A1131" s="691"/>
      <c r="D1131" s="3"/>
    </row>
    <row r="1132" spans="1:4">
      <c r="A1132" s="691"/>
      <c r="D1132" s="3"/>
    </row>
    <row r="1133" spans="1:4">
      <c r="A1133" s="691"/>
      <c r="D1133" s="3"/>
    </row>
    <row r="1134" spans="1:4">
      <c r="A1134" s="691"/>
      <c r="D1134" s="3"/>
    </row>
    <row r="1135" spans="1:4">
      <c r="A1135" s="691"/>
      <c r="D1135" s="3"/>
    </row>
    <row r="1136" spans="1:4">
      <c r="A1136" s="691"/>
      <c r="D1136" s="3"/>
    </row>
    <row r="1137" spans="1:4">
      <c r="A1137" s="691"/>
      <c r="D1137" s="3"/>
    </row>
    <row r="1138" spans="1:4">
      <c r="A1138" s="691"/>
      <c r="D1138" s="3"/>
    </row>
    <row r="1139" spans="1:4">
      <c r="A1139" s="691"/>
      <c r="D1139" s="3"/>
    </row>
    <row r="1140" spans="1:4">
      <c r="A1140" s="691"/>
      <c r="D1140" s="3"/>
    </row>
    <row r="1141" spans="1:4">
      <c r="A1141" s="691"/>
      <c r="D1141" s="3"/>
    </row>
    <row r="1142" spans="1:4">
      <c r="A1142" s="691"/>
      <c r="D1142" s="3"/>
    </row>
    <row r="1143" spans="1:4">
      <c r="A1143" s="691"/>
      <c r="D1143" s="3"/>
    </row>
    <row r="1144" spans="1:4">
      <c r="A1144" s="691"/>
      <c r="D1144" s="3"/>
    </row>
    <row r="1145" spans="1:4">
      <c r="A1145" s="691"/>
      <c r="D1145" s="3"/>
    </row>
    <row r="1146" spans="1:4">
      <c r="A1146" s="691"/>
      <c r="D1146" s="3"/>
    </row>
    <row r="1147" spans="1:4">
      <c r="A1147" s="691"/>
      <c r="D1147" s="3"/>
    </row>
    <row r="1148" spans="1:4">
      <c r="A1148" s="691"/>
      <c r="D1148" s="3"/>
    </row>
    <row r="1149" spans="1:4">
      <c r="A1149" s="691"/>
      <c r="D1149" s="3"/>
    </row>
    <row r="1150" spans="1:4">
      <c r="A1150" s="691"/>
      <c r="D1150" s="3"/>
    </row>
    <row r="1151" spans="1:4">
      <c r="A1151" s="691"/>
      <c r="D1151" s="3"/>
    </row>
    <row r="1152" spans="1:4">
      <c r="A1152" s="691"/>
      <c r="D1152" s="3"/>
    </row>
    <row r="1153" spans="1:4">
      <c r="A1153" s="691"/>
      <c r="D1153" s="3"/>
    </row>
    <row r="1154" spans="1:4">
      <c r="A1154" s="691"/>
      <c r="D1154" s="3"/>
    </row>
    <row r="1155" spans="1:4">
      <c r="A1155" s="691"/>
      <c r="D1155" s="3"/>
    </row>
    <row r="1156" spans="1:4">
      <c r="A1156" s="691"/>
      <c r="D1156" s="3"/>
    </row>
    <row r="1157" spans="1:4">
      <c r="A1157" s="691"/>
      <c r="D1157" s="3"/>
    </row>
    <row r="1158" spans="1:4">
      <c r="A1158" s="691"/>
      <c r="D1158" s="3"/>
    </row>
    <row r="1159" spans="1:4">
      <c r="A1159" s="691"/>
      <c r="D1159" s="3"/>
    </row>
    <row r="1160" spans="1:4">
      <c r="A1160" s="691"/>
      <c r="D1160" s="3"/>
    </row>
    <row r="1161" spans="1:4">
      <c r="A1161" s="691"/>
      <c r="D1161" s="3"/>
    </row>
    <row r="1162" spans="1:4">
      <c r="A1162" s="691"/>
      <c r="D1162" s="3"/>
    </row>
    <row r="1163" spans="1:4">
      <c r="A1163" s="691"/>
      <c r="D1163" s="3"/>
    </row>
    <row r="1164" spans="1:4">
      <c r="A1164" s="691"/>
      <c r="D1164" s="3"/>
    </row>
    <row r="1165" spans="1:4">
      <c r="A1165" s="691"/>
      <c r="D1165" s="3"/>
    </row>
    <row r="1166" spans="1:4">
      <c r="A1166" s="691"/>
      <c r="D1166" s="3"/>
    </row>
    <row r="1167" spans="1:4">
      <c r="A1167" s="691"/>
      <c r="D1167" s="3"/>
    </row>
    <row r="1168" spans="1:4">
      <c r="A1168" s="691"/>
      <c r="D1168" s="3"/>
    </row>
    <row r="1169" spans="1:4">
      <c r="A1169" s="691"/>
      <c r="D1169" s="3"/>
    </row>
    <row r="1170" spans="1:4">
      <c r="A1170" s="691"/>
      <c r="D1170" s="3"/>
    </row>
    <row r="1171" spans="1:4">
      <c r="A1171" s="691"/>
      <c r="D1171" s="3"/>
    </row>
    <row r="1172" spans="1:4">
      <c r="A1172" s="691"/>
      <c r="D1172" s="3"/>
    </row>
    <row r="1173" spans="1:4">
      <c r="A1173" s="691"/>
      <c r="D1173" s="3"/>
    </row>
    <row r="1174" spans="1:4">
      <c r="A1174" s="691"/>
      <c r="D1174" s="3"/>
    </row>
    <row r="1175" spans="1:4">
      <c r="A1175" s="691"/>
      <c r="D1175" s="3"/>
    </row>
    <row r="1176" spans="1:4">
      <c r="A1176" s="691"/>
      <c r="D1176" s="3"/>
    </row>
    <row r="1177" spans="1:4">
      <c r="A1177" s="691"/>
      <c r="D1177" s="3"/>
    </row>
    <row r="1178" spans="1:4">
      <c r="A1178" s="691"/>
      <c r="D1178" s="3"/>
    </row>
    <row r="1179" spans="1:4">
      <c r="A1179" s="691"/>
      <c r="D1179" s="3"/>
    </row>
    <row r="1180" spans="1:4">
      <c r="A1180" s="691"/>
      <c r="D1180" s="3"/>
    </row>
    <row r="1181" spans="1:4">
      <c r="A1181" s="691"/>
      <c r="D1181" s="3"/>
    </row>
    <row r="1182" spans="1:4">
      <c r="A1182" s="691"/>
      <c r="D1182" s="3"/>
    </row>
    <row r="1183" spans="1:4">
      <c r="A1183" s="691"/>
      <c r="D1183" s="3"/>
    </row>
    <row r="1184" spans="1:4">
      <c r="A1184" s="691"/>
      <c r="D1184" s="3"/>
    </row>
    <row r="1185" spans="1:4">
      <c r="A1185" s="691"/>
      <c r="D1185" s="3"/>
    </row>
    <row r="1186" spans="1:4">
      <c r="A1186" s="691"/>
      <c r="D1186" s="3"/>
    </row>
    <row r="1187" spans="1:4">
      <c r="A1187" s="691"/>
      <c r="D1187" s="3"/>
    </row>
    <row r="1188" spans="1:4">
      <c r="A1188" s="691"/>
      <c r="D1188" s="3"/>
    </row>
    <row r="1189" spans="1:4">
      <c r="A1189" s="691"/>
      <c r="D1189" s="3"/>
    </row>
    <row r="1190" spans="1:4">
      <c r="A1190" s="691"/>
      <c r="D1190" s="3"/>
    </row>
    <row r="1191" spans="1:4">
      <c r="A1191" s="691"/>
      <c r="D1191" s="3"/>
    </row>
    <row r="1192" spans="1:4">
      <c r="A1192" s="691"/>
      <c r="D1192" s="3"/>
    </row>
    <row r="1193" spans="1:4">
      <c r="A1193" s="691"/>
      <c r="D1193" s="3"/>
    </row>
    <row r="1194" spans="1:4">
      <c r="A1194" s="691"/>
      <c r="D1194" s="3"/>
    </row>
    <row r="1195" spans="1:4">
      <c r="A1195" s="691"/>
      <c r="D1195" s="3"/>
    </row>
    <row r="1196" spans="1:4">
      <c r="A1196" s="691"/>
      <c r="D1196" s="3"/>
    </row>
    <row r="1197" spans="1:4">
      <c r="A1197" s="691"/>
      <c r="D1197" s="3"/>
    </row>
    <row r="1198" spans="1:4">
      <c r="A1198" s="691"/>
      <c r="D1198" s="3"/>
    </row>
    <row r="1199" spans="1:4">
      <c r="A1199" s="691"/>
      <c r="D1199" s="3"/>
    </row>
    <row r="1200" spans="1:4">
      <c r="A1200" s="691"/>
      <c r="D1200" s="3"/>
    </row>
    <row r="1201" spans="1:4">
      <c r="A1201" s="691"/>
      <c r="D1201" s="3"/>
    </row>
    <row r="1202" spans="1:4">
      <c r="A1202" s="691"/>
      <c r="D1202" s="3"/>
    </row>
    <row r="1203" spans="1:4">
      <c r="A1203" s="691"/>
      <c r="D1203" s="3"/>
    </row>
    <row r="1204" spans="1:4">
      <c r="A1204" s="691"/>
      <c r="D1204" s="3"/>
    </row>
    <row r="1205" spans="1:4">
      <c r="A1205" s="691"/>
      <c r="D1205" s="3"/>
    </row>
    <row r="1206" spans="1:4">
      <c r="A1206" s="691"/>
      <c r="D1206" s="3"/>
    </row>
    <row r="1207" spans="1:4">
      <c r="A1207" s="691"/>
      <c r="D1207" s="3"/>
    </row>
    <row r="1208" spans="1:4">
      <c r="A1208" s="691"/>
      <c r="D1208" s="3"/>
    </row>
    <row r="1209" spans="1:4">
      <c r="A1209" s="691"/>
      <c r="D1209" s="3"/>
    </row>
    <row r="1210" spans="1:4">
      <c r="A1210" s="691"/>
      <c r="D1210" s="3"/>
    </row>
    <row r="1211" spans="1:4">
      <c r="A1211" s="691"/>
      <c r="D1211" s="3"/>
    </row>
    <row r="1212" spans="1:4">
      <c r="A1212" s="691"/>
      <c r="D1212" s="3"/>
    </row>
    <row r="1213" spans="1:4">
      <c r="A1213" s="691"/>
      <c r="D1213" s="3"/>
    </row>
    <row r="1214" spans="1:4">
      <c r="A1214" s="691"/>
      <c r="D1214" s="3"/>
    </row>
    <row r="1215" spans="1:4">
      <c r="A1215" s="691"/>
      <c r="D1215" s="3"/>
    </row>
    <row r="1216" spans="1:4">
      <c r="A1216" s="691"/>
      <c r="D1216" s="3"/>
    </row>
    <row r="1217" spans="1:4">
      <c r="A1217" s="691"/>
      <c r="D1217" s="3"/>
    </row>
    <row r="1218" spans="1:4">
      <c r="A1218" s="691"/>
      <c r="D1218" s="3"/>
    </row>
    <row r="1219" spans="1:4">
      <c r="A1219" s="691"/>
      <c r="D1219" s="3"/>
    </row>
    <row r="1220" spans="1:4">
      <c r="A1220" s="691"/>
      <c r="D1220" s="3"/>
    </row>
    <row r="1221" spans="1:4">
      <c r="A1221" s="691"/>
      <c r="D1221" s="3"/>
    </row>
    <row r="1222" spans="1:4">
      <c r="A1222" s="691"/>
      <c r="D1222" s="3"/>
    </row>
    <row r="1223" spans="1:4">
      <c r="A1223" s="691"/>
      <c r="D1223" s="3"/>
    </row>
    <row r="1224" spans="1:4">
      <c r="A1224" s="691"/>
      <c r="D1224" s="3"/>
    </row>
    <row r="1225" spans="1:4">
      <c r="A1225" s="691"/>
      <c r="D1225" s="3"/>
    </row>
    <row r="1226" spans="1:4">
      <c r="A1226" s="691"/>
      <c r="D1226" s="3"/>
    </row>
    <row r="1227" spans="1:4">
      <c r="A1227" s="691"/>
      <c r="D1227" s="3"/>
    </row>
    <row r="1228" spans="1:4">
      <c r="A1228" s="691"/>
      <c r="D1228" s="3"/>
    </row>
    <row r="1229" spans="1:4">
      <c r="A1229" s="691"/>
      <c r="D1229" s="3"/>
    </row>
    <row r="1230" spans="1:4">
      <c r="A1230" s="691"/>
      <c r="D1230" s="3"/>
    </row>
    <row r="1231" spans="1:4">
      <c r="A1231" s="691"/>
      <c r="D1231" s="3"/>
    </row>
    <row r="1232" spans="1:4">
      <c r="A1232" s="691"/>
      <c r="D1232" s="3"/>
    </row>
    <row r="1233" spans="1:4">
      <c r="A1233" s="691"/>
      <c r="D1233" s="3"/>
    </row>
    <row r="1234" spans="1:4">
      <c r="A1234" s="691"/>
      <c r="D1234" s="3"/>
    </row>
    <row r="1235" spans="1:4">
      <c r="A1235" s="691"/>
      <c r="D1235" s="3"/>
    </row>
    <row r="1236" spans="1:4">
      <c r="A1236" s="691"/>
      <c r="D1236" s="3"/>
    </row>
    <row r="1237" spans="1:4">
      <c r="A1237" s="691"/>
      <c r="D1237" s="3"/>
    </row>
    <row r="1238" spans="1:4">
      <c r="A1238" s="691"/>
      <c r="D1238" s="3"/>
    </row>
    <row r="1239" spans="1:4">
      <c r="A1239" s="691"/>
      <c r="D1239" s="3"/>
    </row>
    <row r="1240" spans="1:4">
      <c r="A1240" s="691"/>
      <c r="D1240" s="3"/>
    </row>
    <row r="1241" spans="1:4">
      <c r="A1241" s="691"/>
      <c r="D1241" s="3"/>
    </row>
    <row r="1242" spans="1:4">
      <c r="A1242" s="691"/>
      <c r="D1242" s="3"/>
    </row>
    <row r="1243" spans="1:4">
      <c r="A1243" s="691"/>
      <c r="D1243" s="3"/>
    </row>
    <row r="1244" spans="1:4">
      <c r="A1244" s="691"/>
      <c r="D1244" s="3"/>
    </row>
    <row r="1245" spans="1:4">
      <c r="A1245" s="691"/>
      <c r="D1245" s="3"/>
    </row>
    <row r="1246" spans="1:4">
      <c r="A1246" s="691"/>
      <c r="D1246" s="3"/>
    </row>
    <row r="1247" spans="1:4">
      <c r="A1247" s="691"/>
      <c r="D1247" s="3"/>
    </row>
    <row r="1248" spans="1:4">
      <c r="A1248" s="691"/>
      <c r="D1248" s="3"/>
    </row>
    <row r="1249" spans="1:4">
      <c r="A1249" s="691"/>
      <c r="D1249" s="3"/>
    </row>
    <row r="1250" spans="1:4">
      <c r="A1250" s="691"/>
      <c r="D1250" s="3"/>
    </row>
    <row r="1251" spans="1:4">
      <c r="A1251" s="691"/>
      <c r="D1251" s="3"/>
    </row>
    <row r="1252" spans="1:4">
      <c r="A1252" s="691"/>
      <c r="D1252" s="3"/>
    </row>
    <row r="1253" spans="1:4">
      <c r="A1253" s="691"/>
      <c r="D1253" s="3"/>
    </row>
    <row r="1254" spans="1:4">
      <c r="A1254" s="691"/>
      <c r="D1254" s="3"/>
    </row>
    <row r="1255" spans="1:4">
      <c r="A1255" s="691"/>
      <c r="D1255" s="3"/>
    </row>
    <row r="1256" spans="1:4">
      <c r="A1256" s="691"/>
      <c r="D1256" s="3"/>
    </row>
    <row r="1257" spans="1:4">
      <c r="A1257" s="691"/>
      <c r="D1257" s="3"/>
    </row>
    <row r="1258" spans="1:4">
      <c r="A1258" s="691"/>
      <c r="D1258" s="3"/>
    </row>
    <row r="1259" spans="1:4">
      <c r="A1259" s="691"/>
      <c r="D1259" s="3"/>
    </row>
    <row r="1260" spans="1:4">
      <c r="A1260" s="691"/>
      <c r="D1260" s="3"/>
    </row>
    <row r="1261" spans="1:4">
      <c r="A1261" s="691"/>
      <c r="D1261" s="3"/>
    </row>
    <row r="1262" spans="1:4">
      <c r="A1262" s="691"/>
      <c r="D1262" s="3"/>
    </row>
    <row r="1263" spans="1:4">
      <c r="A1263" s="691"/>
      <c r="D1263" s="3"/>
    </row>
    <row r="1264" spans="1:4">
      <c r="A1264" s="691"/>
      <c r="D1264" s="3"/>
    </row>
    <row r="1265" spans="1:4">
      <c r="A1265" s="691"/>
      <c r="D1265" s="3"/>
    </row>
    <row r="1266" spans="1:4">
      <c r="A1266" s="691"/>
      <c r="D1266" s="3"/>
    </row>
    <row r="1267" spans="1:4">
      <c r="A1267" s="691"/>
      <c r="D1267" s="3"/>
    </row>
    <row r="1268" spans="1:4">
      <c r="A1268" s="691"/>
      <c r="D1268" s="3"/>
    </row>
    <row r="1269" spans="1:4">
      <c r="A1269" s="691"/>
      <c r="D1269" s="3"/>
    </row>
    <row r="1270" spans="1:4">
      <c r="A1270" s="691"/>
      <c r="D1270" s="3"/>
    </row>
    <row r="1271" spans="1:4">
      <c r="A1271" s="691"/>
      <c r="D1271" s="3"/>
    </row>
    <row r="1272" spans="1:4">
      <c r="A1272" s="691"/>
      <c r="D1272" s="3"/>
    </row>
    <row r="1273" spans="1:4">
      <c r="A1273" s="691"/>
      <c r="D1273" s="3"/>
    </row>
    <row r="1274" spans="1:4">
      <c r="A1274" s="691"/>
      <c r="D1274" s="3"/>
    </row>
    <row r="1275" spans="1:4">
      <c r="A1275" s="691"/>
      <c r="D1275" s="3"/>
    </row>
    <row r="1276" spans="1:4">
      <c r="A1276" s="691"/>
      <c r="D1276" s="3"/>
    </row>
    <row r="1277" spans="1:4">
      <c r="A1277" s="691"/>
      <c r="D1277" s="3"/>
    </row>
    <row r="1278" spans="1:4">
      <c r="A1278" s="691"/>
      <c r="D1278" s="3"/>
    </row>
    <row r="1279" spans="1:4">
      <c r="A1279" s="691"/>
      <c r="D1279" s="3"/>
    </row>
    <row r="1280" spans="1:4">
      <c r="A1280" s="691"/>
      <c r="D1280" s="3"/>
    </row>
    <row r="1281" spans="1:4">
      <c r="A1281" s="691"/>
      <c r="D1281" s="3"/>
    </row>
    <row r="1282" spans="1:4">
      <c r="A1282" s="691"/>
      <c r="D1282" s="3"/>
    </row>
    <row r="1283" spans="1:4">
      <c r="A1283" s="691"/>
      <c r="D1283" s="3"/>
    </row>
    <row r="1284" spans="1:4">
      <c r="A1284" s="691"/>
      <c r="D1284" s="3"/>
    </row>
    <row r="1285" spans="1:4">
      <c r="A1285" s="691"/>
      <c r="D1285" s="3"/>
    </row>
    <row r="1286" spans="1:4">
      <c r="A1286" s="691"/>
      <c r="D1286" s="3"/>
    </row>
    <row r="1287" spans="1:4">
      <c r="A1287" s="691"/>
      <c r="D1287" s="3"/>
    </row>
    <row r="1288" spans="1:4">
      <c r="A1288" s="691"/>
      <c r="D1288" s="3"/>
    </row>
    <row r="1289" spans="1:4">
      <c r="A1289" s="691"/>
      <c r="D1289" s="3"/>
    </row>
    <row r="1290" spans="1:4">
      <c r="A1290" s="691"/>
      <c r="D1290" s="3"/>
    </row>
    <row r="1291" spans="1:4">
      <c r="A1291" s="691"/>
      <c r="D1291" s="3"/>
    </row>
    <row r="1292" spans="1:4">
      <c r="A1292" s="691"/>
      <c r="D1292" s="3"/>
    </row>
    <row r="1293" spans="1:4">
      <c r="A1293" s="691"/>
      <c r="D1293" s="3"/>
    </row>
    <row r="1294" spans="1:4">
      <c r="A1294" s="691"/>
      <c r="D1294" s="3"/>
    </row>
    <row r="1295" spans="1:4">
      <c r="A1295" s="691"/>
      <c r="D1295" s="3"/>
    </row>
    <row r="1296" spans="1:4">
      <c r="A1296" s="691"/>
      <c r="D1296" s="3"/>
    </row>
    <row r="1297" spans="1:4">
      <c r="A1297" s="691"/>
      <c r="D1297" s="3"/>
    </row>
    <row r="1298" spans="1:4">
      <c r="A1298" s="691"/>
      <c r="D1298" s="3"/>
    </row>
    <row r="1299" spans="1:4">
      <c r="A1299" s="691"/>
      <c r="D1299" s="3"/>
    </row>
    <row r="1300" spans="1:4">
      <c r="A1300" s="691"/>
      <c r="D1300" s="3"/>
    </row>
    <row r="1301" spans="1:4">
      <c r="A1301" s="691"/>
      <c r="D1301" s="3"/>
    </row>
    <row r="1302" spans="1:4">
      <c r="A1302" s="691"/>
      <c r="D1302" s="3"/>
    </row>
    <row r="1303" spans="1:4">
      <c r="A1303" s="691"/>
      <c r="D1303" s="3"/>
    </row>
    <row r="1304" spans="1:4">
      <c r="A1304" s="691"/>
      <c r="D1304" s="3"/>
    </row>
    <row r="1305" spans="1:4">
      <c r="A1305" s="691"/>
      <c r="D1305" s="3"/>
    </row>
    <row r="1306" spans="1:4">
      <c r="A1306" s="691"/>
      <c r="D1306" s="3"/>
    </row>
    <row r="1307" spans="1:4">
      <c r="A1307" s="691"/>
      <c r="D1307" s="3"/>
    </row>
    <row r="1308" spans="1:4">
      <c r="A1308" s="691"/>
      <c r="D1308" s="3"/>
    </row>
    <row r="1309" spans="1:4">
      <c r="A1309" s="691"/>
      <c r="D1309" s="3"/>
    </row>
    <row r="1310" spans="1:4">
      <c r="A1310" s="691"/>
      <c r="D1310" s="3"/>
    </row>
    <row r="1311" spans="1:4">
      <c r="A1311" s="691"/>
      <c r="D1311" s="3"/>
    </row>
    <row r="1312" spans="1:4">
      <c r="A1312" s="691"/>
      <c r="D1312" s="3"/>
    </row>
    <row r="1313" spans="1:4">
      <c r="A1313" s="691"/>
      <c r="D1313" s="3"/>
    </row>
    <row r="1314" spans="1:4">
      <c r="A1314" s="691"/>
      <c r="D1314" s="3"/>
    </row>
    <row r="1315" spans="1:4">
      <c r="A1315" s="691"/>
      <c r="D1315" s="3"/>
    </row>
    <row r="1316" spans="1:4">
      <c r="A1316" s="691"/>
      <c r="D1316" s="3"/>
    </row>
    <row r="1317" spans="1:4">
      <c r="A1317" s="691"/>
      <c r="D1317" s="3"/>
    </row>
    <row r="1318" spans="1:4">
      <c r="A1318" s="691"/>
      <c r="D1318" s="3"/>
    </row>
    <row r="1319" spans="1:4">
      <c r="A1319" s="691"/>
      <c r="D1319" s="3"/>
    </row>
    <row r="1320" spans="1:4">
      <c r="A1320" s="691"/>
      <c r="D1320" s="3"/>
    </row>
    <row r="1321" spans="1:4">
      <c r="A1321" s="691"/>
      <c r="D1321" s="3"/>
    </row>
    <row r="1322" spans="1:4">
      <c r="A1322" s="691"/>
      <c r="D1322" s="3"/>
    </row>
    <row r="1323" spans="1:4">
      <c r="A1323" s="691"/>
      <c r="D1323" s="3"/>
    </row>
    <row r="1324" spans="1:4">
      <c r="A1324" s="691"/>
      <c r="D1324" s="3"/>
    </row>
    <row r="1325" spans="1:4">
      <c r="A1325" s="691"/>
      <c r="D1325" s="3"/>
    </row>
    <row r="1326" spans="1:4">
      <c r="A1326" s="691"/>
      <c r="D1326" s="3"/>
    </row>
    <row r="1327" spans="1:4">
      <c r="A1327" s="691"/>
      <c r="D1327" s="3"/>
    </row>
    <row r="1328" spans="1:4">
      <c r="A1328" s="691"/>
      <c r="D1328" s="3"/>
    </row>
    <row r="1329" spans="1:4">
      <c r="A1329" s="691"/>
      <c r="D1329" s="3"/>
    </row>
    <row r="1330" spans="1:4">
      <c r="A1330" s="691"/>
      <c r="D1330" s="3"/>
    </row>
    <row r="1331" spans="1:4">
      <c r="A1331" s="691"/>
      <c r="D1331" s="3"/>
    </row>
    <row r="1332" spans="1:4">
      <c r="A1332" s="691"/>
      <c r="D1332" s="3"/>
    </row>
    <row r="1333" spans="1:4">
      <c r="A1333" s="691"/>
      <c r="D1333" s="3"/>
    </row>
    <row r="1334" spans="1:4">
      <c r="A1334" s="691"/>
      <c r="D1334" s="3"/>
    </row>
    <row r="1335" spans="1:4">
      <c r="A1335" s="691"/>
      <c r="D1335" s="3"/>
    </row>
    <row r="1336" spans="1:4">
      <c r="A1336" s="691"/>
      <c r="D1336" s="3"/>
    </row>
    <row r="1337" spans="1:4">
      <c r="A1337" s="691"/>
      <c r="D1337" s="3"/>
    </row>
    <row r="1338" spans="1:4">
      <c r="A1338" s="691"/>
      <c r="D1338" s="3"/>
    </row>
    <row r="1339" spans="1:4">
      <c r="A1339" s="691"/>
      <c r="D1339" s="3"/>
    </row>
    <row r="1340" spans="1:4">
      <c r="A1340" s="691"/>
      <c r="D1340" s="3"/>
    </row>
    <row r="1341" spans="1:4">
      <c r="A1341" s="691"/>
      <c r="D1341" s="3"/>
    </row>
    <row r="1342" spans="1:4">
      <c r="A1342" s="691"/>
      <c r="D1342" s="3"/>
    </row>
    <row r="1343" spans="1:4">
      <c r="A1343" s="691"/>
      <c r="D1343" s="3"/>
    </row>
    <row r="1344" spans="1:4">
      <c r="A1344" s="691"/>
      <c r="D1344" s="3"/>
    </row>
    <row r="1345" spans="1:4">
      <c r="A1345" s="691"/>
      <c r="D1345" s="3"/>
    </row>
    <row r="1346" spans="1:4">
      <c r="A1346" s="691"/>
      <c r="D1346" s="3"/>
    </row>
    <row r="1347" spans="1:4">
      <c r="A1347" s="691"/>
      <c r="D1347" s="3"/>
    </row>
    <row r="1348" spans="1:4">
      <c r="A1348" s="691"/>
      <c r="D1348" s="3"/>
    </row>
    <row r="1349" spans="1:4">
      <c r="A1349" s="691"/>
      <c r="D1349" s="3"/>
    </row>
    <row r="1350" spans="1:4">
      <c r="A1350" s="691"/>
      <c r="D1350" s="3"/>
    </row>
    <row r="1351" spans="1:4">
      <c r="A1351" s="691"/>
      <c r="D1351" s="3"/>
    </row>
    <row r="1352" spans="1:4">
      <c r="A1352" s="691"/>
      <c r="D1352" s="3"/>
    </row>
    <row r="1353" spans="1:4">
      <c r="A1353" s="691"/>
      <c r="D1353" s="3"/>
    </row>
    <row r="1354" spans="1:4">
      <c r="A1354" s="691"/>
      <c r="D1354" s="3"/>
    </row>
    <row r="1355" spans="1:4">
      <c r="A1355" s="691"/>
      <c r="D1355" s="3"/>
    </row>
    <row r="1356" spans="1:4">
      <c r="A1356" s="691"/>
      <c r="D1356" s="3"/>
    </row>
    <row r="1357" spans="1:4">
      <c r="A1357" s="691"/>
      <c r="D1357" s="3"/>
    </row>
    <row r="1358" spans="1:4">
      <c r="A1358" s="691"/>
      <c r="D1358" s="3"/>
    </row>
    <row r="1359" spans="1:4">
      <c r="A1359" s="691"/>
      <c r="D1359" s="3"/>
    </row>
    <row r="1360" spans="1:4">
      <c r="A1360" s="691"/>
      <c r="D1360" s="3"/>
    </row>
    <row r="1361" spans="1:4">
      <c r="A1361" s="691"/>
      <c r="D1361" s="3"/>
    </row>
    <row r="1362" spans="1:4">
      <c r="A1362" s="691"/>
      <c r="D1362" s="3"/>
    </row>
    <row r="1363" spans="1:4">
      <c r="A1363" s="691"/>
      <c r="D1363" s="3"/>
    </row>
    <row r="1364" spans="1:4">
      <c r="A1364" s="691"/>
      <c r="D1364" s="3"/>
    </row>
    <row r="1365" spans="1:4">
      <c r="A1365" s="691"/>
      <c r="D1365" s="3"/>
    </row>
    <row r="1366" spans="1:4">
      <c r="A1366" s="691"/>
      <c r="D1366" s="3"/>
    </row>
    <row r="1367" spans="1:4">
      <c r="A1367" s="691"/>
      <c r="D1367" s="3"/>
    </row>
    <row r="1368" spans="1:4">
      <c r="A1368" s="691"/>
      <c r="D1368" s="3"/>
    </row>
    <row r="1369" spans="1:4">
      <c r="A1369" s="691"/>
      <c r="D1369" s="3"/>
    </row>
    <row r="1370" spans="1:4">
      <c r="A1370" s="691"/>
      <c r="D1370" s="3"/>
    </row>
    <row r="1371" spans="1:4">
      <c r="A1371" s="691"/>
      <c r="D1371" s="3"/>
    </row>
    <row r="1372" spans="1:4">
      <c r="A1372" s="691"/>
      <c r="D1372" s="3"/>
    </row>
    <row r="1373" spans="1:4">
      <c r="A1373" s="691"/>
      <c r="D1373" s="3"/>
    </row>
    <row r="1374" spans="1:4">
      <c r="A1374" s="691"/>
      <c r="D1374" s="3"/>
    </row>
    <row r="1375" spans="1:4">
      <c r="A1375" s="691"/>
      <c r="D1375" s="3"/>
    </row>
    <row r="1376" spans="1:4">
      <c r="A1376" s="691"/>
      <c r="D1376" s="3"/>
    </row>
    <row r="1377" spans="1:4">
      <c r="A1377" s="691"/>
      <c r="D1377" s="3"/>
    </row>
    <row r="1378" spans="1:4">
      <c r="A1378" s="691"/>
      <c r="D1378" s="3"/>
    </row>
    <row r="1379" spans="1:4">
      <c r="A1379" s="691"/>
      <c r="D1379" s="3"/>
    </row>
    <row r="1380" spans="1:4">
      <c r="A1380" s="691"/>
      <c r="D1380" s="3"/>
    </row>
    <row r="1381" spans="1:4">
      <c r="A1381" s="691"/>
      <c r="D1381" s="3"/>
    </row>
    <row r="1382" spans="1:4">
      <c r="A1382" s="691"/>
      <c r="D1382" s="3"/>
    </row>
    <row r="1383" spans="1:4">
      <c r="A1383" s="691"/>
      <c r="D1383" s="3"/>
    </row>
    <row r="1384" spans="1:4">
      <c r="A1384" s="691"/>
      <c r="D1384" s="3"/>
    </row>
    <row r="1385" spans="1:4">
      <c r="A1385" s="691"/>
      <c r="D1385" s="3"/>
    </row>
    <row r="1386" spans="1:4">
      <c r="A1386" s="691"/>
      <c r="D1386" s="3"/>
    </row>
    <row r="1387" spans="1:4">
      <c r="A1387" s="691"/>
      <c r="D1387" s="3"/>
    </row>
    <row r="1388" spans="1:4">
      <c r="A1388" s="691"/>
      <c r="D1388" s="3"/>
    </row>
    <row r="1389" spans="1:4">
      <c r="A1389" s="691"/>
      <c r="D1389" s="3"/>
    </row>
    <row r="1390" spans="1:4">
      <c r="A1390" s="691"/>
      <c r="D1390" s="3"/>
    </row>
    <row r="1391" spans="1:4">
      <c r="A1391" s="691"/>
      <c r="D1391" s="3"/>
    </row>
    <row r="1392" spans="1:4">
      <c r="A1392" s="691"/>
      <c r="D1392" s="3"/>
    </row>
    <row r="1393" spans="1:4">
      <c r="A1393" s="691"/>
      <c r="D1393" s="3"/>
    </row>
    <row r="1394" spans="1:4">
      <c r="A1394" s="691"/>
      <c r="D1394" s="3"/>
    </row>
    <row r="1395" spans="1:4">
      <c r="A1395" s="691"/>
      <c r="D1395" s="3"/>
    </row>
    <row r="1396" spans="1:4">
      <c r="A1396" s="691"/>
      <c r="D1396" s="3"/>
    </row>
    <row r="1397" spans="1:4">
      <c r="A1397" s="691"/>
      <c r="D1397" s="3"/>
    </row>
    <row r="1398" spans="1:4">
      <c r="A1398" s="691"/>
      <c r="D1398" s="3"/>
    </row>
    <row r="1399" spans="1:4">
      <c r="A1399" s="691"/>
      <c r="D1399" s="3"/>
    </row>
    <row r="1400" spans="1:4">
      <c r="A1400" s="691"/>
      <c r="D1400" s="3"/>
    </row>
    <row r="1401" spans="1:4">
      <c r="A1401" s="691"/>
      <c r="D1401" s="3"/>
    </row>
    <row r="1402" spans="1:4">
      <c r="A1402" s="691"/>
      <c r="D1402" s="3"/>
    </row>
    <row r="1403" spans="1:4">
      <c r="A1403" s="691"/>
      <c r="D1403" s="3"/>
    </row>
    <row r="1404" spans="1:4">
      <c r="A1404" s="691"/>
      <c r="D1404" s="3"/>
    </row>
    <row r="1405" spans="1:4">
      <c r="A1405" s="691"/>
      <c r="D1405" s="3"/>
    </row>
    <row r="1406" spans="1:4">
      <c r="A1406" s="691"/>
      <c r="D1406" s="3"/>
    </row>
    <row r="1407" spans="1:4">
      <c r="A1407" s="691"/>
      <c r="D1407" s="3"/>
    </row>
    <row r="1408" spans="1:4">
      <c r="A1408" s="691"/>
      <c r="D1408" s="3"/>
    </row>
    <row r="1409" spans="1:4">
      <c r="A1409" s="691"/>
      <c r="D1409" s="3"/>
    </row>
    <row r="1410" spans="1:4">
      <c r="A1410" s="691"/>
      <c r="D1410" s="3"/>
    </row>
    <row r="1411" spans="1:4">
      <c r="A1411" s="691"/>
      <c r="D1411" s="3"/>
    </row>
    <row r="1412" spans="1:4">
      <c r="A1412" s="691"/>
      <c r="D1412" s="3"/>
    </row>
    <row r="1413" spans="1:4">
      <c r="A1413" s="691"/>
      <c r="D1413" s="3"/>
    </row>
    <row r="1414" spans="1:4">
      <c r="A1414" s="691"/>
      <c r="D1414" s="3"/>
    </row>
    <row r="1415" spans="1:4">
      <c r="A1415" s="691"/>
      <c r="D1415" s="3"/>
    </row>
    <row r="1416" spans="1:4">
      <c r="A1416" s="691"/>
      <c r="D1416" s="3"/>
    </row>
    <row r="1417" spans="1:4">
      <c r="A1417" s="691"/>
      <c r="D1417" s="3"/>
    </row>
    <row r="1418" spans="1:4">
      <c r="A1418" s="691"/>
      <c r="D1418" s="3"/>
    </row>
    <row r="1419" spans="1:4">
      <c r="A1419" s="691"/>
      <c r="D1419" s="3"/>
    </row>
    <row r="1420" spans="1:4">
      <c r="A1420" s="691"/>
      <c r="D1420" s="3"/>
    </row>
    <row r="1421" spans="1:4">
      <c r="A1421" s="691"/>
      <c r="D1421" s="3"/>
    </row>
    <row r="1422" spans="1:4">
      <c r="A1422" s="691"/>
      <c r="D1422" s="3"/>
    </row>
    <row r="1423" spans="1:4">
      <c r="A1423" s="691"/>
      <c r="D1423" s="3"/>
    </row>
    <row r="1424" spans="1:4">
      <c r="A1424" s="691"/>
      <c r="D1424" s="3"/>
    </row>
    <row r="1425" spans="1:4">
      <c r="A1425" s="691"/>
      <c r="D1425" s="3"/>
    </row>
    <row r="1426" spans="1:4">
      <c r="A1426" s="691"/>
      <c r="D1426" s="3"/>
    </row>
    <row r="1427" spans="1:4">
      <c r="A1427" s="691"/>
      <c r="D1427" s="3"/>
    </row>
    <row r="1428" spans="1:4">
      <c r="A1428" s="691"/>
      <c r="D1428" s="3"/>
    </row>
    <row r="1429" spans="1:4">
      <c r="A1429" s="691"/>
      <c r="D1429" s="3"/>
    </row>
    <row r="1430" spans="1:4">
      <c r="A1430" s="691"/>
      <c r="D1430" s="3"/>
    </row>
    <row r="1431" spans="1:4">
      <c r="A1431" s="691"/>
      <c r="D1431" s="3"/>
    </row>
    <row r="1432" spans="1:4">
      <c r="A1432" s="691"/>
      <c r="D1432" s="3"/>
    </row>
    <row r="1433" spans="1:4">
      <c r="A1433" s="691"/>
      <c r="D1433" s="3"/>
    </row>
    <row r="1434" spans="1:4">
      <c r="A1434" s="691"/>
      <c r="D1434" s="3"/>
    </row>
    <row r="1435" spans="1:4">
      <c r="A1435" s="691"/>
      <c r="D1435" s="3"/>
    </row>
    <row r="1436" spans="1:4">
      <c r="A1436" s="691"/>
      <c r="D1436" s="3"/>
    </row>
    <row r="1437" spans="1:4">
      <c r="A1437" s="691"/>
      <c r="D1437" s="3"/>
    </row>
    <row r="1438" spans="1:4">
      <c r="A1438" s="691"/>
      <c r="D1438" s="3"/>
    </row>
    <row r="1439" spans="1:4">
      <c r="A1439" s="691"/>
      <c r="D1439" s="3"/>
    </row>
    <row r="1440" spans="1:4">
      <c r="A1440" s="691"/>
      <c r="D1440" s="3"/>
    </row>
    <row r="1441" spans="1:4">
      <c r="A1441" s="691"/>
      <c r="D1441" s="3"/>
    </row>
    <row r="1442" spans="1:4">
      <c r="A1442" s="691"/>
      <c r="D1442" s="3"/>
    </row>
    <row r="1443" spans="1:4">
      <c r="A1443" s="691"/>
      <c r="D1443" s="3"/>
    </row>
    <row r="1444" spans="1:4">
      <c r="A1444" s="691"/>
      <c r="D1444" s="3"/>
    </row>
    <row r="1445" spans="1:4">
      <c r="A1445" s="691"/>
      <c r="D1445" s="3"/>
    </row>
    <row r="1446" spans="1:4">
      <c r="A1446" s="691"/>
      <c r="D1446" s="3"/>
    </row>
    <row r="1447" spans="1:4">
      <c r="A1447" s="691"/>
      <c r="D1447" s="3"/>
    </row>
    <row r="1448" spans="1:4">
      <c r="A1448" s="691"/>
      <c r="D1448" s="3"/>
    </row>
    <row r="1449" spans="1:4">
      <c r="A1449" s="691"/>
      <c r="D1449" s="3"/>
    </row>
    <row r="1450" spans="1:4">
      <c r="A1450" s="691"/>
      <c r="D1450" s="3"/>
    </row>
    <row r="1451" spans="1:4">
      <c r="A1451" s="691"/>
      <c r="D1451" s="3"/>
    </row>
    <row r="1452" spans="1:4">
      <c r="A1452" s="691"/>
      <c r="D1452" s="3"/>
    </row>
    <row r="1453" spans="1:4">
      <c r="A1453" s="691"/>
      <c r="D1453" s="3"/>
    </row>
    <row r="1454" spans="1:4">
      <c r="A1454" s="691"/>
      <c r="D1454" s="3"/>
    </row>
    <row r="1455" spans="1:4">
      <c r="A1455" s="691"/>
      <c r="D1455" s="3"/>
    </row>
    <row r="1456" spans="1:4">
      <c r="A1456" s="691"/>
      <c r="D1456" s="3"/>
    </row>
    <row r="1457" spans="1:4">
      <c r="A1457" s="691"/>
      <c r="D1457" s="3"/>
    </row>
    <row r="1458" spans="1:4">
      <c r="A1458" s="691"/>
      <c r="D1458" s="3"/>
    </row>
    <row r="1459" spans="1:4">
      <c r="A1459" s="691"/>
      <c r="D1459" s="3"/>
    </row>
    <row r="1460" spans="1:4">
      <c r="A1460" s="691"/>
      <c r="D1460" s="3"/>
    </row>
    <row r="1461" spans="1:4">
      <c r="A1461" s="691"/>
      <c r="D1461" s="3"/>
    </row>
    <row r="1462" spans="1:4">
      <c r="A1462" s="691"/>
      <c r="D1462" s="3"/>
    </row>
    <row r="1463" spans="1:4">
      <c r="A1463" s="691"/>
      <c r="D1463" s="3"/>
    </row>
    <row r="1464" spans="1:4">
      <c r="A1464" s="691"/>
      <c r="D1464" s="3"/>
    </row>
    <row r="1465" spans="1:4">
      <c r="A1465" s="691"/>
      <c r="D1465" s="3"/>
    </row>
    <row r="1466" spans="1:4">
      <c r="A1466" s="691"/>
      <c r="D1466" s="3"/>
    </row>
    <row r="1467" spans="1:4">
      <c r="A1467" s="691"/>
      <c r="D1467" s="3"/>
    </row>
    <row r="1468" spans="1:4">
      <c r="A1468" s="691"/>
      <c r="D1468" s="3"/>
    </row>
    <row r="1469" spans="1:4">
      <c r="A1469" s="691"/>
      <c r="D1469" s="3"/>
    </row>
    <row r="1470" spans="1:4">
      <c r="A1470" s="691"/>
      <c r="D1470" s="3"/>
    </row>
    <row r="1471" spans="1:4">
      <c r="A1471" s="691"/>
      <c r="D1471" s="3"/>
    </row>
    <row r="1472" spans="1:4">
      <c r="A1472" s="691"/>
      <c r="D1472" s="3"/>
    </row>
    <row r="1473" spans="1:4">
      <c r="A1473" s="691"/>
      <c r="D1473" s="3"/>
    </row>
    <row r="1474" spans="1:4">
      <c r="A1474" s="691"/>
      <c r="D1474" s="3"/>
    </row>
    <row r="1475" spans="1:4">
      <c r="A1475" s="691"/>
      <c r="D1475" s="3"/>
    </row>
    <row r="1476" spans="1:4">
      <c r="A1476" s="691"/>
      <c r="D1476" s="3"/>
    </row>
    <row r="1477" spans="1:4">
      <c r="A1477" s="691"/>
      <c r="D1477" s="3"/>
    </row>
    <row r="1478" spans="1:4">
      <c r="A1478" s="691"/>
      <c r="D1478" s="3"/>
    </row>
    <row r="1479" spans="1:4">
      <c r="A1479" s="691"/>
      <c r="D1479" s="3"/>
    </row>
    <row r="1480" spans="1:4">
      <c r="A1480" s="691"/>
      <c r="D1480" s="3"/>
    </row>
    <row r="1481" spans="1:4">
      <c r="A1481" s="691"/>
      <c r="D1481" s="3"/>
    </row>
    <row r="1482" spans="1:4">
      <c r="A1482" s="691"/>
      <c r="D1482" s="3"/>
    </row>
    <row r="1483" spans="1:4">
      <c r="A1483" s="691"/>
      <c r="D1483" s="3"/>
    </row>
    <row r="1484" spans="1:4">
      <c r="A1484" s="691"/>
      <c r="D1484" s="3"/>
    </row>
    <row r="1485" spans="1:4">
      <c r="A1485" s="691"/>
      <c r="D1485" s="3"/>
    </row>
    <row r="1486" spans="1:4">
      <c r="A1486" s="691"/>
      <c r="D1486" s="3"/>
    </row>
    <row r="1487" spans="1:4">
      <c r="A1487" s="691"/>
      <c r="D1487" s="3"/>
    </row>
    <row r="1488" spans="1:4">
      <c r="A1488" s="691"/>
      <c r="D1488" s="3"/>
    </row>
    <row r="1489" spans="1:4">
      <c r="A1489" s="691"/>
      <c r="D1489" s="3"/>
    </row>
    <row r="1490" spans="1:4">
      <c r="A1490" s="691"/>
      <c r="D1490" s="3"/>
    </row>
    <row r="1491" spans="1:4">
      <c r="A1491" s="691"/>
      <c r="D1491" s="3"/>
    </row>
    <row r="1492" spans="1:4">
      <c r="A1492" s="691"/>
      <c r="D1492" s="3"/>
    </row>
    <row r="1493" spans="1:4">
      <c r="A1493" s="691"/>
      <c r="D1493" s="3"/>
    </row>
    <row r="1494" spans="1:4">
      <c r="A1494" s="691"/>
      <c r="D1494" s="3"/>
    </row>
    <row r="1495" spans="1:4">
      <c r="A1495" s="691"/>
      <c r="D1495" s="3"/>
    </row>
    <row r="1496" spans="1:4">
      <c r="A1496" s="691"/>
      <c r="D1496" s="3"/>
    </row>
    <row r="1497" spans="1:4">
      <c r="A1497" s="691"/>
      <c r="D1497" s="3"/>
    </row>
    <row r="1498" spans="1:4">
      <c r="A1498" s="691"/>
      <c r="D1498" s="3"/>
    </row>
    <row r="1499" spans="1:4">
      <c r="A1499" s="691"/>
      <c r="D1499" s="3"/>
    </row>
    <row r="1500" spans="1:4">
      <c r="A1500" s="691"/>
      <c r="D1500" s="3"/>
    </row>
    <row r="1501" spans="1:4">
      <c r="A1501" s="691"/>
      <c r="D1501" s="3"/>
    </row>
    <row r="1502" spans="1:4">
      <c r="A1502" s="691"/>
      <c r="D1502" s="3"/>
    </row>
    <row r="1503" spans="1:4">
      <c r="A1503" s="691"/>
      <c r="D1503" s="3"/>
    </row>
    <row r="1504" spans="1:4">
      <c r="A1504" s="691"/>
      <c r="D1504" s="3"/>
    </row>
    <row r="1505" spans="1:4">
      <c r="A1505" s="691"/>
      <c r="D1505" s="3"/>
    </row>
    <row r="1506" spans="1:4">
      <c r="A1506" s="691"/>
      <c r="D1506" s="3"/>
    </row>
    <row r="1507" spans="1:4">
      <c r="A1507" s="691"/>
      <c r="D1507" s="3"/>
    </row>
    <row r="1508" spans="1:4">
      <c r="A1508" s="691"/>
      <c r="D1508" s="3"/>
    </row>
    <row r="1509" spans="1:4">
      <c r="A1509" s="691"/>
      <c r="D1509" s="3"/>
    </row>
    <row r="1510" spans="1:4">
      <c r="A1510" s="691"/>
      <c r="D1510" s="3"/>
    </row>
    <row r="1511" spans="1:4">
      <c r="A1511" s="691"/>
      <c r="D1511" s="3"/>
    </row>
    <row r="1512" spans="1:4">
      <c r="A1512" s="691"/>
      <c r="D1512" s="3"/>
    </row>
    <row r="1513" spans="1:4">
      <c r="A1513" s="691"/>
      <c r="D1513" s="3"/>
    </row>
    <row r="1514" spans="1:4">
      <c r="A1514" s="691"/>
      <c r="D1514" s="3"/>
    </row>
    <row r="1515" spans="1:4">
      <c r="A1515" s="691"/>
      <c r="D1515" s="3"/>
    </row>
    <row r="1516" spans="1:4">
      <c r="A1516" s="691"/>
      <c r="D1516" s="3"/>
    </row>
    <row r="1517" spans="1:4">
      <c r="A1517" s="691"/>
      <c r="D1517" s="3"/>
    </row>
    <row r="1518" spans="1:4">
      <c r="A1518" s="691"/>
      <c r="D1518" s="3"/>
    </row>
    <row r="1519" spans="1:4">
      <c r="A1519" s="691"/>
      <c r="D1519" s="3"/>
    </row>
    <row r="1520" spans="1:4">
      <c r="A1520" s="691"/>
      <c r="D1520" s="3"/>
    </row>
    <row r="1521" spans="1:4">
      <c r="A1521" s="691"/>
      <c r="D1521" s="3"/>
    </row>
    <row r="1522" spans="1:4">
      <c r="A1522" s="691"/>
      <c r="D1522" s="3"/>
    </row>
    <row r="1523" spans="1:4">
      <c r="A1523" s="691"/>
      <c r="D1523" s="3"/>
    </row>
    <row r="1524" spans="1:4">
      <c r="A1524" s="691"/>
      <c r="D1524" s="3"/>
    </row>
    <row r="1525" spans="1:4">
      <c r="A1525" s="691"/>
      <c r="D1525" s="3"/>
    </row>
    <row r="1526" spans="1:4">
      <c r="A1526" s="691"/>
      <c r="D1526" s="3"/>
    </row>
    <row r="1527" spans="1:4">
      <c r="A1527" s="691"/>
      <c r="D1527" s="3"/>
    </row>
    <row r="1528" spans="1:4">
      <c r="A1528" s="691"/>
      <c r="D1528" s="3"/>
    </row>
    <row r="1529" spans="1:4">
      <c r="A1529" s="691"/>
      <c r="D1529" s="3"/>
    </row>
    <row r="1530" spans="1:4">
      <c r="A1530" s="691"/>
      <c r="D1530" s="3"/>
    </row>
    <row r="1531" spans="1:4">
      <c r="A1531" s="691"/>
      <c r="D1531" s="3"/>
    </row>
    <row r="1532" spans="1:4">
      <c r="A1532" s="691"/>
      <c r="D1532" s="3"/>
    </row>
    <row r="1533" spans="1:4">
      <c r="A1533" s="691"/>
      <c r="D1533" s="3"/>
    </row>
    <row r="1534" spans="1:4">
      <c r="A1534" s="691"/>
      <c r="D1534" s="3"/>
    </row>
    <row r="1535" spans="1:4">
      <c r="A1535" s="691"/>
      <c r="D1535" s="3"/>
    </row>
    <row r="1536" spans="1:4">
      <c r="A1536" s="691"/>
      <c r="D1536" s="3"/>
    </row>
    <row r="1537" spans="1:4">
      <c r="A1537" s="691"/>
      <c r="D1537" s="3"/>
    </row>
    <row r="1538" spans="1:4">
      <c r="A1538" s="691"/>
      <c r="D1538" s="3"/>
    </row>
    <row r="1539" spans="1:4">
      <c r="A1539" s="691"/>
      <c r="D1539" s="3"/>
    </row>
    <row r="1540" spans="1:4">
      <c r="A1540" s="691"/>
      <c r="D1540" s="3"/>
    </row>
    <row r="1541" spans="1:4">
      <c r="A1541" s="691"/>
      <c r="D1541" s="3"/>
    </row>
    <row r="1542" spans="1:4">
      <c r="A1542" s="691"/>
      <c r="D1542" s="3"/>
    </row>
    <row r="1543" spans="1:4">
      <c r="A1543" s="691"/>
      <c r="D1543" s="3"/>
    </row>
    <row r="1544" spans="1:4">
      <c r="A1544" s="691"/>
      <c r="D1544" s="3"/>
    </row>
    <row r="1545" spans="1:4">
      <c r="A1545" s="691"/>
      <c r="D1545" s="3"/>
    </row>
    <row r="1546" spans="1:4">
      <c r="A1546" s="691"/>
      <c r="D1546" s="3"/>
    </row>
    <row r="1547" spans="1:4">
      <c r="A1547" s="691"/>
      <c r="D1547" s="3"/>
    </row>
    <row r="1548" spans="1:4">
      <c r="A1548" s="691"/>
      <c r="D1548" s="3"/>
    </row>
    <row r="1549" spans="1:4">
      <c r="A1549" s="691"/>
      <c r="D1549" s="3"/>
    </row>
    <row r="1550" spans="1:4">
      <c r="A1550" s="691"/>
      <c r="D1550" s="3"/>
    </row>
    <row r="1551" spans="1:4">
      <c r="A1551" s="691"/>
      <c r="D1551" s="3"/>
    </row>
    <row r="1552" spans="1:4">
      <c r="A1552" s="691"/>
      <c r="D1552" s="3"/>
    </row>
    <row r="1553" spans="1:4">
      <c r="A1553" s="691"/>
      <c r="D1553" s="3"/>
    </row>
    <row r="1554" spans="1:4">
      <c r="A1554" s="691"/>
      <c r="D1554" s="3"/>
    </row>
    <row r="1555" spans="1:4">
      <c r="A1555" s="691"/>
      <c r="D1555" s="3"/>
    </row>
    <row r="1556" spans="1:4">
      <c r="A1556" s="691"/>
      <c r="D1556" s="3"/>
    </row>
    <row r="1557" spans="1:4">
      <c r="A1557" s="691"/>
      <c r="D1557" s="3"/>
    </row>
    <row r="1558" spans="1:4">
      <c r="A1558" s="691"/>
      <c r="D1558" s="3"/>
    </row>
    <row r="1559" spans="1:4">
      <c r="A1559" s="691"/>
      <c r="D1559" s="3"/>
    </row>
    <row r="1560" spans="1:4">
      <c r="A1560" s="691"/>
      <c r="D1560" s="3"/>
    </row>
    <row r="1561" spans="1:4">
      <c r="A1561" s="691"/>
      <c r="D1561" s="3"/>
    </row>
    <row r="1562" spans="1:4">
      <c r="A1562" s="691"/>
      <c r="D1562" s="3"/>
    </row>
    <row r="1563" spans="1:4">
      <c r="A1563" s="691"/>
      <c r="D1563" s="3"/>
    </row>
    <row r="1564" spans="1:4">
      <c r="A1564" s="691"/>
      <c r="D1564" s="3"/>
    </row>
    <row r="1565" spans="1:4">
      <c r="A1565" s="691"/>
      <c r="D1565" s="3"/>
    </row>
    <row r="1566" spans="1:4">
      <c r="A1566" s="691"/>
      <c r="D1566" s="3"/>
    </row>
    <row r="1567" spans="1:4">
      <c r="A1567" s="691"/>
      <c r="D1567" s="3"/>
    </row>
    <row r="1568" spans="1:4">
      <c r="A1568" s="691"/>
      <c r="D1568" s="3"/>
    </row>
    <row r="1569" spans="1:4">
      <c r="A1569" s="691"/>
      <c r="D1569" s="3"/>
    </row>
    <row r="1570" spans="1:4">
      <c r="A1570" s="691"/>
      <c r="D1570" s="3"/>
    </row>
    <row r="1571" spans="1:4">
      <c r="A1571" s="691"/>
      <c r="D1571" s="3"/>
    </row>
    <row r="1572" spans="1:4">
      <c r="A1572" s="691"/>
      <c r="D1572" s="3"/>
    </row>
    <row r="1573" spans="1:4">
      <c r="A1573" s="691"/>
      <c r="D1573" s="3"/>
    </row>
    <row r="1574" spans="1:4">
      <c r="A1574" s="691"/>
      <c r="D1574" s="3"/>
    </row>
    <row r="1575" spans="1:4">
      <c r="A1575" s="691"/>
      <c r="D1575" s="3"/>
    </row>
    <row r="1576" spans="1:4">
      <c r="A1576" s="691"/>
      <c r="D1576" s="3"/>
    </row>
    <row r="1577" spans="1:4">
      <c r="A1577" s="691"/>
      <c r="D1577" s="3"/>
    </row>
    <row r="1578" spans="1:4">
      <c r="A1578" s="691"/>
      <c r="D1578" s="3"/>
    </row>
    <row r="1579" spans="1:4">
      <c r="A1579" s="691"/>
      <c r="D1579" s="3"/>
    </row>
    <row r="1580" spans="1:4">
      <c r="A1580" s="691"/>
      <c r="D1580" s="3"/>
    </row>
    <row r="1581" spans="1:4">
      <c r="A1581" s="691"/>
      <c r="D1581" s="3"/>
    </row>
    <row r="1582" spans="1:4">
      <c r="A1582" s="691"/>
      <c r="D1582" s="3"/>
    </row>
    <row r="1583" spans="1:4">
      <c r="A1583" s="691"/>
      <c r="D1583" s="3"/>
    </row>
    <row r="1584" spans="1:4">
      <c r="A1584" s="691"/>
      <c r="D1584" s="3"/>
    </row>
    <row r="1585" spans="1:4">
      <c r="A1585" s="691"/>
      <c r="D1585" s="3"/>
    </row>
    <row r="1586" spans="1:4">
      <c r="A1586" s="691"/>
      <c r="D1586" s="3"/>
    </row>
    <row r="1587" spans="1:4">
      <c r="A1587" s="691"/>
      <c r="D1587" s="3"/>
    </row>
    <row r="1588" spans="1:4">
      <c r="A1588" s="691"/>
      <c r="D1588" s="3"/>
    </row>
    <row r="1589" spans="1:4">
      <c r="A1589" s="691"/>
      <c r="D1589" s="3"/>
    </row>
    <row r="1590" spans="1:4">
      <c r="A1590" s="691"/>
      <c r="D1590" s="3"/>
    </row>
    <row r="1591" spans="1:4">
      <c r="A1591" s="691"/>
      <c r="D1591" s="3"/>
    </row>
    <row r="1592" spans="1:4">
      <c r="A1592" s="691"/>
      <c r="D1592" s="3"/>
    </row>
    <row r="1593" spans="1:4">
      <c r="A1593" s="691"/>
      <c r="D1593" s="3"/>
    </row>
    <row r="1594" spans="1:4">
      <c r="A1594" s="691"/>
      <c r="D1594" s="3"/>
    </row>
    <row r="1595" spans="1:4">
      <c r="A1595" s="691"/>
      <c r="D1595" s="3"/>
    </row>
    <row r="1596" spans="1:4">
      <c r="A1596" s="691"/>
      <c r="D1596" s="3"/>
    </row>
    <row r="1597" spans="1:4">
      <c r="A1597" s="691"/>
      <c r="D1597" s="3"/>
    </row>
    <row r="1598" spans="1:4">
      <c r="A1598" s="691"/>
      <c r="D1598" s="3"/>
    </row>
    <row r="1599" spans="1:4">
      <c r="A1599" s="691"/>
      <c r="D1599" s="3"/>
    </row>
    <row r="1600" spans="1:4">
      <c r="A1600" s="691"/>
      <c r="D1600" s="3"/>
    </row>
    <row r="1601" spans="1:4">
      <c r="A1601" s="691"/>
      <c r="D1601" s="3"/>
    </row>
    <row r="1602" spans="1:4">
      <c r="A1602" s="691"/>
      <c r="D1602" s="3"/>
    </row>
    <row r="1603" spans="1:4">
      <c r="A1603" s="691"/>
      <c r="D1603" s="3"/>
    </row>
    <row r="1604" spans="1:4">
      <c r="A1604" s="691"/>
      <c r="D1604" s="3"/>
    </row>
    <row r="1605" spans="1:4">
      <c r="A1605" s="691"/>
      <c r="D1605" s="3"/>
    </row>
    <row r="1606" spans="1:4">
      <c r="A1606" s="691"/>
      <c r="D1606" s="3"/>
    </row>
    <row r="1607" spans="1:4">
      <c r="A1607" s="691"/>
      <c r="D1607" s="3"/>
    </row>
    <row r="1608" spans="1:4">
      <c r="A1608" s="691"/>
      <c r="D1608" s="3"/>
    </row>
    <row r="1609" spans="1:4">
      <c r="A1609" s="691"/>
      <c r="D1609" s="3"/>
    </row>
    <row r="1610" spans="1:4">
      <c r="A1610" s="691"/>
      <c r="D1610" s="3"/>
    </row>
    <row r="1611" spans="1:4">
      <c r="A1611" s="691"/>
      <c r="D1611" s="3"/>
    </row>
    <row r="1612" spans="1:4">
      <c r="A1612" s="691"/>
      <c r="D1612" s="3"/>
    </row>
    <row r="1613" spans="1:4">
      <c r="A1613" s="691"/>
      <c r="D1613" s="3"/>
    </row>
    <row r="1614" spans="1:4">
      <c r="A1614" s="691"/>
      <c r="D1614" s="3"/>
    </row>
    <row r="1615" spans="1:4">
      <c r="A1615" s="691"/>
      <c r="D1615" s="3"/>
    </row>
    <row r="1616" spans="1:4">
      <c r="A1616" s="691"/>
      <c r="D1616" s="3"/>
    </row>
    <row r="1617" spans="1:4">
      <c r="A1617" s="691"/>
      <c r="D1617" s="3"/>
    </row>
    <row r="1618" spans="1:4">
      <c r="A1618" s="691"/>
      <c r="D1618" s="3"/>
    </row>
    <row r="1619" spans="1:4">
      <c r="A1619" s="691"/>
      <c r="D1619" s="3"/>
    </row>
    <row r="1620" spans="1:4">
      <c r="A1620" s="691"/>
      <c r="D1620" s="3"/>
    </row>
    <row r="1621" spans="1:4">
      <c r="A1621" s="691"/>
      <c r="D1621" s="3"/>
    </row>
    <row r="1622" spans="1:4">
      <c r="A1622" s="691"/>
      <c r="D1622" s="3"/>
    </row>
    <row r="1623" spans="1:4">
      <c r="A1623" s="691"/>
      <c r="D1623" s="3"/>
    </row>
    <row r="1624" spans="1:4">
      <c r="A1624" s="691"/>
      <c r="D1624" s="3"/>
    </row>
    <row r="1625" spans="1:4">
      <c r="A1625" s="691"/>
      <c r="D1625" s="3"/>
    </row>
    <row r="1626" spans="1:4">
      <c r="A1626" s="691"/>
      <c r="D1626" s="3"/>
    </row>
    <row r="1627" spans="1:4">
      <c r="A1627" s="691"/>
      <c r="D1627" s="3"/>
    </row>
    <row r="1628" spans="1:4">
      <c r="A1628" s="691"/>
      <c r="D1628" s="3"/>
    </row>
    <row r="1629" spans="1:4">
      <c r="A1629" s="691"/>
      <c r="D1629" s="3"/>
    </row>
    <row r="1630" spans="1:4">
      <c r="A1630" s="691"/>
      <c r="D1630" s="3"/>
    </row>
    <row r="1631" spans="1:4">
      <c r="A1631" s="691"/>
      <c r="D1631" s="3"/>
    </row>
    <row r="1632" spans="1:4">
      <c r="A1632" s="691"/>
      <c r="D1632" s="3"/>
    </row>
    <row r="1633" spans="1:4">
      <c r="A1633" s="691"/>
      <c r="D1633" s="3"/>
    </row>
    <row r="1634" spans="1:4">
      <c r="A1634" s="691"/>
      <c r="D1634" s="3"/>
    </row>
    <row r="1635" spans="1:4">
      <c r="A1635" s="691"/>
      <c r="D1635" s="3"/>
    </row>
    <row r="1636" spans="1:4">
      <c r="A1636" s="691"/>
      <c r="D1636" s="3"/>
    </row>
    <row r="1637" spans="1:4">
      <c r="A1637" s="691"/>
      <c r="D1637" s="3"/>
    </row>
    <row r="1638" spans="1:4">
      <c r="A1638" s="691"/>
      <c r="D1638" s="3"/>
    </row>
    <row r="1639" spans="1:4">
      <c r="A1639" s="691"/>
      <c r="D1639" s="3"/>
    </row>
    <row r="1640" spans="1:4">
      <c r="A1640" s="691"/>
      <c r="D1640" s="3"/>
    </row>
    <row r="1641" spans="1:4">
      <c r="A1641" s="691"/>
      <c r="D1641" s="3"/>
    </row>
    <row r="1642" spans="1:4">
      <c r="A1642" s="691"/>
      <c r="D1642" s="3"/>
    </row>
    <row r="1643" spans="1:4">
      <c r="A1643" s="691"/>
      <c r="D1643" s="3"/>
    </row>
    <row r="1644" spans="1:4">
      <c r="A1644" s="691"/>
      <c r="D1644" s="3"/>
    </row>
    <row r="1645" spans="1:4">
      <c r="A1645" s="691"/>
      <c r="D1645" s="3"/>
    </row>
    <row r="1646" spans="1:4">
      <c r="A1646" s="691"/>
      <c r="D1646" s="3"/>
    </row>
    <row r="1647" spans="1:4">
      <c r="A1647" s="691"/>
      <c r="D1647" s="3"/>
    </row>
    <row r="1648" spans="1:4">
      <c r="A1648" s="691"/>
      <c r="D1648" s="3"/>
    </row>
    <row r="1649" spans="1:4">
      <c r="A1649" s="691"/>
      <c r="D1649" s="3"/>
    </row>
    <row r="1650" spans="1:4">
      <c r="A1650" s="691"/>
      <c r="D1650" s="3"/>
    </row>
    <row r="1651" spans="1:4">
      <c r="A1651" s="691"/>
      <c r="D1651" s="3"/>
    </row>
    <row r="1652" spans="1:4">
      <c r="A1652" s="691"/>
      <c r="D1652" s="3"/>
    </row>
    <row r="1653" spans="1:4">
      <c r="A1653" s="691"/>
      <c r="D1653" s="3"/>
    </row>
    <row r="1654" spans="1:4">
      <c r="A1654" s="691"/>
      <c r="D1654" s="3"/>
    </row>
    <row r="1655" spans="1:4">
      <c r="A1655" s="691"/>
      <c r="D1655" s="3"/>
    </row>
    <row r="1656" spans="1:4">
      <c r="A1656" s="691"/>
      <c r="D1656" s="3"/>
    </row>
    <row r="1657" spans="1:4">
      <c r="A1657" s="691"/>
      <c r="D1657" s="3"/>
    </row>
    <row r="1658" spans="1:4">
      <c r="A1658" s="691"/>
      <c r="D1658" s="3"/>
    </row>
    <row r="1659" spans="1:4">
      <c r="A1659" s="691"/>
      <c r="D1659" s="3"/>
    </row>
    <row r="1660" spans="1:4">
      <c r="A1660" s="691"/>
      <c r="D1660" s="3"/>
    </row>
    <row r="1661" spans="1:4">
      <c r="A1661" s="691"/>
      <c r="D1661" s="3"/>
    </row>
    <row r="1662" spans="1:4">
      <c r="A1662" s="691"/>
      <c r="D1662" s="3"/>
    </row>
    <row r="1663" spans="1:4">
      <c r="A1663" s="691"/>
      <c r="D1663" s="3"/>
    </row>
    <row r="1664" spans="1:4">
      <c r="A1664" s="691"/>
      <c r="D1664" s="3"/>
    </row>
    <row r="1665" spans="1:4">
      <c r="A1665" s="691"/>
      <c r="D1665" s="3"/>
    </row>
    <row r="1666" spans="1:4">
      <c r="A1666" s="691"/>
      <c r="D1666" s="3"/>
    </row>
    <row r="1667" spans="1:4">
      <c r="A1667" s="691"/>
      <c r="D1667" s="3"/>
    </row>
    <row r="1668" spans="1:4">
      <c r="A1668" s="691"/>
      <c r="D1668" s="3"/>
    </row>
    <row r="1669" spans="1:4">
      <c r="A1669" s="691"/>
      <c r="D1669" s="3"/>
    </row>
    <row r="1670" spans="1:4">
      <c r="A1670" s="691"/>
      <c r="D1670" s="3"/>
    </row>
    <row r="1671" spans="1:4">
      <c r="A1671" s="691"/>
      <c r="D1671" s="3"/>
    </row>
    <row r="1672" spans="1:4">
      <c r="A1672" s="691"/>
      <c r="D1672" s="3"/>
    </row>
    <row r="1673" spans="1:4">
      <c r="A1673" s="691"/>
      <c r="D1673" s="3"/>
    </row>
    <row r="1674" spans="1:4">
      <c r="A1674" s="691"/>
      <c r="D1674" s="3"/>
    </row>
    <row r="1675" spans="1:4">
      <c r="A1675" s="691"/>
      <c r="D1675" s="3"/>
    </row>
    <row r="1676" spans="1:4">
      <c r="A1676" s="691"/>
      <c r="D1676" s="3"/>
    </row>
    <row r="1677" spans="1:4">
      <c r="A1677" s="691"/>
      <c r="D1677" s="3"/>
    </row>
    <row r="1678" spans="1:4">
      <c r="A1678" s="691"/>
      <c r="D1678" s="3"/>
    </row>
    <row r="1679" spans="1:4">
      <c r="A1679" s="691"/>
      <c r="D1679" s="3"/>
    </row>
    <row r="1680" spans="1:4">
      <c r="A1680" s="691"/>
      <c r="D1680" s="3"/>
    </row>
    <row r="1681" spans="1:4">
      <c r="A1681" s="691"/>
      <c r="D1681" s="3"/>
    </row>
    <row r="1682" spans="1:4">
      <c r="A1682" s="691"/>
      <c r="D1682" s="3"/>
    </row>
    <row r="1683" spans="1:4">
      <c r="A1683" s="691"/>
      <c r="D1683" s="3"/>
    </row>
    <row r="1684" spans="1:4">
      <c r="A1684" s="691"/>
      <c r="D1684" s="3"/>
    </row>
    <row r="1685" spans="1:4">
      <c r="A1685" s="691"/>
      <c r="D1685" s="3"/>
    </row>
    <row r="1686" spans="1:4">
      <c r="A1686" s="691"/>
      <c r="D1686" s="3"/>
    </row>
    <row r="1687" spans="1:4">
      <c r="A1687" s="691"/>
      <c r="D1687" s="3"/>
    </row>
    <row r="1688" spans="1:4">
      <c r="A1688" s="691"/>
      <c r="D1688" s="3"/>
    </row>
    <row r="1689" spans="1:4">
      <c r="A1689" s="691"/>
      <c r="D1689" s="3"/>
    </row>
    <row r="1690" spans="1:4">
      <c r="A1690" s="691"/>
      <c r="D1690" s="3"/>
    </row>
    <row r="1691" spans="1:4">
      <c r="A1691" s="691"/>
      <c r="D1691" s="3"/>
    </row>
    <row r="1692" spans="1:4">
      <c r="A1692" s="691"/>
      <c r="D1692" s="3"/>
    </row>
    <row r="1693" spans="1:4">
      <c r="A1693" s="691"/>
      <c r="D1693" s="3"/>
    </row>
    <row r="1694" spans="1:4">
      <c r="A1694" s="691"/>
      <c r="D1694" s="3"/>
    </row>
    <row r="1695" spans="1:4">
      <c r="A1695" s="691"/>
      <c r="D1695" s="3"/>
    </row>
    <row r="1696" spans="1:4">
      <c r="A1696" s="691"/>
      <c r="D1696" s="3"/>
    </row>
    <row r="1697" spans="1:4">
      <c r="A1697" s="691"/>
      <c r="D1697" s="3"/>
    </row>
    <row r="1698" spans="1:4">
      <c r="A1698" s="691"/>
      <c r="D1698" s="3"/>
    </row>
    <row r="1699" spans="1:4">
      <c r="A1699" s="691"/>
      <c r="D1699" s="3"/>
    </row>
    <row r="1700" spans="1:4">
      <c r="A1700" s="691"/>
      <c r="D1700" s="3"/>
    </row>
    <row r="1701" spans="1:4">
      <c r="A1701" s="691"/>
      <c r="D1701" s="3"/>
    </row>
    <row r="1702" spans="1:4">
      <c r="A1702" s="691"/>
      <c r="D1702" s="3"/>
    </row>
    <row r="1703" spans="1:4">
      <c r="A1703" s="691"/>
      <c r="D1703" s="3"/>
    </row>
    <row r="1704" spans="1:4">
      <c r="A1704" s="691"/>
      <c r="D1704" s="3"/>
    </row>
    <row r="1705" spans="1:4">
      <c r="A1705" s="691"/>
      <c r="D1705" s="3"/>
    </row>
    <row r="1706" spans="1:4">
      <c r="A1706" s="691"/>
      <c r="D1706" s="3"/>
    </row>
    <row r="1707" spans="1:4">
      <c r="A1707" s="691"/>
      <c r="D1707" s="3"/>
    </row>
    <row r="1708" spans="1:4">
      <c r="A1708" s="691"/>
      <c r="D1708" s="3"/>
    </row>
    <row r="1709" spans="1:4">
      <c r="A1709" s="691"/>
      <c r="D1709" s="3"/>
    </row>
    <row r="1710" spans="1:4">
      <c r="A1710" s="691"/>
      <c r="D1710" s="3"/>
    </row>
    <row r="1711" spans="1:4">
      <c r="A1711" s="691"/>
      <c r="D1711" s="3"/>
    </row>
    <row r="1712" spans="1:4">
      <c r="A1712" s="691"/>
      <c r="D1712" s="3"/>
    </row>
    <row r="1713" spans="1:4">
      <c r="A1713" s="691"/>
      <c r="D1713" s="3"/>
    </row>
    <row r="1714" spans="1:4">
      <c r="A1714" s="691"/>
      <c r="D1714" s="3"/>
    </row>
    <row r="1715" spans="1:4">
      <c r="A1715" s="691"/>
      <c r="D1715" s="3"/>
    </row>
    <row r="1716" spans="1:4">
      <c r="A1716" s="691"/>
      <c r="D1716" s="3"/>
    </row>
    <row r="1717" spans="1:4">
      <c r="A1717" s="691"/>
      <c r="D1717" s="3"/>
    </row>
    <row r="1718" spans="1:4">
      <c r="A1718" s="691"/>
      <c r="D1718" s="3"/>
    </row>
    <row r="1719" spans="1:4">
      <c r="A1719" s="691"/>
      <c r="D1719" s="3"/>
    </row>
    <row r="1720" spans="1:4">
      <c r="A1720" s="691"/>
      <c r="D1720" s="3"/>
    </row>
    <row r="1721" spans="1:4">
      <c r="A1721" s="691"/>
      <c r="D1721" s="3"/>
    </row>
    <row r="1722" spans="1:4">
      <c r="A1722" s="691"/>
      <c r="D1722" s="3"/>
    </row>
    <row r="1723" spans="1:4">
      <c r="A1723" s="691"/>
      <c r="D1723" s="3"/>
    </row>
    <row r="1724" spans="1:4">
      <c r="A1724" s="691"/>
      <c r="D1724" s="3"/>
    </row>
    <row r="1725" spans="1:4">
      <c r="A1725" s="691"/>
      <c r="D1725" s="3"/>
    </row>
    <row r="1726" spans="1:4">
      <c r="A1726" s="691"/>
      <c r="D1726" s="3"/>
    </row>
    <row r="1727" spans="1:4">
      <c r="A1727" s="691"/>
      <c r="D1727" s="3"/>
    </row>
    <row r="1728" spans="1:4">
      <c r="A1728" s="691"/>
      <c r="D1728" s="3"/>
    </row>
    <row r="1729" spans="1:4">
      <c r="A1729" s="691"/>
      <c r="D1729" s="3"/>
    </row>
    <row r="1730" spans="1:4">
      <c r="A1730" s="691"/>
      <c r="D1730" s="3"/>
    </row>
    <row r="1731" spans="1:4">
      <c r="A1731" s="691"/>
      <c r="D1731" s="3"/>
    </row>
    <row r="1732" spans="1:4">
      <c r="A1732" s="691"/>
      <c r="D1732" s="3"/>
    </row>
    <row r="1733" spans="1:4">
      <c r="A1733" s="691"/>
      <c r="D1733" s="3"/>
    </row>
    <row r="1734" spans="1:4">
      <c r="A1734" s="691"/>
      <c r="D1734" s="3"/>
    </row>
    <row r="1735" spans="1:4">
      <c r="A1735" s="691"/>
      <c r="D1735" s="3"/>
    </row>
    <row r="1736" spans="1:4">
      <c r="A1736" s="691"/>
      <c r="D1736" s="3"/>
    </row>
    <row r="1737" spans="1:4">
      <c r="A1737" s="691"/>
      <c r="D1737" s="3"/>
    </row>
    <row r="1738" spans="1:4">
      <c r="A1738" s="691"/>
      <c r="D1738" s="3"/>
    </row>
    <row r="1739" spans="1:4">
      <c r="A1739" s="691"/>
      <c r="D1739" s="3"/>
    </row>
    <row r="1740" spans="1:4">
      <c r="A1740" s="691"/>
      <c r="D1740" s="3"/>
    </row>
    <row r="1741" spans="1:4">
      <c r="A1741" s="691"/>
      <c r="D1741" s="3"/>
    </row>
    <row r="1742" spans="1:4">
      <c r="A1742" s="691"/>
      <c r="D1742" s="3"/>
    </row>
    <row r="1743" spans="1:4">
      <c r="A1743" s="691"/>
      <c r="D1743" s="3"/>
    </row>
    <row r="1744" spans="1:4">
      <c r="A1744" s="691"/>
      <c r="D1744" s="3"/>
    </row>
    <row r="1745" spans="1:4">
      <c r="A1745" s="691"/>
      <c r="D1745" s="3"/>
    </row>
    <row r="1746" spans="1:4">
      <c r="A1746" s="691"/>
      <c r="D1746" s="3"/>
    </row>
    <row r="1747" spans="1:4">
      <c r="A1747" s="691"/>
      <c r="D1747" s="3"/>
    </row>
    <row r="1748" spans="1:4">
      <c r="A1748" s="691"/>
      <c r="D1748" s="3"/>
    </row>
    <row r="1749" spans="1:4">
      <c r="A1749" s="691"/>
      <c r="D1749" s="3"/>
    </row>
    <row r="1750" spans="1:4">
      <c r="A1750" s="691"/>
      <c r="D1750" s="3"/>
    </row>
    <row r="1751" spans="1:4">
      <c r="A1751" s="691"/>
      <c r="D1751" s="3"/>
    </row>
    <row r="1752" spans="1:4">
      <c r="A1752" s="691"/>
      <c r="D1752" s="3"/>
    </row>
    <row r="1753" spans="1:4">
      <c r="A1753" s="691"/>
      <c r="D1753" s="3"/>
    </row>
    <row r="1754" spans="1:4">
      <c r="A1754" s="691"/>
      <c r="D1754" s="3"/>
    </row>
    <row r="1755" spans="1:4">
      <c r="A1755" s="691"/>
      <c r="D1755" s="3"/>
    </row>
    <row r="1756" spans="1:4">
      <c r="A1756" s="691"/>
      <c r="D1756" s="3"/>
    </row>
    <row r="1757" spans="1:4">
      <c r="A1757" s="691"/>
      <c r="D1757" s="3"/>
    </row>
    <row r="1758" spans="1:4">
      <c r="A1758" s="691"/>
      <c r="D1758" s="3"/>
    </row>
    <row r="1759" spans="1:4">
      <c r="A1759" s="691"/>
      <c r="D1759" s="3"/>
    </row>
    <row r="1760" spans="1:4">
      <c r="A1760" s="691"/>
      <c r="D1760" s="3"/>
    </row>
    <row r="1761" spans="1:4">
      <c r="A1761" s="691"/>
      <c r="D1761" s="3"/>
    </row>
    <row r="1762" spans="1:4">
      <c r="A1762" s="691"/>
      <c r="D1762" s="3"/>
    </row>
    <row r="1763" spans="1:4">
      <c r="A1763" s="691"/>
      <c r="D1763" s="3"/>
    </row>
    <row r="1764" spans="1:4">
      <c r="A1764" s="691"/>
      <c r="D1764" s="3"/>
    </row>
    <row r="1765" spans="1:4">
      <c r="A1765" s="691"/>
      <c r="D1765" s="3"/>
    </row>
    <row r="1766" spans="1:4">
      <c r="A1766" s="691"/>
      <c r="D1766" s="3"/>
    </row>
    <row r="1767" spans="1:4">
      <c r="A1767" s="691"/>
      <c r="D1767" s="3"/>
    </row>
    <row r="1768" spans="1:4">
      <c r="A1768" s="691"/>
      <c r="D1768" s="3"/>
    </row>
    <row r="1769" spans="1:4">
      <c r="A1769" s="691"/>
      <c r="D1769" s="3"/>
    </row>
    <row r="1770" spans="1:4">
      <c r="A1770" s="691"/>
      <c r="D1770" s="3"/>
    </row>
    <row r="1771" spans="1:4">
      <c r="A1771" s="691"/>
      <c r="D1771" s="3"/>
    </row>
    <row r="1772" spans="1:4">
      <c r="A1772" s="691"/>
      <c r="D1772" s="3"/>
    </row>
    <row r="1773" spans="1:4">
      <c r="A1773" s="691"/>
      <c r="D1773" s="3"/>
    </row>
    <row r="1774" spans="1:4">
      <c r="A1774" s="691"/>
      <c r="D1774" s="3"/>
    </row>
    <row r="1775" spans="1:4">
      <c r="A1775" s="691"/>
      <c r="D1775" s="3"/>
    </row>
    <row r="1776" spans="1:4">
      <c r="A1776" s="691"/>
      <c r="D1776" s="3"/>
    </row>
    <row r="1777" spans="1:4">
      <c r="A1777" s="691"/>
      <c r="D1777" s="3"/>
    </row>
    <row r="1778" spans="1:4">
      <c r="A1778" s="691"/>
      <c r="D1778" s="3"/>
    </row>
    <row r="1779" spans="1:4">
      <c r="A1779" s="691"/>
      <c r="D1779" s="3"/>
    </row>
    <row r="1780" spans="1:4">
      <c r="A1780" s="691"/>
      <c r="D1780" s="3"/>
    </row>
    <row r="1781" spans="1:4">
      <c r="A1781" s="691"/>
      <c r="D1781" s="3"/>
    </row>
    <row r="1782" spans="1:4">
      <c r="A1782" s="691"/>
      <c r="D1782" s="3"/>
    </row>
    <row r="1783" spans="1:4">
      <c r="A1783" s="691"/>
      <c r="D1783" s="3"/>
    </row>
    <row r="1784" spans="1:4">
      <c r="A1784" s="691"/>
      <c r="D1784" s="3"/>
    </row>
    <row r="1785" spans="1:4">
      <c r="A1785" s="691"/>
      <c r="D1785" s="3"/>
    </row>
    <row r="1786" spans="1:4">
      <c r="A1786" s="691"/>
      <c r="D1786" s="3"/>
    </row>
    <row r="1787" spans="1:4">
      <c r="A1787" s="691"/>
      <c r="D1787" s="3"/>
    </row>
    <row r="1788" spans="1:4">
      <c r="A1788" s="691"/>
      <c r="D1788" s="3"/>
    </row>
    <row r="1789" spans="1:4">
      <c r="A1789" s="691"/>
      <c r="D1789" s="3"/>
    </row>
    <row r="1790" spans="1:4">
      <c r="A1790" s="691"/>
      <c r="D1790" s="3"/>
    </row>
    <row r="1791" spans="1:4">
      <c r="A1791" s="691"/>
      <c r="D1791" s="3"/>
    </row>
    <row r="1792" spans="1:4">
      <c r="A1792" s="691"/>
      <c r="D1792" s="3"/>
    </row>
    <row r="1793" spans="1:4">
      <c r="A1793" s="691"/>
      <c r="D1793" s="3"/>
    </row>
    <row r="1794" spans="1:4">
      <c r="A1794" s="691"/>
      <c r="D1794" s="3"/>
    </row>
    <row r="1795" spans="1:4">
      <c r="A1795" s="691"/>
      <c r="D1795" s="3"/>
    </row>
    <row r="1796" spans="1:4">
      <c r="A1796" s="691"/>
      <c r="D1796" s="3"/>
    </row>
    <row r="1797" spans="1:4">
      <c r="A1797" s="691"/>
      <c r="D1797" s="3"/>
    </row>
    <row r="1798" spans="1:4">
      <c r="A1798" s="691"/>
      <c r="D1798" s="3"/>
    </row>
    <row r="1799" spans="1:4">
      <c r="A1799" s="691"/>
      <c r="D1799" s="3"/>
    </row>
    <row r="1800" spans="1:4">
      <c r="A1800" s="691"/>
      <c r="D1800" s="3"/>
    </row>
    <row r="1801" spans="1:4">
      <c r="A1801" s="691"/>
      <c r="D1801" s="3"/>
    </row>
    <row r="1802" spans="1:4">
      <c r="A1802" s="691"/>
      <c r="D1802" s="3"/>
    </row>
    <row r="1803" spans="1:4">
      <c r="A1803" s="691"/>
      <c r="D1803" s="3"/>
    </row>
    <row r="1804" spans="1:4">
      <c r="A1804" s="691"/>
      <c r="D1804" s="3"/>
    </row>
    <row r="1805" spans="1:4">
      <c r="A1805" s="691"/>
      <c r="D1805" s="3"/>
    </row>
    <row r="1806" spans="1:4">
      <c r="A1806" s="691"/>
      <c r="D1806" s="3"/>
    </row>
    <row r="1807" spans="1:4">
      <c r="A1807" s="691"/>
      <c r="D1807" s="3"/>
    </row>
    <row r="1808" spans="1:4">
      <c r="A1808" s="691"/>
      <c r="D1808" s="3"/>
    </row>
    <row r="1809" spans="1:4">
      <c r="A1809" s="691"/>
      <c r="D1809" s="3"/>
    </row>
    <row r="1810" spans="1:4">
      <c r="A1810" s="691"/>
      <c r="D1810" s="3"/>
    </row>
    <row r="1811" spans="1:4">
      <c r="A1811" s="691"/>
      <c r="D1811" s="3"/>
    </row>
    <row r="1812" spans="1:4">
      <c r="A1812" s="691"/>
      <c r="D1812" s="3"/>
    </row>
    <row r="1813" spans="1:4">
      <c r="A1813" s="691"/>
      <c r="D1813" s="3"/>
    </row>
    <row r="1814" spans="1:4">
      <c r="A1814" s="691"/>
      <c r="D1814" s="3"/>
    </row>
    <row r="1815" spans="1:4">
      <c r="A1815" s="691"/>
      <c r="D1815" s="3"/>
    </row>
    <row r="1816" spans="1:4">
      <c r="A1816" s="691"/>
      <c r="D1816" s="3"/>
    </row>
    <row r="1817" spans="1:4">
      <c r="A1817" s="691"/>
      <c r="D1817" s="3"/>
    </row>
    <row r="1818" spans="1:4">
      <c r="A1818" s="691"/>
      <c r="D1818" s="3"/>
    </row>
    <row r="1819" spans="1:4">
      <c r="A1819" s="691"/>
      <c r="D1819" s="3"/>
    </row>
    <row r="1820" spans="1:4">
      <c r="A1820" s="691"/>
      <c r="D1820" s="3"/>
    </row>
    <row r="1821" spans="1:4">
      <c r="A1821" s="691"/>
      <c r="D1821" s="3"/>
    </row>
    <row r="1822" spans="1:4">
      <c r="A1822" s="691"/>
      <c r="D1822" s="3"/>
    </row>
    <row r="1823" spans="1:4">
      <c r="A1823" s="691"/>
      <c r="D1823" s="3"/>
    </row>
    <row r="1824" spans="1:4">
      <c r="A1824" s="691"/>
      <c r="D1824" s="3"/>
    </row>
    <row r="1825" spans="1:4">
      <c r="A1825" s="691"/>
      <c r="D1825" s="3"/>
    </row>
    <row r="1826" spans="1:4">
      <c r="A1826" s="691"/>
      <c r="D1826" s="3"/>
    </row>
    <row r="1827" spans="1:4">
      <c r="A1827" s="691"/>
      <c r="D1827" s="3"/>
    </row>
    <row r="1828" spans="1:4">
      <c r="A1828" s="691"/>
      <c r="D1828" s="3"/>
    </row>
    <row r="1829" spans="1:4">
      <c r="A1829" s="691"/>
      <c r="D1829" s="3"/>
    </row>
    <row r="1830" spans="1:4">
      <c r="A1830" s="691"/>
      <c r="D1830" s="3"/>
    </row>
    <row r="1831" spans="1:4">
      <c r="A1831" s="691"/>
      <c r="D1831" s="3"/>
    </row>
    <row r="1832" spans="1:4">
      <c r="A1832" s="691"/>
      <c r="D1832" s="3"/>
    </row>
    <row r="1833" spans="1:4">
      <c r="A1833" s="691"/>
      <c r="D1833" s="3"/>
    </row>
    <row r="1834" spans="1:4">
      <c r="A1834" s="691"/>
      <c r="D1834" s="3"/>
    </row>
    <row r="1835" spans="1:4">
      <c r="A1835" s="691"/>
      <c r="D1835" s="3"/>
    </row>
    <row r="1836" spans="1:4">
      <c r="A1836" s="691"/>
      <c r="D1836" s="3"/>
    </row>
    <row r="1837" spans="1:4">
      <c r="A1837" s="691"/>
      <c r="D1837" s="3"/>
    </row>
    <row r="1838" spans="1:4">
      <c r="A1838" s="691"/>
      <c r="D1838" s="3"/>
    </row>
    <row r="1839" spans="1:4">
      <c r="A1839" s="691"/>
      <c r="D1839" s="3"/>
    </row>
    <row r="1840" spans="1:4">
      <c r="A1840" s="691"/>
      <c r="D1840" s="3"/>
    </row>
    <row r="1841" spans="1:4">
      <c r="A1841" s="691"/>
      <c r="D1841" s="3"/>
    </row>
    <row r="1842" spans="1:4">
      <c r="A1842" s="691"/>
      <c r="D1842" s="3"/>
    </row>
    <row r="1843" spans="1:4">
      <c r="A1843" s="691"/>
      <c r="D1843" s="3"/>
    </row>
    <row r="1844" spans="1:4">
      <c r="A1844" s="691"/>
      <c r="D1844" s="3"/>
    </row>
    <row r="1845" spans="1:4">
      <c r="A1845" s="691"/>
      <c r="D1845" s="3"/>
    </row>
    <row r="1846" spans="1:4">
      <c r="A1846" s="691"/>
      <c r="D1846" s="3"/>
    </row>
    <row r="1847" spans="1:4">
      <c r="A1847" s="691"/>
      <c r="D1847" s="3"/>
    </row>
    <row r="1848" spans="1:4">
      <c r="A1848" s="691"/>
      <c r="D1848" s="3"/>
    </row>
    <row r="1849" spans="1:4">
      <c r="A1849" s="691"/>
      <c r="D1849" s="3"/>
    </row>
    <row r="1850" spans="1:4">
      <c r="A1850" s="691"/>
      <c r="D1850" s="3"/>
    </row>
    <row r="1851" spans="1:4">
      <c r="A1851" s="691"/>
      <c r="D1851" s="3"/>
    </row>
    <row r="1852" spans="1:4">
      <c r="A1852" s="691"/>
      <c r="D1852" s="3"/>
    </row>
    <row r="1853" spans="1:4">
      <c r="A1853" s="691"/>
      <c r="D1853" s="3"/>
    </row>
    <row r="1854" spans="1:4">
      <c r="A1854" s="691"/>
      <c r="D1854" s="3"/>
    </row>
    <row r="1855" spans="1:4">
      <c r="A1855" s="691"/>
      <c r="D1855" s="3"/>
    </row>
    <row r="1856" spans="1:4">
      <c r="A1856" s="691"/>
      <c r="D1856" s="3"/>
    </row>
    <row r="1857" spans="1:4">
      <c r="A1857" s="691"/>
      <c r="D1857" s="3"/>
    </row>
    <row r="1858" spans="1:4">
      <c r="A1858" s="691"/>
      <c r="D1858" s="3"/>
    </row>
    <row r="1859" spans="1:4">
      <c r="A1859" s="691"/>
      <c r="D1859" s="3"/>
    </row>
    <row r="1860" spans="1:4">
      <c r="A1860" s="691"/>
      <c r="D1860" s="3"/>
    </row>
    <row r="1861" spans="1:4">
      <c r="A1861" s="691"/>
      <c r="D1861" s="3"/>
    </row>
    <row r="1862" spans="1:4">
      <c r="A1862" s="691"/>
      <c r="D1862" s="3"/>
    </row>
    <row r="1863" spans="1:4">
      <c r="A1863" s="691"/>
      <c r="D1863" s="3"/>
    </row>
    <row r="1864" spans="1:4">
      <c r="A1864" s="691"/>
      <c r="D1864" s="3"/>
    </row>
    <row r="1865" spans="1:4">
      <c r="A1865" s="691"/>
      <c r="D1865" s="3"/>
    </row>
    <row r="1866" spans="1:4">
      <c r="A1866" s="691"/>
      <c r="D1866" s="3"/>
    </row>
    <row r="1867" spans="1:4">
      <c r="A1867" s="691"/>
      <c r="D1867" s="3"/>
    </row>
    <row r="1868" spans="1:4">
      <c r="A1868" s="691"/>
      <c r="D1868" s="3"/>
    </row>
    <row r="1869" spans="1:4">
      <c r="A1869" s="691"/>
      <c r="D1869" s="3"/>
    </row>
    <row r="1870" spans="1:4">
      <c r="A1870" s="691"/>
      <c r="D1870" s="3"/>
    </row>
    <row r="1871" spans="1:4">
      <c r="A1871" s="691"/>
      <c r="D1871" s="3"/>
    </row>
    <row r="1872" spans="1:4">
      <c r="A1872" s="691"/>
      <c r="D1872" s="3"/>
    </row>
    <row r="1873" spans="1:4">
      <c r="A1873" s="691"/>
      <c r="D1873" s="3"/>
    </row>
    <row r="1874" spans="1:4">
      <c r="A1874" s="691"/>
      <c r="D1874" s="3"/>
    </row>
    <row r="1875" spans="1:4">
      <c r="A1875" s="691"/>
      <c r="D1875" s="3"/>
    </row>
    <row r="1876" spans="1:4">
      <c r="A1876" s="691"/>
      <c r="D1876" s="3"/>
    </row>
    <row r="1877" spans="1:4">
      <c r="A1877" s="691"/>
      <c r="D1877" s="3"/>
    </row>
    <row r="1878" spans="1:4">
      <c r="A1878" s="691"/>
      <c r="D1878" s="3"/>
    </row>
    <row r="1879" spans="1:4">
      <c r="A1879" s="691"/>
      <c r="D1879" s="3"/>
    </row>
    <row r="1880" spans="1:4">
      <c r="A1880" s="691"/>
      <c r="D1880" s="3"/>
    </row>
    <row r="1881" spans="1:4">
      <c r="A1881" s="691"/>
      <c r="D1881" s="3"/>
    </row>
    <row r="1882" spans="1:4">
      <c r="A1882" s="691"/>
      <c r="D1882" s="3"/>
    </row>
    <row r="1883" spans="1:4">
      <c r="A1883" s="691"/>
      <c r="D1883" s="3"/>
    </row>
    <row r="1884" spans="1:4">
      <c r="A1884" s="691"/>
      <c r="D1884" s="3"/>
    </row>
    <row r="1885" spans="1:4">
      <c r="A1885" s="691"/>
      <c r="D1885" s="3"/>
    </row>
    <row r="1886" spans="1:4">
      <c r="A1886" s="691"/>
      <c r="D1886" s="3"/>
    </row>
    <row r="1887" spans="1:4">
      <c r="A1887" s="691"/>
      <c r="D1887" s="3"/>
    </row>
    <row r="1888" spans="1:4">
      <c r="A1888" s="691"/>
      <c r="D1888" s="3"/>
    </row>
    <row r="1889" spans="1:4">
      <c r="A1889" s="691"/>
      <c r="D1889" s="3"/>
    </row>
    <row r="1890" spans="1:4">
      <c r="A1890" s="691"/>
      <c r="D1890" s="3"/>
    </row>
    <row r="1891" spans="1:4">
      <c r="A1891" s="691"/>
      <c r="D1891" s="3"/>
    </row>
    <row r="1892" spans="1:4">
      <c r="A1892" s="691"/>
      <c r="D1892" s="3"/>
    </row>
    <row r="1893" spans="1:4">
      <c r="A1893" s="691"/>
      <c r="D1893" s="3"/>
    </row>
    <row r="1894" spans="1:4">
      <c r="A1894" s="691"/>
      <c r="D1894" s="3"/>
    </row>
    <row r="1895" spans="1:4">
      <c r="A1895" s="691"/>
      <c r="D1895" s="3"/>
    </row>
    <row r="1896" spans="1:4">
      <c r="A1896" s="691"/>
      <c r="D1896" s="3"/>
    </row>
    <row r="1897" spans="1:4">
      <c r="A1897" s="691"/>
      <c r="D1897" s="3"/>
    </row>
    <row r="1898" spans="1:4">
      <c r="A1898" s="691"/>
      <c r="D1898" s="3"/>
    </row>
    <row r="1899" spans="1:4">
      <c r="A1899" s="691"/>
      <c r="D1899" s="3"/>
    </row>
    <row r="1900" spans="1:4">
      <c r="A1900" s="691"/>
      <c r="D1900" s="3"/>
    </row>
    <row r="1901" spans="1:4">
      <c r="A1901" s="691"/>
      <c r="D1901" s="3"/>
    </row>
    <row r="1902" spans="1:4">
      <c r="A1902" s="691"/>
      <c r="D1902" s="3"/>
    </row>
    <row r="1903" spans="1:4">
      <c r="A1903" s="691"/>
      <c r="D1903" s="3"/>
    </row>
    <row r="1904" spans="1:4">
      <c r="A1904" s="691"/>
      <c r="D1904" s="3"/>
    </row>
    <row r="1905" spans="1:4">
      <c r="A1905" s="691"/>
      <c r="D1905" s="3"/>
    </row>
    <row r="1906" spans="1:4">
      <c r="A1906" s="691"/>
      <c r="D1906" s="3"/>
    </row>
    <row r="1907" spans="1:4">
      <c r="A1907" s="691"/>
      <c r="D1907" s="3"/>
    </row>
    <row r="1908" spans="1:4">
      <c r="A1908" s="691"/>
      <c r="D1908" s="3"/>
    </row>
    <row r="1909" spans="1:4">
      <c r="A1909" s="691"/>
      <c r="D1909" s="3"/>
    </row>
    <row r="1910" spans="1:4">
      <c r="A1910" s="691"/>
      <c r="D1910" s="3"/>
    </row>
    <row r="1911" spans="1:4">
      <c r="A1911" s="691"/>
      <c r="D1911" s="3"/>
    </row>
    <row r="1912" spans="1:4">
      <c r="A1912" s="691"/>
      <c r="D1912" s="3"/>
    </row>
    <row r="1913" spans="1:4">
      <c r="A1913" s="691"/>
      <c r="D1913" s="3"/>
    </row>
    <row r="1914" spans="1:4">
      <c r="A1914" s="691"/>
      <c r="D1914" s="3"/>
    </row>
    <row r="1915" spans="1:4">
      <c r="A1915" s="691"/>
      <c r="D1915" s="3"/>
    </row>
    <row r="1916" spans="1:4">
      <c r="A1916" s="691"/>
      <c r="D1916" s="3"/>
    </row>
    <row r="1917" spans="1:4">
      <c r="A1917" s="691"/>
      <c r="D1917" s="3"/>
    </row>
    <row r="1918" spans="1:4">
      <c r="A1918" s="691"/>
      <c r="D1918" s="3"/>
    </row>
    <row r="1919" spans="1:4">
      <c r="A1919" s="691"/>
      <c r="D1919" s="3"/>
    </row>
    <row r="1920" spans="1:4">
      <c r="A1920" s="691"/>
      <c r="D1920" s="3"/>
    </row>
    <row r="1921" spans="1:4">
      <c r="A1921" s="691"/>
      <c r="D1921" s="3"/>
    </row>
    <row r="1922" spans="1:4">
      <c r="A1922" s="691"/>
      <c r="D1922" s="3"/>
    </row>
    <row r="1923" spans="1:4">
      <c r="A1923" s="691"/>
      <c r="D1923" s="3"/>
    </row>
    <row r="1924" spans="1:4">
      <c r="A1924" s="691"/>
      <c r="D1924" s="3"/>
    </row>
    <row r="1925" spans="1:4">
      <c r="A1925" s="691"/>
      <c r="D1925" s="3"/>
    </row>
    <row r="1926" spans="1:4">
      <c r="A1926" s="691"/>
      <c r="D1926" s="3"/>
    </row>
    <row r="1927" spans="1:4">
      <c r="A1927" s="691"/>
      <c r="D1927" s="3"/>
    </row>
    <row r="1928" spans="1:4">
      <c r="A1928" s="691"/>
      <c r="D1928" s="3"/>
    </row>
    <row r="1929" spans="1:4">
      <c r="A1929" s="691"/>
      <c r="D1929" s="3"/>
    </row>
    <row r="1930" spans="1:4">
      <c r="A1930" s="691"/>
      <c r="D1930" s="3"/>
    </row>
    <row r="1931" spans="1:4">
      <c r="A1931" s="691"/>
      <c r="D1931" s="3"/>
    </row>
    <row r="1932" spans="1:4">
      <c r="A1932" s="691"/>
      <c r="D1932" s="3"/>
    </row>
    <row r="1933" spans="1:4">
      <c r="A1933" s="691"/>
      <c r="D1933" s="3"/>
    </row>
    <row r="1934" spans="1:4">
      <c r="A1934" s="691"/>
      <c r="D1934" s="3"/>
    </row>
    <row r="1935" spans="1:4">
      <c r="A1935" s="691"/>
      <c r="D1935" s="3"/>
    </row>
    <row r="1936" spans="1:4">
      <c r="A1936" s="691"/>
      <c r="D1936" s="3"/>
    </row>
    <row r="1937" spans="1:4">
      <c r="A1937" s="691"/>
      <c r="D1937" s="3"/>
    </row>
    <row r="1938" spans="1:4">
      <c r="A1938" s="691"/>
      <c r="D1938" s="3"/>
    </row>
    <row r="1939" spans="1:4">
      <c r="A1939" s="691"/>
      <c r="D1939" s="3"/>
    </row>
    <row r="1940" spans="1:4">
      <c r="A1940" s="691"/>
      <c r="D1940" s="3"/>
    </row>
    <row r="1941" spans="1:4">
      <c r="A1941" s="691"/>
      <c r="D1941" s="3"/>
    </row>
    <row r="1942" spans="1:4">
      <c r="A1942" s="691"/>
      <c r="D1942" s="3"/>
    </row>
    <row r="1943" spans="1:4">
      <c r="A1943" s="691"/>
      <c r="D1943" s="3"/>
    </row>
    <row r="1944" spans="1:4">
      <c r="A1944" s="691"/>
      <c r="D1944" s="3"/>
    </row>
    <row r="1945" spans="1:4">
      <c r="A1945" s="691"/>
      <c r="D1945" s="3"/>
    </row>
    <row r="1946" spans="1:4">
      <c r="A1946" s="691"/>
      <c r="D1946" s="3"/>
    </row>
    <row r="1947" spans="1:4">
      <c r="A1947" s="691"/>
      <c r="D1947" s="3"/>
    </row>
    <row r="1948" spans="1:4">
      <c r="A1948" s="691"/>
      <c r="D1948" s="3"/>
    </row>
    <row r="1949" spans="1:4">
      <c r="A1949" s="691"/>
      <c r="D1949" s="3"/>
    </row>
    <row r="1950" spans="1:4">
      <c r="A1950" s="691"/>
      <c r="D1950" s="3"/>
    </row>
    <row r="1951" spans="1:4">
      <c r="A1951" s="691"/>
      <c r="D1951" s="3"/>
    </row>
    <row r="1952" spans="1:4">
      <c r="A1952" s="691"/>
      <c r="D1952" s="3"/>
    </row>
    <row r="1953" spans="1:4">
      <c r="A1953" s="691"/>
      <c r="D1953" s="3"/>
    </row>
    <row r="1954" spans="1:4">
      <c r="A1954" s="691"/>
      <c r="D1954" s="3"/>
    </row>
    <row r="1955" spans="1:4">
      <c r="A1955" s="691"/>
      <c r="D1955" s="3"/>
    </row>
    <row r="1956" spans="1:4">
      <c r="A1956" s="691"/>
      <c r="D1956" s="3"/>
    </row>
    <row r="1957" spans="1:4">
      <c r="A1957" s="691"/>
      <c r="D1957" s="3"/>
    </row>
    <row r="1958" spans="1:4">
      <c r="A1958" s="691"/>
      <c r="D1958" s="3"/>
    </row>
    <row r="1959" spans="1:4">
      <c r="A1959" s="691"/>
      <c r="D1959" s="3"/>
    </row>
    <row r="1960" spans="1:4">
      <c r="A1960" s="691"/>
      <c r="D1960" s="3"/>
    </row>
    <row r="1961" spans="1:4">
      <c r="A1961" s="691"/>
      <c r="D1961" s="3"/>
    </row>
    <row r="1962" spans="1:4">
      <c r="A1962" s="691"/>
      <c r="D1962" s="3"/>
    </row>
    <row r="1963" spans="1:4">
      <c r="A1963" s="691"/>
      <c r="D1963" s="3"/>
    </row>
    <row r="1964" spans="1:4">
      <c r="A1964" s="691"/>
      <c r="D1964" s="3"/>
    </row>
    <row r="1965" spans="1:4">
      <c r="A1965" s="691"/>
      <c r="D1965" s="3"/>
    </row>
    <row r="1966" spans="1:4">
      <c r="A1966" s="691"/>
      <c r="D1966" s="3"/>
    </row>
    <row r="1967" spans="1:4">
      <c r="A1967" s="691"/>
      <c r="D1967" s="3"/>
    </row>
    <row r="1968" spans="1:4">
      <c r="A1968" s="691"/>
      <c r="D1968" s="3"/>
    </row>
    <row r="1969" spans="1:4">
      <c r="A1969" s="691"/>
      <c r="D1969" s="3"/>
    </row>
    <row r="1970" spans="1:4">
      <c r="A1970" s="691"/>
      <c r="D1970" s="3"/>
    </row>
    <row r="1971" spans="1:4">
      <c r="A1971" s="691"/>
      <c r="D1971" s="3"/>
    </row>
    <row r="1972" spans="1:4">
      <c r="A1972" s="691"/>
      <c r="D1972" s="3"/>
    </row>
    <row r="1973" spans="1:4">
      <c r="A1973" s="691"/>
      <c r="D1973" s="3"/>
    </row>
    <row r="1974" spans="1:4">
      <c r="A1974" s="691"/>
      <c r="D1974" s="3"/>
    </row>
    <row r="1975" spans="1:4">
      <c r="A1975" s="691"/>
      <c r="D1975" s="3"/>
    </row>
    <row r="1976" spans="1:4">
      <c r="A1976" s="691"/>
      <c r="D1976" s="3"/>
    </row>
    <row r="1977" spans="1:4">
      <c r="A1977" s="691"/>
      <c r="D1977" s="3"/>
    </row>
    <row r="1978" spans="1:4">
      <c r="A1978" s="691"/>
      <c r="D1978" s="3"/>
    </row>
    <row r="1979" spans="1:4">
      <c r="A1979" s="691"/>
      <c r="D1979" s="3"/>
    </row>
    <row r="1980" spans="1:4">
      <c r="A1980" s="691"/>
      <c r="D1980" s="3"/>
    </row>
    <row r="1981" spans="1:4">
      <c r="A1981" s="691"/>
      <c r="D1981" s="3"/>
    </row>
    <row r="1982" spans="1:4">
      <c r="A1982" s="691"/>
      <c r="D1982" s="3"/>
    </row>
    <row r="1983" spans="1:4">
      <c r="A1983" s="691"/>
      <c r="D1983" s="3"/>
    </row>
    <row r="1984" spans="1:4">
      <c r="A1984" s="691"/>
      <c r="D1984" s="3"/>
    </row>
    <row r="1985" spans="1:4">
      <c r="A1985" s="691"/>
      <c r="D1985" s="3"/>
    </row>
    <row r="1986" spans="1:4">
      <c r="A1986" s="691"/>
      <c r="D1986" s="3"/>
    </row>
    <row r="1987" spans="1:4">
      <c r="A1987" s="691"/>
      <c r="D1987" s="3"/>
    </row>
    <row r="1988" spans="1:4">
      <c r="A1988" s="691"/>
      <c r="D1988" s="3"/>
    </row>
    <row r="1989" spans="1:4">
      <c r="A1989" s="691"/>
      <c r="D1989" s="3"/>
    </row>
    <row r="1990" spans="1:4">
      <c r="A1990" s="691"/>
      <c r="D1990" s="3"/>
    </row>
    <row r="1991" spans="1:4">
      <c r="A1991" s="691"/>
      <c r="D1991" s="3"/>
    </row>
    <row r="1992" spans="1:4">
      <c r="A1992" s="691"/>
      <c r="D1992" s="3"/>
    </row>
    <row r="1993" spans="1:4">
      <c r="A1993" s="691"/>
      <c r="D1993" s="3"/>
    </row>
    <row r="1994" spans="1:4">
      <c r="A1994" s="691"/>
      <c r="D1994" s="3"/>
    </row>
    <row r="1995" spans="1:4">
      <c r="A1995" s="691"/>
      <c r="D1995" s="3"/>
    </row>
    <row r="1996" spans="1:4">
      <c r="A1996" s="691"/>
      <c r="D1996" s="3"/>
    </row>
    <row r="1997" spans="1:4">
      <c r="A1997" s="691"/>
      <c r="D1997" s="3"/>
    </row>
    <row r="1998" spans="1:4">
      <c r="A1998" s="691"/>
      <c r="D1998" s="3"/>
    </row>
    <row r="1999" spans="1:4">
      <c r="A1999" s="691"/>
      <c r="D1999" s="3"/>
    </row>
    <row r="2000" spans="1:4">
      <c r="A2000" s="691"/>
      <c r="D2000" s="3"/>
    </row>
    <row r="2001" spans="1:4">
      <c r="A2001" s="691"/>
      <c r="D2001" s="3"/>
    </row>
    <row r="2002" spans="1:4">
      <c r="A2002" s="691"/>
      <c r="D2002" s="3"/>
    </row>
    <row r="2003" spans="1:4">
      <c r="A2003" s="691"/>
      <c r="D2003" s="3"/>
    </row>
    <row r="2004" spans="1:4">
      <c r="A2004" s="691"/>
      <c r="D2004" s="3"/>
    </row>
    <row r="2005" spans="1:4">
      <c r="A2005" s="691"/>
      <c r="D2005" s="3"/>
    </row>
    <row r="2006" spans="1:4">
      <c r="A2006" s="691"/>
      <c r="D2006" s="3"/>
    </row>
    <row r="2007" spans="1:4">
      <c r="A2007" s="691"/>
      <c r="D2007" s="3"/>
    </row>
    <row r="2008" spans="1:4">
      <c r="A2008" s="691"/>
      <c r="D2008" s="3"/>
    </row>
    <row r="2009" spans="1:4">
      <c r="A2009" s="691"/>
      <c r="D2009" s="3"/>
    </row>
    <row r="2010" spans="1:4">
      <c r="A2010" s="691"/>
      <c r="D2010" s="3"/>
    </row>
    <row r="2011" spans="1:4">
      <c r="A2011" s="691"/>
      <c r="D2011" s="3"/>
    </row>
    <row r="2012" spans="1:4">
      <c r="A2012" s="691"/>
      <c r="D2012" s="3"/>
    </row>
    <row r="2013" spans="1:4">
      <c r="A2013" s="691"/>
      <c r="D2013" s="3"/>
    </row>
    <row r="2014" spans="1:4">
      <c r="A2014" s="691"/>
      <c r="D2014" s="3"/>
    </row>
    <row r="2015" spans="1:4">
      <c r="A2015" s="691"/>
      <c r="D2015" s="3"/>
    </row>
    <row r="2016" spans="1:4">
      <c r="A2016" s="691"/>
      <c r="D2016" s="3"/>
    </row>
    <row r="2017" spans="1:4">
      <c r="A2017" s="691"/>
      <c r="D2017" s="3"/>
    </row>
    <row r="2018" spans="1:4">
      <c r="A2018" s="691"/>
      <c r="D2018" s="3"/>
    </row>
    <row r="2019" spans="1:4">
      <c r="A2019" s="691"/>
      <c r="D2019" s="3"/>
    </row>
    <row r="2020" spans="1:4">
      <c r="A2020" s="691"/>
      <c r="D2020" s="3"/>
    </row>
    <row r="2021" spans="1:4">
      <c r="A2021" s="691"/>
      <c r="D2021" s="3"/>
    </row>
    <row r="2022" spans="1:4">
      <c r="A2022" s="691"/>
      <c r="D2022" s="3"/>
    </row>
    <row r="2023" spans="1:4">
      <c r="A2023" s="691"/>
      <c r="D2023" s="3"/>
    </row>
    <row r="2024" spans="1:4">
      <c r="A2024" s="691"/>
      <c r="D2024" s="3"/>
    </row>
    <row r="2025" spans="1:4">
      <c r="A2025" s="691"/>
      <c r="D2025" s="3"/>
    </row>
    <row r="2026" spans="1:4">
      <c r="A2026" s="691"/>
      <c r="D2026" s="3"/>
    </row>
    <row r="2027" spans="1:4">
      <c r="A2027" s="691"/>
      <c r="D2027" s="3"/>
    </row>
    <row r="2028" spans="1:4">
      <c r="A2028" s="691"/>
      <c r="D2028" s="3"/>
    </row>
    <row r="2029" spans="1:4">
      <c r="A2029" s="691"/>
      <c r="D2029" s="3"/>
    </row>
    <row r="2030" spans="1:4">
      <c r="A2030" s="691"/>
      <c r="D2030" s="3"/>
    </row>
    <row r="2031" spans="1:4">
      <c r="A2031" s="691"/>
      <c r="D2031" s="3"/>
    </row>
    <row r="2032" spans="1:4">
      <c r="A2032" s="691"/>
      <c r="D2032" s="3"/>
    </row>
    <row r="2033" spans="1:4">
      <c r="A2033" s="691"/>
      <c r="D2033" s="3"/>
    </row>
    <row r="2034" spans="1:4">
      <c r="A2034" s="691"/>
      <c r="D2034" s="3"/>
    </row>
    <row r="2035" spans="1:4">
      <c r="A2035" s="691"/>
      <c r="D2035" s="3"/>
    </row>
    <row r="2036" spans="1:4">
      <c r="A2036" s="691"/>
      <c r="D2036" s="3"/>
    </row>
    <row r="2037" spans="1:4">
      <c r="A2037" s="691"/>
      <c r="D2037" s="3"/>
    </row>
    <row r="2038" spans="1:4">
      <c r="A2038" s="691"/>
      <c r="D2038" s="3"/>
    </row>
    <row r="2039" spans="1:4">
      <c r="A2039" s="691"/>
      <c r="D2039" s="3"/>
    </row>
    <row r="2040" spans="1:4">
      <c r="A2040" s="691"/>
      <c r="D2040" s="3"/>
    </row>
    <row r="2041" spans="1:4">
      <c r="A2041" s="691"/>
      <c r="D2041" s="3"/>
    </row>
    <row r="2042" spans="1:4">
      <c r="A2042" s="691"/>
      <c r="D2042" s="3"/>
    </row>
    <row r="2043" spans="1:4">
      <c r="A2043" s="691"/>
      <c r="D2043" s="3"/>
    </row>
    <row r="2044" spans="1:4">
      <c r="A2044" s="691"/>
      <c r="D2044" s="3"/>
    </row>
    <row r="2045" spans="1:4">
      <c r="A2045" s="691"/>
      <c r="D2045" s="3"/>
    </row>
    <row r="2046" spans="1:4">
      <c r="A2046" s="691"/>
      <c r="D2046" s="3"/>
    </row>
    <row r="2047" spans="1:4">
      <c r="A2047" s="691"/>
      <c r="D2047" s="3"/>
    </row>
    <row r="2048" spans="1:4">
      <c r="A2048" s="691"/>
      <c r="D2048" s="3"/>
    </row>
    <row r="2049" spans="1:4">
      <c r="A2049" s="691"/>
      <c r="D2049" s="3"/>
    </row>
    <row r="2050" spans="1:4">
      <c r="A2050" s="691"/>
      <c r="D2050" s="3"/>
    </row>
    <row r="2051" spans="1:4">
      <c r="A2051" s="691"/>
      <c r="D2051" s="3"/>
    </row>
    <row r="2052" spans="1:4">
      <c r="A2052" s="691"/>
      <c r="D2052" s="3"/>
    </row>
    <row r="2053" spans="1:4">
      <c r="A2053" s="691"/>
      <c r="D2053" s="3"/>
    </row>
    <row r="2054" spans="1:4">
      <c r="A2054" s="691"/>
      <c r="D2054" s="3"/>
    </row>
    <row r="2055" spans="1:4">
      <c r="A2055" s="691"/>
      <c r="D2055" s="3"/>
    </row>
    <row r="2056" spans="1:4">
      <c r="A2056" s="691"/>
      <c r="D2056" s="3"/>
    </row>
    <row r="2057" spans="1:4">
      <c r="A2057" s="691"/>
      <c r="D2057" s="3"/>
    </row>
    <row r="2058" spans="1:4">
      <c r="A2058" s="691"/>
      <c r="D2058" s="3"/>
    </row>
    <row r="2059" spans="1:4">
      <c r="A2059" s="691"/>
      <c r="D2059" s="3"/>
    </row>
    <row r="2060" spans="1:4">
      <c r="A2060" s="691"/>
      <c r="D2060" s="3"/>
    </row>
    <row r="2061" spans="1:4">
      <c r="A2061" s="691"/>
      <c r="D2061" s="3"/>
    </row>
    <row r="2062" spans="1:4">
      <c r="A2062" s="691"/>
      <c r="D2062" s="3"/>
    </row>
    <row r="2063" spans="1:4">
      <c r="A2063" s="691"/>
      <c r="D2063" s="3"/>
    </row>
    <row r="2064" spans="1:4">
      <c r="A2064" s="691"/>
      <c r="D2064" s="3"/>
    </row>
    <row r="2065" spans="1:4">
      <c r="A2065" s="691"/>
      <c r="D2065" s="3"/>
    </row>
    <row r="2066" spans="1:4">
      <c r="A2066" s="691"/>
      <c r="D2066" s="3"/>
    </row>
    <row r="2067" spans="1:4">
      <c r="A2067" s="691"/>
      <c r="D2067" s="3"/>
    </row>
    <row r="2068" spans="1:4">
      <c r="A2068" s="691"/>
      <c r="D2068" s="3"/>
    </row>
    <row r="2069" spans="1:4">
      <c r="A2069" s="691"/>
      <c r="D2069" s="3"/>
    </row>
    <row r="2070" spans="1:4">
      <c r="A2070" s="691"/>
      <c r="D2070" s="3"/>
    </row>
    <row r="2071" spans="1:4">
      <c r="A2071" s="691"/>
      <c r="D2071" s="3"/>
    </row>
    <row r="2072" spans="1:4">
      <c r="A2072" s="691"/>
      <c r="D2072" s="3"/>
    </row>
    <row r="2073" spans="1:4">
      <c r="A2073" s="691"/>
      <c r="D2073" s="3"/>
    </row>
    <row r="2074" spans="1:4">
      <c r="A2074" s="691"/>
      <c r="D2074" s="3"/>
    </row>
    <row r="2075" spans="1:4">
      <c r="A2075" s="691"/>
      <c r="D2075" s="3"/>
    </row>
    <row r="2076" spans="1:4">
      <c r="A2076" s="691"/>
      <c r="D2076" s="3"/>
    </row>
    <row r="2077" spans="1:4">
      <c r="A2077" s="691"/>
      <c r="D2077" s="3"/>
    </row>
    <row r="2078" spans="1:4">
      <c r="A2078" s="691"/>
      <c r="D2078" s="3"/>
    </row>
    <row r="2079" spans="1:4">
      <c r="A2079" s="691"/>
      <c r="D2079" s="3"/>
    </row>
    <row r="2080" spans="1:4">
      <c r="A2080" s="691"/>
      <c r="D2080" s="3"/>
    </row>
    <row r="2081" spans="1:4">
      <c r="A2081" s="691"/>
      <c r="D2081" s="3"/>
    </row>
    <row r="2082" spans="1:4">
      <c r="A2082" s="691"/>
      <c r="D2082" s="3"/>
    </row>
    <row r="2083" spans="1:4">
      <c r="A2083" s="691"/>
      <c r="D2083" s="3"/>
    </row>
    <row r="2084" spans="1:4">
      <c r="A2084" s="691"/>
      <c r="D2084" s="3"/>
    </row>
    <row r="2085" spans="1:4">
      <c r="A2085" s="691"/>
      <c r="D2085" s="3"/>
    </row>
    <row r="2086" spans="1:4">
      <c r="A2086" s="691"/>
      <c r="D2086" s="3"/>
    </row>
    <row r="2087" spans="1:4">
      <c r="A2087" s="691"/>
      <c r="D2087" s="3"/>
    </row>
    <row r="2088" spans="1:4">
      <c r="A2088" s="691"/>
      <c r="D2088" s="3"/>
    </row>
    <row r="2089" spans="1:4">
      <c r="A2089" s="691"/>
      <c r="D2089" s="3"/>
    </row>
    <row r="2090" spans="1:4">
      <c r="A2090" s="691"/>
      <c r="D2090" s="3"/>
    </row>
    <row r="2091" spans="1:4">
      <c r="A2091" s="691"/>
      <c r="D2091" s="3"/>
    </row>
    <row r="2092" spans="1:4">
      <c r="A2092" s="691"/>
      <c r="D2092" s="3"/>
    </row>
    <row r="2093" spans="1:4">
      <c r="A2093" s="691"/>
      <c r="D2093" s="3"/>
    </row>
    <row r="2094" spans="1:4">
      <c r="A2094" s="691"/>
      <c r="D2094" s="3"/>
    </row>
    <row r="2095" spans="1:4">
      <c r="A2095" s="691"/>
      <c r="D2095" s="3"/>
    </row>
    <row r="2096" spans="1:4">
      <c r="A2096" s="691"/>
      <c r="D2096" s="3"/>
    </row>
    <row r="2097" spans="1:4">
      <c r="A2097" s="691"/>
      <c r="D2097" s="3"/>
    </row>
    <row r="2098" spans="1:4">
      <c r="A2098" s="691"/>
      <c r="D2098" s="3"/>
    </row>
    <row r="2099" spans="1:4">
      <c r="A2099" s="691"/>
      <c r="D2099" s="3"/>
    </row>
    <row r="2100" spans="1:4">
      <c r="A2100" s="691"/>
      <c r="D2100" s="3"/>
    </row>
    <row r="2101" spans="1:4">
      <c r="A2101" s="691"/>
      <c r="D2101" s="3"/>
    </row>
    <row r="2102" spans="1:4">
      <c r="A2102" s="691"/>
      <c r="D2102" s="3"/>
    </row>
    <row r="2103" spans="1:4">
      <c r="A2103" s="691"/>
      <c r="D2103" s="3"/>
    </row>
    <row r="2104" spans="1:4">
      <c r="A2104" s="691"/>
      <c r="D2104" s="3"/>
    </row>
    <row r="2105" spans="1:4">
      <c r="A2105" s="691"/>
      <c r="D2105" s="3"/>
    </row>
    <row r="2106" spans="1:4">
      <c r="A2106" s="691"/>
      <c r="D2106" s="3"/>
    </row>
    <row r="2107" spans="1:4">
      <c r="A2107" s="691"/>
      <c r="D2107" s="3"/>
    </row>
    <row r="2108" spans="1:4">
      <c r="A2108" s="691"/>
      <c r="D2108" s="3"/>
    </row>
    <row r="2109" spans="1:4">
      <c r="A2109" s="691"/>
      <c r="D2109" s="3"/>
    </row>
    <row r="2110" spans="1:4">
      <c r="A2110" s="691"/>
      <c r="D2110" s="3"/>
    </row>
    <row r="2111" spans="1:4">
      <c r="A2111" s="691"/>
      <c r="D2111" s="3"/>
    </row>
    <row r="2112" spans="1:4">
      <c r="A2112" s="691"/>
      <c r="D2112" s="3"/>
    </row>
    <row r="2113" spans="1:4">
      <c r="A2113" s="691"/>
      <c r="D2113" s="3"/>
    </row>
    <row r="2114" spans="1:4">
      <c r="A2114" s="691"/>
      <c r="D2114" s="3"/>
    </row>
    <row r="2115" spans="1:4">
      <c r="A2115" s="691"/>
      <c r="D2115" s="3"/>
    </row>
    <row r="2116" spans="1:4">
      <c r="A2116" s="691"/>
      <c r="D2116" s="3"/>
    </row>
    <row r="2117" spans="1:4">
      <c r="A2117" s="691"/>
      <c r="D2117" s="3"/>
    </row>
    <row r="2118" spans="1:4">
      <c r="A2118" s="691"/>
      <c r="D2118" s="3"/>
    </row>
    <row r="2119" spans="1:4">
      <c r="A2119" s="691"/>
      <c r="D2119" s="3"/>
    </row>
    <row r="2120" spans="1:4">
      <c r="A2120" s="691"/>
      <c r="D2120" s="3"/>
    </row>
    <row r="2121" spans="1:4">
      <c r="A2121" s="691"/>
      <c r="D2121" s="3"/>
    </row>
    <row r="2122" spans="1:4">
      <c r="A2122" s="691"/>
      <c r="D2122" s="3"/>
    </row>
    <row r="2123" spans="1:4">
      <c r="A2123" s="691"/>
      <c r="D2123" s="3"/>
    </row>
    <row r="2124" spans="1:4">
      <c r="A2124" s="691"/>
      <c r="D2124" s="3"/>
    </row>
    <row r="2125" spans="1:4">
      <c r="A2125" s="691"/>
      <c r="D2125" s="3"/>
    </row>
    <row r="2126" spans="1:4">
      <c r="A2126" s="691"/>
      <c r="D2126" s="3"/>
    </row>
    <row r="2127" spans="1:4">
      <c r="A2127" s="691"/>
      <c r="D2127" s="3"/>
    </row>
    <row r="2128" spans="1:4">
      <c r="A2128" s="691"/>
      <c r="D2128" s="3"/>
    </row>
    <row r="2129" spans="1:4">
      <c r="A2129" s="691"/>
      <c r="D2129" s="3"/>
    </row>
    <row r="2130" spans="1:4">
      <c r="A2130" s="691"/>
      <c r="D2130" s="3"/>
    </row>
    <row r="2131" spans="1:4">
      <c r="A2131" s="691"/>
      <c r="D2131" s="3"/>
    </row>
    <row r="2132" spans="1:4">
      <c r="A2132" s="691"/>
      <c r="D2132" s="3"/>
    </row>
    <row r="2133" spans="1:4">
      <c r="A2133" s="691"/>
      <c r="D2133" s="3"/>
    </row>
    <row r="2134" spans="1:4">
      <c r="A2134" s="691"/>
      <c r="D2134" s="3"/>
    </row>
    <row r="2135" spans="1:4">
      <c r="A2135" s="691"/>
      <c r="D2135" s="3"/>
    </row>
    <row r="2136" spans="1:4">
      <c r="A2136" s="691"/>
      <c r="D2136" s="3"/>
    </row>
    <row r="2137" spans="1:4">
      <c r="A2137" s="691"/>
      <c r="D2137" s="3"/>
    </row>
    <row r="2138" spans="1:4">
      <c r="A2138" s="691"/>
      <c r="D2138" s="3"/>
    </row>
    <row r="2139" spans="1:4">
      <c r="A2139" s="691"/>
      <c r="D2139" s="3"/>
    </row>
    <row r="2140" spans="1:4">
      <c r="A2140" s="691"/>
      <c r="D2140" s="3"/>
    </row>
    <row r="2141" spans="1:4">
      <c r="A2141" s="691"/>
      <c r="D2141" s="3"/>
    </row>
    <row r="2142" spans="1:4">
      <c r="A2142" s="691"/>
      <c r="D2142" s="3"/>
    </row>
    <row r="2143" spans="1:4">
      <c r="A2143" s="691"/>
      <c r="D2143" s="3"/>
    </row>
    <row r="2144" spans="1:4">
      <c r="A2144" s="691"/>
      <c r="D2144" s="3"/>
    </row>
    <row r="2145" spans="1:4">
      <c r="A2145" s="691"/>
      <c r="D2145" s="3"/>
    </row>
    <row r="2146" spans="1:4">
      <c r="A2146" s="691"/>
      <c r="D2146" s="3"/>
    </row>
    <row r="2147" spans="1:4">
      <c r="A2147" s="691"/>
      <c r="D2147" s="3"/>
    </row>
    <row r="2148" spans="1:4">
      <c r="A2148" s="691"/>
      <c r="D2148" s="3"/>
    </row>
    <row r="2149" spans="1:4">
      <c r="A2149" s="691"/>
      <c r="D2149" s="3"/>
    </row>
    <row r="2150" spans="1:4">
      <c r="A2150" s="691"/>
      <c r="D2150" s="3"/>
    </row>
    <row r="2151" spans="1:4">
      <c r="A2151" s="691"/>
      <c r="D2151" s="3"/>
    </row>
    <row r="2152" spans="1:4">
      <c r="A2152" s="691"/>
      <c r="D2152" s="3"/>
    </row>
    <row r="2153" spans="1:4">
      <c r="A2153" s="691"/>
      <c r="D2153" s="3"/>
    </row>
    <row r="2154" spans="1:4">
      <c r="A2154" s="691"/>
      <c r="D2154" s="3"/>
    </row>
    <row r="2155" spans="1:4">
      <c r="A2155" s="691"/>
      <c r="D2155" s="3"/>
    </row>
    <row r="2156" spans="1:4">
      <c r="A2156" s="691"/>
      <c r="D2156" s="3"/>
    </row>
    <row r="2157" spans="1:4">
      <c r="A2157" s="691"/>
      <c r="D2157" s="3"/>
    </row>
    <row r="2158" spans="1:4">
      <c r="A2158" s="691"/>
      <c r="D2158" s="3"/>
    </row>
    <row r="2159" spans="1:4">
      <c r="A2159" s="691"/>
      <c r="D2159" s="3"/>
    </row>
    <row r="2160" spans="1:4">
      <c r="A2160" s="691"/>
      <c r="D2160" s="3"/>
    </row>
    <row r="2161" spans="1:4">
      <c r="A2161" s="691"/>
      <c r="D2161" s="3"/>
    </row>
    <row r="2162" spans="1:4">
      <c r="A2162" s="691"/>
      <c r="D2162" s="3"/>
    </row>
    <row r="2163" spans="1:4">
      <c r="A2163" s="691"/>
      <c r="D2163" s="3"/>
    </row>
    <row r="2164" spans="1:4">
      <c r="A2164" s="691"/>
      <c r="D2164" s="3"/>
    </row>
    <row r="2165" spans="1:4">
      <c r="A2165" s="691"/>
      <c r="D2165" s="3"/>
    </row>
    <row r="2166" spans="1:4">
      <c r="A2166" s="691"/>
      <c r="D2166" s="3"/>
    </row>
    <row r="2167" spans="1:4">
      <c r="A2167" s="691"/>
      <c r="D2167" s="3"/>
    </row>
    <row r="2168" spans="1:4">
      <c r="A2168" s="691"/>
      <c r="D2168" s="3"/>
    </row>
    <row r="2169" spans="1:4">
      <c r="A2169" s="691"/>
      <c r="D2169" s="3"/>
    </row>
    <row r="2170" spans="1:4">
      <c r="A2170" s="691"/>
      <c r="D2170" s="3"/>
    </row>
    <row r="2171" spans="1:4">
      <c r="A2171" s="691"/>
      <c r="D2171" s="3"/>
    </row>
    <row r="2172" spans="1:4">
      <c r="A2172" s="691"/>
      <c r="D2172" s="3"/>
    </row>
    <row r="2173" spans="1:4">
      <c r="A2173" s="691"/>
      <c r="D2173" s="3"/>
    </row>
    <row r="2174" spans="1:4">
      <c r="A2174" s="691"/>
      <c r="D2174" s="3"/>
    </row>
    <row r="2175" spans="1:4">
      <c r="A2175" s="691"/>
      <c r="D2175" s="3"/>
    </row>
    <row r="2176" spans="1:4">
      <c r="A2176" s="691"/>
      <c r="D2176" s="3"/>
    </row>
    <row r="2177" spans="1:4">
      <c r="A2177" s="691"/>
      <c r="D2177" s="3"/>
    </row>
    <row r="2178" spans="1:4">
      <c r="A2178" s="691"/>
      <c r="D2178" s="3"/>
    </row>
    <row r="2179" spans="1:4">
      <c r="A2179" s="691"/>
      <c r="D2179" s="3"/>
    </row>
    <row r="2180" spans="1:4">
      <c r="A2180" s="691"/>
      <c r="D2180" s="3"/>
    </row>
    <row r="2181" spans="1:4">
      <c r="A2181" s="691"/>
      <c r="D2181" s="3"/>
    </row>
    <row r="2182" spans="1:4">
      <c r="A2182" s="691"/>
      <c r="D2182" s="3"/>
    </row>
    <row r="2183" spans="1:4">
      <c r="A2183" s="691"/>
      <c r="D2183" s="3"/>
    </row>
    <row r="2184" spans="1:4">
      <c r="A2184" s="691"/>
      <c r="D2184" s="3"/>
    </row>
    <row r="2185" spans="1:4">
      <c r="A2185" s="691"/>
      <c r="D2185" s="3"/>
    </row>
    <row r="2186" spans="1:4">
      <c r="A2186" s="691"/>
      <c r="D2186" s="3"/>
    </row>
    <row r="2187" spans="1:4">
      <c r="A2187" s="691"/>
      <c r="D2187" s="3"/>
    </row>
    <row r="2188" spans="1:4">
      <c r="A2188" s="691"/>
      <c r="D2188" s="3"/>
    </row>
    <row r="2189" spans="1:4">
      <c r="A2189" s="691"/>
      <c r="D2189" s="3"/>
    </row>
    <row r="2190" spans="1:4">
      <c r="A2190" s="691"/>
      <c r="D2190" s="3"/>
    </row>
    <row r="2191" spans="1:4">
      <c r="A2191" s="691"/>
      <c r="D2191" s="3"/>
    </row>
    <row r="2192" spans="1:4">
      <c r="A2192" s="691"/>
      <c r="D2192" s="3"/>
    </row>
    <row r="2193" spans="1:4">
      <c r="A2193" s="691"/>
      <c r="D2193" s="3"/>
    </row>
    <row r="2194" spans="1:4">
      <c r="A2194" s="691"/>
      <c r="D2194" s="3"/>
    </row>
    <row r="2195" spans="1:4">
      <c r="A2195" s="691"/>
      <c r="D2195" s="3"/>
    </row>
    <row r="2196" spans="1:4">
      <c r="A2196" s="691"/>
      <c r="D2196" s="3"/>
    </row>
    <row r="2197" spans="1:4">
      <c r="A2197" s="691"/>
      <c r="D2197" s="3"/>
    </row>
    <row r="2198" spans="1:4">
      <c r="A2198" s="691"/>
      <c r="D2198" s="3"/>
    </row>
    <row r="2199" spans="1:4">
      <c r="A2199" s="691"/>
      <c r="D2199" s="3"/>
    </row>
    <row r="2200" spans="1:4">
      <c r="A2200" s="691"/>
      <c r="D2200" s="3"/>
    </row>
    <row r="2201" spans="1:4">
      <c r="A2201" s="691"/>
      <c r="D2201" s="3"/>
    </row>
    <row r="2202" spans="1:4">
      <c r="A2202" s="691"/>
      <c r="D2202" s="3"/>
    </row>
    <row r="2203" spans="1:4">
      <c r="A2203" s="691"/>
      <c r="D2203" s="3"/>
    </row>
    <row r="2204" spans="1:4">
      <c r="A2204" s="691"/>
      <c r="D2204" s="3"/>
    </row>
    <row r="2205" spans="1:4">
      <c r="A2205" s="691"/>
      <c r="D2205" s="3"/>
    </row>
    <row r="2206" spans="1:4">
      <c r="A2206" s="691"/>
      <c r="D2206" s="3"/>
    </row>
    <row r="2207" spans="1:4">
      <c r="A2207" s="691"/>
      <c r="D2207" s="3"/>
    </row>
    <row r="2208" spans="1:4">
      <c r="A2208" s="691"/>
      <c r="D2208" s="3"/>
    </row>
    <row r="2209" spans="1:4">
      <c r="A2209" s="691"/>
      <c r="D2209" s="3"/>
    </row>
    <row r="2210" spans="1:4">
      <c r="A2210" s="691"/>
      <c r="D2210" s="3"/>
    </row>
    <row r="2211" spans="1:4">
      <c r="A2211" s="691"/>
      <c r="D2211" s="3"/>
    </row>
    <row r="2212" spans="1:4">
      <c r="A2212" s="691"/>
      <c r="D2212" s="3"/>
    </row>
    <row r="2213" spans="1:4">
      <c r="A2213" s="691"/>
      <c r="D2213" s="3"/>
    </row>
    <row r="2214" spans="1:4">
      <c r="A2214" s="691"/>
      <c r="D2214" s="3"/>
    </row>
    <row r="2215" spans="1:4">
      <c r="A2215" s="691"/>
      <c r="D2215" s="3"/>
    </row>
    <row r="2216" spans="1:4">
      <c r="A2216" s="691"/>
      <c r="D2216" s="3"/>
    </row>
    <row r="2217" spans="1:4">
      <c r="A2217" s="691"/>
      <c r="D2217" s="3"/>
    </row>
    <row r="2218" spans="1:4">
      <c r="A2218" s="691"/>
      <c r="D2218" s="3"/>
    </row>
    <row r="2219" spans="1:4">
      <c r="A2219" s="691"/>
      <c r="D2219" s="3"/>
    </row>
    <row r="2220" spans="1:4">
      <c r="A2220" s="691"/>
      <c r="D2220" s="3"/>
    </row>
    <row r="2221" spans="1:4">
      <c r="A2221" s="691"/>
      <c r="D2221" s="3"/>
    </row>
    <row r="2222" spans="1:4">
      <c r="A2222" s="691"/>
      <c r="D2222" s="3"/>
    </row>
    <row r="2223" spans="1:4">
      <c r="A2223" s="691"/>
      <c r="D2223" s="3"/>
    </row>
    <row r="2224" spans="1:4">
      <c r="A2224" s="691"/>
      <c r="D2224" s="3"/>
    </row>
    <row r="2225" spans="1:4">
      <c r="A2225" s="691"/>
      <c r="D2225" s="3"/>
    </row>
    <row r="2226" spans="1:4">
      <c r="A2226" s="691"/>
      <c r="D2226" s="3"/>
    </row>
    <row r="2227" spans="1:4">
      <c r="A2227" s="691"/>
      <c r="D2227" s="3"/>
    </row>
    <row r="2228" spans="1:4">
      <c r="A2228" s="691"/>
      <c r="D2228" s="3"/>
    </row>
    <row r="2229" spans="1:4">
      <c r="A2229" s="691"/>
      <c r="D2229" s="3"/>
    </row>
    <row r="2230" spans="1:4">
      <c r="A2230" s="691"/>
      <c r="D2230" s="3"/>
    </row>
    <row r="2231" spans="1:4">
      <c r="A2231" s="691"/>
      <c r="D2231" s="3"/>
    </row>
    <row r="2232" spans="1:4">
      <c r="A2232" s="691"/>
      <c r="D2232" s="3"/>
    </row>
    <row r="2233" spans="1:4">
      <c r="A2233" s="691"/>
      <c r="D2233" s="3"/>
    </row>
    <row r="2234" spans="1:4">
      <c r="A2234" s="691"/>
      <c r="D2234" s="3"/>
    </row>
    <row r="2235" spans="1:4">
      <c r="A2235" s="691"/>
      <c r="D2235" s="3"/>
    </row>
    <row r="2236" spans="1:4">
      <c r="A2236" s="691"/>
      <c r="D2236" s="3"/>
    </row>
    <row r="2237" spans="1:4">
      <c r="A2237" s="691"/>
      <c r="D2237" s="3"/>
    </row>
    <row r="2238" spans="1:4">
      <c r="A2238" s="691"/>
      <c r="D2238" s="3"/>
    </row>
    <row r="2239" spans="1:4">
      <c r="A2239" s="691"/>
      <c r="D2239" s="3"/>
    </row>
    <row r="2240" spans="1:4">
      <c r="A2240" s="691"/>
      <c r="D2240" s="3"/>
    </row>
    <row r="2241" spans="1:4">
      <c r="A2241" s="691"/>
      <c r="D2241" s="3"/>
    </row>
    <row r="2242" spans="1:4">
      <c r="A2242" s="691"/>
      <c r="D2242" s="3"/>
    </row>
    <row r="2243" spans="1:4">
      <c r="A2243" s="691"/>
      <c r="D2243" s="3"/>
    </row>
    <row r="2244" spans="1:4">
      <c r="A2244" s="691"/>
      <c r="D2244" s="3"/>
    </row>
    <row r="2245" spans="1:4">
      <c r="A2245" s="691"/>
      <c r="D2245" s="3"/>
    </row>
    <row r="2246" spans="1:4">
      <c r="A2246" s="691"/>
      <c r="D2246" s="3"/>
    </row>
    <row r="2247" spans="1:4">
      <c r="A2247" s="691"/>
      <c r="D2247" s="3"/>
    </row>
    <row r="2248" spans="1:4">
      <c r="A2248" s="691"/>
      <c r="D2248" s="3"/>
    </row>
    <row r="2249" spans="1:4">
      <c r="A2249" s="691"/>
      <c r="D2249" s="3"/>
    </row>
    <row r="2250" spans="1:4">
      <c r="A2250" s="691"/>
      <c r="D2250" s="3"/>
    </row>
    <row r="2251" spans="1:4">
      <c r="A2251" s="691"/>
      <c r="D2251" s="3"/>
    </row>
    <row r="2252" spans="1:4">
      <c r="A2252" s="691"/>
      <c r="D2252" s="3"/>
    </row>
    <row r="2253" spans="1:4">
      <c r="A2253" s="691"/>
      <c r="D2253" s="3"/>
    </row>
    <row r="2254" spans="1:4">
      <c r="A2254" s="691"/>
      <c r="D2254" s="3"/>
    </row>
    <row r="2255" spans="1:4">
      <c r="A2255" s="691"/>
      <c r="D2255" s="3"/>
    </row>
    <row r="2256" spans="1:4">
      <c r="A2256" s="691"/>
      <c r="D2256" s="3"/>
    </row>
    <row r="2257" spans="1:4">
      <c r="A2257" s="691"/>
      <c r="D2257" s="3"/>
    </row>
    <row r="2258" spans="1:4">
      <c r="A2258" s="691"/>
      <c r="D2258" s="3"/>
    </row>
    <row r="2259" spans="1:4">
      <c r="A2259" s="691"/>
      <c r="D2259" s="3"/>
    </row>
    <row r="2260" spans="1:4">
      <c r="A2260" s="691"/>
      <c r="D2260" s="3"/>
    </row>
    <row r="2261" spans="1:4">
      <c r="A2261" s="691"/>
      <c r="D2261" s="3"/>
    </row>
    <row r="2262" spans="1:4">
      <c r="A2262" s="691"/>
      <c r="D2262" s="3"/>
    </row>
    <row r="2263" spans="1:4">
      <c r="A2263" s="691"/>
      <c r="D2263" s="3"/>
    </row>
    <row r="2264" spans="1:4">
      <c r="A2264" s="691"/>
      <c r="D2264" s="3"/>
    </row>
    <row r="2265" spans="1:4">
      <c r="A2265" s="691"/>
      <c r="D2265" s="3"/>
    </row>
    <row r="2266" spans="1:4">
      <c r="A2266" s="691"/>
      <c r="D2266" s="3"/>
    </row>
    <row r="2267" spans="1:4">
      <c r="A2267" s="691"/>
      <c r="D2267" s="3"/>
    </row>
    <row r="2268" spans="1:4">
      <c r="A2268" s="691"/>
      <c r="D2268" s="3"/>
    </row>
    <row r="2269" spans="1:4">
      <c r="A2269" s="691"/>
      <c r="D2269" s="3"/>
    </row>
    <row r="2270" spans="1:4">
      <c r="A2270" s="691"/>
      <c r="D2270" s="3"/>
    </row>
    <row r="2271" spans="1:4">
      <c r="A2271" s="691"/>
      <c r="D2271" s="3"/>
    </row>
    <row r="2272" spans="1:4">
      <c r="A2272" s="691"/>
      <c r="D2272" s="3"/>
    </row>
    <row r="2273" spans="1:4">
      <c r="A2273" s="691"/>
      <c r="D2273" s="3"/>
    </row>
    <row r="2274" spans="1:4">
      <c r="A2274" s="691"/>
      <c r="D2274" s="3"/>
    </row>
    <row r="2275" spans="1:4">
      <c r="A2275" s="691"/>
      <c r="D2275" s="3"/>
    </row>
    <row r="2276" spans="1:4">
      <c r="A2276" s="691"/>
      <c r="D2276" s="3"/>
    </row>
    <row r="2277" spans="1:4">
      <c r="A2277" s="691"/>
      <c r="D2277" s="3"/>
    </row>
    <row r="2278" spans="1:4">
      <c r="A2278" s="691"/>
      <c r="D2278" s="3"/>
    </row>
    <row r="2279" spans="1:4">
      <c r="A2279" s="691"/>
      <c r="D2279" s="3"/>
    </row>
    <row r="2280" spans="1:4">
      <c r="A2280" s="691"/>
      <c r="D2280" s="3"/>
    </row>
    <row r="2281" spans="1:4">
      <c r="A2281" s="691"/>
      <c r="D2281" s="3"/>
    </row>
    <row r="2282" spans="1:4">
      <c r="A2282" s="691"/>
      <c r="D2282" s="3"/>
    </row>
    <row r="2283" spans="1:4">
      <c r="A2283" s="691"/>
      <c r="D2283" s="3"/>
    </row>
    <row r="2284" spans="1:4">
      <c r="A2284" s="691"/>
      <c r="D2284" s="3"/>
    </row>
    <row r="2285" spans="1:4">
      <c r="A2285" s="691"/>
      <c r="D2285" s="3"/>
    </row>
    <row r="2286" spans="1:4">
      <c r="A2286" s="691"/>
      <c r="D2286" s="3"/>
    </row>
    <row r="2287" spans="1:4">
      <c r="A2287" s="691"/>
      <c r="D2287" s="3"/>
    </row>
    <row r="2288" spans="1:4">
      <c r="A2288" s="691"/>
      <c r="D2288" s="3"/>
    </row>
    <row r="2289" spans="1:4">
      <c r="A2289" s="691"/>
      <c r="D2289" s="3"/>
    </row>
    <row r="2290" spans="1:4">
      <c r="A2290" s="691"/>
      <c r="D2290" s="3"/>
    </row>
    <row r="2291" spans="1:4">
      <c r="A2291" s="691"/>
      <c r="D2291" s="3"/>
    </row>
    <row r="2292" spans="1:4">
      <c r="A2292" s="691"/>
      <c r="D2292" s="3"/>
    </row>
    <row r="2293" spans="1:4">
      <c r="A2293" s="691"/>
      <c r="D2293" s="3"/>
    </row>
    <row r="2294" spans="1:4">
      <c r="A2294" s="691"/>
      <c r="D2294" s="3"/>
    </row>
    <row r="2295" spans="1:4">
      <c r="A2295" s="691"/>
      <c r="D2295" s="3"/>
    </row>
    <row r="2296" spans="1:4">
      <c r="A2296" s="691"/>
      <c r="D2296" s="3"/>
    </row>
    <row r="2297" spans="1:4">
      <c r="A2297" s="691"/>
      <c r="D2297" s="3"/>
    </row>
    <row r="2298" spans="1:4">
      <c r="A2298" s="691"/>
      <c r="D2298" s="3"/>
    </row>
    <row r="2299" spans="1:4">
      <c r="A2299" s="691"/>
      <c r="D2299" s="3"/>
    </row>
    <row r="2300" spans="1:4">
      <c r="A2300" s="691"/>
      <c r="D2300" s="3"/>
    </row>
    <row r="2301" spans="1:4">
      <c r="A2301" s="691"/>
      <c r="D2301" s="3"/>
    </row>
    <row r="2302" spans="1:4">
      <c r="A2302" s="691"/>
      <c r="D2302" s="3"/>
    </row>
    <row r="2303" spans="1:4">
      <c r="A2303" s="691"/>
      <c r="D2303" s="3"/>
    </row>
    <row r="2304" spans="1:4">
      <c r="A2304" s="691"/>
      <c r="D2304" s="3"/>
    </row>
    <row r="2305" spans="1:4">
      <c r="A2305" s="691"/>
      <c r="D2305" s="3"/>
    </row>
    <row r="2306" spans="1:4">
      <c r="A2306" s="691"/>
      <c r="D2306" s="3"/>
    </row>
    <row r="2307" spans="1:4">
      <c r="A2307" s="691"/>
      <c r="D2307" s="3"/>
    </row>
    <row r="2308" spans="1:4">
      <c r="A2308" s="691"/>
      <c r="D2308" s="3"/>
    </row>
    <row r="2309" spans="1:4">
      <c r="A2309" s="691"/>
      <c r="D2309" s="3"/>
    </row>
    <row r="2310" spans="1:4">
      <c r="A2310" s="691"/>
      <c r="D2310" s="3"/>
    </row>
    <row r="2311" spans="1:4">
      <c r="A2311" s="691"/>
      <c r="D2311" s="3"/>
    </row>
    <row r="2312" spans="1:4">
      <c r="A2312" s="691"/>
      <c r="D2312" s="3"/>
    </row>
    <row r="2313" spans="1:4">
      <c r="A2313" s="691"/>
      <c r="D2313" s="3"/>
    </row>
    <row r="2314" spans="1:4">
      <c r="A2314" s="691"/>
      <c r="D2314" s="3"/>
    </row>
    <row r="2315" spans="1:4">
      <c r="A2315" s="691"/>
      <c r="D2315" s="3"/>
    </row>
    <row r="2316" spans="1:4">
      <c r="A2316" s="691"/>
      <c r="D2316" s="3"/>
    </row>
    <row r="2317" spans="1:4">
      <c r="A2317" s="691"/>
      <c r="D2317" s="3"/>
    </row>
    <row r="2318" spans="1:4">
      <c r="A2318" s="691"/>
      <c r="D2318" s="3"/>
    </row>
    <row r="2319" spans="1:4">
      <c r="A2319" s="691"/>
      <c r="D2319" s="3"/>
    </row>
    <row r="2320" spans="1:4">
      <c r="A2320" s="691"/>
      <c r="D2320" s="3"/>
    </row>
    <row r="2321" spans="1:4">
      <c r="A2321" s="691"/>
      <c r="D2321" s="3"/>
    </row>
    <row r="2322" spans="1:4">
      <c r="A2322" s="691"/>
      <c r="D2322" s="3"/>
    </row>
    <row r="2323" spans="1:4">
      <c r="A2323" s="691"/>
      <c r="D2323" s="3"/>
    </row>
    <row r="2324" spans="1:4">
      <c r="A2324" s="691"/>
      <c r="D2324" s="3"/>
    </row>
    <row r="2325" spans="1:4">
      <c r="A2325" s="691"/>
      <c r="D2325" s="3"/>
    </row>
    <row r="2326" spans="1:4">
      <c r="A2326" s="691"/>
      <c r="D2326" s="3"/>
    </row>
    <row r="2327" spans="1:4">
      <c r="A2327" s="691"/>
      <c r="D2327" s="3"/>
    </row>
    <row r="2328" spans="1:4">
      <c r="A2328" s="691"/>
      <c r="D2328" s="3"/>
    </row>
    <row r="2329" spans="1:4">
      <c r="A2329" s="691"/>
      <c r="D2329" s="3"/>
    </row>
    <row r="2330" spans="1:4">
      <c r="A2330" s="691"/>
      <c r="D2330" s="3"/>
    </row>
    <row r="2331" spans="1:4">
      <c r="A2331" s="691"/>
      <c r="D2331" s="3"/>
    </row>
    <row r="2332" spans="1:4">
      <c r="A2332" s="691"/>
      <c r="D2332" s="3"/>
    </row>
    <row r="2333" spans="1:4">
      <c r="A2333" s="691"/>
      <c r="D2333" s="3"/>
    </row>
    <row r="2334" spans="1:4">
      <c r="A2334" s="691"/>
      <c r="D2334" s="3"/>
    </row>
    <row r="2335" spans="1:4">
      <c r="A2335" s="691"/>
      <c r="D2335" s="3"/>
    </row>
    <row r="2336" spans="1:4">
      <c r="A2336" s="691"/>
      <c r="D2336" s="3"/>
    </row>
    <row r="2337" spans="1:4">
      <c r="A2337" s="691"/>
      <c r="D2337" s="3"/>
    </row>
    <row r="2338" spans="1:4">
      <c r="A2338" s="691"/>
      <c r="D2338" s="3"/>
    </row>
    <row r="2339" spans="1:4">
      <c r="A2339" s="691"/>
      <c r="D2339" s="3"/>
    </row>
    <row r="2340" spans="1:4">
      <c r="A2340" s="691"/>
      <c r="D2340" s="3"/>
    </row>
    <row r="2341" spans="1:4">
      <c r="A2341" s="691"/>
      <c r="D2341" s="3"/>
    </row>
    <row r="2342" spans="1:4">
      <c r="A2342" s="691"/>
      <c r="D2342" s="3"/>
    </row>
    <row r="2343" spans="1:4">
      <c r="A2343" s="691"/>
      <c r="D2343" s="3"/>
    </row>
    <row r="2344" spans="1:4">
      <c r="A2344" s="691"/>
      <c r="D2344" s="3"/>
    </row>
    <row r="2345" spans="1:4">
      <c r="A2345" s="691"/>
      <c r="D2345" s="3"/>
    </row>
    <row r="2346" spans="1:4">
      <c r="A2346" s="691"/>
      <c r="D2346" s="3"/>
    </row>
    <row r="2347" spans="1:4">
      <c r="A2347" s="691"/>
      <c r="D2347" s="3"/>
    </row>
    <row r="2348" spans="1:4">
      <c r="A2348" s="691"/>
      <c r="D2348" s="3"/>
    </row>
    <row r="2349" spans="1:4">
      <c r="A2349" s="691"/>
      <c r="D2349" s="3"/>
    </row>
    <row r="2350" spans="1:4">
      <c r="A2350" s="691"/>
      <c r="D2350" s="3"/>
    </row>
    <row r="2351" spans="1:4">
      <c r="A2351" s="691"/>
      <c r="D2351" s="3"/>
    </row>
    <row r="2352" spans="1:4">
      <c r="A2352" s="691"/>
      <c r="D2352" s="3"/>
    </row>
    <row r="2353" spans="1:4">
      <c r="A2353" s="691"/>
      <c r="D2353" s="3"/>
    </row>
    <row r="2354" spans="1:4">
      <c r="A2354" s="691"/>
      <c r="D2354" s="3"/>
    </row>
    <row r="2355" spans="1:4">
      <c r="A2355" s="691"/>
      <c r="D2355" s="3"/>
    </row>
    <row r="2356" spans="1:4">
      <c r="A2356" s="691"/>
      <c r="D2356" s="3"/>
    </row>
    <row r="2357" spans="1:4">
      <c r="A2357" s="691"/>
      <c r="D2357" s="3"/>
    </row>
    <row r="2358" spans="1:4">
      <c r="A2358" s="691"/>
      <c r="D2358" s="3"/>
    </row>
    <row r="2359" spans="1:4">
      <c r="A2359" s="691"/>
      <c r="D2359" s="3"/>
    </row>
    <row r="2360" spans="1:4">
      <c r="A2360" s="691"/>
      <c r="D2360" s="3"/>
    </row>
    <row r="2361" spans="1:4">
      <c r="A2361" s="691"/>
      <c r="D2361" s="3"/>
    </row>
    <row r="2362" spans="1:4">
      <c r="A2362" s="691"/>
      <c r="D2362" s="3"/>
    </row>
    <row r="2363" spans="1:4">
      <c r="A2363" s="691"/>
      <c r="D2363" s="3"/>
    </row>
    <row r="2364" spans="1:4">
      <c r="A2364" s="691"/>
      <c r="D2364" s="3"/>
    </row>
    <row r="2365" spans="1:4">
      <c r="A2365" s="691"/>
      <c r="D2365" s="3"/>
    </row>
    <row r="2366" spans="1:4">
      <c r="A2366" s="691"/>
      <c r="D2366" s="3"/>
    </row>
    <row r="2367" spans="1:4">
      <c r="A2367" s="691"/>
      <c r="D2367" s="3"/>
    </row>
    <row r="2368" spans="1:4">
      <c r="A2368" s="691"/>
      <c r="D2368" s="3"/>
    </row>
    <row r="2369" spans="1:4">
      <c r="A2369" s="691"/>
      <c r="D2369" s="3"/>
    </row>
    <row r="2370" spans="1:4">
      <c r="A2370" s="691"/>
      <c r="D2370" s="3"/>
    </row>
    <row r="2371" spans="1:4">
      <c r="A2371" s="691"/>
      <c r="D2371" s="3"/>
    </row>
    <row r="2372" spans="1:4">
      <c r="A2372" s="691"/>
      <c r="D2372" s="3"/>
    </row>
    <row r="2373" spans="1:4">
      <c r="A2373" s="691"/>
      <c r="D2373" s="3"/>
    </row>
    <row r="2374" spans="1:4">
      <c r="A2374" s="691"/>
      <c r="D2374" s="3"/>
    </row>
    <row r="2375" spans="1:4">
      <c r="A2375" s="691"/>
      <c r="D2375" s="3"/>
    </row>
    <row r="2376" spans="1:4">
      <c r="A2376" s="691"/>
      <c r="D2376" s="3"/>
    </row>
    <row r="2377" spans="1:4">
      <c r="A2377" s="691"/>
      <c r="D2377" s="3"/>
    </row>
    <row r="2378" spans="1:4">
      <c r="A2378" s="691"/>
      <c r="D2378" s="3"/>
    </row>
    <row r="2379" spans="1:4">
      <c r="A2379" s="691"/>
      <c r="D2379" s="3"/>
    </row>
    <row r="2380" spans="1:4">
      <c r="A2380" s="691"/>
      <c r="D2380" s="3"/>
    </row>
    <row r="2381" spans="1:4">
      <c r="A2381" s="691"/>
      <c r="D2381" s="3"/>
    </row>
    <row r="2382" spans="1:4">
      <c r="A2382" s="691"/>
      <c r="D2382" s="3"/>
    </row>
    <row r="2383" spans="1:4">
      <c r="A2383" s="691"/>
      <c r="D2383" s="3"/>
    </row>
    <row r="2384" spans="1:4">
      <c r="A2384" s="691"/>
      <c r="D2384" s="3"/>
    </row>
    <row r="2385" spans="1:4">
      <c r="A2385" s="691"/>
      <c r="D2385" s="3"/>
    </row>
    <row r="2386" spans="1:4">
      <c r="A2386" s="691"/>
      <c r="D2386" s="3"/>
    </row>
    <row r="2387" spans="1:4">
      <c r="A2387" s="691"/>
      <c r="D2387" s="3"/>
    </row>
    <row r="2388" spans="1:4">
      <c r="A2388" s="691"/>
      <c r="D2388" s="3"/>
    </row>
    <row r="2389" spans="1:4">
      <c r="A2389" s="691"/>
      <c r="D2389" s="3"/>
    </row>
    <row r="2390" spans="1:4">
      <c r="A2390" s="691"/>
      <c r="D2390" s="3"/>
    </row>
    <row r="2391" spans="1:4">
      <c r="A2391" s="691"/>
      <c r="D2391" s="3"/>
    </row>
    <row r="2392" spans="1:4">
      <c r="A2392" s="691"/>
      <c r="D2392" s="3"/>
    </row>
    <row r="2393" spans="1:4">
      <c r="A2393" s="691"/>
      <c r="D2393" s="3"/>
    </row>
    <row r="2394" spans="1:4">
      <c r="A2394" s="691"/>
      <c r="D2394" s="3"/>
    </row>
    <row r="2395" spans="1:4">
      <c r="A2395" s="691"/>
      <c r="D2395" s="3"/>
    </row>
    <row r="2396" spans="1:4">
      <c r="A2396" s="691"/>
      <c r="D2396" s="3"/>
    </row>
    <row r="2397" spans="1:4">
      <c r="A2397" s="691"/>
      <c r="D2397" s="3"/>
    </row>
    <row r="2398" spans="1:4">
      <c r="A2398" s="691"/>
      <c r="D2398" s="3"/>
    </row>
    <row r="2399" spans="1:4">
      <c r="A2399" s="691"/>
      <c r="D2399" s="3"/>
    </row>
    <row r="2400" spans="1:4">
      <c r="A2400" s="691"/>
      <c r="D2400" s="3"/>
    </row>
    <row r="2401" spans="1:4">
      <c r="A2401" s="691"/>
      <c r="D2401" s="3"/>
    </row>
    <row r="2402" spans="1:4">
      <c r="A2402" s="691"/>
      <c r="D2402" s="3"/>
    </row>
    <row r="2403" spans="1:4">
      <c r="A2403" s="691"/>
      <c r="D2403" s="3"/>
    </row>
    <row r="2404" spans="1:4">
      <c r="A2404" s="691"/>
      <c r="D2404" s="3"/>
    </row>
    <row r="2405" spans="1:4">
      <c r="A2405" s="691"/>
      <c r="D2405" s="3"/>
    </row>
    <row r="2406" spans="1:4">
      <c r="A2406" s="691"/>
      <c r="D2406" s="3"/>
    </row>
    <row r="2407" spans="1:4">
      <c r="A2407" s="691"/>
      <c r="D2407" s="3"/>
    </row>
    <row r="2408" spans="1:4">
      <c r="A2408" s="691"/>
      <c r="D2408" s="3"/>
    </row>
    <row r="2409" spans="1:4">
      <c r="A2409" s="691"/>
      <c r="D2409" s="3"/>
    </row>
    <row r="2410" spans="1:4">
      <c r="A2410" s="691"/>
      <c r="D2410" s="3"/>
    </row>
    <row r="2411" spans="1:4">
      <c r="A2411" s="691"/>
      <c r="D2411" s="3"/>
    </row>
    <row r="2412" spans="1:4">
      <c r="A2412" s="691"/>
      <c r="D2412" s="3"/>
    </row>
    <row r="2413" spans="1:4">
      <c r="A2413" s="691"/>
      <c r="D2413" s="3"/>
    </row>
    <row r="2414" spans="1:4">
      <c r="A2414" s="691"/>
      <c r="D2414" s="3"/>
    </row>
    <row r="2415" spans="1:4">
      <c r="A2415" s="691"/>
      <c r="D2415" s="3"/>
    </row>
    <row r="2416" spans="1:4">
      <c r="A2416" s="691"/>
      <c r="D2416" s="3"/>
    </row>
    <row r="2417" spans="1:4">
      <c r="A2417" s="691"/>
      <c r="D2417" s="3"/>
    </row>
    <row r="2418" spans="1:4">
      <c r="A2418" s="691"/>
      <c r="D2418" s="3"/>
    </row>
    <row r="2419" spans="1:4">
      <c r="A2419" s="691"/>
      <c r="D2419" s="3"/>
    </row>
    <row r="2420" spans="1:4">
      <c r="A2420" s="691"/>
      <c r="D2420" s="3"/>
    </row>
    <row r="2421" spans="1:4">
      <c r="A2421" s="691"/>
      <c r="D2421" s="3"/>
    </row>
    <row r="2422" spans="1:4">
      <c r="A2422" s="691"/>
      <c r="D2422" s="3"/>
    </row>
    <row r="2423" spans="1:4">
      <c r="A2423" s="691"/>
      <c r="D2423" s="3"/>
    </row>
    <row r="2424" spans="1:4">
      <c r="A2424" s="691"/>
      <c r="D2424" s="3"/>
    </row>
    <row r="2425" spans="1:4">
      <c r="A2425" s="691"/>
      <c r="D2425" s="3"/>
    </row>
    <row r="2426" spans="1:4">
      <c r="A2426" s="691"/>
      <c r="D2426" s="3"/>
    </row>
    <row r="2427" spans="1:4">
      <c r="A2427" s="691"/>
      <c r="D2427" s="3"/>
    </row>
    <row r="2428" spans="1:4">
      <c r="A2428" s="691"/>
      <c r="D2428" s="3"/>
    </row>
    <row r="2429" spans="1:4">
      <c r="A2429" s="691"/>
      <c r="D2429" s="3"/>
    </row>
    <row r="2430" spans="1:4">
      <c r="A2430" s="691"/>
      <c r="D2430" s="3"/>
    </row>
    <row r="2431" spans="1:4">
      <c r="A2431" s="691"/>
      <c r="D2431" s="3"/>
    </row>
    <row r="2432" spans="1:4">
      <c r="A2432" s="691"/>
      <c r="D2432" s="3"/>
    </row>
    <row r="2433" spans="1:4">
      <c r="A2433" s="691"/>
      <c r="D2433" s="3"/>
    </row>
    <row r="2434" spans="1:4">
      <c r="A2434" s="691"/>
      <c r="D2434" s="3"/>
    </row>
    <row r="2435" spans="1:4">
      <c r="A2435" s="691"/>
      <c r="D2435" s="3"/>
    </row>
    <row r="2436" spans="1:4">
      <c r="A2436" s="691"/>
      <c r="D2436" s="3"/>
    </row>
    <row r="2437" spans="1:4">
      <c r="A2437" s="691"/>
      <c r="D2437" s="3"/>
    </row>
    <row r="2438" spans="1:4">
      <c r="A2438" s="691"/>
      <c r="D2438" s="3"/>
    </row>
    <row r="2439" spans="1:4">
      <c r="A2439" s="691"/>
      <c r="D2439" s="3"/>
    </row>
    <row r="2440" spans="1:4">
      <c r="A2440" s="691"/>
      <c r="D2440" s="3"/>
    </row>
    <row r="2441" spans="1:4">
      <c r="A2441" s="691"/>
      <c r="D2441" s="3"/>
    </row>
    <row r="2442" spans="1:4">
      <c r="A2442" s="691"/>
      <c r="D2442" s="3"/>
    </row>
    <row r="2443" spans="1:4">
      <c r="A2443" s="691"/>
      <c r="D2443" s="3"/>
    </row>
    <row r="2444" spans="1:4">
      <c r="A2444" s="691"/>
      <c r="D2444" s="3"/>
    </row>
    <row r="2445" spans="1:4">
      <c r="A2445" s="691"/>
      <c r="D2445" s="3"/>
    </row>
    <row r="2446" spans="1:4">
      <c r="A2446" s="691"/>
      <c r="D2446" s="3"/>
    </row>
    <row r="2447" spans="1:4">
      <c r="A2447" s="691"/>
      <c r="D2447" s="3"/>
    </row>
    <row r="2448" spans="1:4">
      <c r="A2448" s="691"/>
      <c r="D2448" s="3"/>
    </row>
    <row r="2449" spans="1:4">
      <c r="A2449" s="691"/>
      <c r="D2449" s="3"/>
    </row>
    <row r="2450" spans="1:4">
      <c r="A2450" s="691"/>
      <c r="D2450" s="3"/>
    </row>
    <row r="2451" spans="1:4">
      <c r="A2451" s="691"/>
      <c r="D2451" s="3"/>
    </row>
    <row r="2452" spans="1:4">
      <c r="A2452" s="691"/>
      <c r="D2452" s="3"/>
    </row>
    <row r="2453" spans="1:4">
      <c r="A2453" s="691"/>
      <c r="D2453" s="3"/>
    </row>
    <row r="2454" spans="1:4">
      <c r="A2454" s="691"/>
      <c r="D2454" s="3"/>
    </row>
    <row r="2455" spans="1:4">
      <c r="A2455" s="691"/>
      <c r="D2455" s="3"/>
    </row>
    <row r="2456" spans="1:4">
      <c r="A2456" s="691"/>
      <c r="D2456" s="3"/>
    </row>
    <row r="2457" spans="1:4">
      <c r="A2457" s="691"/>
      <c r="D2457" s="3"/>
    </row>
    <row r="2458" spans="1:4">
      <c r="A2458" s="691"/>
      <c r="D2458" s="3"/>
    </row>
    <row r="2459" spans="1:4">
      <c r="A2459" s="691"/>
      <c r="D2459" s="3"/>
    </row>
    <row r="2460" spans="1:4">
      <c r="A2460" s="691"/>
      <c r="D2460" s="3"/>
    </row>
    <row r="2461" spans="1:4">
      <c r="A2461" s="691"/>
      <c r="D2461" s="3"/>
    </row>
    <row r="2462" spans="1:4">
      <c r="A2462" s="691"/>
      <c r="D2462" s="3"/>
    </row>
    <row r="2463" spans="1:4">
      <c r="A2463" s="691"/>
      <c r="D2463" s="3"/>
    </row>
    <row r="2464" spans="1:4">
      <c r="A2464" s="691"/>
      <c r="D2464" s="3"/>
    </row>
    <row r="2465" spans="1:4">
      <c r="A2465" s="691"/>
      <c r="D2465" s="3"/>
    </row>
    <row r="2466" spans="1:4">
      <c r="A2466" s="691"/>
      <c r="D2466" s="3"/>
    </row>
    <row r="2467" spans="1:4">
      <c r="A2467" s="691"/>
      <c r="D2467" s="3"/>
    </row>
    <row r="2468" spans="1:4">
      <c r="A2468" s="691"/>
      <c r="D2468" s="3"/>
    </row>
    <row r="2469" spans="1:4">
      <c r="A2469" s="691"/>
      <c r="D2469" s="3"/>
    </row>
    <row r="2470" spans="1:4">
      <c r="A2470" s="691"/>
      <c r="D2470" s="3"/>
    </row>
    <row r="2471" spans="1:4">
      <c r="A2471" s="691"/>
      <c r="D2471" s="3"/>
    </row>
    <row r="2472" spans="1:4">
      <c r="A2472" s="691"/>
      <c r="D2472" s="3"/>
    </row>
    <row r="2473" spans="1:4">
      <c r="A2473" s="691"/>
      <c r="D2473" s="3"/>
    </row>
    <row r="2474" spans="1:4">
      <c r="A2474" s="691"/>
      <c r="D2474" s="3"/>
    </row>
    <row r="2475" spans="1:4">
      <c r="A2475" s="691"/>
      <c r="D2475" s="3"/>
    </row>
    <row r="2476" spans="1:4">
      <c r="A2476" s="691"/>
      <c r="D2476" s="3"/>
    </row>
    <row r="2477" spans="1:4">
      <c r="A2477" s="691"/>
      <c r="D2477" s="3"/>
    </row>
    <row r="2478" spans="1:4">
      <c r="A2478" s="691"/>
      <c r="D2478" s="3"/>
    </row>
    <row r="2479" spans="1:4">
      <c r="A2479" s="691"/>
      <c r="D2479" s="3"/>
    </row>
    <row r="2480" spans="1:4">
      <c r="A2480" s="691"/>
      <c r="D2480" s="3"/>
    </row>
    <row r="2481" spans="1:4">
      <c r="A2481" s="691"/>
      <c r="D2481" s="3"/>
    </row>
    <row r="2482" spans="1:4">
      <c r="A2482" s="691"/>
      <c r="D2482" s="3"/>
    </row>
    <row r="2483" spans="1:4">
      <c r="A2483" s="691"/>
      <c r="D2483" s="3"/>
    </row>
    <row r="2484" spans="1:4">
      <c r="A2484" s="691"/>
      <c r="D2484" s="3"/>
    </row>
    <row r="2485" spans="1:4">
      <c r="A2485" s="691"/>
      <c r="D2485" s="3"/>
    </row>
    <row r="2486" spans="1:4">
      <c r="A2486" s="691"/>
      <c r="D2486" s="3"/>
    </row>
    <row r="2487" spans="1:4">
      <c r="A2487" s="691"/>
      <c r="D2487" s="3"/>
    </row>
    <row r="2488" spans="1:4">
      <c r="A2488" s="691"/>
      <c r="D2488" s="3"/>
    </row>
    <row r="2489" spans="1:4">
      <c r="A2489" s="691"/>
      <c r="D2489" s="3"/>
    </row>
    <row r="2490" spans="1:4">
      <c r="A2490" s="691"/>
      <c r="D2490" s="3"/>
    </row>
    <row r="2491" spans="1:4">
      <c r="A2491" s="691"/>
      <c r="D2491" s="3"/>
    </row>
    <row r="2492" spans="1:4">
      <c r="A2492" s="691"/>
      <c r="D2492" s="3"/>
    </row>
    <row r="2493" spans="1:4">
      <c r="A2493" s="691"/>
      <c r="D2493" s="3"/>
    </row>
    <row r="2494" spans="1:4">
      <c r="A2494" s="691"/>
      <c r="D2494" s="3"/>
    </row>
    <row r="2495" spans="1:4">
      <c r="A2495" s="691"/>
      <c r="D2495" s="3"/>
    </row>
    <row r="2496" spans="1:4">
      <c r="A2496" s="691"/>
      <c r="D2496" s="3"/>
    </row>
    <row r="2497" spans="1:4">
      <c r="A2497" s="691"/>
      <c r="D2497" s="3"/>
    </row>
    <row r="2498" spans="1:4">
      <c r="A2498" s="691"/>
      <c r="D2498" s="3"/>
    </row>
    <row r="2499" spans="1:4">
      <c r="A2499" s="691"/>
      <c r="D2499" s="3"/>
    </row>
    <row r="2500" spans="1:4">
      <c r="A2500" s="691"/>
      <c r="D2500" s="3"/>
    </row>
    <row r="2501" spans="1:4">
      <c r="A2501" s="691"/>
      <c r="D2501" s="3"/>
    </row>
    <row r="2502" spans="1:4">
      <c r="A2502" s="691"/>
      <c r="D2502" s="3"/>
    </row>
    <row r="2503" spans="1:4">
      <c r="A2503" s="691"/>
      <c r="D2503" s="3"/>
    </row>
    <row r="2504" spans="1:4">
      <c r="A2504" s="691"/>
      <c r="D2504" s="3"/>
    </row>
    <row r="2505" spans="1:4">
      <c r="A2505" s="691"/>
      <c r="D2505" s="3"/>
    </row>
    <row r="2506" spans="1:4">
      <c r="A2506" s="691"/>
      <c r="D2506" s="3"/>
    </row>
    <row r="2507" spans="1:4">
      <c r="A2507" s="691"/>
      <c r="D2507" s="3"/>
    </row>
    <row r="2508" spans="1:4">
      <c r="A2508" s="691"/>
      <c r="D2508" s="3"/>
    </row>
    <row r="2509" spans="1:4">
      <c r="A2509" s="691"/>
      <c r="D2509" s="3"/>
    </row>
    <row r="2510" spans="1:4">
      <c r="A2510" s="691"/>
      <c r="D2510" s="3"/>
    </row>
    <row r="2511" spans="1:4">
      <c r="A2511" s="691"/>
      <c r="D2511" s="3"/>
    </row>
    <row r="2512" spans="1:4">
      <c r="A2512" s="691"/>
      <c r="D2512" s="3"/>
    </row>
    <row r="2513" spans="1:4">
      <c r="A2513" s="691"/>
      <c r="D2513" s="3"/>
    </row>
    <row r="2514" spans="1:4">
      <c r="A2514" s="691"/>
      <c r="D2514" s="3"/>
    </row>
    <row r="2515" spans="1:4">
      <c r="A2515" s="691"/>
      <c r="D2515" s="3"/>
    </row>
    <row r="2516" spans="1:4">
      <c r="A2516" s="691"/>
      <c r="D2516" s="3"/>
    </row>
    <row r="2517" spans="1:4">
      <c r="A2517" s="691"/>
      <c r="D2517" s="3"/>
    </row>
    <row r="2518" spans="1:4">
      <c r="A2518" s="691"/>
      <c r="D2518" s="3"/>
    </row>
    <row r="2519" spans="1:4">
      <c r="A2519" s="691"/>
      <c r="D2519" s="3"/>
    </row>
    <row r="2520" spans="1:4">
      <c r="A2520" s="691"/>
      <c r="D2520" s="3"/>
    </row>
    <row r="2521" spans="1:4">
      <c r="A2521" s="691"/>
      <c r="D2521" s="3"/>
    </row>
    <row r="2522" spans="1:4">
      <c r="A2522" s="691"/>
      <c r="D2522" s="3"/>
    </row>
    <row r="2523" spans="1:4">
      <c r="A2523" s="691"/>
      <c r="D2523" s="3"/>
    </row>
    <row r="2524" spans="1:4">
      <c r="A2524" s="691"/>
      <c r="D2524" s="3"/>
    </row>
    <row r="2525" spans="1:4">
      <c r="A2525" s="691"/>
      <c r="D2525" s="3"/>
    </row>
    <row r="2526" spans="1:4">
      <c r="A2526" s="691"/>
      <c r="D2526" s="3"/>
    </row>
    <row r="2527" spans="1:4">
      <c r="A2527" s="691"/>
      <c r="D2527" s="3"/>
    </row>
    <row r="2528" spans="1:4">
      <c r="A2528" s="691"/>
      <c r="D2528" s="3"/>
    </row>
    <row r="2529" spans="1:4">
      <c r="A2529" s="691"/>
      <c r="D2529" s="3"/>
    </row>
    <row r="2530" spans="1:4">
      <c r="A2530" s="691"/>
      <c r="D2530" s="3"/>
    </row>
    <row r="2531" spans="1:4">
      <c r="A2531" s="691"/>
      <c r="D2531" s="3"/>
    </row>
    <row r="2532" spans="1:4">
      <c r="A2532" s="691"/>
      <c r="D2532" s="3"/>
    </row>
    <row r="2533" spans="1:4">
      <c r="A2533" s="691"/>
      <c r="D2533" s="3"/>
    </row>
    <row r="2534" spans="1:4">
      <c r="A2534" s="691"/>
      <c r="D2534" s="3"/>
    </row>
    <row r="2535" spans="1:4">
      <c r="A2535" s="691"/>
      <c r="D2535" s="3"/>
    </row>
    <row r="2536" spans="1:4">
      <c r="A2536" s="691"/>
      <c r="D2536" s="3"/>
    </row>
    <row r="2537" spans="1:4">
      <c r="A2537" s="691"/>
      <c r="D2537" s="3"/>
    </row>
    <row r="2538" spans="1:4">
      <c r="A2538" s="691"/>
      <c r="D2538" s="3"/>
    </row>
    <row r="2539" spans="1:4">
      <c r="A2539" s="691"/>
      <c r="D2539" s="3"/>
    </row>
    <row r="2540" spans="1:4">
      <c r="A2540" s="691"/>
      <c r="D2540" s="3"/>
    </row>
    <row r="2541" spans="1:4">
      <c r="A2541" s="691"/>
      <c r="D2541" s="3"/>
    </row>
    <row r="2542" spans="1:4">
      <c r="A2542" s="691"/>
      <c r="D2542" s="3"/>
    </row>
    <row r="2543" spans="1:4">
      <c r="A2543" s="691"/>
      <c r="D2543" s="3"/>
    </row>
    <row r="2544" spans="1:4">
      <c r="A2544" s="691"/>
      <c r="D2544" s="3"/>
    </row>
    <row r="2545" spans="1:4">
      <c r="A2545" s="691"/>
      <c r="D2545" s="3"/>
    </row>
    <row r="2546" spans="1:4">
      <c r="A2546" s="691"/>
      <c r="D2546" s="3"/>
    </row>
    <row r="2547" spans="1:4">
      <c r="A2547" s="691"/>
      <c r="D2547" s="3"/>
    </row>
    <row r="2548" spans="1:4">
      <c r="A2548" s="691"/>
      <c r="D2548" s="3"/>
    </row>
    <row r="2549" spans="1:4">
      <c r="A2549" s="691"/>
      <c r="D2549" s="3"/>
    </row>
    <row r="2550" spans="1:4">
      <c r="A2550" s="691"/>
      <c r="D2550" s="3"/>
    </row>
    <row r="2551" spans="1:4">
      <c r="A2551" s="691"/>
      <c r="D2551" s="3"/>
    </row>
    <row r="2552" spans="1:4">
      <c r="A2552" s="691"/>
      <c r="D2552" s="3"/>
    </row>
    <row r="2553" spans="1:4">
      <c r="A2553" s="691"/>
      <c r="D2553" s="3"/>
    </row>
    <row r="2554" spans="1:4">
      <c r="A2554" s="691"/>
      <c r="D2554" s="3"/>
    </row>
    <row r="2555" spans="1:4">
      <c r="A2555" s="691"/>
      <c r="D2555" s="3"/>
    </row>
    <row r="2556" spans="1:4">
      <c r="A2556" s="691"/>
      <c r="D2556" s="3"/>
    </row>
    <row r="2557" spans="1:4">
      <c r="A2557" s="691"/>
      <c r="D2557" s="3"/>
    </row>
    <row r="2558" spans="1:4">
      <c r="A2558" s="691"/>
      <c r="D2558" s="3"/>
    </row>
    <row r="2559" spans="1:4">
      <c r="A2559" s="691"/>
      <c r="D2559" s="3"/>
    </row>
    <row r="2560" spans="1:4">
      <c r="A2560" s="691"/>
      <c r="D2560" s="3"/>
    </row>
    <row r="2561" spans="1:4">
      <c r="A2561" s="691"/>
      <c r="D2561" s="3"/>
    </row>
    <row r="2562" spans="1:4">
      <c r="A2562" s="691"/>
      <c r="D2562" s="3"/>
    </row>
    <row r="2563" spans="1:4">
      <c r="A2563" s="691"/>
      <c r="D2563" s="3"/>
    </row>
    <row r="2564" spans="1:4">
      <c r="A2564" s="691"/>
      <c r="D2564" s="3"/>
    </row>
    <row r="2565" spans="1:4">
      <c r="A2565" s="691"/>
      <c r="D2565" s="3"/>
    </row>
    <row r="2566" spans="1:4">
      <c r="A2566" s="691"/>
      <c r="D2566" s="3"/>
    </row>
    <row r="2567" spans="1:4">
      <c r="A2567" s="691"/>
      <c r="D2567" s="3"/>
    </row>
    <row r="2568" spans="1:4">
      <c r="A2568" s="691"/>
      <c r="D2568" s="3"/>
    </row>
    <row r="2569" spans="1:4">
      <c r="A2569" s="691"/>
      <c r="D2569" s="3"/>
    </row>
    <row r="2570" spans="1:4">
      <c r="A2570" s="691"/>
      <c r="D2570" s="3"/>
    </row>
    <row r="2571" spans="1:4">
      <c r="A2571" s="691"/>
      <c r="D2571" s="3"/>
    </row>
    <row r="2572" spans="1:4">
      <c r="A2572" s="691"/>
      <c r="D2572" s="3"/>
    </row>
    <row r="2573" spans="1:4">
      <c r="A2573" s="691"/>
      <c r="D2573" s="3"/>
    </row>
    <row r="2574" spans="1:4">
      <c r="A2574" s="691"/>
      <c r="D2574" s="3"/>
    </row>
    <row r="2575" spans="1:4">
      <c r="A2575" s="691"/>
      <c r="D2575" s="3"/>
    </row>
    <row r="2576" spans="1:4">
      <c r="A2576" s="691"/>
      <c r="D2576" s="3"/>
    </row>
    <row r="2577" spans="1:4">
      <c r="A2577" s="691"/>
      <c r="D2577" s="3"/>
    </row>
    <row r="2578" spans="1:4">
      <c r="A2578" s="691"/>
      <c r="D2578" s="3"/>
    </row>
    <row r="2579" spans="1:4">
      <c r="A2579" s="691"/>
      <c r="D2579" s="3"/>
    </row>
    <row r="2580" spans="1:4">
      <c r="A2580" s="691"/>
      <c r="D2580" s="3"/>
    </row>
    <row r="2581" spans="1:4">
      <c r="A2581" s="691"/>
      <c r="D2581" s="3"/>
    </row>
    <row r="2582" spans="1:4">
      <c r="A2582" s="691"/>
      <c r="D2582" s="3"/>
    </row>
    <row r="2583" spans="1:4">
      <c r="A2583" s="691"/>
      <c r="D2583" s="3"/>
    </row>
    <row r="2584" spans="1:4">
      <c r="A2584" s="691"/>
      <c r="D2584" s="3"/>
    </row>
    <row r="2585" spans="1:4">
      <c r="A2585" s="691"/>
      <c r="D2585" s="3"/>
    </row>
    <row r="2586" spans="1:4">
      <c r="A2586" s="691"/>
      <c r="D2586" s="3"/>
    </row>
    <row r="2587" spans="1:4">
      <c r="A2587" s="691"/>
      <c r="D2587" s="3"/>
    </row>
    <row r="2588" spans="1:4">
      <c r="A2588" s="691"/>
      <c r="D2588" s="3"/>
    </row>
    <row r="2589" spans="1:4">
      <c r="A2589" s="691"/>
      <c r="D2589" s="3"/>
    </row>
    <row r="2590" spans="1:4">
      <c r="A2590" s="691"/>
      <c r="D2590" s="3"/>
    </row>
    <row r="2591" spans="1:4">
      <c r="A2591" s="691"/>
      <c r="D2591" s="3"/>
    </row>
    <row r="2592" spans="1:4">
      <c r="A2592" s="691"/>
      <c r="D2592" s="3"/>
    </row>
    <row r="2593" spans="1:4">
      <c r="A2593" s="691"/>
      <c r="D2593" s="3"/>
    </row>
    <row r="2594" spans="1:4">
      <c r="A2594" s="691"/>
      <c r="D2594" s="3"/>
    </row>
    <row r="2595" spans="1:4">
      <c r="A2595" s="691"/>
      <c r="D2595" s="3"/>
    </row>
    <row r="2596" spans="1:4">
      <c r="A2596" s="691"/>
      <c r="D2596" s="3"/>
    </row>
    <row r="2597" spans="1:4">
      <c r="A2597" s="691"/>
      <c r="D2597" s="3"/>
    </row>
    <row r="2598" spans="1:4">
      <c r="A2598" s="691"/>
      <c r="D2598" s="3"/>
    </row>
    <row r="2599" spans="1:4">
      <c r="A2599" s="691"/>
      <c r="D2599" s="3"/>
    </row>
    <row r="2600" spans="1:4">
      <c r="A2600" s="691"/>
      <c r="D2600" s="3"/>
    </row>
    <row r="2601" spans="1:4">
      <c r="A2601" s="691"/>
      <c r="D2601" s="3"/>
    </row>
    <row r="2602" spans="1:4">
      <c r="A2602" s="691"/>
      <c r="D2602" s="3"/>
    </row>
    <row r="2603" spans="1:4">
      <c r="A2603" s="691"/>
      <c r="D2603" s="3"/>
    </row>
    <row r="2604" spans="1:4">
      <c r="A2604" s="691"/>
      <c r="D2604" s="3"/>
    </row>
    <row r="2605" spans="1:4">
      <c r="A2605" s="691"/>
      <c r="D2605" s="3"/>
    </row>
    <row r="2606" spans="1:4">
      <c r="A2606" s="691"/>
      <c r="D2606" s="3"/>
    </row>
    <row r="2607" spans="1:4">
      <c r="A2607" s="691"/>
      <c r="D2607" s="3"/>
    </row>
    <row r="2608" spans="1:4">
      <c r="A2608" s="691"/>
      <c r="D2608" s="3"/>
    </row>
    <row r="2609" spans="1:4">
      <c r="A2609" s="691"/>
      <c r="D2609" s="3"/>
    </row>
    <row r="2610" spans="1:4">
      <c r="A2610" s="691"/>
      <c r="D2610" s="3"/>
    </row>
    <row r="2611" spans="1:4">
      <c r="A2611" s="691"/>
      <c r="D2611" s="3"/>
    </row>
    <row r="2612" spans="1:4">
      <c r="A2612" s="691"/>
      <c r="D2612" s="3"/>
    </row>
    <row r="2613" spans="1:4">
      <c r="A2613" s="691"/>
      <c r="D2613" s="3"/>
    </row>
    <row r="2614" spans="1:4">
      <c r="A2614" s="691"/>
      <c r="D2614" s="3"/>
    </row>
    <row r="2615" spans="1:4">
      <c r="A2615" s="691"/>
      <c r="D2615" s="3"/>
    </row>
    <row r="2616" spans="1:4">
      <c r="A2616" s="691"/>
      <c r="D2616" s="3"/>
    </row>
    <row r="2617" spans="1:4">
      <c r="A2617" s="691"/>
      <c r="D2617" s="3"/>
    </row>
    <row r="2618" spans="1:4">
      <c r="A2618" s="691"/>
      <c r="D2618" s="3"/>
    </row>
    <row r="2619" spans="1:4">
      <c r="A2619" s="691"/>
      <c r="D2619" s="3"/>
    </row>
    <row r="2620" spans="1:4">
      <c r="A2620" s="691"/>
      <c r="D2620" s="3"/>
    </row>
    <row r="2621" spans="1:4">
      <c r="A2621" s="691"/>
      <c r="D2621" s="3"/>
    </row>
    <row r="2622" spans="1:4">
      <c r="A2622" s="691"/>
      <c r="D2622" s="3"/>
    </row>
    <row r="2623" spans="1:4">
      <c r="A2623" s="691"/>
      <c r="D2623" s="3"/>
    </row>
    <row r="2624" spans="1:4">
      <c r="A2624" s="691"/>
      <c r="D2624" s="3"/>
    </row>
    <row r="2625" spans="1:4">
      <c r="A2625" s="691"/>
      <c r="D2625" s="3"/>
    </row>
    <row r="2626" spans="1:4">
      <c r="A2626" s="691"/>
      <c r="D2626" s="3"/>
    </row>
    <row r="2627" spans="1:4">
      <c r="A2627" s="691"/>
      <c r="D2627" s="3"/>
    </row>
    <row r="2628" spans="1:4">
      <c r="A2628" s="691"/>
      <c r="D2628" s="3"/>
    </row>
    <row r="2629" spans="1:4">
      <c r="A2629" s="691"/>
      <c r="D2629" s="3"/>
    </row>
    <row r="2630" spans="1:4">
      <c r="A2630" s="691"/>
      <c r="D2630" s="3"/>
    </row>
    <row r="2631" spans="1:4">
      <c r="A2631" s="691"/>
      <c r="D2631" s="3"/>
    </row>
    <row r="2632" spans="1:4">
      <c r="A2632" s="691"/>
      <c r="D2632" s="3"/>
    </row>
    <row r="2633" spans="1:4">
      <c r="A2633" s="691"/>
      <c r="D2633" s="3"/>
    </row>
    <row r="2634" spans="1:4">
      <c r="A2634" s="691"/>
      <c r="D2634" s="3"/>
    </row>
    <row r="2635" spans="1:4">
      <c r="A2635" s="691"/>
      <c r="D2635" s="3"/>
    </row>
    <row r="2636" spans="1:4">
      <c r="A2636" s="691"/>
      <c r="D2636" s="3"/>
    </row>
    <row r="2637" spans="1:4">
      <c r="A2637" s="691"/>
      <c r="D2637" s="3"/>
    </row>
    <row r="2638" spans="1:4">
      <c r="A2638" s="691"/>
      <c r="D2638" s="3"/>
    </row>
    <row r="2639" spans="1:4">
      <c r="A2639" s="691"/>
      <c r="D2639" s="3"/>
    </row>
    <row r="2640" spans="1:4">
      <c r="A2640" s="691"/>
      <c r="D2640" s="3"/>
    </row>
    <row r="2641" spans="1:4">
      <c r="A2641" s="691"/>
      <c r="D2641" s="3"/>
    </row>
    <row r="2642" spans="1:4">
      <c r="A2642" s="691"/>
      <c r="D2642" s="3"/>
    </row>
    <row r="2643" spans="1:4">
      <c r="A2643" s="691"/>
      <c r="D2643" s="3"/>
    </row>
    <row r="2644" spans="1:4">
      <c r="A2644" s="691"/>
      <c r="D2644" s="3"/>
    </row>
    <row r="2645" spans="1:4">
      <c r="A2645" s="691"/>
      <c r="D2645" s="3"/>
    </row>
    <row r="2646" spans="1:4">
      <c r="A2646" s="691"/>
      <c r="D2646" s="3"/>
    </row>
    <row r="2647" spans="1:4">
      <c r="A2647" s="691"/>
      <c r="D2647" s="3"/>
    </row>
    <row r="2648" spans="1:4">
      <c r="A2648" s="691"/>
      <c r="D2648" s="3"/>
    </row>
    <row r="2649" spans="1:4">
      <c r="A2649" s="691"/>
      <c r="D2649" s="3"/>
    </row>
    <row r="2650" spans="1:4">
      <c r="A2650" s="691"/>
      <c r="D2650" s="3"/>
    </row>
    <row r="2651" spans="1:4">
      <c r="A2651" s="691"/>
      <c r="D2651" s="3"/>
    </row>
    <row r="2652" spans="1:4">
      <c r="A2652" s="691"/>
      <c r="D2652" s="3"/>
    </row>
    <row r="2653" spans="1:4">
      <c r="A2653" s="691"/>
      <c r="D2653" s="3"/>
    </row>
    <row r="2654" spans="1:4">
      <c r="A2654" s="691"/>
      <c r="D2654" s="3"/>
    </row>
    <row r="2655" spans="1:4">
      <c r="A2655" s="691"/>
      <c r="D2655" s="3"/>
    </row>
    <row r="2656" spans="1:4">
      <c r="A2656" s="691"/>
      <c r="D2656" s="3"/>
    </row>
    <row r="2657" spans="1:4">
      <c r="A2657" s="691"/>
      <c r="D2657" s="3"/>
    </row>
    <row r="2658" spans="1:4">
      <c r="A2658" s="691"/>
      <c r="D2658" s="3"/>
    </row>
    <row r="2659" spans="1:4">
      <c r="A2659" s="691"/>
      <c r="D2659" s="3"/>
    </row>
    <row r="2660" spans="1:4">
      <c r="A2660" s="691"/>
      <c r="D2660" s="3"/>
    </row>
    <row r="2661" spans="1:4">
      <c r="A2661" s="691"/>
      <c r="D2661" s="3"/>
    </row>
    <row r="2662" spans="1:4">
      <c r="A2662" s="691"/>
      <c r="D2662" s="3"/>
    </row>
    <row r="2663" spans="1:4">
      <c r="A2663" s="691"/>
      <c r="D2663" s="3"/>
    </row>
    <row r="2664" spans="1:4">
      <c r="A2664" s="691"/>
      <c r="D2664" s="3"/>
    </row>
    <row r="2665" spans="1:4">
      <c r="A2665" s="691"/>
      <c r="D2665" s="3"/>
    </row>
    <row r="2666" spans="1:4">
      <c r="A2666" s="691"/>
      <c r="D2666" s="3"/>
    </row>
    <row r="2667" spans="1:4">
      <c r="A2667" s="691"/>
      <c r="D2667" s="3"/>
    </row>
    <row r="2668" spans="1:4">
      <c r="A2668" s="691"/>
      <c r="D2668" s="3"/>
    </row>
    <row r="2669" spans="1:4">
      <c r="A2669" s="691"/>
      <c r="D2669" s="3"/>
    </row>
    <row r="2670" spans="1:4">
      <c r="A2670" s="691"/>
      <c r="D2670" s="3"/>
    </row>
    <row r="2671" spans="1:4">
      <c r="A2671" s="691"/>
      <c r="D2671" s="3"/>
    </row>
    <row r="2672" spans="1:4">
      <c r="A2672" s="691"/>
      <c r="D2672" s="3"/>
    </row>
    <row r="2673" spans="1:4">
      <c r="A2673" s="691"/>
      <c r="D2673" s="3"/>
    </row>
    <row r="2674" spans="1:4">
      <c r="A2674" s="691"/>
      <c r="D2674" s="3"/>
    </row>
    <row r="2675" spans="1:4">
      <c r="A2675" s="691"/>
      <c r="D2675" s="3"/>
    </row>
    <row r="2676" spans="1:4">
      <c r="A2676" s="691"/>
      <c r="D2676" s="3"/>
    </row>
    <row r="2677" spans="1:4">
      <c r="A2677" s="691"/>
      <c r="D2677" s="3"/>
    </row>
    <row r="2678" spans="1:4">
      <c r="A2678" s="691"/>
      <c r="D2678" s="3"/>
    </row>
    <row r="2679" spans="1:4">
      <c r="A2679" s="691"/>
      <c r="D2679" s="3"/>
    </row>
    <row r="2680" spans="1:4">
      <c r="A2680" s="691"/>
      <c r="D2680" s="3"/>
    </row>
    <row r="2681" spans="1:4">
      <c r="A2681" s="691"/>
      <c r="D2681" s="3"/>
    </row>
    <row r="2682" spans="1:4">
      <c r="A2682" s="691"/>
      <c r="D2682" s="3"/>
    </row>
    <row r="2683" spans="1:4">
      <c r="A2683" s="691"/>
      <c r="D2683" s="3"/>
    </row>
    <row r="2684" spans="1:4">
      <c r="A2684" s="691"/>
      <c r="D2684" s="3"/>
    </row>
    <row r="2685" spans="1:4">
      <c r="A2685" s="691"/>
      <c r="D2685" s="3"/>
    </row>
    <row r="2686" spans="1:4">
      <c r="A2686" s="691"/>
      <c r="D2686" s="3"/>
    </row>
    <row r="2687" spans="1:4">
      <c r="A2687" s="691"/>
      <c r="D2687" s="3"/>
    </row>
    <row r="2688" spans="1:4">
      <c r="A2688" s="691"/>
      <c r="D2688" s="3"/>
    </row>
    <row r="2689" spans="1:4">
      <c r="A2689" s="691"/>
      <c r="D2689" s="3"/>
    </row>
    <row r="2690" spans="1:4">
      <c r="A2690" s="691"/>
      <c r="D2690" s="3"/>
    </row>
    <row r="2691" spans="1:4">
      <c r="A2691" s="691"/>
      <c r="D2691" s="3"/>
    </row>
    <row r="2692" spans="1:4">
      <c r="A2692" s="691"/>
      <c r="D2692" s="3"/>
    </row>
    <row r="2693" spans="1:4">
      <c r="A2693" s="691"/>
      <c r="D2693" s="3"/>
    </row>
    <row r="2694" spans="1:4">
      <c r="A2694" s="691"/>
      <c r="D2694" s="3"/>
    </row>
    <row r="2695" spans="1:4">
      <c r="A2695" s="691"/>
      <c r="D2695" s="3"/>
    </row>
    <row r="2696" spans="1:4">
      <c r="A2696" s="691"/>
      <c r="D2696" s="3"/>
    </row>
    <row r="2697" spans="1:4">
      <c r="A2697" s="691"/>
      <c r="D2697" s="3"/>
    </row>
    <row r="2698" spans="1:4">
      <c r="A2698" s="691"/>
      <c r="D2698" s="3"/>
    </row>
    <row r="2699" spans="1:4">
      <c r="A2699" s="691"/>
      <c r="D2699" s="3"/>
    </row>
    <row r="2700" spans="1:4">
      <c r="A2700" s="691"/>
      <c r="D2700" s="3"/>
    </row>
    <row r="2701" spans="1:4">
      <c r="A2701" s="691"/>
      <c r="D2701" s="3"/>
    </row>
    <row r="2702" spans="1:4">
      <c r="A2702" s="691"/>
      <c r="D2702" s="3"/>
    </row>
    <row r="2703" spans="1:4">
      <c r="A2703" s="691"/>
      <c r="D2703" s="3"/>
    </row>
    <row r="2704" spans="1:4">
      <c r="A2704" s="691"/>
      <c r="D2704" s="3"/>
    </row>
    <row r="2705" spans="1:4">
      <c r="A2705" s="691"/>
      <c r="D2705" s="3"/>
    </row>
    <row r="2706" spans="1:4">
      <c r="A2706" s="691"/>
      <c r="D2706" s="3"/>
    </row>
    <row r="2707" spans="1:4">
      <c r="A2707" s="691"/>
      <c r="D2707" s="3"/>
    </row>
    <row r="2708" spans="1:4">
      <c r="A2708" s="691"/>
      <c r="D2708" s="3"/>
    </row>
    <row r="2709" spans="1:4">
      <c r="A2709" s="691"/>
      <c r="D2709" s="3"/>
    </row>
    <row r="2710" spans="1:4">
      <c r="A2710" s="691"/>
      <c r="D2710" s="3"/>
    </row>
    <row r="2711" spans="1:4">
      <c r="A2711" s="691"/>
      <c r="D2711" s="3"/>
    </row>
    <row r="2712" spans="1:4">
      <c r="A2712" s="691"/>
      <c r="D2712" s="3"/>
    </row>
    <row r="2713" spans="1:4">
      <c r="A2713" s="691"/>
      <c r="D2713" s="3"/>
    </row>
    <row r="2714" spans="1:4">
      <c r="A2714" s="691"/>
      <c r="D2714" s="3"/>
    </row>
    <row r="2715" spans="1:4">
      <c r="A2715" s="691"/>
      <c r="D2715" s="3"/>
    </row>
    <row r="2716" spans="1:4">
      <c r="A2716" s="691"/>
      <c r="D2716" s="3"/>
    </row>
    <row r="2717" spans="1:4">
      <c r="A2717" s="691"/>
      <c r="D2717" s="3"/>
    </row>
    <row r="2718" spans="1:4">
      <c r="A2718" s="691"/>
      <c r="D2718" s="3"/>
    </row>
    <row r="2719" spans="1:4">
      <c r="A2719" s="691"/>
      <c r="D2719" s="3"/>
    </row>
    <row r="2720" spans="1:4">
      <c r="A2720" s="691"/>
      <c r="D2720" s="3"/>
    </row>
    <row r="2721" spans="1:4">
      <c r="A2721" s="691"/>
      <c r="D2721" s="3"/>
    </row>
    <row r="2722" spans="1:4">
      <c r="A2722" s="691"/>
      <c r="D2722" s="3"/>
    </row>
    <row r="2723" spans="1:4">
      <c r="A2723" s="691"/>
      <c r="D2723" s="3"/>
    </row>
    <row r="2724" spans="1:4">
      <c r="A2724" s="691"/>
      <c r="D2724" s="3"/>
    </row>
    <row r="2725" spans="1:4">
      <c r="A2725" s="691"/>
      <c r="D2725" s="3"/>
    </row>
    <row r="2726" spans="1:4">
      <c r="A2726" s="691"/>
      <c r="D2726" s="3"/>
    </row>
    <row r="2727" spans="1:4">
      <c r="A2727" s="691"/>
      <c r="D2727" s="3"/>
    </row>
    <row r="2728" spans="1:4">
      <c r="A2728" s="691"/>
      <c r="D2728" s="3"/>
    </row>
    <row r="2729" spans="1:4">
      <c r="A2729" s="691"/>
      <c r="D2729" s="3"/>
    </row>
    <row r="2730" spans="1:4">
      <c r="A2730" s="691"/>
      <c r="D2730" s="3"/>
    </row>
    <row r="2731" spans="1:4">
      <c r="A2731" s="691"/>
      <c r="D2731" s="3"/>
    </row>
    <row r="2732" spans="1:4">
      <c r="A2732" s="691"/>
      <c r="D2732" s="3"/>
    </row>
    <row r="2733" spans="1:4">
      <c r="A2733" s="691"/>
      <c r="D2733" s="3"/>
    </row>
    <row r="2734" spans="1:4">
      <c r="A2734" s="691"/>
      <c r="D2734" s="3"/>
    </row>
    <row r="2735" spans="1:4">
      <c r="A2735" s="691"/>
      <c r="D2735" s="3"/>
    </row>
    <row r="2736" spans="1:4">
      <c r="A2736" s="691"/>
      <c r="D2736" s="3"/>
    </row>
    <row r="2737" spans="1:4">
      <c r="A2737" s="691"/>
      <c r="D2737" s="3"/>
    </row>
    <row r="2738" spans="1:4">
      <c r="A2738" s="691"/>
      <c r="D2738" s="3"/>
    </row>
    <row r="2739" spans="1:4">
      <c r="A2739" s="691"/>
      <c r="D2739" s="3"/>
    </row>
    <row r="2740" spans="1:4">
      <c r="A2740" s="691"/>
      <c r="D2740" s="3"/>
    </row>
    <row r="2741" spans="1:4">
      <c r="A2741" s="691"/>
      <c r="D2741" s="3"/>
    </row>
    <row r="2742" spans="1:4">
      <c r="A2742" s="691"/>
      <c r="D2742" s="3"/>
    </row>
    <row r="2743" spans="1:4">
      <c r="A2743" s="691"/>
      <c r="D2743" s="3"/>
    </row>
    <row r="2744" spans="1:4">
      <c r="A2744" s="691"/>
      <c r="D2744" s="3"/>
    </row>
    <row r="2745" spans="1:4">
      <c r="A2745" s="691"/>
      <c r="D2745" s="3"/>
    </row>
    <row r="2746" spans="1:4">
      <c r="A2746" s="691"/>
      <c r="D2746" s="3"/>
    </row>
    <row r="2747" spans="1:4">
      <c r="A2747" s="691"/>
      <c r="D2747" s="3"/>
    </row>
    <row r="2748" spans="1:4">
      <c r="A2748" s="691"/>
      <c r="D2748" s="3"/>
    </row>
    <row r="2749" spans="1:4">
      <c r="A2749" s="691"/>
      <c r="D2749" s="3"/>
    </row>
    <row r="2750" spans="1:4">
      <c r="A2750" s="691"/>
      <c r="D2750" s="3"/>
    </row>
    <row r="2751" spans="1:4">
      <c r="A2751" s="691"/>
      <c r="D2751" s="3"/>
    </row>
    <row r="2752" spans="1:4">
      <c r="A2752" s="691"/>
      <c r="D2752" s="3"/>
    </row>
    <row r="2753" spans="1:4">
      <c r="A2753" s="691"/>
      <c r="D2753" s="3"/>
    </row>
    <row r="2754" spans="1:4">
      <c r="A2754" s="691"/>
      <c r="D2754" s="3"/>
    </row>
    <row r="2755" spans="1:4">
      <c r="A2755" s="691"/>
      <c r="D2755" s="3"/>
    </row>
    <row r="2756" spans="1:4">
      <c r="A2756" s="691"/>
      <c r="D2756" s="3"/>
    </row>
    <row r="2757" spans="1:4">
      <c r="A2757" s="691"/>
      <c r="D2757" s="3"/>
    </row>
    <row r="2758" spans="1:4">
      <c r="A2758" s="691"/>
      <c r="D2758" s="3"/>
    </row>
    <row r="2759" spans="1:4">
      <c r="A2759" s="691"/>
      <c r="D2759" s="3"/>
    </row>
    <row r="2760" spans="1:4">
      <c r="A2760" s="691"/>
      <c r="D2760" s="3"/>
    </row>
    <row r="2761" spans="1:4">
      <c r="A2761" s="691"/>
      <c r="D2761" s="3"/>
    </row>
    <row r="2762" spans="1:4">
      <c r="A2762" s="691"/>
      <c r="D2762" s="3"/>
    </row>
    <row r="2763" spans="1:4">
      <c r="A2763" s="691"/>
      <c r="D2763" s="3"/>
    </row>
    <row r="2764" spans="1:4">
      <c r="A2764" s="691"/>
      <c r="D2764" s="3"/>
    </row>
    <row r="2765" spans="1:4">
      <c r="A2765" s="691"/>
      <c r="D2765" s="3"/>
    </row>
    <row r="2766" spans="1:4">
      <c r="A2766" s="691"/>
      <c r="D2766" s="3"/>
    </row>
    <row r="2767" spans="1:4">
      <c r="A2767" s="691"/>
      <c r="D2767" s="3"/>
    </row>
    <row r="2768" spans="1:4">
      <c r="A2768" s="691"/>
      <c r="D2768" s="3"/>
    </row>
    <row r="2769" spans="1:4">
      <c r="A2769" s="691"/>
      <c r="D2769" s="3"/>
    </row>
    <row r="2770" spans="1:4">
      <c r="A2770" s="691"/>
      <c r="D2770" s="3"/>
    </row>
    <row r="2771" spans="1:4">
      <c r="A2771" s="691"/>
      <c r="D2771" s="3"/>
    </row>
    <row r="2772" spans="1:4">
      <c r="A2772" s="691"/>
      <c r="D2772" s="3"/>
    </row>
    <row r="2773" spans="1:4">
      <c r="A2773" s="691"/>
      <c r="D2773" s="3"/>
    </row>
    <row r="2774" spans="1:4">
      <c r="A2774" s="691"/>
      <c r="D2774" s="3"/>
    </row>
    <row r="2775" spans="1:4">
      <c r="A2775" s="691"/>
      <c r="D2775" s="3"/>
    </row>
    <row r="2776" spans="1:4">
      <c r="A2776" s="691"/>
      <c r="D2776" s="3"/>
    </row>
    <row r="2777" spans="1:4">
      <c r="A2777" s="691"/>
      <c r="D2777" s="3"/>
    </row>
    <row r="2778" spans="1:4">
      <c r="A2778" s="691"/>
      <c r="D2778" s="3"/>
    </row>
    <row r="2779" spans="1:4">
      <c r="A2779" s="691"/>
      <c r="D2779" s="3"/>
    </row>
    <row r="2780" spans="1:4">
      <c r="A2780" s="691"/>
      <c r="D2780" s="3"/>
    </row>
    <row r="2781" spans="1:4">
      <c r="A2781" s="691"/>
      <c r="D2781" s="3"/>
    </row>
    <row r="2782" spans="1:4">
      <c r="A2782" s="691"/>
      <c r="D2782" s="3"/>
    </row>
    <row r="2783" spans="1:4">
      <c r="A2783" s="691"/>
      <c r="D2783" s="3"/>
    </row>
    <row r="2784" spans="1:4">
      <c r="A2784" s="691"/>
      <c r="D2784" s="3"/>
    </row>
    <row r="2785" spans="1:4">
      <c r="A2785" s="691"/>
      <c r="D2785" s="3"/>
    </row>
    <row r="2786" spans="1:4">
      <c r="A2786" s="691"/>
      <c r="D2786" s="3"/>
    </row>
    <row r="2787" spans="1:4">
      <c r="A2787" s="691"/>
      <c r="D2787" s="3"/>
    </row>
    <row r="2788" spans="1:4">
      <c r="A2788" s="691"/>
      <c r="D2788" s="3"/>
    </row>
    <row r="2789" spans="1:4">
      <c r="A2789" s="691"/>
      <c r="D2789" s="3"/>
    </row>
    <row r="2790" spans="1:4">
      <c r="A2790" s="691"/>
      <c r="D2790" s="3"/>
    </row>
    <row r="2791" spans="1:4">
      <c r="A2791" s="691"/>
      <c r="D2791" s="3"/>
    </row>
    <row r="2792" spans="1:4">
      <c r="A2792" s="691"/>
      <c r="D2792" s="3"/>
    </row>
    <row r="2793" spans="1:4">
      <c r="A2793" s="691"/>
      <c r="D2793" s="3"/>
    </row>
    <row r="2794" spans="1:4">
      <c r="A2794" s="691"/>
      <c r="D2794" s="3"/>
    </row>
    <row r="2795" spans="1:4">
      <c r="A2795" s="691"/>
      <c r="D2795" s="3"/>
    </row>
    <row r="2796" spans="1:4">
      <c r="A2796" s="691"/>
      <c r="D2796" s="3"/>
    </row>
    <row r="2797" spans="1:4">
      <c r="A2797" s="691"/>
      <c r="D2797" s="3"/>
    </row>
    <row r="2798" spans="1:4">
      <c r="A2798" s="691"/>
      <c r="D2798" s="3"/>
    </row>
    <row r="2799" spans="1:4">
      <c r="A2799" s="691"/>
      <c r="D2799" s="3"/>
    </row>
    <row r="2800" spans="1:4">
      <c r="A2800" s="691"/>
      <c r="D2800" s="3"/>
    </row>
    <row r="2801" spans="1:4">
      <c r="A2801" s="691"/>
      <c r="D2801" s="3"/>
    </row>
    <row r="2802" spans="1:4">
      <c r="A2802" s="691"/>
      <c r="D2802" s="3"/>
    </row>
    <row r="2803" spans="1:4">
      <c r="A2803" s="691"/>
      <c r="D2803" s="3"/>
    </row>
    <row r="2804" spans="1:4">
      <c r="A2804" s="691"/>
      <c r="D2804" s="3"/>
    </row>
    <row r="2805" spans="1:4">
      <c r="A2805" s="691"/>
      <c r="D2805" s="3"/>
    </row>
    <row r="2806" spans="1:4">
      <c r="A2806" s="691"/>
      <c r="D2806" s="3"/>
    </row>
    <row r="2807" spans="1:4">
      <c r="A2807" s="691"/>
      <c r="D2807" s="3"/>
    </row>
    <row r="2808" spans="1:4">
      <c r="A2808" s="691"/>
      <c r="D2808" s="3"/>
    </row>
    <row r="2809" spans="1:4">
      <c r="A2809" s="691"/>
      <c r="D2809" s="3"/>
    </row>
    <row r="2810" spans="1:4">
      <c r="A2810" s="691"/>
      <c r="D2810" s="3"/>
    </row>
    <row r="2811" spans="1:4">
      <c r="A2811" s="691"/>
      <c r="D2811" s="3"/>
    </row>
    <row r="2812" spans="1:4">
      <c r="A2812" s="691"/>
      <c r="D2812" s="3"/>
    </row>
    <row r="2813" spans="1:4">
      <c r="A2813" s="691"/>
      <c r="D2813" s="3"/>
    </row>
    <row r="2814" spans="1:4">
      <c r="A2814" s="691"/>
      <c r="D2814" s="3"/>
    </row>
    <row r="2815" spans="1:4">
      <c r="A2815" s="691"/>
      <c r="D2815" s="3"/>
    </row>
    <row r="2816" spans="1:4">
      <c r="A2816" s="691"/>
      <c r="D2816" s="3"/>
    </row>
    <row r="2817" spans="1:4">
      <c r="A2817" s="691"/>
      <c r="D2817" s="3"/>
    </row>
    <row r="2818" spans="1:4">
      <c r="A2818" s="691"/>
      <c r="D2818" s="3"/>
    </row>
    <row r="2819" spans="1:4">
      <c r="A2819" s="691"/>
      <c r="D2819" s="3"/>
    </row>
    <row r="2820" spans="1:4">
      <c r="A2820" s="691"/>
      <c r="D2820" s="3"/>
    </row>
    <row r="2821" spans="1:4">
      <c r="A2821" s="691"/>
      <c r="D2821" s="3"/>
    </row>
    <row r="2822" spans="1:4">
      <c r="A2822" s="691"/>
      <c r="D2822" s="3"/>
    </row>
    <row r="2823" spans="1:4">
      <c r="A2823" s="691"/>
      <c r="D2823" s="3"/>
    </row>
    <row r="2824" spans="1:4">
      <c r="A2824" s="691"/>
      <c r="D2824" s="3"/>
    </row>
    <row r="2825" spans="1:4">
      <c r="A2825" s="691"/>
      <c r="D2825" s="3"/>
    </row>
    <row r="2826" spans="1:4">
      <c r="A2826" s="691"/>
      <c r="D2826" s="3"/>
    </row>
    <row r="2827" spans="1:4">
      <c r="A2827" s="691"/>
      <c r="D2827" s="3"/>
    </row>
    <row r="2828" spans="1:4">
      <c r="A2828" s="691"/>
      <c r="D2828" s="3"/>
    </row>
    <row r="2829" spans="1:4">
      <c r="A2829" s="691"/>
      <c r="D2829" s="3"/>
    </row>
    <row r="2830" spans="1:4">
      <c r="A2830" s="691"/>
      <c r="D2830" s="3"/>
    </row>
    <row r="2831" spans="1:4">
      <c r="A2831" s="691"/>
      <c r="D2831" s="3"/>
    </row>
    <row r="2832" spans="1:4">
      <c r="A2832" s="691"/>
      <c r="D2832" s="3"/>
    </row>
    <row r="2833" spans="1:4">
      <c r="A2833" s="691"/>
      <c r="D2833" s="3"/>
    </row>
    <row r="2834" spans="1:4">
      <c r="A2834" s="691"/>
      <c r="D2834" s="3"/>
    </row>
    <row r="2835" spans="1:4">
      <c r="A2835" s="691"/>
      <c r="D2835" s="3"/>
    </row>
    <row r="2836" spans="1:4">
      <c r="A2836" s="691"/>
      <c r="D2836" s="3"/>
    </row>
    <row r="2837" spans="1:4">
      <c r="A2837" s="691"/>
      <c r="D2837" s="3"/>
    </row>
    <row r="2838" spans="1:4">
      <c r="A2838" s="691"/>
      <c r="D2838" s="3"/>
    </row>
    <row r="2839" spans="1:4">
      <c r="A2839" s="691"/>
      <c r="D2839" s="3"/>
    </row>
    <row r="2840" spans="1:4">
      <c r="A2840" s="691"/>
      <c r="D2840" s="3"/>
    </row>
    <row r="2841" spans="1:4">
      <c r="A2841" s="691"/>
      <c r="D2841" s="3"/>
    </row>
    <row r="2842" spans="1:4">
      <c r="A2842" s="691"/>
      <c r="D2842" s="3"/>
    </row>
    <row r="2843" spans="1:4">
      <c r="A2843" s="691"/>
      <c r="D2843" s="3"/>
    </row>
    <row r="2844" spans="1:4">
      <c r="A2844" s="691"/>
      <c r="D2844" s="3"/>
    </row>
    <row r="2845" spans="1:4">
      <c r="A2845" s="691"/>
      <c r="D2845" s="3"/>
    </row>
    <row r="2846" spans="1:4">
      <c r="A2846" s="691"/>
      <c r="D2846" s="3"/>
    </row>
    <row r="2847" spans="1:4">
      <c r="A2847" s="691"/>
      <c r="D2847" s="3"/>
    </row>
    <row r="2848" spans="1:4">
      <c r="A2848" s="691"/>
      <c r="D2848" s="3"/>
    </row>
    <row r="2849" spans="1:4">
      <c r="A2849" s="691"/>
      <c r="D2849" s="3"/>
    </row>
    <row r="2850" spans="1:4">
      <c r="A2850" s="691"/>
      <c r="D2850" s="3"/>
    </row>
    <row r="2851" spans="1:4">
      <c r="A2851" s="691"/>
      <c r="D2851" s="3"/>
    </row>
    <row r="2852" spans="1:4">
      <c r="A2852" s="691"/>
      <c r="D2852" s="3"/>
    </row>
    <row r="2853" spans="1:4">
      <c r="A2853" s="691"/>
      <c r="D2853" s="3"/>
    </row>
    <row r="2854" spans="1:4">
      <c r="A2854" s="691"/>
      <c r="D2854" s="3"/>
    </row>
    <row r="2855" spans="1:4">
      <c r="A2855" s="691"/>
      <c r="D2855" s="3"/>
    </row>
    <row r="2856" spans="1:4">
      <c r="A2856" s="691"/>
      <c r="D2856" s="3"/>
    </row>
    <row r="2857" spans="1:4">
      <c r="A2857" s="691"/>
      <c r="D2857" s="3"/>
    </row>
    <row r="2858" spans="1:4">
      <c r="A2858" s="691"/>
      <c r="D2858" s="3"/>
    </row>
    <row r="2859" spans="1:4">
      <c r="A2859" s="691"/>
      <c r="D2859" s="3"/>
    </row>
    <row r="2860" spans="1:4">
      <c r="A2860" s="691"/>
      <c r="D2860" s="3"/>
    </row>
    <row r="2861" spans="1:4">
      <c r="A2861" s="691"/>
      <c r="D2861" s="3"/>
    </row>
    <row r="2862" spans="1:4">
      <c r="A2862" s="691"/>
      <c r="D2862" s="3"/>
    </row>
    <row r="2863" spans="1:4">
      <c r="A2863" s="691"/>
      <c r="D2863" s="3"/>
    </row>
    <row r="2864" spans="1:4">
      <c r="A2864" s="691"/>
      <c r="D2864" s="3"/>
    </row>
    <row r="2865" spans="1:4">
      <c r="A2865" s="691"/>
      <c r="D2865" s="3"/>
    </row>
    <row r="2866" spans="1:4">
      <c r="A2866" s="691"/>
      <c r="D2866" s="3"/>
    </row>
    <row r="2867" spans="1:4">
      <c r="A2867" s="691"/>
      <c r="D2867" s="3"/>
    </row>
    <row r="2868" spans="1:4">
      <c r="A2868" s="691"/>
      <c r="D2868" s="3"/>
    </row>
    <row r="2869" spans="1:4">
      <c r="A2869" s="691"/>
      <c r="D2869" s="3"/>
    </row>
    <row r="2870" spans="1:4">
      <c r="A2870" s="691"/>
      <c r="D2870" s="3"/>
    </row>
    <row r="2871" spans="1:4">
      <c r="A2871" s="691"/>
      <c r="D2871" s="3"/>
    </row>
    <row r="2872" spans="1:4">
      <c r="A2872" s="691"/>
      <c r="D2872" s="3"/>
    </row>
    <row r="2873" spans="1:4">
      <c r="A2873" s="691"/>
      <c r="D2873" s="3"/>
    </row>
    <row r="2874" spans="1:4">
      <c r="A2874" s="691"/>
      <c r="D2874" s="3"/>
    </row>
    <row r="2875" spans="1:4">
      <c r="A2875" s="691"/>
      <c r="D2875" s="3"/>
    </row>
    <row r="2876" spans="1:4">
      <c r="A2876" s="691"/>
      <c r="D2876" s="3"/>
    </row>
    <row r="2877" spans="1:4">
      <c r="A2877" s="691"/>
      <c r="D2877" s="3"/>
    </row>
    <row r="2878" spans="1:4">
      <c r="A2878" s="691"/>
      <c r="D2878" s="3"/>
    </row>
    <row r="2879" spans="1:4">
      <c r="A2879" s="691"/>
      <c r="D2879" s="3"/>
    </row>
    <row r="2880" spans="1:4">
      <c r="A2880" s="691"/>
      <c r="D2880" s="3"/>
    </row>
    <row r="2881" spans="1:4">
      <c r="A2881" s="691"/>
      <c r="D2881" s="3"/>
    </row>
    <row r="2882" spans="1:4">
      <c r="A2882" s="691"/>
      <c r="D2882" s="3"/>
    </row>
    <row r="2883" spans="1:4">
      <c r="A2883" s="691"/>
      <c r="D2883" s="3"/>
    </row>
    <row r="2884" spans="1:4">
      <c r="A2884" s="691"/>
      <c r="D2884" s="3"/>
    </row>
    <row r="2885" spans="1:4">
      <c r="A2885" s="691"/>
      <c r="D2885" s="3"/>
    </row>
    <row r="2886" spans="1:4">
      <c r="A2886" s="691"/>
      <c r="D2886" s="3"/>
    </row>
    <row r="2887" spans="1:4">
      <c r="A2887" s="691"/>
      <c r="D2887" s="3"/>
    </row>
    <row r="2888" spans="1:4">
      <c r="A2888" s="691"/>
      <c r="D2888" s="3"/>
    </row>
    <row r="2889" spans="1:4">
      <c r="A2889" s="691"/>
      <c r="D2889" s="3"/>
    </row>
    <row r="2890" spans="1:4">
      <c r="A2890" s="691"/>
      <c r="D2890" s="3"/>
    </row>
    <row r="2891" spans="1:4">
      <c r="A2891" s="691"/>
      <c r="D2891" s="3"/>
    </row>
    <row r="2892" spans="1:4">
      <c r="A2892" s="691"/>
      <c r="D2892" s="3"/>
    </row>
    <row r="2893" spans="1:4">
      <c r="A2893" s="691"/>
      <c r="D2893" s="3"/>
    </row>
    <row r="2894" spans="1:4">
      <c r="A2894" s="691"/>
      <c r="D2894" s="3"/>
    </row>
    <row r="2895" spans="1:4">
      <c r="A2895" s="691"/>
      <c r="D2895" s="3"/>
    </row>
    <row r="2896" spans="1:4">
      <c r="A2896" s="691"/>
      <c r="D2896" s="3"/>
    </row>
    <row r="2897" spans="1:4">
      <c r="A2897" s="691"/>
      <c r="D2897" s="3"/>
    </row>
    <row r="2898" spans="1:4">
      <c r="A2898" s="691"/>
      <c r="D2898" s="3"/>
    </row>
    <row r="2899" spans="1:4">
      <c r="A2899" s="691"/>
      <c r="D2899" s="3"/>
    </row>
    <row r="2900" spans="1:4">
      <c r="A2900" s="691"/>
      <c r="D2900" s="3"/>
    </row>
    <row r="2901" spans="1:4">
      <c r="A2901" s="691"/>
      <c r="D2901" s="3"/>
    </row>
    <row r="2902" spans="1:4">
      <c r="A2902" s="691"/>
      <c r="D2902" s="3"/>
    </row>
    <row r="2903" spans="1:4">
      <c r="A2903" s="691"/>
      <c r="D2903" s="3"/>
    </row>
    <row r="2904" spans="1:4">
      <c r="A2904" s="691"/>
      <c r="D2904" s="3"/>
    </row>
    <row r="2905" spans="1:4">
      <c r="A2905" s="691"/>
      <c r="D2905" s="3"/>
    </row>
    <row r="2906" spans="1:4">
      <c r="A2906" s="691"/>
      <c r="D2906" s="3"/>
    </row>
    <row r="2907" spans="1:4">
      <c r="A2907" s="691"/>
      <c r="D2907" s="3"/>
    </row>
    <row r="2908" spans="1:4">
      <c r="A2908" s="691"/>
      <c r="D2908" s="3"/>
    </row>
    <row r="2909" spans="1:4">
      <c r="A2909" s="691"/>
      <c r="D2909" s="3"/>
    </row>
    <row r="2910" spans="1:4">
      <c r="A2910" s="691"/>
      <c r="D2910" s="3"/>
    </row>
    <row r="2911" spans="1:4">
      <c r="A2911" s="691"/>
      <c r="D2911" s="3"/>
    </row>
    <row r="2912" spans="1:4">
      <c r="A2912" s="691"/>
      <c r="D2912" s="3"/>
    </row>
    <row r="2913" spans="1:4">
      <c r="A2913" s="691"/>
      <c r="D2913" s="3"/>
    </row>
    <row r="2914" spans="1:4">
      <c r="A2914" s="691"/>
      <c r="D2914" s="3"/>
    </row>
    <row r="2915" spans="1:4">
      <c r="A2915" s="691"/>
      <c r="D2915" s="3"/>
    </row>
    <row r="2916" spans="1:4">
      <c r="A2916" s="691"/>
      <c r="D2916" s="3"/>
    </row>
    <row r="2917" spans="1:4">
      <c r="A2917" s="691"/>
      <c r="D2917" s="3"/>
    </row>
    <row r="2918" spans="1:4">
      <c r="A2918" s="691"/>
      <c r="D2918" s="3"/>
    </row>
    <row r="2919" spans="1:4">
      <c r="A2919" s="691"/>
      <c r="D2919" s="3"/>
    </row>
    <row r="2920" spans="1:4">
      <c r="A2920" s="691"/>
      <c r="D2920" s="3"/>
    </row>
    <row r="2921" spans="1:4">
      <c r="A2921" s="691"/>
      <c r="D2921" s="3"/>
    </row>
    <row r="2922" spans="1:4">
      <c r="A2922" s="691"/>
      <c r="D2922" s="3"/>
    </row>
    <row r="2923" spans="1:4">
      <c r="A2923" s="691"/>
      <c r="D2923" s="3"/>
    </row>
    <row r="2924" spans="1:4">
      <c r="A2924" s="691"/>
      <c r="D2924" s="3"/>
    </row>
    <row r="2925" spans="1:4">
      <c r="A2925" s="691"/>
      <c r="D2925" s="3"/>
    </row>
    <row r="2926" spans="1:4">
      <c r="A2926" s="691"/>
      <c r="D2926" s="3"/>
    </row>
    <row r="2927" spans="1:4">
      <c r="A2927" s="691"/>
      <c r="D2927" s="3"/>
    </row>
    <row r="2928" spans="1:4">
      <c r="A2928" s="691"/>
      <c r="D2928" s="3"/>
    </row>
    <row r="2929" spans="1:4">
      <c r="A2929" s="691"/>
      <c r="D2929" s="3"/>
    </row>
    <row r="2930" spans="1:4">
      <c r="A2930" s="691"/>
      <c r="D2930" s="3"/>
    </row>
    <row r="2931" spans="1:4">
      <c r="A2931" s="691"/>
      <c r="D2931" s="3"/>
    </row>
    <row r="2932" spans="1:4">
      <c r="A2932" s="691"/>
      <c r="D2932" s="3"/>
    </row>
    <row r="2933" spans="1:4">
      <c r="A2933" s="691"/>
      <c r="D2933" s="3"/>
    </row>
    <row r="2934" spans="1:4">
      <c r="A2934" s="691"/>
      <c r="D2934" s="3"/>
    </row>
    <row r="2935" spans="1:4">
      <c r="A2935" s="691"/>
      <c r="D2935" s="3"/>
    </row>
    <row r="2936" spans="1:4">
      <c r="A2936" s="691"/>
      <c r="D2936" s="3"/>
    </row>
    <row r="2937" spans="1:4">
      <c r="A2937" s="691"/>
      <c r="D2937" s="3"/>
    </row>
    <row r="2938" spans="1:4">
      <c r="A2938" s="691"/>
      <c r="D2938" s="3"/>
    </row>
    <row r="2939" spans="1:4">
      <c r="A2939" s="691"/>
      <c r="D2939" s="3"/>
    </row>
    <row r="2940" spans="1:4">
      <c r="A2940" s="691"/>
      <c r="D2940" s="3"/>
    </row>
    <row r="2941" spans="1:4">
      <c r="A2941" s="691"/>
      <c r="D2941" s="3"/>
    </row>
    <row r="2942" spans="1:4">
      <c r="A2942" s="691"/>
      <c r="D2942" s="3"/>
    </row>
    <row r="2943" spans="1:4">
      <c r="A2943" s="691"/>
      <c r="D2943" s="3"/>
    </row>
    <row r="2944" spans="1:4">
      <c r="A2944" s="691"/>
      <c r="D2944" s="3"/>
    </row>
    <row r="2945" spans="1:4">
      <c r="A2945" s="691"/>
      <c r="D2945" s="3"/>
    </row>
    <row r="2946" spans="1:4">
      <c r="A2946" s="691"/>
      <c r="D2946" s="3"/>
    </row>
    <row r="2947" spans="1:4">
      <c r="A2947" s="691"/>
      <c r="D2947" s="3"/>
    </row>
    <row r="2948" spans="1:4">
      <c r="A2948" s="691"/>
      <c r="D2948" s="3"/>
    </row>
    <row r="2949" spans="1:4">
      <c r="A2949" s="691"/>
      <c r="D2949" s="3"/>
    </row>
    <row r="2950" spans="1:4">
      <c r="A2950" s="691"/>
      <c r="D2950" s="3"/>
    </row>
    <row r="2951" spans="1:4">
      <c r="A2951" s="691"/>
      <c r="D2951" s="3"/>
    </row>
    <row r="2952" spans="1:4">
      <c r="A2952" s="691"/>
      <c r="D2952" s="3"/>
    </row>
    <row r="2953" spans="1:4">
      <c r="A2953" s="691"/>
      <c r="D2953" s="3"/>
    </row>
    <row r="2954" spans="1:4">
      <c r="A2954" s="691"/>
      <c r="D2954" s="3"/>
    </row>
    <row r="2955" spans="1:4">
      <c r="A2955" s="691"/>
      <c r="D2955" s="3"/>
    </row>
    <row r="2956" spans="1:4">
      <c r="A2956" s="691"/>
      <c r="D2956" s="3"/>
    </row>
    <row r="2957" spans="1:4">
      <c r="A2957" s="691"/>
      <c r="D2957" s="3"/>
    </row>
    <row r="2958" spans="1:4">
      <c r="A2958" s="691"/>
      <c r="D2958" s="3"/>
    </row>
    <row r="2959" spans="1:4">
      <c r="A2959" s="691"/>
      <c r="D2959" s="3"/>
    </row>
    <row r="2960" spans="1:4">
      <c r="A2960" s="691"/>
      <c r="D2960" s="3"/>
    </row>
    <row r="2961" spans="1:4">
      <c r="A2961" s="691"/>
      <c r="D2961" s="3"/>
    </row>
    <row r="2962" spans="1:4">
      <c r="A2962" s="691"/>
      <c r="D2962" s="3"/>
    </row>
    <row r="2963" spans="1:4">
      <c r="A2963" s="691"/>
      <c r="D2963" s="3"/>
    </row>
    <row r="2964" spans="1:4">
      <c r="A2964" s="691"/>
      <c r="D2964" s="3"/>
    </row>
    <row r="2965" spans="1:4">
      <c r="A2965" s="691"/>
      <c r="D2965" s="3"/>
    </row>
    <row r="2966" spans="1:4">
      <c r="A2966" s="691"/>
      <c r="D2966" s="3"/>
    </row>
    <row r="2967" spans="1:4">
      <c r="A2967" s="691"/>
      <c r="D2967" s="3"/>
    </row>
    <row r="2968" spans="1:4">
      <c r="A2968" s="691"/>
      <c r="D2968" s="3"/>
    </row>
    <row r="2969" spans="1:4">
      <c r="A2969" s="691"/>
      <c r="D2969" s="3"/>
    </row>
    <row r="2970" spans="1:4">
      <c r="A2970" s="691"/>
      <c r="D2970" s="3"/>
    </row>
    <row r="2971" spans="1:4">
      <c r="A2971" s="691"/>
      <c r="D2971" s="3"/>
    </row>
    <row r="2972" spans="1:4">
      <c r="A2972" s="691"/>
      <c r="D2972" s="3"/>
    </row>
    <row r="2973" spans="1:4">
      <c r="A2973" s="691"/>
      <c r="D2973" s="3"/>
    </row>
    <row r="2974" spans="1:4">
      <c r="A2974" s="691"/>
      <c r="D2974" s="3"/>
    </row>
    <row r="2975" spans="1:4">
      <c r="A2975" s="691"/>
      <c r="D2975" s="3"/>
    </row>
    <row r="2976" spans="1:4">
      <c r="A2976" s="691"/>
      <c r="D2976" s="3"/>
    </row>
    <row r="2977" spans="1:4">
      <c r="A2977" s="691"/>
      <c r="D2977" s="3"/>
    </row>
    <row r="2978" spans="1:4">
      <c r="A2978" s="691"/>
      <c r="D2978" s="3"/>
    </row>
    <row r="2979" spans="1:4">
      <c r="A2979" s="691"/>
      <c r="D2979" s="3"/>
    </row>
    <row r="2980" spans="1:4">
      <c r="A2980" s="691"/>
      <c r="D2980" s="3"/>
    </row>
    <row r="2981" spans="1:4">
      <c r="A2981" s="691"/>
      <c r="D2981" s="3"/>
    </row>
    <row r="2982" spans="1:4">
      <c r="A2982" s="691"/>
      <c r="D2982" s="3"/>
    </row>
    <row r="2983" spans="1:4">
      <c r="A2983" s="691"/>
      <c r="D2983" s="3"/>
    </row>
    <row r="2984" spans="1:4">
      <c r="A2984" s="691"/>
      <c r="D2984" s="3"/>
    </row>
    <row r="2985" spans="1:4">
      <c r="A2985" s="691"/>
      <c r="D2985" s="3"/>
    </row>
    <row r="2986" spans="1:4">
      <c r="A2986" s="691"/>
      <c r="D2986" s="3"/>
    </row>
    <row r="2987" spans="1:4">
      <c r="A2987" s="691"/>
      <c r="D2987" s="3"/>
    </row>
    <row r="2988" spans="1:4">
      <c r="A2988" s="691"/>
      <c r="D2988" s="3"/>
    </row>
    <row r="2989" spans="1:4">
      <c r="A2989" s="691"/>
      <c r="D2989" s="3"/>
    </row>
    <row r="2990" spans="1:4">
      <c r="A2990" s="691"/>
      <c r="D2990" s="3"/>
    </row>
    <row r="2991" spans="1:4">
      <c r="A2991" s="691"/>
      <c r="D2991" s="3"/>
    </row>
    <row r="2992" spans="1:4">
      <c r="A2992" s="691"/>
      <c r="D2992" s="3"/>
    </row>
    <row r="2993" spans="1:4">
      <c r="A2993" s="691"/>
      <c r="D2993" s="3"/>
    </row>
    <row r="2994" spans="1:4">
      <c r="A2994" s="691"/>
      <c r="D2994" s="3"/>
    </row>
    <row r="2995" spans="1:4">
      <c r="A2995" s="691"/>
      <c r="D2995" s="3"/>
    </row>
    <row r="2996" spans="1:4">
      <c r="A2996" s="691"/>
      <c r="D2996" s="3"/>
    </row>
    <row r="2997" spans="1:4">
      <c r="A2997" s="691"/>
      <c r="D2997" s="3"/>
    </row>
    <row r="2998" spans="1:4">
      <c r="A2998" s="691"/>
      <c r="D2998" s="3"/>
    </row>
    <row r="2999" spans="1:4">
      <c r="A2999" s="691"/>
      <c r="D2999" s="3"/>
    </row>
    <row r="3000" spans="1:4">
      <c r="A3000" s="691"/>
      <c r="D3000" s="3"/>
    </row>
    <row r="3001" spans="1:4">
      <c r="A3001" s="691"/>
      <c r="D3001" s="3"/>
    </row>
    <row r="3002" spans="1:4">
      <c r="A3002" s="691"/>
      <c r="D3002" s="3"/>
    </row>
    <row r="3003" spans="1:4">
      <c r="A3003" s="691"/>
      <c r="D3003" s="3"/>
    </row>
    <row r="3004" spans="1:4">
      <c r="A3004" s="691"/>
      <c r="D3004" s="3"/>
    </row>
    <row r="3005" spans="1:4">
      <c r="A3005" s="691"/>
      <c r="D3005" s="3"/>
    </row>
    <row r="3006" spans="1:4">
      <c r="A3006" s="691"/>
      <c r="D3006" s="3"/>
    </row>
    <row r="3007" spans="1:4">
      <c r="A3007" s="691"/>
      <c r="D3007" s="3"/>
    </row>
    <row r="3008" spans="1:4">
      <c r="A3008" s="691"/>
      <c r="D3008" s="3"/>
    </row>
    <row r="3009" spans="1:4">
      <c r="A3009" s="691"/>
      <c r="D3009" s="3"/>
    </row>
    <row r="3010" spans="1:4">
      <c r="A3010" s="691"/>
      <c r="D3010" s="3"/>
    </row>
    <row r="3011" spans="1:4">
      <c r="A3011" s="691"/>
      <c r="D3011" s="3"/>
    </row>
    <row r="3012" spans="1:4">
      <c r="A3012" s="691"/>
      <c r="D3012" s="3"/>
    </row>
    <row r="3013" spans="1:4">
      <c r="A3013" s="691"/>
      <c r="D3013" s="3"/>
    </row>
    <row r="3014" spans="1:4">
      <c r="A3014" s="691"/>
      <c r="D3014" s="3"/>
    </row>
    <row r="3015" spans="1:4">
      <c r="A3015" s="691"/>
      <c r="D3015" s="3"/>
    </row>
    <row r="3016" spans="1:4">
      <c r="A3016" s="691"/>
      <c r="D3016" s="3"/>
    </row>
    <row r="3017" spans="1:4">
      <c r="A3017" s="691"/>
      <c r="D3017" s="3"/>
    </row>
    <row r="3018" spans="1:4">
      <c r="A3018" s="691"/>
      <c r="D3018" s="3"/>
    </row>
    <row r="3019" spans="1:4">
      <c r="A3019" s="691"/>
      <c r="D3019" s="3"/>
    </row>
    <row r="3020" spans="1:4">
      <c r="A3020" s="691"/>
      <c r="D3020" s="3"/>
    </row>
    <row r="3021" spans="1:4">
      <c r="A3021" s="691"/>
      <c r="D3021" s="3"/>
    </row>
    <row r="3022" spans="1:4">
      <c r="A3022" s="691"/>
      <c r="D3022" s="3"/>
    </row>
    <row r="3023" spans="1:4">
      <c r="A3023" s="691"/>
      <c r="D3023" s="3"/>
    </row>
    <row r="3024" spans="1:4">
      <c r="A3024" s="691"/>
      <c r="D3024" s="3"/>
    </row>
    <row r="3025" spans="1:4">
      <c r="A3025" s="691"/>
      <c r="D3025" s="3"/>
    </row>
    <row r="3026" spans="1:4">
      <c r="A3026" s="691"/>
      <c r="D3026" s="3"/>
    </row>
    <row r="3027" spans="1:4">
      <c r="A3027" s="691"/>
      <c r="D3027" s="3"/>
    </row>
    <row r="3028" spans="1:4">
      <c r="A3028" s="691"/>
      <c r="D3028" s="3"/>
    </row>
    <row r="3029" spans="1:4">
      <c r="A3029" s="691"/>
      <c r="D3029" s="3"/>
    </row>
    <row r="3030" spans="1:4">
      <c r="A3030" s="691"/>
      <c r="D3030" s="3"/>
    </row>
    <row r="3031" spans="1:4">
      <c r="A3031" s="691"/>
      <c r="D3031" s="3"/>
    </row>
    <row r="3032" spans="1:4">
      <c r="A3032" s="691"/>
      <c r="D3032" s="3"/>
    </row>
    <row r="3033" spans="1:4">
      <c r="A3033" s="691"/>
      <c r="D3033" s="3"/>
    </row>
    <row r="3034" spans="1:4">
      <c r="A3034" s="691"/>
      <c r="D3034" s="3"/>
    </row>
    <row r="3035" spans="1:4">
      <c r="A3035" s="691"/>
      <c r="D3035" s="3"/>
    </row>
    <row r="3036" spans="1:4">
      <c r="A3036" s="691"/>
      <c r="D3036" s="3"/>
    </row>
    <row r="3037" spans="1:4">
      <c r="A3037" s="691"/>
      <c r="D3037" s="3"/>
    </row>
    <row r="3038" spans="1:4">
      <c r="A3038" s="691"/>
      <c r="D3038" s="3"/>
    </row>
    <row r="3039" spans="1:4">
      <c r="A3039" s="691"/>
      <c r="D3039" s="3"/>
    </row>
    <row r="3040" spans="1:4">
      <c r="A3040" s="691"/>
      <c r="D3040" s="3"/>
    </row>
    <row r="3041" spans="1:4">
      <c r="A3041" s="691"/>
      <c r="D3041" s="3"/>
    </row>
    <row r="3042" spans="1:4">
      <c r="A3042" s="691"/>
      <c r="D3042" s="3"/>
    </row>
    <row r="3043" spans="1:4">
      <c r="A3043" s="691"/>
      <c r="D3043" s="3"/>
    </row>
    <row r="3044" spans="1:4">
      <c r="A3044" s="691"/>
      <c r="D3044" s="3"/>
    </row>
    <row r="3045" spans="1:4">
      <c r="A3045" s="691"/>
      <c r="D3045" s="3"/>
    </row>
    <row r="3046" spans="1:4">
      <c r="A3046" s="691"/>
      <c r="D3046" s="3"/>
    </row>
    <row r="3047" spans="1:4">
      <c r="A3047" s="691"/>
      <c r="D3047" s="3"/>
    </row>
    <row r="3048" spans="1:4">
      <c r="A3048" s="691"/>
      <c r="D3048" s="3"/>
    </row>
    <row r="3049" spans="1:4">
      <c r="A3049" s="691"/>
      <c r="D3049" s="3"/>
    </row>
    <row r="3050" spans="1:4">
      <c r="A3050" s="691"/>
      <c r="D3050" s="3"/>
    </row>
    <row r="3051" spans="1:4">
      <c r="A3051" s="691"/>
      <c r="D3051" s="3"/>
    </row>
    <row r="3052" spans="1:4">
      <c r="A3052" s="691"/>
      <c r="D3052" s="3"/>
    </row>
    <row r="3053" spans="1:4">
      <c r="A3053" s="691"/>
      <c r="D3053" s="3"/>
    </row>
    <row r="3054" spans="1:4">
      <c r="A3054" s="691"/>
      <c r="D3054" s="3"/>
    </row>
    <row r="3055" spans="1:4">
      <c r="A3055" s="691"/>
      <c r="D3055" s="3"/>
    </row>
    <row r="3056" spans="1:4">
      <c r="A3056" s="691"/>
      <c r="D3056" s="3"/>
    </row>
    <row r="3057" spans="1:4">
      <c r="A3057" s="691"/>
      <c r="D3057" s="3"/>
    </row>
    <row r="3058" spans="1:4">
      <c r="A3058" s="691"/>
      <c r="D3058" s="3"/>
    </row>
    <row r="3059" spans="1:4">
      <c r="A3059" s="691"/>
      <c r="D3059" s="3"/>
    </row>
    <row r="3060" spans="1:4">
      <c r="A3060" s="691"/>
      <c r="D3060" s="3"/>
    </row>
    <row r="3061" spans="1:4">
      <c r="A3061" s="691"/>
      <c r="D3061" s="3"/>
    </row>
    <row r="3062" spans="1:4">
      <c r="A3062" s="691"/>
      <c r="D3062" s="3"/>
    </row>
    <row r="3063" spans="1:4">
      <c r="A3063" s="691"/>
      <c r="D3063" s="3"/>
    </row>
    <row r="3064" spans="1:4">
      <c r="A3064" s="691"/>
      <c r="D3064" s="3"/>
    </row>
    <row r="3065" spans="1:4">
      <c r="A3065" s="691"/>
      <c r="D3065" s="3"/>
    </row>
    <row r="3066" spans="1:4">
      <c r="A3066" s="691"/>
      <c r="D3066" s="3"/>
    </row>
    <row r="3067" spans="1:4">
      <c r="A3067" s="691"/>
      <c r="D3067" s="3"/>
    </row>
    <row r="3068" spans="1:4">
      <c r="A3068" s="691"/>
      <c r="D3068" s="3"/>
    </row>
    <row r="3069" spans="1:4">
      <c r="A3069" s="691"/>
      <c r="D3069" s="3"/>
    </row>
    <row r="3070" spans="1:4">
      <c r="A3070" s="691"/>
      <c r="D3070" s="3"/>
    </row>
    <row r="3071" spans="1:4">
      <c r="A3071" s="691"/>
      <c r="D3071" s="3"/>
    </row>
    <row r="3072" spans="1:4">
      <c r="A3072" s="691"/>
      <c r="D3072" s="3"/>
    </row>
    <row r="3073" spans="1:4">
      <c r="A3073" s="691"/>
      <c r="D3073" s="3"/>
    </row>
    <row r="3074" spans="1:4">
      <c r="A3074" s="691"/>
      <c r="D3074" s="3"/>
    </row>
    <row r="3075" spans="1:4">
      <c r="A3075" s="691"/>
      <c r="D3075" s="3"/>
    </row>
    <row r="3076" spans="1:4">
      <c r="A3076" s="691"/>
      <c r="D3076" s="3"/>
    </row>
    <row r="3077" spans="1:4">
      <c r="A3077" s="691"/>
      <c r="D3077" s="3"/>
    </row>
    <row r="3078" spans="1:4">
      <c r="A3078" s="691"/>
      <c r="D3078" s="3"/>
    </row>
    <row r="3079" spans="1:4">
      <c r="A3079" s="691"/>
      <c r="D3079" s="3"/>
    </row>
    <row r="3080" spans="1:4">
      <c r="A3080" s="691"/>
      <c r="D3080" s="3"/>
    </row>
    <row r="3081" spans="1:4">
      <c r="A3081" s="691"/>
      <c r="D3081" s="3"/>
    </row>
    <row r="3082" spans="1:4">
      <c r="A3082" s="691"/>
      <c r="D3082" s="3"/>
    </row>
    <row r="3083" spans="1:4">
      <c r="A3083" s="691"/>
      <c r="D3083" s="3"/>
    </row>
    <row r="3084" spans="1:4">
      <c r="A3084" s="691"/>
      <c r="D3084" s="3"/>
    </row>
    <row r="3085" spans="1:4">
      <c r="A3085" s="691"/>
      <c r="D3085" s="3"/>
    </row>
    <row r="3086" spans="1:4">
      <c r="A3086" s="691"/>
      <c r="D3086" s="3"/>
    </row>
    <row r="3087" spans="1:4">
      <c r="A3087" s="691"/>
      <c r="D3087" s="3"/>
    </row>
    <row r="3088" spans="1:4">
      <c r="A3088" s="691"/>
      <c r="D3088" s="3"/>
    </row>
    <row r="3089" spans="1:4">
      <c r="A3089" s="691"/>
      <c r="D3089" s="3"/>
    </row>
    <row r="3090" spans="1:4">
      <c r="A3090" s="691"/>
      <c r="D3090" s="3"/>
    </row>
    <row r="3091" spans="1:4">
      <c r="A3091" s="691"/>
      <c r="D3091" s="3"/>
    </row>
    <row r="3092" spans="1:4">
      <c r="A3092" s="691"/>
      <c r="D3092" s="3"/>
    </row>
    <row r="3093" spans="1:4">
      <c r="A3093" s="691"/>
      <c r="D3093" s="3"/>
    </row>
    <row r="3094" spans="1:4">
      <c r="A3094" s="691"/>
      <c r="D3094" s="3"/>
    </row>
    <row r="3095" spans="1:4">
      <c r="A3095" s="691"/>
      <c r="D3095" s="3"/>
    </row>
    <row r="3096" spans="1:4">
      <c r="A3096" s="691"/>
      <c r="D3096" s="3"/>
    </row>
    <row r="3097" spans="1:4">
      <c r="A3097" s="691"/>
      <c r="D3097" s="3"/>
    </row>
    <row r="3098" spans="1:4">
      <c r="A3098" s="691"/>
      <c r="D3098" s="3"/>
    </row>
    <row r="3099" spans="1:4">
      <c r="A3099" s="691"/>
      <c r="D3099" s="3"/>
    </row>
    <row r="3100" spans="1:4">
      <c r="A3100" s="691"/>
      <c r="D3100" s="3"/>
    </row>
    <row r="3101" spans="1:4">
      <c r="A3101" s="691"/>
      <c r="D3101" s="3"/>
    </row>
    <row r="3102" spans="1:4">
      <c r="A3102" s="691"/>
      <c r="D3102" s="3"/>
    </row>
    <row r="3103" spans="1:4">
      <c r="A3103" s="691"/>
      <c r="D3103" s="3"/>
    </row>
    <row r="3104" spans="1:4">
      <c r="A3104" s="691"/>
      <c r="D3104" s="3"/>
    </row>
    <row r="3105" spans="1:4">
      <c r="A3105" s="691"/>
      <c r="D3105" s="3"/>
    </row>
    <row r="3106" spans="1:4">
      <c r="A3106" s="691"/>
      <c r="D3106" s="3"/>
    </row>
    <row r="3107" spans="1:4">
      <c r="A3107" s="691"/>
      <c r="D3107" s="3"/>
    </row>
    <row r="3108" spans="1:4">
      <c r="A3108" s="691"/>
      <c r="D3108" s="3"/>
    </row>
    <row r="3109" spans="1:4">
      <c r="A3109" s="691"/>
      <c r="D3109" s="3"/>
    </row>
    <row r="3110" spans="1:4">
      <c r="A3110" s="691"/>
      <c r="D3110" s="3"/>
    </row>
    <row r="3111" spans="1:4">
      <c r="A3111" s="691"/>
      <c r="D3111" s="3"/>
    </row>
    <row r="3112" spans="1:4">
      <c r="A3112" s="691"/>
      <c r="D3112" s="3"/>
    </row>
    <row r="3113" spans="1:4">
      <c r="A3113" s="691"/>
      <c r="D3113" s="3"/>
    </row>
    <row r="3114" spans="1:4">
      <c r="A3114" s="691"/>
      <c r="D3114" s="3"/>
    </row>
    <row r="3115" spans="1:4">
      <c r="A3115" s="691"/>
      <c r="D3115" s="3"/>
    </row>
    <row r="3116" spans="1:4">
      <c r="A3116" s="691"/>
      <c r="D3116" s="3"/>
    </row>
    <row r="3117" spans="1:4">
      <c r="A3117" s="691"/>
      <c r="D3117" s="3"/>
    </row>
    <row r="3118" spans="1:4">
      <c r="A3118" s="691"/>
      <c r="D3118" s="3"/>
    </row>
    <row r="3119" spans="1:4">
      <c r="A3119" s="691"/>
      <c r="D3119" s="3"/>
    </row>
    <row r="3120" spans="1:4">
      <c r="A3120" s="691"/>
      <c r="D3120" s="3"/>
    </row>
    <row r="3121" spans="1:4">
      <c r="A3121" s="691"/>
      <c r="D3121" s="3"/>
    </row>
    <row r="3122" spans="1:4">
      <c r="A3122" s="691"/>
      <c r="D3122" s="3"/>
    </row>
    <row r="3123" spans="1:4">
      <c r="A3123" s="691"/>
      <c r="D3123" s="3"/>
    </row>
    <row r="3124" spans="1:4">
      <c r="A3124" s="691"/>
      <c r="D3124" s="3"/>
    </row>
    <row r="3125" spans="1:4">
      <c r="A3125" s="691"/>
      <c r="D3125" s="3"/>
    </row>
    <row r="3126" spans="1:4">
      <c r="A3126" s="691"/>
      <c r="D3126" s="3"/>
    </row>
    <row r="3127" spans="1:4">
      <c r="A3127" s="691"/>
      <c r="D3127" s="3"/>
    </row>
    <row r="3128" spans="1:4">
      <c r="A3128" s="691"/>
      <c r="D3128" s="3"/>
    </row>
    <row r="3129" spans="1:4">
      <c r="A3129" s="691"/>
      <c r="D3129" s="3"/>
    </row>
    <row r="3130" spans="1:4">
      <c r="A3130" s="691"/>
      <c r="D3130" s="3"/>
    </row>
    <row r="3131" spans="1:4">
      <c r="A3131" s="691"/>
      <c r="D3131" s="3"/>
    </row>
    <row r="3132" spans="1:4">
      <c r="A3132" s="691"/>
      <c r="D3132" s="3"/>
    </row>
    <row r="3133" spans="1:4">
      <c r="A3133" s="691"/>
      <c r="D3133" s="3"/>
    </row>
    <row r="3134" spans="1:4">
      <c r="A3134" s="691"/>
      <c r="D3134" s="3"/>
    </row>
    <row r="3135" spans="1:4">
      <c r="A3135" s="691"/>
      <c r="D3135" s="3"/>
    </row>
    <row r="3136" spans="1:4">
      <c r="A3136" s="691"/>
      <c r="D3136" s="3"/>
    </row>
    <row r="3137" spans="1:4">
      <c r="A3137" s="691"/>
      <c r="D3137" s="3"/>
    </row>
    <row r="3138" spans="1:4">
      <c r="A3138" s="691"/>
      <c r="D3138" s="3"/>
    </row>
    <row r="3139" spans="1:4">
      <c r="A3139" s="691"/>
      <c r="D3139" s="3"/>
    </row>
    <row r="3140" spans="1:4">
      <c r="A3140" s="691"/>
      <c r="D3140" s="3"/>
    </row>
    <row r="3141" spans="1:4">
      <c r="A3141" s="691"/>
      <c r="D3141" s="3"/>
    </row>
    <row r="3142" spans="1:4">
      <c r="A3142" s="691"/>
      <c r="D3142" s="3"/>
    </row>
    <row r="3143" spans="1:4">
      <c r="A3143" s="691"/>
      <c r="D3143" s="3"/>
    </row>
    <row r="3144" spans="1:4">
      <c r="A3144" s="691"/>
      <c r="D3144" s="3"/>
    </row>
    <row r="3145" spans="1:4">
      <c r="A3145" s="691"/>
      <c r="D3145" s="3"/>
    </row>
    <row r="3146" spans="1:4">
      <c r="A3146" s="691"/>
      <c r="D3146" s="3"/>
    </row>
    <row r="3147" spans="1:4">
      <c r="A3147" s="691"/>
      <c r="D3147" s="3"/>
    </row>
    <row r="3148" spans="1:4">
      <c r="A3148" s="691"/>
      <c r="D3148" s="3"/>
    </row>
    <row r="3149" spans="1:4">
      <c r="A3149" s="691"/>
      <c r="D3149" s="3"/>
    </row>
    <row r="3150" spans="1:4">
      <c r="A3150" s="691"/>
      <c r="D3150" s="3"/>
    </row>
    <row r="3151" spans="1:4">
      <c r="A3151" s="691"/>
      <c r="D3151" s="3"/>
    </row>
    <row r="3152" spans="1:4">
      <c r="A3152" s="691"/>
      <c r="D3152" s="3"/>
    </row>
    <row r="3153" spans="1:4">
      <c r="A3153" s="691"/>
      <c r="D3153" s="3"/>
    </row>
    <row r="3154" spans="1:4">
      <c r="A3154" s="691"/>
      <c r="D3154" s="3"/>
    </row>
    <row r="3155" spans="1:4">
      <c r="A3155" s="691"/>
      <c r="D3155" s="3"/>
    </row>
    <row r="3156" spans="1:4">
      <c r="A3156" s="691"/>
      <c r="D3156" s="3"/>
    </row>
    <row r="3157" spans="1:4">
      <c r="A3157" s="691"/>
      <c r="D3157" s="3"/>
    </row>
    <row r="3158" spans="1:4">
      <c r="A3158" s="691"/>
      <c r="D3158" s="3"/>
    </row>
    <row r="3159" spans="1:4">
      <c r="A3159" s="691"/>
      <c r="D3159" s="3"/>
    </row>
    <row r="3160" spans="1:4">
      <c r="A3160" s="691"/>
      <c r="D3160" s="3"/>
    </row>
    <row r="3161" spans="1:4">
      <c r="A3161" s="691"/>
      <c r="D3161" s="3"/>
    </row>
    <row r="3162" spans="1:4">
      <c r="A3162" s="691"/>
      <c r="D3162" s="3"/>
    </row>
    <row r="3163" spans="1:4">
      <c r="A3163" s="691"/>
      <c r="D3163" s="3"/>
    </row>
    <row r="3164" spans="1:4">
      <c r="A3164" s="691"/>
      <c r="D3164" s="3"/>
    </row>
    <row r="3165" spans="1:4">
      <c r="A3165" s="691"/>
      <c r="D3165" s="3"/>
    </row>
    <row r="3166" spans="1:4">
      <c r="A3166" s="691"/>
      <c r="D3166" s="3"/>
    </row>
    <row r="3167" spans="1:4">
      <c r="A3167" s="691"/>
      <c r="D3167" s="3"/>
    </row>
    <row r="3168" spans="1:4">
      <c r="A3168" s="691"/>
      <c r="D3168" s="3"/>
    </row>
    <row r="3169" spans="1:4">
      <c r="A3169" s="691"/>
      <c r="D3169" s="3"/>
    </row>
    <row r="3170" spans="1:4">
      <c r="A3170" s="691"/>
      <c r="D3170" s="3"/>
    </row>
    <row r="3171" spans="1:4">
      <c r="A3171" s="691"/>
      <c r="D3171" s="3"/>
    </row>
    <row r="3172" spans="1:4">
      <c r="A3172" s="691"/>
      <c r="D3172" s="3"/>
    </row>
    <row r="3173" spans="1:4">
      <c r="A3173" s="691"/>
      <c r="D3173" s="3"/>
    </row>
    <row r="3174" spans="1:4">
      <c r="A3174" s="691"/>
      <c r="D3174" s="3"/>
    </row>
    <row r="3175" spans="1:4">
      <c r="A3175" s="691"/>
      <c r="D3175" s="3"/>
    </row>
    <row r="3176" spans="1:4">
      <c r="A3176" s="691"/>
      <c r="D3176" s="3"/>
    </row>
    <row r="3177" spans="1:4">
      <c r="A3177" s="691"/>
      <c r="D3177" s="3"/>
    </row>
    <row r="3178" spans="1:4">
      <c r="A3178" s="691"/>
      <c r="D3178" s="3"/>
    </row>
    <row r="3179" spans="1:4">
      <c r="A3179" s="691"/>
      <c r="D3179" s="3"/>
    </row>
    <row r="3180" spans="1:4">
      <c r="A3180" s="691"/>
      <c r="D3180" s="3"/>
    </row>
    <row r="3181" spans="1:4">
      <c r="A3181" s="691"/>
      <c r="D3181" s="3"/>
    </row>
    <row r="3182" spans="1:4">
      <c r="A3182" s="691"/>
      <c r="D3182" s="3"/>
    </row>
    <row r="3183" spans="1:4">
      <c r="A3183" s="691"/>
      <c r="D3183" s="3"/>
    </row>
    <row r="3184" spans="1:4">
      <c r="A3184" s="691"/>
      <c r="D3184" s="3"/>
    </row>
    <row r="3185" spans="1:4">
      <c r="A3185" s="691"/>
      <c r="D3185" s="3"/>
    </row>
    <row r="3186" spans="1:4">
      <c r="A3186" s="691"/>
      <c r="D3186" s="3"/>
    </row>
    <row r="3187" spans="1:4">
      <c r="A3187" s="691"/>
      <c r="D3187" s="3"/>
    </row>
    <row r="3188" spans="1:4">
      <c r="A3188" s="691"/>
      <c r="D3188" s="3"/>
    </row>
    <row r="3189" spans="1:4">
      <c r="A3189" s="691"/>
      <c r="D3189" s="3"/>
    </row>
    <row r="3190" spans="1:4">
      <c r="A3190" s="691"/>
      <c r="D3190" s="3"/>
    </row>
    <row r="3191" spans="1:4">
      <c r="A3191" s="691"/>
      <c r="D3191" s="3"/>
    </row>
    <row r="3192" spans="1:4">
      <c r="A3192" s="691"/>
      <c r="D3192" s="3"/>
    </row>
    <row r="3193" spans="1:4">
      <c r="A3193" s="691"/>
      <c r="D3193" s="3"/>
    </row>
    <row r="3194" spans="1:4">
      <c r="A3194" s="691"/>
      <c r="D3194" s="3"/>
    </row>
    <row r="3195" spans="1:4">
      <c r="A3195" s="691"/>
      <c r="D3195" s="3"/>
    </row>
    <row r="3196" spans="1:4">
      <c r="A3196" s="691"/>
      <c r="D3196" s="3"/>
    </row>
    <row r="3197" spans="1:4">
      <c r="A3197" s="691"/>
      <c r="D3197" s="3"/>
    </row>
    <row r="3198" spans="1:4">
      <c r="A3198" s="691"/>
      <c r="D3198" s="3"/>
    </row>
    <row r="3199" spans="1:4">
      <c r="A3199" s="691"/>
      <c r="D3199" s="3"/>
    </row>
    <row r="3200" spans="1:4">
      <c r="A3200" s="691"/>
      <c r="D3200" s="3"/>
    </row>
    <row r="3201" spans="1:4">
      <c r="A3201" s="691"/>
      <c r="D3201" s="3"/>
    </row>
    <row r="3202" spans="1:4">
      <c r="A3202" s="691"/>
      <c r="D3202" s="3"/>
    </row>
    <row r="3203" spans="1:4">
      <c r="A3203" s="691"/>
      <c r="D3203" s="3"/>
    </row>
    <row r="3204" spans="1:4">
      <c r="A3204" s="691"/>
      <c r="D3204" s="3"/>
    </row>
    <row r="3205" spans="1:4">
      <c r="A3205" s="691"/>
      <c r="D3205" s="3"/>
    </row>
    <row r="3206" spans="1:4">
      <c r="A3206" s="691"/>
      <c r="D3206" s="3"/>
    </row>
    <row r="3207" spans="1:4">
      <c r="A3207" s="691"/>
      <c r="D3207" s="3"/>
    </row>
    <row r="3208" spans="1:4">
      <c r="A3208" s="691"/>
      <c r="D3208" s="3"/>
    </row>
    <row r="3209" spans="1:4">
      <c r="A3209" s="691"/>
      <c r="D3209" s="3"/>
    </row>
    <row r="3210" spans="1:4">
      <c r="A3210" s="691"/>
      <c r="D3210" s="3"/>
    </row>
    <row r="3211" spans="1:4">
      <c r="A3211" s="691"/>
      <c r="D3211" s="3"/>
    </row>
    <row r="3212" spans="1:4">
      <c r="A3212" s="691"/>
      <c r="D3212" s="3"/>
    </row>
    <row r="3213" spans="1:4">
      <c r="A3213" s="691"/>
      <c r="D3213" s="3"/>
    </row>
    <row r="3214" spans="1:4">
      <c r="A3214" s="691"/>
      <c r="D3214" s="3"/>
    </row>
    <row r="3215" spans="1:4">
      <c r="A3215" s="691"/>
      <c r="D3215" s="3"/>
    </row>
    <row r="3216" spans="1:4">
      <c r="A3216" s="691"/>
      <c r="D3216" s="3"/>
    </row>
    <row r="3217" spans="1:4">
      <c r="A3217" s="691"/>
      <c r="D3217" s="3"/>
    </row>
    <row r="3218" spans="1:4">
      <c r="A3218" s="691"/>
      <c r="D3218" s="3"/>
    </row>
    <row r="3219" spans="1:4">
      <c r="A3219" s="691"/>
      <c r="D3219" s="3"/>
    </row>
    <row r="3220" spans="1:4">
      <c r="A3220" s="691"/>
      <c r="D3220" s="3"/>
    </row>
    <row r="3221" spans="1:4">
      <c r="A3221" s="691"/>
      <c r="D3221" s="3"/>
    </row>
    <row r="3222" spans="1:4">
      <c r="A3222" s="691"/>
      <c r="D3222" s="3"/>
    </row>
    <row r="3223" spans="1:4">
      <c r="A3223" s="691"/>
      <c r="D3223" s="3"/>
    </row>
    <row r="3224" spans="1:4">
      <c r="A3224" s="691"/>
      <c r="D3224" s="3"/>
    </row>
    <row r="3225" spans="1:4">
      <c r="A3225" s="691"/>
      <c r="D3225" s="3"/>
    </row>
    <row r="3226" spans="1:4">
      <c r="A3226" s="691"/>
      <c r="D3226" s="3"/>
    </row>
    <row r="3227" spans="1:4">
      <c r="A3227" s="691"/>
      <c r="D3227" s="3"/>
    </row>
    <row r="3228" spans="1:4">
      <c r="A3228" s="691"/>
      <c r="D3228" s="3"/>
    </row>
    <row r="3229" spans="1:4">
      <c r="A3229" s="691"/>
      <c r="D3229" s="3"/>
    </row>
    <row r="3230" spans="1:4">
      <c r="A3230" s="691"/>
      <c r="D3230" s="3"/>
    </row>
    <row r="3231" spans="1:4">
      <c r="A3231" s="691"/>
      <c r="D3231" s="3"/>
    </row>
    <row r="3232" spans="1:4">
      <c r="A3232" s="691"/>
      <c r="D3232" s="3"/>
    </row>
    <row r="3233" spans="1:4">
      <c r="A3233" s="691"/>
      <c r="D3233" s="3"/>
    </row>
    <row r="3234" spans="1:4">
      <c r="A3234" s="691"/>
      <c r="D3234" s="3"/>
    </row>
    <row r="3235" spans="1:4">
      <c r="A3235" s="691"/>
      <c r="D3235" s="3"/>
    </row>
    <row r="3236" spans="1:4">
      <c r="A3236" s="691"/>
      <c r="D3236" s="3"/>
    </row>
    <row r="3237" spans="1:4">
      <c r="A3237" s="691"/>
      <c r="D3237" s="3"/>
    </row>
    <row r="3238" spans="1:4">
      <c r="A3238" s="691"/>
      <c r="D3238" s="3"/>
    </row>
    <row r="3239" spans="1:4">
      <c r="A3239" s="691"/>
      <c r="D3239" s="3"/>
    </row>
    <row r="3240" spans="1:4">
      <c r="A3240" s="691"/>
      <c r="D3240" s="3"/>
    </row>
    <row r="3241" spans="1:4">
      <c r="A3241" s="691"/>
      <c r="D3241" s="3"/>
    </row>
    <row r="3242" spans="1:4">
      <c r="A3242" s="691"/>
      <c r="D3242" s="3"/>
    </row>
    <row r="3243" spans="1:4">
      <c r="A3243" s="691"/>
      <c r="D3243" s="3"/>
    </row>
    <row r="3244" spans="1:4">
      <c r="A3244" s="691"/>
      <c r="D3244" s="3"/>
    </row>
    <row r="3245" spans="1:4">
      <c r="A3245" s="691"/>
      <c r="D3245" s="3"/>
    </row>
    <row r="3246" spans="1:4">
      <c r="A3246" s="691"/>
      <c r="D3246" s="3"/>
    </row>
    <row r="3247" spans="1:4">
      <c r="A3247" s="691"/>
      <c r="D3247" s="3"/>
    </row>
    <row r="3248" spans="1:4">
      <c r="A3248" s="691"/>
      <c r="D3248" s="3"/>
    </row>
    <row r="3249" spans="1:4">
      <c r="A3249" s="691"/>
      <c r="D3249" s="3"/>
    </row>
    <row r="3250" spans="1:4">
      <c r="A3250" s="691"/>
      <c r="D3250" s="3"/>
    </row>
    <row r="3251" spans="1:4">
      <c r="A3251" s="691"/>
      <c r="D3251" s="3"/>
    </row>
    <row r="3252" spans="1:4">
      <c r="A3252" s="691"/>
      <c r="D3252" s="3"/>
    </row>
    <row r="3253" spans="1:4">
      <c r="A3253" s="691"/>
      <c r="D3253" s="3"/>
    </row>
    <row r="3254" spans="1:4">
      <c r="A3254" s="691"/>
      <c r="D3254" s="3"/>
    </row>
    <row r="3255" spans="1:4">
      <c r="A3255" s="691"/>
      <c r="D3255" s="3"/>
    </row>
    <row r="3256" spans="1:4">
      <c r="A3256" s="691"/>
      <c r="D3256" s="3"/>
    </row>
    <row r="3257" spans="1:4">
      <c r="A3257" s="691"/>
      <c r="D3257" s="3"/>
    </row>
    <row r="3258" spans="1:4">
      <c r="A3258" s="691"/>
      <c r="D3258" s="3"/>
    </row>
    <row r="3259" spans="1:4">
      <c r="A3259" s="691"/>
      <c r="D3259" s="3"/>
    </row>
    <row r="3260" spans="1:4">
      <c r="A3260" s="691"/>
      <c r="D3260" s="3"/>
    </row>
    <row r="3261" spans="1:4">
      <c r="A3261" s="691"/>
      <c r="D3261" s="3"/>
    </row>
    <row r="3262" spans="1:4">
      <c r="A3262" s="691"/>
      <c r="D3262" s="3"/>
    </row>
    <row r="3263" spans="1:4">
      <c r="A3263" s="691"/>
      <c r="D3263" s="3"/>
    </row>
    <row r="3264" spans="1:4">
      <c r="A3264" s="691"/>
      <c r="D3264" s="3"/>
    </row>
    <row r="3265" spans="1:4">
      <c r="A3265" s="691"/>
      <c r="D3265" s="3"/>
    </row>
    <row r="3266" spans="1:4">
      <c r="A3266" s="691"/>
      <c r="D3266" s="3"/>
    </row>
    <row r="3267" spans="1:4">
      <c r="A3267" s="691"/>
      <c r="D3267" s="3"/>
    </row>
    <row r="3268" spans="1:4">
      <c r="A3268" s="691"/>
      <c r="D3268" s="3"/>
    </row>
    <row r="3269" spans="1:4">
      <c r="A3269" s="691"/>
      <c r="D3269" s="3"/>
    </row>
    <row r="3270" spans="1:4">
      <c r="A3270" s="691"/>
      <c r="D3270" s="3"/>
    </row>
    <row r="3271" spans="1:4">
      <c r="A3271" s="691"/>
      <c r="D3271" s="3"/>
    </row>
    <row r="3272" spans="1:4">
      <c r="A3272" s="691"/>
      <c r="D3272" s="3"/>
    </row>
    <row r="3273" spans="1:4">
      <c r="A3273" s="691"/>
      <c r="D3273" s="3"/>
    </row>
    <row r="3274" spans="1:4">
      <c r="A3274" s="691"/>
      <c r="D3274" s="3"/>
    </row>
    <row r="3275" spans="1:4">
      <c r="A3275" s="691"/>
      <c r="D3275" s="3"/>
    </row>
    <row r="3276" spans="1:4">
      <c r="A3276" s="691"/>
      <c r="D3276" s="3"/>
    </row>
    <row r="3277" spans="1:4">
      <c r="A3277" s="691"/>
      <c r="D3277" s="3"/>
    </row>
    <row r="3278" spans="1:4">
      <c r="A3278" s="691"/>
      <c r="D3278" s="3"/>
    </row>
    <row r="3279" spans="1:4">
      <c r="A3279" s="691"/>
      <c r="D3279" s="3"/>
    </row>
    <row r="3280" spans="1:4">
      <c r="A3280" s="691"/>
      <c r="D3280" s="3"/>
    </row>
    <row r="3281" spans="1:4">
      <c r="A3281" s="691"/>
      <c r="D3281" s="3"/>
    </row>
    <row r="3282" spans="1:4">
      <c r="A3282" s="691"/>
      <c r="D3282" s="3"/>
    </row>
    <row r="3283" spans="1:4">
      <c r="A3283" s="691"/>
      <c r="D3283" s="3"/>
    </row>
    <row r="3284" spans="1:4">
      <c r="A3284" s="691"/>
      <c r="D3284" s="3"/>
    </row>
    <row r="3285" spans="1:4">
      <c r="A3285" s="691"/>
      <c r="D3285" s="3"/>
    </row>
    <row r="3286" spans="1:4">
      <c r="A3286" s="691"/>
      <c r="D3286" s="3"/>
    </row>
    <row r="3287" spans="1:4">
      <c r="A3287" s="691"/>
      <c r="D3287" s="3"/>
    </row>
    <row r="3288" spans="1:4">
      <c r="A3288" s="691"/>
      <c r="D3288" s="3"/>
    </row>
    <row r="3289" spans="1:4">
      <c r="A3289" s="691"/>
      <c r="D3289" s="3"/>
    </row>
    <row r="3290" spans="1:4">
      <c r="A3290" s="691"/>
      <c r="D3290" s="3"/>
    </row>
    <row r="3291" spans="1:4">
      <c r="A3291" s="691"/>
      <c r="D3291" s="3"/>
    </row>
    <row r="3292" spans="1:4">
      <c r="A3292" s="691"/>
      <c r="D3292" s="3"/>
    </row>
    <row r="3293" spans="1:4">
      <c r="A3293" s="691"/>
      <c r="D3293" s="3"/>
    </row>
    <row r="3294" spans="1:4">
      <c r="A3294" s="691"/>
      <c r="D3294" s="3"/>
    </row>
    <row r="3295" spans="1:4">
      <c r="A3295" s="691"/>
      <c r="D3295" s="3"/>
    </row>
    <row r="3296" spans="1:4">
      <c r="A3296" s="691"/>
      <c r="D3296" s="3"/>
    </row>
    <row r="3297" spans="1:4">
      <c r="A3297" s="691"/>
      <c r="D3297" s="3"/>
    </row>
    <row r="3298" spans="1:4">
      <c r="A3298" s="691"/>
      <c r="D3298" s="3"/>
    </row>
    <row r="3299" spans="1:4">
      <c r="A3299" s="691"/>
      <c r="D3299" s="3"/>
    </row>
    <row r="3300" spans="1:4">
      <c r="A3300" s="691"/>
      <c r="D3300" s="3"/>
    </row>
    <row r="3301" spans="1:4">
      <c r="A3301" s="691"/>
      <c r="D3301" s="3"/>
    </row>
    <row r="3302" spans="1:4">
      <c r="A3302" s="691"/>
      <c r="D3302" s="3"/>
    </row>
    <row r="3303" spans="1:4">
      <c r="A3303" s="691"/>
      <c r="D3303" s="3"/>
    </row>
    <row r="3304" spans="1:4">
      <c r="A3304" s="691"/>
      <c r="D3304" s="3"/>
    </row>
    <row r="3305" spans="1:4">
      <c r="A3305" s="691"/>
      <c r="D3305" s="3"/>
    </row>
    <row r="3306" spans="1:4">
      <c r="A3306" s="691"/>
      <c r="D3306" s="3"/>
    </row>
    <row r="3307" spans="1:4">
      <c r="A3307" s="691"/>
      <c r="D3307" s="3"/>
    </row>
    <row r="3308" spans="1:4">
      <c r="A3308" s="691"/>
      <c r="D3308" s="3"/>
    </row>
    <row r="3309" spans="1:4">
      <c r="A3309" s="691"/>
      <c r="D3309" s="3"/>
    </row>
    <row r="3310" spans="1:4">
      <c r="A3310" s="691"/>
      <c r="D3310" s="3"/>
    </row>
    <row r="3311" spans="1:4">
      <c r="A3311" s="691"/>
      <c r="D3311" s="3"/>
    </row>
    <row r="3312" spans="1:4">
      <c r="A3312" s="691"/>
      <c r="D3312" s="3"/>
    </row>
    <row r="3313" spans="1:4">
      <c r="A3313" s="691"/>
      <c r="D3313" s="3"/>
    </row>
    <row r="3314" spans="1:4">
      <c r="A3314" s="691"/>
      <c r="D3314" s="3"/>
    </row>
    <row r="3315" spans="1:4">
      <c r="A3315" s="691"/>
      <c r="D3315" s="3"/>
    </row>
    <row r="3316" spans="1:4">
      <c r="A3316" s="691"/>
      <c r="D3316" s="3"/>
    </row>
    <row r="3317" spans="1:4">
      <c r="A3317" s="691"/>
      <c r="D3317" s="3"/>
    </row>
    <row r="3318" spans="1:4">
      <c r="A3318" s="691"/>
      <c r="D3318" s="3"/>
    </row>
    <row r="3319" spans="1:4">
      <c r="A3319" s="691"/>
      <c r="D3319" s="3"/>
    </row>
    <row r="3320" spans="1:4">
      <c r="A3320" s="691"/>
      <c r="D3320" s="3"/>
    </row>
    <row r="3321" spans="1:4">
      <c r="A3321" s="691"/>
      <c r="D3321" s="3"/>
    </row>
    <row r="3322" spans="1:4">
      <c r="A3322" s="691"/>
      <c r="D3322" s="3"/>
    </row>
    <row r="3323" spans="1:4">
      <c r="A3323" s="691"/>
      <c r="D3323" s="3"/>
    </row>
    <row r="3324" spans="1:4">
      <c r="A3324" s="691"/>
      <c r="D3324" s="3"/>
    </row>
    <row r="3325" spans="1:4">
      <c r="A3325" s="691"/>
      <c r="D3325" s="3"/>
    </row>
    <row r="3326" spans="1:4">
      <c r="A3326" s="691"/>
      <c r="D3326" s="3"/>
    </row>
    <row r="3327" spans="1:4">
      <c r="A3327" s="691"/>
      <c r="D3327" s="3"/>
    </row>
    <row r="3328" spans="1:4">
      <c r="A3328" s="691"/>
      <c r="D3328" s="3"/>
    </row>
    <row r="3329" spans="1:4">
      <c r="A3329" s="691"/>
      <c r="D3329" s="3"/>
    </row>
    <row r="3330" spans="1:4">
      <c r="A3330" s="691"/>
      <c r="D3330" s="3"/>
    </row>
    <row r="3331" spans="1:4">
      <c r="A3331" s="691"/>
      <c r="D3331" s="3"/>
    </row>
    <row r="3332" spans="1:4">
      <c r="A3332" s="691"/>
      <c r="D3332" s="3"/>
    </row>
    <row r="3333" spans="1:4">
      <c r="A3333" s="691"/>
      <c r="D3333" s="3"/>
    </row>
    <row r="3334" spans="1:4">
      <c r="A3334" s="691"/>
      <c r="D3334" s="3"/>
    </row>
    <row r="3335" spans="1:4">
      <c r="A3335" s="691"/>
      <c r="D3335" s="3"/>
    </row>
    <row r="3336" spans="1:4">
      <c r="A3336" s="691"/>
      <c r="D3336" s="3"/>
    </row>
    <row r="3337" spans="1:4">
      <c r="A3337" s="691"/>
      <c r="D3337" s="3"/>
    </row>
    <row r="3338" spans="1:4">
      <c r="A3338" s="691"/>
      <c r="D3338" s="3"/>
    </row>
    <row r="3339" spans="1:4">
      <c r="A3339" s="691"/>
      <c r="D3339" s="3"/>
    </row>
    <row r="3340" spans="1:4">
      <c r="A3340" s="691"/>
      <c r="D3340" s="3"/>
    </row>
    <row r="3341" spans="1:4">
      <c r="A3341" s="691"/>
      <c r="D3341" s="3"/>
    </row>
    <row r="3342" spans="1:4">
      <c r="A3342" s="691"/>
      <c r="D3342" s="3"/>
    </row>
    <row r="3343" spans="1:4">
      <c r="A3343" s="691"/>
      <c r="D3343" s="3"/>
    </row>
    <row r="3344" spans="1:4">
      <c r="A3344" s="691"/>
      <c r="D3344" s="3"/>
    </row>
    <row r="3345" spans="1:4">
      <c r="A3345" s="691"/>
      <c r="D3345" s="3"/>
    </row>
    <row r="3346" spans="1:4">
      <c r="A3346" s="691"/>
      <c r="D3346" s="3"/>
    </row>
    <row r="3347" spans="1:4">
      <c r="A3347" s="691"/>
      <c r="D3347" s="3"/>
    </row>
    <row r="3348" spans="1:4">
      <c r="A3348" s="691"/>
      <c r="D3348" s="3"/>
    </row>
    <row r="3349" spans="1:4">
      <c r="A3349" s="691"/>
      <c r="D3349" s="3"/>
    </row>
    <row r="3350" spans="1:4">
      <c r="A3350" s="691"/>
      <c r="D3350" s="3"/>
    </row>
    <row r="3351" spans="1:4">
      <c r="A3351" s="691"/>
      <c r="D3351" s="3"/>
    </row>
    <row r="3352" spans="1:4">
      <c r="A3352" s="691"/>
      <c r="D3352" s="3"/>
    </row>
    <row r="3353" spans="1:4">
      <c r="A3353" s="691"/>
      <c r="D3353" s="3"/>
    </row>
    <row r="3354" spans="1:4">
      <c r="A3354" s="691"/>
      <c r="D3354" s="3"/>
    </row>
    <row r="3355" spans="1:4">
      <c r="A3355" s="691"/>
      <c r="D3355" s="3"/>
    </row>
    <row r="3356" spans="1:4">
      <c r="A3356" s="691"/>
      <c r="D3356" s="3"/>
    </row>
    <row r="3357" spans="1:4">
      <c r="A3357" s="691"/>
      <c r="D3357" s="3"/>
    </row>
    <row r="3358" spans="1:4">
      <c r="A3358" s="691"/>
      <c r="D3358" s="3"/>
    </row>
    <row r="3359" spans="1:4">
      <c r="A3359" s="691"/>
      <c r="D3359" s="3"/>
    </row>
    <row r="3360" spans="1:4">
      <c r="A3360" s="691"/>
      <c r="D3360" s="3"/>
    </row>
    <row r="3361" spans="1:4">
      <c r="A3361" s="691"/>
      <c r="D3361" s="3"/>
    </row>
    <row r="3362" spans="1:4">
      <c r="A3362" s="691"/>
      <c r="D3362" s="3"/>
    </row>
    <row r="3363" spans="1:4">
      <c r="A3363" s="691"/>
      <c r="D3363" s="3"/>
    </row>
    <row r="3364" spans="1:4">
      <c r="A3364" s="691"/>
      <c r="D3364" s="3"/>
    </row>
    <row r="3365" spans="1:4">
      <c r="A3365" s="691"/>
      <c r="D3365" s="3"/>
    </row>
    <row r="3366" spans="1:4">
      <c r="A3366" s="691"/>
      <c r="D3366" s="3"/>
    </row>
    <row r="3367" spans="1:4">
      <c r="A3367" s="691"/>
      <c r="D3367" s="3"/>
    </row>
    <row r="3368" spans="1:4">
      <c r="A3368" s="691"/>
      <c r="D3368" s="3"/>
    </row>
    <row r="3369" spans="1:4">
      <c r="A3369" s="691"/>
      <c r="D3369" s="3"/>
    </row>
    <row r="3370" spans="1:4">
      <c r="A3370" s="691"/>
      <c r="D3370" s="3"/>
    </row>
    <row r="3371" spans="1:4">
      <c r="A3371" s="691"/>
      <c r="D3371" s="3"/>
    </row>
    <row r="3372" spans="1:4">
      <c r="A3372" s="691"/>
      <c r="D3372" s="3"/>
    </row>
    <row r="3373" spans="1:4">
      <c r="A3373" s="691"/>
      <c r="D3373" s="3"/>
    </row>
    <row r="3374" spans="1:4">
      <c r="A3374" s="691"/>
      <c r="D3374" s="3"/>
    </row>
    <row r="3375" spans="1:4">
      <c r="A3375" s="691"/>
      <c r="D3375" s="3"/>
    </row>
    <row r="3376" spans="1:4">
      <c r="A3376" s="691"/>
      <c r="D3376" s="3"/>
    </row>
    <row r="3377" spans="1:4">
      <c r="A3377" s="691"/>
      <c r="D3377" s="3"/>
    </row>
    <row r="3378" spans="1:4">
      <c r="A3378" s="691"/>
      <c r="D3378" s="3"/>
    </row>
    <row r="3379" spans="1:4">
      <c r="A3379" s="691"/>
      <c r="D3379" s="3"/>
    </row>
    <row r="3380" spans="1:4">
      <c r="A3380" s="691"/>
      <c r="D3380" s="3"/>
    </row>
    <row r="3381" spans="1:4">
      <c r="A3381" s="691"/>
      <c r="D3381" s="3"/>
    </row>
    <row r="3382" spans="1:4">
      <c r="A3382" s="691"/>
      <c r="D3382" s="3"/>
    </row>
    <row r="3383" spans="1:4">
      <c r="A3383" s="691"/>
      <c r="D3383" s="3"/>
    </row>
    <row r="3384" spans="1:4">
      <c r="A3384" s="691"/>
      <c r="D3384" s="3"/>
    </row>
    <row r="3385" spans="1:4">
      <c r="A3385" s="691"/>
      <c r="D3385" s="3"/>
    </row>
    <row r="3386" spans="1:4">
      <c r="A3386" s="691"/>
      <c r="D3386" s="3"/>
    </row>
    <row r="3387" spans="1:4">
      <c r="A3387" s="691"/>
      <c r="D3387" s="3"/>
    </row>
    <row r="3388" spans="1:4">
      <c r="A3388" s="691"/>
      <c r="D3388" s="3"/>
    </row>
    <row r="3389" spans="1:4">
      <c r="A3389" s="691"/>
      <c r="D3389" s="3"/>
    </row>
    <row r="3390" spans="1:4">
      <c r="A3390" s="691"/>
      <c r="D3390" s="3"/>
    </row>
    <row r="3391" spans="1:4">
      <c r="A3391" s="691"/>
      <c r="D3391" s="3"/>
    </row>
    <row r="3392" spans="1:4">
      <c r="A3392" s="691"/>
      <c r="D3392" s="3"/>
    </row>
    <row r="3393" spans="1:4">
      <c r="A3393" s="691"/>
      <c r="D3393" s="3"/>
    </row>
    <row r="3394" spans="1:4">
      <c r="A3394" s="691"/>
      <c r="D3394" s="3"/>
    </row>
    <row r="3395" spans="1:4">
      <c r="A3395" s="691"/>
      <c r="D3395" s="3"/>
    </row>
    <row r="3396" spans="1:4">
      <c r="A3396" s="691"/>
      <c r="D3396" s="3"/>
    </row>
    <row r="3397" spans="1:4">
      <c r="A3397" s="691"/>
      <c r="D3397" s="3"/>
    </row>
    <row r="3398" spans="1:4">
      <c r="A3398" s="691"/>
      <c r="D3398" s="3"/>
    </row>
    <row r="3399" spans="1:4">
      <c r="A3399" s="691"/>
      <c r="D3399" s="3"/>
    </row>
    <row r="3400" spans="1:4">
      <c r="A3400" s="691"/>
      <c r="D3400" s="3"/>
    </row>
    <row r="3401" spans="1:4">
      <c r="A3401" s="691"/>
      <c r="D3401" s="3"/>
    </row>
    <row r="3402" spans="1:4">
      <c r="A3402" s="691"/>
      <c r="D3402" s="3"/>
    </row>
    <row r="3403" spans="1:4">
      <c r="A3403" s="691"/>
      <c r="D3403" s="3"/>
    </row>
    <row r="3404" spans="1:4">
      <c r="A3404" s="691"/>
      <c r="D3404" s="3"/>
    </row>
    <row r="3405" spans="1:4">
      <c r="A3405" s="691"/>
      <c r="D3405" s="3"/>
    </row>
    <row r="3406" spans="1:4">
      <c r="A3406" s="691"/>
      <c r="D3406" s="3"/>
    </row>
    <row r="3407" spans="1:4">
      <c r="A3407" s="691"/>
      <c r="D3407" s="3"/>
    </row>
    <row r="3408" spans="1:4">
      <c r="A3408" s="691"/>
      <c r="D3408" s="3"/>
    </row>
    <row r="3409" spans="1:4">
      <c r="A3409" s="691"/>
      <c r="D3409" s="3"/>
    </row>
    <row r="3410" spans="1:4">
      <c r="A3410" s="691"/>
      <c r="D3410" s="3"/>
    </row>
    <row r="3411" spans="1:4">
      <c r="A3411" s="691"/>
      <c r="D3411" s="3"/>
    </row>
    <row r="3412" spans="1:4">
      <c r="A3412" s="691"/>
      <c r="D3412" s="3"/>
    </row>
    <row r="3413" spans="1:4">
      <c r="A3413" s="691"/>
      <c r="D3413" s="3"/>
    </row>
    <row r="3414" spans="1:4">
      <c r="A3414" s="691"/>
      <c r="D3414" s="3"/>
    </row>
    <row r="3415" spans="1:4">
      <c r="A3415" s="691"/>
      <c r="D3415" s="3"/>
    </row>
    <row r="3416" spans="1:4">
      <c r="A3416" s="691"/>
      <c r="D3416" s="3"/>
    </row>
    <row r="3417" spans="1:4">
      <c r="A3417" s="691"/>
      <c r="D3417" s="3"/>
    </row>
    <row r="3418" spans="1:4">
      <c r="A3418" s="691"/>
      <c r="D3418" s="3"/>
    </row>
    <row r="3419" spans="1:4">
      <c r="A3419" s="691"/>
      <c r="D3419" s="3"/>
    </row>
    <row r="3420" spans="1:4">
      <c r="A3420" s="691"/>
      <c r="D3420" s="3"/>
    </row>
    <row r="3421" spans="1:4">
      <c r="A3421" s="691"/>
      <c r="D3421" s="3"/>
    </row>
    <row r="3422" spans="1:4">
      <c r="A3422" s="691"/>
      <c r="D3422" s="3"/>
    </row>
    <row r="3423" spans="1:4">
      <c r="A3423" s="691"/>
      <c r="D3423" s="3"/>
    </row>
    <row r="3424" spans="1:4">
      <c r="A3424" s="691"/>
      <c r="D3424" s="3"/>
    </row>
    <row r="3425" spans="1:4">
      <c r="A3425" s="691"/>
      <c r="D3425" s="3"/>
    </row>
    <row r="3426" spans="1:4">
      <c r="A3426" s="691"/>
      <c r="D3426" s="3"/>
    </row>
    <row r="3427" spans="1:4">
      <c r="A3427" s="691"/>
      <c r="D3427" s="3"/>
    </row>
    <row r="3428" spans="1:4">
      <c r="A3428" s="691"/>
      <c r="D3428" s="3"/>
    </row>
    <row r="3429" spans="1:4">
      <c r="A3429" s="691"/>
      <c r="D3429" s="3"/>
    </row>
    <row r="3430" spans="1:4">
      <c r="A3430" s="691"/>
      <c r="D3430" s="3"/>
    </row>
    <row r="3431" spans="1:4">
      <c r="A3431" s="691"/>
      <c r="D3431" s="3"/>
    </row>
    <row r="3432" spans="1:4">
      <c r="A3432" s="691"/>
      <c r="D3432" s="3"/>
    </row>
    <row r="3433" spans="1:4">
      <c r="A3433" s="691"/>
      <c r="D3433" s="3"/>
    </row>
    <row r="3434" spans="1:4">
      <c r="A3434" s="691"/>
      <c r="D3434" s="3"/>
    </row>
    <row r="3435" spans="1:4">
      <c r="A3435" s="691"/>
      <c r="D3435" s="3"/>
    </row>
    <row r="3436" spans="1:4">
      <c r="A3436" s="691"/>
      <c r="D3436" s="3"/>
    </row>
    <row r="3437" spans="1:4">
      <c r="A3437" s="691"/>
      <c r="D3437" s="3"/>
    </row>
    <row r="3438" spans="1:4">
      <c r="A3438" s="691"/>
      <c r="D3438" s="3"/>
    </row>
    <row r="3439" spans="1:4">
      <c r="A3439" s="691"/>
      <c r="D3439" s="3"/>
    </row>
    <row r="3440" spans="1:4">
      <c r="A3440" s="691"/>
      <c r="D3440" s="3"/>
    </row>
    <row r="3441" spans="1:4">
      <c r="A3441" s="691"/>
      <c r="D3441" s="3"/>
    </row>
    <row r="3442" spans="1:4">
      <c r="A3442" s="691"/>
      <c r="D3442" s="3"/>
    </row>
    <row r="3443" spans="1:4">
      <c r="A3443" s="691"/>
      <c r="D3443" s="3"/>
    </row>
    <row r="3444" spans="1:4">
      <c r="A3444" s="691"/>
      <c r="D3444" s="3"/>
    </row>
    <row r="3445" spans="1:4">
      <c r="A3445" s="691"/>
      <c r="D3445" s="3"/>
    </row>
    <row r="3446" spans="1:4">
      <c r="A3446" s="691"/>
      <c r="D3446" s="3"/>
    </row>
    <row r="3447" spans="1:4">
      <c r="A3447" s="691"/>
      <c r="D3447" s="3"/>
    </row>
    <row r="3448" spans="1:4">
      <c r="A3448" s="691"/>
      <c r="D3448" s="3"/>
    </row>
    <row r="3449" spans="1:4">
      <c r="A3449" s="691"/>
      <c r="D3449" s="3"/>
    </row>
    <row r="3450" spans="1:4">
      <c r="A3450" s="691"/>
      <c r="D3450" s="3"/>
    </row>
    <row r="3451" spans="1:4">
      <c r="A3451" s="691"/>
      <c r="D3451" s="3"/>
    </row>
    <row r="3452" spans="1:4">
      <c r="A3452" s="691"/>
      <c r="D3452" s="3"/>
    </row>
    <row r="3453" spans="1:4">
      <c r="A3453" s="691"/>
      <c r="D3453" s="3"/>
    </row>
    <row r="3454" spans="1:4">
      <c r="A3454" s="691"/>
      <c r="D3454" s="3"/>
    </row>
    <row r="3455" spans="1:4">
      <c r="A3455" s="691"/>
      <c r="D3455" s="3"/>
    </row>
    <row r="3456" spans="1:4">
      <c r="A3456" s="691"/>
      <c r="D3456" s="3"/>
    </row>
    <row r="3457" spans="1:4">
      <c r="A3457" s="691"/>
      <c r="D3457" s="3"/>
    </row>
    <row r="3458" spans="1:4">
      <c r="A3458" s="691"/>
      <c r="D3458" s="3"/>
    </row>
    <row r="3459" spans="1:4">
      <c r="A3459" s="691"/>
      <c r="D3459" s="3"/>
    </row>
    <row r="3460" spans="1:4">
      <c r="A3460" s="691"/>
      <c r="D3460" s="3"/>
    </row>
    <row r="3461" spans="1:4">
      <c r="A3461" s="691"/>
      <c r="D3461" s="3"/>
    </row>
    <row r="3462" spans="1:4">
      <c r="A3462" s="691"/>
      <c r="D3462" s="3"/>
    </row>
    <row r="3463" spans="1:4">
      <c r="A3463" s="691"/>
      <c r="D3463" s="3"/>
    </row>
    <row r="3464" spans="1:4">
      <c r="A3464" s="691"/>
      <c r="D3464" s="3"/>
    </row>
    <row r="3465" spans="1:4">
      <c r="A3465" s="691"/>
      <c r="D3465" s="3"/>
    </row>
    <row r="3466" spans="1:4">
      <c r="A3466" s="691"/>
      <c r="D3466" s="3"/>
    </row>
    <row r="3467" spans="1:4">
      <c r="A3467" s="691"/>
      <c r="D3467" s="3"/>
    </row>
    <row r="3468" spans="1:4">
      <c r="A3468" s="691"/>
      <c r="D3468" s="3"/>
    </row>
    <row r="3469" spans="1:4">
      <c r="A3469" s="691"/>
      <c r="D3469" s="3"/>
    </row>
    <row r="3470" spans="1:4">
      <c r="A3470" s="691"/>
      <c r="D3470" s="3"/>
    </row>
    <row r="3471" spans="1:4">
      <c r="A3471" s="691"/>
      <c r="D3471" s="3"/>
    </row>
    <row r="3472" spans="1:4">
      <c r="A3472" s="691"/>
      <c r="D3472" s="3"/>
    </row>
    <row r="3473" spans="1:4">
      <c r="A3473" s="691"/>
      <c r="D3473" s="3"/>
    </row>
    <row r="3474" spans="1:4">
      <c r="A3474" s="691"/>
      <c r="D3474" s="3"/>
    </row>
    <row r="3475" spans="1:4">
      <c r="A3475" s="691"/>
      <c r="D3475" s="3"/>
    </row>
    <row r="3476" spans="1:4">
      <c r="A3476" s="691"/>
      <c r="D3476" s="3"/>
    </row>
    <row r="3477" spans="1:4">
      <c r="A3477" s="691"/>
      <c r="D3477" s="3"/>
    </row>
    <row r="3478" spans="1:4">
      <c r="A3478" s="691"/>
      <c r="D3478" s="3"/>
    </row>
    <row r="3479" spans="1:4">
      <c r="A3479" s="691"/>
      <c r="D3479" s="3"/>
    </row>
    <row r="3480" spans="1:4">
      <c r="A3480" s="691"/>
      <c r="D3480" s="3"/>
    </row>
    <row r="3481" spans="1:4">
      <c r="A3481" s="691"/>
      <c r="D3481" s="3"/>
    </row>
    <row r="3482" spans="1:4">
      <c r="A3482" s="691"/>
      <c r="D3482" s="3"/>
    </row>
    <row r="3483" spans="1:4">
      <c r="A3483" s="691"/>
      <c r="D3483" s="3"/>
    </row>
    <row r="3484" spans="1:4">
      <c r="A3484" s="691"/>
      <c r="D3484" s="3"/>
    </row>
    <row r="3485" spans="1:4">
      <c r="A3485" s="691"/>
      <c r="D3485" s="3"/>
    </row>
    <row r="3486" spans="1:4">
      <c r="A3486" s="691"/>
      <c r="D3486" s="3"/>
    </row>
    <row r="3487" spans="1:4">
      <c r="A3487" s="691"/>
      <c r="D3487" s="3"/>
    </row>
    <row r="3488" spans="1:4">
      <c r="A3488" s="691"/>
      <c r="D3488" s="3"/>
    </row>
    <row r="3489" spans="1:4">
      <c r="A3489" s="691"/>
      <c r="D3489" s="3"/>
    </row>
    <row r="3490" spans="1:4">
      <c r="A3490" s="691"/>
      <c r="D3490" s="3"/>
    </row>
    <row r="3491" spans="1:4">
      <c r="A3491" s="691"/>
      <c r="D3491" s="3"/>
    </row>
    <row r="3492" spans="1:4">
      <c r="A3492" s="691"/>
      <c r="D3492" s="3"/>
    </row>
    <row r="3493" spans="1:4">
      <c r="A3493" s="691"/>
      <c r="D3493" s="3"/>
    </row>
    <row r="3494" spans="1:4">
      <c r="A3494" s="691"/>
      <c r="D3494" s="3"/>
    </row>
    <row r="3495" spans="1:4">
      <c r="A3495" s="691"/>
      <c r="D3495" s="3"/>
    </row>
    <row r="3496" spans="1:4">
      <c r="A3496" s="691"/>
      <c r="D3496" s="3"/>
    </row>
    <row r="3497" spans="1:4">
      <c r="A3497" s="691"/>
      <c r="D3497" s="3"/>
    </row>
    <row r="3498" spans="1:4">
      <c r="A3498" s="691"/>
      <c r="D3498" s="3"/>
    </row>
    <row r="3499" spans="1:4">
      <c r="A3499" s="691"/>
      <c r="D3499" s="3"/>
    </row>
    <row r="3500" spans="1:4">
      <c r="A3500" s="691"/>
      <c r="D3500" s="3"/>
    </row>
    <row r="3501" spans="1:4">
      <c r="A3501" s="691"/>
      <c r="D3501" s="3"/>
    </row>
    <row r="3502" spans="1:4">
      <c r="A3502" s="691"/>
      <c r="D3502" s="3"/>
    </row>
    <row r="3503" spans="1:4">
      <c r="A3503" s="691"/>
      <c r="D3503" s="3"/>
    </row>
    <row r="3504" spans="1:4">
      <c r="A3504" s="691"/>
      <c r="D3504" s="3"/>
    </row>
    <row r="3505" spans="1:4">
      <c r="A3505" s="691"/>
      <c r="D3505" s="3"/>
    </row>
    <row r="3506" spans="1:4">
      <c r="A3506" s="691"/>
      <c r="D3506" s="3"/>
    </row>
    <row r="3507" spans="1:4">
      <c r="A3507" s="691"/>
      <c r="D3507" s="3"/>
    </row>
    <row r="3508" spans="1:4">
      <c r="A3508" s="691"/>
      <c r="D3508" s="3"/>
    </row>
    <row r="3509" spans="1:4">
      <c r="A3509" s="691"/>
      <c r="D3509" s="3"/>
    </row>
    <row r="3510" spans="1:4">
      <c r="A3510" s="691"/>
      <c r="D3510" s="3"/>
    </row>
    <row r="3511" spans="1:4">
      <c r="A3511" s="691"/>
      <c r="D3511" s="3"/>
    </row>
    <row r="3512" spans="1:4">
      <c r="A3512" s="691"/>
      <c r="D3512" s="3"/>
    </row>
    <row r="3513" spans="1:4">
      <c r="A3513" s="691"/>
      <c r="D3513" s="3"/>
    </row>
    <row r="3514" spans="1:4">
      <c r="A3514" s="691"/>
      <c r="D3514" s="3"/>
    </row>
    <row r="3515" spans="1:4">
      <c r="A3515" s="691"/>
      <c r="D3515" s="3"/>
    </row>
    <row r="3516" spans="1:4">
      <c r="A3516" s="691"/>
      <c r="D3516" s="3"/>
    </row>
    <row r="3517" spans="1:4">
      <c r="A3517" s="691"/>
      <c r="D3517" s="3"/>
    </row>
    <row r="3518" spans="1:4">
      <c r="A3518" s="691"/>
      <c r="D3518" s="3"/>
    </row>
    <row r="3519" spans="1:4">
      <c r="A3519" s="691"/>
      <c r="D3519" s="3"/>
    </row>
    <row r="3520" spans="1:4">
      <c r="A3520" s="691"/>
      <c r="D3520" s="3"/>
    </row>
    <row r="3521" spans="1:4">
      <c r="A3521" s="691"/>
      <c r="D3521" s="3"/>
    </row>
    <row r="3522" spans="1:4">
      <c r="A3522" s="691"/>
      <c r="D3522" s="3"/>
    </row>
    <row r="3523" spans="1:4">
      <c r="A3523" s="691"/>
      <c r="D3523" s="3"/>
    </row>
    <row r="3524" spans="1:4">
      <c r="A3524" s="691"/>
      <c r="D3524" s="3"/>
    </row>
    <row r="3525" spans="1:4">
      <c r="A3525" s="691"/>
      <c r="D3525" s="3"/>
    </row>
    <row r="3526" spans="1:4">
      <c r="A3526" s="691"/>
      <c r="D3526" s="3"/>
    </row>
    <row r="3527" spans="1:4">
      <c r="A3527" s="691"/>
      <c r="D3527" s="3"/>
    </row>
    <row r="3528" spans="1:4">
      <c r="A3528" s="691"/>
      <c r="D3528" s="3"/>
    </row>
    <row r="3529" spans="1:4">
      <c r="A3529" s="691"/>
      <c r="D3529" s="3"/>
    </row>
    <row r="3530" spans="1:4">
      <c r="A3530" s="691"/>
      <c r="D3530" s="3"/>
    </row>
    <row r="3531" spans="1:4">
      <c r="A3531" s="691"/>
      <c r="D3531" s="3"/>
    </row>
    <row r="3532" spans="1:4">
      <c r="A3532" s="691"/>
      <c r="D3532" s="3"/>
    </row>
    <row r="3533" spans="1:4">
      <c r="A3533" s="691"/>
      <c r="D3533" s="3"/>
    </row>
    <row r="3534" spans="1:4">
      <c r="A3534" s="691"/>
      <c r="D3534" s="3"/>
    </row>
    <row r="3535" spans="1:4">
      <c r="A3535" s="691"/>
      <c r="D3535" s="3"/>
    </row>
    <row r="3536" spans="1:4">
      <c r="A3536" s="691"/>
      <c r="D3536" s="3"/>
    </row>
    <row r="3537" spans="1:4">
      <c r="A3537" s="691"/>
      <c r="D3537" s="3"/>
    </row>
    <row r="3538" spans="1:4">
      <c r="A3538" s="691"/>
      <c r="D3538" s="3"/>
    </row>
    <row r="3539" spans="1:4">
      <c r="A3539" s="691"/>
      <c r="D3539" s="3"/>
    </row>
    <row r="3540" spans="1:4">
      <c r="A3540" s="691"/>
      <c r="D3540" s="3"/>
    </row>
    <row r="3541" spans="1:4">
      <c r="A3541" s="691"/>
      <c r="D3541" s="3"/>
    </row>
    <row r="3542" spans="1:4">
      <c r="A3542" s="691"/>
      <c r="D3542" s="3"/>
    </row>
    <row r="3543" spans="1:4">
      <c r="A3543" s="691"/>
      <c r="D3543" s="3"/>
    </row>
    <row r="3544" spans="1:4">
      <c r="A3544" s="691"/>
      <c r="D3544" s="3"/>
    </row>
    <row r="3545" spans="1:4">
      <c r="A3545" s="691"/>
      <c r="D3545" s="3"/>
    </row>
    <row r="3546" spans="1:4">
      <c r="A3546" s="691"/>
      <c r="D3546" s="3"/>
    </row>
    <row r="3547" spans="1:4">
      <c r="A3547" s="691"/>
      <c r="D3547" s="3"/>
    </row>
    <row r="3548" spans="1:4">
      <c r="A3548" s="691"/>
      <c r="D3548" s="3"/>
    </row>
    <row r="3549" spans="1:4">
      <c r="A3549" s="691"/>
      <c r="D3549" s="3"/>
    </row>
    <row r="3550" spans="1:4">
      <c r="A3550" s="691"/>
      <c r="D3550" s="3"/>
    </row>
    <row r="3551" spans="1:4">
      <c r="A3551" s="691"/>
      <c r="D3551" s="3"/>
    </row>
    <row r="3552" spans="1:4">
      <c r="A3552" s="691"/>
      <c r="D3552" s="3"/>
    </row>
    <row r="3553" spans="1:4">
      <c r="A3553" s="691"/>
      <c r="D3553" s="3"/>
    </row>
    <row r="3554" spans="1:4">
      <c r="A3554" s="691"/>
      <c r="D3554" s="3"/>
    </row>
    <row r="3555" spans="1:4">
      <c r="A3555" s="691"/>
      <c r="D3555" s="3"/>
    </row>
    <row r="3556" spans="1:4">
      <c r="A3556" s="691"/>
      <c r="D3556" s="3"/>
    </row>
    <row r="3557" spans="1:4">
      <c r="A3557" s="691"/>
      <c r="D3557" s="3"/>
    </row>
    <row r="3558" spans="1:4">
      <c r="A3558" s="691"/>
      <c r="D3558" s="3"/>
    </row>
    <row r="3559" spans="1:4">
      <c r="A3559" s="691"/>
      <c r="D3559" s="3"/>
    </row>
    <row r="3560" spans="1:4">
      <c r="A3560" s="691"/>
      <c r="D3560" s="3"/>
    </row>
    <row r="3561" spans="1:4">
      <c r="A3561" s="691"/>
      <c r="D3561" s="3"/>
    </row>
    <row r="3562" spans="1:4">
      <c r="A3562" s="691"/>
      <c r="D3562" s="3"/>
    </row>
    <row r="3563" spans="1:4">
      <c r="A3563" s="691"/>
      <c r="D3563" s="3"/>
    </row>
    <row r="3564" spans="1:4">
      <c r="A3564" s="691"/>
      <c r="D3564" s="3"/>
    </row>
    <row r="3565" spans="1:4">
      <c r="A3565" s="691"/>
      <c r="D3565" s="3"/>
    </row>
    <row r="3566" spans="1:4">
      <c r="A3566" s="691"/>
      <c r="D3566" s="3"/>
    </row>
    <row r="3567" spans="1:4">
      <c r="A3567" s="691"/>
      <c r="D3567" s="3"/>
    </row>
    <row r="3568" spans="1:4">
      <c r="A3568" s="691"/>
      <c r="D3568" s="3"/>
    </row>
    <row r="3569" spans="1:4">
      <c r="A3569" s="691"/>
      <c r="D3569" s="3"/>
    </row>
    <row r="3570" spans="1:4">
      <c r="A3570" s="691"/>
      <c r="D3570" s="3"/>
    </row>
    <row r="3571" spans="1:4">
      <c r="A3571" s="691"/>
      <c r="D3571" s="3"/>
    </row>
    <row r="3572" spans="1:4">
      <c r="A3572" s="691"/>
      <c r="D3572" s="3"/>
    </row>
    <row r="3573" spans="1:4">
      <c r="A3573" s="691"/>
      <c r="D3573" s="3"/>
    </row>
    <row r="3574" spans="1:4">
      <c r="A3574" s="691"/>
      <c r="D3574" s="3"/>
    </row>
    <row r="3575" spans="1:4">
      <c r="A3575" s="691"/>
      <c r="D3575" s="3"/>
    </row>
    <row r="3576" spans="1:4">
      <c r="A3576" s="691"/>
      <c r="D3576" s="3"/>
    </row>
    <row r="3577" spans="1:4">
      <c r="A3577" s="691"/>
      <c r="D3577" s="3"/>
    </row>
    <row r="3578" spans="1:4">
      <c r="A3578" s="691"/>
      <c r="D3578" s="3"/>
    </row>
    <row r="3579" spans="1:4">
      <c r="A3579" s="691"/>
      <c r="D3579" s="3"/>
    </row>
    <row r="3580" spans="1:4">
      <c r="A3580" s="691"/>
      <c r="D3580" s="3"/>
    </row>
    <row r="3581" spans="1:4">
      <c r="A3581" s="691"/>
      <c r="D3581" s="3"/>
    </row>
    <row r="3582" spans="1:4">
      <c r="A3582" s="691"/>
      <c r="D3582" s="3"/>
    </row>
    <row r="3583" spans="1:4">
      <c r="A3583" s="691"/>
      <c r="D3583" s="3"/>
    </row>
    <row r="3584" spans="1:4">
      <c r="A3584" s="691"/>
      <c r="D3584" s="3"/>
    </row>
    <row r="3585" spans="1:4">
      <c r="A3585" s="691"/>
      <c r="D3585" s="3"/>
    </row>
    <row r="3586" spans="1:4">
      <c r="A3586" s="691"/>
      <c r="D3586" s="3"/>
    </row>
    <row r="3587" spans="1:4">
      <c r="A3587" s="691"/>
      <c r="D3587" s="3"/>
    </row>
    <row r="3588" spans="1:4">
      <c r="A3588" s="691"/>
      <c r="D3588" s="3"/>
    </row>
    <row r="3589" spans="1:4">
      <c r="A3589" s="691"/>
      <c r="D3589" s="3"/>
    </row>
    <row r="3590" spans="1:4">
      <c r="A3590" s="691"/>
      <c r="D3590" s="3"/>
    </row>
    <row r="3591" spans="1:4">
      <c r="A3591" s="691"/>
      <c r="D3591" s="3"/>
    </row>
    <row r="3592" spans="1:4">
      <c r="A3592" s="691"/>
      <c r="D3592" s="3"/>
    </row>
    <row r="3593" spans="1:4">
      <c r="A3593" s="691"/>
      <c r="D3593" s="3"/>
    </row>
    <row r="3594" spans="1:4">
      <c r="A3594" s="691"/>
      <c r="D3594" s="3"/>
    </row>
    <row r="3595" spans="1:4">
      <c r="A3595" s="691"/>
      <c r="D3595" s="3"/>
    </row>
    <row r="3596" spans="1:4">
      <c r="A3596" s="691"/>
      <c r="D3596" s="3"/>
    </row>
    <row r="3597" spans="1:4">
      <c r="A3597" s="691"/>
      <c r="D3597" s="3"/>
    </row>
    <row r="3598" spans="1:4">
      <c r="A3598" s="691"/>
      <c r="D3598" s="3"/>
    </row>
    <row r="3599" spans="1:4">
      <c r="A3599" s="691"/>
      <c r="D3599" s="3"/>
    </row>
    <row r="3600" spans="1:4">
      <c r="A3600" s="691"/>
      <c r="D3600" s="3"/>
    </row>
    <row r="3601" spans="1:4">
      <c r="A3601" s="691"/>
      <c r="D3601" s="3"/>
    </row>
    <row r="3602" spans="1:4">
      <c r="A3602" s="691"/>
      <c r="D3602" s="3"/>
    </row>
    <row r="3603" spans="1:4">
      <c r="A3603" s="691"/>
      <c r="D3603" s="3"/>
    </row>
    <row r="3604" spans="1:4">
      <c r="A3604" s="691"/>
      <c r="D3604" s="3"/>
    </row>
    <row r="3605" spans="1:4">
      <c r="A3605" s="691"/>
      <c r="D3605" s="3"/>
    </row>
    <row r="3606" spans="1:4">
      <c r="A3606" s="691"/>
      <c r="D3606" s="3"/>
    </row>
    <row r="3607" spans="1:4">
      <c r="A3607" s="691"/>
      <c r="D3607" s="3"/>
    </row>
    <row r="3608" spans="1:4">
      <c r="A3608" s="691"/>
      <c r="D3608" s="3"/>
    </row>
    <row r="3609" spans="1:4">
      <c r="A3609" s="691"/>
      <c r="D3609" s="3"/>
    </row>
    <row r="3610" spans="1:4">
      <c r="A3610" s="691"/>
      <c r="D3610" s="3"/>
    </row>
    <row r="3611" spans="1:4">
      <c r="A3611" s="691"/>
      <c r="D3611" s="3"/>
    </row>
    <row r="3612" spans="1:4">
      <c r="A3612" s="691"/>
      <c r="D3612" s="3"/>
    </row>
    <row r="3613" spans="1:4">
      <c r="A3613" s="691"/>
      <c r="D3613" s="3"/>
    </row>
    <row r="3614" spans="1:4">
      <c r="A3614" s="691"/>
      <c r="D3614" s="3"/>
    </row>
    <row r="3615" spans="1:4">
      <c r="A3615" s="691"/>
      <c r="D3615" s="3"/>
    </row>
    <row r="3616" spans="1:4">
      <c r="A3616" s="691"/>
      <c r="D3616" s="3"/>
    </row>
    <row r="3617" spans="1:4">
      <c r="A3617" s="691"/>
      <c r="D3617" s="3"/>
    </row>
    <row r="3618" spans="1:4">
      <c r="A3618" s="691"/>
      <c r="D3618" s="3"/>
    </row>
    <row r="3619" spans="1:4">
      <c r="A3619" s="691"/>
      <c r="D3619" s="3"/>
    </row>
    <row r="3620" spans="1:4">
      <c r="A3620" s="691"/>
      <c r="D3620" s="3"/>
    </row>
    <row r="3621" spans="1:4">
      <c r="A3621" s="691"/>
      <c r="D3621" s="3"/>
    </row>
    <row r="3622" spans="1:4">
      <c r="A3622" s="691"/>
      <c r="D3622" s="3"/>
    </row>
    <row r="3623" spans="1:4">
      <c r="A3623" s="691"/>
      <c r="D3623" s="3"/>
    </row>
    <row r="3624" spans="1:4">
      <c r="A3624" s="691"/>
      <c r="D3624" s="3"/>
    </row>
    <row r="3625" spans="1:4">
      <c r="A3625" s="691"/>
      <c r="D3625" s="3"/>
    </row>
    <row r="3626" spans="1:4">
      <c r="A3626" s="691"/>
      <c r="D3626" s="3"/>
    </row>
    <row r="3627" spans="1:4">
      <c r="A3627" s="691"/>
      <c r="D3627" s="3"/>
    </row>
    <row r="3628" spans="1:4">
      <c r="A3628" s="691"/>
      <c r="D3628" s="3"/>
    </row>
    <row r="3629" spans="1:4">
      <c r="A3629" s="691"/>
      <c r="D3629" s="3"/>
    </row>
    <row r="3630" spans="1:4">
      <c r="A3630" s="691"/>
      <c r="D3630" s="3"/>
    </row>
    <row r="3631" spans="1:4">
      <c r="A3631" s="691"/>
      <c r="D3631" s="3"/>
    </row>
    <row r="3632" spans="1:4">
      <c r="A3632" s="691"/>
      <c r="D3632" s="3"/>
    </row>
    <row r="3633" spans="1:4">
      <c r="A3633" s="691"/>
      <c r="D3633" s="3"/>
    </row>
    <row r="3634" spans="1:4">
      <c r="A3634" s="691"/>
      <c r="D3634" s="3"/>
    </row>
    <row r="3635" spans="1:4">
      <c r="A3635" s="691"/>
      <c r="D3635" s="3"/>
    </row>
    <row r="3636" spans="1:4">
      <c r="A3636" s="691"/>
      <c r="D3636" s="3"/>
    </row>
    <row r="3637" spans="1:4">
      <c r="A3637" s="691"/>
      <c r="D3637" s="3"/>
    </row>
    <row r="3638" spans="1:4">
      <c r="A3638" s="691"/>
      <c r="D3638" s="3"/>
    </row>
    <row r="3639" spans="1:4">
      <c r="A3639" s="691"/>
      <c r="D3639" s="3"/>
    </row>
    <row r="3640" spans="1:4">
      <c r="A3640" s="691"/>
      <c r="D3640" s="3"/>
    </row>
    <row r="3641" spans="1:4">
      <c r="A3641" s="691"/>
      <c r="D3641" s="3"/>
    </row>
    <row r="3642" spans="1:4">
      <c r="A3642" s="691"/>
      <c r="D3642" s="3"/>
    </row>
    <row r="3643" spans="1:4">
      <c r="A3643" s="691"/>
      <c r="D3643" s="3"/>
    </row>
    <row r="3644" spans="1:4">
      <c r="A3644" s="691"/>
      <c r="D3644" s="3"/>
    </row>
    <row r="3645" spans="1:4">
      <c r="A3645" s="691"/>
      <c r="D3645" s="3"/>
    </row>
    <row r="3646" spans="1:4">
      <c r="A3646" s="691"/>
      <c r="D3646" s="3"/>
    </row>
    <row r="3647" spans="1:4">
      <c r="A3647" s="691"/>
      <c r="D3647" s="3"/>
    </row>
    <row r="3648" spans="1:4">
      <c r="A3648" s="691"/>
      <c r="D3648" s="3"/>
    </row>
    <row r="3649" spans="1:4">
      <c r="A3649" s="691"/>
      <c r="D3649" s="3"/>
    </row>
    <row r="3650" spans="1:4">
      <c r="A3650" s="691"/>
      <c r="D3650" s="3"/>
    </row>
    <row r="3651" spans="1:4">
      <c r="A3651" s="691"/>
      <c r="D3651" s="3"/>
    </row>
    <row r="3652" spans="1:4">
      <c r="A3652" s="691"/>
      <c r="D3652" s="3"/>
    </row>
    <row r="3653" spans="1:4">
      <c r="A3653" s="691"/>
      <c r="D3653" s="3"/>
    </row>
    <row r="3654" spans="1:4">
      <c r="A3654" s="691"/>
      <c r="D3654" s="3"/>
    </row>
    <row r="3655" spans="1:4">
      <c r="A3655" s="691"/>
      <c r="D3655" s="3"/>
    </row>
    <row r="3656" spans="1:4">
      <c r="A3656" s="691"/>
      <c r="D3656" s="3"/>
    </row>
    <row r="3657" spans="1:4">
      <c r="A3657" s="691"/>
      <c r="D3657" s="3"/>
    </row>
    <row r="3658" spans="1:4">
      <c r="A3658" s="691"/>
      <c r="D3658" s="3"/>
    </row>
    <row r="3659" spans="1:4">
      <c r="A3659" s="691"/>
      <c r="D3659" s="3"/>
    </row>
    <row r="3660" spans="1:4">
      <c r="A3660" s="691"/>
      <c r="D3660" s="3"/>
    </row>
    <row r="3661" spans="1:4">
      <c r="A3661" s="691"/>
      <c r="D3661" s="3"/>
    </row>
    <row r="3662" spans="1:4">
      <c r="A3662" s="691"/>
      <c r="D3662" s="3"/>
    </row>
    <row r="3663" spans="1:4">
      <c r="A3663" s="691"/>
      <c r="D3663" s="3"/>
    </row>
    <row r="3664" spans="1:4">
      <c r="A3664" s="691"/>
      <c r="D3664" s="3"/>
    </row>
    <row r="3665" spans="1:4">
      <c r="A3665" s="691"/>
      <c r="D3665" s="3"/>
    </row>
    <row r="3666" spans="1:4">
      <c r="A3666" s="691"/>
      <c r="D3666" s="3"/>
    </row>
    <row r="3667" spans="1:4">
      <c r="A3667" s="691"/>
      <c r="D3667" s="3"/>
    </row>
    <row r="3668" spans="1:4">
      <c r="A3668" s="691"/>
      <c r="D3668" s="3"/>
    </row>
    <row r="3669" spans="1:4">
      <c r="A3669" s="691"/>
      <c r="D3669" s="3"/>
    </row>
    <row r="3670" spans="1:4">
      <c r="A3670" s="691"/>
      <c r="D3670" s="3"/>
    </row>
    <row r="3671" spans="1:4">
      <c r="A3671" s="691"/>
      <c r="D3671" s="3"/>
    </row>
    <row r="3672" spans="1:4">
      <c r="A3672" s="691"/>
      <c r="D3672" s="3"/>
    </row>
    <row r="3673" spans="1:4">
      <c r="A3673" s="691"/>
      <c r="D3673" s="3"/>
    </row>
    <row r="3674" spans="1:4">
      <c r="A3674" s="691"/>
      <c r="D3674" s="3"/>
    </row>
    <row r="3675" spans="1:4">
      <c r="A3675" s="691"/>
      <c r="D3675" s="3"/>
    </row>
    <row r="3676" spans="1:4">
      <c r="A3676" s="691"/>
      <c r="D3676" s="3"/>
    </row>
    <row r="3677" spans="1:4">
      <c r="A3677" s="691"/>
      <c r="D3677" s="3"/>
    </row>
    <row r="3678" spans="1:4">
      <c r="A3678" s="691"/>
      <c r="D3678" s="3"/>
    </row>
    <row r="3679" spans="1:4">
      <c r="A3679" s="691"/>
      <c r="D3679" s="3"/>
    </row>
    <row r="3680" spans="1:4">
      <c r="A3680" s="691"/>
      <c r="D3680" s="3"/>
    </row>
    <row r="3681" spans="1:4">
      <c r="A3681" s="691"/>
      <c r="D3681" s="3"/>
    </row>
    <row r="3682" spans="1:4">
      <c r="A3682" s="691"/>
      <c r="D3682" s="3"/>
    </row>
    <row r="3683" spans="1:4">
      <c r="A3683" s="691"/>
      <c r="D3683" s="3"/>
    </row>
    <row r="3684" spans="1:4">
      <c r="A3684" s="691"/>
      <c r="D3684" s="3"/>
    </row>
    <row r="3685" spans="1:4">
      <c r="A3685" s="691"/>
      <c r="D3685" s="3"/>
    </row>
    <row r="3686" spans="1:4">
      <c r="A3686" s="691"/>
      <c r="D3686" s="3"/>
    </row>
    <row r="3687" spans="1:4">
      <c r="A3687" s="691"/>
      <c r="D3687" s="3"/>
    </row>
    <row r="3688" spans="1:4">
      <c r="A3688" s="691"/>
      <c r="D3688" s="3"/>
    </row>
    <row r="3689" spans="1:4">
      <c r="A3689" s="691"/>
      <c r="D3689" s="3"/>
    </row>
    <row r="3690" spans="1:4">
      <c r="A3690" s="691"/>
      <c r="D3690" s="3"/>
    </row>
    <row r="3691" spans="1:4">
      <c r="A3691" s="691"/>
      <c r="D3691" s="3"/>
    </row>
    <row r="3692" spans="1:4">
      <c r="A3692" s="691"/>
      <c r="D3692" s="3"/>
    </row>
    <row r="3693" spans="1:4">
      <c r="A3693" s="691"/>
      <c r="D3693" s="3"/>
    </row>
    <row r="3694" spans="1:4">
      <c r="A3694" s="691"/>
      <c r="D3694" s="3"/>
    </row>
    <row r="3695" spans="1:4">
      <c r="A3695" s="691"/>
      <c r="D3695" s="3"/>
    </row>
    <row r="3696" spans="1:4">
      <c r="A3696" s="691"/>
      <c r="D3696" s="3"/>
    </row>
    <row r="3697" spans="1:4">
      <c r="A3697" s="691"/>
      <c r="D3697" s="3"/>
    </row>
    <row r="3698" spans="1:4">
      <c r="A3698" s="691"/>
      <c r="D3698" s="3"/>
    </row>
    <row r="3699" spans="1:4">
      <c r="A3699" s="691"/>
      <c r="D3699" s="3"/>
    </row>
    <row r="3700" spans="1:4">
      <c r="A3700" s="691"/>
      <c r="D3700" s="3"/>
    </row>
    <row r="3701" spans="1:4">
      <c r="A3701" s="691"/>
      <c r="D3701" s="3"/>
    </row>
    <row r="3702" spans="1:4">
      <c r="A3702" s="691"/>
      <c r="D3702" s="3"/>
    </row>
    <row r="3703" spans="1:4">
      <c r="A3703" s="691"/>
      <c r="D3703" s="3"/>
    </row>
    <row r="3704" spans="1:4">
      <c r="A3704" s="691"/>
      <c r="D3704" s="3"/>
    </row>
    <row r="3705" spans="1:4">
      <c r="A3705" s="691"/>
      <c r="D3705" s="3"/>
    </row>
    <row r="3706" spans="1:4">
      <c r="A3706" s="691"/>
      <c r="D3706" s="3"/>
    </row>
    <row r="3707" spans="1:4">
      <c r="A3707" s="691"/>
      <c r="D3707" s="3"/>
    </row>
    <row r="3708" spans="1:4">
      <c r="A3708" s="691"/>
      <c r="D3708" s="3"/>
    </row>
    <row r="3709" spans="1:4">
      <c r="A3709" s="691"/>
      <c r="D3709" s="3"/>
    </row>
    <row r="3710" spans="1:4">
      <c r="A3710" s="691"/>
      <c r="D3710" s="3"/>
    </row>
    <row r="3711" spans="1:4">
      <c r="A3711" s="691"/>
      <c r="D3711" s="3"/>
    </row>
    <row r="3712" spans="1:4">
      <c r="A3712" s="691"/>
      <c r="D3712" s="3"/>
    </row>
    <row r="3713" spans="1:4">
      <c r="A3713" s="691"/>
      <c r="D3713" s="3"/>
    </row>
    <row r="3714" spans="1:4">
      <c r="A3714" s="691"/>
      <c r="D3714" s="3"/>
    </row>
    <row r="3715" spans="1:4">
      <c r="A3715" s="691"/>
      <c r="D3715" s="3"/>
    </row>
    <row r="3716" spans="1:4">
      <c r="A3716" s="691"/>
      <c r="D3716" s="3"/>
    </row>
    <row r="3717" spans="1:4">
      <c r="A3717" s="691"/>
      <c r="D3717" s="3"/>
    </row>
    <row r="3718" spans="1:4">
      <c r="A3718" s="691"/>
      <c r="D3718" s="3"/>
    </row>
    <row r="3719" spans="1:4">
      <c r="A3719" s="691"/>
      <c r="D3719" s="3"/>
    </row>
    <row r="3720" spans="1:4">
      <c r="A3720" s="691"/>
      <c r="D3720" s="3"/>
    </row>
    <row r="3721" spans="1:4">
      <c r="A3721" s="691"/>
      <c r="D3721" s="3"/>
    </row>
    <row r="3722" spans="1:4">
      <c r="A3722" s="691"/>
      <c r="D3722" s="3"/>
    </row>
    <row r="3723" spans="1:4">
      <c r="A3723" s="691"/>
      <c r="D3723" s="3"/>
    </row>
    <row r="3724" spans="1:4">
      <c r="A3724" s="691"/>
      <c r="D3724" s="3"/>
    </row>
    <row r="3725" spans="1:4">
      <c r="A3725" s="691"/>
      <c r="D3725" s="3"/>
    </row>
    <row r="3726" spans="1:4">
      <c r="A3726" s="691"/>
      <c r="D3726" s="3"/>
    </row>
    <row r="3727" spans="1:4">
      <c r="A3727" s="691"/>
      <c r="D3727" s="3"/>
    </row>
    <row r="3728" spans="1:4">
      <c r="A3728" s="691"/>
      <c r="D3728" s="3"/>
    </row>
    <row r="3729" spans="1:4">
      <c r="A3729" s="691"/>
      <c r="D3729" s="3"/>
    </row>
    <row r="3730" spans="1:4">
      <c r="A3730" s="691"/>
      <c r="D3730" s="3"/>
    </row>
    <row r="3731" spans="1:4">
      <c r="A3731" s="691"/>
      <c r="D3731" s="3"/>
    </row>
    <row r="3732" spans="1:4">
      <c r="A3732" s="691"/>
      <c r="D3732" s="3"/>
    </row>
    <row r="3733" spans="1:4">
      <c r="A3733" s="691"/>
      <c r="D3733" s="3"/>
    </row>
    <row r="3734" spans="1:4">
      <c r="A3734" s="691"/>
      <c r="D3734" s="3"/>
    </row>
    <row r="3735" spans="1:4">
      <c r="A3735" s="691"/>
      <c r="D3735" s="3"/>
    </row>
    <row r="3736" spans="1:4">
      <c r="A3736" s="691"/>
      <c r="D3736" s="3"/>
    </row>
    <row r="3737" spans="1:4">
      <c r="A3737" s="691"/>
      <c r="D3737" s="3"/>
    </row>
    <row r="3738" spans="1:4">
      <c r="A3738" s="691"/>
      <c r="D3738" s="3"/>
    </row>
    <row r="3739" spans="1:4">
      <c r="A3739" s="691"/>
      <c r="D3739" s="3"/>
    </row>
    <row r="3740" spans="1:4">
      <c r="A3740" s="691"/>
      <c r="D3740" s="3"/>
    </row>
    <row r="3741" spans="1:4">
      <c r="A3741" s="691"/>
      <c r="D3741" s="3"/>
    </row>
    <row r="3742" spans="1:4">
      <c r="A3742" s="691"/>
      <c r="D3742" s="3"/>
    </row>
    <row r="3743" spans="1:4">
      <c r="A3743" s="691"/>
      <c r="D3743" s="3"/>
    </row>
    <row r="3744" spans="1:4">
      <c r="A3744" s="691"/>
      <c r="D3744" s="3"/>
    </row>
    <row r="3745" spans="1:4">
      <c r="A3745" s="691"/>
      <c r="D3745" s="3"/>
    </row>
    <row r="3746" spans="1:4">
      <c r="A3746" s="691"/>
      <c r="D3746" s="3"/>
    </row>
    <row r="3747" spans="1:4">
      <c r="A3747" s="691"/>
      <c r="D3747" s="3"/>
    </row>
    <row r="3748" spans="1:4">
      <c r="A3748" s="691"/>
      <c r="D3748" s="3"/>
    </row>
    <row r="3749" spans="1:4">
      <c r="A3749" s="691"/>
      <c r="D3749" s="3"/>
    </row>
    <row r="3750" spans="1:4">
      <c r="A3750" s="691"/>
      <c r="D3750" s="3"/>
    </row>
    <row r="3751" spans="1:4">
      <c r="A3751" s="691"/>
      <c r="D3751" s="3"/>
    </row>
    <row r="3752" spans="1:4">
      <c r="A3752" s="691"/>
      <c r="D3752" s="3"/>
    </row>
    <row r="3753" spans="1:4">
      <c r="A3753" s="691"/>
      <c r="D3753" s="3"/>
    </row>
    <row r="3754" spans="1:4">
      <c r="A3754" s="691"/>
      <c r="D3754" s="3"/>
    </row>
    <row r="3755" spans="1:4">
      <c r="A3755" s="691"/>
      <c r="D3755" s="3"/>
    </row>
    <row r="3756" spans="1:4">
      <c r="A3756" s="691"/>
      <c r="D3756" s="3"/>
    </row>
    <row r="3757" spans="1:4">
      <c r="A3757" s="691"/>
      <c r="D3757" s="3"/>
    </row>
    <row r="3758" spans="1:4">
      <c r="A3758" s="691"/>
      <c r="D3758" s="3"/>
    </row>
    <row r="3759" spans="1:4">
      <c r="A3759" s="691"/>
      <c r="D3759" s="3"/>
    </row>
    <row r="3760" spans="1:4">
      <c r="A3760" s="691"/>
      <c r="D3760" s="3"/>
    </row>
    <row r="3761" spans="1:4">
      <c r="A3761" s="691"/>
      <c r="D3761" s="3"/>
    </row>
    <row r="3762" spans="1:4">
      <c r="A3762" s="691"/>
      <c r="D3762" s="3"/>
    </row>
    <row r="3763" spans="1:4">
      <c r="A3763" s="691"/>
      <c r="D3763" s="3"/>
    </row>
    <row r="3764" spans="1:4">
      <c r="A3764" s="691"/>
      <c r="D3764" s="3"/>
    </row>
    <row r="3765" spans="1:4">
      <c r="A3765" s="691"/>
      <c r="D3765" s="3"/>
    </row>
    <row r="3766" spans="1:4">
      <c r="A3766" s="691"/>
      <c r="D3766" s="3"/>
    </row>
    <row r="3767" spans="1:4">
      <c r="A3767" s="691"/>
      <c r="D3767" s="3"/>
    </row>
    <row r="3768" spans="1:4">
      <c r="A3768" s="691"/>
      <c r="D3768" s="3"/>
    </row>
    <row r="3769" spans="1:4">
      <c r="A3769" s="691"/>
      <c r="D3769" s="3"/>
    </row>
    <row r="3770" spans="1:4">
      <c r="A3770" s="691"/>
      <c r="D3770" s="3"/>
    </row>
    <row r="3771" spans="1:4">
      <c r="A3771" s="691"/>
      <c r="D3771" s="3"/>
    </row>
    <row r="3772" spans="1:4">
      <c r="A3772" s="691"/>
      <c r="D3772" s="3"/>
    </row>
    <row r="3773" spans="1:4">
      <c r="A3773" s="691"/>
      <c r="D3773" s="3"/>
    </row>
    <row r="3774" spans="1:4">
      <c r="A3774" s="691"/>
      <c r="D3774" s="3"/>
    </row>
    <row r="3775" spans="1:4">
      <c r="A3775" s="691"/>
      <c r="D3775" s="3"/>
    </row>
    <row r="3776" spans="1:4">
      <c r="A3776" s="691"/>
      <c r="D3776" s="3"/>
    </row>
    <row r="3777" spans="1:4">
      <c r="A3777" s="691"/>
      <c r="D3777" s="3"/>
    </row>
    <row r="3778" spans="1:4">
      <c r="A3778" s="691"/>
      <c r="D3778" s="3"/>
    </row>
    <row r="3779" spans="1:4">
      <c r="A3779" s="691"/>
      <c r="D3779" s="3"/>
    </row>
    <row r="3780" spans="1:4">
      <c r="A3780" s="691"/>
      <c r="D3780" s="3"/>
    </row>
    <row r="3781" spans="1:4">
      <c r="A3781" s="691"/>
      <c r="D3781" s="3"/>
    </row>
    <row r="3782" spans="1:4">
      <c r="A3782" s="691"/>
      <c r="D3782" s="3"/>
    </row>
    <row r="3783" spans="1:4">
      <c r="A3783" s="691"/>
      <c r="D3783" s="3"/>
    </row>
    <row r="3784" spans="1:4">
      <c r="A3784" s="691"/>
      <c r="D3784" s="3"/>
    </row>
    <row r="3785" spans="1:4">
      <c r="A3785" s="691"/>
      <c r="D3785" s="3"/>
    </row>
    <row r="3786" spans="1:4">
      <c r="A3786" s="691"/>
      <c r="D3786" s="3"/>
    </row>
    <row r="3787" spans="1:4">
      <c r="A3787" s="691"/>
      <c r="D3787" s="3"/>
    </row>
    <row r="3788" spans="1:4">
      <c r="A3788" s="691"/>
      <c r="D3788" s="3"/>
    </row>
    <row r="3789" spans="1:4">
      <c r="A3789" s="691"/>
      <c r="D3789" s="3"/>
    </row>
    <row r="3790" spans="1:4">
      <c r="A3790" s="691"/>
      <c r="D3790" s="3"/>
    </row>
    <row r="3791" spans="1:4">
      <c r="A3791" s="691"/>
      <c r="D3791" s="3"/>
    </row>
    <row r="3792" spans="1:4">
      <c r="A3792" s="691"/>
      <c r="D3792" s="3"/>
    </row>
    <row r="3793" spans="1:4">
      <c r="A3793" s="691"/>
      <c r="D3793" s="3"/>
    </row>
    <row r="3794" spans="1:4">
      <c r="A3794" s="691"/>
      <c r="D3794" s="3"/>
    </row>
    <row r="3795" spans="1:4">
      <c r="A3795" s="691"/>
      <c r="D3795" s="3"/>
    </row>
    <row r="3796" spans="1:4">
      <c r="A3796" s="691"/>
      <c r="D3796" s="3"/>
    </row>
    <row r="3797" spans="1:4">
      <c r="A3797" s="691"/>
      <c r="D3797" s="3"/>
    </row>
    <row r="3798" spans="1:4">
      <c r="A3798" s="691"/>
      <c r="D3798" s="3"/>
    </row>
    <row r="3799" spans="1:4">
      <c r="A3799" s="691"/>
      <c r="D3799" s="3"/>
    </row>
    <row r="3800" spans="1:4">
      <c r="A3800" s="691"/>
      <c r="D3800" s="3"/>
    </row>
    <row r="3801" spans="1:4">
      <c r="A3801" s="691"/>
      <c r="D3801" s="3"/>
    </row>
    <row r="3802" spans="1:4">
      <c r="A3802" s="691"/>
      <c r="D3802" s="3"/>
    </row>
    <row r="3803" spans="1:4">
      <c r="A3803" s="691"/>
      <c r="D3803" s="3"/>
    </row>
    <row r="3804" spans="1:4">
      <c r="A3804" s="691"/>
      <c r="D3804" s="3"/>
    </row>
    <row r="3805" spans="1:4">
      <c r="A3805" s="691"/>
      <c r="D3805" s="3"/>
    </row>
    <row r="3806" spans="1:4">
      <c r="A3806" s="691"/>
      <c r="D3806" s="3"/>
    </row>
    <row r="3807" spans="1:4">
      <c r="A3807" s="691"/>
      <c r="D3807" s="3"/>
    </row>
    <row r="3808" spans="1:4">
      <c r="A3808" s="691"/>
      <c r="D3808" s="3"/>
    </row>
    <row r="3809" spans="1:4">
      <c r="A3809" s="691"/>
      <c r="D3809" s="3"/>
    </row>
    <row r="3810" spans="1:4">
      <c r="A3810" s="691"/>
      <c r="D3810" s="3"/>
    </row>
    <row r="3811" spans="1:4">
      <c r="A3811" s="691"/>
      <c r="D3811" s="3"/>
    </row>
    <row r="3812" spans="1:4">
      <c r="A3812" s="691"/>
      <c r="D3812" s="3"/>
    </row>
    <row r="3813" spans="1:4">
      <c r="A3813" s="691"/>
      <c r="D3813" s="3"/>
    </row>
    <row r="3814" spans="1:4">
      <c r="A3814" s="691"/>
      <c r="D3814" s="3"/>
    </row>
    <row r="3815" spans="1:4">
      <c r="A3815" s="691"/>
      <c r="D3815" s="3"/>
    </row>
    <row r="3816" spans="1:4">
      <c r="A3816" s="691"/>
      <c r="D3816" s="3"/>
    </row>
    <row r="3817" spans="1:4">
      <c r="A3817" s="691"/>
      <c r="D3817" s="3"/>
    </row>
    <row r="3818" spans="1:4">
      <c r="A3818" s="691"/>
      <c r="D3818" s="3"/>
    </row>
    <row r="3819" spans="1:4">
      <c r="A3819" s="691"/>
      <c r="D3819" s="3"/>
    </row>
    <row r="3820" spans="1:4">
      <c r="A3820" s="691"/>
      <c r="D3820" s="3"/>
    </row>
    <row r="3821" spans="1:4">
      <c r="A3821" s="691"/>
      <c r="D3821" s="3"/>
    </row>
    <row r="3822" spans="1:4">
      <c r="A3822" s="691"/>
      <c r="D3822" s="3"/>
    </row>
    <row r="3823" spans="1:4">
      <c r="A3823" s="691"/>
      <c r="D3823" s="3"/>
    </row>
    <row r="3824" spans="1:4">
      <c r="A3824" s="691"/>
      <c r="D3824" s="3"/>
    </row>
    <row r="3825" spans="1:4">
      <c r="A3825" s="691"/>
      <c r="D3825" s="3"/>
    </row>
    <row r="3826" spans="1:4">
      <c r="A3826" s="691"/>
      <c r="D3826" s="3"/>
    </row>
    <row r="3827" spans="1:4">
      <c r="A3827" s="691"/>
      <c r="D3827" s="3"/>
    </row>
    <row r="3828" spans="1:4">
      <c r="A3828" s="691"/>
      <c r="D3828" s="3"/>
    </row>
    <row r="3829" spans="1:4">
      <c r="A3829" s="691"/>
      <c r="D3829" s="3"/>
    </row>
    <row r="3830" spans="1:4">
      <c r="A3830" s="691"/>
      <c r="D3830" s="3"/>
    </row>
    <row r="3831" spans="1:4">
      <c r="A3831" s="691"/>
      <c r="D3831" s="3"/>
    </row>
    <row r="3832" spans="1:4">
      <c r="A3832" s="691"/>
      <c r="D3832" s="3"/>
    </row>
    <row r="3833" spans="1:4">
      <c r="A3833" s="691"/>
      <c r="D3833" s="3"/>
    </row>
    <row r="3834" spans="1:4">
      <c r="A3834" s="691"/>
      <c r="D3834" s="3"/>
    </row>
    <row r="3835" spans="1:4">
      <c r="A3835" s="691"/>
      <c r="D3835" s="3"/>
    </row>
    <row r="3836" spans="1:4">
      <c r="A3836" s="691"/>
      <c r="D3836" s="3"/>
    </row>
    <row r="3837" spans="1:4">
      <c r="A3837" s="691"/>
      <c r="D3837" s="3"/>
    </row>
    <row r="3838" spans="1:4">
      <c r="A3838" s="691"/>
      <c r="D3838" s="3"/>
    </row>
    <row r="3839" spans="1:4">
      <c r="A3839" s="691"/>
      <c r="D3839" s="3"/>
    </row>
    <row r="3840" spans="1:4">
      <c r="A3840" s="691"/>
      <c r="D3840" s="3"/>
    </row>
    <row r="3841" spans="1:4">
      <c r="A3841" s="691"/>
      <c r="D3841" s="3"/>
    </row>
    <row r="3842" spans="1:4">
      <c r="A3842" s="691"/>
      <c r="D3842" s="3"/>
    </row>
    <row r="3843" spans="1:4">
      <c r="A3843" s="691"/>
      <c r="D3843" s="3"/>
    </row>
    <row r="3844" spans="1:4">
      <c r="A3844" s="691"/>
      <c r="D3844" s="3"/>
    </row>
    <row r="3845" spans="1:4">
      <c r="A3845" s="691"/>
      <c r="D3845" s="3"/>
    </row>
    <row r="3846" spans="1:4">
      <c r="A3846" s="691"/>
      <c r="D3846" s="3"/>
    </row>
    <row r="3847" spans="1:4">
      <c r="A3847" s="691"/>
      <c r="D3847" s="3"/>
    </row>
    <row r="3848" spans="1:4">
      <c r="A3848" s="691"/>
      <c r="D3848" s="3"/>
    </row>
    <row r="3849" spans="1:4">
      <c r="A3849" s="691"/>
      <c r="D3849" s="3"/>
    </row>
    <row r="3850" spans="1:4">
      <c r="A3850" s="691"/>
      <c r="D3850" s="3"/>
    </row>
    <row r="3851" spans="1:4">
      <c r="A3851" s="691"/>
      <c r="D3851" s="3"/>
    </row>
    <row r="3852" spans="1:4">
      <c r="A3852" s="691"/>
      <c r="D3852" s="3"/>
    </row>
    <row r="3853" spans="1:4">
      <c r="A3853" s="691"/>
      <c r="D3853" s="3"/>
    </row>
    <row r="3854" spans="1:4">
      <c r="A3854" s="691"/>
      <c r="D3854" s="3"/>
    </row>
    <row r="3855" spans="1:4">
      <c r="A3855" s="691"/>
      <c r="D3855" s="3"/>
    </row>
    <row r="3856" spans="1:4">
      <c r="A3856" s="691"/>
      <c r="D3856" s="3"/>
    </row>
    <row r="3857" spans="1:4">
      <c r="A3857" s="691"/>
      <c r="D3857" s="3"/>
    </row>
    <row r="3858" spans="1:4">
      <c r="A3858" s="691"/>
      <c r="D3858" s="3"/>
    </row>
    <row r="3859" spans="1:4">
      <c r="A3859" s="691"/>
      <c r="D3859" s="3"/>
    </row>
    <row r="3860" spans="1:4">
      <c r="A3860" s="691"/>
      <c r="D3860" s="3"/>
    </row>
    <row r="3861" spans="1:4">
      <c r="A3861" s="691"/>
      <c r="D3861" s="3"/>
    </row>
    <row r="3862" spans="1:4">
      <c r="A3862" s="691"/>
      <c r="D3862" s="3"/>
    </row>
    <row r="3863" spans="1:4">
      <c r="A3863" s="691"/>
      <c r="D3863" s="3"/>
    </row>
    <row r="3864" spans="1:4">
      <c r="A3864" s="691"/>
      <c r="D3864" s="3"/>
    </row>
    <row r="3865" spans="1:4">
      <c r="A3865" s="691"/>
      <c r="D3865" s="3"/>
    </row>
    <row r="3866" spans="1:4">
      <c r="A3866" s="691"/>
      <c r="D3866" s="3"/>
    </row>
    <row r="3867" spans="1:4">
      <c r="A3867" s="691"/>
      <c r="D3867" s="3"/>
    </row>
    <row r="3868" spans="1:4">
      <c r="A3868" s="691"/>
      <c r="D3868" s="3"/>
    </row>
    <row r="3869" spans="1:4">
      <c r="A3869" s="691"/>
      <c r="D3869" s="3"/>
    </row>
    <row r="3870" spans="1:4">
      <c r="A3870" s="691"/>
      <c r="D3870" s="3"/>
    </row>
    <row r="3871" spans="1:4">
      <c r="A3871" s="691"/>
      <c r="D3871" s="3"/>
    </row>
    <row r="3872" spans="1:4">
      <c r="A3872" s="691"/>
      <c r="D3872" s="3"/>
    </row>
    <row r="3873" spans="1:4">
      <c r="A3873" s="691"/>
      <c r="D3873" s="3"/>
    </row>
    <row r="3874" spans="1:4">
      <c r="A3874" s="691"/>
      <c r="D3874" s="3"/>
    </row>
    <row r="3875" spans="1:4">
      <c r="A3875" s="691"/>
      <c r="D3875" s="3"/>
    </row>
    <row r="3876" spans="1:4">
      <c r="A3876" s="691"/>
      <c r="D3876" s="3"/>
    </row>
    <row r="3877" spans="1:4">
      <c r="A3877" s="691"/>
      <c r="D3877" s="3"/>
    </row>
    <row r="3878" spans="1:4">
      <c r="A3878" s="691"/>
      <c r="D3878" s="3"/>
    </row>
    <row r="3879" spans="1:4">
      <c r="A3879" s="691"/>
      <c r="D3879" s="3"/>
    </row>
    <row r="3880" spans="1:4">
      <c r="A3880" s="691"/>
      <c r="D3880" s="3"/>
    </row>
    <row r="3881" spans="1:4">
      <c r="A3881" s="691"/>
      <c r="D3881" s="3"/>
    </row>
    <row r="3882" spans="1:4">
      <c r="A3882" s="691"/>
      <c r="D3882" s="3"/>
    </row>
    <row r="3883" spans="1:4">
      <c r="A3883" s="691"/>
      <c r="D3883" s="3"/>
    </row>
    <row r="3884" spans="1:4">
      <c r="A3884" s="691"/>
      <c r="D3884" s="3"/>
    </row>
    <row r="3885" spans="1:4">
      <c r="A3885" s="691"/>
      <c r="D3885" s="3"/>
    </row>
    <row r="3886" spans="1:4">
      <c r="A3886" s="691"/>
      <c r="D3886" s="3"/>
    </row>
    <row r="3887" spans="1:4">
      <c r="A3887" s="691"/>
      <c r="D3887" s="3"/>
    </row>
    <row r="3888" spans="1:4">
      <c r="A3888" s="691"/>
      <c r="D3888" s="3"/>
    </row>
    <row r="3889" spans="1:4">
      <c r="A3889" s="691"/>
      <c r="D3889" s="3"/>
    </row>
    <row r="3890" spans="1:4">
      <c r="A3890" s="691"/>
      <c r="D3890" s="3"/>
    </row>
    <row r="3891" spans="1:4">
      <c r="A3891" s="691"/>
      <c r="D3891" s="3"/>
    </row>
    <row r="3892" spans="1:4">
      <c r="A3892" s="691"/>
      <c r="D3892" s="3"/>
    </row>
    <row r="3893" spans="1:4">
      <c r="A3893" s="691"/>
      <c r="D3893" s="3"/>
    </row>
    <row r="3894" spans="1:4">
      <c r="A3894" s="691"/>
      <c r="D3894" s="3"/>
    </row>
    <row r="3895" spans="1:4">
      <c r="A3895" s="691"/>
      <c r="D3895" s="3"/>
    </row>
    <row r="3896" spans="1:4">
      <c r="A3896" s="691"/>
      <c r="D3896" s="3"/>
    </row>
    <row r="3897" spans="1:4">
      <c r="A3897" s="691"/>
      <c r="D3897" s="3"/>
    </row>
    <row r="3898" spans="1:4">
      <c r="A3898" s="691"/>
      <c r="D3898" s="3"/>
    </row>
    <row r="3899" spans="1:4">
      <c r="A3899" s="691"/>
      <c r="D3899" s="3"/>
    </row>
    <row r="3900" spans="1:4">
      <c r="A3900" s="691"/>
      <c r="D3900" s="3"/>
    </row>
    <row r="3901" spans="1:4">
      <c r="A3901" s="691"/>
      <c r="D3901" s="3"/>
    </row>
    <row r="3902" spans="1:4">
      <c r="A3902" s="691"/>
      <c r="D3902" s="3"/>
    </row>
    <row r="3903" spans="1:4">
      <c r="A3903" s="691"/>
      <c r="D3903" s="3"/>
    </row>
    <row r="3904" spans="1:4">
      <c r="A3904" s="691"/>
      <c r="D3904" s="3"/>
    </row>
    <row r="3905" spans="1:4">
      <c r="A3905" s="691"/>
      <c r="D3905" s="3"/>
    </row>
    <row r="3906" spans="1:4">
      <c r="A3906" s="691"/>
      <c r="D3906" s="3"/>
    </row>
    <row r="3907" spans="1:4">
      <c r="A3907" s="691"/>
      <c r="D3907" s="3"/>
    </row>
    <row r="3908" spans="1:4">
      <c r="A3908" s="691"/>
      <c r="D3908" s="3"/>
    </row>
    <row r="3909" spans="1:4">
      <c r="A3909" s="691"/>
      <c r="D3909" s="3"/>
    </row>
    <row r="3910" spans="1:4">
      <c r="A3910" s="691"/>
      <c r="D3910" s="3"/>
    </row>
    <row r="3911" spans="1:4">
      <c r="A3911" s="691"/>
      <c r="D3911" s="3"/>
    </row>
    <row r="3912" spans="1:4">
      <c r="A3912" s="691"/>
      <c r="D3912" s="3"/>
    </row>
    <row r="3913" spans="1:4">
      <c r="A3913" s="691"/>
      <c r="D3913" s="3"/>
    </row>
    <row r="3914" spans="1:4">
      <c r="A3914" s="691"/>
      <c r="D3914" s="3"/>
    </row>
    <row r="3915" spans="1:4">
      <c r="A3915" s="691"/>
      <c r="D3915" s="3"/>
    </row>
    <row r="3916" spans="1:4">
      <c r="A3916" s="691"/>
      <c r="D3916" s="3"/>
    </row>
    <row r="3917" spans="1:4">
      <c r="A3917" s="691"/>
      <c r="D3917" s="3"/>
    </row>
    <row r="3918" spans="1:4">
      <c r="A3918" s="691"/>
      <c r="D3918" s="3"/>
    </row>
    <row r="3919" spans="1:4">
      <c r="A3919" s="691"/>
      <c r="D3919" s="3"/>
    </row>
    <row r="3920" spans="1:4">
      <c r="A3920" s="691"/>
      <c r="D3920" s="3"/>
    </row>
    <row r="3921" spans="1:4">
      <c r="A3921" s="691"/>
      <c r="D3921" s="3"/>
    </row>
    <row r="3922" spans="1:4">
      <c r="A3922" s="691"/>
      <c r="D3922" s="3"/>
    </row>
    <row r="3923" spans="1:4">
      <c r="A3923" s="691"/>
      <c r="D3923" s="3"/>
    </row>
    <row r="3924" spans="1:4">
      <c r="A3924" s="691"/>
      <c r="D3924" s="3"/>
    </row>
    <row r="3925" spans="1:4">
      <c r="A3925" s="691"/>
      <c r="D3925" s="3"/>
    </row>
    <row r="3926" spans="1:4">
      <c r="A3926" s="691"/>
      <c r="D3926" s="3"/>
    </row>
    <row r="3927" spans="1:4">
      <c r="A3927" s="691"/>
      <c r="D3927" s="3"/>
    </row>
    <row r="3928" spans="1:4">
      <c r="A3928" s="691"/>
      <c r="D3928" s="3"/>
    </row>
    <row r="3929" spans="1:4">
      <c r="A3929" s="691"/>
      <c r="D3929" s="3"/>
    </row>
    <row r="3930" spans="1:4">
      <c r="A3930" s="691"/>
      <c r="D3930" s="3"/>
    </row>
    <row r="3931" spans="1:4">
      <c r="A3931" s="691"/>
      <c r="D3931" s="3"/>
    </row>
    <row r="3932" spans="1:4">
      <c r="A3932" s="691"/>
      <c r="D3932" s="3"/>
    </row>
    <row r="3933" spans="1:4">
      <c r="A3933" s="691"/>
      <c r="D3933" s="3"/>
    </row>
    <row r="3934" spans="1:4">
      <c r="A3934" s="691"/>
      <c r="D3934" s="3"/>
    </row>
    <row r="3935" spans="1:4">
      <c r="A3935" s="691"/>
      <c r="D3935" s="3"/>
    </row>
    <row r="3936" spans="1:4">
      <c r="A3936" s="691"/>
      <c r="D3936" s="3"/>
    </row>
    <row r="3937" spans="1:4">
      <c r="A3937" s="691"/>
      <c r="D3937" s="3"/>
    </row>
    <row r="3938" spans="1:4">
      <c r="A3938" s="691"/>
      <c r="D3938" s="3"/>
    </row>
    <row r="3939" spans="1:4">
      <c r="A3939" s="691"/>
      <c r="D3939" s="3"/>
    </row>
    <row r="3940" spans="1:4">
      <c r="A3940" s="691"/>
      <c r="D3940" s="3"/>
    </row>
    <row r="3941" spans="1:4">
      <c r="A3941" s="691"/>
      <c r="D3941" s="3"/>
    </row>
    <row r="3942" spans="1:4">
      <c r="A3942" s="691"/>
      <c r="D3942" s="3"/>
    </row>
    <row r="3943" spans="1:4">
      <c r="A3943" s="691"/>
      <c r="D3943" s="3"/>
    </row>
    <row r="3944" spans="1:4">
      <c r="A3944" s="691"/>
      <c r="D3944" s="3"/>
    </row>
    <row r="3945" spans="1:4">
      <c r="A3945" s="691"/>
      <c r="D3945" s="3"/>
    </row>
    <row r="3946" spans="1:4">
      <c r="A3946" s="691"/>
      <c r="D3946" s="3"/>
    </row>
    <row r="3947" spans="1:4">
      <c r="A3947" s="691"/>
      <c r="D3947" s="3"/>
    </row>
    <row r="3948" spans="1:4">
      <c r="A3948" s="691"/>
      <c r="D3948" s="3"/>
    </row>
    <row r="3949" spans="1:4">
      <c r="A3949" s="691"/>
      <c r="D3949" s="3"/>
    </row>
    <row r="3950" spans="1:4">
      <c r="A3950" s="691"/>
      <c r="D3950" s="3"/>
    </row>
    <row r="3951" spans="1:4">
      <c r="A3951" s="691"/>
      <c r="D3951" s="3"/>
    </row>
    <row r="3952" spans="1:4">
      <c r="A3952" s="691"/>
      <c r="D3952" s="3"/>
    </row>
    <row r="3953" spans="1:4">
      <c r="A3953" s="691"/>
      <c r="D3953" s="3"/>
    </row>
    <row r="3954" spans="1:4">
      <c r="A3954" s="691"/>
      <c r="D3954" s="3"/>
    </row>
    <row r="3955" spans="1:4">
      <c r="A3955" s="691"/>
      <c r="D3955" s="3"/>
    </row>
    <row r="3956" spans="1:4">
      <c r="A3956" s="691"/>
      <c r="D3956" s="3"/>
    </row>
    <row r="3957" spans="1:4">
      <c r="A3957" s="691"/>
      <c r="D3957" s="3"/>
    </row>
    <row r="3958" spans="1:4">
      <c r="A3958" s="691"/>
      <c r="D3958" s="3"/>
    </row>
    <row r="3959" spans="1:4">
      <c r="A3959" s="691"/>
      <c r="D3959" s="3"/>
    </row>
    <row r="3960" spans="1:4">
      <c r="A3960" s="691"/>
      <c r="D3960" s="3"/>
    </row>
    <row r="3961" spans="1:4">
      <c r="A3961" s="691"/>
      <c r="D3961" s="3"/>
    </row>
    <row r="3962" spans="1:4">
      <c r="A3962" s="691"/>
      <c r="D3962" s="3"/>
    </row>
    <row r="3963" spans="1:4">
      <c r="A3963" s="691"/>
      <c r="D3963" s="3"/>
    </row>
    <row r="3964" spans="1:4">
      <c r="A3964" s="691"/>
      <c r="D3964" s="3"/>
    </row>
    <row r="3965" spans="1:4">
      <c r="A3965" s="691"/>
      <c r="D3965" s="3"/>
    </row>
    <row r="3966" spans="1:4">
      <c r="A3966" s="691"/>
      <c r="D3966" s="3"/>
    </row>
    <row r="3967" spans="1:4">
      <c r="A3967" s="691"/>
      <c r="D3967" s="3"/>
    </row>
    <row r="3968" spans="1:4">
      <c r="A3968" s="691"/>
      <c r="D3968" s="3"/>
    </row>
    <row r="3969" spans="1:4">
      <c r="A3969" s="691"/>
      <c r="D3969" s="3"/>
    </row>
    <row r="3970" spans="1:4">
      <c r="A3970" s="691"/>
      <c r="D3970" s="3"/>
    </row>
    <row r="3971" spans="1:4">
      <c r="A3971" s="691"/>
      <c r="D3971" s="3"/>
    </row>
    <row r="3972" spans="1:4">
      <c r="A3972" s="691"/>
      <c r="D3972" s="3"/>
    </row>
    <row r="3973" spans="1:4">
      <c r="A3973" s="691"/>
      <c r="D3973" s="3"/>
    </row>
    <row r="3974" spans="1:4">
      <c r="A3974" s="691"/>
      <c r="D3974" s="3"/>
    </row>
    <row r="3975" spans="1:4">
      <c r="A3975" s="691"/>
      <c r="D3975" s="3"/>
    </row>
    <row r="3976" spans="1:4">
      <c r="A3976" s="691"/>
      <c r="D3976" s="3"/>
    </row>
    <row r="3977" spans="1:4">
      <c r="A3977" s="691"/>
      <c r="D3977" s="3"/>
    </row>
    <row r="3978" spans="1:4">
      <c r="A3978" s="691"/>
      <c r="D3978" s="3"/>
    </row>
    <row r="3979" spans="1:4">
      <c r="A3979" s="691"/>
      <c r="D3979" s="3"/>
    </row>
    <row r="3980" spans="1:4">
      <c r="A3980" s="691"/>
      <c r="D3980" s="3"/>
    </row>
    <row r="3981" spans="1:4">
      <c r="A3981" s="691"/>
      <c r="D3981" s="3"/>
    </row>
    <row r="3982" spans="1:4">
      <c r="A3982" s="691"/>
      <c r="D3982" s="3"/>
    </row>
    <row r="3983" spans="1:4">
      <c r="A3983" s="691"/>
      <c r="D3983" s="3"/>
    </row>
    <row r="3984" spans="1:4">
      <c r="A3984" s="691"/>
      <c r="D3984" s="3"/>
    </row>
    <row r="3985" spans="1:4">
      <c r="A3985" s="691"/>
      <c r="D3985" s="3"/>
    </row>
    <row r="3986" spans="1:4">
      <c r="A3986" s="691"/>
      <c r="D3986" s="3"/>
    </row>
    <row r="3987" spans="1:4">
      <c r="A3987" s="691"/>
      <c r="D3987" s="3"/>
    </row>
    <row r="3988" spans="1:4">
      <c r="A3988" s="691"/>
      <c r="D3988" s="3"/>
    </row>
    <row r="3989" spans="1:4">
      <c r="A3989" s="691"/>
      <c r="D3989" s="3"/>
    </row>
    <row r="3990" spans="1:4">
      <c r="A3990" s="691"/>
      <c r="D3990" s="3"/>
    </row>
    <row r="3991" spans="1:4">
      <c r="A3991" s="691"/>
      <c r="D3991" s="3"/>
    </row>
    <row r="3992" spans="1:4">
      <c r="A3992" s="691"/>
      <c r="D3992" s="3"/>
    </row>
    <row r="3993" spans="1:4">
      <c r="A3993" s="691"/>
      <c r="D3993" s="3"/>
    </row>
    <row r="3994" spans="1:4">
      <c r="A3994" s="691"/>
      <c r="D3994" s="3"/>
    </row>
    <row r="3995" spans="1:4">
      <c r="A3995" s="691"/>
      <c r="D3995" s="3"/>
    </row>
    <row r="3996" spans="1:4">
      <c r="A3996" s="691"/>
      <c r="D3996" s="3"/>
    </row>
    <row r="3997" spans="1:4">
      <c r="A3997" s="691"/>
      <c r="D3997" s="3"/>
    </row>
    <row r="3998" spans="1:4">
      <c r="A3998" s="691"/>
      <c r="D3998" s="3"/>
    </row>
    <row r="3999" spans="1:4">
      <c r="A3999" s="691"/>
      <c r="D3999" s="3"/>
    </row>
    <row r="4000" spans="1:4">
      <c r="A4000" s="691"/>
      <c r="D4000" s="3"/>
    </row>
    <row r="4001" spans="1:4">
      <c r="A4001" s="691"/>
      <c r="D4001" s="3"/>
    </row>
    <row r="4002" spans="1:4">
      <c r="A4002" s="691"/>
      <c r="D4002" s="3"/>
    </row>
    <row r="4003" spans="1:4">
      <c r="A4003" s="691"/>
      <c r="D4003" s="3"/>
    </row>
    <row r="4004" spans="1:4">
      <c r="A4004" s="691"/>
      <c r="D4004" s="3"/>
    </row>
    <row r="4005" spans="1:4">
      <c r="A4005" s="691"/>
      <c r="D4005" s="3"/>
    </row>
    <row r="4006" spans="1:4">
      <c r="A4006" s="691"/>
      <c r="D4006" s="3"/>
    </row>
    <row r="4007" spans="1:4">
      <c r="A4007" s="691"/>
      <c r="D4007" s="3"/>
    </row>
    <row r="4008" spans="1:4">
      <c r="A4008" s="691"/>
      <c r="D4008" s="3"/>
    </row>
    <row r="4009" spans="1:4">
      <c r="A4009" s="691"/>
      <c r="D4009" s="3"/>
    </row>
    <row r="4010" spans="1:4">
      <c r="A4010" s="691"/>
      <c r="D4010" s="3"/>
    </row>
    <row r="4011" spans="1:4">
      <c r="A4011" s="691"/>
      <c r="D4011" s="3"/>
    </row>
    <row r="4012" spans="1:4">
      <c r="A4012" s="691"/>
      <c r="D4012" s="3"/>
    </row>
    <row r="4013" spans="1:4">
      <c r="A4013" s="691"/>
      <c r="D4013" s="3"/>
    </row>
    <row r="4014" spans="1:4">
      <c r="A4014" s="691"/>
      <c r="D4014" s="3"/>
    </row>
    <row r="4015" spans="1:4">
      <c r="A4015" s="691"/>
      <c r="D4015" s="3"/>
    </row>
    <row r="4016" spans="1:4">
      <c r="A4016" s="691"/>
      <c r="D4016" s="3"/>
    </row>
    <row r="4017" spans="1:4">
      <c r="A4017" s="691"/>
      <c r="D4017" s="3"/>
    </row>
    <row r="4018" spans="1:4">
      <c r="A4018" s="691"/>
      <c r="D4018" s="3"/>
    </row>
    <row r="4019" spans="1:4">
      <c r="A4019" s="691"/>
      <c r="D4019" s="3"/>
    </row>
    <row r="4020" spans="1:4">
      <c r="A4020" s="691"/>
      <c r="D4020" s="3"/>
    </row>
    <row r="4021" spans="1:4">
      <c r="A4021" s="691"/>
      <c r="D4021" s="3"/>
    </row>
    <row r="4022" spans="1:4">
      <c r="A4022" s="691"/>
      <c r="D4022" s="3"/>
    </row>
    <row r="4023" spans="1:4">
      <c r="A4023" s="691"/>
      <c r="D4023" s="3"/>
    </row>
    <row r="4024" spans="1:4">
      <c r="A4024" s="691"/>
      <c r="D4024" s="3"/>
    </row>
    <row r="4025" spans="1:4">
      <c r="A4025" s="691"/>
      <c r="D4025" s="3"/>
    </row>
    <row r="4026" spans="1:4">
      <c r="A4026" s="691"/>
      <c r="D4026" s="3"/>
    </row>
    <row r="4027" spans="1:4">
      <c r="A4027" s="691"/>
      <c r="D4027" s="3"/>
    </row>
    <row r="4028" spans="1:4">
      <c r="A4028" s="691"/>
      <c r="D4028" s="3"/>
    </row>
    <row r="4029" spans="1:4">
      <c r="A4029" s="691"/>
      <c r="D4029" s="3"/>
    </row>
    <row r="4030" spans="1:4">
      <c r="A4030" s="691"/>
      <c r="D4030" s="3"/>
    </row>
    <row r="4031" spans="1:4">
      <c r="A4031" s="691"/>
      <c r="D4031" s="3"/>
    </row>
    <row r="4032" spans="1:4">
      <c r="A4032" s="691"/>
      <c r="D4032" s="3"/>
    </row>
    <row r="4033" spans="1:4">
      <c r="A4033" s="691"/>
      <c r="D4033" s="3"/>
    </row>
    <row r="4034" spans="1:4">
      <c r="A4034" s="691"/>
      <c r="D4034" s="3"/>
    </row>
    <row r="4035" spans="1:4">
      <c r="A4035" s="691"/>
      <c r="D4035" s="3"/>
    </row>
    <row r="4036" spans="1:4">
      <c r="A4036" s="691"/>
      <c r="D4036" s="3"/>
    </row>
    <row r="4037" spans="1:4">
      <c r="A4037" s="691"/>
      <c r="D4037" s="3"/>
    </row>
    <row r="4038" spans="1:4">
      <c r="A4038" s="691"/>
      <c r="D4038" s="3"/>
    </row>
    <row r="4039" spans="1:4">
      <c r="A4039" s="691"/>
      <c r="D4039" s="3"/>
    </row>
    <row r="4040" spans="1:4">
      <c r="A4040" s="691"/>
      <c r="D4040" s="3"/>
    </row>
    <row r="4041" spans="1:4">
      <c r="A4041" s="691"/>
      <c r="D4041" s="3"/>
    </row>
    <row r="4042" spans="1:4">
      <c r="A4042" s="691"/>
      <c r="D4042" s="3"/>
    </row>
    <row r="4043" spans="1:4">
      <c r="A4043" s="691"/>
      <c r="D4043" s="3"/>
    </row>
    <row r="4044" spans="1:4">
      <c r="A4044" s="691"/>
      <c r="D4044" s="3"/>
    </row>
    <row r="4045" spans="1:4">
      <c r="A4045" s="691"/>
      <c r="D4045" s="3"/>
    </row>
    <row r="4046" spans="1:4">
      <c r="A4046" s="691"/>
      <c r="D4046" s="3"/>
    </row>
    <row r="4047" spans="1:4">
      <c r="A4047" s="691"/>
      <c r="D4047" s="3"/>
    </row>
    <row r="4048" spans="1:4">
      <c r="A4048" s="691"/>
      <c r="D4048" s="3"/>
    </row>
    <row r="4049" spans="1:4">
      <c r="A4049" s="691"/>
      <c r="D4049" s="3"/>
    </row>
    <row r="4050" spans="1:4">
      <c r="A4050" s="691"/>
      <c r="D4050" s="3"/>
    </row>
    <row r="4051" spans="1:4">
      <c r="A4051" s="691"/>
      <c r="D4051" s="3"/>
    </row>
    <row r="4052" spans="1:4">
      <c r="A4052" s="691"/>
      <c r="D4052" s="3"/>
    </row>
    <row r="4053" spans="1:4">
      <c r="A4053" s="691"/>
      <c r="D4053" s="3"/>
    </row>
    <row r="4054" spans="1:4">
      <c r="A4054" s="691"/>
      <c r="D4054" s="3"/>
    </row>
    <row r="4055" spans="1:4">
      <c r="A4055" s="691"/>
      <c r="D4055" s="3"/>
    </row>
    <row r="4056" spans="1:4">
      <c r="A4056" s="691"/>
      <c r="D4056" s="3"/>
    </row>
    <row r="4057" spans="1:4">
      <c r="A4057" s="691"/>
      <c r="D4057" s="3"/>
    </row>
    <row r="4058" spans="1:4">
      <c r="A4058" s="691"/>
      <c r="D4058" s="3"/>
    </row>
    <row r="4059" spans="1:4">
      <c r="A4059" s="691"/>
      <c r="D4059" s="3"/>
    </row>
    <row r="4060" spans="1:4">
      <c r="A4060" s="691"/>
      <c r="D4060" s="3"/>
    </row>
    <row r="4061" spans="1:4">
      <c r="A4061" s="691"/>
      <c r="D4061" s="3"/>
    </row>
    <row r="4062" spans="1:4">
      <c r="A4062" s="691"/>
      <c r="D4062" s="3"/>
    </row>
    <row r="4063" spans="1:4">
      <c r="A4063" s="691"/>
      <c r="D4063" s="3"/>
    </row>
    <row r="4064" spans="1:4">
      <c r="A4064" s="691"/>
      <c r="D4064" s="3"/>
    </row>
    <row r="4065" spans="1:4">
      <c r="A4065" s="691"/>
      <c r="D4065" s="3"/>
    </row>
    <row r="4066" spans="1:4">
      <c r="A4066" s="691"/>
      <c r="D4066" s="3"/>
    </row>
    <row r="4067" spans="1:4">
      <c r="A4067" s="691"/>
      <c r="D4067" s="3"/>
    </row>
    <row r="4068" spans="1:4">
      <c r="A4068" s="691"/>
      <c r="D4068" s="3"/>
    </row>
    <row r="4069" spans="1:4">
      <c r="A4069" s="691"/>
      <c r="D4069" s="3"/>
    </row>
    <row r="4070" spans="1:4">
      <c r="A4070" s="691"/>
      <c r="D4070" s="3"/>
    </row>
    <row r="4071" spans="1:4">
      <c r="A4071" s="691"/>
      <c r="D4071" s="3"/>
    </row>
    <row r="4072" spans="1:4">
      <c r="A4072" s="691"/>
      <c r="D4072" s="3"/>
    </row>
    <row r="4073" spans="1:4">
      <c r="A4073" s="691"/>
      <c r="D4073" s="3"/>
    </row>
    <row r="4074" spans="1:4">
      <c r="A4074" s="691"/>
      <c r="D4074" s="3"/>
    </row>
    <row r="4075" spans="1:4">
      <c r="A4075" s="691"/>
      <c r="D4075" s="3"/>
    </row>
    <row r="4076" spans="1:4">
      <c r="A4076" s="691"/>
      <c r="D4076" s="3"/>
    </row>
    <row r="4077" spans="1:4">
      <c r="A4077" s="691"/>
      <c r="D4077" s="3"/>
    </row>
    <row r="4078" spans="1:4">
      <c r="A4078" s="691"/>
      <c r="D4078" s="3"/>
    </row>
    <row r="4079" spans="1:4">
      <c r="A4079" s="691"/>
      <c r="D4079" s="3"/>
    </row>
    <row r="4080" spans="1:4">
      <c r="A4080" s="691"/>
      <c r="D4080" s="3"/>
    </row>
    <row r="4081" spans="1:4">
      <c r="A4081" s="691"/>
      <c r="D4081" s="3"/>
    </row>
    <row r="4082" spans="1:4">
      <c r="A4082" s="691"/>
      <c r="D4082" s="3"/>
    </row>
    <row r="4083" spans="1:4">
      <c r="A4083" s="691"/>
      <c r="D4083" s="3"/>
    </row>
    <row r="4084" spans="1:4">
      <c r="A4084" s="691"/>
      <c r="D4084" s="3"/>
    </row>
    <row r="4085" spans="1:4">
      <c r="A4085" s="691"/>
      <c r="D4085" s="3"/>
    </row>
    <row r="4086" spans="1:4">
      <c r="A4086" s="691"/>
      <c r="D4086" s="3"/>
    </row>
    <row r="4087" spans="1:4">
      <c r="A4087" s="691"/>
      <c r="D4087" s="3"/>
    </row>
    <row r="4088" spans="1:4">
      <c r="A4088" s="691"/>
      <c r="D4088" s="3"/>
    </row>
    <row r="4089" spans="1:4">
      <c r="A4089" s="691"/>
      <c r="D4089" s="3"/>
    </row>
    <row r="4090" spans="1:4">
      <c r="A4090" s="691"/>
      <c r="D4090" s="3"/>
    </row>
    <row r="4091" spans="1:4">
      <c r="A4091" s="691"/>
      <c r="D4091" s="3"/>
    </row>
    <row r="4092" spans="1:4">
      <c r="A4092" s="691"/>
      <c r="D4092" s="3"/>
    </row>
    <row r="4093" spans="1:4">
      <c r="A4093" s="691"/>
      <c r="D4093" s="3"/>
    </row>
    <row r="4094" spans="1:4">
      <c r="A4094" s="691"/>
      <c r="D4094" s="3"/>
    </row>
    <row r="4095" spans="1:4">
      <c r="A4095" s="691"/>
      <c r="D4095" s="3"/>
    </row>
    <row r="4096" spans="1:4">
      <c r="A4096" s="691"/>
      <c r="D4096" s="3"/>
    </row>
    <row r="4097" spans="1:4">
      <c r="A4097" s="691"/>
      <c r="D4097" s="3"/>
    </row>
    <row r="4098" spans="1:4">
      <c r="A4098" s="691"/>
      <c r="D4098" s="3"/>
    </row>
    <row r="4099" spans="1:4">
      <c r="A4099" s="691"/>
      <c r="D4099" s="3"/>
    </row>
    <row r="4100" spans="1:4">
      <c r="A4100" s="691"/>
      <c r="D4100" s="3"/>
    </row>
    <row r="4101" spans="1:4">
      <c r="A4101" s="691"/>
      <c r="D4101" s="3"/>
    </row>
    <row r="4102" spans="1:4">
      <c r="A4102" s="691"/>
      <c r="D4102" s="3"/>
    </row>
    <row r="4103" spans="1:4">
      <c r="A4103" s="691"/>
      <c r="D4103" s="3"/>
    </row>
    <row r="4104" spans="1:4">
      <c r="A4104" s="691"/>
      <c r="D4104" s="3"/>
    </row>
    <row r="4105" spans="1:4">
      <c r="A4105" s="691"/>
      <c r="D4105" s="3"/>
    </row>
    <row r="4106" spans="1:4">
      <c r="A4106" s="691"/>
      <c r="D4106" s="3"/>
    </row>
    <row r="4107" spans="1:4">
      <c r="A4107" s="691"/>
      <c r="D4107" s="3"/>
    </row>
    <row r="4108" spans="1:4">
      <c r="A4108" s="691"/>
      <c r="D4108" s="3"/>
    </row>
    <row r="4109" spans="1:4">
      <c r="A4109" s="691"/>
      <c r="D4109" s="3"/>
    </row>
    <row r="4110" spans="1:4">
      <c r="A4110" s="691"/>
      <c r="D4110" s="3"/>
    </row>
    <row r="4111" spans="1:4">
      <c r="A4111" s="691"/>
      <c r="D4111" s="3"/>
    </row>
    <row r="4112" spans="1:4">
      <c r="A4112" s="691"/>
      <c r="D4112" s="3"/>
    </row>
    <row r="4113" spans="1:4">
      <c r="A4113" s="691"/>
      <c r="D4113" s="3"/>
    </row>
    <row r="4114" spans="1:4">
      <c r="A4114" s="691"/>
      <c r="D4114" s="3"/>
    </row>
    <row r="4115" spans="1:4">
      <c r="A4115" s="691"/>
      <c r="D4115" s="3"/>
    </row>
    <row r="4116" spans="1:4">
      <c r="A4116" s="691"/>
      <c r="D4116" s="3"/>
    </row>
    <row r="4117" spans="1:4">
      <c r="A4117" s="691"/>
      <c r="D4117" s="3"/>
    </row>
    <row r="4118" spans="1:4">
      <c r="A4118" s="691"/>
      <c r="D4118" s="3"/>
    </row>
    <row r="4119" spans="1:4">
      <c r="A4119" s="691"/>
      <c r="D4119" s="3"/>
    </row>
    <row r="4120" spans="1:4">
      <c r="A4120" s="691"/>
      <c r="D4120" s="3"/>
    </row>
    <row r="4121" spans="1:4">
      <c r="A4121" s="691"/>
      <c r="D4121" s="3"/>
    </row>
    <row r="4122" spans="1:4">
      <c r="A4122" s="691"/>
      <c r="D4122" s="3"/>
    </row>
    <row r="4123" spans="1:4">
      <c r="A4123" s="691"/>
      <c r="D4123" s="3"/>
    </row>
    <row r="4124" spans="1:4">
      <c r="A4124" s="691"/>
      <c r="D4124" s="3"/>
    </row>
    <row r="4125" spans="1:4">
      <c r="A4125" s="691"/>
      <c r="D4125" s="3"/>
    </row>
    <row r="4126" spans="1:4">
      <c r="A4126" s="691"/>
      <c r="D4126" s="3"/>
    </row>
    <row r="4127" spans="1:4">
      <c r="A4127" s="691"/>
      <c r="D4127" s="3"/>
    </row>
    <row r="4128" spans="1:4">
      <c r="A4128" s="691"/>
      <c r="D4128" s="3"/>
    </row>
    <row r="4129" spans="1:4">
      <c r="A4129" s="691"/>
      <c r="D4129" s="3"/>
    </row>
    <row r="4130" spans="1:4">
      <c r="A4130" s="691"/>
      <c r="D4130" s="3"/>
    </row>
    <row r="4131" spans="1:4">
      <c r="A4131" s="691"/>
      <c r="D4131" s="3"/>
    </row>
    <row r="4132" spans="1:4">
      <c r="A4132" s="691"/>
      <c r="D4132" s="3"/>
    </row>
    <row r="4133" spans="1:4">
      <c r="A4133" s="691"/>
      <c r="D4133" s="3"/>
    </row>
    <row r="4134" spans="1:4">
      <c r="A4134" s="691"/>
      <c r="D4134" s="3"/>
    </row>
    <row r="4135" spans="1:4">
      <c r="A4135" s="691"/>
      <c r="D4135" s="3"/>
    </row>
    <row r="4136" spans="1:4">
      <c r="A4136" s="691"/>
      <c r="D4136" s="3"/>
    </row>
    <row r="4137" spans="1:4">
      <c r="A4137" s="691"/>
      <c r="D4137" s="3"/>
    </row>
    <row r="4138" spans="1:4">
      <c r="A4138" s="691"/>
      <c r="D4138" s="3"/>
    </row>
    <row r="4139" spans="1:4">
      <c r="A4139" s="691"/>
      <c r="D4139" s="3"/>
    </row>
    <row r="4140" spans="1:4">
      <c r="A4140" s="691"/>
      <c r="D4140" s="3"/>
    </row>
    <row r="4141" spans="1:4">
      <c r="A4141" s="691"/>
      <c r="D4141" s="3"/>
    </row>
    <row r="4142" spans="1:4">
      <c r="A4142" s="691"/>
      <c r="D4142" s="3"/>
    </row>
    <row r="4143" spans="1:4">
      <c r="A4143" s="691"/>
      <c r="D4143" s="3"/>
    </row>
    <row r="4144" spans="1:4">
      <c r="A4144" s="691"/>
      <c r="D4144" s="3"/>
    </row>
    <row r="4145" spans="1:4">
      <c r="A4145" s="691"/>
      <c r="D4145" s="3"/>
    </row>
    <row r="4146" spans="1:4">
      <c r="A4146" s="691"/>
      <c r="D4146" s="3"/>
    </row>
    <row r="4147" spans="1:4">
      <c r="A4147" s="691"/>
      <c r="D4147" s="3"/>
    </row>
    <row r="4148" spans="1:4">
      <c r="A4148" s="691"/>
      <c r="D4148" s="3"/>
    </row>
    <row r="4149" spans="1:4">
      <c r="A4149" s="691"/>
      <c r="D4149" s="3"/>
    </row>
    <row r="4150" spans="1:4">
      <c r="A4150" s="691"/>
      <c r="D4150" s="3"/>
    </row>
    <row r="4151" spans="1:4">
      <c r="A4151" s="691"/>
      <c r="D4151" s="3"/>
    </row>
    <row r="4152" spans="1:4">
      <c r="A4152" s="691"/>
      <c r="D4152" s="3"/>
    </row>
    <row r="4153" spans="1:4">
      <c r="A4153" s="691"/>
      <c r="D4153" s="3"/>
    </row>
    <row r="4154" spans="1:4">
      <c r="A4154" s="691"/>
      <c r="D4154" s="3"/>
    </row>
    <row r="4155" spans="1:4">
      <c r="A4155" s="691"/>
      <c r="D4155" s="3"/>
    </row>
    <row r="4156" spans="1:4">
      <c r="A4156" s="691"/>
      <c r="D4156" s="3"/>
    </row>
    <row r="4157" spans="1:4">
      <c r="A4157" s="691"/>
      <c r="D4157" s="3"/>
    </row>
    <row r="4158" spans="1:4">
      <c r="A4158" s="691"/>
      <c r="D4158" s="3"/>
    </row>
    <row r="4159" spans="1:4">
      <c r="A4159" s="691"/>
      <c r="D4159" s="3"/>
    </row>
    <row r="4160" spans="1:4">
      <c r="A4160" s="691"/>
      <c r="D4160" s="3"/>
    </row>
    <row r="4161" spans="1:4">
      <c r="A4161" s="691"/>
      <c r="D4161" s="3"/>
    </row>
    <row r="4162" spans="1:4">
      <c r="A4162" s="691"/>
      <c r="D4162" s="3"/>
    </row>
    <row r="4163" spans="1:4">
      <c r="A4163" s="691"/>
      <c r="D4163" s="3"/>
    </row>
    <row r="4164" spans="1:4">
      <c r="A4164" s="691"/>
      <c r="D4164" s="3"/>
    </row>
    <row r="4165" spans="1:4">
      <c r="A4165" s="691"/>
      <c r="D4165" s="3"/>
    </row>
    <row r="4166" spans="1:4">
      <c r="A4166" s="691"/>
      <c r="D4166" s="3"/>
    </row>
    <row r="4167" spans="1:4">
      <c r="A4167" s="691"/>
      <c r="D4167" s="3"/>
    </row>
    <row r="4168" spans="1:4">
      <c r="A4168" s="691"/>
      <c r="D4168" s="3"/>
    </row>
    <row r="4169" spans="1:4">
      <c r="A4169" s="691"/>
      <c r="D4169" s="3"/>
    </row>
    <row r="4170" spans="1:4">
      <c r="A4170" s="691"/>
      <c r="D4170" s="3"/>
    </row>
    <row r="4171" spans="1:4">
      <c r="A4171" s="691"/>
      <c r="D4171" s="3"/>
    </row>
    <row r="4172" spans="1:4">
      <c r="A4172" s="691"/>
      <c r="D4172" s="3"/>
    </row>
    <row r="4173" spans="1:4">
      <c r="A4173" s="691"/>
      <c r="D4173" s="3"/>
    </row>
    <row r="4174" spans="1:4">
      <c r="A4174" s="691"/>
      <c r="D4174" s="3"/>
    </row>
    <row r="4175" spans="1:4">
      <c r="A4175" s="691"/>
      <c r="D4175" s="3"/>
    </row>
    <row r="4176" spans="1:4">
      <c r="A4176" s="691"/>
      <c r="D4176" s="3"/>
    </row>
    <row r="4177" spans="1:4">
      <c r="A4177" s="691"/>
      <c r="D4177" s="3"/>
    </row>
    <row r="4178" spans="1:4">
      <c r="A4178" s="691"/>
      <c r="D4178" s="3"/>
    </row>
    <row r="4179" spans="1:4">
      <c r="A4179" s="691"/>
      <c r="D4179" s="3"/>
    </row>
    <row r="4180" spans="1:4">
      <c r="A4180" s="691"/>
      <c r="D4180" s="3"/>
    </row>
    <row r="4181" spans="1:4">
      <c r="A4181" s="691"/>
      <c r="D4181" s="3"/>
    </row>
    <row r="4182" spans="1:4">
      <c r="A4182" s="691"/>
      <c r="D4182" s="3"/>
    </row>
    <row r="4183" spans="1:4">
      <c r="A4183" s="691"/>
      <c r="D4183" s="3"/>
    </row>
    <row r="4184" spans="1:4">
      <c r="A4184" s="691"/>
      <c r="D4184" s="3"/>
    </row>
    <row r="4185" spans="1:4">
      <c r="A4185" s="691"/>
      <c r="D4185" s="3"/>
    </row>
    <row r="4186" spans="1:4">
      <c r="A4186" s="691"/>
      <c r="D4186" s="3"/>
    </row>
    <row r="4187" spans="1:4">
      <c r="A4187" s="691"/>
      <c r="D4187" s="3"/>
    </row>
    <row r="4188" spans="1:4">
      <c r="A4188" s="691"/>
      <c r="D4188" s="3"/>
    </row>
    <row r="4189" spans="1:4">
      <c r="A4189" s="691"/>
      <c r="D4189" s="3"/>
    </row>
    <row r="4190" spans="1:4">
      <c r="A4190" s="691"/>
      <c r="D4190" s="3"/>
    </row>
    <row r="4191" spans="1:4">
      <c r="A4191" s="691"/>
      <c r="D4191" s="3"/>
    </row>
    <row r="4192" spans="1:4">
      <c r="A4192" s="691"/>
      <c r="D4192" s="3"/>
    </row>
    <row r="4193" spans="1:4">
      <c r="A4193" s="691"/>
      <c r="D4193" s="3"/>
    </row>
    <row r="4194" spans="1:4">
      <c r="A4194" s="691"/>
      <c r="D4194" s="3"/>
    </row>
    <row r="4195" spans="1:4">
      <c r="A4195" s="691"/>
      <c r="D4195" s="3"/>
    </row>
    <row r="4196" spans="1:4">
      <c r="A4196" s="691"/>
      <c r="D4196" s="3"/>
    </row>
    <row r="4197" spans="1:4">
      <c r="A4197" s="691"/>
      <c r="D4197" s="3"/>
    </row>
    <row r="4198" spans="1:4">
      <c r="A4198" s="691"/>
      <c r="D4198" s="3"/>
    </row>
    <row r="4199" spans="1:4">
      <c r="A4199" s="691"/>
      <c r="D4199" s="3"/>
    </row>
    <row r="4200" spans="1:4">
      <c r="A4200" s="691"/>
      <c r="D4200" s="3"/>
    </row>
    <row r="4201" spans="1:4">
      <c r="A4201" s="691"/>
      <c r="D4201" s="3"/>
    </row>
    <row r="4202" spans="1:4">
      <c r="A4202" s="691"/>
      <c r="D4202" s="3"/>
    </row>
    <row r="4203" spans="1:4">
      <c r="A4203" s="691"/>
      <c r="D4203" s="3"/>
    </row>
    <row r="4204" spans="1:4">
      <c r="A4204" s="691"/>
      <c r="D4204" s="3"/>
    </row>
    <row r="4205" spans="1:4">
      <c r="A4205" s="691"/>
      <c r="D4205" s="3"/>
    </row>
    <row r="4206" spans="1:4">
      <c r="A4206" s="691"/>
      <c r="D4206" s="3"/>
    </row>
    <row r="4207" spans="1:4">
      <c r="A4207" s="691"/>
      <c r="D4207" s="3"/>
    </row>
    <row r="4208" spans="1:4">
      <c r="A4208" s="691"/>
      <c r="D4208" s="3"/>
    </row>
    <row r="4209" spans="1:4">
      <c r="A4209" s="691"/>
      <c r="D4209" s="3"/>
    </row>
    <row r="4210" spans="1:4">
      <c r="A4210" s="691"/>
      <c r="D4210" s="3"/>
    </row>
    <row r="4211" spans="1:4">
      <c r="A4211" s="691"/>
      <c r="D4211" s="3"/>
    </row>
    <row r="4212" spans="1:4">
      <c r="A4212" s="691"/>
      <c r="D4212" s="3"/>
    </row>
    <row r="4213" spans="1:4">
      <c r="A4213" s="691"/>
      <c r="D4213" s="3"/>
    </row>
    <row r="4214" spans="1:4">
      <c r="A4214" s="691"/>
      <c r="D4214" s="3"/>
    </row>
    <row r="4215" spans="1:4">
      <c r="A4215" s="691"/>
      <c r="D4215" s="3"/>
    </row>
    <row r="4216" spans="1:4">
      <c r="A4216" s="691"/>
      <c r="D4216" s="3"/>
    </row>
    <row r="4217" spans="1:4">
      <c r="A4217" s="691"/>
      <c r="D4217" s="3"/>
    </row>
    <row r="4218" spans="1:4">
      <c r="A4218" s="691"/>
      <c r="D4218" s="3"/>
    </row>
    <row r="4219" spans="1:4">
      <c r="A4219" s="691"/>
      <c r="D4219" s="3"/>
    </row>
    <row r="4220" spans="1:4">
      <c r="A4220" s="691"/>
      <c r="D4220" s="3"/>
    </row>
    <row r="4221" spans="1:4">
      <c r="A4221" s="691"/>
      <c r="D4221" s="3"/>
    </row>
    <row r="4222" spans="1:4">
      <c r="A4222" s="691"/>
      <c r="D4222" s="3"/>
    </row>
    <row r="4223" spans="1:4">
      <c r="A4223" s="691"/>
      <c r="D4223" s="3"/>
    </row>
    <row r="4224" spans="1:4">
      <c r="A4224" s="691"/>
      <c r="D4224" s="3"/>
    </row>
    <row r="4225" spans="1:4">
      <c r="A4225" s="691"/>
      <c r="D4225" s="3"/>
    </row>
    <row r="4226" spans="1:4">
      <c r="A4226" s="691"/>
      <c r="D4226" s="3"/>
    </row>
    <row r="4227" spans="1:4">
      <c r="A4227" s="691"/>
      <c r="D4227" s="3"/>
    </row>
    <row r="4228" spans="1:4">
      <c r="A4228" s="691"/>
      <c r="D4228" s="3"/>
    </row>
    <row r="4229" spans="1:4">
      <c r="A4229" s="691"/>
      <c r="D4229" s="3"/>
    </row>
    <row r="4230" spans="1:4">
      <c r="A4230" s="691"/>
      <c r="D4230" s="3"/>
    </row>
    <row r="4231" spans="1:4">
      <c r="A4231" s="691"/>
      <c r="D4231" s="3"/>
    </row>
    <row r="4232" spans="1:4">
      <c r="A4232" s="691"/>
      <c r="D4232" s="3"/>
    </row>
    <row r="4233" spans="1:4">
      <c r="A4233" s="691"/>
      <c r="D4233" s="3"/>
    </row>
    <row r="4234" spans="1:4">
      <c r="A4234" s="691"/>
      <c r="D4234" s="3"/>
    </row>
    <row r="4235" spans="1:4">
      <c r="A4235" s="691"/>
      <c r="D4235" s="3"/>
    </row>
    <row r="4236" spans="1:4">
      <c r="A4236" s="691"/>
      <c r="D4236" s="3"/>
    </row>
    <row r="4237" spans="1:4">
      <c r="A4237" s="691"/>
      <c r="D4237" s="3"/>
    </row>
    <row r="4238" spans="1:4">
      <c r="A4238" s="691"/>
      <c r="D4238" s="3"/>
    </row>
    <row r="4239" spans="1:4">
      <c r="A4239" s="691"/>
      <c r="D4239" s="3"/>
    </row>
    <row r="4240" spans="1:4">
      <c r="A4240" s="691"/>
      <c r="D4240" s="3"/>
    </row>
    <row r="4241" spans="1:4">
      <c r="A4241" s="691"/>
      <c r="D4241" s="3"/>
    </row>
    <row r="4242" spans="1:4">
      <c r="A4242" s="691"/>
      <c r="D4242" s="3"/>
    </row>
    <row r="4243" spans="1:4">
      <c r="A4243" s="691"/>
      <c r="D4243" s="3"/>
    </row>
    <row r="4244" spans="1:4">
      <c r="A4244" s="691"/>
      <c r="D4244" s="3"/>
    </row>
    <row r="4245" spans="1:4">
      <c r="A4245" s="691"/>
      <c r="D4245" s="3"/>
    </row>
    <row r="4246" spans="1:4">
      <c r="A4246" s="691"/>
      <c r="D4246" s="3"/>
    </row>
    <row r="4247" spans="1:4">
      <c r="A4247" s="691"/>
      <c r="D4247" s="3"/>
    </row>
    <row r="4248" spans="1:4">
      <c r="A4248" s="691"/>
      <c r="D4248" s="3"/>
    </row>
    <row r="4249" spans="1:4">
      <c r="A4249" s="691"/>
      <c r="D4249" s="3"/>
    </row>
    <row r="4250" spans="1:4">
      <c r="A4250" s="691"/>
      <c r="D4250" s="3"/>
    </row>
    <row r="4251" spans="1:4">
      <c r="A4251" s="691"/>
      <c r="D4251" s="3"/>
    </row>
    <row r="4252" spans="1:4">
      <c r="A4252" s="691"/>
      <c r="D4252" s="3"/>
    </row>
    <row r="4253" spans="1:4">
      <c r="A4253" s="691"/>
      <c r="D4253" s="3"/>
    </row>
    <row r="4254" spans="1:4">
      <c r="A4254" s="691"/>
      <c r="D4254" s="3"/>
    </row>
    <row r="4255" spans="1:4">
      <c r="A4255" s="691"/>
      <c r="D4255" s="3"/>
    </row>
    <row r="4256" spans="1:4">
      <c r="A4256" s="691"/>
      <c r="D4256" s="3"/>
    </row>
    <row r="4257" spans="1:4">
      <c r="A4257" s="691"/>
      <c r="D4257" s="3"/>
    </row>
    <row r="4258" spans="1:4">
      <c r="A4258" s="691"/>
      <c r="D4258" s="3"/>
    </row>
    <row r="4259" spans="1:4">
      <c r="A4259" s="691"/>
      <c r="D4259" s="3"/>
    </row>
    <row r="4260" spans="1:4">
      <c r="A4260" s="691"/>
      <c r="D4260" s="3"/>
    </row>
    <row r="4261" spans="1:4">
      <c r="A4261" s="691"/>
      <c r="D4261" s="3"/>
    </row>
    <row r="4262" spans="1:4">
      <c r="A4262" s="691"/>
      <c r="D4262" s="3"/>
    </row>
    <row r="4263" spans="1:4">
      <c r="A4263" s="691"/>
      <c r="D4263" s="3"/>
    </row>
    <row r="4264" spans="1:4">
      <c r="A4264" s="691"/>
      <c r="D4264" s="3"/>
    </row>
    <row r="4265" spans="1:4">
      <c r="A4265" s="691"/>
      <c r="D4265" s="3"/>
    </row>
    <row r="4266" spans="1:4">
      <c r="A4266" s="691"/>
      <c r="D4266" s="3"/>
    </row>
    <row r="4267" spans="1:4">
      <c r="A4267" s="691"/>
      <c r="D4267" s="3"/>
    </row>
    <row r="4268" spans="1:4">
      <c r="A4268" s="691"/>
      <c r="D4268" s="3"/>
    </row>
    <row r="4269" spans="1:4">
      <c r="A4269" s="691"/>
      <c r="D4269" s="3"/>
    </row>
    <row r="4270" spans="1:4">
      <c r="A4270" s="691"/>
      <c r="D4270" s="3"/>
    </row>
    <row r="4271" spans="1:4">
      <c r="A4271" s="691"/>
      <c r="D4271" s="3"/>
    </row>
    <row r="4272" spans="1:4">
      <c r="A4272" s="691"/>
      <c r="D4272" s="3"/>
    </row>
    <row r="4273" spans="1:4">
      <c r="A4273" s="691"/>
      <c r="D4273" s="3"/>
    </row>
    <row r="4274" spans="1:4">
      <c r="A4274" s="691"/>
      <c r="D4274" s="3"/>
    </row>
    <row r="4275" spans="1:4">
      <c r="A4275" s="691"/>
      <c r="D4275" s="3"/>
    </row>
    <row r="4276" spans="1:4">
      <c r="A4276" s="691"/>
      <c r="D4276" s="3"/>
    </row>
    <row r="4277" spans="1:4">
      <c r="A4277" s="691"/>
      <c r="D4277" s="3"/>
    </row>
    <row r="4278" spans="1:4">
      <c r="A4278" s="691"/>
      <c r="D4278" s="3"/>
    </row>
    <row r="4279" spans="1:4">
      <c r="A4279" s="691"/>
      <c r="D4279" s="3"/>
    </row>
    <row r="4280" spans="1:4">
      <c r="A4280" s="691"/>
      <c r="D4280" s="3"/>
    </row>
    <row r="4281" spans="1:4">
      <c r="A4281" s="691"/>
      <c r="D4281" s="3"/>
    </row>
    <row r="4282" spans="1:4">
      <c r="A4282" s="691"/>
      <c r="D4282" s="3"/>
    </row>
    <row r="4283" spans="1:4">
      <c r="A4283" s="691"/>
      <c r="D4283" s="3"/>
    </row>
    <row r="4284" spans="1:4">
      <c r="A4284" s="691"/>
      <c r="D4284" s="3"/>
    </row>
    <row r="4285" spans="1:4">
      <c r="A4285" s="691"/>
      <c r="D4285" s="3"/>
    </row>
    <row r="4286" spans="1:4">
      <c r="A4286" s="691"/>
      <c r="D4286" s="3"/>
    </row>
    <row r="4287" spans="1:4">
      <c r="A4287" s="691"/>
      <c r="D4287" s="3"/>
    </row>
    <row r="4288" spans="1:4">
      <c r="A4288" s="691"/>
      <c r="D4288" s="3"/>
    </row>
    <row r="4289" spans="1:4">
      <c r="A4289" s="691"/>
      <c r="D4289" s="3"/>
    </row>
    <row r="4290" spans="1:4">
      <c r="A4290" s="691"/>
      <c r="D4290" s="3"/>
    </row>
    <row r="4291" spans="1:4">
      <c r="A4291" s="691"/>
      <c r="D4291" s="3"/>
    </row>
    <row r="4292" spans="1:4">
      <c r="A4292" s="691"/>
      <c r="D4292" s="3"/>
    </row>
    <row r="4293" spans="1:4">
      <c r="A4293" s="691"/>
      <c r="D4293" s="3"/>
    </row>
    <row r="4294" spans="1:4">
      <c r="A4294" s="691"/>
      <c r="D4294" s="3"/>
    </row>
    <row r="4295" spans="1:4">
      <c r="A4295" s="691"/>
      <c r="D4295" s="3"/>
    </row>
    <row r="4296" spans="1:4">
      <c r="A4296" s="691"/>
      <c r="D4296" s="3"/>
    </row>
    <row r="4297" spans="1:4">
      <c r="A4297" s="691"/>
      <c r="D4297" s="3"/>
    </row>
    <row r="4298" spans="1:4">
      <c r="A4298" s="691"/>
      <c r="D4298" s="3"/>
    </row>
    <row r="4299" spans="1:4">
      <c r="A4299" s="691"/>
      <c r="D4299" s="3"/>
    </row>
    <row r="4300" spans="1:4">
      <c r="A4300" s="691"/>
      <c r="D4300" s="3"/>
    </row>
    <row r="4301" spans="1:4">
      <c r="A4301" s="691"/>
      <c r="D4301" s="3"/>
    </row>
    <row r="4302" spans="1:4">
      <c r="A4302" s="691"/>
      <c r="D4302" s="3"/>
    </row>
    <row r="4303" spans="1:4">
      <c r="A4303" s="691"/>
      <c r="D4303" s="3"/>
    </row>
    <row r="4304" spans="1:4">
      <c r="A4304" s="691"/>
      <c r="D4304" s="3"/>
    </row>
    <row r="4305" spans="1:4">
      <c r="A4305" s="691"/>
      <c r="D4305" s="3"/>
    </row>
    <row r="4306" spans="1:4">
      <c r="A4306" s="691"/>
      <c r="D4306" s="3"/>
    </row>
    <row r="4307" spans="1:4">
      <c r="A4307" s="691"/>
      <c r="D4307" s="3"/>
    </row>
    <row r="4308" spans="1:4">
      <c r="A4308" s="691"/>
      <c r="D4308" s="3"/>
    </row>
    <row r="4309" spans="1:4">
      <c r="A4309" s="691"/>
      <c r="D4309" s="3"/>
    </row>
    <row r="4310" spans="1:4">
      <c r="A4310" s="691"/>
      <c r="D4310" s="3"/>
    </row>
    <row r="4311" spans="1:4">
      <c r="A4311" s="691"/>
      <c r="D4311" s="3"/>
    </row>
    <row r="4312" spans="1:4">
      <c r="A4312" s="691"/>
      <c r="D4312" s="3"/>
    </row>
    <row r="4313" spans="1:4">
      <c r="A4313" s="691"/>
      <c r="D4313" s="3"/>
    </row>
    <row r="4314" spans="1:4">
      <c r="A4314" s="691"/>
      <c r="D4314" s="3"/>
    </row>
    <row r="4315" spans="1:4">
      <c r="A4315" s="691"/>
      <c r="D4315" s="3"/>
    </row>
    <row r="4316" spans="1:4">
      <c r="A4316" s="691"/>
      <c r="D4316" s="3"/>
    </row>
    <row r="4317" spans="1:4">
      <c r="A4317" s="691"/>
      <c r="D4317" s="3"/>
    </row>
    <row r="4318" spans="1:4">
      <c r="A4318" s="691"/>
      <c r="D4318" s="3"/>
    </row>
    <row r="4319" spans="1:4">
      <c r="A4319" s="691"/>
      <c r="D4319" s="3"/>
    </row>
    <row r="4320" spans="1:4">
      <c r="A4320" s="691"/>
      <c r="D4320" s="3"/>
    </row>
    <row r="4321" spans="1:4">
      <c r="A4321" s="691"/>
      <c r="D4321" s="3"/>
    </row>
    <row r="4322" spans="1:4">
      <c r="A4322" s="691"/>
      <c r="D4322" s="3"/>
    </row>
    <row r="4323" spans="1:4">
      <c r="A4323" s="691"/>
      <c r="D4323" s="3"/>
    </row>
    <row r="4324" spans="1:4">
      <c r="A4324" s="691"/>
      <c r="D4324" s="3"/>
    </row>
    <row r="4325" spans="1:4">
      <c r="A4325" s="691"/>
      <c r="D4325" s="3"/>
    </row>
    <row r="4326" spans="1:4">
      <c r="A4326" s="691"/>
      <c r="D4326" s="3"/>
    </row>
    <row r="4327" spans="1:4">
      <c r="A4327" s="691"/>
      <c r="D4327" s="3"/>
    </row>
    <row r="4328" spans="1:4">
      <c r="A4328" s="691"/>
      <c r="D4328" s="3"/>
    </row>
    <row r="4329" spans="1:4">
      <c r="A4329" s="691"/>
      <c r="D4329" s="3"/>
    </row>
    <row r="4330" spans="1:4">
      <c r="A4330" s="691"/>
      <c r="D4330" s="3"/>
    </row>
    <row r="4331" spans="1:4">
      <c r="A4331" s="691"/>
      <c r="D4331" s="3"/>
    </row>
    <row r="4332" spans="1:4">
      <c r="A4332" s="691"/>
      <c r="D4332" s="3"/>
    </row>
    <row r="4333" spans="1:4">
      <c r="A4333" s="691"/>
      <c r="D4333" s="3"/>
    </row>
    <row r="4334" spans="1:4">
      <c r="A4334" s="691"/>
      <c r="D4334" s="3"/>
    </row>
    <row r="4335" spans="1:4">
      <c r="A4335" s="691"/>
      <c r="D4335" s="3"/>
    </row>
    <row r="4336" spans="1:4">
      <c r="A4336" s="691"/>
      <c r="D4336" s="3"/>
    </row>
    <row r="4337" spans="1:4">
      <c r="A4337" s="691"/>
      <c r="D4337" s="3"/>
    </row>
    <row r="4338" spans="1:4">
      <c r="A4338" s="691"/>
      <c r="D4338" s="3"/>
    </row>
    <row r="4339" spans="1:4">
      <c r="A4339" s="691"/>
      <c r="D4339" s="3"/>
    </row>
    <row r="4340" spans="1:4">
      <c r="A4340" s="691"/>
      <c r="D4340" s="3"/>
    </row>
    <row r="4341" spans="1:4">
      <c r="A4341" s="691"/>
      <c r="D4341" s="3"/>
    </row>
    <row r="4342" spans="1:4">
      <c r="A4342" s="691"/>
      <c r="D4342" s="3"/>
    </row>
    <row r="4343" spans="1:4">
      <c r="A4343" s="691"/>
      <c r="D4343" s="3"/>
    </row>
    <row r="4344" spans="1:4">
      <c r="A4344" s="691"/>
      <c r="D4344" s="3"/>
    </row>
    <row r="4345" spans="1:4">
      <c r="A4345" s="691"/>
      <c r="D4345" s="3"/>
    </row>
    <row r="4346" spans="1:4">
      <c r="A4346" s="691"/>
      <c r="D4346" s="3"/>
    </row>
    <row r="4347" spans="1:4">
      <c r="A4347" s="691"/>
      <c r="D4347" s="3"/>
    </row>
    <row r="4348" spans="1:4">
      <c r="A4348" s="691"/>
      <c r="D4348" s="3"/>
    </row>
    <row r="4349" spans="1:4">
      <c r="A4349" s="691"/>
      <c r="D4349" s="3"/>
    </row>
    <row r="4350" spans="1:4">
      <c r="A4350" s="691"/>
      <c r="D4350" s="3"/>
    </row>
    <row r="4351" spans="1:4">
      <c r="A4351" s="691"/>
      <c r="D4351" s="3"/>
    </row>
    <row r="4352" spans="1:4">
      <c r="A4352" s="691"/>
      <c r="D4352" s="3"/>
    </row>
    <row r="4353" spans="1:4">
      <c r="A4353" s="691"/>
      <c r="D4353" s="3"/>
    </row>
    <row r="4354" spans="1:4">
      <c r="A4354" s="691"/>
      <c r="D4354" s="3"/>
    </row>
    <row r="4355" spans="1:4">
      <c r="A4355" s="691"/>
      <c r="D4355" s="3"/>
    </row>
    <row r="4356" spans="1:4">
      <c r="A4356" s="691"/>
      <c r="D4356" s="3"/>
    </row>
    <row r="4357" spans="1:4">
      <c r="A4357" s="691"/>
      <c r="D4357" s="3"/>
    </row>
    <row r="4358" spans="1:4">
      <c r="A4358" s="691"/>
      <c r="D4358" s="3"/>
    </row>
    <row r="4359" spans="1:4">
      <c r="A4359" s="691"/>
      <c r="D4359" s="3"/>
    </row>
    <row r="4360" spans="1:4">
      <c r="A4360" s="691"/>
      <c r="D4360" s="3"/>
    </row>
    <row r="4361" spans="1:4">
      <c r="A4361" s="691"/>
      <c r="D4361" s="3"/>
    </row>
    <row r="4362" spans="1:4">
      <c r="A4362" s="691"/>
      <c r="D4362" s="3"/>
    </row>
    <row r="4363" spans="1:4">
      <c r="A4363" s="691"/>
      <c r="D4363" s="3"/>
    </row>
    <row r="4364" spans="1:4">
      <c r="A4364" s="691"/>
      <c r="D4364" s="3"/>
    </row>
    <row r="4365" spans="1:4">
      <c r="A4365" s="691"/>
      <c r="D4365" s="3"/>
    </row>
    <row r="4366" spans="1:4">
      <c r="A4366" s="691"/>
      <c r="D4366" s="3"/>
    </row>
    <row r="4367" spans="1:4">
      <c r="A4367" s="691"/>
      <c r="D4367" s="3"/>
    </row>
    <row r="4368" spans="1:4">
      <c r="A4368" s="691"/>
      <c r="D4368" s="3"/>
    </row>
    <row r="4369" spans="1:4">
      <c r="A4369" s="691"/>
      <c r="D4369" s="3"/>
    </row>
    <row r="4370" spans="1:4">
      <c r="A4370" s="691"/>
      <c r="D4370" s="3"/>
    </row>
    <row r="4371" spans="1:4">
      <c r="A4371" s="691"/>
      <c r="D4371" s="3"/>
    </row>
    <row r="4372" spans="1:4">
      <c r="A4372" s="691"/>
      <c r="D4372" s="3"/>
    </row>
    <row r="4373" spans="1:4">
      <c r="A4373" s="691"/>
      <c r="D4373" s="3"/>
    </row>
    <row r="4374" spans="1:4">
      <c r="A4374" s="691"/>
      <c r="D4374" s="3"/>
    </row>
    <row r="4375" spans="1:4">
      <c r="A4375" s="691"/>
      <c r="D4375" s="3"/>
    </row>
    <row r="4376" spans="1:4">
      <c r="A4376" s="691"/>
      <c r="D4376" s="3"/>
    </row>
    <row r="4377" spans="1:4">
      <c r="A4377" s="691"/>
      <c r="D4377" s="3"/>
    </row>
    <row r="4378" spans="1:4">
      <c r="A4378" s="691"/>
      <c r="D4378" s="3"/>
    </row>
    <row r="4379" spans="1:4">
      <c r="A4379" s="691"/>
      <c r="D4379" s="3"/>
    </row>
    <row r="4380" spans="1:4">
      <c r="A4380" s="691"/>
      <c r="D4380" s="3"/>
    </row>
    <row r="4381" spans="1:4">
      <c r="A4381" s="691"/>
      <c r="D4381" s="3"/>
    </row>
    <row r="4382" spans="1:4">
      <c r="A4382" s="691"/>
      <c r="D4382" s="3"/>
    </row>
    <row r="4383" spans="1:4">
      <c r="A4383" s="691"/>
      <c r="D4383" s="3"/>
    </row>
    <row r="4384" spans="1:4">
      <c r="A4384" s="691"/>
      <c r="D4384" s="3"/>
    </row>
    <row r="4385" spans="1:4">
      <c r="A4385" s="691"/>
      <c r="D4385" s="3"/>
    </row>
    <row r="4386" spans="1:4">
      <c r="A4386" s="691"/>
      <c r="D4386" s="3"/>
    </row>
    <row r="4387" spans="1:4">
      <c r="A4387" s="691"/>
      <c r="D4387" s="3"/>
    </row>
    <row r="4388" spans="1:4">
      <c r="A4388" s="691"/>
      <c r="D4388" s="3"/>
    </row>
    <row r="4389" spans="1:4">
      <c r="A4389" s="691"/>
      <c r="D4389" s="3"/>
    </row>
    <row r="4390" spans="1:4">
      <c r="A4390" s="691"/>
      <c r="D4390" s="3"/>
    </row>
    <row r="4391" spans="1:4">
      <c r="A4391" s="691"/>
      <c r="D4391" s="3"/>
    </row>
    <row r="4392" spans="1:4">
      <c r="A4392" s="691"/>
      <c r="D4392" s="3"/>
    </row>
    <row r="4393" spans="1:4">
      <c r="A4393" s="691"/>
      <c r="D4393" s="3"/>
    </row>
    <row r="4394" spans="1:4">
      <c r="A4394" s="691"/>
      <c r="D4394" s="3"/>
    </row>
    <row r="4395" spans="1:4">
      <c r="A4395" s="691"/>
      <c r="D4395" s="3"/>
    </row>
    <row r="4396" spans="1:4">
      <c r="A4396" s="691"/>
      <c r="D4396" s="3"/>
    </row>
    <row r="4397" spans="1:4">
      <c r="A4397" s="691"/>
      <c r="D4397" s="3"/>
    </row>
    <row r="4398" spans="1:4">
      <c r="A4398" s="691"/>
      <c r="D4398" s="3"/>
    </row>
    <row r="4399" spans="1:4">
      <c r="A4399" s="691"/>
      <c r="D4399" s="3"/>
    </row>
    <row r="4400" spans="1:4">
      <c r="A4400" s="691"/>
      <c r="D4400" s="3"/>
    </row>
    <row r="4401" spans="1:4">
      <c r="A4401" s="691"/>
      <c r="D4401" s="3"/>
    </row>
    <row r="4402" spans="1:4">
      <c r="A4402" s="691"/>
      <c r="D4402" s="3"/>
    </row>
    <row r="4403" spans="1:4">
      <c r="A4403" s="691"/>
      <c r="D4403" s="3"/>
    </row>
    <row r="4404" spans="1:4">
      <c r="A4404" s="691"/>
      <c r="D4404" s="3"/>
    </row>
    <row r="4405" spans="1:4">
      <c r="A4405" s="691"/>
      <c r="D4405" s="3"/>
    </row>
    <row r="4406" spans="1:4">
      <c r="A4406" s="691"/>
      <c r="D4406" s="3"/>
    </row>
    <row r="4407" spans="1:4">
      <c r="A4407" s="691"/>
      <c r="D4407" s="3"/>
    </row>
    <row r="4408" spans="1:4">
      <c r="A4408" s="691"/>
      <c r="D4408" s="3"/>
    </row>
    <row r="4409" spans="1:4">
      <c r="A4409" s="691"/>
      <c r="D4409" s="3"/>
    </row>
    <row r="4410" spans="1:4">
      <c r="A4410" s="691"/>
      <c r="D4410" s="3"/>
    </row>
    <row r="4411" spans="1:4">
      <c r="A4411" s="691"/>
      <c r="D4411" s="3"/>
    </row>
    <row r="4412" spans="1:4">
      <c r="A4412" s="691"/>
      <c r="D4412" s="3"/>
    </row>
    <row r="4413" spans="1:4">
      <c r="A4413" s="691"/>
      <c r="D4413" s="3"/>
    </row>
    <row r="4414" spans="1:4">
      <c r="A4414" s="691"/>
      <c r="D4414" s="3"/>
    </row>
    <row r="4415" spans="1:4">
      <c r="A4415" s="691"/>
      <c r="D4415" s="3"/>
    </row>
    <row r="4416" spans="1:4">
      <c r="A4416" s="691"/>
      <c r="D4416" s="3"/>
    </row>
    <row r="4417" spans="1:4">
      <c r="A4417" s="691"/>
      <c r="D4417" s="3"/>
    </row>
    <row r="4418" spans="1:4">
      <c r="A4418" s="691"/>
      <c r="D4418" s="3"/>
    </row>
    <row r="4419" spans="1:4">
      <c r="A4419" s="691"/>
      <c r="D4419" s="3"/>
    </row>
    <row r="4420" spans="1:4">
      <c r="A4420" s="691"/>
      <c r="D4420" s="3"/>
    </row>
    <row r="4421" spans="1:4">
      <c r="A4421" s="691"/>
      <c r="D4421" s="3"/>
    </row>
    <row r="4422" spans="1:4">
      <c r="A4422" s="691"/>
      <c r="D4422" s="3"/>
    </row>
    <row r="4423" spans="1:4">
      <c r="A4423" s="691"/>
      <c r="D4423" s="3"/>
    </row>
    <row r="4424" spans="1:4">
      <c r="A4424" s="691"/>
      <c r="D4424" s="3"/>
    </row>
    <row r="4425" spans="1:4">
      <c r="A4425" s="691"/>
      <c r="D4425" s="3"/>
    </row>
    <row r="4426" spans="1:4">
      <c r="A4426" s="691"/>
      <c r="D4426" s="3"/>
    </row>
    <row r="4427" spans="1:4">
      <c r="A4427" s="691"/>
      <c r="D4427" s="3"/>
    </row>
    <row r="4428" spans="1:4">
      <c r="A4428" s="691"/>
      <c r="D4428" s="3"/>
    </row>
    <row r="4429" spans="1:4">
      <c r="A4429" s="691"/>
      <c r="D4429" s="3"/>
    </row>
    <row r="4430" spans="1:4">
      <c r="A4430" s="691"/>
      <c r="D4430" s="3"/>
    </row>
    <row r="4431" spans="1:4">
      <c r="A4431" s="691"/>
      <c r="D4431" s="3"/>
    </row>
    <row r="4432" spans="1:4">
      <c r="A4432" s="691"/>
      <c r="D4432" s="3"/>
    </row>
    <row r="4433" spans="1:4">
      <c r="A4433" s="691"/>
      <c r="D4433" s="3"/>
    </row>
    <row r="4434" spans="1:4">
      <c r="A4434" s="691"/>
      <c r="D4434" s="3"/>
    </row>
    <row r="4435" spans="1:4">
      <c r="A4435" s="691"/>
      <c r="D4435" s="3"/>
    </row>
    <row r="4436" spans="1:4">
      <c r="A4436" s="691"/>
      <c r="D4436" s="3"/>
    </row>
    <row r="4437" spans="1:4">
      <c r="A4437" s="691"/>
      <c r="D4437" s="3"/>
    </row>
    <row r="4438" spans="1:4">
      <c r="A4438" s="691"/>
      <c r="D4438" s="3"/>
    </row>
    <row r="4439" spans="1:4">
      <c r="A4439" s="691"/>
      <c r="D4439" s="3"/>
    </row>
    <row r="4440" spans="1:4">
      <c r="A4440" s="691"/>
      <c r="D4440" s="3"/>
    </row>
    <row r="4441" spans="1:4">
      <c r="A4441" s="691"/>
      <c r="D4441" s="3"/>
    </row>
    <row r="4442" spans="1:4">
      <c r="A4442" s="691"/>
      <c r="D4442" s="3"/>
    </row>
    <row r="4443" spans="1:4">
      <c r="A4443" s="691"/>
      <c r="D4443" s="3"/>
    </row>
    <row r="4444" spans="1:4">
      <c r="A4444" s="691"/>
      <c r="D4444" s="3"/>
    </row>
    <row r="4445" spans="1:4">
      <c r="A4445" s="691"/>
      <c r="D4445" s="3"/>
    </row>
    <row r="4446" spans="1:4">
      <c r="A4446" s="691"/>
      <c r="D4446" s="3"/>
    </row>
    <row r="4447" spans="1:4">
      <c r="A4447" s="691"/>
      <c r="D4447" s="3"/>
    </row>
    <row r="4448" spans="1:4">
      <c r="A4448" s="691"/>
      <c r="D4448" s="3"/>
    </row>
    <row r="4449" spans="1:4">
      <c r="A4449" s="691"/>
      <c r="D4449" s="3"/>
    </row>
    <row r="4450" spans="1:4">
      <c r="A4450" s="691"/>
      <c r="D4450" s="3"/>
    </row>
    <row r="4451" spans="1:4">
      <c r="A4451" s="691"/>
      <c r="D4451" s="3"/>
    </row>
    <row r="4452" spans="1:4">
      <c r="A4452" s="691"/>
      <c r="D4452" s="3"/>
    </row>
    <row r="4453" spans="1:4">
      <c r="A4453" s="691"/>
      <c r="D4453" s="3"/>
    </row>
    <row r="4454" spans="1:4">
      <c r="A4454" s="691"/>
      <c r="D4454" s="3"/>
    </row>
    <row r="4455" spans="1:4">
      <c r="A4455" s="691"/>
      <c r="D4455" s="3"/>
    </row>
    <row r="4456" spans="1:4">
      <c r="A4456" s="691"/>
      <c r="D4456" s="3"/>
    </row>
    <row r="4457" spans="1:4">
      <c r="A4457" s="691"/>
      <c r="D4457" s="3"/>
    </row>
    <row r="4458" spans="1:4">
      <c r="A4458" s="691"/>
      <c r="D4458" s="3"/>
    </row>
    <row r="4459" spans="1:4">
      <c r="A4459" s="691"/>
      <c r="D4459" s="3"/>
    </row>
    <row r="4460" spans="1:4">
      <c r="A4460" s="691"/>
      <c r="D4460" s="3"/>
    </row>
    <row r="4461" spans="1:4">
      <c r="A4461" s="691"/>
      <c r="D4461" s="3"/>
    </row>
    <row r="4462" spans="1:4">
      <c r="A4462" s="691"/>
      <c r="D4462" s="3"/>
    </row>
    <row r="4463" spans="1:4">
      <c r="A4463" s="691"/>
      <c r="D4463" s="3"/>
    </row>
    <row r="4464" spans="1:4">
      <c r="A4464" s="691"/>
      <c r="D4464" s="3"/>
    </row>
    <row r="4465" spans="1:4">
      <c r="A4465" s="691"/>
      <c r="D4465" s="3"/>
    </row>
    <row r="4466" spans="1:4">
      <c r="A4466" s="691"/>
      <c r="D4466" s="3"/>
    </row>
    <row r="4467" spans="1:4">
      <c r="A4467" s="691"/>
      <c r="D4467" s="3"/>
    </row>
    <row r="4468" spans="1:4">
      <c r="A4468" s="691"/>
      <c r="D4468" s="3"/>
    </row>
    <row r="4469" spans="1:4">
      <c r="A4469" s="691"/>
      <c r="D4469" s="3"/>
    </row>
    <row r="4470" spans="1:4">
      <c r="A4470" s="691"/>
      <c r="D4470" s="3"/>
    </row>
    <row r="4471" spans="1:4">
      <c r="A4471" s="691"/>
      <c r="D4471" s="3"/>
    </row>
    <row r="4472" spans="1:4">
      <c r="A4472" s="691"/>
      <c r="D4472" s="3"/>
    </row>
    <row r="4473" spans="1:4">
      <c r="A4473" s="691"/>
      <c r="D4473" s="3"/>
    </row>
    <row r="4474" spans="1:4">
      <c r="A4474" s="691"/>
      <c r="D4474" s="3"/>
    </row>
    <row r="4475" spans="1:4">
      <c r="A4475" s="691"/>
      <c r="D4475" s="3"/>
    </row>
    <row r="4476" spans="1:4">
      <c r="A4476" s="691"/>
      <c r="D4476" s="3"/>
    </row>
    <row r="4477" spans="1:4">
      <c r="A4477" s="691"/>
      <c r="D4477" s="3"/>
    </row>
    <row r="4478" spans="1:4">
      <c r="A4478" s="691"/>
      <c r="D4478" s="3"/>
    </row>
    <row r="4479" spans="1:4">
      <c r="A4479" s="691"/>
      <c r="D4479" s="3"/>
    </row>
    <row r="4480" spans="1:4">
      <c r="A4480" s="691"/>
      <c r="D4480" s="3"/>
    </row>
    <row r="4481" spans="1:4">
      <c r="A4481" s="691"/>
      <c r="D4481" s="3"/>
    </row>
    <row r="4482" spans="1:4">
      <c r="A4482" s="691"/>
      <c r="D4482" s="3"/>
    </row>
    <row r="4483" spans="1:4">
      <c r="A4483" s="691"/>
      <c r="D4483" s="3"/>
    </row>
    <row r="4484" spans="1:4">
      <c r="A4484" s="691"/>
      <c r="D4484" s="3"/>
    </row>
    <row r="4485" spans="1:4">
      <c r="A4485" s="691"/>
      <c r="D4485" s="3"/>
    </row>
    <row r="4486" spans="1:4">
      <c r="A4486" s="691"/>
      <c r="D4486" s="3"/>
    </row>
    <row r="4487" spans="1:4">
      <c r="A4487" s="691"/>
      <c r="D4487" s="3"/>
    </row>
    <row r="4488" spans="1:4">
      <c r="A4488" s="691"/>
      <c r="D4488" s="3"/>
    </row>
    <row r="4489" spans="1:4">
      <c r="A4489" s="691"/>
      <c r="D4489" s="3"/>
    </row>
    <row r="4490" spans="1:4">
      <c r="A4490" s="691"/>
      <c r="D4490" s="3"/>
    </row>
    <row r="4491" spans="1:4">
      <c r="A4491" s="691"/>
      <c r="D4491" s="3"/>
    </row>
    <row r="4492" spans="1:4">
      <c r="A4492" s="691"/>
      <c r="D4492" s="3"/>
    </row>
    <row r="4493" spans="1:4">
      <c r="A4493" s="691"/>
      <c r="D4493" s="3"/>
    </row>
    <row r="4494" spans="1:4">
      <c r="A4494" s="691"/>
      <c r="D4494" s="3"/>
    </row>
    <row r="4495" spans="1:4">
      <c r="A4495" s="691"/>
      <c r="D4495" s="3"/>
    </row>
    <row r="4496" spans="1:4">
      <c r="A4496" s="691"/>
      <c r="D4496" s="3"/>
    </row>
    <row r="4497" spans="1:4">
      <c r="A4497" s="691"/>
      <c r="D4497" s="3"/>
    </row>
    <row r="4498" spans="1:4">
      <c r="A4498" s="691"/>
      <c r="D4498" s="3"/>
    </row>
    <row r="4499" spans="1:4">
      <c r="A4499" s="691"/>
      <c r="D4499" s="3"/>
    </row>
    <row r="4500" spans="1:4">
      <c r="A4500" s="691"/>
      <c r="D4500" s="3"/>
    </row>
    <row r="4501" spans="1:4">
      <c r="A4501" s="691"/>
      <c r="D4501" s="3"/>
    </row>
    <row r="4502" spans="1:4">
      <c r="A4502" s="691"/>
      <c r="D4502" s="3"/>
    </row>
    <row r="4503" spans="1:4">
      <c r="A4503" s="691"/>
      <c r="D4503" s="3"/>
    </row>
    <row r="4504" spans="1:4">
      <c r="A4504" s="691"/>
      <c r="D4504" s="3"/>
    </row>
    <row r="4505" spans="1:4">
      <c r="A4505" s="691"/>
      <c r="D4505" s="3"/>
    </row>
    <row r="4506" spans="1:4">
      <c r="A4506" s="691"/>
      <c r="D4506" s="3"/>
    </row>
    <row r="4507" spans="1:4">
      <c r="A4507" s="691"/>
      <c r="D4507" s="3"/>
    </row>
    <row r="4508" spans="1:4">
      <c r="A4508" s="691"/>
      <c r="D4508" s="3"/>
    </row>
    <row r="4509" spans="1:4">
      <c r="A4509" s="691"/>
      <c r="D4509" s="3"/>
    </row>
    <row r="4510" spans="1:4">
      <c r="A4510" s="691"/>
      <c r="D4510" s="3"/>
    </row>
    <row r="4511" spans="1:4">
      <c r="A4511" s="691"/>
      <c r="D4511" s="3"/>
    </row>
    <row r="4512" spans="1:4">
      <c r="A4512" s="691"/>
      <c r="D4512" s="3"/>
    </row>
    <row r="4513" spans="1:4">
      <c r="A4513" s="691"/>
      <c r="D4513" s="3"/>
    </row>
    <row r="4514" spans="1:4">
      <c r="A4514" s="691"/>
      <c r="D4514" s="3"/>
    </row>
    <row r="4515" spans="1:4">
      <c r="A4515" s="691"/>
      <c r="D4515" s="3"/>
    </row>
    <row r="4516" spans="1:4">
      <c r="A4516" s="691"/>
      <c r="D4516" s="3"/>
    </row>
    <row r="4517" spans="1:4">
      <c r="A4517" s="691"/>
      <c r="D4517" s="3"/>
    </row>
    <row r="4518" spans="1:4">
      <c r="A4518" s="691"/>
      <c r="D4518" s="3"/>
    </row>
    <row r="4519" spans="1:4">
      <c r="A4519" s="691"/>
      <c r="D4519" s="3"/>
    </row>
    <row r="4520" spans="1:4">
      <c r="A4520" s="691"/>
      <c r="D4520" s="3"/>
    </row>
    <row r="4521" spans="1:4">
      <c r="A4521" s="691"/>
      <c r="D4521" s="3"/>
    </row>
    <row r="4522" spans="1:4">
      <c r="A4522" s="691"/>
      <c r="D4522" s="3"/>
    </row>
    <row r="4523" spans="1:4">
      <c r="A4523" s="691"/>
      <c r="D4523" s="3"/>
    </row>
    <row r="4524" spans="1:4">
      <c r="A4524" s="691"/>
      <c r="D4524" s="3"/>
    </row>
    <row r="4525" spans="1:4">
      <c r="A4525" s="691"/>
      <c r="D4525" s="3"/>
    </row>
    <row r="4526" spans="1:4">
      <c r="A4526" s="691"/>
      <c r="D4526" s="3"/>
    </row>
    <row r="4527" spans="1:4">
      <c r="A4527" s="691"/>
      <c r="D4527" s="3"/>
    </row>
    <row r="4528" spans="1:4">
      <c r="A4528" s="691"/>
      <c r="D4528" s="3"/>
    </row>
    <row r="4529" spans="1:4">
      <c r="A4529" s="691"/>
      <c r="D4529" s="3"/>
    </row>
    <row r="4530" spans="1:4">
      <c r="A4530" s="691"/>
      <c r="D4530" s="3"/>
    </row>
    <row r="4531" spans="1:4">
      <c r="A4531" s="691"/>
      <c r="D4531" s="3"/>
    </row>
    <row r="4532" spans="1:4">
      <c r="A4532" s="691"/>
      <c r="D4532" s="3"/>
    </row>
    <row r="4533" spans="1:4">
      <c r="A4533" s="691"/>
      <c r="D4533" s="3"/>
    </row>
    <row r="4534" spans="1:4">
      <c r="A4534" s="691"/>
      <c r="D4534" s="3"/>
    </row>
    <row r="4535" spans="1:4">
      <c r="A4535" s="691"/>
      <c r="D4535" s="3"/>
    </row>
    <row r="4536" spans="1:4">
      <c r="A4536" s="691"/>
      <c r="D4536" s="3"/>
    </row>
    <row r="4537" spans="1:4">
      <c r="A4537" s="691"/>
      <c r="D4537" s="3"/>
    </row>
    <row r="4538" spans="1:4">
      <c r="A4538" s="691"/>
      <c r="D4538" s="3"/>
    </row>
    <row r="4539" spans="1:4">
      <c r="A4539" s="691"/>
      <c r="D4539" s="3"/>
    </row>
    <row r="4540" spans="1:4">
      <c r="A4540" s="691"/>
      <c r="D4540" s="3"/>
    </row>
    <row r="4541" spans="1:4">
      <c r="A4541" s="691"/>
      <c r="D4541" s="3"/>
    </row>
    <row r="4542" spans="1:4">
      <c r="A4542" s="691"/>
      <c r="D4542" s="3"/>
    </row>
    <row r="4543" spans="1:4">
      <c r="A4543" s="691"/>
      <c r="D4543" s="3"/>
    </row>
    <row r="4544" spans="1:4">
      <c r="A4544" s="691"/>
      <c r="D4544" s="3"/>
    </row>
    <row r="4545" spans="1:4">
      <c r="A4545" s="691"/>
      <c r="D4545" s="3"/>
    </row>
    <row r="4546" spans="1:4">
      <c r="A4546" s="691"/>
      <c r="D4546" s="3"/>
    </row>
    <row r="4547" spans="1:4">
      <c r="A4547" s="691"/>
      <c r="D4547" s="3"/>
    </row>
    <row r="4548" spans="1:4">
      <c r="A4548" s="691"/>
      <c r="D4548" s="3"/>
    </row>
    <row r="4549" spans="1:4">
      <c r="A4549" s="691"/>
      <c r="D4549" s="3"/>
    </row>
    <row r="4550" spans="1:4">
      <c r="A4550" s="691"/>
      <c r="D4550" s="3"/>
    </row>
    <row r="4551" spans="1:4">
      <c r="A4551" s="691"/>
      <c r="D4551" s="3"/>
    </row>
    <row r="4552" spans="1:4">
      <c r="A4552" s="691"/>
      <c r="D4552" s="3"/>
    </row>
    <row r="4553" spans="1:4">
      <c r="A4553" s="691"/>
      <c r="D4553" s="3"/>
    </row>
    <row r="4554" spans="1:4">
      <c r="A4554" s="691"/>
      <c r="D4554" s="3"/>
    </row>
    <row r="4555" spans="1:4">
      <c r="A4555" s="691"/>
      <c r="D4555" s="3"/>
    </row>
    <row r="4556" spans="1:4">
      <c r="A4556" s="691"/>
      <c r="D4556" s="3"/>
    </row>
    <row r="4557" spans="1:4">
      <c r="A4557" s="691"/>
      <c r="D4557" s="3"/>
    </row>
    <row r="4558" spans="1:4">
      <c r="A4558" s="691"/>
      <c r="D4558" s="3"/>
    </row>
    <row r="4559" spans="1:4">
      <c r="A4559" s="691"/>
      <c r="D4559" s="3"/>
    </row>
    <row r="4560" spans="1:4">
      <c r="A4560" s="691"/>
      <c r="D4560" s="3"/>
    </row>
    <row r="4561" spans="1:4">
      <c r="A4561" s="691"/>
      <c r="D4561" s="3"/>
    </row>
    <row r="4562" spans="1:4">
      <c r="A4562" s="691"/>
      <c r="D4562" s="3"/>
    </row>
    <row r="4563" spans="1:4">
      <c r="A4563" s="691"/>
      <c r="D4563" s="3"/>
    </row>
    <row r="4564" spans="1:4">
      <c r="A4564" s="691"/>
      <c r="D4564" s="3"/>
    </row>
    <row r="4565" spans="1:4">
      <c r="A4565" s="691"/>
      <c r="D4565" s="3"/>
    </row>
    <row r="4566" spans="1:4">
      <c r="A4566" s="691"/>
      <c r="D4566" s="3"/>
    </row>
    <row r="4567" spans="1:4">
      <c r="A4567" s="691"/>
      <c r="D4567" s="3"/>
    </row>
    <row r="4568" spans="1:4">
      <c r="A4568" s="691"/>
      <c r="D4568" s="3"/>
    </row>
    <row r="4569" spans="1:4">
      <c r="A4569" s="691"/>
      <c r="D4569" s="3"/>
    </row>
    <row r="4570" spans="1:4">
      <c r="A4570" s="691"/>
      <c r="D4570" s="3"/>
    </row>
    <row r="4571" spans="1:4">
      <c r="A4571" s="691"/>
      <c r="D4571" s="3"/>
    </row>
    <row r="4572" spans="1:4">
      <c r="A4572" s="691"/>
      <c r="D4572" s="3"/>
    </row>
    <row r="4573" spans="1:4">
      <c r="A4573" s="691"/>
      <c r="D4573" s="3"/>
    </row>
    <row r="4574" spans="1:4">
      <c r="A4574" s="691"/>
      <c r="D4574" s="3"/>
    </row>
    <row r="4575" spans="1:4">
      <c r="A4575" s="691"/>
      <c r="D4575" s="3"/>
    </row>
    <row r="4576" spans="1:4">
      <c r="A4576" s="691"/>
      <c r="D4576" s="3"/>
    </row>
    <row r="4577" spans="1:4">
      <c r="A4577" s="691"/>
      <c r="D4577" s="3"/>
    </row>
    <row r="4578" spans="1:4">
      <c r="A4578" s="691"/>
      <c r="D4578" s="3"/>
    </row>
    <row r="4579" spans="1:4">
      <c r="A4579" s="691"/>
      <c r="D4579" s="3"/>
    </row>
    <row r="4580" spans="1:4">
      <c r="A4580" s="691"/>
      <c r="D4580" s="3"/>
    </row>
    <row r="4581" spans="1:4">
      <c r="A4581" s="691"/>
      <c r="D4581" s="3"/>
    </row>
    <row r="4582" spans="1:4">
      <c r="A4582" s="691"/>
      <c r="D4582" s="3"/>
    </row>
    <row r="4583" spans="1:4">
      <c r="A4583" s="691"/>
      <c r="D4583" s="3"/>
    </row>
    <row r="4584" spans="1:4">
      <c r="A4584" s="691"/>
      <c r="D4584" s="3"/>
    </row>
    <row r="4585" spans="1:4">
      <c r="A4585" s="691"/>
      <c r="D4585" s="3"/>
    </row>
    <row r="4586" spans="1:4">
      <c r="A4586" s="691"/>
      <c r="D4586" s="3"/>
    </row>
    <row r="4587" spans="1:4">
      <c r="A4587" s="691"/>
      <c r="D4587" s="3"/>
    </row>
    <row r="4588" spans="1:4">
      <c r="A4588" s="691"/>
      <c r="D4588" s="3"/>
    </row>
    <row r="4589" spans="1:4">
      <c r="A4589" s="691"/>
      <c r="D4589" s="3"/>
    </row>
    <row r="4590" spans="1:4">
      <c r="A4590" s="691"/>
      <c r="D4590" s="3"/>
    </row>
    <row r="4591" spans="1:4">
      <c r="A4591" s="691"/>
      <c r="D4591" s="3"/>
    </row>
    <row r="4592" spans="1:4">
      <c r="A4592" s="691"/>
      <c r="D4592" s="3"/>
    </row>
    <row r="4593" spans="1:4">
      <c r="A4593" s="691"/>
      <c r="D4593" s="3"/>
    </row>
    <row r="4594" spans="1:4">
      <c r="A4594" s="691"/>
      <c r="D4594" s="3"/>
    </row>
    <row r="4595" spans="1:4">
      <c r="A4595" s="691"/>
      <c r="D4595" s="3"/>
    </row>
    <row r="4596" spans="1:4">
      <c r="A4596" s="691"/>
      <c r="D4596" s="3"/>
    </row>
    <row r="4597" spans="1:4">
      <c r="A4597" s="691"/>
      <c r="D4597" s="3"/>
    </row>
    <row r="4598" spans="1:4">
      <c r="A4598" s="691"/>
      <c r="D4598" s="3"/>
    </row>
    <row r="4599" spans="1:4">
      <c r="A4599" s="691"/>
      <c r="D4599" s="3"/>
    </row>
    <row r="4600" spans="1:4">
      <c r="A4600" s="691"/>
      <c r="D4600" s="3"/>
    </row>
    <row r="4601" spans="1:4">
      <c r="A4601" s="691"/>
      <c r="D4601" s="3"/>
    </row>
    <row r="4602" spans="1:4">
      <c r="A4602" s="691"/>
      <c r="D4602" s="3"/>
    </row>
    <row r="4603" spans="1:4">
      <c r="A4603" s="691"/>
      <c r="D4603" s="3"/>
    </row>
    <row r="4604" spans="1:4">
      <c r="A4604" s="691"/>
      <c r="D4604" s="3"/>
    </row>
    <row r="4605" spans="1:4">
      <c r="A4605" s="691"/>
      <c r="D4605" s="3"/>
    </row>
    <row r="4606" spans="1:4">
      <c r="A4606" s="691"/>
      <c r="D4606" s="3"/>
    </row>
    <row r="4607" spans="1:4">
      <c r="A4607" s="691"/>
      <c r="D4607" s="3"/>
    </row>
    <row r="4608" spans="1:4">
      <c r="A4608" s="691"/>
      <c r="D4608" s="3"/>
    </row>
    <row r="4609" spans="1:4">
      <c r="A4609" s="691"/>
      <c r="D4609" s="3"/>
    </row>
    <row r="4610" spans="1:4">
      <c r="A4610" s="691"/>
      <c r="D4610" s="3"/>
    </row>
    <row r="4611" spans="1:4">
      <c r="A4611" s="691"/>
      <c r="D4611" s="3"/>
    </row>
    <row r="4612" spans="1:4">
      <c r="A4612" s="691"/>
      <c r="D4612" s="3"/>
    </row>
    <row r="4613" spans="1:4">
      <c r="A4613" s="691"/>
      <c r="D4613" s="3"/>
    </row>
    <row r="4614" spans="1:4">
      <c r="A4614" s="691"/>
      <c r="D4614" s="3"/>
    </row>
    <row r="4615" spans="1:4">
      <c r="A4615" s="691"/>
      <c r="D4615" s="3"/>
    </row>
    <row r="4616" spans="1:4">
      <c r="A4616" s="691"/>
      <c r="D4616" s="3"/>
    </row>
    <row r="4617" spans="1:4">
      <c r="A4617" s="691"/>
      <c r="D4617" s="3"/>
    </row>
    <row r="4618" spans="1:4">
      <c r="A4618" s="691"/>
      <c r="D4618" s="3"/>
    </row>
    <row r="4619" spans="1:4">
      <c r="A4619" s="691"/>
      <c r="D4619" s="3"/>
    </row>
    <row r="4620" spans="1:4">
      <c r="A4620" s="691"/>
      <c r="D4620" s="3"/>
    </row>
    <row r="4621" spans="1:4">
      <c r="A4621" s="691"/>
      <c r="D4621" s="3"/>
    </row>
    <row r="4622" spans="1:4">
      <c r="A4622" s="691"/>
      <c r="D4622" s="3"/>
    </row>
    <row r="4623" spans="1:4">
      <c r="A4623" s="691"/>
      <c r="D4623" s="3"/>
    </row>
    <row r="4624" spans="1:4">
      <c r="A4624" s="691"/>
      <c r="D4624" s="3"/>
    </row>
    <row r="4625" spans="1:4">
      <c r="A4625" s="691"/>
      <c r="D4625" s="3"/>
    </row>
    <row r="4626" spans="1:4">
      <c r="A4626" s="691"/>
      <c r="D4626" s="3"/>
    </row>
    <row r="4627" spans="1:4">
      <c r="A4627" s="691"/>
      <c r="D4627" s="3"/>
    </row>
    <row r="4628" spans="1:4">
      <c r="A4628" s="691"/>
      <c r="D4628" s="3"/>
    </row>
    <row r="4629" spans="1:4">
      <c r="A4629" s="691"/>
      <c r="D4629" s="3"/>
    </row>
    <row r="4630" spans="1:4">
      <c r="A4630" s="691"/>
      <c r="D4630" s="3"/>
    </row>
    <row r="4631" spans="1:4">
      <c r="A4631" s="691"/>
      <c r="D4631" s="3"/>
    </row>
    <row r="4632" spans="1:4">
      <c r="A4632" s="691"/>
      <c r="D4632" s="3"/>
    </row>
    <row r="4633" spans="1:4">
      <c r="A4633" s="691"/>
      <c r="D4633" s="3"/>
    </row>
    <row r="4634" spans="1:4">
      <c r="A4634" s="691"/>
      <c r="D4634" s="3"/>
    </row>
    <row r="4635" spans="1:4">
      <c r="A4635" s="691"/>
      <c r="D4635" s="3"/>
    </row>
    <row r="4636" spans="1:4">
      <c r="A4636" s="691"/>
      <c r="D4636" s="3"/>
    </row>
    <row r="4637" spans="1:4">
      <c r="A4637" s="691"/>
      <c r="D4637" s="3"/>
    </row>
    <row r="4638" spans="1:4">
      <c r="A4638" s="691"/>
      <c r="D4638" s="3"/>
    </row>
    <row r="4639" spans="1:4">
      <c r="A4639" s="691"/>
      <c r="D4639" s="3"/>
    </row>
    <row r="4640" spans="1:4">
      <c r="A4640" s="691"/>
      <c r="D4640" s="3"/>
    </row>
    <row r="4641" spans="1:4">
      <c r="A4641" s="691"/>
      <c r="D4641" s="3"/>
    </row>
    <row r="4642" spans="1:4">
      <c r="A4642" s="691"/>
      <c r="D4642" s="3"/>
    </row>
    <row r="4643" spans="1:4">
      <c r="A4643" s="691"/>
      <c r="D4643" s="3"/>
    </row>
    <row r="4644" spans="1:4">
      <c r="A4644" s="691"/>
      <c r="D4644" s="3"/>
    </row>
    <row r="4645" spans="1:4">
      <c r="A4645" s="691"/>
      <c r="D4645" s="3"/>
    </row>
    <row r="4646" spans="1:4">
      <c r="A4646" s="691"/>
      <c r="D4646" s="3"/>
    </row>
    <row r="4647" spans="1:4">
      <c r="A4647" s="691"/>
      <c r="D4647" s="3"/>
    </row>
    <row r="4648" spans="1:4">
      <c r="A4648" s="691"/>
      <c r="D4648" s="3"/>
    </row>
    <row r="4649" spans="1:4">
      <c r="A4649" s="691"/>
      <c r="D4649" s="3"/>
    </row>
    <row r="4650" spans="1:4">
      <c r="A4650" s="691"/>
      <c r="D4650" s="3"/>
    </row>
    <row r="4651" spans="1:4">
      <c r="A4651" s="691"/>
      <c r="D4651" s="3"/>
    </row>
    <row r="4652" spans="1:4">
      <c r="A4652" s="691"/>
      <c r="D4652" s="3"/>
    </row>
    <row r="4653" spans="1:4">
      <c r="A4653" s="691"/>
      <c r="D4653" s="3"/>
    </row>
    <row r="4654" spans="1:4">
      <c r="A4654" s="691"/>
      <c r="D4654" s="3"/>
    </row>
    <row r="4655" spans="1:4">
      <c r="A4655" s="691"/>
      <c r="D4655" s="3"/>
    </row>
    <row r="4656" spans="1:4">
      <c r="A4656" s="691"/>
      <c r="D4656" s="3"/>
    </row>
    <row r="4657" spans="1:4">
      <c r="A4657" s="691"/>
      <c r="D4657" s="3"/>
    </row>
    <row r="4658" spans="1:4">
      <c r="A4658" s="691"/>
      <c r="D4658" s="3"/>
    </row>
    <row r="4659" spans="1:4">
      <c r="A4659" s="691"/>
      <c r="D4659" s="3"/>
    </row>
    <row r="4660" spans="1:4">
      <c r="A4660" s="691"/>
      <c r="D4660" s="3"/>
    </row>
    <row r="4661" spans="1:4">
      <c r="A4661" s="691"/>
      <c r="D4661" s="3"/>
    </row>
    <row r="4662" spans="1:4">
      <c r="A4662" s="691"/>
      <c r="D4662" s="3"/>
    </row>
    <row r="4663" spans="1:4">
      <c r="A4663" s="691"/>
      <c r="D4663" s="3"/>
    </row>
    <row r="4664" spans="1:4">
      <c r="A4664" s="691"/>
      <c r="D4664" s="3"/>
    </row>
    <row r="4665" spans="1:4">
      <c r="A4665" s="691"/>
      <c r="D4665" s="3"/>
    </row>
    <row r="4666" spans="1:4">
      <c r="A4666" s="691"/>
      <c r="D4666" s="3"/>
    </row>
    <row r="4667" spans="1:4">
      <c r="A4667" s="691"/>
      <c r="D4667" s="3"/>
    </row>
    <row r="4668" spans="1:4">
      <c r="A4668" s="691"/>
      <c r="D4668" s="3"/>
    </row>
    <row r="4669" spans="1:4">
      <c r="A4669" s="691"/>
      <c r="D4669" s="3"/>
    </row>
    <row r="4670" spans="1:4">
      <c r="A4670" s="691"/>
      <c r="D4670" s="3"/>
    </row>
    <row r="4671" spans="1:4">
      <c r="A4671" s="691"/>
      <c r="D4671" s="3"/>
    </row>
    <row r="4672" spans="1:4">
      <c r="A4672" s="691"/>
      <c r="D4672" s="3"/>
    </row>
    <row r="4673" spans="1:4">
      <c r="A4673" s="691"/>
      <c r="D4673" s="3"/>
    </row>
    <row r="4674" spans="1:4">
      <c r="A4674" s="691"/>
      <c r="D4674" s="3"/>
    </row>
    <row r="4675" spans="1:4">
      <c r="A4675" s="691"/>
      <c r="D4675" s="3"/>
    </row>
    <row r="4676" spans="1:4">
      <c r="A4676" s="691"/>
      <c r="D4676" s="3"/>
    </row>
    <row r="4677" spans="1:4">
      <c r="A4677" s="691"/>
      <c r="D4677" s="3"/>
    </row>
    <row r="4678" spans="1:4">
      <c r="A4678" s="691"/>
      <c r="D4678" s="3"/>
    </row>
    <row r="4679" spans="1:4">
      <c r="A4679" s="691"/>
      <c r="D4679" s="3"/>
    </row>
    <row r="4680" spans="1:4">
      <c r="A4680" s="691"/>
      <c r="D4680" s="3"/>
    </row>
    <row r="4681" spans="1:4">
      <c r="A4681" s="691"/>
      <c r="D4681" s="3"/>
    </row>
    <row r="4682" spans="1:4">
      <c r="A4682" s="691"/>
      <c r="D4682" s="3"/>
    </row>
    <row r="4683" spans="1:4">
      <c r="A4683" s="691"/>
      <c r="D4683" s="3"/>
    </row>
    <row r="4684" spans="1:4">
      <c r="A4684" s="691"/>
      <c r="D4684" s="3"/>
    </row>
    <row r="4685" spans="1:4">
      <c r="A4685" s="691"/>
      <c r="D4685" s="3"/>
    </row>
    <row r="4686" spans="1:4">
      <c r="A4686" s="691"/>
      <c r="D4686" s="3"/>
    </row>
    <row r="4687" spans="1:4">
      <c r="A4687" s="691"/>
      <c r="D4687" s="3"/>
    </row>
    <row r="4688" spans="1:4">
      <c r="A4688" s="691"/>
      <c r="D4688" s="3"/>
    </row>
    <row r="4689" spans="1:4">
      <c r="A4689" s="691"/>
      <c r="D4689" s="3"/>
    </row>
    <row r="4690" spans="1:4">
      <c r="A4690" s="691"/>
      <c r="D4690" s="3"/>
    </row>
    <row r="4691" spans="1:4">
      <c r="A4691" s="691"/>
      <c r="D4691" s="3"/>
    </row>
    <row r="4692" spans="1:4">
      <c r="A4692" s="691"/>
      <c r="D4692" s="3"/>
    </row>
    <row r="4693" spans="1:4">
      <c r="A4693" s="691"/>
      <c r="D4693" s="3"/>
    </row>
    <row r="4694" spans="1:4">
      <c r="A4694" s="691"/>
      <c r="D4694" s="3"/>
    </row>
    <row r="4695" spans="1:4">
      <c r="A4695" s="691"/>
      <c r="D4695" s="3"/>
    </row>
    <row r="4696" spans="1:4">
      <c r="A4696" s="691"/>
      <c r="D4696" s="3"/>
    </row>
    <row r="4697" spans="1:4">
      <c r="A4697" s="691"/>
      <c r="D4697" s="3"/>
    </row>
    <row r="4698" spans="1:4">
      <c r="A4698" s="691"/>
      <c r="D4698" s="3"/>
    </row>
    <row r="4699" spans="1:4">
      <c r="A4699" s="691"/>
      <c r="D4699" s="3"/>
    </row>
    <row r="4700" spans="1:4">
      <c r="A4700" s="691"/>
      <c r="D4700" s="3"/>
    </row>
    <row r="4701" spans="1:4">
      <c r="A4701" s="691"/>
      <c r="D4701" s="3"/>
    </row>
    <row r="4702" spans="1:4">
      <c r="A4702" s="691"/>
      <c r="D4702" s="3"/>
    </row>
    <row r="4703" spans="1:4">
      <c r="A4703" s="691"/>
      <c r="D4703" s="3"/>
    </row>
    <row r="4704" spans="1:4">
      <c r="A4704" s="691"/>
      <c r="D4704" s="3"/>
    </row>
    <row r="4705" spans="1:4">
      <c r="A4705" s="691"/>
      <c r="D4705" s="3"/>
    </row>
    <row r="4706" spans="1:4">
      <c r="A4706" s="691"/>
      <c r="D4706" s="3"/>
    </row>
    <row r="4707" spans="1:4">
      <c r="A4707" s="691"/>
      <c r="D4707" s="3"/>
    </row>
    <row r="4708" spans="1:4">
      <c r="A4708" s="691"/>
      <c r="D4708" s="3"/>
    </row>
    <row r="4709" spans="1:4">
      <c r="A4709" s="691"/>
      <c r="D4709" s="3"/>
    </row>
    <row r="4710" spans="1:4">
      <c r="A4710" s="691"/>
      <c r="D4710" s="3"/>
    </row>
    <row r="4711" spans="1:4">
      <c r="A4711" s="691"/>
      <c r="D4711" s="3"/>
    </row>
    <row r="4712" spans="1:4">
      <c r="A4712" s="691"/>
      <c r="D4712" s="3"/>
    </row>
    <row r="4713" spans="1:4">
      <c r="A4713" s="691"/>
      <c r="D4713" s="3"/>
    </row>
    <row r="4714" spans="1:4">
      <c r="A4714" s="691"/>
      <c r="D4714" s="3"/>
    </row>
    <row r="4715" spans="1:4">
      <c r="A4715" s="691"/>
      <c r="D4715" s="3"/>
    </row>
    <row r="4716" spans="1:4">
      <c r="A4716" s="691"/>
      <c r="D4716" s="3"/>
    </row>
    <row r="4717" spans="1:4">
      <c r="A4717" s="691"/>
      <c r="D4717" s="3"/>
    </row>
    <row r="4718" spans="1:4">
      <c r="A4718" s="691"/>
      <c r="D4718" s="3"/>
    </row>
    <row r="4719" spans="1:4">
      <c r="A4719" s="691"/>
      <c r="D4719" s="3"/>
    </row>
    <row r="4720" spans="1:4">
      <c r="A4720" s="691"/>
      <c r="D4720" s="3"/>
    </row>
    <row r="4721" spans="1:4">
      <c r="A4721" s="691"/>
      <c r="D4721" s="3"/>
    </row>
    <row r="4722" spans="1:4">
      <c r="A4722" s="691"/>
      <c r="D4722" s="3"/>
    </row>
    <row r="4723" spans="1:4">
      <c r="A4723" s="691"/>
      <c r="D4723" s="3"/>
    </row>
    <row r="4724" spans="1:4">
      <c r="A4724" s="691"/>
      <c r="D4724" s="3"/>
    </row>
    <row r="4725" spans="1:4">
      <c r="A4725" s="691"/>
      <c r="D4725" s="3"/>
    </row>
    <row r="4726" spans="1:4">
      <c r="A4726" s="691"/>
      <c r="D4726" s="3"/>
    </row>
    <row r="4727" spans="1:4">
      <c r="A4727" s="691"/>
      <c r="D4727" s="3"/>
    </row>
    <row r="4728" spans="1:4">
      <c r="A4728" s="691"/>
      <c r="D4728" s="3"/>
    </row>
    <row r="4729" spans="1:4">
      <c r="A4729" s="691"/>
      <c r="D4729" s="3"/>
    </row>
    <row r="4730" spans="1:4">
      <c r="A4730" s="691"/>
      <c r="D4730" s="3"/>
    </row>
    <row r="4731" spans="1:4">
      <c r="A4731" s="691"/>
      <c r="D4731" s="3"/>
    </row>
    <row r="4732" spans="1:4">
      <c r="A4732" s="691"/>
      <c r="D4732" s="3"/>
    </row>
    <row r="4733" spans="1:4">
      <c r="A4733" s="691"/>
      <c r="D4733" s="3"/>
    </row>
    <row r="4734" spans="1:4">
      <c r="A4734" s="691"/>
      <c r="D4734" s="3"/>
    </row>
    <row r="4735" spans="1:4">
      <c r="A4735" s="691"/>
      <c r="D4735" s="3"/>
    </row>
    <row r="4736" spans="1:4">
      <c r="A4736" s="691"/>
      <c r="D4736" s="3"/>
    </row>
    <row r="4737" spans="1:4">
      <c r="A4737" s="691"/>
      <c r="D4737" s="3"/>
    </row>
    <row r="4738" spans="1:4">
      <c r="A4738" s="691"/>
      <c r="D4738" s="3"/>
    </row>
    <row r="4739" spans="1:4">
      <c r="A4739" s="691"/>
      <c r="D4739" s="3"/>
    </row>
    <row r="4740" spans="1:4">
      <c r="A4740" s="691"/>
      <c r="D4740" s="3"/>
    </row>
    <row r="4741" spans="1:4">
      <c r="A4741" s="691"/>
      <c r="D4741" s="3"/>
    </row>
    <row r="4742" spans="1:4">
      <c r="A4742" s="691"/>
      <c r="D4742" s="3"/>
    </row>
    <row r="4743" spans="1:4">
      <c r="A4743" s="691"/>
      <c r="D4743" s="3"/>
    </row>
    <row r="4744" spans="1:4">
      <c r="A4744" s="691"/>
      <c r="D4744" s="3"/>
    </row>
    <row r="4745" spans="1:4">
      <c r="A4745" s="691"/>
      <c r="D4745" s="3"/>
    </row>
    <row r="4746" spans="1:4">
      <c r="A4746" s="691"/>
      <c r="D4746" s="3"/>
    </row>
    <row r="4747" spans="1:4">
      <c r="A4747" s="691"/>
      <c r="D4747" s="3"/>
    </row>
    <row r="4748" spans="1:4">
      <c r="A4748" s="691"/>
      <c r="D4748" s="3"/>
    </row>
    <row r="4749" spans="1:4">
      <c r="A4749" s="691"/>
      <c r="D4749" s="3"/>
    </row>
    <row r="4750" spans="1:4">
      <c r="A4750" s="691"/>
      <c r="D4750" s="3"/>
    </row>
    <row r="4751" spans="1:4">
      <c r="A4751" s="691"/>
      <c r="D4751" s="3"/>
    </row>
    <row r="4752" spans="1:4">
      <c r="A4752" s="691"/>
      <c r="D4752" s="3"/>
    </row>
    <row r="4753" spans="1:4">
      <c r="A4753" s="691"/>
      <c r="D4753" s="3"/>
    </row>
    <row r="4754" spans="1:4">
      <c r="A4754" s="691"/>
      <c r="D4754" s="3"/>
    </row>
    <row r="4755" spans="1:4">
      <c r="A4755" s="691"/>
      <c r="D4755" s="3"/>
    </row>
    <row r="4756" spans="1:4">
      <c r="A4756" s="691"/>
      <c r="D4756" s="3"/>
    </row>
    <row r="4757" spans="1:4">
      <c r="A4757" s="691"/>
      <c r="D4757" s="3"/>
    </row>
    <row r="4758" spans="1:4">
      <c r="A4758" s="691"/>
      <c r="D4758" s="3"/>
    </row>
    <row r="4759" spans="1:4">
      <c r="A4759" s="691"/>
      <c r="D4759" s="3"/>
    </row>
    <row r="4760" spans="1:4">
      <c r="A4760" s="691"/>
      <c r="D4760" s="3"/>
    </row>
    <row r="4761" spans="1:4">
      <c r="A4761" s="691"/>
      <c r="D4761" s="3"/>
    </row>
    <row r="4762" spans="1:4">
      <c r="A4762" s="691"/>
      <c r="D4762" s="3"/>
    </row>
    <row r="4763" spans="1:4">
      <c r="A4763" s="691"/>
      <c r="D4763" s="3"/>
    </row>
    <row r="4764" spans="1:4">
      <c r="A4764" s="691"/>
      <c r="D4764" s="3"/>
    </row>
    <row r="4765" spans="1:4">
      <c r="A4765" s="691"/>
      <c r="D4765" s="3"/>
    </row>
    <row r="4766" spans="1:4">
      <c r="A4766" s="691"/>
      <c r="D4766" s="3"/>
    </row>
    <row r="4767" spans="1:4">
      <c r="A4767" s="691"/>
      <c r="D4767" s="3"/>
    </row>
    <row r="4768" spans="1:4">
      <c r="A4768" s="691"/>
      <c r="D4768" s="3"/>
    </row>
    <row r="4769" spans="1:4">
      <c r="A4769" s="691"/>
      <c r="D4769" s="3"/>
    </row>
    <row r="4770" spans="1:4">
      <c r="A4770" s="691"/>
      <c r="D4770" s="3"/>
    </row>
    <row r="4771" spans="1:4">
      <c r="A4771" s="691"/>
      <c r="D4771" s="3"/>
    </row>
    <row r="4772" spans="1:4">
      <c r="A4772" s="691"/>
      <c r="D4772" s="3"/>
    </row>
    <row r="4773" spans="1:4">
      <c r="A4773" s="691"/>
      <c r="D4773" s="3"/>
    </row>
    <row r="4774" spans="1:4">
      <c r="A4774" s="691"/>
      <c r="D4774" s="3"/>
    </row>
    <row r="4775" spans="1:4">
      <c r="A4775" s="691"/>
      <c r="D4775" s="3"/>
    </row>
    <row r="4776" spans="1:4">
      <c r="A4776" s="691"/>
      <c r="D4776" s="3"/>
    </row>
    <row r="4777" spans="1:4">
      <c r="A4777" s="691"/>
      <c r="D4777" s="3"/>
    </row>
    <row r="4778" spans="1:4">
      <c r="A4778" s="691"/>
      <c r="D4778" s="3"/>
    </row>
    <row r="4779" spans="1:4">
      <c r="A4779" s="691"/>
      <c r="D4779" s="3"/>
    </row>
    <row r="4780" spans="1:4">
      <c r="A4780" s="691"/>
      <c r="D4780" s="3"/>
    </row>
    <row r="4781" spans="1:4">
      <c r="A4781" s="691"/>
      <c r="D4781" s="3"/>
    </row>
    <row r="4782" spans="1:4">
      <c r="A4782" s="691"/>
      <c r="D4782" s="3"/>
    </row>
    <row r="4783" spans="1:4">
      <c r="A4783" s="691"/>
      <c r="D4783" s="3"/>
    </row>
    <row r="4784" spans="1:4">
      <c r="A4784" s="691"/>
      <c r="D4784" s="3"/>
    </row>
    <row r="4785" spans="1:4">
      <c r="A4785" s="691"/>
      <c r="D4785" s="3"/>
    </row>
    <row r="4786" spans="1:4">
      <c r="A4786" s="691"/>
      <c r="D4786" s="3"/>
    </row>
    <row r="4787" spans="1:4">
      <c r="A4787" s="691"/>
      <c r="D4787" s="3"/>
    </row>
    <row r="4788" spans="1:4">
      <c r="A4788" s="691"/>
      <c r="D4788" s="3"/>
    </row>
    <row r="4789" spans="1:4">
      <c r="A4789" s="691"/>
      <c r="D4789" s="3"/>
    </row>
    <row r="4790" spans="1:4">
      <c r="A4790" s="691"/>
      <c r="D4790" s="3"/>
    </row>
    <row r="4791" spans="1:4">
      <c r="A4791" s="691"/>
      <c r="D4791" s="3"/>
    </row>
    <row r="4792" spans="1:4">
      <c r="A4792" s="691"/>
      <c r="D4792" s="3"/>
    </row>
    <row r="4793" spans="1:4">
      <c r="A4793" s="691"/>
      <c r="D4793" s="3"/>
    </row>
    <row r="4794" spans="1:4">
      <c r="A4794" s="691"/>
      <c r="D4794" s="3"/>
    </row>
    <row r="4795" spans="1:4">
      <c r="A4795" s="691"/>
      <c r="D4795" s="3"/>
    </row>
    <row r="4796" spans="1:4">
      <c r="A4796" s="691"/>
      <c r="D4796" s="3"/>
    </row>
    <row r="4797" spans="1:4">
      <c r="A4797" s="691"/>
      <c r="D4797" s="3"/>
    </row>
    <row r="4798" spans="1:4">
      <c r="A4798" s="691"/>
      <c r="D4798" s="3"/>
    </row>
    <row r="4799" spans="1:4">
      <c r="A4799" s="691"/>
      <c r="D4799" s="3"/>
    </row>
    <row r="4800" spans="1:4">
      <c r="A4800" s="691"/>
      <c r="D4800" s="3"/>
    </row>
    <row r="4801" spans="1:4">
      <c r="A4801" s="691"/>
      <c r="D4801" s="3"/>
    </row>
    <row r="4802" spans="1:4">
      <c r="A4802" s="691"/>
      <c r="D4802" s="3"/>
    </row>
    <row r="4803" spans="1:4">
      <c r="A4803" s="691"/>
      <c r="D4803" s="3"/>
    </row>
    <row r="4804" spans="1:4">
      <c r="A4804" s="691"/>
      <c r="D4804" s="3"/>
    </row>
    <row r="4805" spans="1:4">
      <c r="A4805" s="691"/>
      <c r="D4805" s="3"/>
    </row>
    <row r="4806" spans="1:4">
      <c r="A4806" s="691"/>
      <c r="D4806" s="3"/>
    </row>
    <row r="4807" spans="1:4">
      <c r="A4807" s="691"/>
      <c r="D4807" s="3"/>
    </row>
    <row r="4808" spans="1:4">
      <c r="A4808" s="691"/>
      <c r="D4808" s="3"/>
    </row>
    <row r="4809" spans="1:4">
      <c r="A4809" s="691"/>
      <c r="D4809" s="3"/>
    </row>
    <row r="4810" spans="1:4">
      <c r="A4810" s="691"/>
      <c r="D4810" s="3"/>
    </row>
    <row r="4811" spans="1:4">
      <c r="A4811" s="691"/>
      <c r="D4811" s="3"/>
    </row>
    <row r="4812" spans="1:4">
      <c r="A4812" s="691"/>
      <c r="D4812" s="3"/>
    </row>
    <row r="4813" spans="1:4">
      <c r="A4813" s="691"/>
      <c r="D4813" s="3"/>
    </row>
    <row r="4814" spans="1:4">
      <c r="A4814" s="691"/>
      <c r="D4814" s="3"/>
    </row>
    <row r="4815" spans="1:4">
      <c r="A4815" s="691"/>
      <c r="D4815" s="3"/>
    </row>
    <row r="4816" spans="1:4">
      <c r="A4816" s="691"/>
      <c r="D4816" s="3"/>
    </row>
    <row r="4817" spans="1:4">
      <c r="A4817" s="691"/>
      <c r="D4817" s="3"/>
    </row>
    <row r="4818" spans="1:4">
      <c r="A4818" s="691"/>
      <c r="D4818" s="3"/>
    </row>
    <row r="4819" spans="1:4">
      <c r="A4819" s="691"/>
      <c r="D4819" s="3"/>
    </row>
    <row r="4820" spans="1:4">
      <c r="A4820" s="691"/>
      <c r="D4820" s="3"/>
    </row>
    <row r="4821" spans="1:4">
      <c r="A4821" s="691"/>
      <c r="D4821" s="3"/>
    </row>
    <row r="4822" spans="1:4">
      <c r="A4822" s="691"/>
      <c r="D4822" s="3"/>
    </row>
    <row r="4823" spans="1:4">
      <c r="A4823" s="691"/>
      <c r="D4823" s="3"/>
    </row>
    <row r="4824" spans="1:4">
      <c r="A4824" s="691"/>
      <c r="D4824" s="3"/>
    </row>
    <row r="4825" spans="1:4">
      <c r="A4825" s="691"/>
      <c r="D4825" s="3"/>
    </row>
    <row r="4826" spans="1:4">
      <c r="A4826" s="691"/>
      <c r="D4826" s="3"/>
    </row>
    <row r="4827" spans="1:4">
      <c r="A4827" s="691"/>
      <c r="D4827" s="3"/>
    </row>
    <row r="4828" spans="1:4">
      <c r="A4828" s="691"/>
      <c r="D4828" s="3"/>
    </row>
    <row r="4829" spans="1:4">
      <c r="A4829" s="691"/>
      <c r="D4829" s="3"/>
    </row>
    <row r="4830" spans="1:4">
      <c r="A4830" s="691"/>
      <c r="D4830" s="3"/>
    </row>
    <row r="4831" spans="1:4">
      <c r="A4831" s="691"/>
      <c r="D4831" s="3"/>
    </row>
    <row r="4832" spans="1:4">
      <c r="A4832" s="691"/>
      <c r="D4832" s="3"/>
    </row>
    <row r="4833" spans="1:4">
      <c r="A4833" s="691"/>
      <c r="D4833" s="3"/>
    </row>
    <row r="4834" spans="1:4">
      <c r="A4834" s="691"/>
      <c r="D4834" s="3"/>
    </row>
    <row r="4835" spans="1:4">
      <c r="A4835" s="691"/>
      <c r="D4835" s="3"/>
    </row>
    <row r="4836" spans="1:4">
      <c r="A4836" s="691"/>
      <c r="D4836" s="3"/>
    </row>
    <row r="4837" spans="1:4">
      <c r="A4837" s="691"/>
      <c r="D4837" s="3"/>
    </row>
    <row r="4838" spans="1:4">
      <c r="A4838" s="691"/>
      <c r="D4838" s="3"/>
    </row>
    <row r="4839" spans="1:4">
      <c r="A4839" s="691"/>
      <c r="D4839" s="3"/>
    </row>
    <row r="4840" spans="1:4">
      <c r="A4840" s="691"/>
      <c r="D4840" s="3"/>
    </row>
    <row r="4841" spans="1:4">
      <c r="A4841" s="691"/>
      <c r="D4841" s="3"/>
    </row>
    <row r="4842" spans="1:4">
      <c r="A4842" s="691"/>
      <c r="D4842" s="3"/>
    </row>
    <row r="4843" spans="1:4">
      <c r="A4843" s="691"/>
      <c r="D4843" s="3"/>
    </row>
    <row r="4844" spans="1:4">
      <c r="A4844" s="691"/>
      <c r="D4844" s="3"/>
    </row>
    <row r="4845" spans="1:4">
      <c r="A4845" s="691"/>
      <c r="D4845" s="3"/>
    </row>
    <row r="4846" spans="1:4">
      <c r="A4846" s="691"/>
      <c r="D4846" s="3"/>
    </row>
    <row r="4847" spans="1:4">
      <c r="A4847" s="691"/>
      <c r="D4847" s="3"/>
    </row>
    <row r="4848" spans="1:4">
      <c r="A4848" s="691"/>
      <c r="D4848" s="3"/>
    </row>
    <row r="4849" spans="1:4">
      <c r="A4849" s="691"/>
      <c r="D4849" s="3"/>
    </row>
    <row r="4850" spans="1:4">
      <c r="A4850" s="691"/>
      <c r="D4850" s="3"/>
    </row>
    <row r="4851" spans="1:4">
      <c r="A4851" s="691"/>
      <c r="D4851" s="3"/>
    </row>
    <row r="4852" spans="1:4">
      <c r="A4852" s="691"/>
      <c r="D4852" s="3"/>
    </row>
    <row r="4853" spans="1:4">
      <c r="A4853" s="691"/>
      <c r="D4853" s="3"/>
    </row>
    <row r="4854" spans="1:4">
      <c r="A4854" s="691"/>
      <c r="D4854" s="3"/>
    </row>
    <row r="4855" spans="1:4">
      <c r="A4855" s="691"/>
      <c r="D4855" s="3"/>
    </row>
    <row r="4856" spans="1:4">
      <c r="A4856" s="691"/>
      <c r="D4856" s="3"/>
    </row>
    <row r="4857" spans="1:4">
      <c r="A4857" s="691"/>
      <c r="D4857" s="3"/>
    </row>
    <row r="4858" spans="1:4">
      <c r="A4858" s="691"/>
      <c r="D4858" s="3"/>
    </row>
    <row r="4859" spans="1:4">
      <c r="A4859" s="691"/>
      <c r="D4859" s="3"/>
    </row>
    <row r="4860" spans="1:4">
      <c r="A4860" s="691"/>
      <c r="D4860" s="3"/>
    </row>
    <row r="4861" spans="1:4">
      <c r="A4861" s="691"/>
      <c r="D4861" s="3"/>
    </row>
    <row r="4862" spans="1:4">
      <c r="A4862" s="691"/>
      <c r="D4862" s="3"/>
    </row>
    <row r="4863" spans="1:4">
      <c r="A4863" s="691"/>
      <c r="D4863" s="3"/>
    </row>
    <row r="4864" spans="1:4">
      <c r="A4864" s="691"/>
      <c r="D4864" s="3"/>
    </row>
    <row r="4865" spans="1:4">
      <c r="A4865" s="691"/>
      <c r="D4865" s="3"/>
    </row>
    <row r="4866" spans="1:4">
      <c r="A4866" s="691"/>
      <c r="D4866" s="3"/>
    </row>
    <row r="4867" spans="1:4">
      <c r="A4867" s="691"/>
      <c r="D4867" s="3"/>
    </row>
    <row r="4868" spans="1:4">
      <c r="A4868" s="691"/>
      <c r="D4868" s="3"/>
    </row>
    <row r="4869" spans="1:4">
      <c r="A4869" s="691"/>
      <c r="D4869" s="3"/>
    </row>
    <row r="4870" spans="1:4">
      <c r="A4870" s="691"/>
      <c r="D4870" s="3"/>
    </row>
    <row r="4871" spans="1:4">
      <c r="A4871" s="691"/>
      <c r="D4871" s="3"/>
    </row>
    <row r="4872" spans="1:4">
      <c r="A4872" s="691"/>
      <c r="D4872" s="3"/>
    </row>
    <row r="4873" spans="1:4">
      <c r="A4873" s="691"/>
      <c r="D4873" s="3"/>
    </row>
    <row r="4874" spans="1:4">
      <c r="A4874" s="691"/>
      <c r="D4874" s="3"/>
    </row>
    <row r="4875" spans="1:4">
      <c r="A4875" s="691"/>
      <c r="D4875" s="3"/>
    </row>
    <row r="4876" spans="1:4">
      <c r="A4876" s="691"/>
      <c r="D4876" s="3"/>
    </row>
    <row r="4877" spans="1:4">
      <c r="A4877" s="691"/>
      <c r="D4877" s="3"/>
    </row>
    <row r="4878" spans="1:4">
      <c r="A4878" s="691"/>
      <c r="D4878" s="3"/>
    </row>
    <row r="4879" spans="1:4">
      <c r="A4879" s="691"/>
      <c r="D4879" s="3"/>
    </row>
    <row r="4880" spans="1:4">
      <c r="A4880" s="691"/>
      <c r="D4880" s="3"/>
    </row>
    <row r="4881" spans="1:4">
      <c r="A4881" s="691"/>
      <c r="D4881" s="3"/>
    </row>
    <row r="4882" spans="1:4">
      <c r="A4882" s="691"/>
      <c r="D4882" s="3"/>
    </row>
    <row r="4883" spans="1:4">
      <c r="A4883" s="691"/>
      <c r="D4883" s="3"/>
    </row>
    <row r="4884" spans="1:4">
      <c r="A4884" s="691"/>
      <c r="D4884" s="3"/>
    </row>
    <row r="4885" spans="1:4">
      <c r="A4885" s="691"/>
      <c r="D4885" s="3"/>
    </row>
    <row r="4886" spans="1:4">
      <c r="A4886" s="691"/>
      <c r="D4886" s="3"/>
    </row>
    <row r="4887" spans="1:4">
      <c r="A4887" s="691"/>
      <c r="D4887" s="3"/>
    </row>
    <row r="4888" spans="1:4">
      <c r="A4888" s="691"/>
      <c r="D4888" s="3"/>
    </row>
    <row r="4889" spans="1:4">
      <c r="A4889" s="691"/>
      <c r="D4889" s="3"/>
    </row>
    <row r="4890" spans="1:4">
      <c r="A4890" s="691"/>
      <c r="D4890" s="3"/>
    </row>
    <row r="4891" spans="1:4">
      <c r="A4891" s="691"/>
      <c r="D4891" s="3"/>
    </row>
    <row r="4892" spans="1:4">
      <c r="A4892" s="691"/>
      <c r="D4892" s="3"/>
    </row>
    <row r="4893" spans="1:4">
      <c r="A4893" s="691"/>
      <c r="D4893" s="3"/>
    </row>
    <row r="4894" spans="1:4">
      <c r="A4894" s="691"/>
      <c r="D4894" s="3"/>
    </row>
    <row r="4895" spans="1:4">
      <c r="A4895" s="691"/>
      <c r="D4895" s="3"/>
    </row>
    <row r="4896" spans="1:4">
      <c r="A4896" s="691"/>
      <c r="D4896" s="3"/>
    </row>
    <row r="4897" spans="1:4">
      <c r="A4897" s="691"/>
      <c r="D4897" s="3"/>
    </row>
    <row r="4898" spans="1:4">
      <c r="A4898" s="691"/>
      <c r="D4898" s="3"/>
    </row>
    <row r="4899" spans="1:4">
      <c r="A4899" s="691"/>
      <c r="D4899" s="3"/>
    </row>
    <row r="4900" spans="1:4">
      <c r="A4900" s="691"/>
      <c r="D4900" s="3"/>
    </row>
    <row r="4901" spans="1:4">
      <c r="A4901" s="691"/>
      <c r="D4901" s="3"/>
    </row>
    <row r="4902" spans="1:4">
      <c r="A4902" s="691"/>
      <c r="D4902" s="3"/>
    </row>
    <row r="4903" spans="1:4">
      <c r="A4903" s="691"/>
      <c r="D4903" s="3"/>
    </row>
    <row r="4904" spans="1:4">
      <c r="A4904" s="691"/>
      <c r="D4904" s="3"/>
    </row>
    <row r="4905" spans="1:4">
      <c r="A4905" s="691"/>
      <c r="D4905" s="3"/>
    </row>
    <row r="4906" spans="1:4">
      <c r="A4906" s="691"/>
      <c r="D4906" s="3"/>
    </row>
    <row r="4907" spans="1:4">
      <c r="A4907" s="691"/>
      <c r="D4907" s="3"/>
    </row>
    <row r="4908" spans="1:4">
      <c r="A4908" s="691"/>
      <c r="D4908" s="3"/>
    </row>
    <row r="4909" spans="1:4">
      <c r="A4909" s="691"/>
      <c r="D4909" s="3"/>
    </row>
    <row r="4910" spans="1:4">
      <c r="A4910" s="691"/>
      <c r="D4910" s="3"/>
    </row>
    <row r="4911" spans="1:4">
      <c r="A4911" s="691"/>
      <c r="D4911" s="3"/>
    </row>
    <row r="4912" spans="1:4">
      <c r="A4912" s="691"/>
      <c r="D4912" s="3"/>
    </row>
    <row r="4913" spans="1:4">
      <c r="A4913" s="691"/>
      <c r="D4913" s="3"/>
    </row>
    <row r="4914" spans="1:4">
      <c r="A4914" s="691"/>
      <c r="D4914" s="3"/>
    </row>
    <row r="4915" spans="1:4">
      <c r="A4915" s="691"/>
      <c r="D4915" s="3"/>
    </row>
    <row r="4916" spans="1:4">
      <c r="A4916" s="691"/>
      <c r="D4916" s="3"/>
    </row>
    <row r="4917" spans="1:4">
      <c r="A4917" s="691"/>
      <c r="D4917" s="3"/>
    </row>
    <row r="4918" spans="1:4">
      <c r="A4918" s="691"/>
      <c r="D4918" s="3"/>
    </row>
    <row r="4919" spans="1:4">
      <c r="A4919" s="691"/>
      <c r="D4919" s="3"/>
    </row>
    <row r="4920" spans="1:4">
      <c r="A4920" s="691"/>
      <c r="D4920" s="3"/>
    </row>
    <row r="4921" spans="1:4">
      <c r="A4921" s="691"/>
      <c r="D4921" s="3"/>
    </row>
    <row r="4922" spans="1:4">
      <c r="A4922" s="691"/>
      <c r="D4922" s="3"/>
    </row>
    <row r="4923" spans="1:4">
      <c r="A4923" s="691"/>
      <c r="D4923" s="3"/>
    </row>
    <row r="4924" spans="1:4">
      <c r="A4924" s="691"/>
      <c r="D4924" s="3"/>
    </row>
    <row r="4925" spans="1:4">
      <c r="A4925" s="691"/>
      <c r="D4925" s="3"/>
    </row>
    <row r="4926" spans="1:4">
      <c r="A4926" s="691"/>
      <c r="D4926" s="3"/>
    </row>
    <row r="4927" spans="1:4">
      <c r="A4927" s="691"/>
      <c r="D4927" s="3"/>
    </row>
    <row r="4928" spans="1:4">
      <c r="A4928" s="691"/>
      <c r="D4928" s="3"/>
    </row>
    <row r="4929" spans="1:4">
      <c r="A4929" s="691"/>
      <c r="D4929" s="3"/>
    </row>
    <row r="4930" spans="1:4">
      <c r="A4930" s="691"/>
      <c r="D4930" s="3"/>
    </row>
    <row r="4931" spans="1:4">
      <c r="A4931" s="691"/>
      <c r="D4931" s="3"/>
    </row>
    <row r="4932" spans="1:4">
      <c r="A4932" s="691"/>
      <c r="D4932" s="3"/>
    </row>
    <row r="4933" spans="1:4">
      <c r="A4933" s="691"/>
      <c r="D4933" s="3"/>
    </row>
    <row r="4934" spans="1:4">
      <c r="A4934" s="691"/>
      <c r="D4934" s="3"/>
    </row>
    <row r="4935" spans="1:4">
      <c r="A4935" s="691"/>
      <c r="D4935" s="3"/>
    </row>
    <row r="4936" spans="1:4">
      <c r="A4936" s="691"/>
      <c r="D4936" s="3"/>
    </row>
    <row r="4937" spans="1:4">
      <c r="A4937" s="691"/>
      <c r="D4937" s="3"/>
    </row>
    <row r="4938" spans="1:4">
      <c r="A4938" s="691"/>
      <c r="D4938" s="3"/>
    </row>
    <row r="4939" spans="1:4">
      <c r="A4939" s="691"/>
      <c r="D4939" s="3"/>
    </row>
    <row r="4940" spans="1:4">
      <c r="A4940" s="691"/>
      <c r="D4940" s="3"/>
    </row>
    <row r="4941" spans="1:4">
      <c r="A4941" s="691"/>
      <c r="D4941" s="3"/>
    </row>
    <row r="4942" spans="1:4">
      <c r="A4942" s="691"/>
      <c r="D4942" s="3"/>
    </row>
    <row r="4943" spans="1:4">
      <c r="A4943" s="691"/>
      <c r="D4943" s="3"/>
    </row>
    <row r="4944" spans="1:4">
      <c r="A4944" s="691"/>
      <c r="D4944" s="3"/>
    </row>
    <row r="4945" spans="1:4">
      <c r="A4945" s="691"/>
      <c r="D4945" s="3"/>
    </row>
    <row r="4946" spans="1:4">
      <c r="A4946" s="691"/>
      <c r="D4946" s="3"/>
    </row>
    <row r="4947" spans="1:4">
      <c r="A4947" s="691"/>
      <c r="D4947" s="3"/>
    </row>
    <row r="4948" spans="1:4">
      <c r="A4948" s="691"/>
      <c r="D4948" s="3"/>
    </row>
    <row r="4949" spans="1:4">
      <c r="A4949" s="691"/>
      <c r="D4949" s="3"/>
    </row>
    <row r="4950" spans="1:4">
      <c r="A4950" s="691"/>
      <c r="D4950" s="3"/>
    </row>
    <row r="4951" spans="1:4">
      <c r="A4951" s="691"/>
      <c r="D4951" s="3"/>
    </row>
    <row r="4952" spans="1:4">
      <c r="A4952" s="691"/>
      <c r="D4952" s="3"/>
    </row>
    <row r="4953" spans="1:4">
      <c r="A4953" s="691"/>
      <c r="D4953" s="3"/>
    </row>
    <row r="4954" spans="1:4">
      <c r="A4954" s="691"/>
      <c r="D4954" s="3"/>
    </row>
    <row r="4955" spans="1:4">
      <c r="A4955" s="691"/>
      <c r="D4955" s="3"/>
    </row>
    <row r="4956" spans="1:4">
      <c r="A4956" s="691"/>
      <c r="D4956" s="3"/>
    </row>
    <row r="4957" spans="1:4">
      <c r="A4957" s="691"/>
      <c r="D4957" s="3"/>
    </row>
    <row r="4958" spans="1:4">
      <c r="A4958" s="691"/>
      <c r="D4958" s="3"/>
    </row>
    <row r="4959" spans="1:4">
      <c r="A4959" s="691"/>
      <c r="D4959" s="3"/>
    </row>
    <row r="4960" spans="1:4">
      <c r="A4960" s="691"/>
      <c r="D4960" s="3"/>
    </row>
    <row r="4961" spans="1:4">
      <c r="A4961" s="691"/>
      <c r="D4961" s="3"/>
    </row>
    <row r="4962" spans="1:4">
      <c r="A4962" s="691"/>
      <c r="D4962" s="3"/>
    </row>
    <row r="4963" spans="1:4">
      <c r="A4963" s="691"/>
      <c r="D4963" s="3"/>
    </row>
    <row r="4964" spans="1:4">
      <c r="A4964" s="691"/>
      <c r="D4964" s="3"/>
    </row>
    <row r="4965" spans="1:4">
      <c r="A4965" s="691"/>
      <c r="D4965" s="3"/>
    </row>
    <row r="4966" spans="1:4">
      <c r="A4966" s="691"/>
      <c r="D4966" s="3"/>
    </row>
    <row r="4967" spans="1:4">
      <c r="A4967" s="691"/>
      <c r="D4967" s="3"/>
    </row>
    <row r="4968" spans="1:4">
      <c r="A4968" s="691"/>
      <c r="D4968" s="3"/>
    </row>
    <row r="4969" spans="1:4">
      <c r="A4969" s="691"/>
      <c r="D4969" s="3"/>
    </row>
    <row r="4970" spans="1:4">
      <c r="A4970" s="691"/>
      <c r="D4970" s="3"/>
    </row>
    <row r="4971" spans="1:4">
      <c r="A4971" s="691"/>
      <c r="D4971" s="3"/>
    </row>
    <row r="4972" spans="1:4">
      <c r="A4972" s="691"/>
      <c r="D4972" s="3"/>
    </row>
    <row r="4973" spans="1:4">
      <c r="A4973" s="691"/>
      <c r="D4973" s="3"/>
    </row>
    <row r="4974" spans="1:4">
      <c r="A4974" s="691"/>
      <c r="D4974" s="3"/>
    </row>
    <row r="4975" spans="1:4">
      <c r="A4975" s="691"/>
      <c r="D4975" s="3"/>
    </row>
    <row r="4976" spans="1:4">
      <c r="A4976" s="691"/>
      <c r="D4976" s="3"/>
    </row>
    <row r="4977" spans="1:4">
      <c r="A4977" s="691"/>
      <c r="D4977" s="3"/>
    </row>
    <row r="4978" spans="1:4">
      <c r="A4978" s="691"/>
      <c r="D4978" s="3"/>
    </row>
    <row r="4979" spans="1:4">
      <c r="A4979" s="691"/>
      <c r="D4979" s="3"/>
    </row>
    <row r="4980" spans="1:4">
      <c r="A4980" s="691"/>
      <c r="D4980" s="3"/>
    </row>
    <row r="4981" spans="1:4">
      <c r="A4981" s="691"/>
      <c r="D4981" s="3"/>
    </row>
    <row r="4982" spans="1:4">
      <c r="A4982" s="691"/>
      <c r="D4982" s="3"/>
    </row>
    <row r="4983" spans="1:4">
      <c r="A4983" s="691"/>
      <c r="D4983" s="3"/>
    </row>
    <row r="4984" spans="1:4">
      <c r="A4984" s="691"/>
      <c r="D4984" s="3"/>
    </row>
    <row r="4985" spans="1:4">
      <c r="A4985" s="691"/>
      <c r="D4985" s="3"/>
    </row>
    <row r="4986" spans="1:4">
      <c r="A4986" s="691"/>
      <c r="D4986" s="3"/>
    </row>
    <row r="4987" spans="1:4">
      <c r="A4987" s="691"/>
      <c r="D4987" s="3"/>
    </row>
    <row r="4988" spans="1:4">
      <c r="A4988" s="691"/>
      <c r="D4988" s="3"/>
    </row>
    <row r="4989" spans="1:4">
      <c r="A4989" s="691"/>
      <c r="D4989" s="3"/>
    </row>
    <row r="4990" spans="1:4">
      <c r="A4990" s="691"/>
      <c r="D4990" s="3"/>
    </row>
    <row r="4991" spans="1:4">
      <c r="A4991" s="691"/>
      <c r="D4991" s="3"/>
    </row>
    <row r="4992" spans="1:4">
      <c r="A4992" s="691"/>
      <c r="D4992" s="3"/>
    </row>
    <row r="4993" spans="1:4">
      <c r="A4993" s="691"/>
      <c r="D4993" s="3"/>
    </row>
    <row r="4994" spans="1:4">
      <c r="A4994" s="691"/>
      <c r="D4994" s="3"/>
    </row>
    <row r="4995" spans="1:4">
      <c r="A4995" s="691"/>
      <c r="D4995" s="3"/>
    </row>
    <row r="4996" spans="1:4">
      <c r="A4996" s="691"/>
      <c r="D4996" s="3"/>
    </row>
    <row r="4997" spans="1:4">
      <c r="A4997" s="691"/>
      <c r="D4997" s="3"/>
    </row>
    <row r="4998" spans="1:4">
      <c r="A4998" s="691"/>
      <c r="D4998" s="3"/>
    </row>
    <row r="4999" spans="1:4">
      <c r="A4999" s="691"/>
      <c r="D4999" s="3"/>
    </row>
    <row r="5000" spans="1:4">
      <c r="A5000" s="691"/>
      <c r="D5000" s="3"/>
    </row>
    <row r="5001" spans="1:4">
      <c r="A5001" s="691"/>
      <c r="D5001" s="3"/>
    </row>
    <row r="5002" spans="1:4">
      <c r="A5002" s="691"/>
      <c r="D5002" s="3"/>
    </row>
    <row r="5003" spans="1:4">
      <c r="A5003" s="691"/>
      <c r="D5003" s="3"/>
    </row>
    <row r="5004" spans="1:4">
      <c r="A5004" s="691"/>
      <c r="D5004" s="3"/>
    </row>
    <row r="5005" spans="1:4">
      <c r="A5005" s="691"/>
      <c r="D5005" s="3"/>
    </row>
    <row r="5006" spans="1:4">
      <c r="A5006" s="691"/>
      <c r="D5006" s="3"/>
    </row>
    <row r="5007" spans="1:4">
      <c r="A5007" s="691"/>
      <c r="D5007" s="3"/>
    </row>
    <row r="5008" spans="1:4">
      <c r="A5008" s="691"/>
      <c r="D5008" s="3"/>
    </row>
    <row r="5009" spans="1:4">
      <c r="A5009" s="691"/>
      <c r="D5009" s="3"/>
    </row>
    <row r="5010" spans="1:4">
      <c r="A5010" s="691"/>
      <c r="D5010" s="3"/>
    </row>
    <row r="5011" spans="1:4">
      <c r="A5011" s="691"/>
      <c r="D5011" s="3"/>
    </row>
    <row r="5012" spans="1:4">
      <c r="A5012" s="691"/>
      <c r="D5012" s="3"/>
    </row>
    <row r="5013" spans="1:4">
      <c r="A5013" s="691"/>
      <c r="D5013" s="3"/>
    </row>
    <row r="5014" spans="1:4">
      <c r="A5014" s="691"/>
      <c r="D5014" s="3"/>
    </row>
    <row r="5015" spans="1:4">
      <c r="A5015" s="691"/>
      <c r="D5015" s="3"/>
    </row>
    <row r="5016" spans="1:4">
      <c r="A5016" s="691"/>
      <c r="D5016" s="3"/>
    </row>
    <row r="5017" spans="1:4">
      <c r="A5017" s="691"/>
      <c r="D5017" s="3"/>
    </row>
    <row r="5018" spans="1:4">
      <c r="A5018" s="691"/>
      <c r="D5018" s="3"/>
    </row>
    <row r="5019" spans="1:4">
      <c r="A5019" s="691"/>
      <c r="D5019" s="3"/>
    </row>
    <row r="5020" spans="1:4">
      <c r="A5020" s="691"/>
      <c r="D5020" s="3"/>
    </row>
    <row r="5021" spans="1:4">
      <c r="A5021" s="691"/>
      <c r="D5021" s="3"/>
    </row>
    <row r="5022" spans="1:4">
      <c r="A5022" s="691"/>
      <c r="D5022" s="3"/>
    </row>
    <row r="5023" spans="1:4">
      <c r="A5023" s="691"/>
      <c r="D5023" s="3"/>
    </row>
    <row r="5024" spans="1:4">
      <c r="A5024" s="691"/>
      <c r="D5024" s="3"/>
    </row>
    <row r="5025" spans="1:4">
      <c r="A5025" s="691"/>
      <c r="D5025" s="3"/>
    </row>
    <row r="5026" spans="1:4">
      <c r="A5026" s="691"/>
      <c r="D5026" s="3"/>
    </row>
    <row r="5027" spans="1:4">
      <c r="A5027" s="691"/>
      <c r="D5027" s="3"/>
    </row>
    <row r="5028" spans="1:4">
      <c r="A5028" s="691"/>
      <c r="D5028" s="3"/>
    </row>
    <row r="5029" spans="1:4">
      <c r="A5029" s="691"/>
      <c r="D5029" s="3"/>
    </row>
    <row r="5030" spans="1:4">
      <c r="A5030" s="691"/>
      <c r="D5030" s="3"/>
    </row>
    <row r="5031" spans="1:4">
      <c r="A5031" s="691"/>
      <c r="D5031" s="3"/>
    </row>
    <row r="5032" spans="1:4">
      <c r="A5032" s="691"/>
      <c r="D5032" s="3"/>
    </row>
    <row r="5033" spans="1:4">
      <c r="A5033" s="691"/>
      <c r="D5033" s="3"/>
    </row>
    <row r="5034" spans="1:4">
      <c r="A5034" s="691"/>
      <c r="D5034" s="3"/>
    </row>
    <row r="5035" spans="1:4">
      <c r="A5035" s="691"/>
      <c r="D5035" s="3"/>
    </row>
    <row r="5036" spans="1:4">
      <c r="A5036" s="691"/>
      <c r="D5036" s="3"/>
    </row>
    <row r="5037" spans="1:4">
      <c r="A5037" s="691"/>
      <c r="D5037" s="3"/>
    </row>
    <row r="5038" spans="1:4">
      <c r="A5038" s="691"/>
      <c r="D5038" s="3"/>
    </row>
    <row r="5039" spans="1:4">
      <c r="A5039" s="691"/>
      <c r="D5039" s="3"/>
    </row>
    <row r="5040" spans="1:4">
      <c r="A5040" s="691"/>
      <c r="D5040" s="3"/>
    </row>
    <row r="5041" spans="1:4">
      <c r="A5041" s="691"/>
      <c r="D5041" s="3"/>
    </row>
    <row r="5042" spans="1:4">
      <c r="A5042" s="691"/>
      <c r="D5042" s="3"/>
    </row>
    <row r="5043" spans="1:4">
      <c r="A5043" s="691"/>
      <c r="D5043" s="3"/>
    </row>
    <row r="5044" spans="1:4">
      <c r="A5044" s="691"/>
      <c r="D5044" s="3"/>
    </row>
    <row r="5045" spans="1:4">
      <c r="A5045" s="691"/>
      <c r="D5045" s="3"/>
    </row>
    <row r="5046" spans="1:4">
      <c r="A5046" s="691"/>
      <c r="D5046" s="3"/>
    </row>
    <row r="5047" spans="1:4">
      <c r="A5047" s="691"/>
      <c r="D5047" s="3"/>
    </row>
    <row r="5048" spans="1:4">
      <c r="A5048" s="691"/>
      <c r="D5048" s="3"/>
    </row>
    <row r="5049" spans="1:4">
      <c r="A5049" s="691"/>
      <c r="D5049" s="3"/>
    </row>
    <row r="5050" spans="1:4">
      <c r="A5050" s="691"/>
      <c r="D5050" s="3"/>
    </row>
    <row r="5051" spans="1:4">
      <c r="A5051" s="691"/>
      <c r="D5051" s="3"/>
    </row>
    <row r="5052" spans="1:4">
      <c r="A5052" s="691"/>
      <c r="D5052" s="3"/>
    </row>
    <row r="5053" spans="1:4">
      <c r="A5053" s="691"/>
      <c r="D5053" s="3"/>
    </row>
    <row r="5054" spans="1:4">
      <c r="A5054" s="691"/>
      <c r="D5054" s="3"/>
    </row>
    <row r="5055" spans="1:4">
      <c r="A5055" s="691"/>
      <c r="D5055" s="3"/>
    </row>
    <row r="5056" spans="1:4">
      <c r="A5056" s="691"/>
      <c r="D5056" s="3"/>
    </row>
    <row r="5057" spans="1:4">
      <c r="A5057" s="691"/>
      <c r="D5057" s="3"/>
    </row>
    <row r="5058" spans="1:4">
      <c r="A5058" s="691"/>
      <c r="D5058" s="3"/>
    </row>
    <row r="5059" spans="1:4">
      <c r="A5059" s="691"/>
      <c r="D5059" s="3"/>
    </row>
    <row r="5060" spans="1:4">
      <c r="A5060" s="691"/>
      <c r="D5060" s="3"/>
    </row>
    <row r="5061" spans="1:4">
      <c r="A5061" s="691"/>
      <c r="D5061" s="3"/>
    </row>
    <row r="5062" spans="1:4">
      <c r="A5062" s="691"/>
      <c r="D5062" s="3"/>
    </row>
    <row r="5063" spans="1:4">
      <c r="A5063" s="691"/>
      <c r="D5063" s="3"/>
    </row>
    <row r="5064" spans="1:4">
      <c r="A5064" s="691"/>
      <c r="D5064" s="3"/>
    </row>
    <row r="5065" spans="1:4">
      <c r="A5065" s="691"/>
      <c r="D5065" s="3"/>
    </row>
    <row r="5066" spans="1:4">
      <c r="A5066" s="691"/>
      <c r="D5066" s="3"/>
    </row>
    <row r="5067" spans="1:4">
      <c r="A5067" s="691"/>
      <c r="D5067" s="3"/>
    </row>
    <row r="5068" spans="1:4">
      <c r="A5068" s="691"/>
      <c r="D5068" s="3"/>
    </row>
    <row r="5069" spans="1:4">
      <c r="A5069" s="691"/>
      <c r="D5069" s="3"/>
    </row>
    <row r="5070" spans="1:4">
      <c r="A5070" s="691"/>
      <c r="D5070" s="3"/>
    </row>
    <row r="5071" spans="1:4">
      <c r="A5071" s="691"/>
      <c r="D5071" s="3"/>
    </row>
    <row r="5072" spans="1:4">
      <c r="A5072" s="691"/>
      <c r="D5072" s="3"/>
    </row>
    <row r="5073" spans="1:4">
      <c r="A5073" s="691"/>
      <c r="D5073" s="3"/>
    </row>
    <row r="5074" spans="1:4">
      <c r="A5074" s="691"/>
      <c r="D5074" s="3"/>
    </row>
    <row r="5075" spans="1:4">
      <c r="A5075" s="691"/>
      <c r="D5075" s="3"/>
    </row>
    <row r="5076" spans="1:4">
      <c r="A5076" s="691"/>
      <c r="D5076" s="3"/>
    </row>
    <row r="5077" spans="1:4">
      <c r="A5077" s="691"/>
      <c r="D5077" s="3"/>
    </row>
    <row r="5078" spans="1:4">
      <c r="A5078" s="691"/>
      <c r="D5078" s="3"/>
    </row>
    <row r="5079" spans="1:4">
      <c r="A5079" s="691"/>
      <c r="D5079" s="3"/>
    </row>
    <row r="5080" spans="1:4">
      <c r="A5080" s="691"/>
      <c r="D5080" s="3"/>
    </row>
    <row r="5081" spans="1:4">
      <c r="A5081" s="691"/>
      <c r="D5081" s="3"/>
    </row>
    <row r="5082" spans="1:4">
      <c r="A5082" s="691"/>
      <c r="D5082" s="3"/>
    </row>
    <row r="5083" spans="1:4">
      <c r="A5083" s="691"/>
      <c r="D5083" s="3"/>
    </row>
    <row r="5084" spans="1:4">
      <c r="A5084" s="691"/>
      <c r="D5084" s="3"/>
    </row>
    <row r="5085" spans="1:4">
      <c r="A5085" s="691"/>
      <c r="D5085" s="3"/>
    </row>
    <row r="5086" spans="1:4">
      <c r="A5086" s="691"/>
      <c r="D5086" s="3"/>
    </row>
    <row r="5087" spans="1:4">
      <c r="A5087" s="691"/>
      <c r="D5087" s="3"/>
    </row>
    <row r="5088" spans="1:4">
      <c r="A5088" s="691"/>
      <c r="D5088" s="3"/>
    </row>
    <row r="5089" spans="1:4">
      <c r="A5089" s="691"/>
      <c r="D5089" s="3"/>
    </row>
    <row r="5090" spans="1:4">
      <c r="A5090" s="691"/>
      <c r="D5090" s="3"/>
    </row>
    <row r="5091" spans="1:4">
      <c r="A5091" s="691"/>
      <c r="D5091" s="3"/>
    </row>
    <row r="5092" spans="1:4">
      <c r="A5092" s="691"/>
      <c r="D5092" s="3"/>
    </row>
    <row r="5093" spans="1:4">
      <c r="A5093" s="691"/>
      <c r="D5093" s="3"/>
    </row>
    <row r="5094" spans="1:4">
      <c r="A5094" s="691"/>
      <c r="D5094" s="3"/>
    </row>
    <row r="5095" spans="1:4">
      <c r="A5095" s="691"/>
      <c r="D5095" s="3"/>
    </row>
    <row r="5096" spans="1:4">
      <c r="A5096" s="691"/>
      <c r="D5096" s="3"/>
    </row>
    <row r="5097" spans="1:4">
      <c r="A5097" s="691"/>
      <c r="D5097" s="3"/>
    </row>
    <row r="5098" spans="1:4">
      <c r="A5098" s="691"/>
      <c r="D5098" s="3"/>
    </row>
    <row r="5099" spans="1:4">
      <c r="A5099" s="691"/>
      <c r="D5099" s="3"/>
    </row>
    <row r="5100" spans="1:4">
      <c r="A5100" s="691"/>
      <c r="D5100" s="3"/>
    </row>
    <row r="5101" spans="1:4">
      <c r="A5101" s="691"/>
      <c r="D5101" s="3"/>
    </row>
    <row r="5102" spans="1:4">
      <c r="A5102" s="691"/>
      <c r="D5102" s="3"/>
    </row>
    <row r="5103" spans="1:4">
      <c r="A5103" s="691"/>
      <c r="D5103" s="3"/>
    </row>
    <row r="5104" spans="1:4">
      <c r="A5104" s="691"/>
      <c r="D5104" s="3"/>
    </row>
    <row r="5105" spans="1:4">
      <c r="A5105" s="691"/>
      <c r="D5105" s="3"/>
    </row>
    <row r="5106" spans="1:4">
      <c r="A5106" s="691"/>
      <c r="D5106" s="3"/>
    </row>
    <row r="5107" spans="1:4">
      <c r="A5107" s="691"/>
      <c r="D5107" s="3"/>
    </row>
    <row r="5108" spans="1:4">
      <c r="A5108" s="691"/>
      <c r="D5108" s="3"/>
    </row>
    <row r="5109" spans="1:4">
      <c r="A5109" s="691"/>
      <c r="D5109" s="3"/>
    </row>
    <row r="5110" spans="1:4">
      <c r="A5110" s="691"/>
      <c r="D5110" s="3"/>
    </row>
    <row r="5111" spans="1:4">
      <c r="A5111" s="691"/>
      <c r="D5111" s="3"/>
    </row>
    <row r="5112" spans="1:4">
      <c r="A5112" s="691"/>
      <c r="D5112" s="3"/>
    </row>
    <row r="5113" spans="1:4">
      <c r="A5113" s="691"/>
      <c r="D5113" s="3"/>
    </row>
    <row r="5114" spans="1:4">
      <c r="A5114" s="691"/>
      <c r="D5114" s="3"/>
    </row>
    <row r="5115" spans="1:4">
      <c r="A5115" s="691"/>
      <c r="D5115" s="3"/>
    </row>
    <row r="5116" spans="1:4">
      <c r="A5116" s="691"/>
      <c r="D5116" s="3"/>
    </row>
    <row r="5117" spans="1:4">
      <c r="A5117" s="691"/>
      <c r="D5117" s="3"/>
    </row>
    <row r="5118" spans="1:4">
      <c r="A5118" s="691"/>
      <c r="D5118" s="3"/>
    </row>
    <row r="5119" spans="1:4">
      <c r="A5119" s="691"/>
      <c r="D5119" s="3"/>
    </row>
    <row r="5120" spans="1:4">
      <c r="A5120" s="691"/>
      <c r="D5120" s="3"/>
    </row>
    <row r="5121" spans="1:4">
      <c r="A5121" s="691"/>
      <c r="D5121" s="3"/>
    </row>
    <row r="5122" spans="1:4">
      <c r="A5122" s="691"/>
      <c r="D5122" s="3"/>
    </row>
    <row r="5123" spans="1:4">
      <c r="A5123" s="691"/>
      <c r="D5123" s="3"/>
    </row>
    <row r="5124" spans="1:4">
      <c r="A5124" s="691"/>
      <c r="D5124" s="3"/>
    </row>
    <row r="5125" spans="1:4">
      <c r="A5125" s="691"/>
      <c r="D5125" s="3"/>
    </row>
    <row r="5126" spans="1:4">
      <c r="A5126" s="691"/>
      <c r="D5126" s="3"/>
    </row>
    <row r="5127" spans="1:4">
      <c r="A5127" s="691"/>
      <c r="D5127" s="3"/>
    </row>
    <row r="5128" spans="1:4">
      <c r="A5128" s="691"/>
      <c r="D5128" s="3"/>
    </row>
    <row r="5129" spans="1:4">
      <c r="A5129" s="691"/>
      <c r="D5129" s="3"/>
    </row>
    <row r="5130" spans="1:4">
      <c r="A5130" s="691"/>
      <c r="D5130" s="3"/>
    </row>
    <row r="5131" spans="1:4">
      <c r="A5131" s="691"/>
      <c r="D5131" s="3"/>
    </row>
    <row r="5132" spans="1:4">
      <c r="A5132" s="691"/>
      <c r="D5132" s="3"/>
    </row>
    <row r="5133" spans="1:4">
      <c r="A5133" s="691"/>
      <c r="D5133" s="3"/>
    </row>
    <row r="5134" spans="1:4">
      <c r="A5134" s="691"/>
      <c r="D5134" s="3"/>
    </row>
    <row r="5135" spans="1:4">
      <c r="A5135" s="691"/>
      <c r="D5135" s="3"/>
    </row>
    <row r="5136" spans="1:4">
      <c r="A5136" s="691"/>
      <c r="D5136" s="3"/>
    </row>
    <row r="5137" spans="1:4">
      <c r="A5137" s="691"/>
      <c r="D5137" s="3"/>
    </row>
    <row r="5138" spans="1:4">
      <c r="A5138" s="691"/>
      <c r="D5138" s="3"/>
    </row>
    <row r="5139" spans="1:4">
      <c r="A5139" s="691"/>
      <c r="D5139" s="3"/>
    </row>
    <row r="5140" spans="1:4">
      <c r="A5140" s="691"/>
      <c r="D5140" s="3"/>
    </row>
    <row r="5141" spans="1:4">
      <c r="A5141" s="691"/>
      <c r="D5141" s="3"/>
    </row>
    <row r="5142" spans="1:4">
      <c r="A5142" s="691"/>
      <c r="D5142" s="3"/>
    </row>
    <row r="5143" spans="1:4">
      <c r="A5143" s="691"/>
      <c r="D5143" s="3"/>
    </row>
    <row r="5144" spans="1:4">
      <c r="A5144" s="691"/>
      <c r="D5144" s="3"/>
    </row>
    <row r="5145" spans="1:4">
      <c r="A5145" s="691"/>
      <c r="D5145" s="3"/>
    </row>
    <row r="5146" spans="1:4">
      <c r="A5146" s="691"/>
      <c r="D5146" s="3"/>
    </row>
    <row r="5147" spans="1:4">
      <c r="A5147" s="691"/>
      <c r="D5147" s="3"/>
    </row>
    <row r="5148" spans="1:4">
      <c r="A5148" s="691"/>
      <c r="D5148" s="3"/>
    </row>
    <row r="5149" spans="1:4">
      <c r="A5149" s="691"/>
      <c r="D5149" s="3"/>
    </row>
    <row r="5150" spans="1:4">
      <c r="A5150" s="691"/>
      <c r="D5150" s="3"/>
    </row>
    <row r="5151" spans="1:4">
      <c r="A5151" s="691"/>
      <c r="D5151" s="3"/>
    </row>
    <row r="5152" spans="1:4">
      <c r="A5152" s="691"/>
      <c r="D5152" s="3"/>
    </row>
    <row r="5153" spans="1:4">
      <c r="A5153" s="691"/>
      <c r="D5153" s="3"/>
    </row>
    <row r="5154" spans="1:4">
      <c r="A5154" s="691"/>
      <c r="D5154" s="3"/>
    </row>
    <row r="5155" spans="1:4">
      <c r="A5155" s="691"/>
      <c r="D5155" s="3"/>
    </row>
    <row r="5156" spans="1:4">
      <c r="A5156" s="691"/>
      <c r="D5156" s="3"/>
    </row>
    <row r="5157" spans="1:4">
      <c r="A5157" s="691"/>
      <c r="D5157" s="3"/>
    </row>
    <row r="5158" spans="1:4">
      <c r="A5158" s="691"/>
      <c r="D5158" s="3"/>
    </row>
    <row r="5159" spans="1:4">
      <c r="A5159" s="691"/>
      <c r="D5159" s="3"/>
    </row>
    <row r="5160" spans="1:4">
      <c r="A5160" s="691"/>
      <c r="D5160" s="3"/>
    </row>
    <row r="5161" spans="1:4">
      <c r="A5161" s="691"/>
      <c r="D5161" s="3"/>
    </row>
    <row r="5162" spans="1:4">
      <c r="A5162" s="691"/>
      <c r="D5162" s="3"/>
    </row>
    <row r="5163" spans="1:4">
      <c r="A5163" s="691"/>
      <c r="D5163" s="3"/>
    </row>
    <row r="5164" spans="1:4">
      <c r="A5164" s="691"/>
      <c r="D5164" s="3"/>
    </row>
    <row r="5165" spans="1:4">
      <c r="A5165" s="691"/>
      <c r="D5165" s="3"/>
    </row>
    <row r="5166" spans="1:4">
      <c r="A5166" s="691"/>
      <c r="D5166" s="3"/>
    </row>
    <row r="5167" spans="1:4">
      <c r="A5167" s="691"/>
      <c r="D5167" s="3"/>
    </row>
    <row r="5168" spans="1:4">
      <c r="A5168" s="691"/>
      <c r="D5168" s="3"/>
    </row>
    <row r="5169" spans="1:4">
      <c r="A5169" s="691"/>
      <c r="D5169" s="3"/>
    </row>
    <row r="5170" spans="1:4">
      <c r="A5170" s="691"/>
      <c r="D5170" s="3"/>
    </row>
    <row r="5171" spans="1:4">
      <c r="A5171" s="691"/>
      <c r="D5171" s="3"/>
    </row>
    <row r="5172" spans="1:4">
      <c r="A5172" s="691"/>
      <c r="D5172" s="3"/>
    </row>
    <row r="5173" spans="1:4">
      <c r="A5173" s="691"/>
      <c r="D5173" s="3"/>
    </row>
    <row r="5174" spans="1:4">
      <c r="A5174" s="691"/>
      <c r="D5174" s="3"/>
    </row>
    <row r="5175" spans="1:4">
      <c r="A5175" s="691"/>
      <c r="D5175" s="3"/>
    </row>
    <row r="5176" spans="1:4">
      <c r="A5176" s="691"/>
      <c r="D5176" s="3"/>
    </row>
    <row r="5177" spans="1:4">
      <c r="A5177" s="691"/>
      <c r="D5177" s="3"/>
    </row>
    <row r="5178" spans="1:4">
      <c r="A5178" s="691"/>
      <c r="D5178" s="3"/>
    </row>
    <row r="5179" spans="1:4">
      <c r="A5179" s="691"/>
      <c r="D5179" s="3"/>
    </row>
    <row r="5180" spans="1:4">
      <c r="A5180" s="691"/>
      <c r="D5180" s="3"/>
    </row>
    <row r="5181" spans="1:4">
      <c r="A5181" s="691"/>
      <c r="D5181" s="3"/>
    </row>
    <row r="5182" spans="1:4">
      <c r="A5182" s="691"/>
      <c r="D5182" s="3"/>
    </row>
    <row r="5183" spans="1:4">
      <c r="A5183" s="691"/>
      <c r="D5183" s="3"/>
    </row>
    <row r="5184" spans="1:4">
      <c r="A5184" s="691"/>
      <c r="D5184" s="3"/>
    </row>
    <row r="5185" spans="1:4">
      <c r="A5185" s="691"/>
      <c r="D5185" s="3"/>
    </row>
    <row r="5186" spans="1:4">
      <c r="A5186" s="691"/>
      <c r="D5186" s="3"/>
    </row>
    <row r="5187" spans="1:4">
      <c r="A5187" s="691"/>
      <c r="D5187" s="3"/>
    </row>
    <row r="5188" spans="1:4">
      <c r="A5188" s="691"/>
      <c r="D5188" s="3"/>
    </row>
    <row r="5189" spans="1:4">
      <c r="A5189" s="691"/>
      <c r="D5189" s="3"/>
    </row>
    <row r="5190" spans="1:4">
      <c r="A5190" s="691"/>
      <c r="D5190" s="3"/>
    </row>
    <row r="5191" spans="1:4">
      <c r="A5191" s="691"/>
      <c r="D5191" s="3"/>
    </row>
    <row r="5192" spans="1:4">
      <c r="A5192" s="691"/>
      <c r="D5192" s="3"/>
    </row>
    <row r="5193" spans="1:4">
      <c r="A5193" s="691"/>
      <c r="D5193" s="3"/>
    </row>
    <row r="5194" spans="1:4">
      <c r="A5194" s="691"/>
      <c r="D5194" s="3"/>
    </row>
    <row r="5195" spans="1:4">
      <c r="A5195" s="691"/>
      <c r="D5195" s="3"/>
    </row>
    <row r="5196" spans="1:4">
      <c r="A5196" s="691"/>
      <c r="D5196" s="3"/>
    </row>
    <row r="5197" spans="1:4">
      <c r="A5197" s="691"/>
      <c r="D5197" s="3"/>
    </row>
    <row r="5198" spans="1:4">
      <c r="A5198" s="691"/>
      <c r="D5198" s="3"/>
    </row>
    <row r="5199" spans="1:4">
      <c r="A5199" s="691"/>
      <c r="D5199" s="3"/>
    </row>
    <row r="5200" spans="1:4">
      <c r="A5200" s="691"/>
      <c r="D5200" s="3"/>
    </row>
    <row r="5201" spans="1:4">
      <c r="A5201" s="691"/>
      <c r="D5201" s="3"/>
    </row>
    <row r="5202" spans="1:4">
      <c r="A5202" s="691"/>
      <c r="D5202" s="3"/>
    </row>
    <row r="5203" spans="1:4">
      <c r="A5203" s="691"/>
      <c r="D5203" s="3"/>
    </row>
    <row r="5204" spans="1:4">
      <c r="A5204" s="691"/>
      <c r="D5204" s="3"/>
    </row>
    <row r="5205" spans="1:4">
      <c r="A5205" s="691"/>
      <c r="D5205" s="3"/>
    </row>
    <row r="5206" spans="1:4">
      <c r="A5206" s="691"/>
      <c r="D5206" s="3"/>
    </row>
    <row r="5207" spans="1:4">
      <c r="A5207" s="691"/>
      <c r="D5207" s="3"/>
    </row>
    <row r="5208" spans="1:4">
      <c r="A5208" s="691"/>
      <c r="D5208" s="3"/>
    </row>
    <row r="5209" spans="1:4">
      <c r="A5209" s="691"/>
      <c r="D5209" s="3"/>
    </row>
    <row r="5210" spans="1:4">
      <c r="A5210" s="691"/>
      <c r="D5210" s="3"/>
    </row>
    <row r="5211" spans="1:4">
      <c r="A5211" s="691"/>
      <c r="D5211" s="3"/>
    </row>
    <row r="5212" spans="1:4">
      <c r="A5212" s="691"/>
      <c r="D5212" s="3"/>
    </row>
    <row r="5213" spans="1:4">
      <c r="A5213" s="691"/>
      <c r="D5213" s="3"/>
    </row>
    <row r="5214" spans="1:4">
      <c r="A5214" s="691"/>
      <c r="D5214" s="3"/>
    </row>
    <row r="5215" spans="1:4">
      <c r="A5215" s="691"/>
      <c r="D5215" s="3"/>
    </row>
    <row r="5216" spans="1:4">
      <c r="A5216" s="691"/>
      <c r="D5216" s="3"/>
    </row>
    <row r="5217" spans="1:4">
      <c r="A5217" s="691"/>
      <c r="D5217" s="3"/>
    </row>
    <row r="5218" spans="1:4">
      <c r="A5218" s="691"/>
      <c r="D5218" s="3"/>
    </row>
    <row r="5219" spans="1:4">
      <c r="A5219" s="691"/>
      <c r="D5219" s="3"/>
    </row>
    <row r="5220" spans="1:4">
      <c r="A5220" s="691"/>
      <c r="D5220" s="3"/>
    </row>
    <row r="5221" spans="1:4">
      <c r="A5221" s="691"/>
      <c r="D5221" s="3"/>
    </row>
    <row r="5222" spans="1:4">
      <c r="A5222" s="691"/>
      <c r="D5222" s="3"/>
    </row>
    <row r="5223" spans="1:4">
      <c r="A5223" s="691"/>
      <c r="D5223" s="3"/>
    </row>
    <row r="5224" spans="1:4">
      <c r="A5224" s="691"/>
      <c r="D5224" s="3"/>
    </row>
    <row r="5225" spans="1:4">
      <c r="A5225" s="691"/>
      <c r="D5225" s="3"/>
    </row>
    <row r="5226" spans="1:4">
      <c r="A5226" s="691"/>
      <c r="D5226" s="3"/>
    </row>
    <row r="5227" spans="1:4">
      <c r="A5227" s="691"/>
      <c r="D5227" s="3"/>
    </row>
    <row r="5228" spans="1:4">
      <c r="A5228" s="691"/>
      <c r="D5228" s="3"/>
    </row>
    <row r="5229" spans="1:4">
      <c r="A5229" s="691"/>
      <c r="D5229" s="3"/>
    </row>
    <row r="5230" spans="1:4">
      <c r="A5230" s="691"/>
      <c r="D5230" s="3"/>
    </row>
    <row r="5231" spans="1:4">
      <c r="A5231" s="691"/>
      <c r="D5231" s="3"/>
    </row>
    <row r="5232" spans="1:4">
      <c r="A5232" s="691"/>
      <c r="D5232" s="3"/>
    </row>
    <row r="5233" spans="1:4">
      <c r="A5233" s="691"/>
      <c r="D5233" s="3"/>
    </row>
    <row r="5234" spans="1:4">
      <c r="A5234" s="691"/>
      <c r="D5234" s="3"/>
    </row>
    <row r="5235" spans="1:4">
      <c r="A5235" s="691"/>
      <c r="D5235" s="3"/>
    </row>
    <row r="5236" spans="1:4">
      <c r="A5236" s="691"/>
      <c r="D5236" s="3"/>
    </row>
    <row r="5237" spans="1:4">
      <c r="A5237" s="691"/>
      <c r="D5237" s="3"/>
    </row>
    <row r="5238" spans="1:4">
      <c r="A5238" s="691"/>
      <c r="D5238" s="3"/>
    </row>
    <row r="5239" spans="1:4">
      <c r="A5239" s="691"/>
      <c r="D5239" s="3"/>
    </row>
    <row r="5240" spans="1:4">
      <c r="A5240" s="691"/>
      <c r="D5240" s="3"/>
    </row>
    <row r="5241" spans="1:4">
      <c r="A5241" s="691"/>
      <c r="D5241" s="3"/>
    </row>
    <row r="5242" spans="1:4">
      <c r="A5242" s="691"/>
      <c r="D5242" s="3"/>
    </row>
    <row r="5243" spans="1:4">
      <c r="A5243" s="691"/>
      <c r="D5243" s="3"/>
    </row>
    <row r="5244" spans="1:4">
      <c r="A5244" s="691"/>
      <c r="D5244" s="3"/>
    </row>
    <row r="5245" spans="1:4">
      <c r="A5245" s="691"/>
      <c r="D5245" s="3"/>
    </row>
    <row r="5246" spans="1:4">
      <c r="A5246" s="691"/>
      <c r="D5246" s="3"/>
    </row>
    <row r="5247" spans="1:4">
      <c r="A5247" s="691"/>
      <c r="D5247" s="3"/>
    </row>
    <row r="5248" spans="1:4">
      <c r="A5248" s="691"/>
      <c r="D5248" s="3"/>
    </row>
    <row r="5249" spans="1:4">
      <c r="A5249" s="691"/>
      <c r="D5249" s="3"/>
    </row>
    <row r="5250" spans="1:4">
      <c r="A5250" s="691"/>
      <c r="D5250" s="3"/>
    </row>
    <row r="5251" spans="1:4">
      <c r="A5251" s="691"/>
      <c r="D5251" s="3"/>
    </row>
    <row r="5252" spans="1:4">
      <c r="A5252" s="691"/>
      <c r="D5252" s="3"/>
    </row>
    <row r="5253" spans="1:4">
      <c r="A5253" s="691"/>
      <c r="D5253" s="3"/>
    </row>
    <row r="5254" spans="1:4">
      <c r="A5254" s="691"/>
      <c r="D5254" s="3"/>
    </row>
    <row r="5255" spans="1:4">
      <c r="A5255" s="691"/>
      <c r="D5255" s="3"/>
    </row>
    <row r="5256" spans="1:4">
      <c r="A5256" s="691"/>
      <c r="D5256" s="3"/>
    </row>
    <row r="5257" spans="1:4">
      <c r="A5257" s="691"/>
      <c r="D5257" s="3"/>
    </row>
    <row r="5258" spans="1:4">
      <c r="A5258" s="691"/>
      <c r="D5258" s="3"/>
    </row>
    <row r="5259" spans="1:4">
      <c r="A5259" s="691"/>
      <c r="D5259" s="3"/>
    </row>
    <row r="5260" spans="1:4">
      <c r="A5260" s="691"/>
      <c r="D5260" s="3"/>
    </row>
    <row r="5261" spans="1:4">
      <c r="A5261" s="691"/>
      <c r="D5261" s="3"/>
    </row>
    <row r="5262" spans="1:4">
      <c r="A5262" s="691"/>
      <c r="D5262" s="3"/>
    </row>
    <row r="5263" spans="1:4">
      <c r="A5263" s="691"/>
      <c r="D5263" s="3"/>
    </row>
    <row r="5264" spans="1:4">
      <c r="A5264" s="691"/>
      <c r="D5264" s="3"/>
    </row>
    <row r="5265" spans="1:4">
      <c r="A5265" s="691"/>
      <c r="D5265" s="3"/>
    </row>
    <row r="5266" spans="1:4">
      <c r="A5266" s="691"/>
      <c r="D5266" s="3"/>
    </row>
    <row r="5267" spans="1:4">
      <c r="A5267" s="691"/>
      <c r="D5267" s="3"/>
    </row>
    <row r="5268" spans="1:4">
      <c r="A5268" s="691"/>
      <c r="D5268" s="3"/>
    </row>
    <row r="5269" spans="1:4">
      <c r="A5269" s="691"/>
      <c r="D5269" s="3"/>
    </row>
    <row r="5270" spans="1:4">
      <c r="A5270" s="691"/>
      <c r="D5270" s="3"/>
    </row>
    <row r="5271" spans="1:4">
      <c r="A5271" s="691"/>
      <c r="D5271" s="3"/>
    </row>
    <row r="5272" spans="1:4">
      <c r="A5272" s="691"/>
      <c r="D5272" s="3"/>
    </row>
    <row r="5273" spans="1:4">
      <c r="A5273" s="691"/>
      <c r="D5273" s="3"/>
    </row>
    <row r="5274" spans="1:4">
      <c r="A5274" s="691"/>
      <c r="D5274" s="3"/>
    </row>
    <row r="5275" spans="1:4">
      <c r="A5275" s="691"/>
      <c r="D5275" s="3"/>
    </row>
    <row r="5276" spans="1:4">
      <c r="A5276" s="691"/>
      <c r="D5276" s="3"/>
    </row>
    <row r="5277" spans="1:4">
      <c r="A5277" s="691"/>
      <c r="D5277" s="3"/>
    </row>
    <row r="5278" spans="1:4">
      <c r="A5278" s="691"/>
      <c r="D5278" s="3"/>
    </row>
    <row r="5279" spans="1:4">
      <c r="A5279" s="691"/>
      <c r="D5279" s="3"/>
    </row>
    <row r="5280" spans="1:4">
      <c r="A5280" s="691"/>
      <c r="D5280" s="3"/>
    </row>
    <row r="5281" spans="1:4">
      <c r="A5281" s="691"/>
      <c r="D5281" s="3"/>
    </row>
    <row r="5282" spans="1:4">
      <c r="A5282" s="691"/>
      <c r="D5282" s="3"/>
    </row>
    <row r="5283" spans="1:4">
      <c r="A5283" s="691"/>
      <c r="D5283" s="3"/>
    </row>
    <row r="5284" spans="1:4">
      <c r="A5284" s="691"/>
      <c r="D5284" s="3"/>
    </row>
    <row r="5285" spans="1:4">
      <c r="A5285" s="691"/>
      <c r="D5285" s="3"/>
    </row>
    <row r="5286" spans="1:4">
      <c r="A5286" s="691"/>
      <c r="D5286" s="3"/>
    </row>
    <row r="5287" spans="1:4">
      <c r="A5287" s="691"/>
      <c r="D5287" s="3"/>
    </row>
    <row r="5288" spans="1:4">
      <c r="A5288" s="691"/>
      <c r="D5288" s="3"/>
    </row>
    <row r="5289" spans="1:4">
      <c r="A5289" s="691"/>
      <c r="D5289" s="3"/>
    </row>
    <row r="5290" spans="1:4">
      <c r="A5290" s="691"/>
      <c r="D5290" s="3"/>
    </row>
    <row r="5291" spans="1:4">
      <c r="A5291" s="691"/>
      <c r="D5291" s="3"/>
    </row>
    <row r="5292" spans="1:4">
      <c r="A5292" s="691"/>
      <c r="D5292" s="3"/>
    </row>
    <row r="5293" spans="1:4">
      <c r="A5293" s="691"/>
      <c r="D5293" s="3"/>
    </row>
    <row r="5294" spans="1:4">
      <c r="A5294" s="691"/>
      <c r="D5294" s="3"/>
    </row>
    <row r="5295" spans="1:4">
      <c r="A5295" s="691"/>
      <c r="D5295" s="3"/>
    </row>
    <row r="5296" spans="1:4">
      <c r="A5296" s="691"/>
      <c r="D5296" s="3"/>
    </row>
    <row r="5297" spans="1:4">
      <c r="A5297" s="691"/>
      <c r="D5297" s="3"/>
    </row>
    <row r="5298" spans="1:4">
      <c r="A5298" s="691"/>
      <c r="D5298" s="3"/>
    </row>
    <row r="5299" spans="1:4">
      <c r="A5299" s="691"/>
      <c r="D5299" s="3"/>
    </row>
    <row r="5300" spans="1:4">
      <c r="A5300" s="691"/>
      <c r="D5300" s="3"/>
    </row>
    <row r="5301" spans="1:4">
      <c r="A5301" s="691"/>
      <c r="D5301" s="3"/>
    </row>
    <row r="5302" spans="1:4">
      <c r="A5302" s="691"/>
      <c r="D5302" s="3"/>
    </row>
    <row r="5303" spans="1:4">
      <c r="A5303" s="691"/>
      <c r="D5303" s="3"/>
    </row>
    <row r="5304" spans="1:4">
      <c r="A5304" s="691"/>
      <c r="D5304" s="3"/>
    </row>
    <row r="5305" spans="1:4">
      <c r="A5305" s="691"/>
      <c r="D5305" s="3"/>
    </row>
    <row r="5306" spans="1:4">
      <c r="A5306" s="691"/>
      <c r="D5306" s="3"/>
    </row>
    <row r="5307" spans="1:4">
      <c r="A5307" s="691"/>
      <c r="D5307" s="3"/>
    </row>
    <row r="5308" spans="1:4">
      <c r="A5308" s="691"/>
      <c r="D5308" s="3"/>
    </row>
    <row r="5309" spans="1:4">
      <c r="A5309" s="691"/>
      <c r="D5309" s="3"/>
    </row>
    <row r="5310" spans="1:4">
      <c r="A5310" s="691"/>
      <c r="D5310" s="3"/>
    </row>
    <row r="5311" spans="1:4">
      <c r="A5311" s="691"/>
      <c r="D5311" s="3"/>
    </row>
    <row r="5312" spans="1:4">
      <c r="A5312" s="691"/>
      <c r="D5312" s="3"/>
    </row>
    <row r="5313" spans="1:4">
      <c r="A5313" s="691"/>
      <c r="D5313" s="3"/>
    </row>
    <row r="5314" spans="1:4">
      <c r="A5314" s="691"/>
      <c r="D5314" s="3"/>
    </row>
    <row r="5315" spans="1:4">
      <c r="A5315" s="691"/>
      <c r="D5315" s="3"/>
    </row>
    <row r="5316" spans="1:4">
      <c r="A5316" s="691"/>
      <c r="D5316" s="3"/>
    </row>
    <row r="5317" spans="1:4">
      <c r="A5317" s="691"/>
      <c r="D5317" s="3"/>
    </row>
    <row r="5318" spans="1:4">
      <c r="A5318" s="691"/>
      <c r="D5318" s="3"/>
    </row>
    <row r="5319" spans="1:4">
      <c r="A5319" s="691"/>
      <c r="D5319" s="3"/>
    </row>
    <row r="5320" spans="1:4">
      <c r="A5320" s="691"/>
      <c r="D5320" s="3"/>
    </row>
    <row r="5321" spans="1:4">
      <c r="A5321" s="691"/>
      <c r="D5321" s="3"/>
    </row>
    <row r="5322" spans="1:4">
      <c r="A5322" s="691"/>
      <c r="D5322" s="3"/>
    </row>
    <row r="5323" spans="1:4">
      <c r="A5323" s="691"/>
      <c r="D5323" s="3"/>
    </row>
    <row r="5324" spans="1:4">
      <c r="A5324" s="691"/>
      <c r="D5324" s="3"/>
    </row>
    <row r="5325" spans="1:4">
      <c r="A5325" s="691"/>
      <c r="D5325" s="3"/>
    </row>
    <row r="5326" spans="1:4">
      <c r="A5326" s="691"/>
      <c r="D5326" s="3"/>
    </row>
    <row r="5327" spans="1:4">
      <c r="A5327" s="691"/>
      <c r="D5327" s="3"/>
    </row>
    <row r="5328" spans="1:4">
      <c r="A5328" s="691"/>
      <c r="D5328" s="3"/>
    </row>
    <row r="5329" spans="1:4">
      <c r="A5329" s="691"/>
      <c r="D5329" s="3"/>
    </row>
    <row r="5330" spans="1:4">
      <c r="A5330" s="691"/>
      <c r="D5330" s="3"/>
    </row>
    <row r="5331" spans="1:4">
      <c r="A5331" s="691"/>
      <c r="D5331" s="3"/>
    </row>
    <row r="5332" spans="1:4">
      <c r="A5332" s="691"/>
      <c r="D5332" s="3"/>
    </row>
    <row r="5333" spans="1:4">
      <c r="A5333" s="691"/>
      <c r="D5333" s="3"/>
    </row>
    <row r="5334" spans="1:4">
      <c r="A5334" s="691"/>
      <c r="D5334" s="3"/>
    </row>
    <row r="5335" spans="1:4">
      <c r="A5335" s="691"/>
      <c r="D5335" s="3"/>
    </row>
    <row r="5336" spans="1:4">
      <c r="A5336" s="691"/>
      <c r="D5336" s="3"/>
    </row>
    <row r="5337" spans="1:4">
      <c r="A5337" s="691"/>
      <c r="D5337" s="3"/>
    </row>
    <row r="5338" spans="1:4">
      <c r="A5338" s="691"/>
      <c r="D5338" s="3"/>
    </row>
    <row r="5339" spans="1:4">
      <c r="A5339" s="691"/>
      <c r="D5339" s="3"/>
    </row>
    <row r="5340" spans="1:4">
      <c r="A5340" s="691"/>
      <c r="D5340" s="3"/>
    </row>
    <row r="5341" spans="1:4">
      <c r="A5341" s="691"/>
      <c r="D5341" s="3"/>
    </row>
    <row r="5342" spans="1:4">
      <c r="A5342" s="691"/>
      <c r="D5342" s="3"/>
    </row>
    <row r="5343" spans="1:4">
      <c r="A5343" s="691"/>
      <c r="D5343" s="3"/>
    </row>
    <row r="5344" spans="1:4">
      <c r="A5344" s="691"/>
      <c r="D5344" s="3"/>
    </row>
    <row r="5345" spans="1:4">
      <c r="A5345" s="691"/>
      <c r="D5345" s="3"/>
    </row>
    <row r="5346" spans="1:4">
      <c r="A5346" s="691"/>
      <c r="D5346" s="3"/>
    </row>
    <row r="5347" spans="1:4">
      <c r="A5347" s="691"/>
      <c r="D5347" s="3"/>
    </row>
    <row r="5348" spans="1:4">
      <c r="A5348" s="691"/>
      <c r="D5348" s="3"/>
    </row>
    <row r="5349" spans="1:4">
      <c r="A5349" s="691"/>
      <c r="D5349" s="3"/>
    </row>
    <row r="5350" spans="1:4">
      <c r="A5350" s="691"/>
      <c r="D5350" s="3"/>
    </row>
    <row r="5351" spans="1:4">
      <c r="A5351" s="691"/>
      <c r="D5351" s="3"/>
    </row>
    <row r="5352" spans="1:4">
      <c r="A5352" s="691"/>
      <c r="D5352" s="3"/>
    </row>
    <row r="5353" spans="1:4">
      <c r="A5353" s="691"/>
      <c r="D5353" s="3"/>
    </row>
    <row r="5354" spans="1:4">
      <c r="A5354" s="691"/>
      <c r="D5354" s="3"/>
    </row>
    <row r="5355" spans="1:4">
      <c r="A5355" s="691"/>
      <c r="D5355" s="3"/>
    </row>
    <row r="5356" spans="1:4">
      <c r="A5356" s="691"/>
      <c r="D5356" s="3"/>
    </row>
    <row r="5357" spans="1:4">
      <c r="A5357" s="691"/>
      <c r="D5357" s="3"/>
    </row>
    <row r="5358" spans="1:4">
      <c r="A5358" s="691"/>
      <c r="D5358" s="3"/>
    </row>
    <row r="5359" spans="1:4">
      <c r="A5359" s="691"/>
      <c r="D5359" s="3"/>
    </row>
    <row r="5360" spans="1:4">
      <c r="A5360" s="691"/>
      <c r="D5360" s="3"/>
    </row>
    <row r="5361" spans="1:4">
      <c r="A5361" s="691"/>
      <c r="D5361" s="3"/>
    </row>
    <row r="5362" spans="1:4">
      <c r="A5362" s="691"/>
      <c r="D5362" s="3"/>
    </row>
    <row r="5363" spans="1:4">
      <c r="A5363" s="691"/>
      <c r="D5363" s="3"/>
    </row>
    <row r="5364" spans="1:4">
      <c r="A5364" s="691"/>
      <c r="D5364" s="3"/>
    </row>
    <row r="5365" spans="1:4">
      <c r="A5365" s="691"/>
      <c r="D5365" s="3"/>
    </row>
    <row r="5366" spans="1:4">
      <c r="A5366" s="691"/>
      <c r="D5366" s="3"/>
    </row>
    <row r="5367" spans="1:4">
      <c r="A5367" s="691"/>
      <c r="D5367" s="3"/>
    </row>
    <row r="5368" spans="1:4">
      <c r="A5368" s="691"/>
      <c r="D5368" s="3"/>
    </row>
    <row r="5369" spans="1:4">
      <c r="A5369" s="691"/>
      <c r="D5369" s="3"/>
    </row>
    <row r="5370" spans="1:4">
      <c r="A5370" s="691"/>
      <c r="D5370" s="3"/>
    </row>
    <row r="5371" spans="1:4">
      <c r="A5371" s="691"/>
      <c r="D5371" s="3"/>
    </row>
    <row r="5372" spans="1:4">
      <c r="A5372" s="691"/>
      <c r="D5372" s="3"/>
    </row>
    <row r="5373" spans="1:4">
      <c r="A5373" s="691"/>
      <c r="D5373" s="3"/>
    </row>
    <row r="5374" spans="1:4">
      <c r="A5374" s="691"/>
      <c r="D5374" s="3"/>
    </row>
    <row r="5375" spans="1:4">
      <c r="A5375" s="691"/>
      <c r="D5375" s="3"/>
    </row>
    <row r="5376" spans="1:4">
      <c r="A5376" s="691"/>
      <c r="D5376" s="3"/>
    </row>
    <row r="5377" spans="1:4">
      <c r="A5377" s="691"/>
      <c r="D5377" s="3"/>
    </row>
    <row r="5378" spans="1:4">
      <c r="A5378" s="691"/>
      <c r="D5378" s="3"/>
    </row>
    <row r="5379" spans="1:4">
      <c r="A5379" s="691"/>
      <c r="D5379" s="3"/>
    </row>
    <row r="5380" spans="1:4">
      <c r="A5380" s="691"/>
      <c r="D5380" s="3"/>
    </row>
    <row r="5381" spans="1:4">
      <c r="A5381" s="691"/>
      <c r="D5381" s="3"/>
    </row>
    <row r="5382" spans="1:4">
      <c r="A5382" s="691"/>
      <c r="D5382" s="3"/>
    </row>
    <row r="5383" spans="1:4">
      <c r="A5383" s="691"/>
      <c r="D5383" s="3"/>
    </row>
    <row r="5384" spans="1:4">
      <c r="A5384" s="691"/>
      <c r="D5384" s="3"/>
    </row>
    <row r="5385" spans="1:4">
      <c r="A5385" s="691"/>
      <c r="D5385" s="3"/>
    </row>
    <row r="5386" spans="1:4">
      <c r="A5386" s="691"/>
      <c r="D5386" s="3"/>
    </row>
    <row r="5387" spans="1:4">
      <c r="A5387" s="691"/>
      <c r="D5387" s="3"/>
    </row>
    <row r="5388" spans="1:4">
      <c r="A5388" s="691"/>
      <c r="D5388" s="3"/>
    </row>
    <row r="5389" spans="1:4">
      <c r="A5389" s="691"/>
      <c r="D5389" s="3"/>
    </row>
    <row r="5390" spans="1:4">
      <c r="A5390" s="691"/>
      <c r="D5390" s="3"/>
    </row>
    <row r="5391" spans="1:4">
      <c r="A5391" s="691"/>
      <c r="D5391" s="3"/>
    </row>
    <row r="5392" spans="1:4">
      <c r="A5392" s="691"/>
      <c r="D5392" s="3"/>
    </row>
    <row r="5393" spans="1:4">
      <c r="A5393" s="691"/>
      <c r="D5393" s="3"/>
    </row>
    <row r="5394" spans="1:4">
      <c r="A5394" s="691"/>
      <c r="D5394" s="3"/>
    </row>
    <row r="5395" spans="1:4">
      <c r="A5395" s="691"/>
      <c r="D5395" s="3"/>
    </row>
    <row r="5396" spans="1:4">
      <c r="A5396" s="691"/>
      <c r="D5396" s="3"/>
    </row>
    <row r="5397" spans="1:4">
      <c r="A5397" s="691"/>
      <c r="D5397" s="3"/>
    </row>
    <row r="5398" spans="1:4">
      <c r="A5398" s="691"/>
      <c r="D5398" s="3"/>
    </row>
    <row r="5399" spans="1:4">
      <c r="A5399" s="691"/>
      <c r="D5399" s="3"/>
    </row>
    <row r="5400" spans="1:4">
      <c r="A5400" s="691"/>
      <c r="D5400" s="3"/>
    </row>
    <row r="5401" spans="1:4">
      <c r="A5401" s="691"/>
      <c r="D5401" s="3"/>
    </row>
    <row r="5402" spans="1:4">
      <c r="A5402" s="691"/>
      <c r="D5402" s="3"/>
    </row>
    <row r="5403" spans="1:4">
      <c r="A5403" s="691"/>
      <c r="D5403" s="3"/>
    </row>
    <row r="5404" spans="1:4">
      <c r="A5404" s="691"/>
      <c r="D5404" s="3"/>
    </row>
    <row r="5405" spans="1:4">
      <c r="A5405" s="691"/>
      <c r="D5405" s="3"/>
    </row>
    <row r="5406" spans="1:4">
      <c r="A5406" s="691"/>
      <c r="D5406" s="3"/>
    </row>
    <row r="5407" spans="1:4">
      <c r="A5407" s="691"/>
      <c r="D5407" s="3"/>
    </row>
    <row r="5408" spans="1:4">
      <c r="A5408" s="691"/>
      <c r="D5408" s="3"/>
    </row>
    <row r="5409" spans="1:4">
      <c r="A5409" s="691"/>
      <c r="D5409" s="3"/>
    </row>
    <row r="5410" spans="1:4">
      <c r="A5410" s="691"/>
      <c r="D5410" s="3"/>
    </row>
    <row r="5411" spans="1:4">
      <c r="A5411" s="691"/>
      <c r="D5411" s="3"/>
    </row>
    <row r="5412" spans="1:4">
      <c r="A5412" s="691"/>
      <c r="D5412" s="3"/>
    </row>
    <row r="5413" spans="1:4">
      <c r="A5413" s="691"/>
      <c r="D5413" s="3"/>
    </row>
    <row r="5414" spans="1:4">
      <c r="A5414" s="691"/>
      <c r="D5414" s="3"/>
    </row>
    <row r="5415" spans="1:4">
      <c r="A5415" s="691"/>
      <c r="D5415" s="3"/>
    </row>
    <row r="5416" spans="1:4">
      <c r="A5416" s="691"/>
      <c r="D5416" s="3"/>
    </row>
    <row r="5417" spans="1:4">
      <c r="A5417" s="691"/>
      <c r="D5417" s="3"/>
    </row>
    <row r="5418" spans="1:4">
      <c r="A5418" s="691"/>
      <c r="D5418" s="3"/>
    </row>
    <row r="5419" spans="1:4">
      <c r="A5419" s="691"/>
      <c r="D5419" s="3"/>
    </row>
    <row r="5420" spans="1:4">
      <c r="A5420" s="691"/>
      <c r="D5420" s="3"/>
    </row>
    <row r="5421" spans="1:4">
      <c r="A5421" s="691"/>
      <c r="D5421" s="3"/>
    </row>
    <row r="5422" spans="1:4">
      <c r="A5422" s="691"/>
      <c r="D5422" s="3"/>
    </row>
    <row r="5423" spans="1:4">
      <c r="A5423" s="691"/>
      <c r="D5423" s="3"/>
    </row>
    <row r="5424" spans="1:4">
      <c r="A5424" s="691"/>
      <c r="D5424" s="3"/>
    </row>
    <row r="5425" spans="1:4">
      <c r="A5425" s="691"/>
      <c r="D5425" s="3"/>
    </row>
    <row r="5426" spans="1:4">
      <c r="A5426" s="691"/>
      <c r="D5426" s="3"/>
    </row>
    <row r="5427" spans="1:4">
      <c r="A5427" s="691"/>
      <c r="D5427" s="3"/>
    </row>
    <row r="5428" spans="1:4">
      <c r="A5428" s="691"/>
      <c r="D5428" s="3"/>
    </row>
    <row r="5429" spans="1:4">
      <c r="A5429" s="691"/>
      <c r="D5429" s="3"/>
    </row>
    <row r="5430" spans="1:4">
      <c r="A5430" s="691"/>
      <c r="D5430" s="3"/>
    </row>
    <row r="5431" spans="1:4">
      <c r="A5431" s="691"/>
      <c r="D5431" s="3"/>
    </row>
    <row r="5432" spans="1:4">
      <c r="A5432" s="691"/>
      <c r="D5432" s="3"/>
    </row>
    <row r="5433" spans="1:4">
      <c r="A5433" s="691"/>
      <c r="D5433" s="3"/>
    </row>
    <row r="5434" spans="1:4">
      <c r="A5434" s="691"/>
      <c r="D5434" s="3"/>
    </row>
    <row r="5435" spans="1:4">
      <c r="A5435" s="691"/>
      <c r="D5435" s="3"/>
    </row>
    <row r="5436" spans="1:4">
      <c r="A5436" s="691"/>
      <c r="D5436" s="3"/>
    </row>
    <row r="5437" spans="1:4">
      <c r="A5437" s="691"/>
      <c r="D5437" s="3"/>
    </row>
    <row r="5438" spans="1:4">
      <c r="A5438" s="691"/>
      <c r="D5438" s="3"/>
    </row>
    <row r="5439" spans="1:4">
      <c r="A5439" s="691"/>
      <c r="D5439" s="3"/>
    </row>
    <row r="5440" spans="1:4">
      <c r="A5440" s="691"/>
      <c r="D5440" s="3"/>
    </row>
    <row r="5441" spans="1:4">
      <c r="A5441" s="691"/>
      <c r="D5441" s="3"/>
    </row>
    <row r="5442" spans="1:4">
      <c r="A5442" s="691"/>
      <c r="D5442" s="3"/>
    </row>
    <row r="5443" spans="1:4">
      <c r="A5443" s="691"/>
      <c r="D5443" s="3"/>
    </row>
    <row r="5444" spans="1:4">
      <c r="A5444" s="691"/>
      <c r="D5444" s="3"/>
    </row>
    <row r="5445" spans="1:4">
      <c r="A5445" s="691"/>
      <c r="D5445" s="3"/>
    </row>
    <row r="5446" spans="1:4">
      <c r="A5446" s="691"/>
      <c r="D5446" s="3"/>
    </row>
    <row r="5447" spans="1:4">
      <c r="A5447" s="691"/>
      <c r="D5447" s="3"/>
    </row>
    <row r="5448" spans="1:4">
      <c r="A5448" s="691"/>
      <c r="D5448" s="3"/>
    </row>
    <row r="5449" spans="1:4">
      <c r="A5449" s="691"/>
      <c r="D5449" s="3"/>
    </row>
    <row r="5450" spans="1:4">
      <c r="A5450" s="691"/>
      <c r="D5450" s="3"/>
    </row>
    <row r="5451" spans="1:4">
      <c r="A5451" s="691"/>
      <c r="D5451" s="3"/>
    </row>
    <row r="5452" spans="1:4">
      <c r="A5452" s="691"/>
      <c r="D5452" s="3"/>
    </row>
    <row r="5453" spans="1:4">
      <c r="A5453" s="691"/>
      <c r="D5453" s="3"/>
    </row>
    <row r="5454" spans="1:4">
      <c r="A5454" s="691"/>
      <c r="D5454" s="3"/>
    </row>
    <row r="5455" spans="1:4">
      <c r="A5455" s="691"/>
      <c r="D5455" s="3"/>
    </row>
    <row r="5456" spans="1:4">
      <c r="A5456" s="691"/>
      <c r="D5456" s="3"/>
    </row>
    <row r="5457" spans="1:4">
      <c r="A5457" s="691"/>
      <c r="D5457" s="3"/>
    </row>
    <row r="5458" spans="1:4">
      <c r="A5458" s="691"/>
      <c r="D5458" s="3"/>
    </row>
    <row r="5459" spans="1:4">
      <c r="A5459" s="691"/>
      <c r="D5459" s="3"/>
    </row>
    <row r="5460" spans="1:4">
      <c r="A5460" s="691"/>
      <c r="D5460" s="3"/>
    </row>
    <row r="5461" spans="1:4">
      <c r="A5461" s="691"/>
      <c r="D5461" s="3"/>
    </row>
    <row r="5462" spans="1:4">
      <c r="A5462" s="691"/>
      <c r="D5462" s="3"/>
    </row>
    <row r="5463" spans="1:4">
      <c r="A5463" s="691"/>
      <c r="D5463" s="3"/>
    </row>
    <row r="5464" spans="1:4">
      <c r="A5464" s="691"/>
      <c r="D5464" s="3"/>
    </row>
    <row r="5465" spans="1:4">
      <c r="A5465" s="691"/>
      <c r="D5465" s="3"/>
    </row>
    <row r="5466" spans="1:4">
      <c r="A5466" s="691"/>
      <c r="D5466" s="3"/>
    </row>
    <row r="5467" spans="1:4">
      <c r="A5467" s="691"/>
      <c r="D5467" s="3"/>
    </row>
    <row r="5468" spans="1:4">
      <c r="A5468" s="691"/>
      <c r="D5468" s="3"/>
    </row>
    <row r="5469" spans="1:4">
      <c r="A5469" s="691"/>
      <c r="D5469" s="3"/>
    </row>
    <row r="5470" spans="1:4">
      <c r="A5470" s="691"/>
      <c r="D5470" s="3"/>
    </row>
    <row r="5471" spans="1:4">
      <c r="A5471" s="691"/>
      <c r="D5471" s="3"/>
    </row>
    <row r="5472" spans="1:4">
      <c r="A5472" s="691"/>
      <c r="D5472" s="3"/>
    </row>
    <row r="5473" spans="1:4">
      <c r="A5473" s="691"/>
      <c r="D5473" s="3"/>
    </row>
    <row r="5474" spans="1:4">
      <c r="A5474" s="691"/>
      <c r="D5474" s="3"/>
    </row>
    <row r="5475" spans="1:4">
      <c r="A5475" s="691"/>
      <c r="D5475" s="3"/>
    </row>
    <row r="5476" spans="1:4">
      <c r="A5476" s="691"/>
      <c r="D5476" s="3"/>
    </row>
    <row r="5477" spans="1:4">
      <c r="A5477" s="691"/>
      <c r="D5477" s="3"/>
    </row>
    <row r="5478" spans="1:4">
      <c r="A5478" s="691"/>
      <c r="D5478" s="3"/>
    </row>
    <row r="5479" spans="1:4">
      <c r="A5479" s="691"/>
      <c r="D5479" s="3"/>
    </row>
    <row r="5480" spans="1:4">
      <c r="A5480" s="691"/>
      <c r="D5480" s="3"/>
    </row>
    <row r="5481" spans="1:4">
      <c r="A5481" s="691"/>
      <c r="D5481" s="3"/>
    </row>
    <row r="5482" spans="1:4">
      <c r="A5482" s="691"/>
      <c r="D5482" s="3"/>
    </row>
    <row r="5483" spans="1:4">
      <c r="A5483" s="691"/>
      <c r="D5483" s="3"/>
    </row>
    <row r="5484" spans="1:4">
      <c r="A5484" s="691"/>
      <c r="D5484" s="3"/>
    </row>
    <row r="5485" spans="1:4">
      <c r="A5485" s="691"/>
      <c r="D5485" s="3"/>
    </row>
    <row r="5486" spans="1:4">
      <c r="A5486" s="691"/>
      <c r="D5486" s="3"/>
    </row>
    <row r="5487" spans="1:4">
      <c r="A5487" s="691"/>
      <c r="D5487" s="3"/>
    </row>
    <row r="5488" spans="1:4">
      <c r="A5488" s="691"/>
      <c r="D5488" s="3"/>
    </row>
    <row r="5489" spans="1:4">
      <c r="A5489" s="691"/>
      <c r="D5489" s="3"/>
    </row>
    <row r="5490" spans="1:4">
      <c r="A5490" s="691"/>
      <c r="D5490" s="3"/>
    </row>
    <row r="5491" spans="1:4">
      <c r="A5491" s="691"/>
      <c r="D5491" s="3"/>
    </row>
    <row r="5492" spans="1:4">
      <c r="A5492" s="691"/>
      <c r="D5492" s="3"/>
    </row>
    <row r="5493" spans="1:4">
      <c r="A5493" s="691"/>
      <c r="D5493" s="3"/>
    </row>
    <row r="5494" spans="1:4">
      <c r="A5494" s="691"/>
      <c r="D5494" s="3"/>
    </row>
    <row r="5495" spans="1:4">
      <c r="A5495" s="691"/>
      <c r="D5495" s="3"/>
    </row>
    <row r="5496" spans="1:4">
      <c r="A5496" s="691"/>
      <c r="D5496" s="3"/>
    </row>
    <row r="5497" spans="1:4">
      <c r="A5497" s="691"/>
      <c r="D5497" s="3"/>
    </row>
    <row r="5498" spans="1:4">
      <c r="A5498" s="691"/>
      <c r="D5498" s="3"/>
    </row>
    <row r="5499" spans="1:4">
      <c r="A5499" s="691"/>
      <c r="D5499" s="3"/>
    </row>
    <row r="5500" spans="1:4">
      <c r="A5500" s="691"/>
      <c r="D5500" s="3"/>
    </row>
    <row r="5501" spans="1:4">
      <c r="A5501" s="691"/>
      <c r="D5501" s="3"/>
    </row>
    <row r="5502" spans="1:4">
      <c r="A5502" s="691"/>
      <c r="D5502" s="3"/>
    </row>
    <row r="5503" spans="1:4">
      <c r="A5503" s="691"/>
      <c r="D5503" s="3"/>
    </row>
    <row r="5504" spans="1:4">
      <c r="A5504" s="691"/>
      <c r="D5504" s="3"/>
    </row>
    <row r="5505" spans="1:4">
      <c r="A5505" s="691"/>
      <c r="D5505" s="3"/>
    </row>
    <row r="5506" spans="1:4">
      <c r="A5506" s="691"/>
      <c r="D5506" s="3"/>
    </row>
    <row r="5507" spans="1:4">
      <c r="A5507" s="691"/>
      <c r="D5507" s="3"/>
    </row>
    <row r="5508" spans="1:4">
      <c r="A5508" s="691"/>
      <c r="D5508" s="3"/>
    </row>
    <row r="5509" spans="1:4">
      <c r="A5509" s="691"/>
      <c r="D5509" s="3"/>
    </row>
    <row r="5510" spans="1:4">
      <c r="A5510" s="691"/>
      <c r="D5510" s="3"/>
    </row>
    <row r="5511" spans="1:4">
      <c r="A5511" s="691"/>
      <c r="D5511" s="3"/>
    </row>
    <row r="5512" spans="1:4">
      <c r="A5512" s="691"/>
      <c r="D5512" s="3"/>
    </row>
    <row r="5513" spans="1:4">
      <c r="A5513" s="691"/>
      <c r="D5513" s="3"/>
    </row>
    <row r="5514" spans="1:4">
      <c r="A5514" s="691"/>
      <c r="D5514" s="3"/>
    </row>
    <row r="5515" spans="1:4">
      <c r="A5515" s="691"/>
      <c r="D5515" s="3"/>
    </row>
    <row r="5516" spans="1:4">
      <c r="A5516" s="691"/>
      <c r="D5516" s="3"/>
    </row>
    <row r="5517" spans="1:4">
      <c r="A5517" s="691"/>
      <c r="D5517" s="3"/>
    </row>
    <row r="5518" spans="1:4">
      <c r="A5518" s="691"/>
      <c r="D5518" s="3"/>
    </row>
    <row r="5519" spans="1:4">
      <c r="A5519" s="691"/>
      <c r="D5519" s="3"/>
    </row>
    <row r="5520" spans="1:4">
      <c r="A5520" s="691"/>
      <c r="D5520" s="3"/>
    </row>
    <row r="5521" spans="1:4">
      <c r="A5521" s="691"/>
      <c r="D5521" s="3"/>
    </row>
    <row r="5522" spans="1:4">
      <c r="A5522" s="691"/>
      <c r="D5522" s="3"/>
    </row>
    <row r="5523" spans="1:4">
      <c r="A5523" s="691"/>
      <c r="D5523" s="3"/>
    </row>
    <row r="5524" spans="1:4">
      <c r="A5524" s="691"/>
      <c r="D5524" s="3"/>
    </row>
    <row r="5525" spans="1:4">
      <c r="A5525" s="691"/>
      <c r="D5525" s="3"/>
    </row>
    <row r="5526" spans="1:4">
      <c r="A5526" s="691"/>
      <c r="D5526" s="3"/>
    </row>
    <row r="5527" spans="1:4">
      <c r="A5527" s="691"/>
      <c r="D5527" s="3"/>
    </row>
    <row r="5528" spans="1:4">
      <c r="A5528" s="691"/>
      <c r="D5528" s="3"/>
    </row>
    <row r="5529" spans="1:4">
      <c r="A5529" s="691"/>
      <c r="D5529" s="3"/>
    </row>
    <row r="5530" spans="1:4">
      <c r="A5530" s="691"/>
      <c r="D5530" s="3"/>
    </row>
    <row r="5531" spans="1:4">
      <c r="A5531" s="691"/>
      <c r="D5531" s="3"/>
    </row>
    <row r="5532" spans="1:4">
      <c r="A5532" s="691"/>
      <c r="D5532" s="3"/>
    </row>
    <row r="5533" spans="1:4">
      <c r="A5533" s="691"/>
      <c r="D5533" s="3"/>
    </row>
    <row r="5534" spans="1:4">
      <c r="A5534" s="691"/>
      <c r="D5534" s="3"/>
    </row>
    <row r="5535" spans="1:4">
      <c r="A5535" s="691"/>
      <c r="D5535" s="3"/>
    </row>
    <row r="5536" spans="1:4">
      <c r="A5536" s="691"/>
      <c r="D5536" s="3"/>
    </row>
    <row r="5537" spans="1:4">
      <c r="A5537" s="691"/>
      <c r="D5537" s="3"/>
    </row>
    <row r="5538" spans="1:4">
      <c r="A5538" s="691"/>
      <c r="D5538" s="3"/>
    </row>
    <row r="5539" spans="1:4">
      <c r="A5539" s="691"/>
      <c r="D5539" s="3"/>
    </row>
    <row r="5540" spans="1:4">
      <c r="A5540" s="691"/>
      <c r="D5540" s="3"/>
    </row>
    <row r="5541" spans="1:4">
      <c r="A5541" s="691"/>
      <c r="D5541" s="3"/>
    </row>
    <row r="5542" spans="1:4">
      <c r="A5542" s="691"/>
      <c r="D5542" s="3"/>
    </row>
    <row r="5543" spans="1:4">
      <c r="A5543" s="691"/>
      <c r="D5543" s="3"/>
    </row>
    <row r="5544" spans="1:4">
      <c r="A5544" s="691"/>
      <c r="D5544" s="3"/>
    </row>
    <row r="5545" spans="1:4">
      <c r="A5545" s="691"/>
      <c r="D5545" s="3"/>
    </row>
    <row r="5546" spans="1:4">
      <c r="A5546" s="691"/>
      <c r="D5546" s="3"/>
    </row>
    <row r="5547" spans="1:4">
      <c r="A5547" s="691"/>
      <c r="D5547" s="3"/>
    </row>
    <row r="5548" spans="1:4">
      <c r="A5548" s="691"/>
      <c r="D5548" s="3"/>
    </row>
    <row r="5549" spans="1:4">
      <c r="A5549" s="691"/>
      <c r="D5549" s="3"/>
    </row>
    <row r="5550" spans="1:4">
      <c r="A5550" s="691"/>
      <c r="D5550" s="3"/>
    </row>
    <row r="5551" spans="1:4">
      <c r="A5551" s="691"/>
      <c r="D5551" s="3"/>
    </row>
    <row r="5552" spans="1:4">
      <c r="A5552" s="691"/>
      <c r="D5552" s="3"/>
    </row>
    <row r="5553" spans="1:4">
      <c r="A5553" s="691"/>
      <c r="D5553" s="3"/>
    </row>
    <row r="5554" spans="1:4">
      <c r="A5554" s="691"/>
      <c r="D5554" s="3"/>
    </row>
    <row r="5555" spans="1:4">
      <c r="A5555" s="691"/>
      <c r="D5555" s="3"/>
    </row>
    <row r="5556" spans="1:4">
      <c r="A5556" s="691"/>
      <c r="D5556" s="3"/>
    </row>
    <row r="5557" spans="1:4">
      <c r="A5557" s="691"/>
      <c r="D5557" s="3"/>
    </row>
    <row r="5558" spans="1:4">
      <c r="A5558" s="691"/>
      <c r="D5558" s="3"/>
    </row>
    <row r="5559" spans="1:4">
      <c r="A5559" s="691"/>
      <c r="D5559" s="3"/>
    </row>
    <row r="5560" spans="1:4">
      <c r="A5560" s="691"/>
      <c r="D5560" s="3"/>
    </row>
    <row r="5561" spans="1:4">
      <c r="A5561" s="691"/>
      <c r="D5561" s="3"/>
    </row>
    <row r="5562" spans="1:4">
      <c r="A5562" s="691"/>
      <c r="D5562" s="3"/>
    </row>
    <row r="5563" spans="1:4">
      <c r="A5563" s="691"/>
      <c r="D5563" s="3"/>
    </row>
    <row r="5564" spans="1:4">
      <c r="A5564" s="691"/>
      <c r="D5564" s="3"/>
    </row>
    <row r="5565" spans="1:4">
      <c r="A5565" s="691"/>
      <c r="D5565" s="3"/>
    </row>
    <row r="5566" spans="1:4">
      <c r="A5566" s="691"/>
      <c r="D5566" s="3"/>
    </row>
    <row r="5567" spans="1:4">
      <c r="A5567" s="691"/>
      <c r="D5567" s="3"/>
    </row>
    <row r="5568" spans="1:4">
      <c r="A5568" s="691"/>
      <c r="D5568" s="3"/>
    </row>
    <row r="5569" spans="1:4">
      <c r="A5569" s="691"/>
      <c r="D5569" s="3"/>
    </row>
    <row r="5570" spans="1:4">
      <c r="A5570" s="691"/>
      <c r="D5570" s="3"/>
    </row>
    <row r="5571" spans="1:4">
      <c r="A5571" s="691"/>
      <c r="D5571" s="3"/>
    </row>
    <row r="5572" spans="1:4">
      <c r="A5572" s="691"/>
      <c r="D5572" s="3"/>
    </row>
    <row r="5573" spans="1:4">
      <c r="A5573" s="691"/>
      <c r="D5573" s="3"/>
    </row>
    <row r="5574" spans="1:4">
      <c r="A5574" s="691"/>
      <c r="D5574" s="3"/>
    </row>
    <row r="5575" spans="1:4">
      <c r="A5575" s="691"/>
      <c r="D5575" s="3"/>
    </row>
    <row r="5576" spans="1:4">
      <c r="A5576" s="691"/>
      <c r="D5576" s="3"/>
    </row>
    <row r="5577" spans="1:4">
      <c r="A5577" s="691"/>
      <c r="D5577" s="3"/>
    </row>
    <row r="5578" spans="1:4">
      <c r="A5578" s="691"/>
      <c r="D5578" s="3"/>
    </row>
    <row r="5579" spans="1:4">
      <c r="A5579" s="691"/>
      <c r="D5579" s="3"/>
    </row>
    <row r="5580" spans="1:4">
      <c r="A5580" s="691"/>
      <c r="D5580" s="3"/>
    </row>
    <row r="5581" spans="1:4">
      <c r="A5581" s="691"/>
      <c r="D5581" s="3"/>
    </row>
    <row r="5582" spans="1:4">
      <c r="A5582" s="691"/>
      <c r="D5582" s="3"/>
    </row>
    <row r="5583" spans="1:4">
      <c r="A5583" s="691"/>
      <c r="D5583" s="3"/>
    </row>
    <row r="5584" spans="1:4">
      <c r="A5584" s="691"/>
      <c r="D5584" s="3"/>
    </row>
    <row r="5585" spans="1:4">
      <c r="A5585" s="691"/>
      <c r="D5585" s="3"/>
    </row>
    <row r="5586" spans="1:4">
      <c r="A5586" s="691"/>
      <c r="D5586" s="3"/>
    </row>
    <row r="5587" spans="1:4">
      <c r="A5587" s="691"/>
      <c r="D5587" s="3"/>
    </row>
    <row r="5588" spans="1:4">
      <c r="A5588" s="691"/>
      <c r="D5588" s="3"/>
    </row>
    <row r="5589" spans="1:4">
      <c r="A5589" s="691"/>
      <c r="D5589" s="3"/>
    </row>
    <row r="5590" spans="1:4">
      <c r="A5590" s="691"/>
      <c r="D5590" s="3"/>
    </row>
    <row r="5591" spans="1:4">
      <c r="A5591" s="691"/>
      <c r="D5591" s="3"/>
    </row>
    <row r="5592" spans="1:4">
      <c r="A5592" s="691"/>
      <c r="D5592" s="3"/>
    </row>
    <row r="5593" spans="1:4">
      <c r="A5593" s="691"/>
      <c r="D5593" s="3"/>
    </row>
    <row r="5594" spans="1:4">
      <c r="A5594" s="691"/>
      <c r="D5594" s="3"/>
    </row>
    <row r="5595" spans="1:4">
      <c r="A5595" s="691"/>
      <c r="D5595" s="3"/>
    </row>
    <row r="5596" spans="1:4">
      <c r="A5596" s="691"/>
      <c r="D5596" s="3"/>
    </row>
    <row r="5597" spans="1:4">
      <c r="A5597" s="691"/>
      <c r="D5597" s="3"/>
    </row>
    <row r="5598" spans="1:4">
      <c r="A5598" s="691"/>
      <c r="D5598" s="3"/>
    </row>
    <row r="5599" spans="1:4">
      <c r="A5599" s="691"/>
      <c r="D5599" s="3"/>
    </row>
    <row r="5600" spans="1:4">
      <c r="A5600" s="691"/>
      <c r="D5600" s="3"/>
    </row>
    <row r="5601" spans="1:4">
      <c r="A5601" s="691"/>
      <c r="D5601" s="3"/>
    </row>
    <row r="5602" spans="1:4">
      <c r="A5602" s="691"/>
      <c r="D5602" s="3"/>
    </row>
    <row r="5603" spans="1:4">
      <c r="A5603" s="691"/>
      <c r="D5603" s="3"/>
    </row>
    <row r="5604" spans="1:4">
      <c r="A5604" s="691"/>
      <c r="D5604" s="3"/>
    </row>
    <row r="5605" spans="1:4">
      <c r="A5605" s="691"/>
      <c r="D5605" s="3"/>
    </row>
    <row r="5606" spans="1:4">
      <c r="A5606" s="691"/>
      <c r="D5606" s="3"/>
    </row>
    <row r="5607" spans="1:4">
      <c r="A5607" s="691"/>
      <c r="D5607" s="3"/>
    </row>
    <row r="5608" spans="1:4">
      <c r="A5608" s="691"/>
      <c r="D5608" s="3"/>
    </row>
    <row r="5609" spans="1:4">
      <c r="A5609" s="691"/>
      <c r="D5609" s="3"/>
    </row>
    <row r="5610" spans="1:4">
      <c r="A5610" s="691"/>
      <c r="D5610" s="3"/>
    </row>
    <row r="5611" spans="1:4">
      <c r="A5611" s="691"/>
      <c r="D5611" s="3"/>
    </row>
    <row r="5612" spans="1:4">
      <c r="A5612" s="691"/>
      <c r="D5612" s="3"/>
    </row>
    <row r="5613" spans="1:4">
      <c r="A5613" s="691"/>
      <c r="D5613" s="3"/>
    </row>
    <row r="5614" spans="1:4">
      <c r="A5614" s="691"/>
      <c r="D5614" s="3"/>
    </row>
    <row r="5615" spans="1:4">
      <c r="A5615" s="691"/>
      <c r="D5615" s="3"/>
    </row>
    <row r="5616" spans="1:4">
      <c r="A5616" s="691"/>
      <c r="D5616" s="3"/>
    </row>
    <row r="5617" spans="1:4">
      <c r="A5617" s="691"/>
      <c r="D5617" s="3"/>
    </row>
    <row r="5618" spans="1:4">
      <c r="A5618" s="691"/>
      <c r="D5618" s="3"/>
    </row>
    <row r="5619" spans="1:4">
      <c r="A5619" s="691"/>
      <c r="D5619" s="3"/>
    </row>
    <row r="5620" spans="1:4">
      <c r="A5620" s="691"/>
      <c r="D5620" s="3"/>
    </row>
    <row r="5621" spans="1:4">
      <c r="A5621" s="691"/>
      <c r="D5621" s="3"/>
    </row>
    <row r="5622" spans="1:4">
      <c r="A5622" s="691"/>
      <c r="D5622" s="3"/>
    </row>
    <row r="5623" spans="1:4">
      <c r="A5623" s="691"/>
      <c r="D5623" s="3"/>
    </row>
    <row r="5624" spans="1:4">
      <c r="A5624" s="691"/>
      <c r="D5624" s="3"/>
    </row>
    <row r="5625" spans="1:4">
      <c r="A5625" s="691"/>
      <c r="D5625" s="3"/>
    </row>
    <row r="5626" spans="1:4">
      <c r="A5626" s="691"/>
      <c r="D5626" s="3"/>
    </row>
    <row r="5627" spans="1:4">
      <c r="A5627" s="691"/>
      <c r="D5627" s="3"/>
    </row>
    <row r="5628" spans="1:4">
      <c r="A5628" s="691"/>
      <c r="D5628" s="3"/>
    </row>
    <row r="5629" spans="1:4">
      <c r="A5629" s="691"/>
      <c r="D5629" s="3"/>
    </row>
    <row r="5630" spans="1:4">
      <c r="A5630" s="691"/>
      <c r="D5630" s="3"/>
    </row>
    <row r="5631" spans="1:4">
      <c r="A5631" s="691"/>
      <c r="D5631" s="3"/>
    </row>
    <row r="5632" spans="1:4">
      <c r="A5632" s="691"/>
      <c r="D5632" s="3"/>
    </row>
    <row r="5633" spans="1:4">
      <c r="A5633" s="691"/>
      <c r="D5633" s="3"/>
    </row>
    <row r="5634" spans="1:4">
      <c r="A5634" s="691"/>
      <c r="D5634" s="3"/>
    </row>
    <row r="5635" spans="1:4">
      <c r="A5635" s="691"/>
      <c r="D5635" s="3"/>
    </row>
    <row r="5636" spans="1:4">
      <c r="A5636" s="691"/>
      <c r="D5636" s="3"/>
    </row>
    <row r="5637" spans="1:4">
      <c r="A5637" s="691"/>
      <c r="D5637" s="3"/>
    </row>
    <row r="5638" spans="1:4">
      <c r="A5638" s="691"/>
      <c r="D5638" s="3"/>
    </row>
    <row r="5639" spans="1:4">
      <c r="A5639" s="691"/>
      <c r="D5639" s="3"/>
    </row>
    <row r="5640" spans="1:4">
      <c r="A5640" s="691"/>
      <c r="D5640" s="3"/>
    </row>
    <row r="5641" spans="1:4">
      <c r="A5641" s="691"/>
      <c r="D5641" s="3"/>
    </row>
    <row r="5642" spans="1:4">
      <c r="A5642" s="691"/>
      <c r="D5642" s="3"/>
    </row>
    <row r="5643" spans="1:4">
      <c r="A5643" s="691"/>
      <c r="D5643" s="3"/>
    </row>
    <row r="5644" spans="1:4">
      <c r="A5644" s="691"/>
      <c r="D5644" s="3"/>
    </row>
    <row r="5645" spans="1:4">
      <c r="A5645" s="691"/>
      <c r="D5645" s="3"/>
    </row>
    <row r="5646" spans="1:4">
      <c r="A5646" s="691"/>
      <c r="D5646" s="3"/>
    </row>
    <row r="5647" spans="1:4">
      <c r="A5647" s="691"/>
      <c r="D5647" s="3"/>
    </row>
    <row r="5648" spans="1:4">
      <c r="A5648" s="691"/>
      <c r="D5648" s="3"/>
    </row>
    <row r="5649" spans="1:4">
      <c r="A5649" s="691"/>
      <c r="D5649" s="3"/>
    </row>
    <row r="5650" spans="1:4">
      <c r="A5650" s="691"/>
      <c r="D5650" s="3"/>
    </row>
    <row r="5651" spans="1:4">
      <c r="A5651" s="691"/>
      <c r="D5651" s="3"/>
    </row>
    <row r="5652" spans="1:4">
      <c r="A5652" s="691"/>
      <c r="D5652" s="3"/>
    </row>
    <row r="5653" spans="1:4">
      <c r="A5653" s="691"/>
      <c r="D5653" s="3"/>
    </row>
    <row r="5654" spans="1:4">
      <c r="A5654" s="691"/>
      <c r="D5654" s="3"/>
    </row>
    <row r="5655" spans="1:4">
      <c r="A5655" s="691"/>
      <c r="D5655" s="3"/>
    </row>
    <row r="5656" spans="1:4">
      <c r="A5656" s="691"/>
      <c r="D5656" s="3"/>
    </row>
    <row r="5657" spans="1:4">
      <c r="A5657" s="691"/>
      <c r="D5657" s="3"/>
    </row>
    <row r="5658" spans="1:4">
      <c r="A5658" s="691"/>
      <c r="D5658" s="3"/>
    </row>
    <row r="5659" spans="1:4">
      <c r="A5659" s="691"/>
      <c r="D5659" s="3"/>
    </row>
    <row r="5660" spans="1:4">
      <c r="A5660" s="691"/>
      <c r="D5660" s="3"/>
    </row>
    <row r="5661" spans="1:4">
      <c r="A5661" s="691"/>
      <c r="D5661" s="3"/>
    </row>
    <row r="5662" spans="1:4">
      <c r="A5662" s="691"/>
      <c r="D5662" s="3"/>
    </row>
    <row r="5663" spans="1:4">
      <c r="A5663" s="691"/>
      <c r="D5663" s="3"/>
    </row>
    <row r="5664" spans="1:4">
      <c r="A5664" s="691"/>
      <c r="D5664" s="3"/>
    </row>
    <row r="5665" spans="1:4">
      <c r="A5665" s="691"/>
      <c r="D5665" s="3"/>
    </row>
    <row r="5666" spans="1:4">
      <c r="A5666" s="691"/>
      <c r="D5666" s="3"/>
    </row>
    <row r="5667" spans="1:4">
      <c r="A5667" s="691"/>
      <c r="D5667" s="3"/>
    </row>
    <row r="5668" spans="1:4">
      <c r="A5668" s="691"/>
      <c r="D5668" s="3"/>
    </row>
    <row r="5669" spans="1:4">
      <c r="A5669" s="691"/>
      <c r="D5669" s="3"/>
    </row>
    <row r="5670" spans="1:4">
      <c r="A5670" s="691"/>
      <c r="D5670" s="3"/>
    </row>
    <row r="5671" spans="1:4">
      <c r="A5671" s="691"/>
      <c r="D5671" s="3"/>
    </row>
    <row r="5672" spans="1:4">
      <c r="A5672" s="691"/>
      <c r="D5672" s="3"/>
    </row>
    <row r="5673" spans="1:4">
      <c r="A5673" s="691"/>
      <c r="D5673" s="3"/>
    </row>
    <row r="5674" spans="1:4">
      <c r="A5674" s="691"/>
      <c r="D5674" s="3"/>
    </row>
    <row r="5675" spans="1:4">
      <c r="A5675" s="691"/>
      <c r="D5675" s="3"/>
    </row>
    <row r="5676" spans="1:4">
      <c r="A5676" s="691"/>
      <c r="D5676" s="3"/>
    </row>
    <row r="5677" spans="1:4">
      <c r="A5677" s="691"/>
      <c r="D5677" s="3"/>
    </row>
    <row r="5678" spans="1:4">
      <c r="A5678" s="691"/>
      <c r="D5678" s="3"/>
    </row>
    <row r="5679" spans="1:4">
      <c r="A5679" s="691"/>
      <c r="D5679" s="3"/>
    </row>
    <row r="5680" spans="1:4">
      <c r="A5680" s="691"/>
      <c r="D5680" s="3"/>
    </row>
    <row r="5681" spans="1:4">
      <c r="A5681" s="691"/>
      <c r="D5681" s="3"/>
    </row>
    <row r="5682" spans="1:4">
      <c r="A5682" s="691"/>
      <c r="D5682" s="3"/>
    </row>
    <row r="5683" spans="1:4">
      <c r="A5683" s="691"/>
      <c r="D5683" s="3"/>
    </row>
    <row r="5684" spans="1:4">
      <c r="A5684" s="691"/>
      <c r="D5684" s="3"/>
    </row>
    <row r="5685" spans="1:4">
      <c r="A5685" s="691"/>
      <c r="D5685" s="3"/>
    </row>
    <row r="5686" spans="1:4">
      <c r="A5686" s="691"/>
      <c r="D5686" s="3"/>
    </row>
    <row r="5687" spans="1:4">
      <c r="A5687" s="691"/>
      <c r="D5687" s="3"/>
    </row>
    <row r="5688" spans="1:4">
      <c r="A5688" s="691"/>
      <c r="D5688" s="3"/>
    </row>
    <row r="5689" spans="1:4">
      <c r="A5689" s="691"/>
      <c r="D5689" s="3"/>
    </row>
    <row r="5690" spans="1:4">
      <c r="A5690" s="691"/>
      <c r="D5690" s="3"/>
    </row>
    <row r="5691" spans="1:4">
      <c r="A5691" s="691"/>
      <c r="D5691" s="3"/>
    </row>
    <row r="5692" spans="1:4">
      <c r="A5692" s="691"/>
      <c r="D5692" s="3"/>
    </row>
    <row r="5693" spans="1:4">
      <c r="A5693" s="691"/>
      <c r="D5693" s="3"/>
    </row>
    <row r="5694" spans="1:4">
      <c r="A5694" s="691"/>
      <c r="D5694" s="3"/>
    </row>
    <row r="5695" spans="1:4">
      <c r="A5695" s="691"/>
      <c r="D5695" s="3"/>
    </row>
    <row r="5696" spans="1:4">
      <c r="A5696" s="691"/>
      <c r="D5696" s="3"/>
    </row>
    <row r="5697" spans="1:4">
      <c r="A5697" s="691"/>
      <c r="D5697" s="3"/>
    </row>
    <row r="5698" spans="1:4">
      <c r="A5698" s="691"/>
      <c r="D5698" s="3"/>
    </row>
    <row r="5699" spans="1:4">
      <c r="A5699" s="691"/>
      <c r="D5699" s="3"/>
    </row>
    <row r="5700" spans="1:4">
      <c r="A5700" s="691"/>
      <c r="D5700" s="3"/>
    </row>
    <row r="5701" spans="1:4">
      <c r="A5701" s="691"/>
      <c r="D5701" s="3"/>
    </row>
    <row r="5702" spans="1:4">
      <c r="A5702" s="691"/>
      <c r="D5702" s="3"/>
    </row>
    <row r="5703" spans="1:4">
      <c r="A5703" s="691"/>
      <c r="D5703" s="3"/>
    </row>
    <row r="5704" spans="1:4">
      <c r="A5704" s="691"/>
      <c r="D5704" s="3"/>
    </row>
    <row r="5705" spans="1:4">
      <c r="A5705" s="691"/>
      <c r="D5705" s="3"/>
    </row>
    <row r="5706" spans="1:4">
      <c r="A5706" s="691"/>
      <c r="D5706" s="3"/>
    </row>
    <row r="5707" spans="1:4">
      <c r="A5707" s="691"/>
      <c r="D5707" s="3"/>
    </row>
    <row r="5708" spans="1:4">
      <c r="A5708" s="691"/>
      <c r="D5708" s="3"/>
    </row>
    <row r="5709" spans="1:4">
      <c r="A5709" s="691"/>
      <c r="D5709" s="3"/>
    </row>
    <row r="5710" spans="1:4">
      <c r="A5710" s="691"/>
      <c r="D5710" s="3"/>
    </row>
    <row r="5711" spans="1:4">
      <c r="A5711" s="691"/>
      <c r="D5711" s="3"/>
    </row>
    <row r="5712" spans="1:4">
      <c r="A5712" s="691"/>
      <c r="D5712" s="3"/>
    </row>
    <row r="5713" spans="1:4">
      <c r="A5713" s="691"/>
      <c r="D5713" s="3"/>
    </row>
    <row r="5714" spans="1:4">
      <c r="A5714" s="691"/>
      <c r="D5714" s="3"/>
    </row>
    <row r="5715" spans="1:4">
      <c r="A5715" s="691"/>
      <c r="D5715" s="3"/>
    </row>
    <row r="5716" spans="1:4">
      <c r="A5716" s="691"/>
      <c r="D5716" s="3"/>
    </row>
    <row r="5717" spans="1:4">
      <c r="A5717" s="691"/>
      <c r="D5717" s="3"/>
    </row>
    <row r="5718" spans="1:4">
      <c r="A5718" s="691"/>
      <c r="D5718" s="3"/>
    </row>
    <row r="5719" spans="1:4">
      <c r="A5719" s="691"/>
      <c r="D5719" s="3"/>
    </row>
    <row r="5720" spans="1:4">
      <c r="A5720" s="691"/>
      <c r="D5720" s="3"/>
    </row>
    <row r="5721" spans="1:4">
      <c r="A5721" s="691"/>
      <c r="D5721" s="3"/>
    </row>
    <row r="5722" spans="1:4">
      <c r="A5722" s="691"/>
      <c r="D5722" s="3"/>
    </row>
    <row r="5723" spans="1:4">
      <c r="A5723" s="691"/>
      <c r="D5723" s="3"/>
    </row>
    <row r="5724" spans="1:4">
      <c r="A5724" s="691"/>
      <c r="D5724" s="3"/>
    </row>
    <row r="5725" spans="1:4">
      <c r="A5725" s="691"/>
      <c r="D5725" s="3"/>
    </row>
    <row r="5726" spans="1:4">
      <c r="A5726" s="691"/>
      <c r="D5726" s="3"/>
    </row>
    <row r="5727" spans="1:4">
      <c r="A5727" s="691"/>
      <c r="D5727" s="3"/>
    </row>
    <row r="5728" spans="1:4">
      <c r="A5728" s="691"/>
      <c r="D5728" s="3"/>
    </row>
    <row r="5729" spans="1:4">
      <c r="A5729" s="691"/>
      <c r="D5729" s="3"/>
    </row>
    <row r="5730" spans="1:4">
      <c r="A5730" s="691"/>
      <c r="D5730" s="3"/>
    </row>
    <row r="5731" spans="1:4">
      <c r="A5731" s="691"/>
      <c r="D5731" s="3"/>
    </row>
    <row r="5732" spans="1:4">
      <c r="A5732" s="691"/>
      <c r="D5732" s="3"/>
    </row>
    <row r="5733" spans="1:4">
      <c r="A5733" s="691"/>
      <c r="D5733" s="3"/>
    </row>
    <row r="5734" spans="1:4">
      <c r="A5734" s="691"/>
      <c r="D5734" s="3"/>
    </row>
    <row r="5735" spans="1:4">
      <c r="A5735" s="691"/>
      <c r="D5735" s="3"/>
    </row>
    <row r="5736" spans="1:4">
      <c r="A5736" s="691"/>
      <c r="D5736" s="3"/>
    </row>
    <row r="5737" spans="1:4">
      <c r="A5737" s="691"/>
      <c r="D5737" s="3"/>
    </row>
    <row r="5738" spans="1:4">
      <c r="A5738" s="691"/>
      <c r="D5738" s="3"/>
    </row>
    <row r="5739" spans="1:4">
      <c r="A5739" s="691"/>
      <c r="D5739" s="3"/>
    </row>
    <row r="5740" spans="1:4">
      <c r="A5740" s="691"/>
      <c r="D5740" s="3"/>
    </row>
    <row r="5741" spans="1:4">
      <c r="A5741" s="691"/>
      <c r="D5741" s="3"/>
    </row>
    <row r="5742" spans="1:4">
      <c r="A5742" s="691"/>
      <c r="D5742" s="3"/>
    </row>
    <row r="5743" spans="1:4">
      <c r="A5743" s="691"/>
      <c r="D5743" s="3"/>
    </row>
    <row r="5744" spans="1:4">
      <c r="A5744" s="691"/>
      <c r="D5744" s="3"/>
    </row>
    <row r="5745" spans="1:4">
      <c r="A5745" s="691"/>
      <c r="D5745" s="3"/>
    </row>
    <row r="5746" spans="1:4">
      <c r="A5746" s="691"/>
      <c r="D5746" s="3"/>
    </row>
    <row r="5747" spans="1:4">
      <c r="A5747" s="691"/>
      <c r="D5747" s="3"/>
    </row>
    <row r="5748" spans="1:4">
      <c r="A5748" s="691"/>
      <c r="D5748" s="3"/>
    </row>
    <row r="5749" spans="1:4">
      <c r="A5749" s="691"/>
      <c r="D5749" s="3"/>
    </row>
    <row r="5750" spans="1:4">
      <c r="A5750" s="691"/>
      <c r="D5750" s="3"/>
    </row>
    <row r="5751" spans="1:4">
      <c r="A5751" s="691"/>
      <c r="D5751" s="3"/>
    </row>
    <row r="5752" spans="1:4">
      <c r="A5752" s="691"/>
      <c r="D5752" s="3"/>
    </row>
    <row r="5753" spans="1:4">
      <c r="A5753" s="691"/>
      <c r="D5753" s="3"/>
    </row>
    <row r="5754" spans="1:4">
      <c r="A5754" s="691"/>
      <c r="D5754" s="3"/>
    </row>
    <row r="5755" spans="1:4">
      <c r="A5755" s="691"/>
      <c r="D5755" s="3"/>
    </row>
    <row r="5756" spans="1:4">
      <c r="A5756" s="691"/>
      <c r="D5756" s="3"/>
    </row>
    <row r="5757" spans="1:4">
      <c r="A5757" s="691"/>
      <c r="D5757" s="3"/>
    </row>
    <row r="5758" spans="1:4">
      <c r="A5758" s="691"/>
      <c r="D5758" s="3"/>
    </row>
    <row r="5759" spans="1:4">
      <c r="A5759" s="691"/>
      <c r="D5759" s="3"/>
    </row>
    <row r="5760" spans="1:4">
      <c r="A5760" s="691"/>
      <c r="D5760" s="3"/>
    </row>
    <row r="5761" spans="1:4">
      <c r="A5761" s="691"/>
      <c r="D5761" s="3"/>
    </row>
    <row r="5762" spans="1:4">
      <c r="A5762" s="691"/>
      <c r="D5762" s="3"/>
    </row>
    <row r="5763" spans="1:4">
      <c r="A5763" s="691"/>
      <c r="D5763" s="3"/>
    </row>
    <row r="5764" spans="1:4">
      <c r="A5764" s="691"/>
      <c r="D5764" s="3"/>
    </row>
    <row r="5765" spans="1:4">
      <c r="A5765" s="691"/>
      <c r="D5765" s="3"/>
    </row>
    <row r="5766" spans="1:4">
      <c r="A5766" s="691"/>
      <c r="D5766" s="3"/>
    </row>
    <row r="5767" spans="1:4">
      <c r="A5767" s="691"/>
      <c r="D5767" s="3"/>
    </row>
    <row r="5768" spans="1:4">
      <c r="A5768" s="691"/>
      <c r="D5768" s="3"/>
    </row>
    <row r="5769" spans="1:4">
      <c r="A5769" s="691"/>
      <c r="D5769" s="3"/>
    </row>
    <row r="5770" spans="1:4">
      <c r="A5770" s="691"/>
      <c r="D5770" s="3"/>
    </row>
    <row r="5771" spans="1:4">
      <c r="A5771" s="691"/>
      <c r="D5771" s="3"/>
    </row>
    <row r="5772" spans="1:4">
      <c r="A5772" s="691"/>
      <c r="D5772" s="3"/>
    </row>
    <row r="5773" spans="1:4">
      <c r="A5773" s="691"/>
      <c r="D5773" s="3"/>
    </row>
    <row r="5774" spans="1:4">
      <c r="A5774" s="691"/>
      <c r="D5774" s="3"/>
    </row>
    <row r="5775" spans="1:4">
      <c r="A5775" s="691"/>
      <c r="D5775" s="3"/>
    </row>
    <row r="5776" spans="1:4">
      <c r="A5776" s="691"/>
      <c r="D5776" s="3"/>
    </row>
    <row r="5777" spans="1:4">
      <c r="A5777" s="691"/>
      <c r="D5777" s="3"/>
    </row>
    <row r="5778" spans="1:4">
      <c r="A5778" s="691"/>
      <c r="D5778" s="3"/>
    </row>
    <row r="5779" spans="1:4">
      <c r="A5779" s="691"/>
      <c r="D5779" s="3"/>
    </row>
    <row r="5780" spans="1:4">
      <c r="A5780" s="691"/>
      <c r="D5780" s="3"/>
    </row>
    <row r="5781" spans="1:4">
      <c r="A5781" s="691"/>
      <c r="D5781" s="3"/>
    </row>
    <row r="5782" spans="1:4">
      <c r="A5782" s="691"/>
      <c r="D5782" s="3"/>
    </row>
    <row r="5783" spans="1:4">
      <c r="A5783" s="691"/>
      <c r="D5783" s="3"/>
    </row>
    <row r="5784" spans="1:4">
      <c r="A5784" s="691"/>
      <c r="D5784" s="3"/>
    </row>
    <row r="5785" spans="1:4">
      <c r="A5785" s="691"/>
      <c r="D5785" s="3"/>
    </row>
    <row r="5786" spans="1:4">
      <c r="A5786" s="691"/>
      <c r="D5786" s="3"/>
    </row>
    <row r="5787" spans="1:4">
      <c r="A5787" s="691"/>
      <c r="D5787" s="3"/>
    </row>
    <row r="5788" spans="1:4">
      <c r="A5788" s="691"/>
      <c r="D5788" s="3"/>
    </row>
    <row r="5789" spans="1:4">
      <c r="A5789" s="691"/>
      <c r="D5789" s="3"/>
    </row>
    <row r="5790" spans="1:4">
      <c r="A5790" s="691"/>
      <c r="D5790" s="3"/>
    </row>
    <row r="5791" spans="1:4">
      <c r="A5791" s="691"/>
      <c r="D5791" s="3"/>
    </row>
    <row r="5792" spans="1:4">
      <c r="A5792" s="691"/>
      <c r="D5792" s="3"/>
    </row>
    <row r="5793" spans="1:4">
      <c r="A5793" s="691"/>
      <c r="D5793" s="3"/>
    </row>
    <row r="5794" spans="1:4">
      <c r="A5794" s="691"/>
      <c r="D5794" s="3"/>
    </row>
    <row r="5795" spans="1:4">
      <c r="A5795" s="691"/>
      <c r="D5795" s="3"/>
    </row>
    <row r="5796" spans="1:4">
      <c r="A5796" s="691"/>
      <c r="D5796" s="3"/>
    </row>
    <row r="5797" spans="1:4">
      <c r="A5797" s="691"/>
      <c r="D5797" s="3"/>
    </row>
    <row r="5798" spans="1:4">
      <c r="A5798" s="691"/>
      <c r="D5798" s="3"/>
    </row>
    <row r="5799" spans="1:4">
      <c r="A5799" s="691"/>
      <c r="D5799" s="3"/>
    </row>
    <row r="5800" spans="1:4">
      <c r="A5800" s="691"/>
      <c r="D5800" s="3"/>
    </row>
    <row r="5801" spans="1:4">
      <c r="A5801" s="691"/>
      <c r="D5801" s="3"/>
    </row>
    <row r="5802" spans="1:4">
      <c r="A5802" s="691"/>
      <c r="D5802" s="3"/>
    </row>
    <row r="5803" spans="1:4">
      <c r="A5803" s="691"/>
      <c r="D5803" s="3"/>
    </row>
    <row r="5804" spans="1:4">
      <c r="A5804" s="691"/>
      <c r="D5804" s="3"/>
    </row>
    <row r="5805" spans="1:4">
      <c r="A5805" s="691"/>
      <c r="D5805" s="3"/>
    </row>
    <row r="5806" spans="1:4">
      <c r="A5806" s="691"/>
      <c r="D5806" s="3"/>
    </row>
    <row r="5807" spans="1:4">
      <c r="A5807" s="691"/>
      <c r="D5807" s="3"/>
    </row>
    <row r="5808" spans="1:4">
      <c r="A5808" s="691"/>
      <c r="D5808" s="3"/>
    </row>
    <row r="5809" spans="1:4">
      <c r="A5809" s="691"/>
      <c r="D5809" s="3"/>
    </row>
    <row r="5810" spans="1:4">
      <c r="A5810" s="691"/>
      <c r="D5810" s="3"/>
    </row>
    <row r="5811" spans="1:4">
      <c r="A5811" s="691"/>
      <c r="D5811" s="3"/>
    </row>
    <row r="5812" spans="1:4">
      <c r="A5812" s="691"/>
      <c r="D5812" s="3"/>
    </row>
    <row r="5813" spans="1:4">
      <c r="A5813" s="691"/>
      <c r="D5813" s="3"/>
    </row>
    <row r="5814" spans="1:4">
      <c r="A5814" s="691"/>
      <c r="D5814" s="3"/>
    </row>
    <row r="5815" spans="1:4">
      <c r="A5815" s="691"/>
      <c r="D5815" s="3"/>
    </row>
    <row r="5816" spans="1:4">
      <c r="A5816" s="691"/>
      <c r="D5816" s="3"/>
    </row>
    <row r="5817" spans="1:4">
      <c r="A5817" s="691"/>
      <c r="D5817" s="3"/>
    </row>
    <row r="5818" spans="1:4">
      <c r="A5818" s="691"/>
      <c r="D5818" s="3"/>
    </row>
    <row r="5819" spans="1:4">
      <c r="A5819" s="691"/>
      <c r="D5819" s="3"/>
    </row>
    <row r="5820" spans="1:4">
      <c r="A5820" s="691"/>
      <c r="D5820" s="3"/>
    </row>
    <row r="5821" spans="1:4">
      <c r="A5821" s="691"/>
      <c r="D5821" s="3"/>
    </row>
    <row r="5822" spans="1:4">
      <c r="A5822" s="691"/>
      <c r="D5822" s="3"/>
    </row>
    <row r="5823" spans="1:4">
      <c r="A5823" s="691"/>
      <c r="D5823" s="3"/>
    </row>
    <row r="5824" spans="1:4">
      <c r="A5824" s="691"/>
      <c r="D5824" s="3"/>
    </row>
    <row r="5825" spans="1:4">
      <c r="A5825" s="691"/>
      <c r="D5825" s="3"/>
    </row>
    <row r="5826" spans="1:4">
      <c r="A5826" s="691"/>
      <c r="D5826" s="3"/>
    </row>
    <row r="5827" spans="1:4">
      <c r="A5827" s="691"/>
      <c r="D5827" s="3"/>
    </row>
    <row r="5828" spans="1:4">
      <c r="A5828" s="691"/>
      <c r="D5828" s="3"/>
    </row>
    <row r="5829" spans="1:4">
      <c r="A5829" s="691"/>
      <c r="D5829" s="3"/>
    </row>
    <row r="5830" spans="1:4">
      <c r="A5830" s="691"/>
      <c r="D5830" s="3"/>
    </row>
    <row r="5831" spans="1:4">
      <c r="A5831" s="691"/>
      <c r="D5831" s="3"/>
    </row>
    <row r="5832" spans="1:4">
      <c r="A5832" s="691"/>
      <c r="D5832" s="3"/>
    </row>
    <row r="5833" spans="1:4">
      <c r="A5833" s="691"/>
      <c r="D5833" s="3"/>
    </row>
    <row r="5834" spans="1:4">
      <c r="A5834" s="691"/>
      <c r="D5834" s="3"/>
    </row>
    <row r="5835" spans="1:4">
      <c r="A5835" s="691"/>
      <c r="D5835" s="3"/>
    </row>
    <row r="5836" spans="1:4">
      <c r="A5836" s="691"/>
      <c r="D5836" s="3"/>
    </row>
    <row r="5837" spans="1:4">
      <c r="A5837" s="691"/>
      <c r="D5837" s="3"/>
    </row>
    <row r="5838" spans="1:4">
      <c r="A5838" s="691"/>
      <c r="D5838" s="3"/>
    </row>
    <row r="5839" spans="1:4">
      <c r="A5839" s="691"/>
      <c r="D5839" s="3"/>
    </row>
    <row r="5840" spans="1:4">
      <c r="A5840" s="691"/>
      <c r="D5840" s="3"/>
    </row>
    <row r="5841" spans="1:4">
      <c r="A5841" s="691"/>
      <c r="D5841" s="3"/>
    </row>
    <row r="5842" spans="1:4">
      <c r="A5842" s="691"/>
      <c r="D5842" s="3"/>
    </row>
    <row r="5843" spans="1:4">
      <c r="A5843" s="691"/>
      <c r="D5843" s="3"/>
    </row>
    <row r="5844" spans="1:4">
      <c r="A5844" s="691"/>
      <c r="D5844" s="3"/>
    </row>
    <row r="5845" spans="1:4">
      <c r="A5845" s="691"/>
      <c r="D5845" s="3"/>
    </row>
    <row r="5846" spans="1:4">
      <c r="A5846" s="691"/>
      <c r="D5846" s="3"/>
    </row>
    <row r="5847" spans="1:4">
      <c r="A5847" s="691"/>
      <c r="D5847" s="3"/>
    </row>
    <row r="5848" spans="1:4">
      <c r="A5848" s="691"/>
      <c r="D5848" s="3"/>
    </row>
    <row r="5849" spans="1:4">
      <c r="A5849" s="691"/>
      <c r="D5849" s="3"/>
    </row>
    <row r="5850" spans="1:4">
      <c r="A5850" s="691"/>
      <c r="D5850" s="3"/>
    </row>
    <row r="5851" spans="1:4">
      <c r="A5851" s="691"/>
      <c r="D5851" s="3"/>
    </row>
    <row r="5852" spans="1:4">
      <c r="A5852" s="691"/>
      <c r="D5852" s="3"/>
    </row>
    <row r="5853" spans="1:4">
      <c r="A5853" s="691"/>
      <c r="D5853" s="3"/>
    </row>
    <row r="5854" spans="1:4">
      <c r="A5854" s="691"/>
      <c r="D5854" s="3"/>
    </row>
    <row r="5855" spans="1:4">
      <c r="A5855" s="691"/>
      <c r="D5855" s="3"/>
    </row>
    <row r="5856" spans="1:4">
      <c r="A5856" s="691"/>
      <c r="D5856" s="3"/>
    </row>
    <row r="5857" spans="1:4">
      <c r="A5857" s="691"/>
      <c r="D5857" s="3"/>
    </row>
    <row r="5858" spans="1:4">
      <c r="A5858" s="691"/>
      <c r="D5858" s="3"/>
    </row>
    <row r="5859" spans="1:4">
      <c r="A5859" s="691"/>
      <c r="D5859" s="3"/>
    </row>
    <row r="5860" spans="1:4">
      <c r="A5860" s="691"/>
      <c r="D5860" s="3"/>
    </row>
    <row r="5861" spans="1:4">
      <c r="A5861" s="691"/>
      <c r="D5861" s="3"/>
    </row>
    <row r="5862" spans="1:4">
      <c r="A5862" s="691"/>
      <c r="D5862" s="3"/>
    </row>
    <row r="5863" spans="1:4">
      <c r="A5863" s="691"/>
      <c r="D5863" s="3"/>
    </row>
    <row r="5864" spans="1:4">
      <c r="A5864" s="691"/>
      <c r="D5864" s="3"/>
    </row>
    <row r="5865" spans="1:4">
      <c r="A5865" s="691"/>
      <c r="D5865" s="3"/>
    </row>
    <row r="5866" spans="1:4">
      <c r="A5866" s="691"/>
      <c r="D5866" s="3"/>
    </row>
    <row r="5867" spans="1:4">
      <c r="A5867" s="691"/>
      <c r="D5867" s="3"/>
    </row>
    <row r="5868" spans="1:4">
      <c r="A5868" s="691"/>
      <c r="D5868" s="3"/>
    </row>
    <row r="5869" spans="1:4">
      <c r="A5869" s="691"/>
      <c r="D5869" s="3"/>
    </row>
    <row r="5870" spans="1:4">
      <c r="A5870" s="691"/>
      <c r="D5870" s="3"/>
    </row>
    <row r="5871" spans="1:4">
      <c r="A5871" s="691"/>
      <c r="D5871" s="3"/>
    </row>
    <row r="5872" spans="1:4">
      <c r="A5872" s="691"/>
      <c r="D5872" s="3"/>
    </row>
    <row r="5873" spans="1:4">
      <c r="A5873" s="691"/>
      <c r="D5873" s="3"/>
    </row>
    <row r="5874" spans="1:4">
      <c r="A5874" s="691"/>
      <c r="D5874" s="3"/>
    </row>
    <row r="5875" spans="1:4">
      <c r="A5875" s="691"/>
      <c r="D5875" s="3"/>
    </row>
    <row r="5876" spans="1:4">
      <c r="A5876" s="691"/>
      <c r="D5876" s="3"/>
    </row>
    <row r="5877" spans="1:4">
      <c r="A5877" s="691"/>
      <c r="D5877" s="3"/>
    </row>
    <row r="5878" spans="1:4">
      <c r="A5878" s="691"/>
      <c r="D5878" s="3"/>
    </row>
    <row r="5879" spans="1:4">
      <c r="A5879" s="691"/>
      <c r="D5879" s="3"/>
    </row>
    <row r="5880" spans="1:4">
      <c r="A5880" s="691"/>
      <c r="D5880" s="3"/>
    </row>
    <row r="5881" spans="1:4">
      <c r="A5881" s="691"/>
      <c r="D5881" s="3"/>
    </row>
    <row r="5882" spans="1:4">
      <c r="A5882" s="691"/>
      <c r="D5882" s="3"/>
    </row>
    <row r="5883" spans="1:4">
      <c r="A5883" s="691"/>
      <c r="D5883" s="3"/>
    </row>
    <row r="5884" spans="1:4">
      <c r="A5884" s="691"/>
      <c r="D5884" s="3"/>
    </row>
    <row r="5885" spans="1:4">
      <c r="A5885" s="691"/>
      <c r="D5885" s="3"/>
    </row>
    <row r="5886" spans="1:4">
      <c r="A5886" s="691"/>
      <c r="D5886" s="3"/>
    </row>
    <row r="5887" spans="1:4">
      <c r="A5887" s="691"/>
      <c r="D5887" s="3"/>
    </row>
    <row r="5888" spans="1:4">
      <c r="A5888" s="691"/>
      <c r="D5888" s="3"/>
    </row>
    <row r="5889" spans="1:4">
      <c r="A5889" s="691"/>
      <c r="D5889" s="3"/>
    </row>
    <row r="5890" spans="1:4">
      <c r="A5890" s="691"/>
      <c r="D5890" s="3"/>
    </row>
    <row r="5891" spans="1:4">
      <c r="A5891" s="691"/>
      <c r="D5891" s="3"/>
    </row>
    <row r="5892" spans="1:4">
      <c r="A5892" s="691"/>
      <c r="D5892" s="3"/>
    </row>
    <row r="5893" spans="1:4">
      <c r="A5893" s="691"/>
      <c r="D5893" s="3"/>
    </row>
    <row r="5894" spans="1:4">
      <c r="A5894" s="691"/>
      <c r="D5894" s="3"/>
    </row>
    <row r="5895" spans="1:4">
      <c r="A5895" s="691"/>
      <c r="D5895" s="3"/>
    </row>
    <row r="5896" spans="1:4">
      <c r="A5896" s="691"/>
      <c r="D5896" s="3"/>
    </row>
    <row r="5897" spans="1:4">
      <c r="A5897" s="691"/>
      <c r="D5897" s="3"/>
    </row>
    <row r="5898" spans="1:4">
      <c r="A5898" s="691"/>
      <c r="D5898" s="3"/>
    </row>
    <row r="5899" spans="1:4">
      <c r="A5899" s="691"/>
      <c r="D5899" s="3"/>
    </row>
    <row r="5900" spans="1:4">
      <c r="A5900" s="691"/>
      <c r="D5900" s="3"/>
    </row>
    <row r="5901" spans="1:4">
      <c r="A5901" s="691"/>
      <c r="D5901" s="3"/>
    </row>
    <row r="5902" spans="1:4">
      <c r="A5902" s="691"/>
      <c r="D5902" s="3"/>
    </row>
    <row r="5903" spans="1:4">
      <c r="A5903" s="691"/>
      <c r="D5903" s="3"/>
    </row>
    <row r="5904" spans="1:4">
      <c r="A5904" s="691"/>
      <c r="D5904" s="3"/>
    </row>
    <row r="5905" spans="1:4">
      <c r="A5905" s="691"/>
      <c r="D5905" s="3"/>
    </row>
    <row r="5906" spans="1:4">
      <c r="A5906" s="691"/>
      <c r="D5906" s="3"/>
    </row>
    <row r="5907" spans="1:4">
      <c r="A5907" s="691"/>
      <c r="D5907" s="3"/>
    </row>
    <row r="5908" spans="1:4">
      <c r="A5908" s="691"/>
      <c r="D5908" s="3"/>
    </row>
    <row r="5909" spans="1:4">
      <c r="A5909" s="691"/>
      <c r="D5909" s="3"/>
    </row>
    <row r="5910" spans="1:4">
      <c r="A5910" s="691"/>
      <c r="D5910" s="3"/>
    </row>
    <row r="5911" spans="1:4">
      <c r="A5911" s="691"/>
      <c r="D5911" s="3"/>
    </row>
    <row r="5912" spans="1:4">
      <c r="A5912" s="691"/>
      <c r="D5912" s="3"/>
    </row>
    <row r="5913" spans="1:4">
      <c r="A5913" s="691"/>
      <c r="D5913" s="3"/>
    </row>
    <row r="5914" spans="1:4">
      <c r="A5914" s="691"/>
      <c r="D5914" s="3"/>
    </row>
    <row r="5915" spans="1:4">
      <c r="A5915" s="691"/>
      <c r="D5915" s="3"/>
    </row>
    <row r="5916" spans="1:4">
      <c r="A5916" s="691"/>
      <c r="D5916" s="3"/>
    </row>
    <row r="5917" spans="1:4">
      <c r="A5917" s="691"/>
      <c r="D5917" s="3"/>
    </row>
    <row r="5918" spans="1:4">
      <c r="A5918" s="691"/>
      <c r="D5918" s="3"/>
    </row>
    <row r="5919" spans="1:4">
      <c r="A5919" s="691"/>
      <c r="D5919" s="3"/>
    </row>
    <row r="5920" spans="1:4">
      <c r="A5920" s="691"/>
      <c r="D5920" s="3"/>
    </row>
    <row r="5921" spans="1:4">
      <c r="A5921" s="691"/>
      <c r="D5921" s="3"/>
    </row>
    <row r="5922" spans="1:4">
      <c r="A5922" s="691"/>
      <c r="D5922" s="3"/>
    </row>
    <row r="5923" spans="1:4">
      <c r="A5923" s="691"/>
      <c r="D5923" s="3"/>
    </row>
    <row r="5924" spans="1:4">
      <c r="A5924" s="691"/>
      <c r="D5924" s="3"/>
    </row>
    <row r="5925" spans="1:4">
      <c r="A5925" s="691"/>
      <c r="D5925" s="3"/>
    </row>
    <row r="5926" spans="1:4">
      <c r="A5926" s="691"/>
      <c r="D5926" s="3"/>
    </row>
    <row r="5927" spans="1:4">
      <c r="A5927" s="691"/>
      <c r="D5927" s="3"/>
    </row>
    <row r="5928" spans="1:4">
      <c r="A5928" s="691"/>
      <c r="D5928" s="3"/>
    </row>
    <row r="5929" spans="1:4">
      <c r="A5929" s="691"/>
      <c r="D5929" s="3"/>
    </row>
    <row r="5930" spans="1:4">
      <c r="A5930" s="691"/>
      <c r="D5930" s="3"/>
    </row>
    <row r="5931" spans="1:4">
      <c r="A5931" s="691"/>
      <c r="D5931" s="3"/>
    </row>
    <row r="5932" spans="1:4">
      <c r="A5932" s="691"/>
      <c r="D5932" s="3"/>
    </row>
    <row r="5933" spans="1:4">
      <c r="A5933" s="691"/>
      <c r="D5933" s="3"/>
    </row>
    <row r="5934" spans="1:4">
      <c r="A5934" s="691"/>
      <c r="D5934" s="3"/>
    </row>
    <row r="5935" spans="1:4">
      <c r="A5935" s="691"/>
      <c r="D5935" s="3"/>
    </row>
    <row r="5936" spans="1:4">
      <c r="A5936" s="691"/>
      <c r="D5936" s="3"/>
    </row>
    <row r="5937" spans="1:4">
      <c r="A5937" s="691"/>
      <c r="D5937" s="3"/>
    </row>
    <row r="5938" spans="1:4">
      <c r="A5938" s="691"/>
      <c r="D5938" s="3"/>
    </row>
    <row r="5939" spans="1:4">
      <c r="A5939" s="691"/>
      <c r="D5939" s="3"/>
    </row>
    <row r="5940" spans="1:4">
      <c r="A5940" s="691"/>
      <c r="D5940" s="3"/>
    </row>
    <row r="5941" spans="1:4">
      <c r="A5941" s="691"/>
      <c r="D5941" s="3"/>
    </row>
    <row r="5942" spans="1:4">
      <c r="A5942" s="691"/>
      <c r="D5942" s="3"/>
    </row>
    <row r="5943" spans="1:4">
      <c r="A5943" s="691"/>
      <c r="D5943" s="3"/>
    </row>
    <row r="5944" spans="1:4">
      <c r="A5944" s="691"/>
      <c r="D5944" s="3"/>
    </row>
    <row r="5945" spans="1:4">
      <c r="A5945" s="691"/>
      <c r="D5945" s="3"/>
    </row>
    <row r="5946" spans="1:4">
      <c r="A5946" s="691"/>
      <c r="D5946" s="3"/>
    </row>
    <row r="5947" spans="1:4">
      <c r="A5947" s="691"/>
      <c r="D5947" s="3"/>
    </row>
    <row r="5948" spans="1:4">
      <c r="A5948" s="691"/>
      <c r="D5948" s="3"/>
    </row>
    <row r="5949" spans="1:4">
      <c r="A5949" s="691"/>
      <c r="D5949" s="3"/>
    </row>
    <row r="5950" spans="1:4">
      <c r="A5950" s="691"/>
      <c r="D5950" s="3"/>
    </row>
    <row r="5951" spans="1:4">
      <c r="A5951" s="691"/>
      <c r="D5951" s="3"/>
    </row>
    <row r="5952" spans="1:4">
      <c r="A5952" s="691"/>
      <c r="D5952" s="3"/>
    </row>
    <row r="5953" spans="1:4">
      <c r="A5953" s="691"/>
      <c r="D5953" s="3"/>
    </row>
    <row r="5954" spans="1:4">
      <c r="A5954" s="691"/>
      <c r="D5954" s="3"/>
    </row>
    <row r="5955" spans="1:4">
      <c r="A5955" s="691"/>
      <c r="D5955" s="3"/>
    </row>
    <row r="5956" spans="1:4">
      <c r="A5956" s="691"/>
      <c r="D5956" s="3"/>
    </row>
    <row r="5957" spans="1:4">
      <c r="A5957" s="691"/>
      <c r="D5957" s="3"/>
    </row>
    <row r="5958" spans="1:4">
      <c r="A5958" s="691"/>
      <c r="D5958" s="3"/>
    </row>
    <row r="5959" spans="1:4">
      <c r="A5959" s="691"/>
      <c r="D5959" s="3"/>
    </row>
    <row r="5960" spans="1:4">
      <c r="A5960" s="691"/>
      <c r="D5960" s="3"/>
    </row>
    <row r="5961" spans="1:4">
      <c r="A5961" s="691"/>
      <c r="D5961" s="3"/>
    </row>
    <row r="5962" spans="1:4">
      <c r="A5962" s="691"/>
      <c r="D5962" s="3"/>
    </row>
    <row r="5963" spans="1:4">
      <c r="A5963" s="691"/>
      <c r="D5963" s="3"/>
    </row>
    <row r="5964" spans="1:4">
      <c r="A5964" s="691"/>
      <c r="D5964" s="3"/>
    </row>
    <row r="5965" spans="1:4">
      <c r="A5965" s="691"/>
      <c r="D5965" s="3"/>
    </row>
    <row r="5966" spans="1:4">
      <c r="A5966" s="691"/>
      <c r="D5966" s="3"/>
    </row>
    <row r="5967" spans="1:4">
      <c r="A5967" s="691"/>
      <c r="D5967" s="3"/>
    </row>
    <row r="5968" spans="1:4">
      <c r="A5968" s="691"/>
      <c r="D5968" s="3"/>
    </row>
    <row r="5969" spans="1:4">
      <c r="A5969" s="691"/>
      <c r="D5969" s="3"/>
    </row>
    <row r="5970" spans="1:4">
      <c r="A5970" s="691"/>
      <c r="D5970" s="3"/>
    </row>
    <row r="5971" spans="1:4">
      <c r="A5971" s="691"/>
      <c r="D5971" s="3"/>
    </row>
    <row r="5972" spans="1:4">
      <c r="A5972" s="691"/>
      <c r="D5972" s="3"/>
    </row>
    <row r="5973" spans="1:4">
      <c r="A5973" s="691"/>
      <c r="D5973" s="3"/>
    </row>
    <row r="5974" spans="1:4">
      <c r="A5974" s="691"/>
      <c r="D5974" s="3"/>
    </row>
    <row r="5975" spans="1:4">
      <c r="A5975" s="691"/>
      <c r="D5975" s="3"/>
    </row>
    <row r="5976" spans="1:4">
      <c r="A5976" s="691"/>
      <c r="D5976" s="3"/>
    </row>
    <row r="5977" spans="1:4">
      <c r="A5977" s="691"/>
      <c r="D5977" s="3"/>
    </row>
    <row r="5978" spans="1:4">
      <c r="A5978" s="691"/>
      <c r="D5978" s="3"/>
    </row>
    <row r="5979" spans="1:4">
      <c r="A5979" s="691"/>
      <c r="D5979" s="3"/>
    </row>
    <row r="5980" spans="1:4">
      <c r="A5980" s="691"/>
      <c r="D5980" s="3"/>
    </row>
    <row r="5981" spans="1:4">
      <c r="A5981" s="691"/>
      <c r="D5981" s="3"/>
    </row>
    <row r="5982" spans="1:4">
      <c r="A5982" s="691"/>
      <c r="D5982" s="3"/>
    </row>
    <row r="5983" spans="1:4">
      <c r="A5983" s="691"/>
      <c r="D5983" s="3"/>
    </row>
    <row r="5984" spans="1:4">
      <c r="A5984" s="691"/>
      <c r="D5984" s="3"/>
    </row>
    <row r="5985" spans="1:4">
      <c r="A5985" s="691"/>
      <c r="D5985" s="3"/>
    </row>
    <row r="5986" spans="1:4">
      <c r="A5986" s="691"/>
      <c r="D5986" s="3"/>
    </row>
    <row r="5987" spans="1:4">
      <c r="A5987" s="691"/>
      <c r="D5987" s="3"/>
    </row>
    <row r="5988" spans="1:4">
      <c r="A5988" s="691"/>
      <c r="D5988" s="3"/>
    </row>
    <row r="5989" spans="1:4">
      <c r="A5989" s="691"/>
      <c r="D5989" s="3"/>
    </row>
    <row r="5990" spans="1:4">
      <c r="A5990" s="691"/>
      <c r="D5990" s="3"/>
    </row>
    <row r="5991" spans="1:4">
      <c r="A5991" s="691"/>
      <c r="D5991" s="3"/>
    </row>
    <row r="5992" spans="1:4">
      <c r="A5992" s="691"/>
      <c r="D5992" s="3"/>
    </row>
    <row r="5993" spans="1:4">
      <c r="A5993" s="691"/>
      <c r="D5993" s="3"/>
    </row>
    <row r="5994" spans="1:4">
      <c r="A5994" s="691"/>
      <c r="D5994" s="3"/>
    </row>
    <row r="5995" spans="1:4">
      <c r="A5995" s="691"/>
      <c r="D5995" s="3"/>
    </row>
    <row r="5996" spans="1:4">
      <c r="A5996" s="691"/>
      <c r="D5996" s="3"/>
    </row>
    <row r="5997" spans="1:4">
      <c r="A5997" s="691"/>
      <c r="D5997" s="3"/>
    </row>
    <row r="5998" spans="1:4">
      <c r="A5998" s="691"/>
      <c r="D5998" s="3"/>
    </row>
    <row r="5999" spans="1:4">
      <c r="A5999" s="691"/>
      <c r="D5999" s="3"/>
    </row>
    <row r="6000" spans="1:4">
      <c r="A6000" s="691"/>
      <c r="D6000" s="3"/>
    </row>
    <row r="6001" spans="1:4">
      <c r="A6001" s="691"/>
      <c r="D6001" s="3"/>
    </row>
    <row r="6002" spans="1:4">
      <c r="A6002" s="691"/>
      <c r="D6002" s="3"/>
    </row>
    <row r="6003" spans="1:4">
      <c r="A6003" s="691"/>
      <c r="D6003" s="3"/>
    </row>
    <row r="6004" spans="1:4">
      <c r="A6004" s="691"/>
      <c r="D6004" s="3"/>
    </row>
    <row r="6005" spans="1:4">
      <c r="A6005" s="691"/>
      <c r="D6005" s="3"/>
    </row>
    <row r="6006" spans="1:4">
      <c r="A6006" s="691"/>
      <c r="D6006" s="3"/>
    </row>
    <row r="6007" spans="1:4">
      <c r="A6007" s="691"/>
      <c r="D6007" s="3"/>
    </row>
    <row r="6008" spans="1:4">
      <c r="A6008" s="691"/>
      <c r="D6008" s="3"/>
    </row>
    <row r="6009" spans="1:4">
      <c r="A6009" s="691"/>
      <c r="D6009" s="3"/>
    </row>
    <row r="6010" spans="1:4">
      <c r="A6010" s="691"/>
      <c r="D6010" s="3"/>
    </row>
    <row r="6011" spans="1:4">
      <c r="A6011" s="691"/>
      <c r="D6011" s="3"/>
    </row>
    <row r="6012" spans="1:4">
      <c r="A6012" s="691"/>
      <c r="D6012" s="3"/>
    </row>
    <row r="6013" spans="1:4">
      <c r="A6013" s="691"/>
      <c r="D6013" s="3"/>
    </row>
    <row r="6014" spans="1:4">
      <c r="A6014" s="691"/>
      <c r="D6014" s="3"/>
    </row>
    <row r="6015" spans="1:4">
      <c r="A6015" s="691"/>
      <c r="D6015" s="3"/>
    </row>
    <row r="6016" spans="1:4">
      <c r="A6016" s="691"/>
      <c r="D6016" s="3"/>
    </row>
    <row r="6017" spans="1:4">
      <c r="A6017" s="691"/>
      <c r="D6017" s="3"/>
    </row>
    <row r="6018" spans="1:4">
      <c r="A6018" s="691"/>
      <c r="D6018" s="3"/>
    </row>
    <row r="6019" spans="1:4">
      <c r="A6019" s="691"/>
      <c r="D6019" s="3"/>
    </row>
    <row r="6020" spans="1:4">
      <c r="A6020" s="691"/>
      <c r="D6020" s="3"/>
    </row>
    <row r="6021" spans="1:4">
      <c r="A6021" s="691"/>
      <c r="D6021" s="3"/>
    </row>
    <row r="6022" spans="1:4">
      <c r="A6022" s="691"/>
      <c r="D6022" s="3"/>
    </row>
    <row r="6023" spans="1:4">
      <c r="A6023" s="691"/>
      <c r="D6023" s="3"/>
    </row>
    <row r="6024" spans="1:4">
      <c r="A6024" s="691"/>
      <c r="D6024" s="3"/>
    </row>
    <row r="6025" spans="1:4">
      <c r="A6025" s="691"/>
      <c r="D6025" s="3"/>
    </row>
    <row r="6026" spans="1:4">
      <c r="A6026" s="691"/>
      <c r="D6026" s="3"/>
    </row>
    <row r="6027" spans="1:4">
      <c r="A6027" s="691"/>
      <c r="D6027" s="3"/>
    </row>
    <row r="6028" spans="1:4">
      <c r="A6028" s="691"/>
      <c r="D6028" s="3"/>
    </row>
    <row r="6029" spans="1:4">
      <c r="A6029" s="691"/>
      <c r="D6029" s="3"/>
    </row>
    <row r="6030" spans="1:4">
      <c r="A6030" s="691"/>
      <c r="D6030" s="3"/>
    </row>
    <row r="6031" spans="1:4">
      <c r="A6031" s="691"/>
      <c r="D6031" s="3"/>
    </row>
    <row r="6032" spans="1:4">
      <c r="A6032" s="691"/>
      <c r="D6032" s="3"/>
    </row>
    <row r="6033" spans="1:4">
      <c r="A6033" s="691"/>
      <c r="D6033" s="3"/>
    </row>
    <row r="6034" spans="1:4">
      <c r="A6034" s="691"/>
      <c r="D6034" s="3"/>
    </row>
    <row r="6035" spans="1:4">
      <c r="A6035" s="691"/>
      <c r="D6035" s="3"/>
    </row>
    <row r="6036" spans="1:4">
      <c r="A6036" s="691"/>
      <c r="D6036" s="3"/>
    </row>
    <row r="6037" spans="1:4">
      <c r="A6037" s="691"/>
      <c r="D6037" s="3"/>
    </row>
    <row r="6038" spans="1:4">
      <c r="A6038" s="691"/>
      <c r="D6038" s="3"/>
    </row>
    <row r="6039" spans="1:4">
      <c r="A6039" s="691"/>
      <c r="D6039" s="3"/>
    </row>
    <row r="6040" spans="1:4">
      <c r="A6040" s="691"/>
      <c r="D6040" s="3"/>
    </row>
    <row r="6041" spans="1:4">
      <c r="A6041" s="691"/>
      <c r="D6041" s="3"/>
    </row>
    <row r="6042" spans="1:4">
      <c r="A6042" s="691"/>
      <c r="D6042" s="3"/>
    </row>
    <row r="6043" spans="1:4">
      <c r="A6043" s="691"/>
      <c r="D6043" s="3"/>
    </row>
    <row r="6044" spans="1:4">
      <c r="A6044" s="691"/>
      <c r="D6044" s="3"/>
    </row>
    <row r="6045" spans="1:4">
      <c r="A6045" s="691"/>
      <c r="D6045" s="3"/>
    </row>
    <row r="6046" spans="1:4">
      <c r="A6046" s="691"/>
      <c r="D6046" s="3"/>
    </row>
    <row r="6047" spans="1:4">
      <c r="A6047" s="691"/>
      <c r="D6047" s="3"/>
    </row>
    <row r="6048" spans="1:4">
      <c r="A6048" s="691"/>
      <c r="D6048" s="3"/>
    </row>
    <row r="6049" spans="1:4">
      <c r="A6049" s="691"/>
      <c r="D6049" s="3"/>
    </row>
    <row r="6050" spans="1:4">
      <c r="A6050" s="691"/>
      <c r="D6050" s="3"/>
    </row>
    <row r="6051" spans="1:4">
      <c r="A6051" s="691"/>
      <c r="D6051" s="3"/>
    </row>
    <row r="6052" spans="1:4">
      <c r="A6052" s="691"/>
      <c r="D6052" s="3"/>
    </row>
    <row r="6053" spans="1:4">
      <c r="A6053" s="691"/>
      <c r="D6053" s="3"/>
    </row>
    <row r="6054" spans="1:4">
      <c r="A6054" s="691"/>
      <c r="D6054" s="3"/>
    </row>
    <row r="6055" spans="1:4">
      <c r="A6055" s="691"/>
      <c r="D6055" s="3"/>
    </row>
    <row r="6056" spans="1:4">
      <c r="A6056" s="691"/>
      <c r="D6056" s="3"/>
    </row>
    <row r="6057" spans="1:4">
      <c r="A6057" s="691"/>
      <c r="D6057" s="3"/>
    </row>
    <row r="6058" spans="1:4">
      <c r="A6058" s="691"/>
      <c r="D6058" s="3"/>
    </row>
    <row r="6059" spans="1:4">
      <c r="A6059" s="691"/>
      <c r="D6059" s="3"/>
    </row>
    <row r="6060" spans="1:4">
      <c r="A6060" s="691"/>
      <c r="D6060" s="3"/>
    </row>
    <row r="6061" spans="1:4">
      <c r="A6061" s="691"/>
      <c r="D6061" s="3"/>
    </row>
    <row r="6062" spans="1:4">
      <c r="A6062" s="691"/>
      <c r="D6062" s="3"/>
    </row>
    <row r="6063" spans="1:4">
      <c r="A6063" s="691"/>
      <c r="D6063" s="3"/>
    </row>
    <row r="6064" spans="1:4">
      <c r="A6064" s="691"/>
      <c r="D6064" s="3"/>
    </row>
    <row r="6065" spans="1:4">
      <c r="A6065" s="691"/>
      <c r="D6065" s="3"/>
    </row>
    <row r="6066" spans="1:4">
      <c r="A6066" s="691"/>
      <c r="D6066" s="3"/>
    </row>
    <row r="6067" spans="1:4">
      <c r="A6067" s="691"/>
      <c r="D6067" s="3"/>
    </row>
    <row r="6068" spans="1:4">
      <c r="A6068" s="691"/>
      <c r="D6068" s="3"/>
    </row>
    <row r="6069" spans="1:4">
      <c r="A6069" s="691"/>
      <c r="D6069" s="3"/>
    </row>
    <row r="6070" spans="1:4">
      <c r="A6070" s="691"/>
      <c r="D6070" s="3"/>
    </row>
    <row r="6071" spans="1:4">
      <c r="A6071" s="691"/>
      <c r="D6071" s="3"/>
    </row>
    <row r="6072" spans="1:4">
      <c r="A6072" s="691"/>
      <c r="D6072" s="3"/>
    </row>
    <row r="6073" spans="1:4">
      <c r="A6073" s="691"/>
      <c r="D6073" s="3"/>
    </row>
    <row r="6074" spans="1:4">
      <c r="A6074" s="691"/>
      <c r="D6074" s="3"/>
    </row>
    <row r="6075" spans="1:4">
      <c r="A6075" s="691"/>
      <c r="D6075" s="3"/>
    </row>
    <row r="6076" spans="1:4">
      <c r="A6076" s="691"/>
      <c r="D6076" s="3"/>
    </row>
    <row r="6077" spans="1:4">
      <c r="A6077" s="691"/>
      <c r="D6077" s="3"/>
    </row>
    <row r="6078" spans="1:4">
      <c r="A6078" s="691"/>
      <c r="D6078" s="3"/>
    </row>
    <row r="6079" spans="1:4">
      <c r="A6079" s="691"/>
      <c r="D6079" s="3"/>
    </row>
    <row r="6080" spans="1:4">
      <c r="A6080" s="691"/>
      <c r="D6080" s="3"/>
    </row>
    <row r="6081" spans="1:4">
      <c r="A6081" s="691"/>
      <c r="D6081" s="3"/>
    </row>
    <row r="6082" spans="1:4">
      <c r="A6082" s="691"/>
      <c r="D6082" s="3"/>
    </row>
    <row r="6083" spans="1:4">
      <c r="A6083" s="691"/>
      <c r="D6083" s="3"/>
    </row>
    <row r="6084" spans="1:4">
      <c r="A6084" s="691"/>
      <c r="D6084" s="3"/>
    </row>
    <row r="6085" spans="1:4">
      <c r="A6085" s="691"/>
      <c r="D6085" s="3"/>
    </row>
    <row r="6086" spans="1:4">
      <c r="A6086" s="691"/>
      <c r="D6086" s="3"/>
    </row>
    <row r="6087" spans="1:4">
      <c r="A6087" s="691"/>
      <c r="D6087" s="3"/>
    </row>
    <row r="6088" spans="1:4">
      <c r="A6088" s="691"/>
      <c r="D6088" s="3"/>
    </row>
    <row r="6089" spans="1:4">
      <c r="A6089" s="691"/>
      <c r="D6089" s="3"/>
    </row>
    <row r="6090" spans="1:4">
      <c r="A6090" s="691"/>
      <c r="D6090" s="3"/>
    </row>
    <row r="6091" spans="1:4">
      <c r="A6091" s="691"/>
      <c r="D6091" s="3"/>
    </row>
    <row r="6092" spans="1:4">
      <c r="A6092" s="691"/>
      <c r="D6092" s="3"/>
    </row>
    <row r="6093" spans="1:4">
      <c r="A6093" s="691"/>
      <c r="D6093" s="3"/>
    </row>
    <row r="6094" spans="1:4">
      <c r="A6094" s="691"/>
      <c r="D6094" s="3"/>
    </row>
    <row r="6095" spans="1:4">
      <c r="A6095" s="691"/>
      <c r="D6095" s="3"/>
    </row>
    <row r="6096" spans="1:4">
      <c r="A6096" s="691"/>
      <c r="D6096" s="3"/>
    </row>
    <row r="6097" spans="1:4">
      <c r="A6097" s="691"/>
      <c r="D6097" s="3"/>
    </row>
    <row r="6098" spans="1:4">
      <c r="A6098" s="691"/>
      <c r="D6098" s="3"/>
    </row>
    <row r="6099" spans="1:4">
      <c r="A6099" s="691"/>
      <c r="D6099" s="3"/>
    </row>
    <row r="6100" spans="1:4">
      <c r="A6100" s="691"/>
      <c r="D6100" s="3"/>
    </row>
    <row r="6101" spans="1:4">
      <c r="A6101" s="691"/>
      <c r="D6101" s="3"/>
    </row>
    <row r="6102" spans="1:4">
      <c r="A6102" s="691"/>
      <c r="D6102" s="3"/>
    </row>
    <row r="6103" spans="1:4">
      <c r="A6103" s="691"/>
      <c r="D6103" s="3"/>
    </row>
    <row r="6104" spans="1:4">
      <c r="A6104" s="691"/>
      <c r="D6104" s="3"/>
    </row>
    <row r="6105" spans="1:4">
      <c r="A6105" s="691"/>
      <c r="D6105" s="3"/>
    </row>
    <row r="6106" spans="1:4">
      <c r="A6106" s="691"/>
      <c r="D6106" s="3"/>
    </row>
    <row r="6107" spans="1:4">
      <c r="A6107" s="691"/>
      <c r="D6107" s="3"/>
    </row>
    <row r="6108" spans="1:4">
      <c r="A6108" s="691"/>
      <c r="D6108" s="3"/>
    </row>
    <row r="6109" spans="1:4">
      <c r="A6109" s="691"/>
      <c r="D6109" s="3"/>
    </row>
    <row r="6110" spans="1:4">
      <c r="A6110" s="691"/>
      <c r="D6110" s="3"/>
    </row>
    <row r="6111" spans="1:4">
      <c r="A6111" s="691"/>
      <c r="D6111" s="3"/>
    </row>
    <row r="6112" spans="1:4">
      <c r="A6112" s="691"/>
      <c r="D6112" s="3"/>
    </row>
    <row r="6113" spans="1:4">
      <c r="A6113" s="691"/>
      <c r="D6113" s="3"/>
    </row>
    <row r="6114" spans="1:4">
      <c r="A6114" s="691"/>
      <c r="D6114" s="3"/>
    </row>
    <row r="6115" spans="1:4">
      <c r="A6115" s="691"/>
      <c r="D6115" s="3"/>
    </row>
    <row r="6116" spans="1:4">
      <c r="A6116" s="691"/>
      <c r="D6116" s="3"/>
    </row>
    <row r="6117" spans="1:4">
      <c r="A6117" s="691"/>
      <c r="D6117" s="3"/>
    </row>
    <row r="6118" spans="1:4">
      <c r="A6118" s="691"/>
      <c r="D6118" s="3"/>
    </row>
    <row r="6119" spans="1:4">
      <c r="A6119" s="691"/>
      <c r="D6119" s="3"/>
    </row>
    <row r="6120" spans="1:4">
      <c r="A6120" s="691"/>
      <c r="D6120" s="3"/>
    </row>
    <row r="6121" spans="1:4">
      <c r="A6121" s="691"/>
      <c r="D6121" s="3"/>
    </row>
    <row r="6122" spans="1:4">
      <c r="A6122" s="691"/>
      <c r="D6122" s="3"/>
    </row>
    <row r="6123" spans="1:4">
      <c r="A6123" s="691"/>
      <c r="D6123" s="3"/>
    </row>
    <row r="6124" spans="1:4">
      <c r="A6124" s="691"/>
      <c r="D6124" s="3"/>
    </row>
    <row r="6125" spans="1:4">
      <c r="A6125" s="691"/>
      <c r="D6125" s="3"/>
    </row>
    <row r="6126" spans="1:4">
      <c r="A6126" s="691"/>
      <c r="D6126" s="3"/>
    </row>
    <row r="6127" spans="1:4">
      <c r="A6127" s="691"/>
      <c r="D6127" s="3"/>
    </row>
    <row r="6128" spans="1:4">
      <c r="A6128" s="691"/>
      <c r="D6128" s="3"/>
    </row>
    <row r="6129" spans="1:4">
      <c r="A6129" s="691"/>
      <c r="D6129" s="3"/>
    </row>
    <row r="6130" spans="1:4">
      <c r="A6130" s="691"/>
      <c r="D6130" s="3"/>
    </row>
    <row r="6131" spans="1:4">
      <c r="A6131" s="691"/>
      <c r="D6131" s="3"/>
    </row>
    <row r="6132" spans="1:4">
      <c r="A6132" s="691"/>
      <c r="D6132" s="3"/>
    </row>
    <row r="6133" spans="1:4">
      <c r="A6133" s="691"/>
      <c r="D6133" s="3"/>
    </row>
    <row r="6134" spans="1:4">
      <c r="A6134" s="691"/>
      <c r="D6134" s="3"/>
    </row>
    <row r="6135" spans="1:4">
      <c r="A6135" s="691"/>
      <c r="D6135" s="3"/>
    </row>
    <row r="6136" spans="1:4">
      <c r="A6136" s="691"/>
      <c r="D6136" s="3"/>
    </row>
    <row r="6137" spans="1:4">
      <c r="A6137" s="691"/>
      <c r="D6137" s="3"/>
    </row>
    <row r="6138" spans="1:4">
      <c r="A6138" s="691"/>
      <c r="D6138" s="3"/>
    </row>
    <row r="6139" spans="1:4">
      <c r="A6139" s="691"/>
      <c r="D6139" s="3"/>
    </row>
    <row r="6140" spans="1:4">
      <c r="A6140" s="691"/>
      <c r="D6140" s="3"/>
    </row>
    <row r="6141" spans="1:4">
      <c r="A6141" s="691"/>
      <c r="D6141" s="3"/>
    </row>
    <row r="6142" spans="1:4">
      <c r="A6142" s="691"/>
      <c r="D6142" s="3"/>
    </row>
    <row r="6143" spans="1:4">
      <c r="A6143" s="691"/>
      <c r="D6143" s="3"/>
    </row>
    <row r="6144" spans="1:4">
      <c r="A6144" s="691"/>
      <c r="D6144" s="3"/>
    </row>
    <row r="6145" spans="1:4">
      <c r="A6145" s="691"/>
      <c r="D6145" s="3"/>
    </row>
    <row r="6146" spans="1:4">
      <c r="A6146" s="691"/>
      <c r="D6146" s="3"/>
    </row>
    <row r="6147" spans="1:4">
      <c r="A6147" s="691"/>
      <c r="D6147" s="3"/>
    </row>
    <row r="6148" spans="1:4">
      <c r="A6148" s="691"/>
      <c r="D6148" s="3"/>
    </row>
    <row r="6149" spans="1:4">
      <c r="A6149" s="691"/>
      <c r="D6149" s="3"/>
    </row>
    <row r="6150" spans="1:4">
      <c r="A6150" s="691"/>
      <c r="D6150" s="3"/>
    </row>
    <row r="6151" spans="1:4">
      <c r="A6151" s="691"/>
      <c r="D6151" s="3"/>
    </row>
    <row r="6152" spans="1:4">
      <c r="A6152" s="691"/>
      <c r="D6152" s="3"/>
    </row>
    <row r="6153" spans="1:4">
      <c r="A6153" s="691"/>
      <c r="D6153" s="3"/>
    </row>
    <row r="6154" spans="1:4">
      <c r="A6154" s="691"/>
      <c r="D6154" s="3"/>
    </row>
    <row r="6155" spans="1:4">
      <c r="A6155" s="691"/>
      <c r="D6155" s="3"/>
    </row>
    <row r="6156" spans="1:4">
      <c r="A6156" s="691"/>
      <c r="D6156" s="3"/>
    </row>
    <row r="6157" spans="1:4">
      <c r="A6157" s="691"/>
      <c r="D6157" s="3"/>
    </row>
    <row r="6158" spans="1:4">
      <c r="A6158" s="691"/>
      <c r="D6158" s="3"/>
    </row>
    <row r="6159" spans="1:4">
      <c r="A6159" s="691"/>
      <c r="D6159" s="3"/>
    </row>
    <row r="6160" spans="1:4">
      <c r="A6160" s="691"/>
      <c r="D6160" s="3"/>
    </row>
    <row r="6161" spans="1:4">
      <c r="A6161" s="691"/>
      <c r="D6161" s="3"/>
    </row>
    <row r="6162" spans="1:4">
      <c r="A6162" s="691"/>
      <c r="D6162" s="3"/>
    </row>
    <row r="6163" spans="1:4">
      <c r="A6163" s="691"/>
      <c r="D6163" s="3"/>
    </row>
    <row r="6164" spans="1:4">
      <c r="A6164" s="691"/>
      <c r="D6164" s="3"/>
    </row>
    <row r="6165" spans="1:4">
      <c r="A6165" s="691"/>
      <c r="D6165" s="3"/>
    </row>
    <row r="6166" spans="1:4">
      <c r="A6166" s="691"/>
      <c r="D6166" s="3"/>
    </row>
    <row r="6167" spans="1:4">
      <c r="A6167" s="691"/>
      <c r="D6167" s="3"/>
    </row>
    <row r="6168" spans="1:4">
      <c r="A6168" s="691"/>
      <c r="D6168" s="3"/>
    </row>
    <row r="6169" spans="1:4">
      <c r="A6169" s="691"/>
      <c r="D6169" s="3"/>
    </row>
    <row r="6170" spans="1:4">
      <c r="A6170" s="691"/>
      <c r="D6170" s="3"/>
    </row>
    <row r="6171" spans="1:4">
      <c r="A6171" s="691"/>
      <c r="D6171" s="3"/>
    </row>
    <row r="6172" spans="1:4">
      <c r="A6172" s="691"/>
      <c r="D6172" s="3"/>
    </row>
    <row r="6173" spans="1:4">
      <c r="A6173" s="691"/>
      <c r="D6173" s="3"/>
    </row>
    <row r="6174" spans="1:4">
      <c r="A6174" s="691"/>
      <c r="D6174" s="3"/>
    </row>
    <row r="6175" spans="1:4">
      <c r="A6175" s="691"/>
      <c r="D6175" s="3"/>
    </row>
    <row r="6176" spans="1:4">
      <c r="A6176" s="691"/>
      <c r="D6176" s="3"/>
    </row>
    <row r="6177" spans="1:4">
      <c r="A6177" s="691"/>
      <c r="D6177" s="3"/>
    </row>
    <row r="6178" spans="1:4">
      <c r="A6178" s="691"/>
      <c r="D6178" s="3"/>
    </row>
    <row r="6179" spans="1:4">
      <c r="A6179" s="691"/>
      <c r="D6179" s="3"/>
    </row>
    <row r="6180" spans="1:4">
      <c r="A6180" s="691"/>
      <c r="D6180" s="3"/>
    </row>
    <row r="6181" spans="1:4">
      <c r="A6181" s="691"/>
      <c r="D6181" s="3"/>
    </row>
    <row r="6182" spans="1:4">
      <c r="A6182" s="691"/>
      <c r="D6182" s="3"/>
    </row>
    <row r="6183" spans="1:4">
      <c r="A6183" s="691"/>
      <c r="D6183" s="3"/>
    </row>
    <row r="6184" spans="1:4">
      <c r="A6184" s="691"/>
      <c r="D6184" s="3"/>
    </row>
    <row r="6185" spans="1:4">
      <c r="A6185" s="691"/>
      <c r="D6185" s="3"/>
    </row>
    <row r="6186" spans="1:4">
      <c r="A6186" s="691"/>
      <c r="D6186" s="3"/>
    </row>
    <row r="6187" spans="1:4">
      <c r="A6187" s="691"/>
      <c r="D6187" s="3"/>
    </row>
    <row r="6188" spans="1:4">
      <c r="A6188" s="691"/>
      <c r="D6188" s="3"/>
    </row>
    <row r="6189" spans="1:4">
      <c r="A6189" s="691"/>
      <c r="D6189" s="3"/>
    </row>
    <row r="6190" spans="1:4">
      <c r="A6190" s="691"/>
      <c r="D6190" s="3"/>
    </row>
    <row r="6191" spans="1:4">
      <c r="A6191" s="691"/>
      <c r="D6191" s="3"/>
    </row>
    <row r="6192" spans="1:4">
      <c r="A6192" s="691"/>
      <c r="D6192" s="3"/>
    </row>
    <row r="6193" spans="1:4">
      <c r="A6193" s="691"/>
      <c r="D6193" s="3"/>
    </row>
    <row r="6194" spans="1:4">
      <c r="A6194" s="691"/>
      <c r="D6194" s="3"/>
    </row>
    <row r="6195" spans="1:4">
      <c r="A6195" s="691"/>
      <c r="D6195" s="3"/>
    </row>
    <row r="6196" spans="1:4">
      <c r="A6196" s="691"/>
      <c r="D6196" s="3"/>
    </row>
    <row r="6197" spans="1:4">
      <c r="A6197" s="691"/>
      <c r="D6197" s="3"/>
    </row>
    <row r="6198" spans="1:4">
      <c r="A6198" s="691"/>
      <c r="D6198" s="3"/>
    </row>
    <row r="6199" spans="1:4">
      <c r="A6199" s="691"/>
      <c r="D6199" s="3"/>
    </row>
    <row r="6200" spans="1:4">
      <c r="A6200" s="691"/>
      <c r="D6200" s="3"/>
    </row>
    <row r="6201" spans="1:4">
      <c r="A6201" s="691"/>
      <c r="D6201" s="3"/>
    </row>
    <row r="6202" spans="1:4">
      <c r="A6202" s="691"/>
      <c r="D6202" s="3"/>
    </row>
    <row r="6203" spans="1:4">
      <c r="A6203" s="691"/>
      <c r="D6203" s="3"/>
    </row>
    <row r="6204" spans="1:4">
      <c r="A6204" s="691"/>
      <c r="D6204" s="3"/>
    </row>
    <row r="6205" spans="1:4">
      <c r="A6205" s="691"/>
      <c r="D6205" s="3"/>
    </row>
    <row r="6206" spans="1:4">
      <c r="A6206" s="691"/>
      <c r="D6206" s="3"/>
    </row>
    <row r="6207" spans="1:4">
      <c r="A6207" s="691"/>
      <c r="D6207" s="3"/>
    </row>
    <row r="6208" spans="1:4">
      <c r="A6208" s="691"/>
      <c r="D6208" s="3"/>
    </row>
    <row r="6209" spans="1:4">
      <c r="A6209" s="691"/>
      <c r="D6209" s="3"/>
    </row>
    <row r="6210" spans="1:4">
      <c r="A6210" s="691"/>
      <c r="D6210" s="3"/>
    </row>
    <row r="6211" spans="1:4">
      <c r="A6211" s="691"/>
      <c r="D6211" s="3"/>
    </row>
    <row r="6212" spans="1:4">
      <c r="A6212" s="691"/>
      <c r="D6212" s="3"/>
    </row>
    <row r="6213" spans="1:4">
      <c r="A6213" s="691"/>
      <c r="D6213" s="3"/>
    </row>
    <row r="6214" spans="1:4">
      <c r="A6214" s="691"/>
      <c r="D6214" s="3"/>
    </row>
    <row r="6215" spans="1:4">
      <c r="A6215" s="691"/>
      <c r="D6215" s="3"/>
    </row>
    <row r="6216" spans="1:4">
      <c r="A6216" s="691"/>
      <c r="D6216" s="3"/>
    </row>
    <row r="6217" spans="1:4">
      <c r="A6217" s="691"/>
      <c r="D6217" s="3"/>
    </row>
    <row r="6218" spans="1:4">
      <c r="A6218" s="691"/>
      <c r="D6218" s="3"/>
    </row>
    <row r="6219" spans="1:4">
      <c r="A6219" s="691"/>
      <c r="D6219" s="3"/>
    </row>
    <row r="6220" spans="1:4">
      <c r="A6220" s="691"/>
      <c r="D6220" s="3"/>
    </row>
    <row r="6221" spans="1:4">
      <c r="A6221" s="691"/>
      <c r="D6221" s="3"/>
    </row>
    <row r="6222" spans="1:4">
      <c r="A6222" s="691"/>
      <c r="D6222" s="3"/>
    </row>
    <row r="6223" spans="1:4">
      <c r="A6223" s="691"/>
      <c r="D6223" s="3"/>
    </row>
    <row r="6224" spans="1:4">
      <c r="A6224" s="691"/>
      <c r="D6224" s="3"/>
    </row>
    <row r="6225" spans="1:4">
      <c r="A6225" s="691"/>
      <c r="D6225" s="3"/>
    </row>
    <row r="6226" spans="1:4">
      <c r="A6226" s="691"/>
      <c r="D6226" s="3"/>
    </row>
    <row r="6227" spans="1:4">
      <c r="A6227" s="691"/>
      <c r="D6227" s="3"/>
    </row>
    <row r="6228" spans="1:4">
      <c r="A6228" s="691"/>
      <c r="D6228" s="3"/>
    </row>
    <row r="6229" spans="1:4">
      <c r="A6229" s="691"/>
      <c r="D6229" s="3"/>
    </row>
    <row r="6230" spans="1:4">
      <c r="A6230" s="691"/>
      <c r="D6230" s="3"/>
    </row>
    <row r="6231" spans="1:4">
      <c r="A6231" s="691"/>
      <c r="D6231" s="3"/>
    </row>
    <row r="6232" spans="1:4">
      <c r="A6232" s="691"/>
      <c r="D6232" s="3"/>
    </row>
    <row r="6233" spans="1:4">
      <c r="A6233" s="691"/>
      <c r="D6233" s="3"/>
    </row>
    <row r="6234" spans="1:4">
      <c r="A6234" s="691"/>
      <c r="D6234" s="3"/>
    </row>
    <row r="6235" spans="1:4">
      <c r="A6235" s="691"/>
      <c r="D6235" s="3"/>
    </row>
    <row r="6236" spans="1:4">
      <c r="A6236" s="691"/>
      <c r="D6236" s="3"/>
    </row>
    <row r="6237" spans="1:4">
      <c r="A6237" s="691"/>
      <c r="D6237" s="3"/>
    </row>
    <row r="6238" spans="1:4">
      <c r="A6238" s="691"/>
      <c r="D6238" s="3"/>
    </row>
    <row r="6239" spans="1:4">
      <c r="A6239" s="691"/>
      <c r="D6239" s="3"/>
    </row>
    <row r="6240" spans="1:4">
      <c r="A6240" s="691"/>
      <c r="D6240" s="3"/>
    </row>
    <row r="6241" spans="1:4">
      <c r="A6241" s="691"/>
      <c r="D6241" s="3"/>
    </row>
    <row r="6242" spans="1:4">
      <c r="A6242" s="691"/>
      <c r="D6242" s="3"/>
    </row>
    <row r="6243" spans="1:4">
      <c r="A6243" s="691"/>
      <c r="D6243" s="3"/>
    </row>
    <row r="6244" spans="1:4">
      <c r="A6244" s="691"/>
      <c r="D6244" s="3"/>
    </row>
    <row r="6245" spans="1:4">
      <c r="A6245" s="691"/>
      <c r="D6245" s="3"/>
    </row>
    <row r="6246" spans="1:4">
      <c r="A6246" s="691"/>
      <c r="D6246" s="3"/>
    </row>
    <row r="6247" spans="1:4">
      <c r="A6247" s="691"/>
      <c r="D6247" s="3"/>
    </row>
    <row r="6248" spans="1:4">
      <c r="A6248" s="691"/>
      <c r="D6248" s="3"/>
    </row>
    <row r="6249" spans="1:4">
      <c r="A6249" s="691"/>
      <c r="D6249" s="3"/>
    </row>
    <row r="6250" spans="1:4">
      <c r="A6250" s="691"/>
      <c r="D6250" s="3"/>
    </row>
    <row r="6251" spans="1:4">
      <c r="A6251" s="691"/>
      <c r="D6251" s="3"/>
    </row>
    <row r="6252" spans="1:4">
      <c r="A6252" s="691"/>
      <c r="D6252" s="3"/>
    </row>
    <row r="6253" spans="1:4">
      <c r="A6253" s="691"/>
      <c r="D6253" s="3"/>
    </row>
    <row r="6254" spans="1:4">
      <c r="A6254" s="691"/>
      <c r="D6254" s="3"/>
    </row>
    <row r="6255" spans="1:4">
      <c r="A6255" s="691"/>
      <c r="D6255" s="3"/>
    </row>
    <row r="6256" spans="1:4">
      <c r="A6256" s="691"/>
      <c r="D6256" s="3"/>
    </row>
    <row r="6257" spans="1:4">
      <c r="A6257" s="691"/>
      <c r="D6257" s="3"/>
    </row>
    <row r="6258" spans="1:4">
      <c r="A6258" s="691"/>
      <c r="D6258" s="3"/>
    </row>
    <row r="6259" spans="1:4">
      <c r="A6259" s="691"/>
      <c r="D6259" s="3"/>
    </row>
    <row r="6260" spans="1:4">
      <c r="A6260" s="691"/>
      <c r="D6260" s="3"/>
    </row>
    <row r="6261" spans="1:4">
      <c r="A6261" s="691"/>
      <c r="D6261" s="3"/>
    </row>
    <row r="6262" spans="1:4">
      <c r="A6262" s="691"/>
      <c r="D6262" s="3"/>
    </row>
    <row r="6263" spans="1:4">
      <c r="A6263" s="691"/>
      <c r="D6263" s="3"/>
    </row>
    <row r="6264" spans="1:4">
      <c r="A6264" s="691"/>
      <c r="D6264" s="3"/>
    </row>
    <row r="6265" spans="1:4">
      <c r="A6265" s="691"/>
      <c r="D6265" s="3"/>
    </row>
    <row r="6266" spans="1:4">
      <c r="A6266" s="691"/>
      <c r="D6266" s="3"/>
    </row>
    <row r="6267" spans="1:4">
      <c r="A6267" s="691"/>
      <c r="D6267" s="3"/>
    </row>
    <row r="6268" spans="1:4">
      <c r="A6268" s="691"/>
      <c r="D6268" s="3"/>
    </row>
    <row r="6269" spans="1:4">
      <c r="A6269" s="691"/>
      <c r="D6269" s="3"/>
    </row>
    <row r="6270" spans="1:4">
      <c r="A6270" s="691"/>
      <c r="D6270" s="3"/>
    </row>
    <row r="6271" spans="1:4">
      <c r="A6271" s="691"/>
      <c r="D6271" s="3"/>
    </row>
    <row r="6272" spans="1:4">
      <c r="A6272" s="691"/>
      <c r="D6272" s="3"/>
    </row>
    <row r="6273" spans="1:4">
      <c r="A6273" s="691"/>
      <c r="D6273" s="3"/>
    </row>
    <row r="6274" spans="1:4">
      <c r="A6274" s="691"/>
      <c r="D6274" s="3"/>
    </row>
    <row r="6275" spans="1:4">
      <c r="A6275" s="691"/>
      <c r="D6275" s="3"/>
    </row>
    <row r="6276" spans="1:4">
      <c r="A6276" s="691"/>
      <c r="D6276" s="3"/>
    </row>
    <row r="6277" spans="1:4">
      <c r="A6277" s="691"/>
      <c r="D6277" s="3"/>
    </row>
    <row r="6278" spans="1:4">
      <c r="A6278" s="691"/>
      <c r="D6278" s="3"/>
    </row>
    <row r="6279" spans="1:4">
      <c r="A6279" s="691"/>
      <c r="D6279" s="3"/>
    </row>
    <row r="6280" spans="1:4">
      <c r="A6280" s="691"/>
      <c r="D6280" s="3"/>
    </row>
    <row r="6281" spans="1:4">
      <c r="A6281" s="691"/>
      <c r="D6281" s="3"/>
    </row>
    <row r="6282" spans="1:4">
      <c r="A6282" s="691"/>
      <c r="D6282" s="3"/>
    </row>
    <row r="6283" spans="1:4">
      <c r="A6283" s="691"/>
      <c r="D6283" s="3"/>
    </row>
    <row r="6284" spans="1:4">
      <c r="A6284" s="691"/>
      <c r="D6284" s="3"/>
    </row>
    <row r="6285" spans="1:4">
      <c r="A6285" s="691"/>
      <c r="D6285" s="3"/>
    </row>
    <row r="6286" spans="1:4">
      <c r="A6286" s="691"/>
      <c r="D6286" s="3"/>
    </row>
    <row r="6287" spans="1:4">
      <c r="A6287" s="691"/>
      <c r="D6287" s="3"/>
    </row>
    <row r="6288" spans="1:4">
      <c r="A6288" s="691"/>
      <c r="D6288" s="3"/>
    </row>
    <row r="6289" spans="1:4">
      <c r="A6289" s="691"/>
      <c r="D6289" s="3"/>
    </row>
    <row r="6290" spans="1:4">
      <c r="A6290" s="691"/>
      <c r="D6290" s="3"/>
    </row>
    <row r="6291" spans="1:4">
      <c r="A6291" s="691"/>
      <c r="D6291" s="3"/>
    </row>
    <row r="6292" spans="1:4">
      <c r="A6292" s="691"/>
      <c r="D6292" s="3"/>
    </row>
    <row r="6293" spans="1:4">
      <c r="A6293" s="691"/>
      <c r="D6293" s="3"/>
    </row>
    <row r="6294" spans="1:4">
      <c r="A6294" s="691"/>
      <c r="D6294" s="3"/>
    </row>
    <row r="6295" spans="1:4">
      <c r="A6295" s="691"/>
      <c r="D6295" s="3"/>
    </row>
    <row r="6296" spans="1:4">
      <c r="A6296" s="691"/>
      <c r="D6296" s="3"/>
    </row>
    <row r="6297" spans="1:4">
      <c r="A6297" s="691"/>
      <c r="D6297" s="3"/>
    </row>
    <row r="6298" spans="1:4">
      <c r="A6298" s="691"/>
      <c r="D6298" s="3"/>
    </row>
    <row r="6299" spans="1:4">
      <c r="A6299" s="691"/>
      <c r="D6299" s="3"/>
    </row>
    <row r="6300" spans="1:4">
      <c r="A6300" s="691"/>
      <c r="D6300" s="3"/>
    </row>
    <row r="6301" spans="1:4">
      <c r="A6301" s="691"/>
      <c r="D6301" s="3"/>
    </row>
    <row r="6302" spans="1:4">
      <c r="A6302" s="691"/>
      <c r="D6302" s="3"/>
    </row>
    <row r="6303" spans="1:4">
      <c r="A6303" s="691"/>
      <c r="D6303" s="3"/>
    </row>
    <row r="6304" spans="1:4">
      <c r="A6304" s="691"/>
      <c r="D6304" s="3"/>
    </row>
    <row r="6305" spans="1:4">
      <c r="A6305" s="691"/>
      <c r="D6305" s="3"/>
    </row>
    <row r="6306" spans="1:4">
      <c r="A6306" s="691"/>
      <c r="D6306" s="3"/>
    </row>
    <row r="6307" spans="1:4">
      <c r="A6307" s="691"/>
      <c r="D6307" s="3"/>
    </row>
    <row r="6308" spans="1:4">
      <c r="A6308" s="691"/>
      <c r="D6308" s="3"/>
    </row>
    <row r="6309" spans="1:4">
      <c r="A6309" s="691"/>
      <c r="D6309" s="3"/>
    </row>
    <row r="6310" spans="1:4">
      <c r="A6310" s="691"/>
      <c r="D6310" s="3"/>
    </row>
    <row r="6311" spans="1:4">
      <c r="A6311" s="691"/>
      <c r="D6311" s="3"/>
    </row>
    <row r="6312" spans="1:4">
      <c r="A6312" s="691"/>
      <c r="D6312" s="3"/>
    </row>
    <row r="6313" spans="1:4">
      <c r="A6313" s="691"/>
      <c r="D6313" s="3"/>
    </row>
    <row r="6314" spans="1:4">
      <c r="A6314" s="691"/>
      <c r="D6314" s="3"/>
    </row>
    <row r="6315" spans="1:4">
      <c r="A6315" s="691"/>
      <c r="D6315" s="3"/>
    </row>
    <row r="6316" spans="1:4">
      <c r="A6316" s="691"/>
      <c r="D6316" s="3"/>
    </row>
    <row r="6317" spans="1:4">
      <c r="A6317" s="691"/>
      <c r="D6317" s="3"/>
    </row>
    <row r="6318" spans="1:4">
      <c r="A6318" s="691"/>
      <c r="D6318" s="3"/>
    </row>
    <row r="6319" spans="1:4">
      <c r="A6319" s="691"/>
      <c r="D6319" s="3"/>
    </row>
    <row r="6320" spans="1:4">
      <c r="A6320" s="691"/>
      <c r="D6320" s="3"/>
    </row>
    <row r="6321" spans="1:4">
      <c r="A6321" s="691"/>
      <c r="D6321" s="3"/>
    </row>
    <row r="6322" spans="1:4">
      <c r="A6322" s="691"/>
      <c r="D6322" s="3"/>
    </row>
    <row r="6323" spans="1:4">
      <c r="A6323" s="691"/>
      <c r="D6323" s="3"/>
    </row>
    <row r="6324" spans="1:4">
      <c r="A6324" s="691"/>
      <c r="D6324" s="3"/>
    </row>
    <row r="6325" spans="1:4">
      <c r="A6325" s="691"/>
      <c r="D6325" s="3"/>
    </row>
    <row r="6326" spans="1:4">
      <c r="A6326" s="691"/>
      <c r="D6326" s="3"/>
    </row>
    <row r="6327" spans="1:4">
      <c r="A6327" s="691"/>
      <c r="D6327" s="3"/>
    </row>
    <row r="6328" spans="1:4">
      <c r="A6328" s="691"/>
      <c r="D6328" s="3"/>
    </row>
    <row r="6329" spans="1:4">
      <c r="A6329" s="691"/>
      <c r="D6329" s="3"/>
    </row>
    <row r="6330" spans="1:4">
      <c r="A6330" s="691"/>
      <c r="D6330" s="3"/>
    </row>
    <row r="6331" spans="1:4">
      <c r="A6331" s="691"/>
      <c r="D6331" s="3"/>
    </row>
    <row r="6332" spans="1:4">
      <c r="A6332" s="691"/>
      <c r="D6332" s="3"/>
    </row>
    <row r="6333" spans="1:4">
      <c r="A6333" s="691"/>
      <c r="D6333" s="3"/>
    </row>
    <row r="6334" spans="1:4">
      <c r="A6334" s="691"/>
      <c r="D6334" s="3"/>
    </row>
    <row r="6335" spans="1:4">
      <c r="A6335" s="691"/>
      <c r="D6335" s="3"/>
    </row>
    <row r="6336" spans="1:4">
      <c r="A6336" s="691"/>
      <c r="D6336" s="3"/>
    </row>
    <row r="6337" spans="1:4">
      <c r="A6337" s="691"/>
      <c r="D6337" s="3"/>
    </row>
    <row r="6338" spans="1:4">
      <c r="A6338" s="691"/>
      <c r="D6338" s="3"/>
    </row>
    <row r="6339" spans="1:4">
      <c r="A6339" s="691"/>
      <c r="D6339" s="3"/>
    </row>
    <row r="6340" spans="1:4">
      <c r="A6340" s="691"/>
      <c r="D6340" s="3"/>
    </row>
    <row r="6341" spans="1:4">
      <c r="A6341" s="691"/>
      <c r="D6341" s="3"/>
    </row>
    <row r="6342" spans="1:4">
      <c r="A6342" s="691"/>
      <c r="D6342" s="3"/>
    </row>
    <row r="6343" spans="1:4">
      <c r="A6343" s="691"/>
      <c r="D6343" s="3"/>
    </row>
    <row r="6344" spans="1:4">
      <c r="A6344" s="691"/>
      <c r="D6344" s="3"/>
    </row>
    <row r="6345" spans="1:4">
      <c r="A6345" s="691"/>
      <c r="D6345" s="3"/>
    </row>
    <row r="6346" spans="1:4">
      <c r="A6346" s="691"/>
      <c r="D6346" s="3"/>
    </row>
    <row r="6347" spans="1:4">
      <c r="A6347" s="691"/>
      <c r="D6347" s="3"/>
    </row>
    <row r="6348" spans="1:4">
      <c r="A6348" s="691"/>
      <c r="D6348" s="3"/>
    </row>
    <row r="6349" spans="1:4">
      <c r="A6349" s="691"/>
      <c r="D6349" s="3"/>
    </row>
    <row r="6350" spans="1:4">
      <c r="A6350" s="691"/>
      <c r="D6350" s="3"/>
    </row>
    <row r="6351" spans="1:4">
      <c r="A6351" s="691"/>
      <c r="D6351" s="3"/>
    </row>
    <row r="6352" spans="1:4">
      <c r="A6352" s="691"/>
      <c r="D6352" s="3"/>
    </row>
    <row r="6353" spans="1:4">
      <c r="A6353" s="691"/>
      <c r="D6353" s="3"/>
    </row>
    <row r="6354" spans="1:4">
      <c r="A6354" s="691"/>
      <c r="D6354" s="3"/>
    </row>
    <row r="6355" spans="1:4">
      <c r="A6355" s="691"/>
      <c r="D6355" s="3"/>
    </row>
    <row r="6356" spans="1:4">
      <c r="A6356" s="691"/>
      <c r="D6356" s="3"/>
    </row>
    <row r="6357" spans="1:4">
      <c r="A6357" s="691"/>
      <c r="D6357" s="3"/>
    </row>
    <row r="6358" spans="1:4">
      <c r="A6358" s="691"/>
      <c r="D6358" s="3"/>
    </row>
    <row r="6359" spans="1:4">
      <c r="A6359" s="691"/>
      <c r="D6359" s="3"/>
    </row>
    <row r="6360" spans="1:4">
      <c r="A6360" s="691"/>
      <c r="D6360" s="3"/>
    </row>
    <row r="6361" spans="1:4">
      <c r="A6361" s="691"/>
      <c r="D6361" s="3"/>
    </row>
    <row r="6362" spans="1:4">
      <c r="A6362" s="691"/>
      <c r="D6362" s="3"/>
    </row>
    <row r="6363" spans="1:4">
      <c r="A6363" s="691"/>
      <c r="D6363" s="3"/>
    </row>
    <row r="6364" spans="1:4">
      <c r="A6364" s="691"/>
      <c r="D6364" s="3"/>
    </row>
    <row r="6365" spans="1:4">
      <c r="A6365" s="691"/>
      <c r="D6365" s="3"/>
    </row>
    <row r="6366" spans="1:4">
      <c r="A6366" s="691"/>
      <c r="D6366" s="3"/>
    </row>
    <row r="6367" spans="1:4">
      <c r="A6367" s="691"/>
      <c r="D6367" s="3"/>
    </row>
    <row r="6368" spans="1:4">
      <c r="A6368" s="691"/>
      <c r="D6368" s="3"/>
    </row>
    <row r="6369" spans="1:4">
      <c r="A6369" s="691"/>
      <c r="D6369" s="3"/>
    </row>
    <row r="6370" spans="1:4">
      <c r="A6370" s="691"/>
      <c r="D6370" s="3"/>
    </row>
    <row r="6371" spans="1:4">
      <c r="A6371" s="691"/>
      <c r="D6371" s="3"/>
    </row>
    <row r="6372" spans="1:4">
      <c r="A6372" s="691"/>
      <c r="D6372" s="3"/>
    </row>
    <row r="6373" spans="1:4">
      <c r="A6373" s="691"/>
      <c r="D6373" s="3"/>
    </row>
    <row r="6374" spans="1:4">
      <c r="A6374" s="691"/>
      <c r="D6374" s="3"/>
    </row>
    <row r="6375" spans="1:4">
      <c r="A6375" s="691"/>
      <c r="D6375" s="3"/>
    </row>
    <row r="6376" spans="1:4">
      <c r="A6376" s="691"/>
      <c r="D6376" s="3"/>
    </row>
    <row r="6377" spans="1:4">
      <c r="A6377" s="691"/>
      <c r="D6377" s="3"/>
    </row>
    <row r="6378" spans="1:4">
      <c r="A6378" s="691"/>
      <c r="D6378" s="3"/>
    </row>
    <row r="6379" spans="1:4">
      <c r="A6379" s="691"/>
      <c r="D6379" s="3"/>
    </row>
    <row r="6380" spans="1:4">
      <c r="A6380" s="691"/>
      <c r="D6380" s="3"/>
    </row>
    <row r="6381" spans="1:4">
      <c r="A6381" s="691"/>
      <c r="D6381" s="3"/>
    </row>
    <row r="6382" spans="1:4">
      <c r="A6382" s="691"/>
      <c r="D6382" s="3"/>
    </row>
    <row r="6383" spans="1:4">
      <c r="A6383" s="691"/>
      <c r="D6383" s="3"/>
    </row>
    <row r="6384" spans="1:4">
      <c r="A6384" s="691"/>
      <c r="D6384" s="3"/>
    </row>
    <row r="6385" spans="1:4">
      <c r="A6385" s="691"/>
      <c r="D6385" s="3"/>
    </row>
    <row r="6386" spans="1:4">
      <c r="A6386" s="691"/>
      <c r="D6386" s="3"/>
    </row>
    <row r="6387" spans="1:4">
      <c r="A6387" s="691"/>
      <c r="D6387" s="3"/>
    </row>
    <row r="6388" spans="1:4">
      <c r="A6388" s="691"/>
      <c r="D6388" s="3"/>
    </row>
    <row r="6389" spans="1:4">
      <c r="A6389" s="691"/>
      <c r="D6389" s="3"/>
    </row>
    <row r="6390" spans="1:4">
      <c r="A6390" s="691"/>
      <c r="D6390" s="3"/>
    </row>
    <row r="6391" spans="1:4">
      <c r="A6391" s="691"/>
      <c r="D6391" s="3"/>
    </row>
    <row r="6392" spans="1:4">
      <c r="A6392" s="691"/>
      <c r="D6392" s="3"/>
    </row>
    <row r="6393" spans="1:4">
      <c r="A6393" s="691"/>
      <c r="D6393" s="3"/>
    </row>
    <row r="6394" spans="1:4">
      <c r="A6394" s="691"/>
      <c r="D6394" s="3"/>
    </row>
    <row r="6395" spans="1:4">
      <c r="A6395" s="691"/>
      <c r="D6395" s="3"/>
    </row>
    <row r="6396" spans="1:4">
      <c r="A6396" s="691"/>
      <c r="D6396" s="3"/>
    </row>
    <row r="6397" spans="1:4">
      <c r="A6397" s="691"/>
      <c r="D6397" s="3"/>
    </row>
    <row r="6398" spans="1:4">
      <c r="A6398" s="691"/>
      <c r="D6398" s="3"/>
    </row>
    <row r="6399" spans="1:4">
      <c r="A6399" s="691"/>
      <c r="D6399" s="3"/>
    </row>
    <row r="6400" spans="1:4">
      <c r="A6400" s="691"/>
      <c r="D6400" s="3"/>
    </row>
    <row r="6401" spans="1:4">
      <c r="A6401" s="691"/>
      <c r="D6401" s="3"/>
    </row>
    <row r="6402" spans="1:4">
      <c r="A6402" s="691"/>
      <c r="D6402" s="3"/>
    </row>
    <row r="6403" spans="1:4">
      <c r="A6403" s="691"/>
      <c r="D6403" s="3"/>
    </row>
    <row r="6404" spans="1:4">
      <c r="A6404" s="691"/>
      <c r="D6404" s="3"/>
    </row>
    <row r="6405" spans="1:4">
      <c r="A6405" s="691"/>
      <c r="D6405" s="3"/>
    </row>
    <row r="6406" spans="1:4">
      <c r="A6406" s="691"/>
      <c r="D6406" s="3"/>
    </row>
    <row r="6407" spans="1:4">
      <c r="A6407" s="691"/>
      <c r="D6407" s="3"/>
    </row>
    <row r="6408" spans="1:4">
      <c r="A6408" s="691"/>
      <c r="D6408" s="3"/>
    </row>
    <row r="6409" spans="1:4">
      <c r="A6409" s="691"/>
      <c r="D6409" s="3"/>
    </row>
    <row r="6410" spans="1:4">
      <c r="A6410" s="691"/>
      <c r="D6410" s="3"/>
    </row>
    <row r="6411" spans="1:4">
      <c r="A6411" s="691"/>
      <c r="D6411" s="3"/>
    </row>
    <row r="6412" spans="1:4">
      <c r="A6412" s="691"/>
      <c r="D6412" s="3"/>
    </row>
    <row r="6413" spans="1:4">
      <c r="A6413" s="691"/>
      <c r="D6413" s="3"/>
    </row>
    <row r="6414" spans="1:4">
      <c r="A6414" s="691"/>
      <c r="D6414" s="3"/>
    </row>
    <row r="6415" spans="1:4">
      <c r="A6415" s="691"/>
      <c r="D6415" s="3"/>
    </row>
    <row r="6416" spans="1:4">
      <c r="A6416" s="691"/>
      <c r="D6416" s="3"/>
    </row>
    <row r="6417" spans="1:4">
      <c r="A6417" s="691"/>
      <c r="D6417" s="3"/>
    </row>
    <row r="6418" spans="1:4">
      <c r="A6418" s="691"/>
      <c r="D6418" s="3"/>
    </row>
    <row r="6419" spans="1:4">
      <c r="A6419" s="691"/>
      <c r="D6419" s="3"/>
    </row>
    <row r="6420" spans="1:4">
      <c r="A6420" s="691"/>
      <c r="D6420" s="3"/>
    </row>
    <row r="6421" spans="1:4">
      <c r="A6421" s="691"/>
      <c r="D6421" s="3"/>
    </row>
    <row r="6422" spans="1:4">
      <c r="A6422" s="691"/>
      <c r="D6422" s="3"/>
    </row>
    <row r="6423" spans="1:4">
      <c r="A6423" s="691"/>
      <c r="D6423" s="3"/>
    </row>
    <row r="6424" spans="1:4">
      <c r="A6424" s="691"/>
      <c r="D6424" s="3"/>
    </row>
    <row r="6425" spans="1:4">
      <c r="A6425" s="691"/>
      <c r="D6425" s="3"/>
    </row>
    <row r="6426" spans="1:4">
      <c r="A6426" s="691"/>
      <c r="D6426" s="3"/>
    </row>
    <row r="6427" spans="1:4">
      <c r="A6427" s="691"/>
      <c r="D6427" s="3"/>
    </row>
    <row r="6428" spans="1:4">
      <c r="A6428" s="691"/>
      <c r="D6428" s="3"/>
    </row>
    <row r="6429" spans="1:4">
      <c r="A6429" s="691"/>
      <c r="D6429" s="3"/>
    </row>
    <row r="6430" spans="1:4">
      <c r="A6430" s="691"/>
      <c r="D6430" s="3"/>
    </row>
    <row r="6431" spans="1:4">
      <c r="A6431" s="691"/>
      <c r="D6431" s="3"/>
    </row>
    <row r="6432" spans="1:4">
      <c r="A6432" s="691"/>
      <c r="D6432" s="3"/>
    </row>
    <row r="6433" spans="1:4">
      <c r="A6433" s="691"/>
      <c r="D6433" s="3"/>
    </row>
    <row r="6434" spans="1:4">
      <c r="A6434" s="691"/>
      <c r="D6434" s="3"/>
    </row>
    <row r="6435" spans="1:4">
      <c r="A6435" s="691"/>
      <c r="D6435" s="3"/>
    </row>
    <row r="6436" spans="1:4">
      <c r="A6436" s="691"/>
      <c r="D6436" s="3"/>
    </row>
    <row r="6437" spans="1:4">
      <c r="A6437" s="691"/>
      <c r="D6437" s="3"/>
    </row>
    <row r="6438" spans="1:4">
      <c r="A6438" s="691"/>
      <c r="D6438" s="3"/>
    </row>
    <row r="6439" spans="1:4">
      <c r="A6439" s="691"/>
      <c r="D6439" s="3"/>
    </row>
    <row r="6440" spans="1:4">
      <c r="A6440" s="691"/>
      <c r="D6440" s="3"/>
    </row>
    <row r="6441" spans="1:4">
      <c r="A6441" s="691"/>
      <c r="D6441" s="3"/>
    </row>
    <row r="6442" spans="1:4">
      <c r="A6442" s="691"/>
      <c r="D6442" s="3"/>
    </row>
    <row r="6443" spans="1:4">
      <c r="A6443" s="691"/>
      <c r="D6443" s="3"/>
    </row>
    <row r="6444" spans="1:4">
      <c r="A6444" s="691"/>
      <c r="D6444" s="3"/>
    </row>
    <row r="6445" spans="1:4">
      <c r="A6445" s="691"/>
      <c r="D6445" s="3"/>
    </row>
    <row r="6446" spans="1:4">
      <c r="A6446" s="691"/>
      <c r="D6446" s="3"/>
    </row>
    <row r="6447" spans="1:4">
      <c r="A6447" s="691"/>
      <c r="D6447" s="3"/>
    </row>
    <row r="6448" spans="1:4">
      <c r="A6448" s="691"/>
      <c r="D6448" s="3"/>
    </row>
    <row r="6449" spans="1:4">
      <c r="A6449" s="691"/>
      <c r="D6449" s="3"/>
    </row>
    <row r="6450" spans="1:4">
      <c r="A6450" s="691"/>
      <c r="D6450" s="3"/>
    </row>
    <row r="6451" spans="1:4">
      <c r="A6451" s="691"/>
      <c r="D6451" s="3"/>
    </row>
    <row r="6452" spans="1:4">
      <c r="A6452" s="691"/>
      <c r="D6452" s="3"/>
    </row>
    <row r="6453" spans="1:4">
      <c r="A6453" s="691"/>
      <c r="D6453" s="3"/>
    </row>
    <row r="6454" spans="1:4">
      <c r="A6454" s="691"/>
      <c r="D6454" s="3"/>
    </row>
    <row r="6455" spans="1:4">
      <c r="A6455" s="691"/>
      <c r="D6455" s="3"/>
    </row>
    <row r="6456" spans="1:4">
      <c r="A6456" s="691"/>
      <c r="D6456" s="3"/>
    </row>
    <row r="6457" spans="1:4">
      <c r="A6457" s="691"/>
      <c r="D6457" s="3"/>
    </row>
    <row r="6458" spans="1:4">
      <c r="A6458" s="691"/>
      <c r="D6458" s="3"/>
    </row>
    <row r="6459" spans="1:4">
      <c r="A6459" s="691"/>
      <c r="D6459" s="3"/>
    </row>
    <row r="6460" spans="1:4">
      <c r="A6460" s="691"/>
      <c r="D6460" s="3"/>
    </row>
    <row r="6461" spans="1:4">
      <c r="A6461" s="691"/>
      <c r="D6461" s="3"/>
    </row>
    <row r="6462" spans="1:4">
      <c r="A6462" s="691"/>
      <c r="D6462" s="3"/>
    </row>
    <row r="6463" spans="1:4">
      <c r="A6463" s="691"/>
      <c r="D6463" s="3"/>
    </row>
    <row r="6464" spans="1:4">
      <c r="A6464" s="691"/>
      <c r="D6464" s="3"/>
    </row>
    <row r="6465" spans="1:4">
      <c r="A6465" s="691"/>
      <c r="D6465" s="3"/>
    </row>
    <row r="6466" spans="1:4">
      <c r="A6466" s="691"/>
      <c r="D6466" s="3"/>
    </row>
    <row r="6467" spans="1:4">
      <c r="A6467" s="691"/>
      <c r="D6467" s="3"/>
    </row>
    <row r="6468" spans="1:4">
      <c r="A6468" s="691"/>
      <c r="D6468" s="3"/>
    </row>
    <row r="6469" spans="1:4">
      <c r="A6469" s="691"/>
      <c r="D6469" s="3"/>
    </row>
    <row r="6470" spans="1:4">
      <c r="A6470" s="691"/>
      <c r="D6470" s="3"/>
    </row>
    <row r="6471" spans="1:4">
      <c r="A6471" s="691"/>
      <c r="D6471" s="3"/>
    </row>
    <row r="6472" spans="1:4">
      <c r="A6472" s="691"/>
      <c r="D6472" s="3"/>
    </row>
    <row r="6473" spans="1:4">
      <c r="A6473" s="691"/>
      <c r="D6473" s="3"/>
    </row>
    <row r="6474" spans="1:4">
      <c r="A6474" s="691"/>
      <c r="D6474" s="3"/>
    </row>
    <row r="6475" spans="1:4">
      <c r="A6475" s="691"/>
      <c r="D6475" s="3"/>
    </row>
    <row r="6476" spans="1:4">
      <c r="A6476" s="691"/>
      <c r="D6476" s="3"/>
    </row>
    <row r="6477" spans="1:4">
      <c r="A6477" s="691"/>
      <c r="D6477" s="3"/>
    </row>
    <row r="6478" spans="1:4">
      <c r="A6478" s="691"/>
      <c r="D6478" s="3"/>
    </row>
    <row r="6479" spans="1:4">
      <c r="A6479" s="691"/>
      <c r="D6479" s="3"/>
    </row>
    <row r="6480" spans="1:4">
      <c r="A6480" s="691"/>
      <c r="D6480" s="3"/>
    </row>
    <row r="6481" spans="1:4">
      <c r="A6481" s="691"/>
      <c r="D6481" s="3"/>
    </row>
    <row r="6482" spans="1:4">
      <c r="A6482" s="691"/>
      <c r="D6482" s="3"/>
    </row>
    <row r="6483" spans="1:4">
      <c r="A6483" s="691"/>
      <c r="D6483" s="3"/>
    </row>
    <row r="6484" spans="1:4">
      <c r="A6484" s="691"/>
      <c r="D6484" s="3"/>
    </row>
    <row r="6485" spans="1:4">
      <c r="A6485" s="691"/>
      <c r="D6485" s="3"/>
    </row>
    <row r="6486" spans="1:4">
      <c r="A6486" s="691"/>
      <c r="D6486" s="3"/>
    </row>
    <row r="6487" spans="1:4">
      <c r="A6487" s="691"/>
      <c r="D6487" s="3"/>
    </row>
    <row r="6488" spans="1:4">
      <c r="A6488" s="691"/>
      <c r="D6488" s="3"/>
    </row>
    <row r="6489" spans="1:4">
      <c r="A6489" s="691"/>
      <c r="D6489" s="3"/>
    </row>
    <row r="6490" spans="1:4">
      <c r="A6490" s="691"/>
      <c r="D6490" s="3"/>
    </row>
    <row r="6491" spans="1:4">
      <c r="A6491" s="691"/>
      <c r="D6491" s="3"/>
    </row>
    <row r="6492" spans="1:4">
      <c r="A6492" s="691"/>
      <c r="D6492" s="3"/>
    </row>
    <row r="6493" spans="1:4">
      <c r="A6493" s="691"/>
      <c r="D6493" s="3"/>
    </row>
    <row r="6494" spans="1:4">
      <c r="A6494" s="691"/>
      <c r="D6494" s="3"/>
    </row>
    <row r="6495" spans="1:4">
      <c r="A6495" s="691"/>
      <c r="D6495" s="3"/>
    </row>
    <row r="6496" spans="1:4">
      <c r="A6496" s="691"/>
      <c r="D6496" s="3"/>
    </row>
    <row r="6497" spans="1:4">
      <c r="A6497" s="691"/>
      <c r="D6497" s="3"/>
    </row>
    <row r="6498" spans="1:4">
      <c r="A6498" s="691"/>
      <c r="D6498" s="3"/>
    </row>
    <row r="6499" spans="1:4">
      <c r="A6499" s="691"/>
      <c r="D6499" s="3"/>
    </row>
    <row r="6500" spans="1:4">
      <c r="A6500" s="691"/>
      <c r="D6500" s="3"/>
    </row>
    <row r="6501" spans="1:4">
      <c r="A6501" s="691"/>
      <c r="D6501" s="3"/>
    </row>
    <row r="6502" spans="1:4">
      <c r="A6502" s="691"/>
      <c r="D6502" s="3"/>
    </row>
    <row r="6503" spans="1:4">
      <c r="A6503" s="691"/>
      <c r="D6503" s="3"/>
    </row>
    <row r="6504" spans="1:4">
      <c r="A6504" s="691"/>
      <c r="D6504" s="3"/>
    </row>
    <row r="6505" spans="1:4">
      <c r="A6505" s="691"/>
      <c r="D6505" s="3"/>
    </row>
    <row r="6506" spans="1:4">
      <c r="A6506" s="691"/>
      <c r="D6506" s="3"/>
    </row>
    <row r="6507" spans="1:4">
      <c r="A6507" s="691"/>
      <c r="D6507" s="3"/>
    </row>
    <row r="6508" spans="1:4">
      <c r="A6508" s="691"/>
      <c r="D6508" s="3"/>
    </row>
    <row r="6509" spans="1:4">
      <c r="A6509" s="691"/>
      <c r="D6509" s="3"/>
    </row>
    <row r="6510" spans="1:4">
      <c r="A6510" s="691"/>
      <c r="D6510" s="3"/>
    </row>
    <row r="6511" spans="1:4">
      <c r="A6511" s="691"/>
      <c r="D6511" s="3"/>
    </row>
    <row r="6512" spans="1:4">
      <c r="A6512" s="691"/>
      <c r="D6512" s="3"/>
    </row>
    <row r="6513" spans="1:4">
      <c r="A6513" s="691"/>
      <c r="D6513" s="3"/>
    </row>
    <row r="6514" spans="1:4">
      <c r="A6514" s="691"/>
      <c r="D6514" s="3"/>
    </row>
    <row r="6515" spans="1:4">
      <c r="A6515" s="691"/>
      <c r="D6515" s="3"/>
    </row>
    <row r="6516" spans="1:4">
      <c r="A6516" s="691"/>
      <c r="D6516" s="3"/>
    </row>
    <row r="6517" spans="1:4">
      <c r="A6517" s="691"/>
      <c r="D6517" s="3"/>
    </row>
    <row r="6518" spans="1:4">
      <c r="A6518" s="691"/>
      <c r="D6518" s="3"/>
    </row>
    <row r="6519" spans="1:4">
      <c r="A6519" s="691"/>
      <c r="D6519" s="3"/>
    </row>
    <row r="6520" spans="1:4">
      <c r="A6520" s="691"/>
      <c r="D6520" s="3"/>
    </row>
    <row r="6521" spans="1:4">
      <c r="A6521" s="691"/>
      <c r="D6521" s="3"/>
    </row>
    <row r="6522" spans="1:4">
      <c r="A6522" s="691"/>
      <c r="D6522" s="3"/>
    </row>
    <row r="6523" spans="1:4">
      <c r="A6523" s="691"/>
      <c r="D6523" s="3"/>
    </row>
    <row r="6524" spans="1:4">
      <c r="A6524" s="691"/>
      <c r="D6524" s="3"/>
    </row>
    <row r="6525" spans="1:4">
      <c r="A6525" s="691"/>
      <c r="D6525" s="3"/>
    </row>
    <row r="6526" spans="1:4">
      <c r="A6526" s="691"/>
      <c r="D6526" s="3"/>
    </row>
    <row r="6527" spans="1:4">
      <c r="A6527" s="691"/>
      <c r="D6527" s="3"/>
    </row>
    <row r="6528" spans="1:4">
      <c r="A6528" s="691"/>
      <c r="D6528" s="3"/>
    </row>
    <row r="6529" spans="1:4">
      <c r="A6529" s="691"/>
      <c r="D6529" s="3"/>
    </row>
    <row r="6530" spans="1:4">
      <c r="A6530" s="691"/>
      <c r="D6530" s="3"/>
    </row>
    <row r="6531" spans="1:4">
      <c r="A6531" s="691"/>
      <c r="D6531" s="3"/>
    </row>
    <row r="6532" spans="1:4">
      <c r="A6532" s="691"/>
      <c r="D6532" s="3"/>
    </row>
    <row r="6533" spans="1:4">
      <c r="A6533" s="691"/>
      <c r="D6533" s="3"/>
    </row>
    <row r="6534" spans="1:4">
      <c r="A6534" s="691"/>
      <c r="D6534" s="3"/>
    </row>
    <row r="6535" spans="1:4">
      <c r="A6535" s="691"/>
      <c r="D6535" s="3"/>
    </row>
    <row r="6536" spans="1:4">
      <c r="A6536" s="691"/>
      <c r="D6536" s="3"/>
    </row>
    <row r="6537" spans="1:4">
      <c r="A6537" s="691"/>
      <c r="D6537" s="3"/>
    </row>
    <row r="6538" spans="1:4">
      <c r="A6538" s="691"/>
      <c r="D6538" s="3"/>
    </row>
    <row r="6539" spans="1:4">
      <c r="A6539" s="691"/>
      <c r="D6539" s="3"/>
    </row>
    <row r="6540" spans="1:4">
      <c r="A6540" s="691"/>
      <c r="D6540" s="3"/>
    </row>
    <row r="6541" spans="1:4">
      <c r="A6541" s="691"/>
      <c r="D6541" s="3"/>
    </row>
    <row r="6542" spans="1:4">
      <c r="A6542" s="691"/>
      <c r="D6542" s="3"/>
    </row>
    <row r="6543" spans="1:4">
      <c r="A6543" s="691"/>
      <c r="D6543" s="3"/>
    </row>
    <row r="6544" spans="1:4">
      <c r="A6544" s="691"/>
      <c r="D6544" s="3"/>
    </row>
    <row r="6545" spans="1:4">
      <c r="A6545" s="691"/>
      <c r="D6545" s="3"/>
    </row>
    <row r="6546" spans="1:4">
      <c r="A6546" s="691"/>
      <c r="D6546" s="3"/>
    </row>
    <row r="6547" spans="1:4">
      <c r="A6547" s="691"/>
      <c r="D6547" s="3"/>
    </row>
    <row r="6548" spans="1:4">
      <c r="A6548" s="691"/>
      <c r="D6548" s="3"/>
    </row>
    <row r="6549" spans="1:4">
      <c r="A6549" s="691"/>
      <c r="D6549" s="3"/>
    </row>
    <row r="6550" spans="1:4">
      <c r="A6550" s="691"/>
      <c r="D6550" s="3"/>
    </row>
    <row r="6551" spans="1:4">
      <c r="A6551" s="691"/>
      <c r="D6551" s="3"/>
    </row>
    <row r="6552" spans="1:4">
      <c r="A6552" s="691"/>
      <c r="D6552" s="3"/>
    </row>
    <row r="6553" spans="1:4">
      <c r="A6553" s="691"/>
      <c r="D6553" s="3"/>
    </row>
    <row r="6554" spans="1:4">
      <c r="A6554" s="691"/>
      <c r="D6554" s="3"/>
    </row>
    <row r="6555" spans="1:4">
      <c r="A6555" s="691"/>
      <c r="D6555" s="3"/>
    </row>
    <row r="6556" spans="1:4">
      <c r="A6556" s="691"/>
      <c r="D6556" s="3"/>
    </row>
    <row r="6557" spans="1:4">
      <c r="A6557" s="691"/>
      <c r="D6557" s="3"/>
    </row>
    <row r="6558" spans="1:4">
      <c r="A6558" s="691"/>
      <c r="D6558" s="3"/>
    </row>
    <row r="6559" spans="1:4">
      <c r="A6559" s="691"/>
      <c r="D6559" s="3"/>
    </row>
    <row r="6560" spans="1:4">
      <c r="A6560" s="691"/>
      <c r="D6560" s="3"/>
    </row>
    <row r="6561" spans="1:4">
      <c r="A6561" s="691"/>
      <c r="D6561" s="3"/>
    </row>
    <row r="6562" spans="1:4">
      <c r="A6562" s="691"/>
      <c r="D6562" s="3"/>
    </row>
    <row r="6563" spans="1:4">
      <c r="A6563" s="691"/>
      <c r="D6563" s="3"/>
    </row>
    <row r="6564" spans="1:4">
      <c r="A6564" s="691"/>
      <c r="D6564" s="3"/>
    </row>
    <row r="6565" spans="1:4">
      <c r="A6565" s="691"/>
      <c r="D6565" s="3"/>
    </row>
    <row r="6566" spans="1:4">
      <c r="A6566" s="691"/>
      <c r="D6566" s="3"/>
    </row>
    <row r="6567" spans="1:4">
      <c r="A6567" s="691"/>
      <c r="D6567" s="3"/>
    </row>
    <row r="6568" spans="1:4">
      <c r="A6568" s="691"/>
      <c r="D6568" s="3"/>
    </row>
    <row r="6569" spans="1:4">
      <c r="A6569" s="691"/>
      <c r="D6569" s="3"/>
    </row>
    <row r="6570" spans="1:4">
      <c r="A6570" s="691"/>
      <c r="D6570" s="3"/>
    </row>
    <row r="6571" spans="1:4">
      <c r="A6571" s="691"/>
      <c r="D6571" s="3"/>
    </row>
    <row r="6572" spans="1:4">
      <c r="A6572" s="691"/>
      <c r="D6572" s="3"/>
    </row>
    <row r="6573" spans="1:4">
      <c r="A6573" s="691"/>
      <c r="D6573" s="3"/>
    </row>
    <row r="6574" spans="1:4">
      <c r="A6574" s="691"/>
      <c r="D6574" s="3"/>
    </row>
    <row r="6575" spans="1:4">
      <c r="A6575" s="691"/>
      <c r="D6575" s="3"/>
    </row>
    <row r="6576" spans="1:4">
      <c r="A6576" s="691"/>
      <c r="D6576" s="3"/>
    </row>
    <row r="6577" spans="1:4">
      <c r="A6577" s="691"/>
      <c r="D6577" s="3"/>
    </row>
    <row r="6578" spans="1:4">
      <c r="A6578" s="691"/>
      <c r="D6578" s="3"/>
    </row>
    <row r="6579" spans="1:4">
      <c r="A6579" s="691"/>
      <c r="D6579" s="3"/>
    </row>
    <row r="6580" spans="1:4">
      <c r="A6580" s="691"/>
      <c r="D6580" s="3"/>
    </row>
    <row r="6581" spans="1:4">
      <c r="A6581" s="691"/>
      <c r="D6581" s="3"/>
    </row>
    <row r="6582" spans="1:4">
      <c r="A6582" s="691"/>
      <c r="D6582" s="3"/>
    </row>
    <row r="6583" spans="1:4">
      <c r="A6583" s="691"/>
      <c r="D6583" s="3"/>
    </row>
    <row r="6584" spans="1:4">
      <c r="A6584" s="691"/>
      <c r="D6584" s="3"/>
    </row>
    <row r="6585" spans="1:4">
      <c r="A6585" s="691"/>
      <c r="D6585" s="3"/>
    </row>
    <row r="6586" spans="1:4">
      <c r="A6586" s="691"/>
      <c r="D6586" s="3"/>
    </row>
    <row r="6587" spans="1:4">
      <c r="A6587" s="691"/>
      <c r="D6587" s="3"/>
    </row>
    <row r="6588" spans="1:4">
      <c r="A6588" s="691"/>
      <c r="D6588" s="3"/>
    </row>
    <row r="6589" spans="1:4">
      <c r="A6589" s="691"/>
      <c r="D6589" s="3"/>
    </row>
    <row r="6590" spans="1:4">
      <c r="A6590" s="691"/>
      <c r="D6590" s="3"/>
    </row>
    <row r="6591" spans="1:4">
      <c r="A6591" s="691"/>
      <c r="D6591" s="3"/>
    </row>
    <row r="6592" spans="1:4">
      <c r="A6592" s="691"/>
      <c r="D6592" s="3"/>
    </row>
    <row r="6593" spans="1:4">
      <c r="A6593" s="691"/>
      <c r="D6593" s="3"/>
    </row>
    <row r="6594" spans="1:4">
      <c r="A6594" s="691"/>
      <c r="D6594" s="3"/>
    </row>
    <row r="6595" spans="1:4">
      <c r="A6595" s="691"/>
      <c r="D6595" s="3"/>
    </row>
    <row r="6596" spans="1:4">
      <c r="A6596" s="691"/>
      <c r="D6596" s="3"/>
    </row>
    <row r="6597" spans="1:4">
      <c r="A6597" s="691"/>
      <c r="D6597" s="3"/>
    </row>
    <row r="6598" spans="1:4">
      <c r="A6598" s="691"/>
      <c r="D6598" s="3"/>
    </row>
    <row r="6599" spans="1:4">
      <c r="A6599" s="691"/>
      <c r="D6599" s="3"/>
    </row>
    <row r="6600" spans="1:4">
      <c r="A6600" s="691"/>
      <c r="D6600" s="3"/>
    </row>
    <row r="6601" spans="1:4">
      <c r="A6601" s="691"/>
      <c r="D6601" s="3"/>
    </row>
    <row r="6602" spans="1:4">
      <c r="A6602" s="691"/>
      <c r="D6602" s="3"/>
    </row>
    <row r="6603" spans="1:4">
      <c r="A6603" s="691"/>
      <c r="D6603" s="3"/>
    </row>
    <row r="6604" spans="1:4">
      <c r="A6604" s="691"/>
      <c r="D6604" s="3"/>
    </row>
    <row r="6605" spans="1:4">
      <c r="A6605" s="691"/>
      <c r="D6605" s="3"/>
    </row>
    <row r="6606" spans="1:4">
      <c r="A6606" s="691"/>
      <c r="D6606" s="3"/>
    </row>
    <row r="6607" spans="1:4">
      <c r="A6607" s="691"/>
      <c r="D6607" s="3"/>
    </row>
    <row r="6608" spans="1:4">
      <c r="A6608" s="691"/>
      <c r="D6608" s="3"/>
    </row>
    <row r="6609" spans="1:4">
      <c r="A6609" s="691"/>
      <c r="D6609" s="3"/>
    </row>
    <row r="6610" spans="1:4">
      <c r="A6610" s="691"/>
      <c r="D6610" s="3"/>
    </row>
    <row r="6611" spans="1:4">
      <c r="A6611" s="691"/>
      <c r="D6611" s="3"/>
    </row>
    <row r="6612" spans="1:4">
      <c r="A6612" s="691"/>
      <c r="D6612" s="3"/>
    </row>
    <row r="6613" spans="1:4">
      <c r="A6613" s="691"/>
      <c r="D6613" s="3"/>
    </row>
    <row r="6614" spans="1:4">
      <c r="A6614" s="691"/>
      <c r="D6614" s="3"/>
    </row>
    <row r="6615" spans="1:4">
      <c r="A6615" s="691"/>
      <c r="D6615" s="3"/>
    </row>
    <row r="6616" spans="1:4">
      <c r="A6616" s="691"/>
      <c r="D6616" s="3"/>
    </row>
    <row r="6617" spans="1:4">
      <c r="A6617" s="691"/>
      <c r="D6617" s="3"/>
    </row>
    <row r="6618" spans="1:4">
      <c r="A6618" s="691"/>
      <c r="D6618" s="3"/>
    </row>
    <row r="6619" spans="1:4">
      <c r="A6619" s="691"/>
      <c r="D6619" s="3"/>
    </row>
    <row r="6620" spans="1:4">
      <c r="A6620" s="691"/>
      <c r="D6620" s="3"/>
    </row>
    <row r="6621" spans="1:4">
      <c r="A6621" s="691"/>
      <c r="D6621" s="3"/>
    </row>
    <row r="6622" spans="1:4">
      <c r="A6622" s="691"/>
      <c r="D6622" s="3"/>
    </row>
    <row r="6623" spans="1:4">
      <c r="A6623" s="691"/>
      <c r="D6623" s="3"/>
    </row>
    <row r="6624" spans="1:4">
      <c r="A6624" s="691"/>
      <c r="D6624" s="3"/>
    </row>
    <row r="6625" spans="1:4">
      <c r="A6625" s="691"/>
      <c r="D6625" s="3"/>
    </row>
    <row r="6626" spans="1:4">
      <c r="A6626" s="691"/>
      <c r="D6626" s="3"/>
    </row>
    <row r="6627" spans="1:4">
      <c r="A6627" s="691"/>
      <c r="D6627" s="3"/>
    </row>
    <row r="6628" spans="1:4">
      <c r="A6628" s="691"/>
      <c r="D6628" s="3"/>
    </row>
    <row r="6629" spans="1:4">
      <c r="A6629" s="691"/>
      <c r="D6629" s="3"/>
    </row>
    <row r="6630" spans="1:4">
      <c r="A6630" s="691"/>
      <c r="D6630" s="3"/>
    </row>
    <row r="6631" spans="1:4">
      <c r="A6631" s="691"/>
      <c r="D6631" s="3"/>
    </row>
    <row r="6632" spans="1:4">
      <c r="A6632" s="691"/>
      <c r="D6632" s="3"/>
    </row>
    <row r="6633" spans="1:4">
      <c r="A6633" s="691"/>
      <c r="D6633" s="3"/>
    </row>
    <row r="6634" spans="1:4">
      <c r="A6634" s="691"/>
      <c r="D6634" s="3"/>
    </row>
    <row r="6635" spans="1:4">
      <c r="A6635" s="691"/>
      <c r="D6635" s="3"/>
    </row>
    <row r="6636" spans="1:4">
      <c r="A6636" s="691"/>
      <c r="D6636" s="3"/>
    </row>
    <row r="6637" spans="1:4">
      <c r="A6637" s="691"/>
      <c r="D6637" s="3"/>
    </row>
    <row r="6638" spans="1:4">
      <c r="A6638" s="691"/>
      <c r="D6638" s="3"/>
    </row>
    <row r="6639" spans="1:4">
      <c r="A6639" s="691"/>
      <c r="D6639" s="3"/>
    </row>
    <row r="6640" spans="1:4">
      <c r="A6640" s="691"/>
      <c r="D6640" s="3"/>
    </row>
    <row r="6641" spans="1:4">
      <c r="A6641" s="691"/>
      <c r="D6641" s="3"/>
    </row>
    <row r="6642" spans="1:4">
      <c r="A6642" s="691"/>
      <c r="D6642" s="3"/>
    </row>
    <row r="6643" spans="1:4">
      <c r="A6643" s="691"/>
      <c r="D6643" s="3"/>
    </row>
    <row r="6644" spans="1:4">
      <c r="A6644" s="691"/>
      <c r="D6644" s="3"/>
    </row>
    <row r="6645" spans="1:4">
      <c r="A6645" s="691"/>
      <c r="D6645" s="3"/>
    </row>
    <row r="6646" spans="1:4">
      <c r="A6646" s="691"/>
      <c r="D6646" s="3"/>
    </row>
    <row r="6647" spans="1:4">
      <c r="A6647" s="691"/>
      <c r="D6647" s="3"/>
    </row>
    <row r="6648" spans="1:4">
      <c r="A6648" s="691"/>
      <c r="D6648" s="3"/>
    </row>
    <row r="6649" spans="1:4">
      <c r="A6649" s="691"/>
      <c r="D6649" s="3"/>
    </row>
    <row r="6650" spans="1:4">
      <c r="A6650" s="691"/>
      <c r="D6650" s="3"/>
    </row>
    <row r="6651" spans="1:4">
      <c r="A6651" s="691"/>
      <c r="D6651" s="3"/>
    </row>
    <row r="6652" spans="1:4">
      <c r="A6652" s="691"/>
      <c r="D6652" s="3"/>
    </row>
    <row r="6653" spans="1:4">
      <c r="A6653" s="691"/>
      <c r="D6653" s="3"/>
    </row>
    <row r="6654" spans="1:4">
      <c r="A6654" s="691"/>
      <c r="D6654" s="3"/>
    </row>
    <row r="6655" spans="1:4">
      <c r="A6655" s="691"/>
      <c r="D6655" s="3"/>
    </row>
    <row r="6656" spans="1:4">
      <c r="A6656" s="691"/>
      <c r="D6656" s="3"/>
    </row>
    <row r="6657" spans="1:4">
      <c r="A6657" s="691"/>
      <c r="D6657" s="3"/>
    </row>
    <row r="6658" spans="1:4">
      <c r="A6658" s="691"/>
      <c r="D6658" s="3"/>
    </row>
    <row r="6659" spans="1:4">
      <c r="A6659" s="691"/>
      <c r="D6659" s="3"/>
    </row>
    <row r="6660" spans="1:4">
      <c r="A6660" s="691"/>
      <c r="D6660" s="3"/>
    </row>
    <row r="6661" spans="1:4">
      <c r="A6661" s="691"/>
      <c r="D6661" s="3"/>
    </row>
    <row r="6662" spans="1:4">
      <c r="A6662" s="691"/>
      <c r="D6662" s="3"/>
    </row>
    <row r="6663" spans="1:4">
      <c r="A6663" s="691"/>
      <c r="D6663" s="3"/>
    </row>
    <row r="6664" spans="1:4">
      <c r="A6664" s="691"/>
      <c r="D6664" s="3"/>
    </row>
    <row r="6665" spans="1:4">
      <c r="A6665" s="691"/>
      <c r="D6665" s="3"/>
    </row>
    <row r="6666" spans="1:4">
      <c r="A6666" s="691"/>
      <c r="D6666" s="3"/>
    </row>
    <row r="6667" spans="1:4">
      <c r="A6667" s="691"/>
      <c r="D6667" s="3"/>
    </row>
    <row r="6668" spans="1:4">
      <c r="A6668" s="691"/>
      <c r="D6668" s="3"/>
    </row>
    <row r="6669" spans="1:4">
      <c r="A6669" s="691"/>
      <c r="D6669" s="3"/>
    </row>
    <row r="6670" spans="1:4">
      <c r="A6670" s="691"/>
      <c r="D6670" s="3"/>
    </row>
    <row r="6671" spans="1:4">
      <c r="A6671" s="691"/>
      <c r="D6671" s="3"/>
    </row>
    <row r="6672" spans="1:4">
      <c r="A6672" s="691"/>
      <c r="D6672" s="3"/>
    </row>
    <row r="6673" spans="1:4">
      <c r="A6673" s="691"/>
      <c r="D6673" s="3"/>
    </row>
    <row r="6674" spans="1:4">
      <c r="A6674" s="691"/>
      <c r="D6674" s="3"/>
    </row>
    <row r="6675" spans="1:4">
      <c r="A6675" s="691"/>
      <c r="D6675" s="3"/>
    </row>
    <row r="6676" spans="1:4">
      <c r="A6676" s="691"/>
      <c r="D6676" s="3"/>
    </row>
    <row r="6677" spans="1:4">
      <c r="A6677" s="691"/>
      <c r="D6677" s="3"/>
    </row>
    <row r="6678" spans="1:4">
      <c r="A6678" s="691"/>
      <c r="D6678" s="3"/>
    </row>
    <row r="6679" spans="1:4">
      <c r="A6679" s="691"/>
      <c r="D6679" s="3"/>
    </row>
    <row r="6680" spans="1:4">
      <c r="A6680" s="691"/>
      <c r="D6680" s="3"/>
    </row>
    <row r="6681" spans="1:4">
      <c r="A6681" s="691"/>
      <c r="D6681" s="3"/>
    </row>
    <row r="6682" spans="1:4">
      <c r="A6682" s="691"/>
      <c r="D6682" s="3"/>
    </row>
    <row r="6683" spans="1:4">
      <c r="A6683" s="691"/>
      <c r="D6683" s="3"/>
    </row>
    <row r="6684" spans="1:4">
      <c r="A6684" s="691"/>
      <c r="D6684" s="3"/>
    </row>
    <row r="6685" spans="1:4">
      <c r="A6685" s="691"/>
      <c r="D6685" s="3"/>
    </row>
    <row r="6686" spans="1:4">
      <c r="A6686" s="691"/>
      <c r="D6686" s="3"/>
    </row>
    <row r="6687" spans="1:4">
      <c r="A6687" s="691"/>
      <c r="D6687" s="3"/>
    </row>
    <row r="6688" spans="1:4">
      <c r="A6688" s="691"/>
      <c r="D6688" s="3"/>
    </row>
    <row r="6689" spans="1:4">
      <c r="A6689" s="691"/>
      <c r="D6689" s="3"/>
    </row>
    <row r="6690" spans="1:4">
      <c r="A6690" s="691"/>
      <c r="D6690" s="3"/>
    </row>
    <row r="6691" spans="1:4">
      <c r="A6691" s="691"/>
      <c r="D6691" s="3"/>
    </row>
    <row r="6692" spans="1:4">
      <c r="A6692" s="691"/>
      <c r="D6692" s="3"/>
    </row>
    <row r="6693" spans="1:4">
      <c r="A6693" s="691"/>
      <c r="D6693" s="3"/>
    </row>
    <row r="6694" spans="1:4">
      <c r="A6694" s="691"/>
      <c r="D6694" s="3"/>
    </row>
    <row r="6695" spans="1:4">
      <c r="A6695" s="691"/>
      <c r="D6695" s="3"/>
    </row>
    <row r="6696" spans="1:4">
      <c r="A6696" s="691"/>
      <c r="D6696" s="3"/>
    </row>
    <row r="6697" spans="1:4">
      <c r="A6697" s="691"/>
      <c r="D6697" s="3"/>
    </row>
    <row r="6698" spans="1:4">
      <c r="A6698" s="691"/>
      <c r="D6698" s="3"/>
    </row>
    <row r="6699" spans="1:4">
      <c r="A6699" s="691"/>
      <c r="D6699" s="3"/>
    </row>
    <row r="6700" spans="1:4">
      <c r="A6700" s="691"/>
      <c r="D6700" s="3"/>
    </row>
    <row r="6701" spans="1:4">
      <c r="A6701" s="691"/>
      <c r="D6701" s="3"/>
    </row>
    <row r="6702" spans="1:4">
      <c r="A6702" s="691"/>
      <c r="D6702" s="3"/>
    </row>
    <row r="6703" spans="1:4">
      <c r="A6703" s="691"/>
      <c r="D6703" s="3"/>
    </row>
    <row r="6704" spans="1:4">
      <c r="A6704" s="691"/>
      <c r="D6704" s="3"/>
    </row>
    <row r="6705" spans="1:4">
      <c r="A6705" s="691"/>
      <c r="D6705" s="3"/>
    </row>
    <row r="6706" spans="1:4">
      <c r="A6706" s="691"/>
      <c r="D6706" s="3"/>
    </row>
    <row r="6707" spans="1:4">
      <c r="A6707" s="691"/>
      <c r="D6707" s="3"/>
    </row>
    <row r="6708" spans="1:4">
      <c r="A6708" s="691"/>
      <c r="D6708" s="3"/>
    </row>
    <row r="6709" spans="1:4">
      <c r="A6709" s="691"/>
      <c r="D6709" s="3"/>
    </row>
    <row r="6710" spans="1:4">
      <c r="A6710" s="691"/>
      <c r="D6710" s="3"/>
    </row>
    <row r="6711" spans="1:4">
      <c r="A6711" s="691"/>
      <c r="D6711" s="3"/>
    </row>
    <row r="6712" spans="1:4">
      <c r="A6712" s="691"/>
      <c r="D6712" s="3"/>
    </row>
    <row r="6713" spans="1:4">
      <c r="A6713" s="691"/>
      <c r="D6713" s="3"/>
    </row>
    <row r="6714" spans="1:4">
      <c r="A6714" s="691"/>
      <c r="D6714" s="3"/>
    </row>
    <row r="6715" spans="1:4">
      <c r="A6715" s="691"/>
      <c r="D6715" s="3"/>
    </row>
    <row r="6716" spans="1:4">
      <c r="A6716" s="691"/>
      <c r="D6716" s="3"/>
    </row>
    <row r="6717" spans="1:4">
      <c r="A6717" s="691"/>
      <c r="D6717" s="3"/>
    </row>
    <row r="6718" spans="1:4">
      <c r="A6718" s="691"/>
      <c r="D6718" s="3"/>
    </row>
    <row r="6719" spans="1:4">
      <c r="A6719" s="691"/>
      <c r="D6719" s="3"/>
    </row>
    <row r="6720" spans="1:4">
      <c r="A6720" s="691"/>
      <c r="D6720" s="3"/>
    </row>
    <row r="6721" spans="1:4">
      <c r="A6721" s="691"/>
      <c r="D6721" s="3"/>
    </row>
    <row r="6722" spans="1:4">
      <c r="A6722" s="691"/>
      <c r="D6722" s="3"/>
    </row>
    <row r="6723" spans="1:4">
      <c r="A6723" s="691"/>
      <c r="D6723" s="3"/>
    </row>
    <row r="6724" spans="1:4">
      <c r="A6724" s="691"/>
      <c r="D6724" s="3"/>
    </row>
    <row r="6725" spans="1:4">
      <c r="A6725" s="691"/>
      <c r="D6725" s="3"/>
    </row>
    <row r="6726" spans="1:4">
      <c r="A6726" s="691"/>
      <c r="D6726" s="3"/>
    </row>
    <row r="6727" spans="1:4">
      <c r="A6727" s="691"/>
      <c r="D6727" s="3"/>
    </row>
    <row r="6728" spans="1:4">
      <c r="A6728" s="691"/>
      <c r="D6728" s="3"/>
    </row>
    <row r="6729" spans="1:4">
      <c r="A6729" s="691"/>
      <c r="D6729" s="3"/>
    </row>
    <row r="6730" spans="1:4">
      <c r="A6730" s="691"/>
      <c r="D6730" s="3"/>
    </row>
    <row r="6731" spans="1:4">
      <c r="A6731" s="691"/>
      <c r="D6731" s="3"/>
    </row>
    <row r="6732" spans="1:4">
      <c r="A6732" s="691"/>
      <c r="D6732" s="3"/>
    </row>
    <row r="6733" spans="1:4">
      <c r="A6733" s="691"/>
      <c r="D6733" s="3"/>
    </row>
    <row r="6734" spans="1:4">
      <c r="A6734" s="691"/>
      <c r="D6734" s="3"/>
    </row>
    <row r="6735" spans="1:4">
      <c r="A6735" s="691"/>
      <c r="D6735" s="3"/>
    </row>
    <row r="6736" spans="1:4">
      <c r="A6736" s="691"/>
      <c r="D6736" s="3"/>
    </row>
    <row r="6737" spans="1:4">
      <c r="A6737" s="691"/>
      <c r="D6737" s="3"/>
    </row>
    <row r="6738" spans="1:4">
      <c r="A6738" s="691"/>
      <c r="D6738" s="3"/>
    </row>
    <row r="6739" spans="1:4">
      <c r="A6739" s="691"/>
      <c r="D6739" s="3"/>
    </row>
    <row r="6740" spans="1:4">
      <c r="A6740" s="691"/>
      <c r="D6740" s="3"/>
    </row>
    <row r="6741" spans="1:4">
      <c r="A6741" s="691"/>
      <c r="D6741" s="3"/>
    </row>
    <row r="6742" spans="1:4">
      <c r="A6742" s="691"/>
      <c r="D6742" s="3"/>
    </row>
    <row r="6743" spans="1:4">
      <c r="A6743" s="691"/>
      <c r="D6743" s="3"/>
    </row>
    <row r="6744" spans="1:4">
      <c r="A6744" s="691"/>
      <c r="D6744" s="3"/>
    </row>
    <row r="6745" spans="1:4">
      <c r="A6745" s="691"/>
      <c r="D6745" s="3"/>
    </row>
    <row r="6746" spans="1:4">
      <c r="A6746" s="691"/>
      <c r="D6746" s="3"/>
    </row>
    <row r="6747" spans="1:4">
      <c r="A6747" s="691"/>
      <c r="D6747" s="3"/>
    </row>
    <row r="6748" spans="1:4">
      <c r="A6748" s="691"/>
      <c r="D6748" s="3"/>
    </row>
    <row r="6749" spans="1:4">
      <c r="A6749" s="691"/>
      <c r="D6749" s="3"/>
    </row>
    <row r="6750" spans="1:4">
      <c r="A6750" s="691"/>
      <c r="D6750" s="3"/>
    </row>
    <row r="6751" spans="1:4">
      <c r="A6751" s="691"/>
      <c r="D6751" s="3"/>
    </row>
    <row r="6752" spans="1:4">
      <c r="A6752" s="691"/>
      <c r="D6752" s="3"/>
    </row>
    <row r="6753" spans="1:4">
      <c r="A6753" s="691"/>
      <c r="D6753" s="3"/>
    </row>
    <row r="6754" spans="1:4">
      <c r="A6754" s="691"/>
      <c r="D6754" s="3"/>
    </row>
    <row r="6755" spans="1:4">
      <c r="A6755" s="691"/>
      <c r="D6755" s="3"/>
    </row>
    <row r="6756" spans="1:4">
      <c r="A6756" s="691"/>
      <c r="D6756" s="3"/>
    </row>
    <row r="6757" spans="1:4">
      <c r="A6757" s="691"/>
      <c r="D6757" s="3"/>
    </row>
    <row r="6758" spans="1:4">
      <c r="A6758" s="691"/>
      <c r="D6758" s="3"/>
    </row>
    <row r="6759" spans="1:4">
      <c r="A6759" s="691"/>
      <c r="D6759" s="3"/>
    </row>
    <row r="6760" spans="1:4">
      <c r="A6760" s="691"/>
      <c r="D6760" s="3"/>
    </row>
    <row r="6761" spans="1:4">
      <c r="A6761" s="691"/>
      <c r="D6761" s="3"/>
    </row>
    <row r="6762" spans="1:4">
      <c r="A6762" s="691"/>
      <c r="D6762" s="3"/>
    </row>
    <row r="6763" spans="1:4">
      <c r="A6763" s="691"/>
      <c r="D6763" s="3"/>
    </row>
    <row r="6764" spans="1:4">
      <c r="A6764" s="691"/>
      <c r="D6764" s="3"/>
    </row>
    <row r="6765" spans="1:4">
      <c r="A6765" s="691"/>
      <c r="D6765" s="3"/>
    </row>
    <row r="6766" spans="1:4">
      <c r="A6766" s="691"/>
      <c r="D6766" s="3"/>
    </row>
    <row r="6767" spans="1:4">
      <c r="A6767" s="691"/>
      <c r="D6767" s="3"/>
    </row>
    <row r="6768" spans="1:4">
      <c r="A6768" s="691"/>
      <c r="D6768" s="3"/>
    </row>
    <row r="6769" spans="1:4">
      <c r="A6769" s="691"/>
      <c r="D6769" s="3"/>
    </row>
    <row r="6770" spans="1:4">
      <c r="A6770" s="691"/>
      <c r="D6770" s="3"/>
    </row>
    <row r="6771" spans="1:4">
      <c r="A6771" s="691"/>
      <c r="D6771" s="3"/>
    </row>
    <row r="6772" spans="1:4">
      <c r="A6772" s="691"/>
      <c r="D6772" s="3"/>
    </row>
    <row r="6773" spans="1:4">
      <c r="A6773" s="691"/>
      <c r="D6773" s="3"/>
    </row>
    <row r="6774" spans="1:4">
      <c r="A6774" s="691"/>
      <c r="D6774" s="3"/>
    </row>
    <row r="6775" spans="1:4">
      <c r="A6775" s="691"/>
      <c r="D6775" s="3"/>
    </row>
    <row r="6776" spans="1:4">
      <c r="A6776" s="691"/>
      <c r="D6776" s="3"/>
    </row>
    <row r="6777" spans="1:4">
      <c r="A6777" s="691"/>
      <c r="D6777" s="3"/>
    </row>
    <row r="6778" spans="1:4">
      <c r="A6778" s="691"/>
      <c r="D6778" s="3"/>
    </row>
    <row r="6779" spans="1:4">
      <c r="A6779" s="691"/>
      <c r="D6779" s="3"/>
    </row>
    <row r="6780" spans="1:4">
      <c r="A6780" s="691"/>
      <c r="D6780" s="3"/>
    </row>
    <row r="6781" spans="1:4">
      <c r="A6781" s="691"/>
      <c r="D6781" s="3"/>
    </row>
    <row r="6782" spans="1:4">
      <c r="A6782" s="691"/>
      <c r="D6782" s="3"/>
    </row>
    <row r="6783" spans="1:4">
      <c r="A6783" s="691"/>
      <c r="D6783" s="3"/>
    </row>
    <row r="6784" spans="1:4">
      <c r="A6784" s="691"/>
      <c r="D6784" s="3"/>
    </row>
    <row r="6785" spans="1:4">
      <c r="A6785" s="691"/>
      <c r="D6785" s="3"/>
    </row>
    <row r="6786" spans="1:4">
      <c r="A6786" s="691"/>
      <c r="D6786" s="3"/>
    </row>
    <row r="6787" spans="1:4">
      <c r="A6787" s="691"/>
      <c r="D6787" s="3"/>
    </row>
    <row r="6788" spans="1:4">
      <c r="A6788" s="691"/>
      <c r="D6788" s="3"/>
    </row>
    <row r="6789" spans="1:4">
      <c r="A6789" s="691"/>
      <c r="D6789" s="3"/>
    </row>
    <row r="6790" spans="1:4">
      <c r="A6790" s="691"/>
      <c r="D6790" s="3"/>
    </row>
    <row r="6791" spans="1:4">
      <c r="A6791" s="691"/>
      <c r="D6791" s="3"/>
    </row>
    <row r="6792" spans="1:4">
      <c r="A6792" s="691"/>
      <c r="D6792" s="3"/>
    </row>
    <row r="6793" spans="1:4">
      <c r="A6793" s="691"/>
      <c r="D6793" s="3"/>
    </row>
    <row r="6794" spans="1:4">
      <c r="A6794" s="691"/>
      <c r="D6794" s="3"/>
    </row>
    <row r="6795" spans="1:4">
      <c r="A6795" s="691"/>
      <c r="D6795" s="3"/>
    </row>
    <row r="6796" spans="1:4">
      <c r="A6796" s="691"/>
      <c r="D6796" s="3"/>
    </row>
    <row r="6797" spans="1:4">
      <c r="A6797" s="691"/>
      <c r="D6797" s="3"/>
    </row>
    <row r="6798" spans="1:4">
      <c r="A6798" s="691"/>
      <c r="D6798" s="3"/>
    </row>
    <row r="6799" spans="1:4">
      <c r="A6799" s="691"/>
      <c r="D6799" s="3"/>
    </row>
    <row r="6800" spans="1:4">
      <c r="A6800" s="691"/>
      <c r="D6800" s="3"/>
    </row>
    <row r="6801" spans="1:4">
      <c r="A6801" s="691"/>
      <c r="D6801" s="3"/>
    </row>
    <row r="6802" spans="1:4">
      <c r="A6802" s="691"/>
      <c r="D6802" s="3"/>
    </row>
    <row r="6803" spans="1:4">
      <c r="A6803" s="691"/>
      <c r="D6803" s="3"/>
    </row>
    <row r="6804" spans="1:4">
      <c r="A6804" s="691"/>
      <c r="D6804" s="3"/>
    </row>
    <row r="6805" spans="1:4">
      <c r="A6805" s="691"/>
      <c r="D6805" s="3"/>
    </row>
    <row r="6806" spans="1:4">
      <c r="A6806" s="691"/>
      <c r="D6806" s="3"/>
    </row>
    <row r="6807" spans="1:4">
      <c r="A6807" s="691"/>
      <c r="D6807" s="3"/>
    </row>
    <row r="6808" spans="1:4">
      <c r="A6808" s="691"/>
      <c r="D6808" s="3"/>
    </row>
    <row r="6809" spans="1:4">
      <c r="A6809" s="691"/>
      <c r="D6809" s="3"/>
    </row>
    <row r="6810" spans="1:4">
      <c r="A6810" s="691"/>
      <c r="D6810" s="3"/>
    </row>
    <row r="6811" spans="1:4">
      <c r="A6811" s="691"/>
      <c r="D6811" s="3"/>
    </row>
    <row r="6812" spans="1:4">
      <c r="A6812" s="691"/>
      <c r="D6812" s="3"/>
    </row>
    <row r="6813" spans="1:4">
      <c r="A6813" s="691"/>
      <c r="D6813" s="3"/>
    </row>
    <row r="6814" spans="1:4">
      <c r="A6814" s="691"/>
      <c r="D6814" s="3"/>
    </row>
    <row r="6815" spans="1:4">
      <c r="A6815" s="691"/>
      <c r="D6815" s="3"/>
    </row>
    <row r="6816" spans="1:4">
      <c r="A6816" s="691"/>
      <c r="D6816" s="3"/>
    </row>
    <row r="6817" spans="1:4">
      <c r="A6817" s="691"/>
      <c r="D6817" s="3"/>
    </row>
    <row r="6818" spans="1:4">
      <c r="A6818" s="691"/>
      <c r="D6818" s="3"/>
    </row>
    <row r="6819" spans="1:4">
      <c r="A6819" s="691"/>
      <c r="D6819" s="3"/>
    </row>
    <row r="6820" spans="1:4">
      <c r="A6820" s="691"/>
      <c r="D6820" s="3"/>
    </row>
    <row r="6821" spans="1:4">
      <c r="A6821" s="691"/>
      <c r="D6821" s="3"/>
    </row>
    <row r="6822" spans="1:4">
      <c r="A6822" s="691"/>
      <c r="D6822" s="3"/>
    </row>
    <row r="6823" spans="1:4">
      <c r="A6823" s="691"/>
      <c r="D6823" s="3"/>
    </row>
    <row r="6824" spans="1:4">
      <c r="A6824" s="691"/>
      <c r="D6824" s="3"/>
    </row>
    <row r="6825" spans="1:4">
      <c r="A6825" s="691"/>
      <c r="D6825" s="3"/>
    </row>
    <row r="6826" spans="1:4">
      <c r="A6826" s="691"/>
      <c r="D6826" s="3"/>
    </row>
    <row r="6827" spans="1:4">
      <c r="A6827" s="691"/>
      <c r="D6827" s="3"/>
    </row>
    <row r="6828" spans="1:4">
      <c r="A6828" s="691"/>
      <c r="D6828" s="3"/>
    </row>
    <row r="6829" spans="1:4">
      <c r="A6829" s="691"/>
      <c r="D6829" s="3"/>
    </row>
    <row r="6830" spans="1:4">
      <c r="A6830" s="691"/>
      <c r="D6830" s="3"/>
    </row>
    <row r="6831" spans="1:4">
      <c r="A6831" s="691"/>
      <c r="D6831" s="3"/>
    </row>
    <row r="6832" spans="1:4">
      <c r="A6832" s="691"/>
      <c r="D6832" s="3"/>
    </row>
    <row r="6833" spans="1:4">
      <c r="A6833" s="691"/>
      <c r="D6833" s="3"/>
    </row>
    <row r="6834" spans="1:4">
      <c r="A6834" s="691"/>
      <c r="D6834" s="3"/>
    </row>
    <row r="6835" spans="1:4">
      <c r="A6835" s="691"/>
      <c r="D6835" s="3"/>
    </row>
    <row r="6836" spans="1:4">
      <c r="A6836" s="691"/>
      <c r="D6836" s="3"/>
    </row>
    <row r="6837" spans="1:4">
      <c r="A6837" s="691"/>
      <c r="D6837" s="3"/>
    </row>
    <row r="6838" spans="1:4">
      <c r="A6838" s="691"/>
      <c r="D6838" s="3"/>
    </row>
    <row r="6839" spans="1:4">
      <c r="A6839" s="691"/>
      <c r="D6839" s="3"/>
    </row>
    <row r="6840" spans="1:4">
      <c r="A6840" s="691"/>
      <c r="D6840" s="3"/>
    </row>
    <row r="6841" spans="1:4">
      <c r="A6841" s="691"/>
      <c r="D6841" s="3"/>
    </row>
    <row r="6842" spans="1:4">
      <c r="A6842" s="691"/>
      <c r="D6842" s="3"/>
    </row>
    <row r="6843" spans="1:4">
      <c r="A6843" s="691"/>
      <c r="D6843" s="3"/>
    </row>
    <row r="6844" spans="1:4">
      <c r="A6844" s="691"/>
      <c r="D6844" s="3"/>
    </row>
    <row r="6845" spans="1:4">
      <c r="A6845" s="691"/>
      <c r="D6845" s="3"/>
    </row>
    <row r="6846" spans="1:4">
      <c r="A6846" s="691"/>
      <c r="D6846" s="3"/>
    </row>
    <row r="6847" spans="1:4">
      <c r="A6847" s="691"/>
      <c r="D6847" s="3"/>
    </row>
    <row r="6848" spans="1:4">
      <c r="A6848" s="691"/>
      <c r="D6848" s="3"/>
    </row>
    <row r="6849" spans="1:4">
      <c r="A6849" s="691"/>
      <c r="D6849" s="3"/>
    </row>
    <row r="6850" spans="1:4">
      <c r="A6850" s="691"/>
      <c r="D6850" s="3"/>
    </row>
    <row r="6851" spans="1:4">
      <c r="A6851" s="691"/>
      <c r="D6851" s="3"/>
    </row>
    <row r="6852" spans="1:4">
      <c r="A6852" s="691"/>
      <c r="D6852" s="3"/>
    </row>
    <row r="6853" spans="1:4">
      <c r="A6853" s="691"/>
      <c r="D6853" s="3"/>
    </row>
    <row r="6854" spans="1:4">
      <c r="A6854" s="691"/>
      <c r="D6854" s="3"/>
    </row>
    <row r="6855" spans="1:4">
      <c r="A6855" s="691"/>
      <c r="D6855" s="3"/>
    </row>
    <row r="6856" spans="1:4">
      <c r="A6856" s="691"/>
      <c r="D6856" s="3"/>
    </row>
    <row r="6857" spans="1:4">
      <c r="A6857" s="691"/>
      <c r="D6857" s="3"/>
    </row>
    <row r="6858" spans="1:4">
      <c r="A6858" s="691"/>
      <c r="D6858" s="3"/>
    </row>
    <row r="6859" spans="1:4">
      <c r="A6859" s="691"/>
      <c r="D6859" s="3"/>
    </row>
    <row r="6860" spans="1:4">
      <c r="A6860" s="691"/>
      <c r="D6860" s="3"/>
    </row>
    <row r="6861" spans="1:4">
      <c r="A6861" s="691"/>
      <c r="D6861" s="3"/>
    </row>
    <row r="6862" spans="1:4">
      <c r="A6862" s="691"/>
      <c r="D6862" s="3"/>
    </row>
    <row r="6863" spans="1:4">
      <c r="A6863" s="691"/>
      <c r="D6863" s="3"/>
    </row>
    <row r="6864" spans="1:4">
      <c r="A6864" s="691"/>
      <c r="D6864" s="3"/>
    </row>
    <row r="6865" spans="1:4">
      <c r="A6865" s="691"/>
      <c r="D6865" s="3"/>
    </row>
    <row r="6866" spans="1:4">
      <c r="A6866" s="691"/>
      <c r="D6866" s="3"/>
    </row>
    <row r="6867" spans="1:4">
      <c r="A6867" s="691"/>
      <c r="D6867" s="3"/>
    </row>
    <row r="6868" spans="1:4">
      <c r="A6868" s="691"/>
      <c r="D6868" s="3"/>
    </row>
    <row r="6869" spans="1:4">
      <c r="A6869" s="691"/>
      <c r="D6869" s="3"/>
    </row>
    <row r="6870" spans="1:4">
      <c r="A6870" s="691"/>
      <c r="D6870" s="3"/>
    </row>
    <row r="6871" spans="1:4">
      <c r="A6871" s="691"/>
      <c r="D6871" s="3"/>
    </row>
    <row r="6872" spans="1:4">
      <c r="A6872" s="691"/>
      <c r="D6872" s="3"/>
    </row>
    <row r="6873" spans="1:4">
      <c r="A6873" s="691"/>
      <c r="D6873" s="3"/>
    </row>
    <row r="6874" spans="1:4">
      <c r="A6874" s="691"/>
      <c r="D6874" s="3"/>
    </row>
    <row r="6875" spans="1:4">
      <c r="A6875" s="691"/>
      <c r="D6875" s="3"/>
    </row>
    <row r="6876" spans="1:4">
      <c r="A6876" s="691"/>
      <c r="D6876" s="3"/>
    </row>
    <row r="6877" spans="1:4">
      <c r="A6877" s="691"/>
      <c r="D6877" s="3"/>
    </row>
    <row r="6878" spans="1:4">
      <c r="A6878" s="691"/>
      <c r="D6878" s="3"/>
    </row>
    <row r="6879" spans="1:4">
      <c r="A6879" s="691"/>
      <c r="D6879" s="3"/>
    </row>
    <row r="6880" spans="1:4">
      <c r="A6880" s="691"/>
      <c r="D6880" s="3"/>
    </row>
    <row r="6881" spans="1:4">
      <c r="A6881" s="691"/>
      <c r="D6881" s="3"/>
    </row>
    <row r="6882" spans="1:4">
      <c r="A6882" s="691"/>
      <c r="D6882" s="3"/>
    </row>
    <row r="6883" spans="1:4">
      <c r="A6883" s="691"/>
      <c r="D6883" s="3"/>
    </row>
    <row r="6884" spans="1:4">
      <c r="A6884" s="691"/>
      <c r="D6884" s="3"/>
    </row>
    <row r="6885" spans="1:4">
      <c r="A6885" s="691"/>
      <c r="D6885" s="3"/>
    </row>
    <row r="6886" spans="1:4">
      <c r="A6886" s="691"/>
      <c r="D6886" s="3"/>
    </row>
    <row r="6887" spans="1:4">
      <c r="A6887" s="691"/>
      <c r="D6887" s="3"/>
    </row>
    <row r="6888" spans="1:4">
      <c r="A6888" s="691"/>
      <c r="D6888" s="3"/>
    </row>
    <row r="6889" spans="1:4">
      <c r="A6889" s="691"/>
      <c r="D6889" s="3"/>
    </row>
    <row r="6890" spans="1:4">
      <c r="A6890" s="691"/>
      <c r="D6890" s="3"/>
    </row>
    <row r="6891" spans="1:4">
      <c r="A6891" s="691"/>
      <c r="D6891" s="3"/>
    </row>
    <row r="6892" spans="1:4">
      <c r="A6892" s="691"/>
      <c r="D6892" s="3"/>
    </row>
    <row r="6893" spans="1:4">
      <c r="A6893" s="691"/>
      <c r="D6893" s="3"/>
    </row>
    <row r="6894" spans="1:4">
      <c r="A6894" s="691"/>
      <c r="D6894" s="3"/>
    </row>
    <row r="6895" spans="1:4">
      <c r="A6895" s="691"/>
      <c r="D6895" s="3"/>
    </row>
    <row r="6896" spans="1:4">
      <c r="A6896" s="691"/>
      <c r="D6896" s="3"/>
    </row>
    <row r="6897" spans="1:4">
      <c r="A6897" s="691"/>
      <c r="D6897" s="3"/>
    </row>
    <row r="6898" spans="1:4">
      <c r="A6898" s="691"/>
      <c r="D6898" s="3"/>
    </row>
    <row r="6899" spans="1:4">
      <c r="A6899" s="691"/>
      <c r="D6899" s="3"/>
    </row>
    <row r="6900" spans="1:4">
      <c r="A6900" s="691"/>
      <c r="D6900" s="3"/>
    </row>
    <row r="6901" spans="1:4">
      <c r="A6901" s="691"/>
      <c r="D6901" s="3"/>
    </row>
    <row r="6902" spans="1:4">
      <c r="A6902" s="691"/>
      <c r="D6902" s="3"/>
    </row>
    <row r="6903" spans="1:4">
      <c r="A6903" s="691"/>
      <c r="D6903" s="3"/>
    </row>
    <row r="6904" spans="1:4">
      <c r="A6904" s="691"/>
      <c r="D6904" s="3"/>
    </row>
    <row r="6905" spans="1:4">
      <c r="A6905" s="691"/>
      <c r="D6905" s="3"/>
    </row>
    <row r="6906" spans="1:4">
      <c r="A6906" s="691"/>
      <c r="D6906" s="3"/>
    </row>
    <row r="6907" spans="1:4">
      <c r="A6907" s="691"/>
      <c r="D6907" s="3"/>
    </row>
    <row r="6908" spans="1:4">
      <c r="A6908" s="691"/>
      <c r="D6908" s="3"/>
    </row>
    <row r="6909" spans="1:4">
      <c r="A6909" s="691"/>
      <c r="D6909" s="3"/>
    </row>
    <row r="6910" spans="1:4">
      <c r="A6910" s="691"/>
      <c r="D6910" s="3"/>
    </row>
    <row r="6911" spans="1:4">
      <c r="A6911" s="691"/>
      <c r="D6911" s="3"/>
    </row>
    <row r="6912" spans="1:4">
      <c r="A6912" s="691"/>
      <c r="D6912" s="3"/>
    </row>
    <row r="6913" spans="1:4">
      <c r="A6913" s="691"/>
      <c r="D6913" s="3"/>
    </row>
    <row r="6914" spans="1:4">
      <c r="A6914" s="691"/>
      <c r="D6914" s="3"/>
    </row>
    <row r="6915" spans="1:4">
      <c r="A6915" s="691"/>
      <c r="D6915" s="3"/>
    </row>
    <row r="6916" spans="1:4">
      <c r="A6916" s="691"/>
      <c r="D6916" s="3"/>
    </row>
    <row r="6917" spans="1:4">
      <c r="A6917" s="691"/>
      <c r="D6917" s="3"/>
    </row>
    <row r="6918" spans="1:4">
      <c r="A6918" s="691"/>
      <c r="D6918" s="3"/>
    </row>
    <row r="6919" spans="1:4">
      <c r="A6919" s="691"/>
      <c r="D6919" s="3"/>
    </row>
    <row r="6920" spans="1:4">
      <c r="A6920" s="691"/>
      <c r="D6920" s="3"/>
    </row>
    <row r="6921" spans="1:4">
      <c r="A6921" s="691"/>
      <c r="D6921" s="3"/>
    </row>
    <row r="6922" spans="1:4">
      <c r="A6922" s="691"/>
      <c r="D6922" s="3"/>
    </row>
    <row r="6923" spans="1:4">
      <c r="A6923" s="691"/>
      <c r="D6923" s="3"/>
    </row>
    <row r="6924" spans="1:4">
      <c r="A6924" s="691"/>
      <c r="D6924" s="3"/>
    </row>
    <row r="6925" spans="1:4">
      <c r="A6925" s="691"/>
      <c r="D6925" s="3"/>
    </row>
    <row r="6926" spans="1:4">
      <c r="A6926" s="691"/>
      <c r="D6926" s="3"/>
    </row>
    <row r="6927" spans="1:4">
      <c r="A6927" s="691"/>
      <c r="D6927" s="3"/>
    </row>
    <row r="6928" spans="1:4">
      <c r="A6928" s="691"/>
      <c r="D6928" s="3"/>
    </row>
    <row r="6929" spans="1:4">
      <c r="A6929" s="691"/>
      <c r="D6929" s="3"/>
    </row>
    <row r="6930" spans="1:4">
      <c r="A6930" s="691"/>
      <c r="D6930" s="3"/>
    </row>
    <row r="6931" spans="1:4">
      <c r="A6931" s="691"/>
      <c r="D6931" s="3"/>
    </row>
    <row r="6932" spans="1:4">
      <c r="A6932" s="691"/>
      <c r="D6932" s="3"/>
    </row>
    <row r="6933" spans="1:4">
      <c r="A6933" s="691"/>
      <c r="D6933" s="3"/>
    </row>
    <row r="6934" spans="1:4">
      <c r="A6934" s="691"/>
      <c r="D6934" s="3"/>
    </row>
    <row r="6935" spans="1:4">
      <c r="A6935" s="691"/>
      <c r="D6935" s="3"/>
    </row>
    <row r="6936" spans="1:4">
      <c r="A6936" s="691"/>
      <c r="D6936" s="3"/>
    </row>
    <row r="6937" spans="1:4">
      <c r="A6937" s="691"/>
      <c r="D6937" s="3"/>
    </row>
    <row r="6938" spans="1:4">
      <c r="A6938" s="691"/>
      <c r="D6938" s="3"/>
    </row>
    <row r="6939" spans="1:4">
      <c r="A6939" s="691"/>
      <c r="D6939" s="3"/>
    </row>
    <row r="6940" spans="1:4">
      <c r="A6940" s="691"/>
      <c r="D6940" s="3"/>
    </row>
    <row r="6941" spans="1:4">
      <c r="A6941" s="691"/>
      <c r="D6941" s="3"/>
    </row>
    <row r="6942" spans="1:4">
      <c r="A6942" s="691"/>
      <c r="D6942" s="3"/>
    </row>
    <row r="6943" spans="1:4">
      <c r="A6943" s="691"/>
      <c r="D6943" s="3"/>
    </row>
    <row r="6944" spans="1:4">
      <c r="A6944" s="691"/>
      <c r="D6944" s="3"/>
    </row>
    <row r="6945" spans="1:4">
      <c r="A6945" s="691"/>
      <c r="D6945" s="3"/>
    </row>
    <row r="6946" spans="1:4">
      <c r="A6946" s="691"/>
      <c r="D6946" s="3"/>
    </row>
    <row r="6947" spans="1:4">
      <c r="A6947" s="691"/>
      <c r="D6947" s="3"/>
    </row>
    <row r="6948" spans="1:4">
      <c r="A6948" s="691"/>
      <c r="D6948" s="3"/>
    </row>
    <row r="6949" spans="1:4">
      <c r="A6949" s="691"/>
      <c r="D6949" s="3"/>
    </row>
    <row r="6950" spans="1:4">
      <c r="A6950" s="691"/>
      <c r="D6950" s="3"/>
    </row>
    <row r="6951" spans="1:4">
      <c r="A6951" s="691"/>
      <c r="D6951" s="3"/>
    </row>
    <row r="6952" spans="1:4">
      <c r="A6952" s="691"/>
      <c r="D6952" s="3"/>
    </row>
    <row r="6953" spans="1:4">
      <c r="A6953" s="691"/>
      <c r="D6953" s="3"/>
    </row>
    <row r="6954" spans="1:4">
      <c r="A6954" s="691"/>
      <c r="D6954" s="3"/>
    </row>
    <row r="6955" spans="1:4">
      <c r="A6955" s="691"/>
      <c r="D6955" s="3"/>
    </row>
    <row r="6956" spans="1:4">
      <c r="A6956" s="691"/>
      <c r="D6956" s="3"/>
    </row>
    <row r="6957" spans="1:4">
      <c r="A6957" s="691"/>
      <c r="D6957" s="3"/>
    </row>
    <row r="6958" spans="1:4">
      <c r="A6958" s="691"/>
      <c r="D6958" s="3"/>
    </row>
    <row r="6959" spans="1:4">
      <c r="A6959" s="691"/>
      <c r="D6959" s="3"/>
    </row>
    <row r="6960" spans="1:4">
      <c r="A6960" s="691"/>
      <c r="D6960" s="3"/>
    </row>
    <row r="6961" spans="1:4">
      <c r="A6961" s="691"/>
      <c r="D6961" s="3"/>
    </row>
    <row r="6962" spans="1:4">
      <c r="A6962" s="691"/>
      <c r="D6962" s="3"/>
    </row>
    <row r="6963" spans="1:4">
      <c r="A6963" s="691"/>
      <c r="D6963" s="3"/>
    </row>
    <row r="6964" spans="1:4">
      <c r="A6964" s="691"/>
      <c r="D6964" s="3"/>
    </row>
    <row r="6965" spans="1:4">
      <c r="A6965" s="691"/>
      <c r="D6965" s="3"/>
    </row>
    <row r="6966" spans="1:4">
      <c r="A6966" s="691"/>
      <c r="D6966" s="3"/>
    </row>
    <row r="6967" spans="1:4">
      <c r="A6967" s="691"/>
      <c r="D6967" s="3"/>
    </row>
    <row r="6968" spans="1:4">
      <c r="A6968" s="691"/>
      <c r="D6968" s="3"/>
    </row>
    <row r="6969" spans="1:4">
      <c r="A6969" s="691"/>
      <c r="D6969" s="3"/>
    </row>
    <row r="6970" spans="1:4">
      <c r="A6970" s="691"/>
      <c r="D6970" s="3"/>
    </row>
    <row r="6971" spans="1:4">
      <c r="A6971" s="691"/>
      <c r="D6971" s="3"/>
    </row>
    <row r="6972" spans="1:4">
      <c r="A6972" s="691"/>
      <c r="D6972" s="3"/>
    </row>
    <row r="6973" spans="1:4">
      <c r="A6973" s="691"/>
      <c r="D6973" s="3"/>
    </row>
    <row r="6974" spans="1:4">
      <c r="A6974" s="691"/>
      <c r="D6974" s="3"/>
    </row>
    <row r="6975" spans="1:4">
      <c r="A6975" s="691"/>
      <c r="D6975" s="3"/>
    </row>
    <row r="6976" spans="1:4">
      <c r="A6976" s="691"/>
      <c r="D6976" s="3"/>
    </row>
    <row r="6977" spans="1:4">
      <c r="A6977" s="691"/>
      <c r="D6977" s="3"/>
    </row>
    <row r="6978" spans="1:4">
      <c r="A6978" s="691"/>
      <c r="D6978" s="3"/>
    </row>
    <row r="6979" spans="1:4">
      <c r="A6979" s="691"/>
      <c r="D6979" s="3"/>
    </row>
    <row r="6980" spans="1:4">
      <c r="A6980" s="691"/>
      <c r="D6980" s="3"/>
    </row>
    <row r="6981" spans="1:4">
      <c r="A6981" s="691"/>
      <c r="D6981" s="3"/>
    </row>
    <row r="6982" spans="1:4">
      <c r="A6982" s="691"/>
      <c r="D6982" s="3"/>
    </row>
    <row r="6983" spans="1:4">
      <c r="A6983" s="691"/>
      <c r="D6983" s="3"/>
    </row>
    <row r="6984" spans="1:4">
      <c r="A6984" s="691"/>
      <c r="D6984" s="3"/>
    </row>
    <row r="6985" spans="1:4">
      <c r="A6985" s="691"/>
      <c r="D6985" s="3"/>
    </row>
    <row r="6986" spans="1:4">
      <c r="A6986" s="691"/>
      <c r="D6986" s="3"/>
    </row>
    <row r="6987" spans="1:4">
      <c r="A6987" s="691"/>
      <c r="D6987" s="3"/>
    </row>
    <row r="6988" spans="1:4">
      <c r="A6988" s="691"/>
      <c r="D6988" s="3"/>
    </row>
    <row r="6989" spans="1:4">
      <c r="A6989" s="691"/>
      <c r="D6989" s="3"/>
    </row>
    <row r="6990" spans="1:4">
      <c r="A6990" s="691"/>
      <c r="D6990" s="3"/>
    </row>
    <row r="6991" spans="1:4">
      <c r="A6991" s="691"/>
      <c r="D6991" s="3"/>
    </row>
    <row r="6992" spans="1:4">
      <c r="A6992" s="691"/>
      <c r="D6992" s="3"/>
    </row>
    <row r="6993" spans="1:4">
      <c r="A6993" s="691"/>
      <c r="D6993" s="3"/>
    </row>
    <row r="6994" spans="1:4">
      <c r="A6994" s="691"/>
      <c r="D6994" s="3"/>
    </row>
    <row r="6995" spans="1:4">
      <c r="A6995" s="691"/>
      <c r="D6995" s="3"/>
    </row>
    <row r="6996" spans="1:4">
      <c r="A6996" s="691"/>
      <c r="D6996" s="3"/>
    </row>
    <row r="6997" spans="1:4">
      <c r="A6997" s="691"/>
      <c r="D6997" s="3"/>
    </row>
    <row r="6998" spans="1:4">
      <c r="A6998" s="691"/>
      <c r="D6998" s="3"/>
    </row>
    <row r="6999" spans="1:4">
      <c r="A6999" s="691"/>
      <c r="D6999" s="3"/>
    </row>
    <row r="7000" spans="1:4">
      <c r="A7000" s="691"/>
      <c r="D7000" s="3"/>
    </row>
    <row r="7001" spans="1:4">
      <c r="A7001" s="691"/>
      <c r="D7001" s="3"/>
    </row>
    <row r="7002" spans="1:4">
      <c r="A7002" s="691"/>
      <c r="D7002" s="3"/>
    </row>
    <row r="7003" spans="1:4">
      <c r="A7003" s="691"/>
      <c r="D7003" s="3"/>
    </row>
    <row r="7004" spans="1:4">
      <c r="A7004" s="691"/>
      <c r="D7004" s="3"/>
    </row>
    <row r="7005" spans="1:4">
      <c r="A7005" s="691"/>
      <c r="D7005" s="3"/>
    </row>
    <row r="7006" spans="1:4">
      <c r="A7006" s="691"/>
      <c r="D7006" s="3"/>
    </row>
    <row r="7007" spans="1:4">
      <c r="A7007" s="691"/>
      <c r="D7007" s="3"/>
    </row>
    <row r="7008" spans="1:4">
      <c r="A7008" s="691"/>
      <c r="D7008" s="3"/>
    </row>
    <row r="7009" spans="1:4">
      <c r="A7009" s="691"/>
      <c r="D7009" s="3"/>
    </row>
    <row r="7010" spans="1:4">
      <c r="A7010" s="691"/>
      <c r="D7010" s="3"/>
    </row>
    <row r="7011" spans="1:4">
      <c r="A7011" s="691"/>
      <c r="D7011" s="3"/>
    </row>
    <row r="7012" spans="1:4">
      <c r="A7012" s="691"/>
      <c r="D7012" s="3"/>
    </row>
    <row r="7013" spans="1:4">
      <c r="A7013" s="691"/>
      <c r="D7013" s="3"/>
    </row>
    <row r="7014" spans="1:4">
      <c r="A7014" s="691"/>
      <c r="D7014" s="3"/>
    </row>
    <row r="7015" spans="1:4">
      <c r="A7015" s="691"/>
      <c r="D7015" s="3"/>
    </row>
    <row r="7016" spans="1:4">
      <c r="A7016" s="691"/>
      <c r="D7016" s="3"/>
    </row>
    <row r="7017" spans="1:4">
      <c r="A7017" s="691"/>
      <c r="D7017" s="3"/>
    </row>
    <row r="7018" spans="1:4">
      <c r="A7018" s="691"/>
      <c r="D7018" s="3"/>
    </row>
    <row r="7019" spans="1:4">
      <c r="A7019" s="691"/>
      <c r="D7019" s="3"/>
    </row>
    <row r="7020" spans="1:4">
      <c r="A7020" s="691"/>
      <c r="D7020" s="3"/>
    </row>
    <row r="7021" spans="1:4">
      <c r="A7021" s="691"/>
      <c r="D7021" s="3"/>
    </row>
    <row r="7022" spans="1:4">
      <c r="A7022" s="691"/>
      <c r="D7022" s="3"/>
    </row>
    <row r="7023" spans="1:4">
      <c r="A7023" s="691"/>
      <c r="D7023" s="3"/>
    </row>
    <row r="7024" spans="1:4">
      <c r="A7024" s="691"/>
      <c r="D7024" s="3"/>
    </row>
    <row r="7025" spans="1:4">
      <c r="A7025" s="691"/>
      <c r="D7025" s="3"/>
    </row>
    <row r="7026" spans="1:4">
      <c r="A7026" s="691"/>
      <c r="D7026" s="3"/>
    </row>
    <row r="7027" spans="1:4">
      <c r="A7027" s="691"/>
      <c r="D7027" s="3"/>
    </row>
    <row r="7028" spans="1:4">
      <c r="A7028" s="691"/>
      <c r="D7028" s="3"/>
    </row>
    <row r="7029" spans="1:4">
      <c r="A7029" s="691"/>
      <c r="D7029" s="3"/>
    </row>
    <row r="7030" spans="1:4">
      <c r="A7030" s="691"/>
      <c r="D7030" s="3"/>
    </row>
    <row r="7031" spans="1:4">
      <c r="A7031" s="691"/>
      <c r="D7031" s="3"/>
    </row>
    <row r="7032" spans="1:4">
      <c r="A7032" s="691"/>
      <c r="D7032" s="3"/>
    </row>
    <row r="7033" spans="1:4">
      <c r="A7033" s="691"/>
      <c r="D7033" s="3"/>
    </row>
    <row r="7034" spans="1:4">
      <c r="A7034" s="691"/>
      <c r="D7034" s="3"/>
    </row>
    <row r="7035" spans="1:4">
      <c r="A7035" s="691"/>
      <c r="D7035" s="3"/>
    </row>
    <row r="7036" spans="1:4">
      <c r="A7036" s="691"/>
      <c r="D7036" s="3"/>
    </row>
    <row r="7037" spans="1:4">
      <c r="A7037" s="691"/>
      <c r="D7037" s="3"/>
    </row>
    <row r="7038" spans="1:4">
      <c r="A7038" s="691"/>
      <c r="D7038" s="3"/>
    </row>
    <row r="7039" spans="1:4">
      <c r="A7039" s="691"/>
      <c r="D7039" s="3"/>
    </row>
    <row r="7040" spans="1:4">
      <c r="A7040" s="691"/>
      <c r="D7040" s="3"/>
    </row>
    <row r="7041" spans="1:4">
      <c r="A7041" s="691"/>
      <c r="D7041" s="3"/>
    </row>
    <row r="7042" spans="1:4">
      <c r="A7042" s="691"/>
      <c r="D7042" s="3"/>
    </row>
    <row r="7043" spans="1:4">
      <c r="A7043" s="691"/>
      <c r="D7043" s="3"/>
    </row>
    <row r="7044" spans="1:4">
      <c r="A7044" s="691"/>
      <c r="D7044" s="3"/>
    </row>
    <row r="7045" spans="1:4">
      <c r="A7045" s="691"/>
      <c r="D7045" s="3"/>
    </row>
    <row r="7046" spans="1:4">
      <c r="A7046" s="691"/>
      <c r="D7046" s="3"/>
    </row>
    <row r="7047" spans="1:4">
      <c r="A7047" s="691"/>
      <c r="D7047" s="3"/>
    </row>
    <row r="7048" spans="1:4">
      <c r="A7048" s="691"/>
      <c r="D7048" s="3"/>
    </row>
    <row r="7049" spans="1:4">
      <c r="A7049" s="691"/>
      <c r="D7049" s="3"/>
    </row>
    <row r="7050" spans="1:4">
      <c r="A7050" s="691"/>
      <c r="D7050" s="3"/>
    </row>
    <row r="7051" spans="1:4">
      <c r="A7051" s="691"/>
      <c r="D7051" s="3"/>
    </row>
    <row r="7052" spans="1:4">
      <c r="A7052" s="691"/>
      <c r="D7052" s="3"/>
    </row>
    <row r="7053" spans="1:4">
      <c r="A7053" s="691"/>
      <c r="D7053" s="3"/>
    </row>
    <row r="7054" spans="1:4">
      <c r="A7054" s="691"/>
      <c r="D7054" s="3"/>
    </row>
    <row r="7055" spans="1:4">
      <c r="A7055" s="691"/>
      <c r="D7055" s="3"/>
    </row>
    <row r="7056" spans="1:4">
      <c r="A7056" s="691"/>
      <c r="D7056" s="3"/>
    </row>
    <row r="7057" spans="1:4">
      <c r="A7057" s="691"/>
      <c r="D7057" s="3"/>
    </row>
    <row r="7058" spans="1:4">
      <c r="A7058" s="691"/>
      <c r="D7058" s="3"/>
    </row>
    <row r="7059" spans="1:4">
      <c r="A7059" s="691"/>
      <c r="D7059" s="3"/>
    </row>
    <row r="7060" spans="1:4">
      <c r="A7060" s="691"/>
      <c r="D7060" s="3"/>
    </row>
    <row r="7061" spans="1:4">
      <c r="A7061" s="691"/>
      <c r="D7061" s="3"/>
    </row>
    <row r="7062" spans="1:4">
      <c r="A7062" s="691"/>
      <c r="D7062" s="3"/>
    </row>
    <row r="7063" spans="1:4">
      <c r="A7063" s="691"/>
      <c r="D7063" s="3"/>
    </row>
    <row r="7064" spans="1:4">
      <c r="A7064" s="691"/>
      <c r="D7064" s="3"/>
    </row>
    <row r="7065" spans="1:4">
      <c r="A7065" s="691"/>
      <c r="D7065" s="3"/>
    </row>
    <row r="7066" spans="1:4">
      <c r="A7066" s="691"/>
      <c r="D7066" s="3"/>
    </row>
    <row r="7067" spans="1:4">
      <c r="A7067" s="691"/>
      <c r="D7067" s="3"/>
    </row>
    <row r="7068" spans="1:4">
      <c r="A7068" s="691"/>
      <c r="D7068" s="3"/>
    </row>
    <row r="7069" spans="1:4">
      <c r="A7069" s="691"/>
      <c r="D7069" s="3"/>
    </row>
    <row r="7070" spans="1:4">
      <c r="A7070" s="691"/>
      <c r="D7070" s="3"/>
    </row>
    <row r="7071" spans="1:4">
      <c r="A7071" s="691"/>
      <c r="D7071" s="3"/>
    </row>
    <row r="7072" spans="1:4">
      <c r="A7072" s="691"/>
      <c r="D7072" s="3"/>
    </row>
    <row r="7073" spans="1:4">
      <c r="A7073" s="691"/>
      <c r="D7073" s="3"/>
    </row>
    <row r="7074" spans="1:4">
      <c r="A7074" s="691"/>
      <c r="D7074" s="3"/>
    </row>
    <row r="7075" spans="1:4">
      <c r="A7075" s="691"/>
      <c r="D7075" s="3"/>
    </row>
    <row r="7076" spans="1:4">
      <c r="A7076" s="691"/>
      <c r="D7076" s="3"/>
    </row>
    <row r="7077" spans="1:4">
      <c r="A7077" s="691"/>
      <c r="D7077" s="3"/>
    </row>
    <row r="7078" spans="1:4">
      <c r="A7078" s="691"/>
      <c r="D7078" s="3"/>
    </row>
    <row r="7079" spans="1:4">
      <c r="A7079" s="691"/>
      <c r="D7079" s="3"/>
    </row>
    <row r="7080" spans="1:4">
      <c r="A7080" s="691"/>
      <c r="D7080" s="3"/>
    </row>
    <row r="7081" spans="1:4">
      <c r="A7081" s="691"/>
      <c r="D7081" s="3"/>
    </row>
    <row r="7082" spans="1:4">
      <c r="A7082" s="691"/>
      <c r="D7082" s="3"/>
    </row>
    <row r="7083" spans="1:4">
      <c r="A7083" s="691"/>
      <c r="D7083" s="3"/>
    </row>
    <row r="7084" spans="1:4">
      <c r="A7084" s="691"/>
      <c r="D7084" s="3"/>
    </row>
    <row r="7085" spans="1:4">
      <c r="A7085" s="691"/>
      <c r="D7085" s="3"/>
    </row>
    <row r="7086" spans="1:4">
      <c r="A7086" s="691"/>
      <c r="D7086" s="3"/>
    </row>
    <row r="7087" spans="1:4">
      <c r="A7087" s="691"/>
      <c r="D7087" s="3"/>
    </row>
    <row r="7088" spans="1:4">
      <c r="A7088" s="691"/>
      <c r="D7088" s="3"/>
    </row>
    <row r="7089" spans="1:4">
      <c r="A7089" s="691"/>
      <c r="D7089" s="3"/>
    </row>
    <row r="7090" spans="1:4">
      <c r="A7090" s="691"/>
      <c r="D7090" s="3"/>
    </row>
    <row r="7091" spans="1:4">
      <c r="A7091" s="691"/>
      <c r="D7091" s="3"/>
    </row>
    <row r="7092" spans="1:4">
      <c r="A7092" s="691"/>
      <c r="D7092" s="3"/>
    </row>
    <row r="7093" spans="1:4">
      <c r="A7093" s="691"/>
      <c r="D7093" s="3"/>
    </row>
    <row r="7094" spans="1:4">
      <c r="A7094" s="691"/>
      <c r="D7094" s="3"/>
    </row>
    <row r="7095" spans="1:4">
      <c r="A7095" s="691"/>
      <c r="D7095" s="3"/>
    </row>
    <row r="7096" spans="1:4">
      <c r="A7096" s="691"/>
      <c r="D7096" s="3"/>
    </row>
    <row r="7097" spans="1:4">
      <c r="A7097" s="691"/>
      <c r="D7097" s="3"/>
    </row>
    <row r="7098" spans="1:4">
      <c r="A7098" s="691"/>
      <c r="D7098" s="3"/>
    </row>
    <row r="7099" spans="1:4">
      <c r="A7099" s="691"/>
      <c r="D7099" s="3"/>
    </row>
    <row r="7100" spans="1:4">
      <c r="A7100" s="691"/>
      <c r="D7100" s="3"/>
    </row>
    <row r="7101" spans="1:4">
      <c r="A7101" s="691"/>
      <c r="D7101" s="3"/>
    </row>
    <row r="7102" spans="1:4">
      <c r="A7102" s="691"/>
      <c r="D7102" s="3"/>
    </row>
    <row r="7103" spans="1:4">
      <c r="A7103" s="691"/>
      <c r="D7103" s="3"/>
    </row>
    <row r="7104" spans="1:4">
      <c r="A7104" s="691"/>
      <c r="D7104" s="3"/>
    </row>
    <row r="7105" spans="1:4">
      <c r="A7105" s="691"/>
      <c r="D7105" s="3"/>
    </row>
    <row r="7106" spans="1:4">
      <c r="A7106" s="691"/>
      <c r="D7106" s="3"/>
    </row>
    <row r="7107" spans="1:4">
      <c r="A7107" s="691"/>
      <c r="D7107" s="3"/>
    </row>
    <row r="7108" spans="1:4">
      <c r="A7108" s="691"/>
      <c r="D7108" s="3"/>
    </row>
    <row r="7109" spans="1:4">
      <c r="A7109" s="691"/>
      <c r="D7109" s="3"/>
    </row>
    <row r="7110" spans="1:4">
      <c r="A7110" s="691"/>
      <c r="D7110" s="3"/>
    </row>
    <row r="7111" spans="1:4">
      <c r="A7111" s="691"/>
      <c r="D7111" s="3"/>
    </row>
    <row r="7112" spans="1:4">
      <c r="A7112" s="691"/>
      <c r="D7112" s="3"/>
    </row>
    <row r="7113" spans="1:4">
      <c r="A7113" s="691"/>
      <c r="D7113" s="3"/>
    </row>
    <row r="7114" spans="1:4">
      <c r="A7114" s="691"/>
      <c r="D7114" s="3"/>
    </row>
    <row r="7115" spans="1:4">
      <c r="A7115" s="691"/>
      <c r="D7115" s="3"/>
    </row>
    <row r="7116" spans="1:4">
      <c r="A7116" s="691"/>
      <c r="D7116" s="3"/>
    </row>
    <row r="7117" spans="1:4">
      <c r="A7117" s="691"/>
      <c r="D7117" s="3"/>
    </row>
    <row r="7118" spans="1:4">
      <c r="A7118" s="691"/>
      <c r="D7118" s="3"/>
    </row>
    <row r="7119" spans="1:4">
      <c r="A7119" s="691"/>
      <c r="D7119" s="3"/>
    </row>
    <row r="7120" spans="1:4">
      <c r="A7120" s="691"/>
      <c r="D7120" s="3"/>
    </row>
    <row r="7121" spans="1:4">
      <c r="A7121" s="691"/>
      <c r="D7121" s="3"/>
    </row>
    <row r="7122" spans="1:4">
      <c r="A7122" s="691"/>
      <c r="D7122" s="3"/>
    </row>
    <row r="7123" spans="1:4">
      <c r="A7123" s="691"/>
      <c r="D7123" s="3"/>
    </row>
    <row r="7124" spans="1:4">
      <c r="A7124" s="691"/>
      <c r="D7124" s="3"/>
    </row>
    <row r="7125" spans="1:4">
      <c r="A7125" s="691"/>
      <c r="D7125" s="3"/>
    </row>
    <row r="7126" spans="1:4">
      <c r="A7126" s="691"/>
      <c r="D7126" s="3"/>
    </row>
    <row r="7127" spans="1:4">
      <c r="A7127" s="691"/>
      <c r="D7127" s="3"/>
    </row>
    <row r="7128" spans="1:4">
      <c r="A7128" s="691"/>
      <c r="D7128" s="3"/>
    </row>
    <row r="7129" spans="1:4">
      <c r="A7129" s="691"/>
      <c r="D7129" s="3"/>
    </row>
    <row r="7130" spans="1:4">
      <c r="A7130" s="691"/>
      <c r="D7130" s="3"/>
    </row>
    <row r="7131" spans="1:4">
      <c r="A7131" s="691"/>
      <c r="D7131" s="3"/>
    </row>
    <row r="7132" spans="1:4">
      <c r="A7132" s="691"/>
      <c r="D7132" s="3"/>
    </row>
    <row r="7133" spans="1:4">
      <c r="A7133" s="691"/>
      <c r="D7133" s="3"/>
    </row>
    <row r="7134" spans="1:4">
      <c r="A7134" s="691"/>
      <c r="D7134" s="3"/>
    </row>
    <row r="7135" spans="1:4">
      <c r="A7135" s="691"/>
      <c r="D7135" s="3"/>
    </row>
    <row r="7136" spans="1:4">
      <c r="A7136" s="691"/>
      <c r="D7136" s="3"/>
    </row>
    <row r="7137" spans="1:4">
      <c r="A7137" s="691"/>
      <c r="D7137" s="3"/>
    </row>
    <row r="7138" spans="1:4">
      <c r="A7138" s="691"/>
      <c r="D7138" s="3"/>
    </row>
    <row r="7139" spans="1:4">
      <c r="A7139" s="691"/>
      <c r="D7139" s="3"/>
    </row>
    <row r="7140" spans="1:4">
      <c r="A7140" s="691"/>
      <c r="D7140" s="3"/>
    </row>
    <row r="7141" spans="1:4">
      <c r="A7141" s="691"/>
      <c r="D7141" s="3"/>
    </row>
    <row r="7142" spans="1:4">
      <c r="A7142" s="691"/>
      <c r="D7142" s="3"/>
    </row>
    <row r="7143" spans="1:4">
      <c r="A7143" s="691"/>
      <c r="D7143" s="3"/>
    </row>
    <row r="7144" spans="1:4">
      <c r="A7144" s="691"/>
      <c r="D7144" s="3"/>
    </row>
    <row r="7145" spans="1:4">
      <c r="A7145" s="691"/>
      <c r="D7145" s="3"/>
    </row>
    <row r="7146" spans="1:4">
      <c r="A7146" s="691"/>
      <c r="D7146" s="3"/>
    </row>
    <row r="7147" spans="1:4">
      <c r="A7147" s="691"/>
      <c r="D7147" s="3"/>
    </row>
    <row r="7148" spans="1:4">
      <c r="A7148" s="691"/>
      <c r="D7148" s="3"/>
    </row>
    <row r="7149" spans="1:4">
      <c r="A7149" s="691"/>
      <c r="D7149" s="3"/>
    </row>
    <row r="7150" spans="1:4">
      <c r="A7150" s="691"/>
      <c r="D7150" s="3"/>
    </row>
    <row r="7151" spans="1:4">
      <c r="A7151" s="691"/>
      <c r="D7151" s="3"/>
    </row>
    <row r="7152" spans="1:4">
      <c r="A7152" s="691"/>
      <c r="D7152" s="3"/>
    </row>
    <row r="7153" spans="1:4">
      <c r="A7153" s="691"/>
      <c r="D7153" s="3"/>
    </row>
    <row r="7154" spans="1:4">
      <c r="A7154" s="691"/>
      <c r="D7154" s="3"/>
    </row>
    <row r="7155" spans="1:4">
      <c r="A7155" s="691"/>
      <c r="D7155" s="3"/>
    </row>
    <row r="7156" spans="1:4">
      <c r="A7156" s="691"/>
      <c r="D7156" s="3"/>
    </row>
    <row r="7157" spans="1:4">
      <c r="A7157" s="691"/>
      <c r="D7157" s="3"/>
    </row>
    <row r="7158" spans="1:4">
      <c r="A7158" s="691"/>
      <c r="D7158" s="3"/>
    </row>
    <row r="7159" spans="1:4">
      <c r="A7159" s="691"/>
      <c r="D7159" s="3"/>
    </row>
    <row r="7160" spans="1:4">
      <c r="A7160" s="691"/>
      <c r="D7160" s="3"/>
    </row>
    <row r="7161" spans="1:4">
      <c r="A7161" s="691"/>
      <c r="D7161" s="3"/>
    </row>
    <row r="7162" spans="1:4">
      <c r="A7162" s="691"/>
      <c r="D7162" s="3"/>
    </row>
    <row r="7163" spans="1:4">
      <c r="A7163" s="691"/>
      <c r="D7163" s="3"/>
    </row>
    <row r="7164" spans="1:4">
      <c r="A7164" s="691"/>
      <c r="D7164" s="3"/>
    </row>
    <row r="7165" spans="1:4">
      <c r="A7165" s="691"/>
      <c r="D7165" s="3"/>
    </row>
    <row r="7166" spans="1:4">
      <c r="A7166" s="691"/>
      <c r="D7166" s="3"/>
    </row>
    <row r="7167" spans="1:4">
      <c r="A7167" s="691"/>
      <c r="D7167" s="3"/>
    </row>
    <row r="7168" spans="1:4">
      <c r="A7168" s="691"/>
      <c r="D7168" s="3"/>
    </row>
    <row r="7169" spans="1:4">
      <c r="A7169" s="691"/>
      <c r="D7169" s="3"/>
    </row>
    <row r="7170" spans="1:4">
      <c r="A7170" s="691"/>
      <c r="D7170" s="3"/>
    </row>
    <row r="7171" spans="1:4">
      <c r="A7171" s="691"/>
      <c r="D7171" s="3"/>
    </row>
    <row r="7172" spans="1:4">
      <c r="A7172" s="691"/>
      <c r="D7172" s="3"/>
    </row>
    <row r="7173" spans="1:4">
      <c r="A7173" s="691"/>
      <c r="D7173" s="3"/>
    </row>
    <row r="7174" spans="1:4">
      <c r="A7174" s="691"/>
      <c r="D7174" s="3"/>
    </row>
    <row r="7175" spans="1:4">
      <c r="A7175" s="691"/>
      <c r="D7175" s="3"/>
    </row>
    <row r="7176" spans="1:4">
      <c r="A7176" s="691"/>
      <c r="D7176" s="3"/>
    </row>
    <row r="7177" spans="1:4">
      <c r="A7177" s="691"/>
      <c r="D7177" s="3"/>
    </row>
    <row r="7178" spans="1:4">
      <c r="A7178" s="691"/>
      <c r="D7178" s="3"/>
    </row>
    <row r="7179" spans="1:4">
      <c r="A7179" s="691"/>
      <c r="D7179" s="3"/>
    </row>
    <row r="7180" spans="1:4">
      <c r="A7180" s="691"/>
      <c r="D7180" s="3"/>
    </row>
    <row r="7181" spans="1:4">
      <c r="A7181" s="691"/>
      <c r="D7181" s="3"/>
    </row>
    <row r="7182" spans="1:4">
      <c r="A7182" s="691"/>
      <c r="D7182" s="3"/>
    </row>
    <row r="7183" spans="1:4">
      <c r="A7183" s="691"/>
      <c r="D7183" s="3"/>
    </row>
    <row r="7184" spans="1:4">
      <c r="A7184" s="691"/>
      <c r="D7184" s="3"/>
    </row>
    <row r="7185" spans="1:4">
      <c r="A7185" s="691"/>
      <c r="D7185" s="3"/>
    </row>
    <row r="7186" spans="1:4">
      <c r="A7186" s="691"/>
      <c r="D7186" s="3"/>
    </row>
    <row r="7187" spans="1:4">
      <c r="A7187" s="691"/>
      <c r="D7187" s="3"/>
    </row>
    <row r="7188" spans="1:4">
      <c r="A7188" s="691"/>
      <c r="D7188" s="3"/>
    </row>
    <row r="7189" spans="1:4">
      <c r="A7189" s="691"/>
      <c r="D7189" s="3"/>
    </row>
    <row r="7190" spans="1:4">
      <c r="A7190" s="691"/>
      <c r="D7190" s="3"/>
    </row>
    <row r="7191" spans="1:4">
      <c r="A7191" s="691"/>
      <c r="D7191" s="3"/>
    </row>
    <row r="7192" spans="1:4">
      <c r="A7192" s="691"/>
      <c r="D7192" s="3"/>
    </row>
    <row r="7193" spans="1:4">
      <c r="A7193" s="691"/>
      <c r="D7193" s="3"/>
    </row>
    <row r="7194" spans="1:4">
      <c r="A7194" s="691"/>
      <c r="D7194" s="3"/>
    </row>
    <row r="7195" spans="1:4">
      <c r="A7195" s="691"/>
      <c r="D7195" s="3"/>
    </row>
    <row r="7196" spans="1:4">
      <c r="A7196" s="691"/>
      <c r="D7196" s="3"/>
    </row>
    <row r="7197" spans="1:4">
      <c r="A7197" s="691"/>
      <c r="D7197" s="3"/>
    </row>
    <row r="7198" spans="1:4">
      <c r="A7198" s="691"/>
      <c r="D7198" s="3"/>
    </row>
    <row r="7199" spans="1:4">
      <c r="A7199" s="691"/>
      <c r="D7199" s="3"/>
    </row>
    <row r="7200" spans="1:4">
      <c r="A7200" s="691"/>
      <c r="D7200" s="3"/>
    </row>
    <row r="7201" spans="1:4">
      <c r="A7201" s="691"/>
      <c r="D7201" s="3"/>
    </row>
    <row r="7202" spans="1:4">
      <c r="A7202" s="691"/>
      <c r="D7202" s="3"/>
    </row>
    <row r="7203" spans="1:4">
      <c r="A7203" s="691"/>
      <c r="D7203" s="3"/>
    </row>
    <row r="7204" spans="1:4">
      <c r="A7204" s="691"/>
      <c r="D7204" s="3"/>
    </row>
    <row r="7205" spans="1:4">
      <c r="A7205" s="691"/>
      <c r="D7205" s="3"/>
    </row>
    <row r="7206" spans="1:4">
      <c r="A7206" s="691"/>
      <c r="D7206" s="3"/>
    </row>
    <row r="7207" spans="1:4">
      <c r="A7207" s="691"/>
      <c r="D7207" s="3"/>
    </row>
    <row r="7208" spans="1:4">
      <c r="A7208" s="691"/>
      <c r="D7208" s="3"/>
    </row>
    <row r="7209" spans="1:4">
      <c r="A7209" s="691"/>
      <c r="D7209" s="3"/>
    </row>
    <row r="7210" spans="1:4">
      <c r="A7210" s="691"/>
      <c r="D7210" s="3"/>
    </row>
    <row r="7211" spans="1:4">
      <c r="A7211" s="691"/>
      <c r="D7211" s="3"/>
    </row>
    <row r="7212" spans="1:4">
      <c r="A7212" s="691"/>
      <c r="D7212" s="3"/>
    </row>
    <row r="7213" spans="1:4">
      <c r="A7213" s="691"/>
      <c r="D7213" s="3"/>
    </row>
    <row r="7214" spans="1:4">
      <c r="A7214" s="691"/>
      <c r="D7214" s="3"/>
    </row>
    <row r="7215" spans="1:4">
      <c r="A7215" s="691"/>
      <c r="D7215" s="3"/>
    </row>
    <row r="7216" spans="1:4">
      <c r="A7216" s="691"/>
      <c r="D7216" s="3"/>
    </row>
    <row r="7217" spans="1:4">
      <c r="A7217" s="691"/>
      <c r="D7217" s="3"/>
    </row>
    <row r="7218" spans="1:4">
      <c r="A7218" s="691"/>
      <c r="D7218" s="3"/>
    </row>
    <row r="7219" spans="1:4">
      <c r="A7219" s="691"/>
      <c r="D7219" s="3"/>
    </row>
    <row r="7220" spans="1:4">
      <c r="A7220" s="691"/>
      <c r="D7220" s="3"/>
    </row>
    <row r="7221" spans="1:4">
      <c r="A7221" s="691"/>
      <c r="D7221" s="3"/>
    </row>
    <row r="7222" spans="1:4">
      <c r="A7222" s="691"/>
      <c r="D7222" s="3"/>
    </row>
    <row r="7223" spans="1:4">
      <c r="A7223" s="691"/>
      <c r="D7223" s="3"/>
    </row>
    <row r="7224" spans="1:4">
      <c r="A7224" s="691"/>
      <c r="D7224" s="3"/>
    </row>
    <row r="7225" spans="1:4">
      <c r="A7225" s="691"/>
      <c r="D7225" s="3"/>
    </row>
    <row r="7226" spans="1:4">
      <c r="A7226" s="691"/>
      <c r="D7226" s="3"/>
    </row>
    <row r="7227" spans="1:4">
      <c r="A7227" s="691"/>
      <c r="D7227" s="3"/>
    </row>
    <row r="7228" spans="1:4">
      <c r="A7228" s="691"/>
      <c r="D7228" s="3"/>
    </row>
    <row r="7229" spans="1:4">
      <c r="A7229" s="691"/>
      <c r="D7229" s="3"/>
    </row>
    <row r="7230" spans="1:4">
      <c r="A7230" s="691"/>
      <c r="D7230" s="3"/>
    </row>
    <row r="7231" spans="1:4">
      <c r="A7231" s="691"/>
      <c r="D7231" s="3"/>
    </row>
    <row r="7232" spans="1:4">
      <c r="A7232" s="691"/>
      <c r="D7232" s="3"/>
    </row>
    <row r="7233" spans="1:4">
      <c r="A7233" s="691"/>
      <c r="D7233" s="3"/>
    </row>
    <row r="7234" spans="1:4">
      <c r="A7234" s="691"/>
      <c r="D7234" s="3"/>
    </row>
    <row r="7235" spans="1:4">
      <c r="A7235" s="691"/>
      <c r="D7235" s="3"/>
    </row>
    <row r="7236" spans="1:4">
      <c r="A7236" s="691"/>
      <c r="D7236" s="3"/>
    </row>
    <row r="7237" spans="1:4">
      <c r="A7237" s="691"/>
      <c r="D7237" s="3"/>
    </row>
    <row r="7238" spans="1:4">
      <c r="A7238" s="691"/>
      <c r="D7238" s="3"/>
    </row>
    <row r="7239" spans="1:4">
      <c r="A7239" s="691"/>
      <c r="D7239" s="3"/>
    </row>
    <row r="7240" spans="1:4">
      <c r="A7240" s="691"/>
      <c r="D7240" s="3"/>
    </row>
    <row r="7241" spans="1:4">
      <c r="A7241" s="691"/>
      <c r="D7241" s="3"/>
    </row>
    <row r="7242" spans="1:4">
      <c r="A7242" s="691"/>
      <c r="D7242" s="3"/>
    </row>
    <row r="7243" spans="1:4">
      <c r="A7243" s="691"/>
      <c r="D7243" s="3"/>
    </row>
    <row r="7244" spans="1:4">
      <c r="A7244" s="691"/>
      <c r="D7244" s="3"/>
    </row>
    <row r="7245" spans="1:4">
      <c r="A7245" s="691"/>
      <c r="D7245" s="3"/>
    </row>
    <row r="7246" spans="1:4">
      <c r="A7246" s="691"/>
      <c r="D7246" s="3"/>
    </row>
    <row r="7247" spans="1:4">
      <c r="A7247" s="691"/>
      <c r="D7247" s="3"/>
    </row>
    <row r="7248" spans="1:4">
      <c r="A7248" s="691"/>
      <c r="D7248" s="3"/>
    </row>
    <row r="7249" spans="1:4">
      <c r="A7249" s="691"/>
      <c r="D7249" s="3"/>
    </row>
    <row r="7250" spans="1:4">
      <c r="A7250" s="691"/>
      <c r="D7250" s="3"/>
    </row>
    <row r="7251" spans="1:4">
      <c r="A7251" s="691"/>
      <c r="D7251" s="3"/>
    </row>
    <row r="7252" spans="1:4">
      <c r="A7252" s="691"/>
      <c r="D7252" s="3"/>
    </row>
    <row r="7253" spans="1:4">
      <c r="A7253" s="691"/>
      <c r="D7253" s="3"/>
    </row>
    <row r="7254" spans="1:4">
      <c r="A7254" s="691"/>
      <c r="D7254" s="3"/>
    </row>
    <row r="7255" spans="1:4">
      <c r="A7255" s="691"/>
      <c r="D7255" s="3"/>
    </row>
    <row r="7256" spans="1:4">
      <c r="A7256" s="691"/>
      <c r="D7256" s="3"/>
    </row>
    <row r="7257" spans="1:4">
      <c r="A7257" s="691"/>
      <c r="D7257" s="3"/>
    </row>
    <row r="7258" spans="1:4">
      <c r="A7258" s="691"/>
      <c r="D7258" s="3"/>
    </row>
    <row r="7259" spans="1:4">
      <c r="A7259" s="691"/>
      <c r="D7259" s="3"/>
    </row>
    <row r="7260" spans="1:4">
      <c r="A7260" s="691"/>
      <c r="D7260" s="3"/>
    </row>
    <row r="7261" spans="1:4">
      <c r="A7261" s="691"/>
      <c r="D7261" s="3"/>
    </row>
    <row r="7262" spans="1:4">
      <c r="A7262" s="691"/>
      <c r="D7262" s="3"/>
    </row>
    <row r="7263" spans="1:4">
      <c r="A7263" s="691"/>
      <c r="D7263" s="3"/>
    </row>
    <row r="7264" spans="1:4">
      <c r="A7264" s="691"/>
      <c r="D7264" s="3"/>
    </row>
    <row r="7265" spans="1:4">
      <c r="A7265" s="691"/>
      <c r="D7265" s="3"/>
    </row>
    <row r="7266" spans="1:4">
      <c r="A7266" s="691"/>
      <c r="D7266" s="3"/>
    </row>
    <row r="7267" spans="1:4">
      <c r="A7267" s="691"/>
      <c r="D7267" s="3"/>
    </row>
    <row r="7268" spans="1:4">
      <c r="A7268" s="691"/>
      <c r="D7268" s="3"/>
    </row>
    <row r="7269" spans="1:4">
      <c r="A7269" s="691"/>
      <c r="D7269" s="3"/>
    </row>
    <row r="7270" spans="1:4">
      <c r="A7270" s="691"/>
      <c r="D7270" s="3"/>
    </row>
    <row r="7271" spans="1:4">
      <c r="A7271" s="691"/>
      <c r="D7271" s="3"/>
    </row>
    <row r="7272" spans="1:4">
      <c r="A7272" s="691"/>
      <c r="D7272" s="3"/>
    </row>
    <row r="7273" spans="1:4">
      <c r="A7273" s="691"/>
      <c r="D7273" s="3"/>
    </row>
    <row r="7274" spans="1:4">
      <c r="A7274" s="691"/>
      <c r="D7274" s="3"/>
    </row>
    <row r="7275" spans="1:4">
      <c r="A7275" s="691"/>
      <c r="D7275" s="3"/>
    </row>
    <row r="7276" spans="1:4">
      <c r="A7276" s="691"/>
      <c r="D7276" s="3"/>
    </row>
    <row r="7277" spans="1:4">
      <c r="A7277" s="691"/>
      <c r="D7277" s="3"/>
    </row>
    <row r="7278" spans="1:4">
      <c r="A7278" s="691"/>
      <c r="D7278" s="3"/>
    </row>
    <row r="7279" spans="1:4">
      <c r="A7279" s="691"/>
      <c r="D7279" s="3"/>
    </row>
    <row r="7280" spans="1:4">
      <c r="A7280" s="691"/>
      <c r="D7280" s="3"/>
    </row>
    <row r="7281" spans="1:4">
      <c r="A7281" s="691"/>
      <c r="D7281" s="3"/>
    </row>
    <row r="7282" spans="1:4">
      <c r="A7282" s="691"/>
      <c r="D7282" s="3"/>
    </row>
    <row r="7283" spans="1:4">
      <c r="A7283" s="691"/>
      <c r="D7283" s="3"/>
    </row>
    <row r="7284" spans="1:4">
      <c r="A7284" s="691"/>
      <c r="D7284" s="3"/>
    </row>
    <row r="7285" spans="1:4">
      <c r="A7285" s="691"/>
      <c r="D7285" s="3"/>
    </row>
    <row r="7286" spans="1:4">
      <c r="A7286" s="691"/>
      <c r="D7286" s="3"/>
    </row>
    <row r="7287" spans="1:4">
      <c r="A7287" s="691"/>
      <c r="D7287" s="3"/>
    </row>
    <row r="7288" spans="1:4">
      <c r="A7288" s="691"/>
      <c r="D7288" s="3"/>
    </row>
    <row r="7289" spans="1:4">
      <c r="A7289" s="691"/>
      <c r="D7289" s="3"/>
    </row>
    <row r="7290" spans="1:4">
      <c r="A7290" s="691"/>
      <c r="D7290" s="3"/>
    </row>
    <row r="7291" spans="1:4">
      <c r="A7291" s="691"/>
      <c r="D7291" s="3"/>
    </row>
    <row r="7292" spans="1:4">
      <c r="A7292" s="691"/>
      <c r="D7292" s="3"/>
    </row>
    <row r="7293" spans="1:4">
      <c r="A7293" s="691"/>
      <c r="D7293" s="3"/>
    </row>
    <row r="7294" spans="1:4">
      <c r="A7294" s="691"/>
      <c r="D7294" s="3"/>
    </row>
    <row r="7295" spans="1:4">
      <c r="A7295" s="691"/>
      <c r="D7295" s="3"/>
    </row>
    <row r="7296" spans="1:4">
      <c r="A7296" s="691"/>
      <c r="D7296" s="3"/>
    </row>
    <row r="7297" spans="1:4">
      <c r="A7297" s="691"/>
      <c r="D7297" s="3"/>
    </row>
    <row r="7298" spans="1:4">
      <c r="A7298" s="691"/>
      <c r="D7298" s="3"/>
    </row>
    <row r="7299" spans="1:4">
      <c r="A7299" s="691"/>
      <c r="D7299" s="3"/>
    </row>
    <row r="7300" spans="1:4">
      <c r="A7300" s="691"/>
      <c r="D7300" s="3"/>
    </row>
    <row r="7301" spans="1:4">
      <c r="A7301" s="691"/>
      <c r="D7301" s="3"/>
    </row>
    <row r="7302" spans="1:4">
      <c r="A7302" s="691"/>
      <c r="D7302" s="3"/>
    </row>
    <row r="7303" spans="1:4">
      <c r="A7303" s="691"/>
      <c r="D7303" s="3"/>
    </row>
    <row r="7304" spans="1:4">
      <c r="A7304" s="691"/>
      <c r="D7304" s="3"/>
    </row>
    <row r="7305" spans="1:4">
      <c r="A7305" s="691"/>
      <c r="D7305" s="3"/>
    </row>
    <row r="7306" spans="1:4">
      <c r="A7306" s="691"/>
      <c r="D7306" s="3"/>
    </row>
    <row r="7307" spans="1:4">
      <c r="A7307" s="691"/>
      <c r="D7307" s="3"/>
    </row>
    <row r="7308" spans="1:4">
      <c r="A7308" s="691"/>
      <c r="D7308" s="3"/>
    </row>
    <row r="7309" spans="1:4">
      <c r="A7309" s="691"/>
      <c r="D7309" s="3"/>
    </row>
    <row r="7310" spans="1:4">
      <c r="A7310" s="691"/>
      <c r="D7310" s="3"/>
    </row>
    <row r="7311" spans="1:4">
      <c r="A7311" s="691"/>
      <c r="D7311" s="3"/>
    </row>
    <row r="7312" spans="1:4">
      <c r="A7312" s="691"/>
      <c r="D7312" s="3"/>
    </row>
    <row r="7313" spans="1:4">
      <c r="A7313" s="691"/>
      <c r="D7313" s="3"/>
    </row>
    <row r="7314" spans="1:4">
      <c r="A7314" s="691"/>
      <c r="D7314" s="3"/>
    </row>
    <row r="7315" spans="1:4">
      <c r="A7315" s="691"/>
      <c r="D7315" s="3"/>
    </row>
    <row r="7316" spans="1:4">
      <c r="A7316" s="691"/>
      <c r="D7316" s="3"/>
    </row>
    <row r="7317" spans="1:4">
      <c r="A7317" s="691"/>
      <c r="D7317" s="3"/>
    </row>
    <row r="7318" spans="1:4">
      <c r="A7318" s="691"/>
      <c r="D7318" s="3"/>
    </row>
    <row r="7319" spans="1:4">
      <c r="A7319" s="691"/>
      <c r="D7319" s="3"/>
    </row>
    <row r="7320" spans="1:4">
      <c r="A7320" s="691"/>
      <c r="D7320" s="3"/>
    </row>
    <row r="7321" spans="1:4">
      <c r="A7321" s="691"/>
      <c r="D7321" s="3"/>
    </row>
    <row r="7322" spans="1:4">
      <c r="A7322" s="691"/>
      <c r="D7322" s="3"/>
    </row>
    <row r="7323" spans="1:4">
      <c r="A7323" s="691"/>
      <c r="D7323" s="3"/>
    </row>
    <row r="7324" spans="1:4">
      <c r="A7324" s="691"/>
      <c r="D7324" s="3"/>
    </row>
    <row r="7325" spans="1:4">
      <c r="A7325" s="691"/>
      <c r="D7325" s="3"/>
    </row>
    <row r="7326" spans="1:4">
      <c r="A7326" s="691"/>
      <c r="D7326" s="3"/>
    </row>
    <row r="7327" spans="1:4">
      <c r="A7327" s="691"/>
      <c r="D7327" s="3"/>
    </row>
    <row r="7328" spans="1:4">
      <c r="A7328" s="691"/>
      <c r="D7328" s="3"/>
    </row>
    <row r="7329" spans="1:4">
      <c r="A7329" s="691"/>
      <c r="D7329" s="3"/>
    </row>
    <row r="7330" spans="1:4">
      <c r="A7330" s="691"/>
      <c r="D7330" s="3"/>
    </row>
    <row r="7331" spans="1:4">
      <c r="A7331" s="691"/>
      <c r="D7331" s="3"/>
    </row>
    <row r="7332" spans="1:4">
      <c r="A7332" s="691"/>
      <c r="D7332" s="3"/>
    </row>
    <row r="7333" spans="1:4">
      <c r="A7333" s="691"/>
      <c r="D7333" s="3"/>
    </row>
    <row r="7334" spans="1:4">
      <c r="A7334" s="691"/>
      <c r="D7334" s="3"/>
    </row>
    <row r="7335" spans="1:4">
      <c r="A7335" s="691"/>
      <c r="D7335" s="3"/>
    </row>
    <row r="7336" spans="1:4">
      <c r="A7336" s="691"/>
      <c r="D7336" s="3"/>
    </row>
    <row r="7337" spans="1:4">
      <c r="A7337" s="691"/>
      <c r="D7337" s="3"/>
    </row>
    <row r="7338" spans="1:4">
      <c r="A7338" s="691"/>
      <c r="D7338" s="3"/>
    </row>
    <row r="7339" spans="1:4">
      <c r="A7339" s="691"/>
      <c r="D7339" s="3"/>
    </row>
    <row r="7340" spans="1:4">
      <c r="A7340" s="691"/>
      <c r="D7340" s="3"/>
    </row>
    <row r="7341" spans="1:4">
      <c r="A7341" s="691"/>
      <c r="D7341" s="3"/>
    </row>
    <row r="7342" spans="1:4">
      <c r="A7342" s="691"/>
      <c r="D7342" s="3"/>
    </row>
    <row r="7343" spans="1:4">
      <c r="A7343" s="691"/>
      <c r="D7343" s="3"/>
    </row>
    <row r="7344" spans="1:4">
      <c r="A7344" s="691"/>
      <c r="D7344" s="3"/>
    </row>
    <row r="7345" spans="1:4">
      <c r="A7345" s="691"/>
      <c r="D7345" s="3"/>
    </row>
    <row r="7346" spans="1:4">
      <c r="A7346" s="691"/>
      <c r="D7346" s="3"/>
    </row>
    <row r="7347" spans="1:4">
      <c r="A7347" s="691"/>
      <c r="D7347" s="3"/>
    </row>
    <row r="7348" spans="1:4">
      <c r="A7348" s="691"/>
      <c r="D7348" s="3"/>
    </row>
    <row r="7349" spans="1:4">
      <c r="A7349" s="691"/>
      <c r="D7349" s="3"/>
    </row>
    <row r="7350" spans="1:4">
      <c r="A7350" s="691"/>
      <c r="D7350" s="3"/>
    </row>
    <row r="7351" spans="1:4">
      <c r="A7351" s="691"/>
      <c r="D7351" s="3"/>
    </row>
    <row r="7352" spans="1:4">
      <c r="A7352" s="691"/>
      <c r="D7352" s="3"/>
    </row>
    <row r="7353" spans="1:4">
      <c r="A7353" s="691"/>
      <c r="D7353" s="3"/>
    </row>
    <row r="7354" spans="1:4">
      <c r="A7354" s="691"/>
      <c r="D7354" s="3"/>
    </row>
    <row r="7355" spans="1:4">
      <c r="A7355" s="691"/>
      <c r="D7355" s="3"/>
    </row>
    <row r="7356" spans="1:4">
      <c r="A7356" s="691"/>
      <c r="D7356" s="3"/>
    </row>
    <row r="7357" spans="1:4">
      <c r="A7357" s="691"/>
      <c r="D7357" s="3"/>
    </row>
    <row r="7358" spans="1:4">
      <c r="A7358" s="691"/>
      <c r="D7358" s="3"/>
    </row>
    <row r="7359" spans="1:4">
      <c r="A7359" s="691"/>
      <c r="D7359" s="3"/>
    </row>
    <row r="7360" spans="1:4">
      <c r="A7360" s="691"/>
      <c r="D7360" s="3"/>
    </row>
    <row r="7361" spans="1:4">
      <c r="A7361" s="691"/>
      <c r="D7361" s="3"/>
    </row>
    <row r="7362" spans="1:4">
      <c r="A7362" s="691"/>
      <c r="D7362" s="3"/>
    </row>
    <row r="7363" spans="1:4">
      <c r="A7363" s="691"/>
      <c r="D7363" s="3"/>
    </row>
    <row r="7364" spans="1:4">
      <c r="A7364" s="691"/>
      <c r="D7364" s="3"/>
    </row>
    <row r="7365" spans="1:4">
      <c r="A7365" s="691"/>
      <c r="D7365" s="3"/>
    </row>
    <row r="7366" spans="1:4">
      <c r="A7366" s="691"/>
      <c r="D7366" s="3"/>
    </row>
    <row r="7367" spans="1:4">
      <c r="A7367" s="691"/>
      <c r="D7367" s="3"/>
    </row>
    <row r="7368" spans="1:4">
      <c r="A7368" s="691"/>
      <c r="D7368" s="3"/>
    </row>
    <row r="7369" spans="1:4">
      <c r="A7369" s="691"/>
      <c r="D7369" s="3"/>
    </row>
    <row r="7370" spans="1:4">
      <c r="A7370" s="691"/>
      <c r="D7370" s="3"/>
    </row>
    <row r="7371" spans="1:4">
      <c r="A7371" s="691"/>
      <c r="D7371" s="3"/>
    </row>
    <row r="7372" spans="1:4">
      <c r="A7372" s="691"/>
      <c r="D7372" s="3"/>
    </row>
    <row r="7373" spans="1:4">
      <c r="A7373" s="691"/>
      <c r="D7373" s="3"/>
    </row>
    <row r="7374" spans="1:4">
      <c r="A7374" s="691"/>
      <c r="D7374" s="3"/>
    </row>
    <row r="7375" spans="1:4">
      <c r="A7375" s="691"/>
      <c r="D7375" s="3"/>
    </row>
    <row r="7376" spans="1:4">
      <c r="A7376" s="691"/>
      <c r="D7376" s="3"/>
    </row>
    <row r="7377" spans="1:4">
      <c r="A7377" s="691"/>
      <c r="D7377" s="3"/>
    </row>
    <row r="7378" spans="1:4">
      <c r="A7378" s="691"/>
      <c r="D7378" s="3"/>
    </row>
    <row r="7379" spans="1:4">
      <c r="A7379" s="691"/>
      <c r="D7379" s="3"/>
    </row>
    <row r="7380" spans="1:4">
      <c r="A7380" s="691"/>
      <c r="D7380" s="3"/>
    </row>
    <row r="7381" spans="1:4">
      <c r="A7381" s="691"/>
      <c r="D7381" s="3"/>
    </row>
    <row r="7382" spans="1:4">
      <c r="A7382" s="691"/>
      <c r="D7382" s="3"/>
    </row>
    <row r="7383" spans="1:4">
      <c r="A7383" s="691"/>
      <c r="D7383" s="3"/>
    </row>
    <row r="7384" spans="1:4">
      <c r="A7384" s="691"/>
      <c r="D7384" s="3"/>
    </row>
    <row r="7385" spans="1:4">
      <c r="A7385" s="691"/>
      <c r="D7385" s="3"/>
    </row>
    <row r="7386" spans="1:4">
      <c r="A7386" s="691"/>
      <c r="D7386" s="3"/>
    </row>
    <row r="7387" spans="1:4">
      <c r="A7387" s="691"/>
      <c r="D7387" s="3"/>
    </row>
    <row r="7388" spans="1:4">
      <c r="A7388" s="691"/>
      <c r="D7388" s="3"/>
    </row>
    <row r="7389" spans="1:4">
      <c r="A7389" s="691"/>
      <c r="D7389" s="3"/>
    </row>
    <row r="7390" spans="1:4">
      <c r="A7390" s="691"/>
      <c r="D7390" s="3"/>
    </row>
    <row r="7391" spans="1:4">
      <c r="A7391" s="691"/>
      <c r="D7391" s="3"/>
    </row>
    <row r="7392" spans="1:4">
      <c r="A7392" s="691"/>
      <c r="D7392" s="3"/>
    </row>
    <row r="7393" spans="1:4">
      <c r="A7393" s="691"/>
      <c r="D7393" s="3"/>
    </row>
    <row r="7394" spans="1:4">
      <c r="A7394" s="691"/>
      <c r="D7394" s="3"/>
    </row>
    <row r="7395" spans="1:4">
      <c r="A7395" s="691"/>
      <c r="D7395" s="3"/>
    </row>
    <row r="7396" spans="1:4">
      <c r="A7396" s="691"/>
      <c r="D7396" s="3"/>
    </row>
    <row r="7397" spans="1:4">
      <c r="A7397" s="691"/>
      <c r="D7397" s="3"/>
    </row>
    <row r="7398" spans="1:4">
      <c r="A7398" s="691"/>
      <c r="D7398" s="3"/>
    </row>
    <row r="7399" spans="1:4">
      <c r="A7399" s="691"/>
      <c r="D7399" s="3"/>
    </row>
    <row r="7400" spans="1:4">
      <c r="A7400" s="691"/>
      <c r="D7400" s="3"/>
    </row>
    <row r="7401" spans="1:4">
      <c r="A7401" s="691"/>
      <c r="D7401" s="3"/>
    </row>
    <row r="7402" spans="1:4">
      <c r="A7402" s="691"/>
      <c r="D7402" s="3"/>
    </row>
    <row r="7403" spans="1:4">
      <c r="A7403" s="691"/>
      <c r="D7403" s="3"/>
    </row>
    <row r="7404" spans="1:4">
      <c r="A7404" s="691"/>
      <c r="D7404" s="3"/>
    </row>
    <row r="7405" spans="1:4">
      <c r="A7405" s="691"/>
      <c r="D7405" s="3"/>
    </row>
    <row r="7406" spans="1:4">
      <c r="A7406" s="691"/>
      <c r="D7406" s="3"/>
    </row>
    <row r="7407" spans="1:4">
      <c r="A7407" s="691"/>
      <c r="D7407" s="3"/>
    </row>
    <row r="7408" spans="1:4">
      <c r="A7408" s="691"/>
      <c r="D7408" s="3"/>
    </row>
    <row r="7409" spans="1:4">
      <c r="A7409" s="691"/>
      <c r="D7409" s="3"/>
    </row>
    <row r="7410" spans="1:4">
      <c r="A7410" s="691"/>
      <c r="D7410" s="3"/>
    </row>
    <row r="7411" spans="1:4">
      <c r="A7411" s="691"/>
      <c r="D7411" s="3"/>
    </row>
    <row r="7412" spans="1:4">
      <c r="A7412" s="691"/>
      <c r="D7412" s="3"/>
    </row>
    <row r="7413" spans="1:4">
      <c r="A7413" s="691"/>
      <c r="D7413" s="3"/>
    </row>
    <row r="7414" spans="1:4">
      <c r="A7414" s="691"/>
      <c r="D7414" s="3"/>
    </row>
    <row r="7415" spans="1:4">
      <c r="A7415" s="691"/>
      <c r="D7415" s="3"/>
    </row>
    <row r="7416" spans="1:4">
      <c r="A7416" s="691"/>
      <c r="D7416" s="3"/>
    </row>
    <row r="7417" spans="1:4">
      <c r="A7417" s="691"/>
      <c r="D7417" s="3"/>
    </row>
    <row r="7418" spans="1:4">
      <c r="A7418" s="691"/>
      <c r="D7418" s="3"/>
    </row>
    <row r="7419" spans="1:4">
      <c r="A7419" s="691"/>
      <c r="D7419" s="3"/>
    </row>
    <row r="7420" spans="1:4">
      <c r="A7420" s="691"/>
      <c r="D7420" s="3"/>
    </row>
    <row r="7421" spans="1:4">
      <c r="A7421" s="691"/>
      <c r="D7421" s="3"/>
    </row>
    <row r="7422" spans="1:4">
      <c r="A7422" s="691"/>
      <c r="D7422" s="3"/>
    </row>
    <row r="7423" spans="1:4">
      <c r="A7423" s="691"/>
      <c r="D7423" s="3"/>
    </row>
    <row r="7424" spans="1:4">
      <c r="A7424" s="691"/>
      <c r="D7424" s="3"/>
    </row>
    <row r="7425" spans="1:4">
      <c r="A7425" s="691"/>
      <c r="D7425" s="3"/>
    </row>
    <row r="7426" spans="1:4">
      <c r="A7426" s="691"/>
      <c r="D7426" s="3"/>
    </row>
    <row r="7427" spans="1:4">
      <c r="A7427" s="691"/>
      <c r="D7427" s="3"/>
    </row>
    <row r="7428" spans="1:4">
      <c r="A7428" s="691"/>
      <c r="D7428" s="3"/>
    </row>
    <row r="7429" spans="1:4">
      <c r="A7429" s="691"/>
      <c r="D7429" s="3"/>
    </row>
    <row r="7430" spans="1:4">
      <c r="A7430" s="691"/>
      <c r="D7430" s="3"/>
    </row>
    <row r="7431" spans="1:4">
      <c r="A7431" s="691"/>
      <c r="D7431" s="3"/>
    </row>
    <row r="7432" spans="1:4">
      <c r="A7432" s="691"/>
      <c r="D7432" s="3"/>
    </row>
    <row r="7433" spans="1:4">
      <c r="A7433" s="691"/>
      <c r="D7433" s="3"/>
    </row>
    <row r="7434" spans="1:4">
      <c r="A7434" s="691"/>
      <c r="D7434" s="3"/>
    </row>
    <row r="7435" spans="1:4">
      <c r="A7435" s="691"/>
      <c r="D7435" s="3"/>
    </row>
    <row r="7436" spans="1:4">
      <c r="A7436" s="691"/>
      <c r="D7436" s="3"/>
    </row>
    <row r="7437" spans="1:4">
      <c r="A7437" s="691"/>
      <c r="D7437" s="3"/>
    </row>
    <row r="7438" spans="1:4">
      <c r="A7438" s="691"/>
      <c r="D7438" s="3"/>
    </row>
    <row r="7439" spans="1:4">
      <c r="A7439" s="691"/>
      <c r="D7439" s="3"/>
    </row>
    <row r="7440" spans="1:4">
      <c r="A7440" s="691"/>
      <c r="D7440" s="3"/>
    </row>
    <row r="7441" spans="1:4">
      <c r="A7441" s="691"/>
      <c r="D7441" s="3"/>
    </row>
    <row r="7442" spans="1:4">
      <c r="A7442" s="691"/>
      <c r="D7442" s="3"/>
    </row>
    <row r="7443" spans="1:4">
      <c r="A7443" s="691"/>
      <c r="D7443" s="3"/>
    </row>
    <row r="7444" spans="1:4">
      <c r="A7444" s="691"/>
      <c r="D7444" s="3"/>
    </row>
    <row r="7445" spans="1:4">
      <c r="A7445" s="691"/>
      <c r="D7445" s="3"/>
    </row>
    <row r="7446" spans="1:4">
      <c r="A7446" s="691"/>
      <c r="D7446" s="3"/>
    </row>
    <row r="7447" spans="1:4">
      <c r="A7447" s="691"/>
      <c r="D7447" s="3"/>
    </row>
    <row r="7448" spans="1:4">
      <c r="A7448" s="691"/>
      <c r="D7448" s="3"/>
    </row>
    <row r="7449" spans="1:4">
      <c r="A7449" s="691"/>
      <c r="D7449" s="3"/>
    </row>
    <row r="7450" spans="1:4">
      <c r="A7450" s="691"/>
      <c r="D7450" s="3"/>
    </row>
    <row r="7451" spans="1:4">
      <c r="A7451" s="691"/>
      <c r="D7451" s="3"/>
    </row>
    <row r="7452" spans="1:4">
      <c r="A7452" s="691"/>
      <c r="D7452" s="3"/>
    </row>
    <row r="7453" spans="1:4">
      <c r="A7453" s="691"/>
      <c r="D7453" s="3"/>
    </row>
    <row r="7454" spans="1:4">
      <c r="A7454" s="691"/>
      <c r="D7454" s="3"/>
    </row>
    <row r="7455" spans="1:4">
      <c r="A7455" s="691"/>
      <c r="D7455" s="3"/>
    </row>
    <row r="7456" spans="1:4">
      <c r="A7456" s="691"/>
      <c r="D7456" s="3"/>
    </row>
    <row r="7457" spans="1:4">
      <c r="A7457" s="691"/>
      <c r="D7457" s="3"/>
    </row>
    <row r="7458" spans="1:4">
      <c r="A7458" s="691"/>
      <c r="D7458" s="3"/>
    </row>
    <row r="7459" spans="1:4">
      <c r="A7459" s="691"/>
      <c r="D7459" s="3"/>
    </row>
    <row r="7460" spans="1:4">
      <c r="A7460" s="691"/>
      <c r="D7460" s="3"/>
    </row>
    <row r="7461" spans="1:4">
      <c r="A7461" s="691"/>
      <c r="D7461" s="3"/>
    </row>
    <row r="7462" spans="1:4">
      <c r="A7462" s="691"/>
      <c r="D7462" s="3"/>
    </row>
    <row r="7463" spans="1:4">
      <c r="A7463" s="691"/>
      <c r="D7463" s="3"/>
    </row>
    <row r="7464" spans="1:4">
      <c r="A7464" s="691"/>
      <c r="D7464" s="3"/>
    </row>
    <row r="7465" spans="1:4">
      <c r="A7465" s="691"/>
      <c r="D7465" s="3"/>
    </row>
    <row r="7466" spans="1:4">
      <c r="A7466" s="691"/>
      <c r="D7466" s="3"/>
    </row>
    <row r="7467" spans="1:4">
      <c r="A7467" s="691"/>
      <c r="D7467" s="3"/>
    </row>
    <row r="7468" spans="1:4">
      <c r="A7468" s="691"/>
      <c r="D7468" s="3"/>
    </row>
    <row r="7469" spans="1:4">
      <c r="A7469" s="691"/>
      <c r="D7469" s="3"/>
    </row>
    <row r="7470" spans="1:4">
      <c r="A7470" s="691"/>
      <c r="D7470" s="3"/>
    </row>
    <row r="7471" spans="1:4">
      <c r="A7471" s="691"/>
      <c r="D7471" s="3"/>
    </row>
    <row r="7472" spans="1:4">
      <c r="A7472" s="691"/>
      <c r="D7472" s="3"/>
    </row>
    <row r="7473" spans="1:4">
      <c r="A7473" s="691"/>
      <c r="D7473" s="3"/>
    </row>
    <row r="7474" spans="1:4">
      <c r="A7474" s="691"/>
      <c r="D7474" s="3"/>
    </row>
    <row r="7475" spans="1:4">
      <c r="A7475" s="691"/>
      <c r="D7475" s="3"/>
    </row>
    <row r="7476" spans="1:4">
      <c r="A7476" s="691"/>
      <c r="D7476" s="3"/>
    </row>
    <row r="7477" spans="1:4">
      <c r="A7477" s="691"/>
      <c r="D7477" s="3"/>
    </row>
    <row r="7478" spans="1:4">
      <c r="A7478" s="691"/>
      <c r="D7478" s="3"/>
    </row>
    <row r="7479" spans="1:4">
      <c r="A7479" s="691"/>
      <c r="D7479" s="3"/>
    </row>
    <row r="7480" spans="1:4">
      <c r="A7480" s="691"/>
      <c r="D7480" s="3"/>
    </row>
    <row r="7481" spans="1:4">
      <c r="A7481" s="691"/>
      <c r="D7481" s="3"/>
    </row>
    <row r="7482" spans="1:4">
      <c r="A7482" s="691"/>
      <c r="D7482" s="3"/>
    </row>
    <row r="7483" spans="1:4">
      <c r="A7483" s="691"/>
      <c r="D7483" s="3"/>
    </row>
    <row r="7484" spans="1:4">
      <c r="A7484" s="691"/>
      <c r="D7484" s="3"/>
    </row>
    <row r="7485" spans="1:4">
      <c r="A7485" s="691"/>
      <c r="D7485" s="3"/>
    </row>
    <row r="7486" spans="1:4">
      <c r="A7486" s="691"/>
      <c r="D7486" s="3"/>
    </row>
    <row r="7487" spans="1:4">
      <c r="A7487" s="691"/>
      <c r="D7487" s="3"/>
    </row>
    <row r="7488" spans="1:4">
      <c r="A7488" s="691"/>
      <c r="D7488" s="3"/>
    </row>
    <row r="7489" spans="1:4">
      <c r="A7489" s="691"/>
      <c r="D7489" s="3"/>
    </row>
    <row r="7490" spans="1:4">
      <c r="A7490" s="691"/>
      <c r="D7490" s="3"/>
    </row>
    <row r="7491" spans="1:4">
      <c r="A7491" s="691"/>
      <c r="D7491" s="3"/>
    </row>
    <row r="7492" spans="1:4">
      <c r="A7492" s="691"/>
      <c r="D7492" s="3"/>
    </row>
    <row r="7493" spans="1:4">
      <c r="A7493" s="691"/>
      <c r="D7493" s="3"/>
    </row>
    <row r="7494" spans="1:4">
      <c r="A7494" s="691"/>
      <c r="D7494" s="3"/>
    </row>
    <row r="7495" spans="1:4">
      <c r="A7495" s="691"/>
      <c r="D7495" s="3"/>
    </row>
    <row r="7496" spans="1:4">
      <c r="A7496" s="691"/>
      <c r="D7496" s="3"/>
    </row>
    <row r="7497" spans="1:4">
      <c r="A7497" s="691"/>
      <c r="D7497" s="3"/>
    </row>
    <row r="7498" spans="1:4">
      <c r="A7498" s="691"/>
      <c r="D7498" s="3"/>
    </row>
    <row r="7499" spans="1:4">
      <c r="A7499" s="691"/>
      <c r="D7499" s="3"/>
    </row>
    <row r="7500" spans="1:4">
      <c r="A7500" s="691"/>
      <c r="D7500" s="3"/>
    </row>
    <row r="7501" spans="1:4">
      <c r="A7501" s="691"/>
      <c r="D7501" s="3"/>
    </row>
    <row r="7502" spans="1:4">
      <c r="A7502" s="691"/>
      <c r="D7502" s="3"/>
    </row>
    <row r="7503" spans="1:4">
      <c r="A7503" s="691"/>
      <c r="D7503" s="3"/>
    </row>
    <row r="7504" spans="1:4">
      <c r="A7504" s="691"/>
      <c r="D7504" s="3"/>
    </row>
    <row r="7505" spans="1:4">
      <c r="A7505" s="691"/>
      <c r="D7505" s="3"/>
    </row>
    <row r="7506" spans="1:4">
      <c r="A7506" s="691"/>
      <c r="D7506" s="3"/>
    </row>
    <row r="7507" spans="1:4">
      <c r="A7507" s="691"/>
      <c r="D7507" s="3"/>
    </row>
    <row r="7508" spans="1:4">
      <c r="A7508" s="691"/>
      <c r="D7508" s="3"/>
    </row>
    <row r="7509" spans="1:4">
      <c r="A7509" s="691"/>
      <c r="D7509" s="3"/>
    </row>
    <row r="7510" spans="1:4">
      <c r="A7510" s="691"/>
      <c r="D7510" s="3"/>
    </row>
    <row r="7511" spans="1:4">
      <c r="A7511" s="691"/>
      <c r="D7511" s="3"/>
    </row>
    <row r="7512" spans="1:4">
      <c r="A7512" s="691"/>
      <c r="D7512" s="3"/>
    </row>
    <row r="7513" spans="1:4">
      <c r="A7513" s="691"/>
      <c r="D7513" s="3"/>
    </row>
    <row r="7514" spans="1:4">
      <c r="A7514" s="691"/>
      <c r="D7514" s="3"/>
    </row>
    <row r="7515" spans="1:4">
      <c r="A7515" s="691"/>
      <c r="D7515" s="3"/>
    </row>
    <row r="7516" spans="1:4">
      <c r="A7516" s="691"/>
      <c r="D7516" s="3"/>
    </row>
    <row r="7517" spans="1:4">
      <c r="A7517" s="691"/>
      <c r="D7517" s="3"/>
    </row>
    <row r="7518" spans="1:4">
      <c r="A7518" s="691"/>
      <c r="D7518" s="3"/>
    </row>
    <row r="7519" spans="1:4">
      <c r="A7519" s="691"/>
      <c r="D7519" s="3"/>
    </row>
    <row r="7520" spans="1:4">
      <c r="A7520" s="691"/>
      <c r="D7520" s="3"/>
    </row>
    <row r="7521" spans="1:4">
      <c r="A7521" s="691"/>
      <c r="D7521" s="3"/>
    </row>
    <row r="7522" spans="1:4">
      <c r="A7522" s="691"/>
      <c r="D7522" s="3"/>
    </row>
    <row r="7523" spans="1:4">
      <c r="A7523" s="691"/>
      <c r="D7523" s="3"/>
    </row>
    <row r="7524" spans="1:4">
      <c r="A7524" s="691"/>
      <c r="D7524" s="3"/>
    </row>
    <row r="7525" spans="1:4">
      <c r="A7525" s="691"/>
      <c r="D7525" s="3"/>
    </row>
    <row r="7526" spans="1:4">
      <c r="A7526" s="691"/>
      <c r="D7526" s="3"/>
    </row>
    <row r="7527" spans="1:4">
      <c r="A7527" s="691"/>
      <c r="D7527" s="3"/>
    </row>
    <row r="7528" spans="1:4">
      <c r="A7528" s="691"/>
      <c r="D7528" s="3"/>
    </row>
    <row r="7529" spans="1:4">
      <c r="A7529" s="691"/>
      <c r="D7529" s="3"/>
    </row>
    <row r="7530" spans="1:4">
      <c r="A7530" s="691"/>
      <c r="D7530" s="3"/>
    </row>
    <row r="7531" spans="1:4">
      <c r="A7531" s="691"/>
      <c r="D7531" s="3"/>
    </row>
    <row r="7532" spans="1:4">
      <c r="A7532" s="691"/>
      <c r="D7532" s="3"/>
    </row>
    <row r="7533" spans="1:4">
      <c r="A7533" s="691"/>
      <c r="D7533" s="3"/>
    </row>
    <row r="7534" spans="1:4">
      <c r="A7534" s="691"/>
      <c r="D7534" s="3"/>
    </row>
    <row r="7535" spans="1:4">
      <c r="A7535" s="691"/>
      <c r="D7535" s="3"/>
    </row>
    <row r="7536" spans="1:4">
      <c r="A7536" s="691"/>
      <c r="D7536" s="3"/>
    </row>
    <row r="7537" spans="1:4">
      <c r="A7537" s="691"/>
      <c r="D7537" s="3"/>
    </row>
    <row r="7538" spans="1:4">
      <c r="A7538" s="691"/>
      <c r="D7538" s="3"/>
    </row>
    <row r="7539" spans="1:4">
      <c r="A7539" s="691"/>
      <c r="D7539" s="3"/>
    </row>
    <row r="7540" spans="1:4">
      <c r="A7540" s="691"/>
      <c r="D7540" s="3"/>
    </row>
    <row r="7541" spans="1:4">
      <c r="A7541" s="691"/>
      <c r="D7541" s="3"/>
    </row>
    <row r="7542" spans="1:4">
      <c r="A7542" s="691"/>
      <c r="D7542" s="3"/>
    </row>
    <row r="7543" spans="1:4">
      <c r="A7543" s="691"/>
      <c r="D7543" s="3"/>
    </row>
    <row r="7544" spans="1:4">
      <c r="A7544" s="691"/>
      <c r="D7544" s="3"/>
    </row>
    <row r="7545" spans="1:4">
      <c r="A7545" s="691"/>
      <c r="D7545" s="3"/>
    </row>
    <row r="7546" spans="1:4">
      <c r="A7546" s="691"/>
      <c r="D7546" s="3"/>
    </row>
    <row r="7547" spans="1:4">
      <c r="A7547" s="691"/>
      <c r="D7547" s="3"/>
    </row>
    <row r="7548" spans="1:4">
      <c r="A7548" s="691"/>
      <c r="D7548" s="3"/>
    </row>
    <row r="7549" spans="1:4">
      <c r="A7549" s="691"/>
      <c r="D7549" s="3"/>
    </row>
    <row r="7550" spans="1:4">
      <c r="A7550" s="691"/>
      <c r="D7550" s="3"/>
    </row>
    <row r="7551" spans="1:4">
      <c r="A7551" s="691"/>
      <c r="D7551" s="3"/>
    </row>
    <row r="7552" spans="1:4">
      <c r="A7552" s="691"/>
      <c r="D7552" s="3"/>
    </row>
    <row r="7553" spans="1:4">
      <c r="A7553" s="691"/>
      <c r="D7553" s="3"/>
    </row>
    <row r="7554" spans="1:4">
      <c r="A7554" s="691"/>
      <c r="D7554" s="3"/>
    </row>
    <row r="7555" spans="1:4">
      <c r="A7555" s="691"/>
      <c r="D7555" s="3"/>
    </row>
    <row r="7556" spans="1:4">
      <c r="A7556" s="691"/>
      <c r="D7556" s="3"/>
    </row>
    <row r="7557" spans="1:4">
      <c r="A7557" s="691"/>
      <c r="D7557" s="3"/>
    </row>
    <row r="7558" spans="1:4">
      <c r="A7558" s="691"/>
      <c r="D7558" s="3"/>
    </row>
    <row r="7559" spans="1:4">
      <c r="A7559" s="691"/>
      <c r="D7559" s="3"/>
    </row>
    <row r="7560" spans="1:4">
      <c r="A7560" s="691"/>
      <c r="D7560" s="3"/>
    </row>
    <row r="7561" spans="1:4">
      <c r="A7561" s="691"/>
      <c r="D7561" s="3"/>
    </row>
    <row r="7562" spans="1:4">
      <c r="A7562" s="691"/>
      <c r="D7562" s="3"/>
    </row>
    <row r="7563" spans="1:4">
      <c r="A7563" s="691"/>
      <c r="D7563" s="3"/>
    </row>
    <row r="7564" spans="1:4">
      <c r="A7564" s="691"/>
      <c r="D7564" s="3"/>
    </row>
    <row r="7565" spans="1:4">
      <c r="A7565" s="691"/>
      <c r="D7565" s="3"/>
    </row>
    <row r="7566" spans="1:4">
      <c r="A7566" s="691"/>
      <c r="D7566" s="3"/>
    </row>
    <row r="7567" spans="1:4">
      <c r="A7567" s="691"/>
      <c r="D7567" s="3"/>
    </row>
    <row r="7568" spans="1:4">
      <c r="A7568" s="691"/>
      <c r="D7568" s="3"/>
    </row>
    <row r="7569" spans="1:4">
      <c r="A7569" s="691"/>
      <c r="D7569" s="3"/>
    </row>
    <row r="7570" spans="1:4">
      <c r="A7570" s="691"/>
      <c r="D7570" s="3"/>
    </row>
    <row r="7571" spans="1:4">
      <c r="A7571" s="691"/>
      <c r="D7571" s="3"/>
    </row>
    <row r="7572" spans="1:4">
      <c r="A7572" s="691"/>
      <c r="D7572" s="3"/>
    </row>
    <row r="7573" spans="1:4">
      <c r="A7573" s="691"/>
      <c r="D7573" s="3"/>
    </row>
    <row r="7574" spans="1:4">
      <c r="A7574" s="691"/>
      <c r="D7574" s="3"/>
    </row>
    <row r="7575" spans="1:4">
      <c r="A7575" s="691"/>
      <c r="D7575" s="3"/>
    </row>
    <row r="7576" spans="1:4">
      <c r="A7576" s="691"/>
      <c r="D7576" s="3"/>
    </row>
    <row r="7577" spans="1:4">
      <c r="A7577" s="691"/>
      <c r="D7577" s="3"/>
    </row>
    <row r="7578" spans="1:4">
      <c r="A7578" s="691"/>
      <c r="D7578" s="3"/>
    </row>
    <row r="7579" spans="1:4">
      <c r="A7579" s="691"/>
      <c r="D7579" s="3"/>
    </row>
    <row r="7580" spans="1:4">
      <c r="A7580" s="691"/>
      <c r="D7580" s="3"/>
    </row>
    <row r="7581" spans="1:4">
      <c r="A7581" s="691"/>
      <c r="D7581" s="3"/>
    </row>
    <row r="7582" spans="1:4">
      <c r="A7582" s="691"/>
      <c r="D7582" s="3"/>
    </row>
    <row r="7583" spans="1:4">
      <c r="A7583" s="691"/>
      <c r="D7583" s="3"/>
    </row>
    <row r="7584" spans="1:4">
      <c r="A7584" s="691"/>
      <c r="D7584" s="3"/>
    </row>
    <row r="7585" spans="1:4">
      <c r="A7585" s="691"/>
      <c r="D7585" s="3"/>
    </row>
    <row r="7586" spans="1:4">
      <c r="A7586" s="691"/>
      <c r="D7586" s="3"/>
    </row>
    <row r="7587" spans="1:4">
      <c r="A7587" s="691"/>
      <c r="D7587" s="3"/>
    </row>
    <row r="7588" spans="1:4">
      <c r="A7588" s="691"/>
      <c r="D7588" s="3"/>
    </row>
    <row r="7589" spans="1:4">
      <c r="A7589" s="691"/>
      <c r="D7589" s="3"/>
    </row>
    <row r="7590" spans="1:4">
      <c r="A7590" s="691"/>
      <c r="D7590" s="3"/>
    </row>
    <row r="7591" spans="1:4">
      <c r="A7591" s="691"/>
      <c r="D7591" s="3"/>
    </row>
    <row r="7592" spans="1:4">
      <c r="A7592" s="691"/>
      <c r="D7592" s="3"/>
    </row>
    <row r="7593" spans="1:4">
      <c r="A7593" s="691"/>
      <c r="D7593" s="3"/>
    </row>
    <row r="7594" spans="1:4">
      <c r="A7594" s="691"/>
      <c r="D7594" s="3"/>
    </row>
    <row r="7595" spans="1:4">
      <c r="A7595" s="691"/>
      <c r="D7595" s="3"/>
    </row>
    <row r="7596" spans="1:4">
      <c r="A7596" s="691"/>
      <c r="D7596" s="3"/>
    </row>
    <row r="7597" spans="1:4">
      <c r="A7597" s="691"/>
      <c r="D7597" s="3"/>
    </row>
    <row r="7598" spans="1:4">
      <c r="A7598" s="691"/>
      <c r="D7598" s="3"/>
    </row>
    <row r="7599" spans="1:4">
      <c r="A7599" s="691"/>
      <c r="D7599" s="3"/>
    </row>
    <row r="7600" spans="1:4">
      <c r="A7600" s="691"/>
      <c r="D7600" s="3"/>
    </row>
    <row r="7601" spans="1:4">
      <c r="A7601" s="691"/>
      <c r="D7601" s="3"/>
    </row>
    <row r="7602" spans="1:4">
      <c r="A7602" s="691"/>
      <c r="D7602" s="3"/>
    </row>
    <row r="7603" spans="1:4">
      <c r="A7603" s="691"/>
      <c r="D7603" s="3"/>
    </row>
    <row r="7604" spans="1:4">
      <c r="A7604" s="691"/>
      <c r="D7604" s="3"/>
    </row>
    <row r="7605" spans="1:4">
      <c r="A7605" s="691"/>
      <c r="D7605" s="3"/>
    </row>
    <row r="7606" spans="1:4">
      <c r="A7606" s="691"/>
      <c r="D7606" s="3"/>
    </row>
    <row r="7607" spans="1:4">
      <c r="A7607" s="691"/>
      <c r="D7607" s="3"/>
    </row>
    <row r="7608" spans="1:4">
      <c r="A7608" s="691"/>
      <c r="D7608" s="3"/>
    </row>
    <row r="7609" spans="1:4">
      <c r="A7609" s="691"/>
      <c r="D7609" s="3"/>
    </row>
    <row r="7610" spans="1:4">
      <c r="A7610" s="691"/>
      <c r="D7610" s="3"/>
    </row>
    <row r="7611" spans="1:4">
      <c r="A7611" s="691"/>
      <c r="D7611" s="3"/>
    </row>
    <row r="7612" spans="1:4">
      <c r="A7612" s="691"/>
      <c r="D7612" s="3"/>
    </row>
    <row r="7613" spans="1:4">
      <c r="A7613" s="691"/>
      <c r="D7613" s="3"/>
    </row>
    <row r="7614" spans="1:4">
      <c r="A7614" s="691"/>
      <c r="D7614" s="3"/>
    </row>
    <row r="7615" spans="1:4">
      <c r="A7615" s="691"/>
      <c r="D7615" s="3"/>
    </row>
    <row r="7616" spans="1:4">
      <c r="A7616" s="691"/>
      <c r="D7616" s="3"/>
    </row>
    <row r="7617" spans="1:4">
      <c r="A7617" s="691"/>
      <c r="D7617" s="3"/>
    </row>
    <row r="7618" spans="1:4">
      <c r="A7618" s="691"/>
      <c r="D7618" s="3"/>
    </row>
    <row r="7619" spans="1:4">
      <c r="A7619" s="691"/>
      <c r="D7619" s="3"/>
    </row>
    <row r="7620" spans="1:4">
      <c r="A7620" s="691"/>
      <c r="D7620" s="3"/>
    </row>
    <row r="7621" spans="1:4">
      <c r="A7621" s="691"/>
      <c r="D7621" s="3"/>
    </row>
    <row r="7622" spans="1:4">
      <c r="A7622" s="691"/>
      <c r="D7622" s="3"/>
    </row>
    <row r="7623" spans="1:4">
      <c r="A7623" s="691"/>
      <c r="D7623" s="3"/>
    </row>
    <row r="7624" spans="1:4">
      <c r="A7624" s="691"/>
      <c r="D7624" s="3"/>
    </row>
    <row r="7625" spans="1:4">
      <c r="A7625" s="691"/>
      <c r="D7625" s="3"/>
    </row>
    <row r="7626" spans="1:4">
      <c r="A7626" s="691"/>
      <c r="D7626" s="3"/>
    </row>
    <row r="7627" spans="1:4">
      <c r="A7627" s="691"/>
      <c r="D7627" s="3"/>
    </row>
    <row r="7628" spans="1:4">
      <c r="A7628" s="691"/>
      <c r="D7628" s="3"/>
    </row>
    <row r="7629" spans="1:4">
      <c r="A7629" s="691"/>
      <c r="D7629" s="3"/>
    </row>
    <row r="7630" spans="1:4">
      <c r="A7630" s="691"/>
      <c r="D7630" s="3"/>
    </row>
    <row r="7631" spans="1:4">
      <c r="A7631" s="691"/>
      <c r="D7631" s="3"/>
    </row>
    <row r="7632" spans="1:4">
      <c r="A7632" s="691"/>
      <c r="D7632" s="3"/>
    </row>
    <row r="7633" spans="1:4">
      <c r="A7633" s="691"/>
      <c r="D7633" s="3"/>
    </row>
    <row r="7634" spans="1:4">
      <c r="A7634" s="691"/>
      <c r="D7634" s="3"/>
    </row>
    <row r="7635" spans="1:4">
      <c r="A7635" s="691"/>
      <c r="D7635" s="3"/>
    </row>
    <row r="7636" spans="1:4">
      <c r="A7636" s="691"/>
      <c r="D7636" s="3"/>
    </row>
    <row r="7637" spans="1:4">
      <c r="A7637" s="691"/>
      <c r="D7637" s="3"/>
    </row>
    <row r="7638" spans="1:4">
      <c r="A7638" s="691"/>
      <c r="D7638" s="3"/>
    </row>
    <row r="7639" spans="1:4">
      <c r="A7639" s="691"/>
      <c r="D7639" s="3"/>
    </row>
    <row r="7640" spans="1:4">
      <c r="A7640" s="691"/>
      <c r="D7640" s="3"/>
    </row>
    <row r="7641" spans="1:4">
      <c r="A7641" s="691"/>
      <c r="D7641" s="3"/>
    </row>
    <row r="7642" spans="1:4">
      <c r="A7642" s="691"/>
      <c r="D7642" s="3"/>
    </row>
    <row r="7643" spans="1:4">
      <c r="A7643" s="691"/>
      <c r="D7643" s="3"/>
    </row>
    <row r="7644" spans="1:4">
      <c r="A7644" s="691"/>
      <c r="D7644" s="3"/>
    </row>
    <row r="7645" spans="1:4">
      <c r="A7645" s="691"/>
      <c r="D7645" s="3"/>
    </row>
    <row r="7646" spans="1:4">
      <c r="A7646" s="691"/>
      <c r="D7646" s="3"/>
    </row>
    <row r="7647" spans="1:4">
      <c r="A7647" s="691"/>
      <c r="D7647" s="3"/>
    </row>
    <row r="7648" spans="1:4">
      <c r="A7648" s="691"/>
      <c r="D7648" s="3"/>
    </row>
    <row r="7649" spans="1:4">
      <c r="A7649" s="691"/>
      <c r="D7649" s="3"/>
    </row>
    <row r="7650" spans="1:4">
      <c r="A7650" s="691"/>
      <c r="D7650" s="3"/>
    </row>
    <row r="7651" spans="1:4">
      <c r="A7651" s="691"/>
      <c r="D7651" s="3"/>
    </row>
    <row r="7652" spans="1:4">
      <c r="A7652" s="691"/>
      <c r="D7652" s="3"/>
    </row>
    <row r="7653" spans="1:4">
      <c r="A7653" s="691"/>
      <c r="D7653" s="3"/>
    </row>
    <row r="7654" spans="1:4">
      <c r="A7654" s="691"/>
      <c r="D7654" s="3"/>
    </row>
    <row r="7655" spans="1:4">
      <c r="A7655" s="691"/>
      <c r="D7655" s="3"/>
    </row>
    <row r="7656" spans="1:4">
      <c r="A7656" s="691"/>
      <c r="D7656" s="3"/>
    </row>
    <row r="7657" spans="1:4">
      <c r="A7657" s="691"/>
      <c r="D7657" s="3"/>
    </row>
    <row r="7658" spans="1:4">
      <c r="A7658" s="691"/>
      <c r="D7658" s="3"/>
    </row>
    <row r="7659" spans="1:4">
      <c r="A7659" s="691"/>
      <c r="D7659" s="3"/>
    </row>
    <row r="7660" spans="1:4">
      <c r="A7660" s="691"/>
      <c r="D7660" s="3"/>
    </row>
    <row r="7661" spans="1:4">
      <c r="A7661" s="691"/>
      <c r="D7661" s="3"/>
    </row>
    <row r="7662" spans="1:4">
      <c r="A7662" s="691"/>
      <c r="D7662" s="3"/>
    </row>
    <row r="7663" spans="1:4">
      <c r="A7663" s="691"/>
      <c r="D7663" s="3"/>
    </row>
    <row r="7664" spans="1:4">
      <c r="A7664" s="691"/>
      <c r="D7664" s="3"/>
    </row>
    <row r="7665" spans="1:4">
      <c r="A7665" s="691"/>
      <c r="D7665" s="3"/>
    </row>
    <row r="7666" spans="1:4">
      <c r="A7666" s="691"/>
      <c r="D7666" s="3"/>
    </row>
    <row r="7667" spans="1:4">
      <c r="A7667" s="691"/>
      <c r="D7667" s="3"/>
    </row>
    <row r="7668" spans="1:4">
      <c r="A7668" s="691"/>
      <c r="D7668" s="3"/>
    </row>
    <row r="7669" spans="1:4">
      <c r="A7669" s="691"/>
      <c r="D7669" s="3"/>
    </row>
    <row r="7670" spans="1:4">
      <c r="A7670" s="691"/>
      <c r="D7670" s="3"/>
    </row>
    <row r="7671" spans="1:4">
      <c r="A7671" s="691"/>
      <c r="D7671" s="3"/>
    </row>
    <row r="7672" spans="1:4">
      <c r="A7672" s="691"/>
      <c r="D7672" s="3"/>
    </row>
    <row r="7673" spans="1:4">
      <c r="A7673" s="691"/>
      <c r="D7673" s="3"/>
    </row>
    <row r="7674" spans="1:4">
      <c r="A7674" s="691"/>
      <c r="D7674" s="3"/>
    </row>
    <row r="7675" spans="1:4">
      <c r="A7675" s="691"/>
      <c r="D7675" s="3"/>
    </row>
    <row r="7676" spans="1:4">
      <c r="A7676" s="691"/>
      <c r="D7676" s="3"/>
    </row>
    <row r="7677" spans="1:4">
      <c r="A7677" s="691"/>
      <c r="D7677" s="3"/>
    </row>
    <row r="7678" spans="1:4">
      <c r="A7678" s="691"/>
      <c r="D7678" s="3"/>
    </row>
    <row r="7679" spans="1:4">
      <c r="A7679" s="691"/>
      <c r="D7679" s="3"/>
    </row>
    <row r="7680" spans="1:4">
      <c r="A7680" s="691"/>
      <c r="D7680" s="3"/>
    </row>
    <row r="7681" spans="1:4">
      <c r="A7681" s="691"/>
      <c r="D7681" s="3"/>
    </row>
    <row r="7682" spans="1:4">
      <c r="A7682" s="691"/>
      <c r="D7682" s="3"/>
    </row>
    <row r="7683" spans="1:4">
      <c r="A7683" s="691"/>
      <c r="D7683" s="3"/>
    </row>
    <row r="7684" spans="1:4">
      <c r="A7684" s="691"/>
      <c r="D7684" s="3"/>
    </row>
    <row r="7685" spans="1:4">
      <c r="A7685" s="691"/>
      <c r="D7685" s="3"/>
    </row>
    <row r="7686" spans="1:4">
      <c r="A7686" s="691"/>
      <c r="D7686" s="3"/>
    </row>
    <row r="7687" spans="1:4">
      <c r="A7687" s="691"/>
      <c r="D7687" s="3"/>
    </row>
    <row r="7688" spans="1:4">
      <c r="A7688" s="691"/>
      <c r="D7688" s="3"/>
    </row>
    <row r="7689" spans="1:4">
      <c r="A7689" s="691"/>
      <c r="D7689" s="3"/>
    </row>
    <row r="7690" spans="1:4">
      <c r="A7690" s="691"/>
      <c r="D7690" s="3"/>
    </row>
    <row r="7691" spans="1:4">
      <c r="A7691" s="691"/>
      <c r="D7691" s="3"/>
    </row>
    <row r="7692" spans="1:4">
      <c r="A7692" s="691"/>
      <c r="D7692" s="3"/>
    </row>
    <row r="7693" spans="1:4">
      <c r="A7693" s="691"/>
      <c r="D7693" s="3"/>
    </row>
    <row r="7694" spans="1:4">
      <c r="A7694" s="691"/>
      <c r="D7694" s="3"/>
    </row>
    <row r="7695" spans="1:4">
      <c r="A7695" s="691"/>
      <c r="D7695" s="3"/>
    </row>
    <row r="7696" spans="1:4">
      <c r="A7696" s="691"/>
      <c r="D7696" s="3"/>
    </row>
    <row r="7697" spans="1:4">
      <c r="A7697" s="691"/>
      <c r="D7697" s="3"/>
    </row>
    <row r="7698" spans="1:4">
      <c r="A7698" s="691"/>
      <c r="D7698" s="3"/>
    </row>
    <row r="7699" spans="1:4">
      <c r="A7699" s="691"/>
      <c r="D7699" s="3"/>
    </row>
    <row r="7700" spans="1:4">
      <c r="A7700" s="691"/>
      <c r="D7700" s="3"/>
    </row>
    <row r="7701" spans="1:4">
      <c r="A7701" s="691"/>
      <c r="D7701" s="3"/>
    </row>
    <row r="7702" spans="1:4">
      <c r="A7702" s="691"/>
      <c r="D7702" s="3"/>
    </row>
    <row r="7703" spans="1:4">
      <c r="A7703" s="691"/>
      <c r="D7703" s="3"/>
    </row>
    <row r="7704" spans="1:4">
      <c r="A7704" s="691"/>
      <c r="D7704" s="3"/>
    </row>
    <row r="7705" spans="1:4">
      <c r="A7705" s="691"/>
      <c r="D7705" s="3"/>
    </row>
    <row r="7706" spans="1:4">
      <c r="A7706" s="691"/>
      <c r="D7706" s="3"/>
    </row>
    <row r="7707" spans="1:4">
      <c r="A7707" s="691"/>
      <c r="D7707" s="3"/>
    </row>
    <row r="7708" spans="1:4">
      <c r="A7708" s="691"/>
      <c r="D7708" s="3"/>
    </row>
    <row r="7709" spans="1:4">
      <c r="A7709" s="691"/>
      <c r="D7709" s="3"/>
    </row>
    <row r="7710" spans="1:4">
      <c r="A7710" s="691"/>
      <c r="D7710" s="3"/>
    </row>
    <row r="7711" spans="1:4">
      <c r="A7711" s="691"/>
      <c r="D7711" s="3"/>
    </row>
    <row r="7712" spans="1:4">
      <c r="A7712" s="691"/>
      <c r="D7712" s="3"/>
    </row>
    <row r="7713" spans="1:4">
      <c r="A7713" s="691"/>
      <c r="D7713" s="3"/>
    </row>
    <row r="7714" spans="1:4">
      <c r="A7714" s="691"/>
      <c r="D7714" s="3"/>
    </row>
    <row r="7715" spans="1:4">
      <c r="A7715" s="691"/>
      <c r="D7715" s="3"/>
    </row>
    <row r="7716" spans="1:4">
      <c r="A7716" s="691"/>
      <c r="D7716" s="3"/>
    </row>
    <row r="7717" spans="1:4">
      <c r="A7717" s="691"/>
      <c r="D7717" s="3"/>
    </row>
    <row r="7718" spans="1:4">
      <c r="A7718" s="691"/>
      <c r="D7718" s="3"/>
    </row>
    <row r="7719" spans="1:4">
      <c r="A7719" s="691"/>
      <c r="D7719" s="3"/>
    </row>
    <row r="7720" spans="1:4">
      <c r="A7720" s="691"/>
      <c r="D7720" s="3"/>
    </row>
    <row r="7721" spans="1:4">
      <c r="A7721" s="691"/>
      <c r="D7721" s="3"/>
    </row>
    <row r="7722" spans="1:4">
      <c r="A7722" s="691"/>
      <c r="D7722" s="3"/>
    </row>
    <row r="7723" spans="1:4">
      <c r="A7723" s="691"/>
      <c r="D7723" s="3"/>
    </row>
    <row r="7724" spans="1:4">
      <c r="A7724" s="691"/>
      <c r="D7724" s="3"/>
    </row>
    <row r="7725" spans="1:4">
      <c r="A7725" s="691"/>
      <c r="D7725" s="3"/>
    </row>
    <row r="7726" spans="1:4">
      <c r="A7726" s="691"/>
      <c r="D7726" s="3"/>
    </row>
    <row r="7727" spans="1:4">
      <c r="A7727" s="691"/>
      <c r="D7727" s="3"/>
    </row>
    <row r="7728" spans="1:4">
      <c r="A7728" s="691"/>
      <c r="D7728" s="3"/>
    </row>
    <row r="7729" spans="1:4">
      <c r="A7729" s="691"/>
      <c r="D7729" s="3"/>
    </row>
    <row r="7730" spans="1:4">
      <c r="A7730" s="691"/>
      <c r="D7730" s="3"/>
    </row>
    <row r="7731" spans="1:4">
      <c r="A7731" s="691"/>
      <c r="D7731" s="3"/>
    </row>
    <row r="7732" spans="1:4">
      <c r="A7732" s="691"/>
      <c r="D7732" s="3"/>
    </row>
    <row r="7733" spans="1:4">
      <c r="A7733" s="691"/>
      <c r="D7733" s="3"/>
    </row>
    <row r="7734" spans="1:4">
      <c r="A7734" s="691"/>
      <c r="D7734" s="3"/>
    </row>
    <row r="7735" spans="1:4">
      <c r="A7735" s="691"/>
      <c r="D7735" s="3"/>
    </row>
    <row r="7736" spans="1:4">
      <c r="A7736" s="691"/>
      <c r="D7736" s="3"/>
    </row>
    <row r="7737" spans="1:4">
      <c r="A7737" s="691"/>
      <c r="D7737" s="3"/>
    </row>
    <row r="7738" spans="1:4">
      <c r="A7738" s="691"/>
      <c r="D7738" s="3"/>
    </row>
    <row r="7739" spans="1:4">
      <c r="A7739" s="691"/>
      <c r="D7739" s="3"/>
    </row>
    <row r="7740" spans="1:4">
      <c r="A7740" s="691"/>
      <c r="D7740" s="3"/>
    </row>
    <row r="7741" spans="1:4">
      <c r="A7741" s="691"/>
      <c r="D7741" s="3"/>
    </row>
    <row r="7742" spans="1:4">
      <c r="A7742" s="691"/>
      <c r="D7742" s="3"/>
    </row>
    <row r="7743" spans="1:4">
      <c r="A7743" s="691"/>
      <c r="D7743" s="3"/>
    </row>
    <row r="7744" spans="1:4">
      <c r="A7744" s="691"/>
      <c r="D7744" s="3"/>
    </row>
    <row r="7745" spans="1:4">
      <c r="A7745" s="691"/>
      <c r="D7745" s="3"/>
    </row>
    <row r="7746" spans="1:4">
      <c r="A7746" s="691"/>
      <c r="D7746" s="3"/>
    </row>
    <row r="7747" spans="1:4">
      <c r="A7747" s="691"/>
      <c r="D7747" s="3"/>
    </row>
    <row r="7748" spans="1:4">
      <c r="A7748" s="691"/>
      <c r="D7748" s="3"/>
    </row>
    <row r="7749" spans="1:4">
      <c r="A7749" s="691"/>
      <c r="D7749" s="3"/>
    </row>
    <row r="7750" spans="1:4">
      <c r="A7750" s="691"/>
      <c r="D7750" s="3"/>
    </row>
    <row r="7751" spans="1:4">
      <c r="A7751" s="691"/>
      <c r="D7751" s="3"/>
    </row>
    <row r="7752" spans="1:4">
      <c r="A7752" s="691"/>
      <c r="D7752" s="3"/>
    </row>
    <row r="7753" spans="1:4">
      <c r="A7753" s="691"/>
      <c r="D7753" s="3"/>
    </row>
    <row r="7754" spans="1:4">
      <c r="A7754" s="691"/>
      <c r="D7754" s="3"/>
    </row>
    <row r="7755" spans="1:4">
      <c r="A7755" s="691"/>
      <c r="D7755" s="3"/>
    </row>
    <row r="7756" spans="1:4">
      <c r="A7756" s="691"/>
      <c r="D7756" s="3"/>
    </row>
    <row r="7757" spans="1:4">
      <c r="A7757" s="691"/>
      <c r="D7757" s="3"/>
    </row>
    <row r="7758" spans="1:4">
      <c r="A7758" s="691"/>
      <c r="D7758" s="3"/>
    </row>
    <row r="7759" spans="1:4">
      <c r="A7759" s="691"/>
      <c r="D7759" s="3"/>
    </row>
    <row r="7760" spans="1:4">
      <c r="A7760" s="691"/>
      <c r="D7760" s="3"/>
    </row>
    <row r="7761" spans="1:4">
      <c r="A7761" s="691"/>
      <c r="D7761" s="3"/>
    </row>
    <row r="7762" spans="1:4">
      <c r="A7762" s="691"/>
      <c r="D7762" s="3"/>
    </row>
    <row r="7763" spans="1:4">
      <c r="A7763" s="691"/>
      <c r="D7763" s="3"/>
    </row>
    <row r="7764" spans="1:4">
      <c r="A7764" s="691"/>
      <c r="D7764" s="3"/>
    </row>
    <row r="7765" spans="1:4">
      <c r="A7765" s="691"/>
      <c r="D7765" s="3"/>
    </row>
    <row r="7766" spans="1:4">
      <c r="A7766" s="691"/>
      <c r="D7766" s="3"/>
    </row>
    <row r="7767" spans="1:4">
      <c r="A7767" s="691"/>
      <c r="D7767" s="3"/>
    </row>
    <row r="7768" spans="1:4">
      <c r="A7768" s="691"/>
      <c r="D7768" s="3"/>
    </row>
    <row r="7769" spans="1:4">
      <c r="A7769" s="691"/>
      <c r="D7769" s="3"/>
    </row>
    <row r="7770" spans="1:4">
      <c r="A7770" s="691"/>
      <c r="D7770" s="3"/>
    </row>
    <row r="7771" spans="1:4">
      <c r="A7771" s="691"/>
      <c r="D7771" s="3"/>
    </row>
    <row r="7772" spans="1:4">
      <c r="A7772" s="691"/>
      <c r="D7772" s="3"/>
    </row>
    <row r="7773" spans="1:4">
      <c r="A7773" s="691"/>
      <c r="D7773" s="3"/>
    </row>
    <row r="7774" spans="1:4">
      <c r="A7774" s="691"/>
      <c r="D7774" s="3"/>
    </row>
    <row r="7775" spans="1:4">
      <c r="A7775" s="691"/>
      <c r="D7775" s="3"/>
    </row>
    <row r="7776" spans="1:4">
      <c r="A7776" s="691"/>
      <c r="D7776" s="3"/>
    </row>
    <row r="7777" spans="1:4">
      <c r="A7777" s="691"/>
      <c r="D7777" s="3"/>
    </row>
    <row r="7778" spans="1:4">
      <c r="A7778" s="691"/>
      <c r="D7778" s="3"/>
    </row>
    <row r="7779" spans="1:4">
      <c r="A7779" s="691"/>
      <c r="D7779" s="3"/>
    </row>
    <row r="7780" spans="1:4">
      <c r="A7780" s="691"/>
      <c r="D7780" s="3"/>
    </row>
    <row r="7781" spans="1:4">
      <c r="A7781" s="691"/>
      <c r="D7781" s="3"/>
    </row>
    <row r="7782" spans="1:4">
      <c r="A7782" s="691"/>
      <c r="D7782" s="3"/>
    </row>
    <row r="7783" spans="1:4">
      <c r="A7783" s="691"/>
      <c r="D7783" s="3"/>
    </row>
    <row r="7784" spans="1:4">
      <c r="A7784" s="691"/>
      <c r="D7784" s="3"/>
    </row>
    <row r="7785" spans="1:4">
      <c r="A7785" s="691"/>
      <c r="D7785" s="3"/>
    </row>
    <row r="7786" spans="1:4">
      <c r="A7786" s="691"/>
      <c r="D7786" s="3"/>
    </row>
    <row r="7787" spans="1:4">
      <c r="A7787" s="691"/>
      <c r="D7787" s="3"/>
    </row>
    <row r="7788" spans="1:4">
      <c r="A7788" s="691"/>
      <c r="D7788" s="3"/>
    </row>
    <row r="7789" spans="1:4">
      <c r="A7789" s="691"/>
      <c r="D7789" s="3"/>
    </row>
    <row r="7790" spans="1:4">
      <c r="A7790" s="691"/>
      <c r="D7790" s="3"/>
    </row>
    <row r="7791" spans="1:4">
      <c r="A7791" s="691"/>
      <c r="D7791" s="3"/>
    </row>
    <row r="7792" spans="1:4">
      <c r="A7792" s="691"/>
      <c r="D7792" s="3"/>
    </row>
    <row r="7793" spans="1:4">
      <c r="A7793" s="691"/>
      <c r="D7793" s="3"/>
    </row>
    <row r="7794" spans="1:4">
      <c r="A7794" s="691"/>
      <c r="D7794" s="3"/>
    </row>
    <row r="7795" spans="1:4">
      <c r="A7795" s="691"/>
      <c r="D7795" s="3"/>
    </row>
    <row r="7796" spans="1:4">
      <c r="A7796" s="691"/>
      <c r="D7796" s="3"/>
    </row>
    <row r="7797" spans="1:4">
      <c r="A7797" s="691"/>
      <c r="D7797" s="3"/>
    </row>
    <row r="7798" spans="1:4">
      <c r="A7798" s="691"/>
      <c r="D7798" s="3"/>
    </row>
    <row r="7799" spans="1:4">
      <c r="A7799" s="691"/>
      <c r="D7799" s="3"/>
    </row>
    <row r="7800" spans="1:4">
      <c r="A7800" s="691"/>
      <c r="D7800" s="3"/>
    </row>
    <row r="7801" spans="1:4">
      <c r="A7801" s="691"/>
      <c r="D7801" s="3"/>
    </row>
    <row r="7802" spans="1:4">
      <c r="A7802" s="691"/>
      <c r="D7802" s="3"/>
    </row>
    <row r="7803" spans="1:4">
      <c r="A7803" s="691"/>
      <c r="D7803" s="3"/>
    </row>
    <row r="7804" spans="1:4">
      <c r="A7804" s="691"/>
      <c r="D7804" s="3"/>
    </row>
    <row r="7805" spans="1:4">
      <c r="A7805" s="691"/>
      <c r="D7805" s="3"/>
    </row>
    <row r="7806" spans="1:4">
      <c r="A7806" s="691"/>
      <c r="D7806" s="3"/>
    </row>
    <row r="7807" spans="1:4">
      <c r="A7807" s="691"/>
      <c r="D7807" s="3"/>
    </row>
    <row r="7808" spans="1:4">
      <c r="A7808" s="691"/>
      <c r="D7808" s="3"/>
    </row>
    <row r="7809" spans="1:4">
      <c r="A7809" s="691"/>
      <c r="D7809" s="3"/>
    </row>
    <row r="7810" spans="1:4">
      <c r="A7810" s="691"/>
      <c r="D7810" s="3"/>
    </row>
    <row r="7811" spans="1:4">
      <c r="A7811" s="691"/>
      <c r="D7811" s="3"/>
    </row>
    <row r="7812" spans="1:4">
      <c r="A7812" s="691"/>
      <c r="D7812" s="3"/>
    </row>
    <row r="7813" spans="1:4">
      <c r="A7813" s="691"/>
      <c r="D7813" s="3"/>
    </row>
    <row r="7814" spans="1:4">
      <c r="A7814" s="691"/>
      <c r="D7814" s="3"/>
    </row>
    <row r="7815" spans="1:4">
      <c r="A7815" s="691"/>
      <c r="D7815" s="3"/>
    </row>
    <row r="7816" spans="1:4">
      <c r="A7816" s="691"/>
      <c r="D7816" s="3"/>
    </row>
    <row r="7817" spans="1:4">
      <c r="A7817" s="691"/>
      <c r="D7817" s="3"/>
    </row>
    <row r="7818" spans="1:4">
      <c r="A7818" s="691"/>
      <c r="D7818" s="3"/>
    </row>
    <row r="7819" spans="1:4">
      <c r="A7819" s="691"/>
      <c r="D7819" s="3"/>
    </row>
    <row r="7820" spans="1:4">
      <c r="A7820" s="691"/>
      <c r="D7820" s="3"/>
    </row>
    <row r="7821" spans="1:4">
      <c r="A7821" s="691"/>
      <c r="D7821" s="3"/>
    </row>
    <row r="7822" spans="1:4">
      <c r="A7822" s="691"/>
      <c r="D7822" s="3"/>
    </row>
    <row r="7823" spans="1:4">
      <c r="A7823" s="691"/>
      <c r="D7823" s="3"/>
    </row>
    <row r="7824" spans="1:4">
      <c r="A7824" s="691"/>
      <c r="D7824" s="3"/>
    </row>
    <row r="7825" spans="1:4">
      <c r="A7825" s="691"/>
      <c r="D7825" s="3"/>
    </row>
    <row r="7826" spans="1:4">
      <c r="A7826" s="691"/>
      <c r="D7826" s="3"/>
    </row>
    <row r="7827" spans="1:4">
      <c r="A7827" s="691"/>
      <c r="D7827" s="3"/>
    </row>
    <row r="7828" spans="1:4">
      <c r="A7828" s="691"/>
      <c r="D7828" s="3"/>
    </row>
    <row r="7829" spans="1:4">
      <c r="A7829" s="691"/>
      <c r="D7829" s="3"/>
    </row>
    <row r="7830" spans="1:4">
      <c r="A7830" s="691"/>
      <c r="D7830" s="3"/>
    </row>
    <row r="7831" spans="1:4">
      <c r="A7831" s="691"/>
      <c r="D7831" s="3"/>
    </row>
    <row r="7832" spans="1:4">
      <c r="A7832" s="691"/>
      <c r="D7832" s="3"/>
    </row>
    <row r="7833" spans="1:4">
      <c r="A7833" s="691"/>
      <c r="D7833" s="3"/>
    </row>
    <row r="7834" spans="1:4">
      <c r="A7834" s="691"/>
      <c r="D7834" s="3"/>
    </row>
    <row r="7835" spans="1:4">
      <c r="A7835" s="691"/>
      <c r="D7835" s="3"/>
    </row>
    <row r="7836" spans="1:4">
      <c r="A7836" s="691"/>
      <c r="D7836" s="3"/>
    </row>
    <row r="7837" spans="1:4">
      <c r="A7837" s="691"/>
      <c r="D7837" s="3"/>
    </row>
    <row r="7838" spans="1:4">
      <c r="A7838" s="691"/>
      <c r="D7838" s="3"/>
    </row>
    <row r="7839" spans="1:4">
      <c r="A7839" s="691"/>
      <c r="D7839" s="3"/>
    </row>
    <row r="7840" spans="1:4">
      <c r="A7840" s="691"/>
      <c r="D7840" s="3"/>
    </row>
    <row r="7841" spans="1:4">
      <c r="A7841" s="691"/>
      <c r="D7841" s="3"/>
    </row>
    <row r="7842" spans="1:4">
      <c r="A7842" s="691"/>
      <c r="D7842" s="3"/>
    </row>
    <row r="7843" spans="1:4">
      <c r="A7843" s="691"/>
      <c r="D7843" s="3"/>
    </row>
    <row r="7844" spans="1:4">
      <c r="A7844" s="691"/>
      <c r="D7844" s="3"/>
    </row>
    <row r="7845" spans="1:4">
      <c r="A7845" s="691"/>
      <c r="D7845" s="3"/>
    </row>
    <row r="7846" spans="1:4">
      <c r="A7846" s="691"/>
      <c r="D7846" s="3"/>
    </row>
    <row r="7847" spans="1:4">
      <c r="A7847" s="691"/>
      <c r="D7847" s="3"/>
    </row>
    <row r="7848" spans="1:4">
      <c r="A7848" s="691"/>
      <c r="D7848" s="3"/>
    </row>
    <row r="7849" spans="1:4">
      <c r="A7849" s="691"/>
      <c r="D7849" s="3"/>
    </row>
    <row r="7850" spans="1:4">
      <c r="A7850" s="691"/>
      <c r="D7850" s="3"/>
    </row>
    <row r="7851" spans="1:4">
      <c r="A7851" s="691"/>
      <c r="D7851" s="3"/>
    </row>
    <row r="7852" spans="1:4">
      <c r="A7852" s="691"/>
      <c r="D7852" s="3"/>
    </row>
    <row r="7853" spans="1:4">
      <c r="A7853" s="691"/>
      <c r="D7853" s="3"/>
    </row>
    <row r="7854" spans="1:4">
      <c r="A7854" s="691"/>
      <c r="D7854" s="3"/>
    </row>
    <row r="7855" spans="1:4">
      <c r="A7855" s="691"/>
      <c r="D7855" s="3"/>
    </row>
    <row r="7856" spans="1:4">
      <c r="A7856" s="691"/>
      <c r="D7856" s="3"/>
    </row>
    <row r="7857" spans="1:4">
      <c r="A7857" s="691"/>
      <c r="D7857" s="3"/>
    </row>
    <row r="7858" spans="1:4">
      <c r="A7858" s="691"/>
      <c r="D7858" s="3"/>
    </row>
    <row r="7859" spans="1:4">
      <c r="A7859" s="691"/>
      <c r="D7859" s="3"/>
    </row>
    <row r="7860" spans="1:4">
      <c r="A7860" s="691"/>
      <c r="D7860" s="3"/>
    </row>
    <row r="7861" spans="1:4">
      <c r="A7861" s="691"/>
      <c r="D7861" s="3"/>
    </row>
    <row r="7862" spans="1:4">
      <c r="A7862" s="691"/>
      <c r="D7862" s="3"/>
    </row>
    <row r="7863" spans="1:4">
      <c r="A7863" s="691"/>
      <c r="D7863" s="3"/>
    </row>
    <row r="7864" spans="1:4">
      <c r="A7864" s="691"/>
      <c r="D7864" s="3"/>
    </row>
    <row r="7865" spans="1:4">
      <c r="A7865" s="691"/>
      <c r="D7865" s="3"/>
    </row>
    <row r="7866" spans="1:4">
      <c r="A7866" s="691"/>
      <c r="D7866" s="3"/>
    </row>
    <row r="7867" spans="1:4">
      <c r="A7867" s="691"/>
      <c r="D7867" s="3"/>
    </row>
    <row r="7868" spans="1:4">
      <c r="A7868" s="691"/>
      <c r="D7868" s="3"/>
    </row>
    <row r="7869" spans="1:4">
      <c r="A7869" s="691"/>
      <c r="D7869" s="3"/>
    </row>
    <row r="7870" spans="1:4">
      <c r="A7870" s="691"/>
      <c r="D7870" s="3"/>
    </row>
    <row r="7871" spans="1:4">
      <c r="A7871" s="691"/>
      <c r="D7871" s="3"/>
    </row>
    <row r="7872" spans="1:4">
      <c r="A7872" s="691"/>
      <c r="D7872" s="3"/>
    </row>
    <row r="7873" spans="1:4">
      <c r="A7873" s="691"/>
      <c r="D7873" s="3"/>
    </row>
    <row r="7874" spans="1:4">
      <c r="A7874" s="691"/>
      <c r="D7874" s="3"/>
    </row>
    <row r="7875" spans="1:4">
      <c r="A7875" s="691"/>
      <c r="D7875" s="3"/>
    </row>
    <row r="7876" spans="1:4">
      <c r="A7876" s="691"/>
      <c r="D7876" s="3"/>
    </row>
    <row r="7877" spans="1:4">
      <c r="A7877" s="691"/>
      <c r="D7877" s="3"/>
    </row>
    <row r="7878" spans="1:4">
      <c r="A7878" s="691"/>
      <c r="D7878" s="3"/>
    </row>
    <row r="7879" spans="1:4">
      <c r="A7879" s="691"/>
      <c r="D7879" s="3"/>
    </row>
    <row r="7880" spans="1:4">
      <c r="A7880" s="691"/>
      <c r="D7880" s="3"/>
    </row>
    <row r="7881" spans="1:4">
      <c r="A7881" s="691"/>
      <c r="D7881" s="3"/>
    </row>
    <row r="7882" spans="1:4">
      <c r="A7882" s="691"/>
      <c r="D7882" s="3"/>
    </row>
    <row r="7883" spans="1:4">
      <c r="A7883" s="691"/>
      <c r="D7883" s="3"/>
    </row>
    <row r="7884" spans="1:4">
      <c r="A7884" s="691"/>
      <c r="D7884" s="3"/>
    </row>
    <row r="7885" spans="1:4">
      <c r="A7885" s="691"/>
      <c r="D7885" s="3"/>
    </row>
    <row r="7886" spans="1:4">
      <c r="A7886" s="691"/>
      <c r="D7886" s="3"/>
    </row>
    <row r="7887" spans="1:4">
      <c r="A7887" s="691"/>
      <c r="D7887" s="3"/>
    </row>
    <row r="7888" spans="1:4">
      <c r="A7888" s="691"/>
      <c r="D7888" s="3"/>
    </row>
    <row r="7889" spans="1:4">
      <c r="A7889" s="691"/>
      <c r="D7889" s="3"/>
    </row>
    <row r="7890" spans="1:4">
      <c r="A7890" s="691"/>
      <c r="D7890" s="3"/>
    </row>
    <row r="7891" spans="1:4">
      <c r="A7891" s="691"/>
      <c r="D7891" s="3"/>
    </row>
    <row r="7892" spans="1:4">
      <c r="A7892" s="691"/>
      <c r="D7892" s="3"/>
    </row>
    <row r="7893" spans="1:4">
      <c r="A7893" s="691"/>
      <c r="D7893" s="3"/>
    </row>
    <row r="7894" spans="1:4">
      <c r="A7894" s="691"/>
      <c r="D7894" s="3"/>
    </row>
    <row r="7895" spans="1:4">
      <c r="A7895" s="691"/>
      <c r="D7895" s="3"/>
    </row>
    <row r="7896" spans="1:4">
      <c r="A7896" s="691"/>
      <c r="D7896" s="3"/>
    </row>
    <row r="7897" spans="1:4">
      <c r="A7897" s="691"/>
      <c r="D7897" s="3"/>
    </row>
    <row r="7898" spans="1:4">
      <c r="A7898" s="691"/>
      <c r="D7898" s="3"/>
    </row>
    <row r="7899" spans="1:4">
      <c r="A7899" s="691"/>
      <c r="D7899" s="3"/>
    </row>
    <row r="7900" spans="1:4">
      <c r="A7900" s="691"/>
      <c r="D7900" s="3"/>
    </row>
    <row r="7901" spans="1:4">
      <c r="A7901" s="691"/>
      <c r="D7901" s="3"/>
    </row>
    <row r="7902" spans="1:4">
      <c r="A7902" s="691"/>
      <c r="D7902" s="3"/>
    </row>
    <row r="7903" spans="1:4">
      <c r="A7903" s="691"/>
      <c r="D7903" s="3"/>
    </row>
    <row r="7904" spans="1:4">
      <c r="A7904" s="691"/>
      <c r="D7904" s="3"/>
    </row>
    <row r="7905" spans="1:4">
      <c r="A7905" s="691"/>
      <c r="D7905" s="3"/>
    </row>
    <row r="7906" spans="1:4">
      <c r="A7906" s="691"/>
      <c r="D7906" s="3"/>
    </row>
    <row r="7907" spans="1:4">
      <c r="A7907" s="691"/>
      <c r="D7907" s="3"/>
    </row>
    <row r="7908" spans="1:4">
      <c r="A7908" s="691"/>
      <c r="D7908" s="3"/>
    </row>
    <row r="7909" spans="1:4">
      <c r="A7909" s="691"/>
      <c r="D7909" s="3"/>
    </row>
    <row r="7910" spans="1:4">
      <c r="A7910" s="691"/>
      <c r="D7910" s="3"/>
    </row>
    <row r="7911" spans="1:4">
      <c r="A7911" s="691"/>
      <c r="D7911" s="3"/>
    </row>
    <row r="7912" spans="1:4">
      <c r="A7912" s="691"/>
      <c r="D7912" s="3"/>
    </row>
    <row r="7913" spans="1:4">
      <c r="A7913" s="691"/>
      <c r="D7913" s="3"/>
    </row>
    <row r="7914" spans="1:4">
      <c r="A7914" s="691"/>
      <c r="D7914" s="3"/>
    </row>
    <row r="7915" spans="1:4">
      <c r="A7915" s="691"/>
      <c r="D7915" s="3"/>
    </row>
    <row r="7916" spans="1:4">
      <c r="A7916" s="691"/>
      <c r="D7916" s="3"/>
    </row>
    <row r="7917" spans="1:4">
      <c r="A7917" s="691"/>
      <c r="D7917" s="3"/>
    </row>
    <row r="7918" spans="1:4">
      <c r="A7918" s="691"/>
      <c r="D7918" s="3"/>
    </row>
    <row r="7919" spans="1:4">
      <c r="A7919" s="691"/>
      <c r="D7919" s="3"/>
    </row>
    <row r="7920" spans="1:4">
      <c r="A7920" s="691"/>
      <c r="D7920" s="3"/>
    </row>
    <row r="7921" spans="1:4">
      <c r="A7921" s="691"/>
      <c r="D7921" s="3"/>
    </row>
    <row r="7922" spans="1:4">
      <c r="A7922" s="691"/>
      <c r="D7922" s="3"/>
    </row>
    <row r="7923" spans="1:4">
      <c r="A7923" s="691"/>
      <c r="D7923" s="3"/>
    </row>
    <row r="7924" spans="1:4">
      <c r="A7924" s="691"/>
      <c r="D7924" s="3"/>
    </row>
    <row r="7925" spans="1:4">
      <c r="A7925" s="691"/>
      <c r="D7925" s="3"/>
    </row>
    <row r="7926" spans="1:4">
      <c r="A7926" s="691"/>
      <c r="D7926" s="3"/>
    </row>
    <row r="7927" spans="1:4">
      <c r="A7927" s="691"/>
      <c r="D7927" s="3"/>
    </row>
    <row r="7928" spans="1:4">
      <c r="A7928" s="691"/>
      <c r="D7928" s="3"/>
    </row>
    <row r="7929" spans="1:4">
      <c r="A7929" s="691"/>
      <c r="D7929" s="3"/>
    </row>
    <row r="7930" spans="1:4">
      <c r="A7930" s="691"/>
      <c r="D7930" s="3"/>
    </row>
    <row r="7931" spans="1:4">
      <c r="A7931" s="691"/>
      <c r="D7931" s="3"/>
    </row>
    <row r="7932" spans="1:4">
      <c r="A7932" s="691"/>
      <c r="D7932" s="3"/>
    </row>
    <row r="7933" spans="1:4">
      <c r="A7933" s="691"/>
      <c r="D7933" s="3"/>
    </row>
    <row r="7934" spans="1:4">
      <c r="A7934" s="691"/>
      <c r="D7934" s="3"/>
    </row>
    <row r="7935" spans="1:4">
      <c r="A7935" s="691"/>
      <c r="D7935" s="3"/>
    </row>
    <row r="7936" spans="1:4">
      <c r="A7936" s="691"/>
      <c r="D7936" s="3"/>
    </row>
    <row r="7937" spans="1:4">
      <c r="A7937" s="691"/>
      <c r="D7937" s="3"/>
    </row>
    <row r="7938" spans="1:4">
      <c r="A7938" s="691"/>
      <c r="D7938" s="3"/>
    </row>
    <row r="7939" spans="1:4">
      <c r="A7939" s="691"/>
      <c r="D7939" s="3"/>
    </row>
    <row r="7940" spans="1:4">
      <c r="A7940" s="691"/>
      <c r="D7940" s="3"/>
    </row>
    <row r="7941" spans="1:4">
      <c r="A7941" s="691"/>
      <c r="D7941" s="3"/>
    </row>
    <row r="7942" spans="1:4">
      <c r="A7942" s="691"/>
      <c r="D7942" s="3"/>
    </row>
    <row r="7943" spans="1:4">
      <c r="A7943" s="691"/>
      <c r="D7943" s="3"/>
    </row>
    <row r="7944" spans="1:4">
      <c r="A7944" s="691"/>
      <c r="D7944" s="3"/>
    </row>
    <row r="7945" spans="1:4">
      <c r="A7945" s="691"/>
      <c r="D7945" s="3"/>
    </row>
    <row r="7946" spans="1:4">
      <c r="A7946" s="691"/>
      <c r="D7946" s="3"/>
    </row>
    <row r="7947" spans="1:4">
      <c r="A7947" s="691"/>
      <c r="D7947" s="3"/>
    </row>
    <row r="7948" spans="1:4">
      <c r="A7948" s="691"/>
      <c r="D7948" s="3"/>
    </row>
    <row r="7949" spans="1:4">
      <c r="A7949" s="691"/>
      <c r="D7949" s="3"/>
    </row>
    <row r="7950" spans="1:4">
      <c r="A7950" s="691"/>
      <c r="D7950" s="3"/>
    </row>
    <row r="7951" spans="1:4">
      <c r="A7951" s="691"/>
      <c r="D7951" s="3"/>
    </row>
    <row r="7952" spans="1:4">
      <c r="A7952" s="691"/>
      <c r="D7952" s="3"/>
    </row>
    <row r="7953" spans="1:4">
      <c r="A7953" s="691"/>
      <c r="D7953" s="3"/>
    </row>
    <row r="7954" spans="1:4">
      <c r="A7954" s="691"/>
      <c r="D7954" s="3"/>
    </row>
    <row r="7955" spans="1:4">
      <c r="A7955" s="691"/>
      <c r="D7955" s="3"/>
    </row>
    <row r="7956" spans="1:4">
      <c r="A7956" s="691"/>
      <c r="D7956" s="3"/>
    </row>
    <row r="7957" spans="1:4">
      <c r="A7957" s="691"/>
      <c r="D7957" s="3"/>
    </row>
    <row r="7958" spans="1:4">
      <c r="A7958" s="691"/>
      <c r="D7958" s="3"/>
    </row>
    <row r="7959" spans="1:4">
      <c r="A7959" s="691"/>
      <c r="D7959" s="3"/>
    </row>
    <row r="7960" spans="1:4">
      <c r="A7960" s="691"/>
      <c r="D7960" s="3"/>
    </row>
    <row r="7961" spans="1:4">
      <c r="A7961" s="691"/>
      <c r="D7961" s="3"/>
    </row>
    <row r="7962" spans="1:4">
      <c r="A7962" s="691"/>
      <c r="D7962" s="3"/>
    </row>
    <row r="7963" spans="1:4">
      <c r="A7963" s="691"/>
      <c r="D7963" s="3"/>
    </row>
    <row r="7964" spans="1:4">
      <c r="A7964" s="691"/>
      <c r="D7964" s="3"/>
    </row>
    <row r="7965" spans="1:4">
      <c r="A7965" s="691"/>
      <c r="D7965" s="3"/>
    </row>
    <row r="7966" spans="1:4">
      <c r="A7966" s="691"/>
      <c r="D7966" s="3"/>
    </row>
    <row r="7967" spans="1:4">
      <c r="A7967" s="691"/>
      <c r="D7967" s="3"/>
    </row>
    <row r="7968" spans="1:4">
      <c r="A7968" s="691"/>
      <c r="D7968" s="3"/>
    </row>
    <row r="7969" spans="1:4">
      <c r="A7969" s="691"/>
      <c r="D7969" s="3"/>
    </row>
    <row r="7970" spans="1:4">
      <c r="A7970" s="691"/>
      <c r="D7970" s="3"/>
    </row>
    <row r="7971" spans="1:4">
      <c r="A7971" s="691"/>
      <c r="D7971" s="3"/>
    </row>
    <row r="7972" spans="1:4">
      <c r="A7972" s="691"/>
      <c r="D7972" s="3"/>
    </row>
    <row r="7973" spans="1:4">
      <c r="A7973" s="691"/>
      <c r="D7973" s="3"/>
    </row>
    <row r="7974" spans="1:4">
      <c r="A7974" s="691"/>
      <c r="D7974" s="3"/>
    </row>
    <row r="7975" spans="1:4">
      <c r="A7975" s="691"/>
      <c r="D7975" s="3"/>
    </row>
    <row r="7976" spans="1:4">
      <c r="A7976" s="691"/>
      <c r="D7976" s="3"/>
    </row>
    <row r="7977" spans="1:4">
      <c r="A7977" s="691"/>
      <c r="D7977" s="3"/>
    </row>
    <row r="7978" spans="1:4">
      <c r="A7978" s="691"/>
      <c r="D7978" s="3"/>
    </row>
    <row r="7979" spans="1:4">
      <c r="A7979" s="691"/>
      <c r="D7979" s="3"/>
    </row>
    <row r="7980" spans="1:4">
      <c r="A7980" s="691"/>
      <c r="D7980" s="3"/>
    </row>
    <row r="7981" spans="1:4">
      <c r="A7981" s="691"/>
      <c r="D7981" s="3"/>
    </row>
    <row r="7982" spans="1:4">
      <c r="A7982" s="691"/>
      <c r="D7982" s="3"/>
    </row>
    <row r="7983" spans="1:4">
      <c r="A7983" s="691"/>
      <c r="D7983" s="3"/>
    </row>
    <row r="7984" spans="1:4">
      <c r="A7984" s="691"/>
      <c r="D7984" s="3"/>
    </row>
    <row r="7985" spans="1:4">
      <c r="A7985" s="691"/>
      <c r="D7985" s="3"/>
    </row>
    <row r="7986" spans="1:4">
      <c r="A7986" s="691"/>
      <c r="D7986" s="3"/>
    </row>
    <row r="7987" spans="1:4">
      <c r="A7987" s="691"/>
      <c r="D7987" s="3"/>
    </row>
    <row r="7988" spans="1:4">
      <c r="A7988" s="691"/>
      <c r="D7988" s="3"/>
    </row>
    <row r="7989" spans="1:4">
      <c r="A7989" s="691"/>
      <c r="D7989" s="3"/>
    </row>
    <row r="7990" spans="1:4">
      <c r="A7990" s="691"/>
      <c r="D7990" s="3"/>
    </row>
    <row r="7991" spans="1:4">
      <c r="A7991" s="691"/>
      <c r="D7991" s="3"/>
    </row>
    <row r="7992" spans="1:4">
      <c r="A7992" s="691"/>
      <c r="D7992" s="3"/>
    </row>
    <row r="7993" spans="1:4">
      <c r="A7993" s="691"/>
      <c r="D7993" s="3"/>
    </row>
    <row r="7994" spans="1:4">
      <c r="A7994" s="691"/>
      <c r="D7994" s="3"/>
    </row>
    <row r="7995" spans="1:4">
      <c r="A7995" s="691"/>
      <c r="D7995" s="3"/>
    </row>
    <row r="7996" spans="1:4">
      <c r="A7996" s="691"/>
      <c r="D7996" s="3"/>
    </row>
    <row r="7997" spans="1:4">
      <c r="A7997" s="691"/>
      <c r="D7997" s="3"/>
    </row>
    <row r="7998" spans="1:4">
      <c r="A7998" s="691"/>
      <c r="D7998" s="3"/>
    </row>
    <row r="7999" spans="1:4">
      <c r="A7999" s="691"/>
      <c r="D7999" s="3"/>
    </row>
    <row r="8000" spans="1:4">
      <c r="A8000" s="691"/>
      <c r="D8000" s="3"/>
    </row>
    <row r="8001" spans="1:4">
      <c r="A8001" s="691"/>
      <c r="D8001" s="3"/>
    </row>
    <row r="8002" spans="1:4">
      <c r="A8002" s="691"/>
      <c r="D8002" s="3"/>
    </row>
    <row r="8003" spans="1:4">
      <c r="A8003" s="691"/>
      <c r="D8003" s="3"/>
    </row>
    <row r="8004" spans="1:4">
      <c r="A8004" s="691"/>
      <c r="D8004" s="3"/>
    </row>
    <row r="8005" spans="1:4">
      <c r="A8005" s="691"/>
      <c r="D8005" s="3"/>
    </row>
    <row r="8006" spans="1:4">
      <c r="A8006" s="691"/>
      <c r="D8006" s="3"/>
    </row>
    <row r="8007" spans="1:4">
      <c r="A8007" s="691"/>
      <c r="D8007" s="3"/>
    </row>
    <row r="8008" spans="1:4">
      <c r="A8008" s="691"/>
      <c r="D8008" s="3"/>
    </row>
    <row r="8009" spans="1:4">
      <c r="A8009" s="691"/>
      <c r="D8009" s="3"/>
    </row>
    <row r="8010" spans="1:4">
      <c r="A8010" s="691"/>
      <c r="D8010" s="3"/>
    </row>
    <row r="8011" spans="1:4">
      <c r="A8011" s="691"/>
      <c r="D8011" s="3"/>
    </row>
    <row r="8012" spans="1:4">
      <c r="A8012" s="691"/>
      <c r="D8012" s="3"/>
    </row>
    <row r="8013" spans="1:4">
      <c r="A8013" s="691"/>
      <c r="D8013" s="3"/>
    </row>
    <row r="8014" spans="1:4">
      <c r="A8014" s="691"/>
      <c r="D8014" s="3"/>
    </row>
    <row r="8015" spans="1:4">
      <c r="A8015" s="691"/>
      <c r="D8015" s="3"/>
    </row>
    <row r="8016" spans="1:4">
      <c r="A8016" s="691"/>
      <c r="D8016" s="3"/>
    </row>
    <row r="8017" spans="1:4">
      <c r="A8017" s="691"/>
      <c r="D8017" s="3"/>
    </row>
    <row r="8018" spans="1:4">
      <c r="A8018" s="691"/>
      <c r="D8018" s="3"/>
    </row>
    <row r="8019" spans="1:4">
      <c r="A8019" s="691"/>
      <c r="D8019" s="3"/>
    </row>
    <row r="8020" spans="1:4">
      <c r="A8020" s="691"/>
      <c r="D8020" s="3"/>
    </row>
    <row r="8021" spans="1:4">
      <c r="A8021" s="691"/>
      <c r="D8021" s="3"/>
    </row>
    <row r="8022" spans="1:4">
      <c r="A8022" s="691"/>
      <c r="D8022" s="3"/>
    </row>
    <row r="8023" spans="1:4">
      <c r="A8023" s="691"/>
      <c r="D8023" s="3"/>
    </row>
    <row r="8024" spans="1:4">
      <c r="A8024" s="691"/>
      <c r="D8024" s="3"/>
    </row>
    <row r="8025" spans="1:4">
      <c r="A8025" s="691"/>
      <c r="D8025" s="3"/>
    </row>
    <row r="8026" spans="1:4">
      <c r="A8026" s="691"/>
      <c r="D8026" s="3"/>
    </row>
    <row r="8027" spans="1:4">
      <c r="A8027" s="691"/>
      <c r="D8027" s="3"/>
    </row>
    <row r="8028" spans="1:4">
      <c r="A8028" s="691"/>
      <c r="D8028" s="3"/>
    </row>
    <row r="8029" spans="1:4">
      <c r="A8029" s="691"/>
      <c r="D8029" s="3"/>
    </row>
    <row r="8030" spans="1:4">
      <c r="A8030" s="691"/>
      <c r="D8030" s="3"/>
    </row>
    <row r="8031" spans="1:4">
      <c r="A8031" s="691"/>
      <c r="D8031" s="3"/>
    </row>
    <row r="8032" spans="1:4">
      <c r="A8032" s="691"/>
      <c r="D8032" s="3"/>
    </row>
    <row r="8033" spans="1:4">
      <c r="A8033" s="691"/>
      <c r="D8033" s="3"/>
    </row>
    <row r="8034" spans="1:4">
      <c r="A8034" s="691"/>
      <c r="D8034" s="3"/>
    </row>
    <row r="8035" spans="1:4">
      <c r="A8035" s="691"/>
      <c r="D8035" s="3"/>
    </row>
    <row r="8036" spans="1:4">
      <c r="A8036" s="691"/>
      <c r="D8036" s="3"/>
    </row>
    <row r="8037" spans="1:4">
      <c r="A8037" s="691"/>
      <c r="D8037" s="3"/>
    </row>
    <row r="8038" spans="1:4">
      <c r="A8038" s="691"/>
      <c r="D8038" s="3"/>
    </row>
    <row r="8039" spans="1:4">
      <c r="A8039" s="691"/>
      <c r="D8039" s="3"/>
    </row>
    <row r="8040" spans="1:4">
      <c r="A8040" s="691"/>
      <c r="D8040" s="3"/>
    </row>
    <row r="8041" spans="1:4">
      <c r="A8041" s="691"/>
      <c r="D8041" s="3"/>
    </row>
    <row r="8042" spans="1:4">
      <c r="A8042" s="691"/>
      <c r="D8042" s="3"/>
    </row>
    <row r="8043" spans="1:4">
      <c r="A8043" s="691"/>
      <c r="D8043" s="3"/>
    </row>
    <row r="8044" spans="1:4">
      <c r="A8044" s="691"/>
      <c r="D8044" s="3"/>
    </row>
    <row r="8045" spans="1:4">
      <c r="A8045" s="691"/>
      <c r="D8045" s="3"/>
    </row>
    <row r="8046" spans="1:4">
      <c r="A8046" s="691"/>
      <c r="D8046" s="3"/>
    </row>
    <row r="8047" spans="1:4">
      <c r="A8047" s="691"/>
      <c r="D8047" s="3"/>
    </row>
    <row r="8048" spans="1:4">
      <c r="A8048" s="691"/>
      <c r="D8048" s="3"/>
    </row>
    <row r="8049" spans="1:4">
      <c r="A8049" s="691"/>
      <c r="D8049" s="3"/>
    </row>
    <row r="8050" spans="1:4">
      <c r="A8050" s="691"/>
      <c r="D8050" s="3"/>
    </row>
    <row r="8051" spans="1:4">
      <c r="A8051" s="691"/>
      <c r="D8051" s="3"/>
    </row>
    <row r="8052" spans="1:4">
      <c r="A8052" s="691"/>
      <c r="D8052" s="3"/>
    </row>
    <row r="8053" spans="1:4">
      <c r="A8053" s="691"/>
      <c r="D8053" s="3"/>
    </row>
    <row r="8054" spans="1:4">
      <c r="A8054" s="691"/>
      <c r="D8054" s="3"/>
    </row>
    <row r="8055" spans="1:4">
      <c r="A8055" s="691"/>
      <c r="D8055" s="3"/>
    </row>
    <row r="8056" spans="1:4">
      <c r="A8056" s="691"/>
      <c r="D8056" s="3"/>
    </row>
    <row r="8057" spans="1:4">
      <c r="A8057" s="691"/>
      <c r="D8057" s="3"/>
    </row>
    <row r="8058" spans="1:4">
      <c r="A8058" s="691"/>
      <c r="D8058" s="3"/>
    </row>
    <row r="8059" spans="1:4">
      <c r="A8059" s="691"/>
      <c r="D8059" s="3"/>
    </row>
    <row r="8060" spans="1:4">
      <c r="A8060" s="691"/>
      <c r="D8060" s="3"/>
    </row>
    <row r="8061" spans="1:4">
      <c r="A8061" s="691"/>
      <c r="D8061" s="3"/>
    </row>
    <row r="8062" spans="1:4">
      <c r="A8062" s="691"/>
      <c r="D8062" s="3"/>
    </row>
    <row r="8063" spans="1:4">
      <c r="A8063" s="691"/>
      <c r="D8063" s="3"/>
    </row>
    <row r="8064" spans="1:4">
      <c r="A8064" s="691"/>
      <c r="D8064" s="3"/>
    </row>
    <row r="8065" spans="1:4">
      <c r="A8065" s="691"/>
      <c r="D8065" s="3"/>
    </row>
    <row r="8066" spans="1:4">
      <c r="A8066" s="691"/>
      <c r="D8066" s="3"/>
    </row>
    <row r="8067" spans="1:4">
      <c r="A8067" s="691"/>
      <c r="D8067" s="3"/>
    </row>
    <row r="8068" spans="1:4">
      <c r="A8068" s="691"/>
      <c r="D8068" s="3"/>
    </row>
    <row r="8069" spans="1:4">
      <c r="A8069" s="691"/>
      <c r="D8069" s="3"/>
    </row>
    <row r="8070" spans="1:4">
      <c r="A8070" s="691"/>
      <c r="D8070" s="3"/>
    </row>
    <row r="8071" spans="1:4">
      <c r="A8071" s="691"/>
      <c r="D8071" s="3"/>
    </row>
    <row r="8072" spans="1:4">
      <c r="A8072" s="691"/>
      <c r="D8072" s="3"/>
    </row>
    <row r="8073" spans="1:4">
      <c r="A8073" s="691"/>
      <c r="D8073" s="3"/>
    </row>
    <row r="8074" spans="1:4">
      <c r="A8074" s="691"/>
      <c r="D8074" s="3"/>
    </row>
    <row r="8075" spans="1:4">
      <c r="A8075" s="691"/>
      <c r="D8075" s="3"/>
    </row>
    <row r="8076" spans="1:4">
      <c r="A8076" s="691"/>
      <c r="D8076" s="3"/>
    </row>
    <row r="8077" spans="1:4">
      <c r="A8077" s="691"/>
      <c r="D8077" s="3"/>
    </row>
    <row r="8078" spans="1:4">
      <c r="A8078" s="691"/>
      <c r="D8078" s="3"/>
    </row>
    <row r="8079" spans="1:4">
      <c r="A8079" s="691"/>
      <c r="D8079" s="3"/>
    </row>
    <row r="8080" spans="1:4">
      <c r="A8080" s="691"/>
      <c r="D8080" s="3"/>
    </row>
    <row r="8081" spans="1:4">
      <c r="A8081" s="691"/>
      <c r="D8081" s="3"/>
    </row>
    <row r="8082" spans="1:4">
      <c r="A8082" s="691"/>
      <c r="D8082" s="3"/>
    </row>
    <row r="8083" spans="1:4">
      <c r="A8083" s="691"/>
      <c r="D8083" s="3"/>
    </row>
    <row r="8084" spans="1:4">
      <c r="A8084" s="691"/>
      <c r="D8084" s="3"/>
    </row>
    <row r="8085" spans="1:4">
      <c r="A8085" s="691"/>
      <c r="D8085" s="3"/>
    </row>
    <row r="8086" spans="1:4">
      <c r="A8086" s="691"/>
      <c r="D8086" s="3"/>
    </row>
    <row r="8087" spans="1:4">
      <c r="A8087" s="691"/>
      <c r="D8087" s="3"/>
    </row>
    <row r="8088" spans="1:4">
      <c r="A8088" s="691"/>
      <c r="D8088" s="3"/>
    </row>
    <row r="8089" spans="1:4">
      <c r="A8089" s="691"/>
      <c r="D8089" s="3"/>
    </row>
    <row r="8090" spans="1:4">
      <c r="A8090" s="691"/>
      <c r="D8090" s="3"/>
    </row>
    <row r="8091" spans="1:4">
      <c r="A8091" s="691"/>
      <c r="D8091" s="3"/>
    </row>
    <row r="8092" spans="1:4">
      <c r="A8092" s="691"/>
      <c r="D8092" s="3"/>
    </row>
    <row r="8093" spans="1:4">
      <c r="A8093" s="691"/>
      <c r="D8093" s="3"/>
    </row>
    <row r="8094" spans="1:4">
      <c r="A8094" s="691"/>
      <c r="D8094" s="3"/>
    </row>
    <row r="8095" spans="1:4">
      <c r="A8095" s="691"/>
      <c r="D8095" s="3"/>
    </row>
    <row r="8096" spans="1:4">
      <c r="A8096" s="691"/>
      <c r="D8096" s="3"/>
    </row>
    <row r="8097" spans="1:4">
      <c r="A8097" s="691"/>
      <c r="D8097" s="3"/>
    </row>
    <row r="8098" spans="1:4">
      <c r="A8098" s="691"/>
      <c r="D8098" s="3"/>
    </row>
    <row r="8099" spans="1:4">
      <c r="A8099" s="691"/>
      <c r="D8099" s="3"/>
    </row>
    <row r="8100" spans="1:4">
      <c r="A8100" s="691"/>
      <c r="D8100" s="3"/>
    </row>
    <row r="8101" spans="1:4">
      <c r="A8101" s="691"/>
      <c r="D8101" s="3"/>
    </row>
    <row r="8102" spans="1:4">
      <c r="A8102" s="691"/>
      <c r="D8102" s="3"/>
    </row>
    <row r="8103" spans="1:4">
      <c r="A8103" s="691"/>
      <c r="D8103" s="3"/>
    </row>
    <row r="8104" spans="1:4">
      <c r="A8104" s="691"/>
      <c r="D8104" s="3"/>
    </row>
    <row r="8105" spans="1:4">
      <c r="A8105" s="691"/>
      <c r="D8105" s="3"/>
    </row>
    <row r="8106" spans="1:4">
      <c r="A8106" s="691"/>
      <c r="D8106" s="3"/>
    </row>
    <row r="8107" spans="1:4">
      <c r="A8107" s="691"/>
      <c r="D8107" s="3"/>
    </row>
    <row r="8108" spans="1:4">
      <c r="A8108" s="691"/>
      <c r="D8108" s="3"/>
    </row>
    <row r="8109" spans="1:4">
      <c r="A8109" s="691"/>
      <c r="D8109" s="3"/>
    </row>
    <row r="8110" spans="1:4">
      <c r="A8110" s="691"/>
      <c r="D8110" s="3"/>
    </row>
    <row r="8111" spans="1:4">
      <c r="A8111" s="691"/>
      <c r="D8111" s="3"/>
    </row>
    <row r="8112" spans="1:4">
      <c r="A8112" s="691"/>
      <c r="D8112" s="3"/>
    </row>
    <row r="8113" spans="1:4">
      <c r="A8113" s="691"/>
      <c r="D8113" s="3"/>
    </row>
    <row r="8114" spans="1:4">
      <c r="A8114" s="691"/>
      <c r="D8114" s="3"/>
    </row>
    <row r="8115" spans="1:4">
      <c r="A8115" s="691"/>
      <c r="D8115" s="3"/>
    </row>
    <row r="8116" spans="1:4">
      <c r="A8116" s="691"/>
      <c r="D8116" s="3"/>
    </row>
    <row r="8117" spans="1:4">
      <c r="A8117" s="691"/>
      <c r="D8117" s="3"/>
    </row>
    <row r="8118" spans="1:4">
      <c r="A8118" s="691"/>
      <c r="D8118" s="3"/>
    </row>
    <row r="8119" spans="1:4">
      <c r="A8119" s="691"/>
      <c r="D8119" s="3"/>
    </row>
    <row r="8120" spans="1:4">
      <c r="A8120" s="691"/>
      <c r="D8120" s="3"/>
    </row>
    <row r="8121" spans="1:4">
      <c r="A8121" s="691"/>
      <c r="D8121" s="3"/>
    </row>
    <row r="8122" spans="1:4">
      <c r="A8122" s="691"/>
      <c r="D8122" s="3"/>
    </row>
    <row r="8123" spans="1:4">
      <c r="A8123" s="691"/>
      <c r="D8123" s="3"/>
    </row>
    <row r="8124" spans="1:4">
      <c r="A8124" s="691"/>
      <c r="D8124" s="3"/>
    </row>
    <row r="8125" spans="1:4">
      <c r="A8125" s="691"/>
      <c r="D8125" s="3"/>
    </row>
    <row r="8126" spans="1:4">
      <c r="A8126" s="691"/>
      <c r="D8126" s="3"/>
    </row>
    <row r="8127" spans="1:4">
      <c r="A8127" s="691"/>
      <c r="D8127" s="3"/>
    </row>
    <row r="8128" spans="1:4">
      <c r="A8128" s="691"/>
      <c r="D8128" s="3"/>
    </row>
    <row r="8129" spans="1:4">
      <c r="A8129" s="691"/>
      <c r="D8129" s="3"/>
    </row>
    <row r="8130" spans="1:4">
      <c r="A8130" s="691"/>
      <c r="D8130" s="3"/>
    </row>
    <row r="8131" spans="1:4">
      <c r="A8131" s="691"/>
      <c r="D8131" s="3"/>
    </row>
    <row r="8132" spans="1:4">
      <c r="A8132" s="691"/>
      <c r="D8132" s="3"/>
    </row>
    <row r="8133" spans="1:4">
      <c r="A8133" s="691"/>
      <c r="D8133" s="3"/>
    </row>
    <row r="8134" spans="1:4">
      <c r="A8134" s="691"/>
      <c r="D8134" s="3"/>
    </row>
    <row r="8135" spans="1:4">
      <c r="A8135" s="691"/>
      <c r="D8135" s="3"/>
    </row>
    <row r="8136" spans="1:4">
      <c r="A8136" s="691"/>
      <c r="D8136" s="3"/>
    </row>
    <row r="8137" spans="1:4">
      <c r="A8137" s="691"/>
      <c r="D8137" s="3"/>
    </row>
    <row r="8138" spans="1:4">
      <c r="A8138" s="691"/>
      <c r="D8138" s="3"/>
    </row>
    <row r="8139" spans="1:4">
      <c r="A8139" s="691"/>
      <c r="D8139" s="3"/>
    </row>
    <row r="8140" spans="1:4">
      <c r="A8140" s="691"/>
      <c r="D8140" s="3"/>
    </row>
    <row r="8141" spans="1:4">
      <c r="A8141" s="691"/>
      <c r="D8141" s="3"/>
    </row>
    <row r="8142" spans="1:4">
      <c r="A8142" s="691"/>
      <c r="D8142" s="3"/>
    </row>
    <row r="8143" spans="1:4">
      <c r="A8143" s="691"/>
      <c r="D8143" s="3"/>
    </row>
    <row r="8144" spans="1:4">
      <c r="A8144" s="691"/>
      <c r="D8144" s="3"/>
    </row>
    <row r="8145" spans="1:4">
      <c r="A8145" s="691"/>
      <c r="D8145" s="3"/>
    </row>
    <row r="8146" spans="1:4">
      <c r="A8146" s="691"/>
      <c r="D8146" s="3"/>
    </row>
    <row r="8147" spans="1:4">
      <c r="A8147" s="691"/>
      <c r="D8147" s="3"/>
    </row>
    <row r="8148" spans="1:4">
      <c r="A8148" s="691"/>
      <c r="D8148" s="3"/>
    </row>
    <row r="8149" spans="1:4">
      <c r="A8149" s="691"/>
      <c r="D8149" s="3"/>
    </row>
    <row r="8150" spans="1:4">
      <c r="A8150" s="691"/>
      <c r="D8150" s="3"/>
    </row>
    <row r="8151" spans="1:4">
      <c r="A8151" s="691"/>
      <c r="D8151" s="3"/>
    </row>
    <row r="8152" spans="1:4">
      <c r="A8152" s="691"/>
      <c r="D8152" s="3"/>
    </row>
    <row r="8153" spans="1:4">
      <c r="A8153" s="691"/>
      <c r="D8153" s="3"/>
    </row>
    <row r="8154" spans="1:4">
      <c r="A8154" s="691"/>
      <c r="D8154" s="3"/>
    </row>
    <row r="8155" spans="1:4">
      <c r="A8155" s="691"/>
      <c r="D8155" s="3"/>
    </row>
    <row r="8156" spans="1:4">
      <c r="A8156" s="691"/>
      <c r="D8156" s="3"/>
    </row>
    <row r="8157" spans="1:4">
      <c r="A8157" s="691"/>
      <c r="D8157" s="3"/>
    </row>
    <row r="8158" spans="1:4">
      <c r="A8158" s="691"/>
      <c r="D8158" s="3"/>
    </row>
    <row r="8159" spans="1:4">
      <c r="A8159" s="691"/>
      <c r="D8159" s="3"/>
    </row>
    <row r="8160" spans="1:4">
      <c r="A8160" s="691"/>
      <c r="D8160" s="3"/>
    </row>
    <row r="8161" spans="1:4">
      <c r="A8161" s="691"/>
      <c r="D8161" s="3"/>
    </row>
    <row r="8162" spans="1:4">
      <c r="A8162" s="691"/>
      <c r="D8162" s="3"/>
    </row>
    <row r="8163" spans="1:4">
      <c r="A8163" s="691"/>
      <c r="D8163" s="3"/>
    </row>
    <row r="8164" spans="1:4">
      <c r="A8164" s="691"/>
      <c r="D8164" s="3"/>
    </row>
    <row r="8165" spans="1:4">
      <c r="A8165" s="691"/>
      <c r="D8165" s="3"/>
    </row>
    <row r="8166" spans="1:4">
      <c r="A8166" s="691"/>
      <c r="D8166" s="3"/>
    </row>
    <row r="8167" spans="1:4">
      <c r="A8167" s="691"/>
      <c r="D8167" s="3"/>
    </row>
    <row r="8168" spans="1:4">
      <c r="A8168" s="691"/>
      <c r="D8168" s="3"/>
    </row>
    <row r="8169" spans="1:4">
      <c r="A8169" s="691"/>
      <c r="D8169" s="3"/>
    </row>
    <row r="8170" spans="1:4">
      <c r="A8170" s="691"/>
      <c r="D8170" s="3"/>
    </row>
    <row r="8171" spans="1:4">
      <c r="A8171" s="691"/>
      <c r="D8171" s="3"/>
    </row>
    <row r="8172" spans="1:4">
      <c r="A8172" s="691"/>
      <c r="D8172" s="3"/>
    </row>
    <row r="8173" spans="1:4">
      <c r="A8173" s="691"/>
      <c r="D8173" s="3"/>
    </row>
    <row r="8174" spans="1:4">
      <c r="A8174" s="691"/>
      <c r="D8174" s="3"/>
    </row>
    <row r="8175" spans="1:4">
      <c r="A8175" s="691"/>
      <c r="D8175" s="3"/>
    </row>
    <row r="8176" spans="1:4">
      <c r="A8176" s="691"/>
      <c r="D8176" s="3"/>
    </row>
    <row r="8177" spans="1:4">
      <c r="A8177" s="691"/>
      <c r="D8177" s="3"/>
    </row>
    <row r="8178" spans="1:4">
      <c r="A8178" s="691"/>
      <c r="D8178" s="3"/>
    </row>
    <row r="8179" spans="1:4">
      <c r="A8179" s="691"/>
      <c r="D8179" s="3"/>
    </row>
    <row r="8180" spans="1:4">
      <c r="A8180" s="691"/>
      <c r="D8180" s="3"/>
    </row>
    <row r="8181" spans="1:4">
      <c r="A8181" s="691"/>
      <c r="D8181" s="3"/>
    </row>
    <row r="8182" spans="1:4">
      <c r="A8182" s="691"/>
      <c r="D8182" s="3"/>
    </row>
    <row r="8183" spans="1:4">
      <c r="A8183" s="691"/>
      <c r="D8183" s="3"/>
    </row>
    <row r="8184" spans="1:4">
      <c r="A8184" s="691"/>
      <c r="D8184" s="3"/>
    </row>
    <row r="8185" spans="1:4">
      <c r="A8185" s="691"/>
      <c r="D8185" s="3"/>
    </row>
    <row r="8186" spans="1:4">
      <c r="A8186" s="691"/>
      <c r="D8186" s="3"/>
    </row>
    <row r="8187" spans="1:4">
      <c r="A8187" s="691"/>
      <c r="D8187" s="3"/>
    </row>
    <row r="8188" spans="1:4">
      <c r="A8188" s="691"/>
      <c r="D8188" s="3"/>
    </row>
    <row r="8189" spans="1:4">
      <c r="A8189" s="691"/>
      <c r="D8189" s="3"/>
    </row>
    <row r="8190" spans="1:4">
      <c r="A8190" s="691"/>
      <c r="D8190" s="3"/>
    </row>
    <row r="8191" spans="1:4">
      <c r="A8191" s="691"/>
      <c r="D8191" s="3"/>
    </row>
    <row r="8192" spans="1:4">
      <c r="A8192" s="691"/>
      <c r="D8192" s="3"/>
    </row>
    <row r="8193" spans="1:4">
      <c r="A8193" s="691"/>
      <c r="D8193" s="3"/>
    </row>
    <row r="8194" spans="1:4">
      <c r="A8194" s="691"/>
      <c r="D8194" s="3"/>
    </row>
    <row r="8195" spans="1:4">
      <c r="A8195" s="691"/>
      <c r="D8195" s="3"/>
    </row>
    <row r="8196" spans="1:4">
      <c r="A8196" s="691"/>
      <c r="D8196" s="3"/>
    </row>
    <row r="8197" spans="1:4">
      <c r="A8197" s="691"/>
      <c r="D8197" s="3"/>
    </row>
    <row r="8198" spans="1:4">
      <c r="A8198" s="691"/>
      <c r="D8198" s="3"/>
    </row>
    <row r="8199" spans="1:4">
      <c r="A8199" s="691"/>
      <c r="D8199" s="3"/>
    </row>
    <row r="8200" spans="1:4">
      <c r="A8200" s="691"/>
      <c r="D8200" s="3"/>
    </row>
    <row r="8201" spans="1:4">
      <c r="A8201" s="691"/>
      <c r="D8201" s="3"/>
    </row>
    <row r="8202" spans="1:4">
      <c r="A8202" s="691"/>
      <c r="D8202" s="3"/>
    </row>
    <row r="8203" spans="1:4">
      <c r="A8203" s="691"/>
      <c r="D8203" s="3"/>
    </row>
    <row r="8204" spans="1:4">
      <c r="A8204" s="691"/>
      <c r="D8204" s="3"/>
    </row>
    <row r="8205" spans="1:4">
      <c r="A8205" s="691"/>
      <c r="D8205" s="3"/>
    </row>
    <row r="8206" spans="1:4">
      <c r="A8206" s="691"/>
      <c r="D8206" s="3"/>
    </row>
    <row r="8207" spans="1:4">
      <c r="A8207" s="691"/>
      <c r="D8207" s="3"/>
    </row>
    <row r="8208" spans="1:4">
      <c r="A8208" s="691"/>
      <c r="D8208" s="3"/>
    </row>
    <row r="8209" spans="1:4">
      <c r="A8209" s="691"/>
      <c r="D8209" s="3"/>
    </row>
    <row r="8210" spans="1:4">
      <c r="A8210" s="691"/>
      <c r="D8210" s="3"/>
    </row>
    <row r="8211" spans="1:4">
      <c r="A8211" s="691"/>
      <c r="D8211" s="3"/>
    </row>
    <row r="8212" spans="1:4">
      <c r="A8212" s="691"/>
      <c r="D8212" s="3"/>
    </row>
    <row r="8213" spans="1:4">
      <c r="A8213" s="691"/>
      <c r="D8213" s="3"/>
    </row>
    <row r="8214" spans="1:4">
      <c r="A8214" s="691"/>
      <c r="D8214" s="3"/>
    </row>
    <row r="8215" spans="1:4">
      <c r="A8215" s="691"/>
      <c r="D8215" s="3"/>
    </row>
    <row r="8216" spans="1:4">
      <c r="A8216" s="691"/>
      <c r="D8216" s="3"/>
    </row>
    <row r="8217" spans="1:4">
      <c r="A8217" s="691"/>
      <c r="D8217" s="3"/>
    </row>
    <row r="8218" spans="1:4">
      <c r="A8218" s="691"/>
      <c r="D8218" s="3"/>
    </row>
    <row r="8219" spans="1:4">
      <c r="A8219" s="691"/>
      <c r="D8219" s="3"/>
    </row>
    <row r="8220" spans="1:4">
      <c r="A8220" s="691"/>
      <c r="D8220" s="3"/>
    </row>
    <row r="8221" spans="1:4">
      <c r="A8221" s="691"/>
      <c r="D8221" s="3"/>
    </row>
    <row r="8222" spans="1:4">
      <c r="A8222" s="691"/>
      <c r="D8222" s="3"/>
    </row>
    <row r="8223" spans="1:4">
      <c r="A8223" s="691"/>
      <c r="D8223" s="3"/>
    </row>
    <row r="8224" spans="1:4">
      <c r="A8224" s="691"/>
      <c r="D8224" s="3"/>
    </row>
    <row r="8225" spans="1:4">
      <c r="A8225" s="691"/>
      <c r="D8225" s="3"/>
    </row>
    <row r="8226" spans="1:4">
      <c r="A8226" s="691"/>
      <c r="D8226" s="3"/>
    </row>
    <row r="8227" spans="1:4">
      <c r="A8227" s="691"/>
      <c r="D8227" s="3"/>
    </row>
    <row r="8228" spans="1:4">
      <c r="A8228" s="691"/>
      <c r="D8228" s="3"/>
    </row>
    <row r="8229" spans="1:4">
      <c r="A8229" s="691"/>
      <c r="D8229" s="3"/>
    </row>
    <row r="8230" spans="1:4">
      <c r="A8230" s="691"/>
      <c r="D8230" s="3"/>
    </row>
    <row r="8231" spans="1:4">
      <c r="A8231" s="691"/>
      <c r="D8231" s="3"/>
    </row>
    <row r="8232" spans="1:4">
      <c r="A8232" s="691"/>
      <c r="D8232" s="3"/>
    </row>
    <row r="8233" spans="1:4">
      <c r="A8233" s="691"/>
      <c r="D8233" s="3"/>
    </row>
    <row r="8234" spans="1:4">
      <c r="A8234" s="691"/>
      <c r="D8234" s="3"/>
    </row>
    <row r="8235" spans="1:4">
      <c r="A8235" s="691"/>
      <c r="D8235" s="3"/>
    </row>
    <row r="8236" spans="1:4">
      <c r="A8236" s="691"/>
      <c r="D8236" s="3"/>
    </row>
    <row r="8237" spans="1:4">
      <c r="A8237" s="691"/>
      <c r="D8237" s="3"/>
    </row>
    <row r="8238" spans="1:4">
      <c r="A8238" s="691"/>
      <c r="D8238" s="3"/>
    </row>
    <row r="8239" spans="1:4">
      <c r="A8239" s="691"/>
      <c r="D8239" s="3"/>
    </row>
    <row r="8240" spans="1:4">
      <c r="A8240" s="691"/>
      <c r="D8240" s="3"/>
    </row>
    <row r="8241" spans="1:4">
      <c r="A8241" s="691"/>
      <c r="D8241" s="3"/>
    </row>
    <row r="8242" spans="1:4">
      <c r="A8242" s="691"/>
      <c r="D8242" s="3"/>
    </row>
    <row r="8243" spans="1:4">
      <c r="A8243" s="691"/>
      <c r="D8243" s="3"/>
    </row>
    <row r="8244" spans="1:4">
      <c r="A8244" s="691"/>
      <c r="D8244" s="3"/>
    </row>
    <row r="8245" spans="1:4">
      <c r="A8245" s="691"/>
      <c r="D8245" s="3"/>
    </row>
    <row r="8246" spans="1:4">
      <c r="A8246" s="691"/>
      <c r="D8246" s="3"/>
    </row>
    <row r="8247" spans="1:4">
      <c r="A8247" s="691"/>
      <c r="D8247" s="3"/>
    </row>
    <row r="8248" spans="1:4">
      <c r="A8248" s="691"/>
      <c r="D8248" s="3"/>
    </row>
    <row r="8249" spans="1:4">
      <c r="A8249" s="691"/>
      <c r="D8249" s="3"/>
    </row>
    <row r="8250" spans="1:4">
      <c r="A8250" s="691"/>
      <c r="D8250" s="3"/>
    </row>
    <row r="8251" spans="1:4">
      <c r="A8251" s="691"/>
      <c r="D8251" s="3"/>
    </row>
    <row r="8252" spans="1:4">
      <c r="A8252" s="691"/>
      <c r="D8252" s="3"/>
    </row>
    <row r="8253" spans="1:4">
      <c r="A8253" s="691"/>
      <c r="D8253" s="3"/>
    </row>
    <row r="8254" spans="1:4">
      <c r="A8254" s="691"/>
      <c r="D8254" s="3"/>
    </row>
    <row r="8255" spans="1:4">
      <c r="A8255" s="691"/>
      <c r="D8255" s="3"/>
    </row>
    <row r="8256" spans="1:4">
      <c r="A8256" s="691"/>
      <c r="D8256" s="3"/>
    </row>
    <row r="8257" spans="1:4">
      <c r="A8257" s="691"/>
      <c r="D8257" s="3"/>
    </row>
    <row r="8258" spans="1:4">
      <c r="A8258" s="691"/>
      <c r="D8258" s="3"/>
    </row>
    <row r="8259" spans="1:4">
      <c r="A8259" s="691"/>
      <c r="D8259" s="3"/>
    </row>
    <row r="8260" spans="1:4">
      <c r="A8260" s="691"/>
      <c r="D8260" s="3"/>
    </row>
    <row r="8261" spans="1:4">
      <c r="A8261" s="691"/>
      <c r="D8261" s="3"/>
    </row>
    <row r="8262" spans="1:4">
      <c r="A8262" s="691"/>
      <c r="D8262" s="3"/>
    </row>
    <row r="8263" spans="1:4">
      <c r="A8263" s="691"/>
      <c r="D8263" s="3"/>
    </row>
    <row r="8264" spans="1:4">
      <c r="A8264" s="691"/>
      <c r="D8264" s="3"/>
    </row>
    <row r="8265" spans="1:4">
      <c r="A8265" s="691"/>
      <c r="D8265" s="3"/>
    </row>
    <row r="8266" spans="1:4">
      <c r="A8266" s="691"/>
      <c r="D8266" s="3"/>
    </row>
    <row r="8267" spans="1:4">
      <c r="A8267" s="691"/>
      <c r="D8267" s="3"/>
    </row>
    <row r="8268" spans="1:4">
      <c r="A8268" s="691"/>
      <c r="D8268" s="3"/>
    </row>
    <row r="8269" spans="1:4">
      <c r="A8269" s="691"/>
      <c r="D8269" s="3"/>
    </row>
    <row r="8270" spans="1:4">
      <c r="A8270" s="691"/>
      <c r="D8270" s="3"/>
    </row>
    <row r="8271" spans="1:4">
      <c r="A8271" s="691"/>
      <c r="D8271" s="3"/>
    </row>
    <row r="8272" spans="1:4">
      <c r="A8272" s="691"/>
      <c r="D8272" s="3"/>
    </row>
    <row r="8273" spans="1:4">
      <c r="A8273" s="691"/>
      <c r="D8273" s="3"/>
    </row>
    <row r="8274" spans="1:4">
      <c r="A8274" s="691"/>
      <c r="D8274" s="3"/>
    </row>
    <row r="8275" spans="1:4">
      <c r="A8275" s="691"/>
      <c r="D8275" s="3"/>
    </row>
    <row r="8276" spans="1:4">
      <c r="A8276" s="691"/>
      <c r="D8276" s="3"/>
    </row>
    <row r="8277" spans="1:4">
      <c r="A8277" s="691"/>
      <c r="D8277" s="3"/>
    </row>
    <row r="8278" spans="1:4">
      <c r="A8278" s="691"/>
      <c r="D8278" s="3"/>
    </row>
    <row r="8279" spans="1:4">
      <c r="A8279" s="691"/>
      <c r="D8279" s="3"/>
    </row>
    <row r="8280" spans="1:4">
      <c r="A8280" s="691"/>
      <c r="D8280" s="3"/>
    </row>
    <row r="8281" spans="1:4">
      <c r="A8281" s="691"/>
      <c r="D8281" s="3"/>
    </row>
    <row r="8282" spans="1:4">
      <c r="A8282" s="691"/>
      <c r="D8282" s="3"/>
    </row>
    <row r="8283" spans="1:4">
      <c r="A8283" s="691"/>
      <c r="D8283" s="3"/>
    </row>
    <row r="8284" spans="1:4">
      <c r="A8284" s="691"/>
      <c r="D8284" s="3"/>
    </row>
    <row r="8285" spans="1:4">
      <c r="A8285" s="691"/>
      <c r="D8285" s="3"/>
    </row>
    <row r="8286" spans="1:4">
      <c r="A8286" s="691"/>
      <c r="D8286" s="3"/>
    </row>
    <row r="8287" spans="1:4">
      <c r="A8287" s="691"/>
      <c r="D8287" s="3"/>
    </row>
    <row r="8288" spans="1:4">
      <c r="A8288" s="691"/>
      <c r="D8288" s="3"/>
    </row>
    <row r="8289" spans="1:4">
      <c r="A8289" s="691"/>
      <c r="D8289" s="3"/>
    </row>
    <row r="8290" spans="1:4">
      <c r="A8290" s="691"/>
      <c r="D8290" s="3"/>
    </row>
    <row r="8291" spans="1:4">
      <c r="A8291" s="691"/>
      <c r="D8291" s="3"/>
    </row>
    <row r="8292" spans="1:4">
      <c r="A8292" s="691"/>
      <c r="D8292" s="3"/>
    </row>
    <row r="8293" spans="1:4">
      <c r="A8293" s="691"/>
      <c r="D8293" s="3"/>
    </row>
    <row r="8294" spans="1:4">
      <c r="A8294" s="691"/>
      <c r="D8294" s="3"/>
    </row>
    <row r="8295" spans="1:4">
      <c r="A8295" s="691"/>
      <c r="D8295" s="3"/>
    </row>
    <row r="8296" spans="1:4">
      <c r="A8296" s="691"/>
      <c r="D8296" s="3"/>
    </row>
    <row r="8297" spans="1:4">
      <c r="A8297" s="691"/>
      <c r="D8297" s="3"/>
    </row>
    <row r="8298" spans="1:4">
      <c r="A8298" s="691"/>
      <c r="D8298" s="3"/>
    </row>
    <row r="8299" spans="1:4">
      <c r="A8299" s="691"/>
      <c r="D8299" s="3"/>
    </row>
    <row r="8300" spans="1:4">
      <c r="A8300" s="691"/>
      <c r="D8300" s="3"/>
    </row>
    <row r="8301" spans="1:4">
      <c r="A8301" s="691"/>
      <c r="D8301" s="3"/>
    </row>
    <row r="8302" spans="1:4">
      <c r="A8302" s="691"/>
      <c r="D8302" s="3"/>
    </row>
    <row r="8303" spans="1:4">
      <c r="A8303" s="691"/>
      <c r="D8303" s="3"/>
    </row>
    <row r="8304" spans="1:4">
      <c r="A8304" s="691"/>
      <c r="D8304" s="3"/>
    </row>
    <row r="8305" spans="1:4">
      <c r="A8305" s="691"/>
      <c r="D8305" s="3"/>
    </row>
    <row r="8306" spans="1:4">
      <c r="A8306" s="691"/>
      <c r="D8306" s="3"/>
    </row>
    <row r="8307" spans="1:4">
      <c r="A8307" s="691"/>
      <c r="D8307" s="3"/>
    </row>
    <row r="8308" spans="1:4">
      <c r="A8308" s="691"/>
      <c r="D8308" s="3"/>
    </row>
    <row r="8309" spans="1:4">
      <c r="A8309" s="691"/>
      <c r="D8309" s="3"/>
    </row>
    <row r="8310" spans="1:4">
      <c r="A8310" s="691"/>
      <c r="D8310" s="3"/>
    </row>
    <row r="8311" spans="1:4">
      <c r="A8311" s="691"/>
      <c r="D8311" s="3"/>
    </row>
    <row r="8312" spans="1:4">
      <c r="A8312" s="691"/>
      <c r="D8312" s="3"/>
    </row>
    <row r="8313" spans="1:4">
      <c r="A8313" s="691"/>
      <c r="D8313" s="3"/>
    </row>
    <row r="8314" spans="1:4">
      <c r="A8314" s="691"/>
      <c r="D8314" s="3"/>
    </row>
    <row r="8315" spans="1:4">
      <c r="A8315" s="691"/>
      <c r="D8315" s="3"/>
    </row>
    <row r="8316" spans="1:4">
      <c r="A8316" s="691"/>
      <c r="D8316" s="3"/>
    </row>
    <row r="8317" spans="1:4">
      <c r="A8317" s="691"/>
      <c r="D8317" s="3"/>
    </row>
    <row r="8318" spans="1:4">
      <c r="A8318" s="691"/>
      <c r="D8318" s="3"/>
    </row>
    <row r="8319" spans="1:4">
      <c r="A8319" s="691"/>
      <c r="D8319" s="3"/>
    </row>
    <row r="8320" spans="1:4">
      <c r="A8320" s="691"/>
      <c r="D8320" s="3"/>
    </row>
    <row r="8321" spans="1:4">
      <c r="A8321" s="691"/>
      <c r="D8321" s="3"/>
    </row>
    <row r="8322" spans="1:4">
      <c r="A8322" s="691"/>
      <c r="D8322" s="3"/>
    </row>
    <row r="8323" spans="1:4">
      <c r="A8323" s="691"/>
      <c r="D8323" s="3"/>
    </row>
    <row r="8324" spans="1:4">
      <c r="A8324" s="691"/>
      <c r="D8324" s="3"/>
    </row>
    <row r="8325" spans="1:4">
      <c r="A8325" s="691"/>
      <c r="D8325" s="3"/>
    </row>
    <row r="8326" spans="1:4">
      <c r="A8326" s="691"/>
      <c r="D8326" s="3"/>
    </row>
    <row r="8327" spans="1:4">
      <c r="A8327" s="691"/>
      <c r="D8327" s="3"/>
    </row>
    <row r="8328" spans="1:4">
      <c r="A8328" s="691"/>
      <c r="D8328" s="3"/>
    </row>
    <row r="8329" spans="1:4">
      <c r="A8329" s="691"/>
      <c r="D8329" s="3"/>
    </row>
    <row r="8330" spans="1:4">
      <c r="A8330" s="691"/>
      <c r="D8330" s="3"/>
    </row>
    <row r="8331" spans="1:4">
      <c r="A8331" s="691"/>
      <c r="D8331" s="3"/>
    </row>
    <row r="8332" spans="1:4">
      <c r="A8332" s="691"/>
      <c r="D8332" s="3"/>
    </row>
    <row r="8333" spans="1:4">
      <c r="A8333" s="691"/>
      <c r="D8333" s="3"/>
    </row>
    <row r="8334" spans="1:4">
      <c r="A8334" s="691"/>
      <c r="D8334" s="3"/>
    </row>
    <row r="8335" spans="1:4">
      <c r="A8335" s="691"/>
      <c r="D8335" s="3"/>
    </row>
    <row r="8336" spans="1:4">
      <c r="A8336" s="691"/>
      <c r="D8336" s="3"/>
    </row>
    <row r="8337" spans="1:4">
      <c r="A8337" s="691"/>
      <c r="D8337" s="3"/>
    </row>
    <row r="8338" spans="1:4">
      <c r="A8338" s="691"/>
      <c r="D8338" s="3"/>
    </row>
    <row r="8339" spans="1:4">
      <c r="A8339" s="691"/>
      <c r="D8339" s="3"/>
    </row>
    <row r="8340" spans="1:4">
      <c r="A8340" s="691"/>
      <c r="D8340" s="3"/>
    </row>
    <row r="8341" spans="1:4">
      <c r="A8341" s="691"/>
      <c r="D8341" s="3"/>
    </row>
    <row r="8342" spans="1:4">
      <c r="A8342" s="691"/>
      <c r="D8342" s="3"/>
    </row>
    <row r="8343" spans="1:4">
      <c r="A8343" s="691"/>
      <c r="D8343" s="3"/>
    </row>
    <row r="8344" spans="1:4">
      <c r="A8344" s="691"/>
      <c r="D8344" s="3"/>
    </row>
    <row r="8345" spans="1:4">
      <c r="A8345" s="691"/>
      <c r="D8345" s="3"/>
    </row>
    <row r="8346" spans="1:4">
      <c r="A8346" s="691"/>
      <c r="D8346" s="3"/>
    </row>
    <row r="8347" spans="1:4">
      <c r="A8347" s="691"/>
      <c r="D8347" s="3"/>
    </row>
    <row r="8348" spans="1:4">
      <c r="A8348" s="691"/>
      <c r="D8348" s="3"/>
    </row>
    <row r="8349" spans="1:4">
      <c r="A8349" s="691"/>
      <c r="D8349" s="3"/>
    </row>
    <row r="8350" spans="1:4">
      <c r="A8350" s="691"/>
      <c r="D8350" s="3"/>
    </row>
    <row r="8351" spans="1:4">
      <c r="A8351" s="691"/>
      <c r="D8351" s="3"/>
    </row>
    <row r="8352" spans="1:4">
      <c r="A8352" s="691"/>
      <c r="D8352" s="3"/>
    </row>
    <row r="8353" spans="1:4">
      <c r="A8353" s="691"/>
      <c r="D8353" s="3"/>
    </row>
    <row r="8354" spans="1:4">
      <c r="A8354" s="691"/>
      <c r="D8354" s="3"/>
    </row>
    <row r="8355" spans="1:4">
      <c r="A8355" s="691"/>
      <c r="D8355" s="3"/>
    </row>
    <row r="8356" spans="1:4">
      <c r="A8356" s="691"/>
      <c r="D8356" s="3"/>
    </row>
    <row r="8357" spans="1:4">
      <c r="A8357" s="691"/>
      <c r="D8357" s="3"/>
    </row>
    <row r="8358" spans="1:4">
      <c r="A8358" s="691"/>
      <c r="D8358" s="3"/>
    </row>
    <row r="8359" spans="1:4">
      <c r="A8359" s="691"/>
      <c r="D8359" s="3"/>
    </row>
    <row r="8360" spans="1:4">
      <c r="A8360" s="691"/>
      <c r="D8360" s="3"/>
    </row>
    <row r="8361" spans="1:4">
      <c r="A8361" s="691"/>
      <c r="D8361" s="3"/>
    </row>
    <row r="8362" spans="1:4">
      <c r="A8362" s="691"/>
      <c r="D8362" s="3"/>
    </row>
    <row r="8363" spans="1:4">
      <c r="A8363" s="691"/>
      <c r="D8363" s="3"/>
    </row>
    <row r="8364" spans="1:4">
      <c r="A8364" s="691"/>
      <c r="D8364" s="3"/>
    </row>
    <row r="8365" spans="1:4">
      <c r="A8365" s="691"/>
      <c r="D8365" s="3"/>
    </row>
    <row r="8366" spans="1:4">
      <c r="A8366" s="691"/>
      <c r="D8366" s="3"/>
    </row>
    <row r="8367" spans="1:4">
      <c r="A8367" s="691"/>
      <c r="D8367" s="3"/>
    </row>
    <row r="8368" spans="1:4">
      <c r="A8368" s="691"/>
      <c r="D8368" s="3"/>
    </row>
    <row r="8369" spans="1:4">
      <c r="A8369" s="691"/>
      <c r="D8369" s="3"/>
    </row>
    <row r="8370" spans="1:4">
      <c r="A8370" s="691"/>
      <c r="D8370" s="3"/>
    </row>
    <row r="8371" spans="1:4">
      <c r="A8371" s="691"/>
      <c r="D8371" s="3"/>
    </row>
    <row r="8372" spans="1:4">
      <c r="A8372" s="691"/>
      <c r="D8372" s="3"/>
    </row>
    <row r="8373" spans="1:4">
      <c r="A8373" s="691"/>
      <c r="D8373" s="3"/>
    </row>
    <row r="8374" spans="1:4">
      <c r="A8374" s="691"/>
      <c r="D8374" s="3"/>
    </row>
    <row r="8375" spans="1:4">
      <c r="A8375" s="691"/>
      <c r="D8375" s="3"/>
    </row>
    <row r="8376" spans="1:4">
      <c r="A8376" s="691"/>
      <c r="D8376" s="3"/>
    </row>
    <row r="8377" spans="1:4">
      <c r="A8377" s="691"/>
      <c r="D8377" s="3"/>
    </row>
    <row r="8378" spans="1:4">
      <c r="A8378" s="691"/>
      <c r="D8378" s="3"/>
    </row>
    <row r="8379" spans="1:4">
      <c r="A8379" s="691"/>
      <c r="D8379" s="3"/>
    </row>
    <row r="8380" spans="1:4">
      <c r="A8380" s="691"/>
      <c r="D8380" s="3"/>
    </row>
    <row r="8381" spans="1:4">
      <c r="A8381" s="691"/>
      <c r="D8381" s="3"/>
    </row>
    <row r="8382" spans="1:4">
      <c r="A8382" s="691"/>
      <c r="D8382" s="3"/>
    </row>
    <row r="8383" spans="1:4">
      <c r="A8383" s="691"/>
      <c r="D8383" s="3"/>
    </row>
    <row r="8384" spans="1:4">
      <c r="A8384" s="691"/>
      <c r="D8384" s="3"/>
    </row>
    <row r="8385" spans="1:4">
      <c r="A8385" s="691"/>
      <c r="D8385" s="3"/>
    </row>
    <row r="8386" spans="1:4">
      <c r="A8386" s="691"/>
      <c r="D8386" s="3"/>
    </row>
    <row r="8387" spans="1:4">
      <c r="A8387" s="691"/>
      <c r="D8387" s="3"/>
    </row>
    <row r="8388" spans="1:4">
      <c r="A8388" s="691"/>
      <c r="D8388" s="3"/>
    </row>
    <row r="8389" spans="1:4">
      <c r="A8389" s="691"/>
      <c r="D8389" s="3"/>
    </row>
    <row r="8390" spans="1:4">
      <c r="A8390" s="691"/>
      <c r="D8390" s="3"/>
    </row>
    <row r="8391" spans="1:4">
      <c r="A8391" s="691"/>
      <c r="D8391" s="3"/>
    </row>
    <row r="8392" spans="1:4">
      <c r="A8392" s="691"/>
      <c r="D8392" s="3"/>
    </row>
    <row r="8393" spans="1:4">
      <c r="A8393" s="691"/>
      <c r="D8393" s="3"/>
    </row>
    <row r="8394" spans="1:4">
      <c r="A8394" s="691"/>
      <c r="D8394" s="3"/>
    </row>
    <row r="8395" spans="1:4">
      <c r="A8395" s="691"/>
      <c r="D8395" s="3"/>
    </row>
    <row r="8396" spans="1:4">
      <c r="A8396" s="691"/>
      <c r="D8396" s="3"/>
    </row>
    <row r="8397" spans="1:4">
      <c r="A8397" s="691"/>
      <c r="D8397" s="3"/>
    </row>
    <row r="8398" spans="1:4">
      <c r="A8398" s="691"/>
      <c r="D8398" s="3"/>
    </row>
    <row r="8399" spans="1:4">
      <c r="A8399" s="691"/>
      <c r="D8399" s="3"/>
    </row>
    <row r="8400" spans="1:4">
      <c r="A8400" s="691"/>
      <c r="D8400" s="3"/>
    </row>
    <row r="8401" spans="1:4">
      <c r="A8401" s="691"/>
      <c r="D8401" s="3"/>
    </row>
    <row r="8402" spans="1:4">
      <c r="A8402" s="691"/>
      <c r="D8402" s="3"/>
    </row>
    <row r="8403" spans="1:4">
      <c r="A8403" s="691"/>
      <c r="D8403" s="3"/>
    </row>
    <row r="8404" spans="1:4">
      <c r="A8404" s="691"/>
      <c r="D8404" s="3"/>
    </row>
    <row r="8405" spans="1:4">
      <c r="A8405" s="691"/>
      <c r="D8405" s="3"/>
    </row>
    <row r="8406" spans="1:4">
      <c r="A8406" s="691"/>
      <c r="D8406" s="3"/>
    </row>
    <row r="8407" spans="1:4">
      <c r="A8407" s="691"/>
      <c r="D8407" s="3"/>
    </row>
    <row r="8408" spans="1:4">
      <c r="A8408" s="691"/>
      <c r="D8408" s="3"/>
    </row>
    <row r="8409" spans="1:4">
      <c r="A8409" s="691"/>
      <c r="D8409" s="3"/>
    </row>
    <row r="8410" spans="1:4">
      <c r="A8410" s="691"/>
      <c r="D8410" s="3"/>
    </row>
    <row r="8411" spans="1:4">
      <c r="A8411" s="691"/>
      <c r="D8411" s="3"/>
    </row>
    <row r="8412" spans="1:4">
      <c r="A8412" s="691"/>
      <c r="D8412" s="3"/>
    </row>
    <row r="8413" spans="1:4">
      <c r="A8413" s="691"/>
      <c r="D8413" s="3"/>
    </row>
    <row r="8414" spans="1:4">
      <c r="A8414" s="691"/>
      <c r="D8414" s="3"/>
    </row>
    <row r="8415" spans="1:4">
      <c r="A8415" s="691"/>
      <c r="D8415" s="3"/>
    </row>
    <row r="8416" spans="1:4">
      <c r="A8416" s="691"/>
      <c r="D8416" s="3"/>
    </row>
    <row r="8417" spans="1:4">
      <c r="A8417" s="691"/>
      <c r="D8417" s="3"/>
    </row>
    <row r="8418" spans="1:4">
      <c r="A8418" s="691"/>
      <c r="D8418" s="3"/>
    </row>
    <row r="8419" spans="1:4">
      <c r="A8419" s="691"/>
      <c r="D8419" s="3"/>
    </row>
    <row r="8420" spans="1:4">
      <c r="A8420" s="691"/>
      <c r="D8420" s="3"/>
    </row>
    <row r="8421" spans="1:4">
      <c r="A8421" s="691"/>
      <c r="D8421" s="3"/>
    </row>
    <row r="8422" spans="1:4">
      <c r="A8422" s="691"/>
      <c r="D8422" s="3"/>
    </row>
    <row r="8423" spans="1:4">
      <c r="A8423" s="691"/>
      <c r="D8423" s="3"/>
    </row>
    <row r="8424" spans="1:4">
      <c r="A8424" s="691"/>
      <c r="D8424" s="3"/>
    </row>
    <row r="8425" spans="1:4">
      <c r="A8425" s="691"/>
      <c r="D8425" s="3"/>
    </row>
    <row r="8426" spans="1:4">
      <c r="A8426" s="691"/>
      <c r="D8426" s="3"/>
    </row>
    <row r="8427" spans="1:4">
      <c r="A8427" s="691"/>
      <c r="D8427" s="3"/>
    </row>
    <row r="8428" spans="1:4">
      <c r="A8428" s="691"/>
      <c r="D8428" s="3"/>
    </row>
    <row r="8429" spans="1:4">
      <c r="A8429" s="691"/>
      <c r="D8429" s="3"/>
    </row>
    <row r="8430" spans="1:4">
      <c r="A8430" s="691"/>
      <c r="D8430" s="3"/>
    </row>
    <row r="8431" spans="1:4">
      <c r="A8431" s="691"/>
      <c r="D8431" s="3"/>
    </row>
    <row r="8432" spans="1:4">
      <c r="A8432" s="691"/>
      <c r="D8432" s="3"/>
    </row>
    <row r="8433" spans="1:4">
      <c r="A8433" s="691"/>
      <c r="D8433" s="3"/>
    </row>
    <row r="8434" spans="1:4">
      <c r="A8434" s="691"/>
      <c r="D8434" s="3"/>
    </row>
    <row r="8435" spans="1:4">
      <c r="A8435" s="691"/>
      <c r="D8435" s="3"/>
    </row>
    <row r="8436" spans="1:4">
      <c r="A8436" s="691"/>
      <c r="D8436" s="3"/>
    </row>
    <row r="8437" spans="1:4">
      <c r="A8437" s="691"/>
      <c r="D8437" s="3"/>
    </row>
    <row r="8438" spans="1:4">
      <c r="A8438" s="691"/>
      <c r="D8438" s="3"/>
    </row>
    <row r="8439" spans="1:4">
      <c r="A8439" s="691"/>
      <c r="D8439" s="3"/>
    </row>
    <row r="8440" spans="1:4">
      <c r="A8440" s="691"/>
      <c r="D8440" s="3"/>
    </row>
    <row r="8441" spans="1:4">
      <c r="A8441" s="691"/>
      <c r="D8441" s="3"/>
    </row>
    <row r="8442" spans="1:4">
      <c r="A8442" s="691"/>
      <c r="D8442" s="3"/>
    </row>
    <row r="8443" spans="1:4">
      <c r="A8443" s="691"/>
      <c r="D8443" s="3"/>
    </row>
    <row r="8444" spans="1:4">
      <c r="A8444" s="691"/>
      <c r="D8444" s="3"/>
    </row>
    <row r="8445" spans="1:4">
      <c r="A8445" s="691"/>
      <c r="D8445" s="3"/>
    </row>
    <row r="8446" spans="1:4">
      <c r="A8446" s="691"/>
      <c r="D8446" s="3"/>
    </row>
    <row r="8447" spans="1:4">
      <c r="A8447" s="691"/>
      <c r="D8447" s="3"/>
    </row>
    <row r="8448" spans="1:4">
      <c r="A8448" s="691"/>
      <c r="D8448" s="3"/>
    </row>
    <row r="8449" spans="1:4">
      <c r="A8449" s="691"/>
      <c r="D8449" s="3"/>
    </row>
    <row r="8450" spans="1:4">
      <c r="A8450" s="691"/>
      <c r="D8450" s="3"/>
    </row>
    <row r="8451" spans="1:4">
      <c r="A8451" s="691"/>
      <c r="D8451" s="3"/>
    </row>
    <row r="8452" spans="1:4">
      <c r="A8452" s="691"/>
      <c r="D8452" s="3"/>
    </row>
    <row r="8453" spans="1:4">
      <c r="A8453" s="691"/>
      <c r="D8453" s="3"/>
    </row>
    <row r="8454" spans="1:4">
      <c r="A8454" s="691"/>
      <c r="D8454" s="3"/>
    </row>
    <row r="8455" spans="1:4">
      <c r="A8455" s="691"/>
      <c r="D8455" s="3"/>
    </row>
    <row r="8456" spans="1:4">
      <c r="A8456" s="691"/>
      <c r="D8456" s="3"/>
    </row>
    <row r="8457" spans="1:4">
      <c r="A8457" s="691"/>
      <c r="D8457" s="3"/>
    </row>
    <row r="8458" spans="1:4">
      <c r="A8458" s="691"/>
      <c r="D8458" s="3"/>
    </row>
    <row r="8459" spans="1:4">
      <c r="A8459" s="691"/>
      <c r="D8459" s="3"/>
    </row>
    <row r="8460" spans="1:4">
      <c r="A8460" s="691"/>
      <c r="D8460" s="3"/>
    </row>
    <row r="8461" spans="1:4">
      <c r="A8461" s="691"/>
      <c r="D8461" s="3"/>
    </row>
    <row r="8462" spans="1:4">
      <c r="A8462" s="691"/>
      <c r="D8462" s="3"/>
    </row>
    <row r="8463" spans="1:4">
      <c r="A8463" s="691"/>
      <c r="D8463" s="3"/>
    </row>
    <row r="8464" spans="1:4">
      <c r="A8464" s="691"/>
      <c r="D8464" s="3"/>
    </row>
    <row r="8465" spans="1:4">
      <c r="A8465" s="691"/>
      <c r="D8465" s="3"/>
    </row>
    <row r="8466" spans="1:4">
      <c r="A8466" s="691"/>
      <c r="D8466" s="3"/>
    </row>
    <row r="8467" spans="1:4">
      <c r="A8467" s="691"/>
      <c r="D8467" s="3"/>
    </row>
    <row r="8468" spans="1:4">
      <c r="A8468" s="691"/>
      <c r="D8468" s="3"/>
    </row>
    <row r="8469" spans="1:4">
      <c r="A8469" s="691"/>
      <c r="D8469" s="3"/>
    </row>
    <row r="8470" spans="1:4">
      <c r="A8470" s="691"/>
      <c r="D8470" s="3"/>
    </row>
    <row r="8471" spans="1:4">
      <c r="A8471" s="691"/>
      <c r="D8471" s="3"/>
    </row>
    <row r="8472" spans="1:4">
      <c r="A8472" s="691"/>
      <c r="D8472" s="3"/>
    </row>
    <row r="8473" spans="1:4">
      <c r="A8473" s="691"/>
      <c r="D8473" s="3"/>
    </row>
    <row r="8474" spans="1:4">
      <c r="A8474" s="691"/>
      <c r="D8474" s="3"/>
    </row>
    <row r="8475" spans="1:4">
      <c r="A8475" s="691"/>
      <c r="D8475" s="3"/>
    </row>
    <row r="8476" spans="1:4">
      <c r="A8476" s="691"/>
      <c r="D8476" s="3"/>
    </row>
    <row r="8477" spans="1:4">
      <c r="A8477" s="691"/>
      <c r="D8477" s="3"/>
    </row>
    <row r="8478" spans="1:4">
      <c r="A8478" s="691"/>
      <c r="D8478" s="3"/>
    </row>
    <row r="8479" spans="1:4">
      <c r="A8479" s="691"/>
      <c r="D8479" s="3"/>
    </row>
    <row r="8480" spans="1:4">
      <c r="A8480" s="691"/>
      <c r="D8480" s="3"/>
    </row>
    <row r="8481" spans="1:4">
      <c r="A8481" s="691"/>
      <c r="D8481" s="3"/>
    </row>
    <row r="8482" spans="1:4">
      <c r="A8482" s="691"/>
      <c r="D8482" s="3"/>
    </row>
    <row r="8483" spans="1:4">
      <c r="A8483" s="691"/>
      <c r="D8483" s="3"/>
    </row>
    <row r="8484" spans="1:4">
      <c r="A8484" s="691"/>
      <c r="D8484" s="3"/>
    </row>
    <row r="8485" spans="1:4">
      <c r="A8485" s="691"/>
      <c r="D8485" s="3"/>
    </row>
    <row r="8486" spans="1:4">
      <c r="A8486" s="691"/>
      <c r="D8486" s="3"/>
    </row>
    <row r="8487" spans="1:4">
      <c r="A8487" s="691"/>
      <c r="D8487" s="3"/>
    </row>
    <row r="8488" spans="1:4">
      <c r="A8488" s="691"/>
      <c r="D8488" s="3"/>
    </row>
    <row r="8489" spans="1:4">
      <c r="A8489" s="691"/>
      <c r="D8489" s="3"/>
    </row>
    <row r="8490" spans="1:4">
      <c r="A8490" s="691"/>
      <c r="D8490" s="3"/>
    </row>
    <row r="8491" spans="1:4">
      <c r="A8491" s="691"/>
      <c r="D8491" s="3"/>
    </row>
    <row r="8492" spans="1:4">
      <c r="A8492" s="691"/>
      <c r="D8492" s="3"/>
    </row>
    <row r="8493" spans="1:4">
      <c r="A8493" s="691"/>
      <c r="D8493" s="3"/>
    </row>
    <row r="8494" spans="1:4">
      <c r="A8494" s="691"/>
      <c r="D8494" s="3"/>
    </row>
    <row r="8495" spans="1:4">
      <c r="A8495" s="691"/>
      <c r="D8495" s="3"/>
    </row>
    <row r="8496" spans="1:4">
      <c r="A8496" s="691"/>
      <c r="D8496" s="3"/>
    </row>
    <row r="8497" spans="1:4">
      <c r="A8497" s="691"/>
      <c r="D8497" s="3"/>
    </row>
    <row r="8498" spans="1:4">
      <c r="A8498" s="691"/>
      <c r="D8498" s="3"/>
    </row>
    <row r="8499" spans="1:4">
      <c r="A8499" s="691"/>
      <c r="D8499" s="3"/>
    </row>
    <row r="8500" spans="1:4">
      <c r="A8500" s="691"/>
      <c r="D8500" s="3"/>
    </row>
    <row r="8501" spans="1:4">
      <c r="A8501" s="691"/>
      <c r="D8501" s="3"/>
    </row>
    <row r="8502" spans="1:4">
      <c r="A8502" s="691"/>
      <c r="D8502" s="3"/>
    </row>
    <row r="8503" spans="1:4">
      <c r="A8503" s="691"/>
      <c r="D8503" s="3"/>
    </row>
    <row r="8504" spans="1:4">
      <c r="A8504" s="691"/>
      <c r="D8504" s="3"/>
    </row>
    <row r="8505" spans="1:4">
      <c r="A8505" s="691"/>
      <c r="D8505" s="3"/>
    </row>
    <row r="8506" spans="1:4">
      <c r="A8506" s="691"/>
      <c r="D8506" s="3"/>
    </row>
    <row r="8507" spans="1:4">
      <c r="A8507" s="691"/>
      <c r="D8507" s="3"/>
    </row>
    <row r="8508" spans="1:4">
      <c r="A8508" s="691"/>
      <c r="D8508" s="3"/>
    </row>
    <row r="8509" spans="1:4">
      <c r="A8509" s="691"/>
      <c r="D8509" s="3"/>
    </row>
    <row r="8510" spans="1:4">
      <c r="A8510" s="691"/>
      <c r="D8510" s="3"/>
    </row>
    <row r="8511" spans="1:4">
      <c r="A8511" s="691"/>
      <c r="D8511" s="3"/>
    </row>
    <row r="8512" spans="1:4">
      <c r="A8512" s="691"/>
      <c r="D8512" s="3"/>
    </row>
    <row r="8513" spans="1:4">
      <c r="A8513" s="691"/>
      <c r="D8513" s="3"/>
    </row>
    <row r="8514" spans="1:4">
      <c r="A8514" s="691"/>
      <c r="D8514" s="3"/>
    </row>
    <row r="8515" spans="1:4">
      <c r="A8515" s="691"/>
      <c r="D8515" s="3"/>
    </row>
    <row r="8516" spans="1:4">
      <c r="A8516" s="691"/>
      <c r="D8516" s="3"/>
    </row>
    <row r="8517" spans="1:4">
      <c r="A8517" s="691"/>
      <c r="D8517" s="3"/>
    </row>
    <row r="8518" spans="1:4">
      <c r="A8518" s="691"/>
      <c r="D8518" s="3"/>
    </row>
    <row r="8519" spans="1:4">
      <c r="A8519" s="691"/>
      <c r="D8519" s="3"/>
    </row>
    <row r="8520" spans="1:4">
      <c r="A8520" s="691"/>
      <c r="D8520" s="3"/>
    </row>
    <row r="8521" spans="1:4">
      <c r="A8521" s="691"/>
      <c r="D8521" s="3"/>
    </row>
    <row r="8522" spans="1:4">
      <c r="A8522" s="691"/>
      <c r="D8522" s="3"/>
    </row>
    <row r="8523" spans="1:4">
      <c r="A8523" s="691"/>
      <c r="D8523" s="3"/>
    </row>
    <row r="8524" spans="1:4">
      <c r="A8524" s="691"/>
      <c r="D8524" s="3"/>
    </row>
    <row r="8525" spans="1:4">
      <c r="A8525" s="691"/>
      <c r="D8525" s="3"/>
    </row>
    <row r="8526" spans="1:4">
      <c r="A8526" s="691"/>
      <c r="D8526" s="3"/>
    </row>
    <row r="8527" spans="1:4">
      <c r="A8527" s="691"/>
      <c r="D8527" s="3"/>
    </row>
    <row r="8528" spans="1:4">
      <c r="A8528" s="691"/>
      <c r="D8528" s="3"/>
    </row>
    <row r="8529" spans="1:4">
      <c r="A8529" s="691"/>
      <c r="D8529" s="3"/>
    </row>
    <row r="8530" spans="1:4">
      <c r="A8530" s="691"/>
      <c r="D8530" s="3"/>
    </row>
    <row r="8531" spans="1:4">
      <c r="A8531" s="691"/>
      <c r="D8531" s="3"/>
    </row>
    <row r="8532" spans="1:4">
      <c r="A8532" s="691"/>
      <c r="D8532" s="3"/>
    </row>
    <row r="8533" spans="1:4">
      <c r="A8533" s="691"/>
      <c r="D8533" s="3"/>
    </row>
    <row r="8534" spans="1:4">
      <c r="A8534" s="691"/>
      <c r="D8534" s="3"/>
    </row>
    <row r="8535" spans="1:4">
      <c r="A8535" s="691"/>
      <c r="D8535" s="3"/>
    </row>
    <row r="8536" spans="1:4">
      <c r="A8536" s="691"/>
      <c r="D8536" s="3"/>
    </row>
    <row r="8537" spans="1:4">
      <c r="A8537" s="691"/>
      <c r="D8537" s="3"/>
    </row>
    <row r="8538" spans="1:4">
      <c r="A8538" s="691"/>
      <c r="D8538" s="3"/>
    </row>
    <row r="8539" spans="1:4">
      <c r="A8539" s="691"/>
      <c r="D8539" s="3"/>
    </row>
    <row r="8540" spans="1:4">
      <c r="A8540" s="691"/>
      <c r="D8540" s="3"/>
    </row>
    <row r="8541" spans="1:4">
      <c r="A8541" s="691"/>
      <c r="D8541" s="3"/>
    </row>
    <row r="8542" spans="1:4">
      <c r="A8542" s="691"/>
      <c r="D8542" s="3"/>
    </row>
    <row r="8543" spans="1:4">
      <c r="A8543" s="691"/>
      <c r="D8543" s="3"/>
    </row>
    <row r="8544" spans="1:4">
      <c r="A8544" s="691"/>
      <c r="D8544" s="3"/>
    </row>
    <row r="8545" spans="1:4">
      <c r="A8545" s="691"/>
      <c r="D8545" s="3"/>
    </row>
    <row r="8546" spans="1:4">
      <c r="A8546" s="691"/>
      <c r="D8546" s="3"/>
    </row>
    <row r="8547" spans="1:4">
      <c r="A8547" s="691"/>
      <c r="D8547" s="3"/>
    </row>
    <row r="8548" spans="1:4">
      <c r="A8548" s="691"/>
      <c r="D8548" s="3"/>
    </row>
    <row r="8549" spans="1:4">
      <c r="A8549" s="691"/>
      <c r="D8549" s="3"/>
    </row>
    <row r="8550" spans="1:4">
      <c r="A8550" s="691"/>
      <c r="D8550" s="3"/>
    </row>
    <row r="8551" spans="1:4">
      <c r="A8551" s="691"/>
      <c r="D8551" s="3"/>
    </row>
    <row r="8552" spans="1:4">
      <c r="A8552" s="691"/>
      <c r="D8552" s="3"/>
    </row>
    <row r="8553" spans="1:4">
      <c r="A8553" s="691"/>
      <c r="D8553" s="3"/>
    </row>
    <row r="8554" spans="1:4">
      <c r="A8554" s="691"/>
      <c r="D8554" s="3"/>
    </row>
    <row r="8555" spans="1:4">
      <c r="A8555" s="691"/>
      <c r="D8555" s="3"/>
    </row>
    <row r="8556" spans="1:4">
      <c r="A8556" s="691"/>
      <c r="D8556" s="3"/>
    </row>
    <row r="8557" spans="1:4">
      <c r="A8557" s="691"/>
      <c r="D8557" s="3"/>
    </row>
    <row r="8558" spans="1:4">
      <c r="A8558" s="691"/>
      <c r="D8558" s="3"/>
    </row>
    <row r="8559" spans="1:4">
      <c r="A8559" s="691"/>
      <c r="D8559" s="3"/>
    </row>
    <row r="8560" spans="1:4">
      <c r="A8560" s="691"/>
      <c r="D8560" s="3"/>
    </row>
    <row r="8561" spans="1:4">
      <c r="A8561" s="691"/>
      <c r="D8561" s="3"/>
    </row>
    <row r="8562" spans="1:4">
      <c r="A8562" s="691"/>
      <c r="D8562" s="3"/>
    </row>
    <row r="8563" spans="1:4">
      <c r="A8563" s="691"/>
      <c r="D8563" s="3"/>
    </row>
    <row r="8564" spans="1:4">
      <c r="A8564" s="691"/>
      <c r="D8564" s="3"/>
    </row>
    <row r="8565" spans="1:4">
      <c r="A8565" s="691"/>
      <c r="D8565" s="3"/>
    </row>
    <row r="8566" spans="1:4">
      <c r="A8566" s="691"/>
      <c r="D8566" s="3"/>
    </row>
    <row r="8567" spans="1:4">
      <c r="A8567" s="691"/>
      <c r="D8567" s="3"/>
    </row>
    <row r="8568" spans="1:4">
      <c r="A8568" s="691"/>
      <c r="D8568" s="3"/>
    </row>
    <row r="8569" spans="1:4">
      <c r="A8569" s="691"/>
      <c r="D8569" s="3"/>
    </row>
    <row r="8570" spans="1:4">
      <c r="A8570" s="691"/>
      <c r="D8570" s="3"/>
    </row>
    <row r="8571" spans="1:4">
      <c r="A8571" s="691"/>
      <c r="D8571" s="3"/>
    </row>
    <row r="8572" spans="1:4">
      <c r="A8572" s="691"/>
      <c r="D8572" s="3"/>
    </row>
    <row r="8573" spans="1:4">
      <c r="A8573" s="691"/>
      <c r="D8573" s="3"/>
    </row>
    <row r="8574" spans="1:4">
      <c r="A8574" s="691"/>
      <c r="D8574" s="3"/>
    </row>
    <row r="8575" spans="1:4">
      <c r="A8575" s="691"/>
      <c r="D8575" s="3"/>
    </row>
    <row r="8576" spans="1:4">
      <c r="A8576" s="691"/>
      <c r="D8576" s="3"/>
    </row>
    <row r="8577" spans="1:4">
      <c r="A8577" s="691"/>
      <c r="D8577" s="3"/>
    </row>
    <row r="8578" spans="1:4">
      <c r="A8578" s="691"/>
      <c r="D8578" s="3"/>
    </row>
    <row r="8579" spans="1:4">
      <c r="A8579" s="691"/>
      <c r="D8579" s="3"/>
    </row>
    <row r="8580" spans="1:4">
      <c r="A8580" s="691"/>
      <c r="D8580" s="3"/>
    </row>
    <row r="8581" spans="1:4">
      <c r="A8581" s="691"/>
      <c r="D8581" s="3"/>
    </row>
    <row r="8582" spans="1:4">
      <c r="A8582" s="691"/>
      <c r="D8582" s="3"/>
    </row>
    <row r="8583" spans="1:4">
      <c r="A8583" s="691"/>
      <c r="D8583" s="3"/>
    </row>
    <row r="8584" spans="1:4">
      <c r="A8584" s="691"/>
      <c r="D8584" s="3"/>
    </row>
    <row r="8585" spans="1:4">
      <c r="A8585" s="691"/>
      <c r="D8585" s="3"/>
    </row>
    <row r="8586" spans="1:4">
      <c r="A8586" s="691"/>
      <c r="D8586" s="3"/>
    </row>
    <row r="8587" spans="1:4">
      <c r="A8587" s="691"/>
      <c r="D8587" s="3"/>
    </row>
    <row r="8588" spans="1:4">
      <c r="A8588" s="691"/>
      <c r="D8588" s="3"/>
    </row>
    <row r="8589" spans="1:4">
      <c r="A8589" s="691"/>
      <c r="D8589" s="3"/>
    </row>
    <row r="8590" spans="1:4">
      <c r="A8590" s="691"/>
      <c r="D8590" s="3"/>
    </row>
    <row r="8591" spans="1:4">
      <c r="A8591" s="691"/>
      <c r="D8591" s="3"/>
    </row>
    <row r="8592" spans="1:4">
      <c r="A8592" s="691"/>
      <c r="D8592" s="3"/>
    </row>
    <row r="8593" spans="1:4">
      <c r="A8593" s="691"/>
      <c r="D8593" s="3"/>
    </row>
    <row r="8594" spans="1:4">
      <c r="A8594" s="691"/>
      <c r="D8594" s="3"/>
    </row>
    <row r="8595" spans="1:4">
      <c r="A8595" s="691"/>
      <c r="D8595" s="3"/>
    </row>
    <row r="8596" spans="1:4">
      <c r="A8596" s="691"/>
      <c r="D8596" s="3"/>
    </row>
    <row r="8597" spans="1:4">
      <c r="A8597" s="691"/>
      <c r="D8597" s="3"/>
    </row>
    <row r="8598" spans="1:4">
      <c r="A8598" s="691"/>
      <c r="D8598" s="3"/>
    </row>
    <row r="8599" spans="1:4">
      <c r="A8599" s="691"/>
      <c r="D8599" s="3"/>
    </row>
    <row r="8600" spans="1:4">
      <c r="A8600" s="691"/>
      <c r="D8600" s="3"/>
    </row>
    <row r="8601" spans="1:4">
      <c r="A8601" s="691"/>
      <c r="D8601" s="3"/>
    </row>
    <row r="8602" spans="1:4">
      <c r="A8602" s="691"/>
      <c r="D8602" s="3"/>
    </row>
    <row r="8603" spans="1:4">
      <c r="A8603" s="691"/>
      <c r="D8603" s="3"/>
    </row>
    <row r="8604" spans="1:4">
      <c r="A8604" s="691"/>
      <c r="D8604" s="3"/>
    </row>
    <row r="8605" spans="1:4">
      <c r="A8605" s="691"/>
      <c r="D8605" s="3"/>
    </row>
    <row r="8606" spans="1:4">
      <c r="A8606" s="691"/>
      <c r="D8606" s="3"/>
    </row>
    <row r="8607" spans="1:4">
      <c r="A8607" s="691"/>
      <c r="D8607" s="3"/>
    </row>
    <row r="8608" spans="1:4">
      <c r="A8608" s="691"/>
      <c r="D8608" s="3"/>
    </row>
    <row r="8609" spans="1:4">
      <c r="A8609" s="691"/>
      <c r="D8609" s="3"/>
    </row>
    <row r="8610" spans="1:4">
      <c r="A8610" s="691"/>
      <c r="D8610" s="3"/>
    </row>
    <row r="8611" spans="1:4">
      <c r="A8611" s="691"/>
      <c r="D8611" s="3"/>
    </row>
    <row r="8612" spans="1:4">
      <c r="A8612" s="691"/>
      <c r="D8612" s="3"/>
    </row>
    <row r="8613" spans="1:4">
      <c r="A8613" s="691"/>
      <c r="D8613" s="3"/>
    </row>
    <row r="8614" spans="1:4">
      <c r="A8614" s="691"/>
      <c r="D8614" s="3"/>
    </row>
    <row r="8615" spans="1:4">
      <c r="A8615" s="691"/>
      <c r="D8615" s="3"/>
    </row>
    <row r="8616" spans="1:4">
      <c r="A8616" s="691"/>
      <c r="D8616" s="3"/>
    </row>
    <row r="8617" spans="1:4">
      <c r="A8617" s="691"/>
      <c r="D8617" s="3"/>
    </row>
    <row r="8618" spans="1:4">
      <c r="A8618" s="691"/>
      <c r="D8618" s="3"/>
    </row>
    <row r="8619" spans="1:4">
      <c r="A8619" s="691"/>
      <c r="D8619" s="3"/>
    </row>
    <row r="8620" spans="1:4">
      <c r="A8620" s="691"/>
      <c r="D8620" s="3"/>
    </row>
    <row r="8621" spans="1:4">
      <c r="A8621" s="691"/>
      <c r="D8621" s="3"/>
    </row>
    <row r="8622" spans="1:4">
      <c r="A8622" s="691"/>
      <c r="D8622" s="3"/>
    </row>
    <row r="8623" spans="1:4">
      <c r="A8623" s="691"/>
      <c r="D8623" s="3"/>
    </row>
    <row r="8624" spans="1:4">
      <c r="A8624" s="691"/>
      <c r="D8624" s="3"/>
    </row>
    <row r="8625" spans="1:4">
      <c r="A8625" s="691"/>
      <c r="D8625" s="3"/>
    </row>
    <row r="8626" spans="1:4">
      <c r="A8626" s="691"/>
      <c r="D8626" s="3"/>
    </row>
    <row r="8627" spans="1:4">
      <c r="A8627" s="691"/>
      <c r="D8627" s="3"/>
    </row>
    <row r="8628" spans="1:4">
      <c r="A8628" s="691"/>
      <c r="D8628" s="3"/>
    </row>
    <row r="8629" spans="1:4">
      <c r="A8629" s="691"/>
      <c r="D8629" s="3"/>
    </row>
    <row r="8630" spans="1:4">
      <c r="A8630" s="691"/>
      <c r="D8630" s="3"/>
    </row>
    <row r="8631" spans="1:4">
      <c r="A8631" s="691"/>
      <c r="D8631" s="3"/>
    </row>
    <row r="8632" spans="1:4">
      <c r="A8632" s="691"/>
      <c r="D8632" s="3"/>
    </row>
    <row r="8633" spans="1:4">
      <c r="A8633" s="691"/>
      <c r="D8633" s="3"/>
    </row>
    <row r="8634" spans="1:4">
      <c r="A8634" s="691"/>
      <c r="D8634" s="3"/>
    </row>
    <row r="8635" spans="1:4">
      <c r="A8635" s="691"/>
      <c r="D8635" s="3"/>
    </row>
    <row r="8636" spans="1:4">
      <c r="A8636" s="691"/>
      <c r="D8636" s="3"/>
    </row>
    <row r="8637" spans="1:4">
      <c r="A8637" s="691"/>
      <c r="D8637" s="3"/>
    </row>
    <row r="8638" spans="1:4">
      <c r="A8638" s="691"/>
      <c r="D8638" s="3"/>
    </row>
    <row r="8639" spans="1:4">
      <c r="A8639" s="691"/>
      <c r="D8639" s="3"/>
    </row>
    <row r="8640" spans="1:4">
      <c r="A8640" s="691"/>
      <c r="D8640" s="3"/>
    </row>
    <row r="8641" spans="1:4">
      <c r="A8641" s="691"/>
      <c r="D8641" s="3"/>
    </row>
    <row r="8642" spans="1:4">
      <c r="A8642" s="691"/>
      <c r="D8642" s="3"/>
    </row>
    <row r="8643" spans="1:4">
      <c r="A8643" s="691"/>
      <c r="D8643" s="3"/>
    </row>
    <row r="8644" spans="1:4">
      <c r="A8644" s="691"/>
      <c r="D8644" s="3"/>
    </row>
    <row r="8645" spans="1:4">
      <c r="A8645" s="691"/>
      <c r="D8645" s="3"/>
    </row>
    <row r="8646" spans="1:4">
      <c r="A8646" s="691"/>
      <c r="D8646" s="3"/>
    </row>
    <row r="8647" spans="1:4">
      <c r="A8647" s="691"/>
      <c r="D8647" s="3"/>
    </row>
    <row r="8648" spans="1:4">
      <c r="A8648" s="691"/>
      <c r="D8648" s="3"/>
    </row>
    <row r="8649" spans="1:4">
      <c r="A8649" s="691"/>
      <c r="D8649" s="3"/>
    </row>
    <row r="8650" spans="1:4">
      <c r="A8650" s="691"/>
      <c r="D8650" s="3"/>
    </row>
    <row r="8651" spans="1:4">
      <c r="A8651" s="691"/>
      <c r="D8651" s="3"/>
    </row>
    <row r="8652" spans="1:4">
      <c r="A8652" s="691"/>
      <c r="D8652" s="3"/>
    </row>
    <row r="8653" spans="1:4">
      <c r="A8653" s="691"/>
      <c r="D8653" s="3"/>
    </row>
    <row r="8654" spans="1:4">
      <c r="A8654" s="691"/>
      <c r="D8654" s="3"/>
    </row>
    <row r="8655" spans="1:4">
      <c r="A8655" s="691"/>
      <c r="D8655" s="3"/>
    </row>
    <row r="8656" spans="1:4">
      <c r="A8656" s="691"/>
      <c r="D8656" s="3"/>
    </row>
    <row r="8657" spans="1:4">
      <c r="A8657" s="691"/>
      <c r="D8657" s="3"/>
    </row>
    <row r="8658" spans="1:4">
      <c r="A8658" s="691"/>
      <c r="D8658" s="3"/>
    </row>
    <row r="8659" spans="1:4">
      <c r="A8659" s="691"/>
      <c r="D8659" s="3"/>
    </row>
    <row r="8660" spans="1:4">
      <c r="A8660" s="691"/>
      <c r="D8660" s="3"/>
    </row>
    <row r="8661" spans="1:4">
      <c r="A8661" s="691"/>
      <c r="D8661" s="3"/>
    </row>
    <row r="8662" spans="1:4">
      <c r="A8662" s="691"/>
      <c r="D8662" s="3"/>
    </row>
    <row r="8663" spans="1:4">
      <c r="A8663" s="691"/>
      <c r="D8663" s="3"/>
    </row>
    <row r="8664" spans="1:4">
      <c r="A8664" s="691"/>
      <c r="D8664" s="3"/>
    </row>
    <row r="8665" spans="1:4">
      <c r="A8665" s="691"/>
      <c r="D8665" s="3"/>
    </row>
    <row r="8666" spans="1:4">
      <c r="A8666" s="691"/>
      <c r="D8666" s="3"/>
    </row>
    <row r="8667" spans="1:4">
      <c r="A8667" s="691"/>
      <c r="D8667" s="3"/>
    </row>
    <row r="8668" spans="1:4">
      <c r="A8668" s="691"/>
      <c r="D8668" s="3"/>
    </row>
    <row r="8669" spans="1:4">
      <c r="A8669" s="691"/>
      <c r="D8669" s="3"/>
    </row>
    <row r="8670" spans="1:4">
      <c r="A8670" s="691"/>
      <c r="D8670" s="3"/>
    </row>
    <row r="8671" spans="1:4">
      <c r="A8671" s="691"/>
      <c r="D8671" s="3"/>
    </row>
    <row r="8672" spans="1:4">
      <c r="A8672" s="691"/>
      <c r="D8672" s="3"/>
    </row>
    <row r="8673" spans="1:4">
      <c r="A8673" s="691"/>
      <c r="D8673" s="3"/>
    </row>
    <row r="8674" spans="1:4">
      <c r="A8674" s="691"/>
      <c r="D8674" s="3"/>
    </row>
    <row r="8675" spans="1:4">
      <c r="A8675" s="691"/>
      <c r="D8675" s="3"/>
    </row>
    <row r="8676" spans="1:4">
      <c r="A8676" s="691"/>
      <c r="D8676" s="3"/>
    </row>
    <row r="8677" spans="1:4">
      <c r="A8677" s="691"/>
      <c r="D8677" s="3"/>
    </row>
    <row r="8678" spans="1:4">
      <c r="A8678" s="691"/>
      <c r="D8678" s="3"/>
    </row>
    <row r="8679" spans="1:4">
      <c r="A8679" s="691"/>
      <c r="D8679" s="3"/>
    </row>
    <row r="8680" spans="1:4">
      <c r="A8680" s="691"/>
      <c r="D8680" s="3"/>
    </row>
    <row r="8681" spans="1:4">
      <c r="A8681" s="691"/>
      <c r="D8681" s="3"/>
    </row>
    <row r="8682" spans="1:4">
      <c r="A8682" s="691"/>
      <c r="D8682" s="3"/>
    </row>
    <row r="8683" spans="1:4">
      <c r="A8683" s="691"/>
      <c r="D8683" s="3"/>
    </row>
    <row r="8684" spans="1:4">
      <c r="A8684" s="691"/>
      <c r="D8684" s="3"/>
    </row>
    <row r="8685" spans="1:4">
      <c r="A8685" s="691"/>
      <c r="D8685" s="3"/>
    </row>
    <row r="8686" spans="1:4">
      <c r="A8686" s="691"/>
      <c r="D8686" s="3"/>
    </row>
    <row r="8687" spans="1:4">
      <c r="A8687" s="691"/>
      <c r="D8687" s="3"/>
    </row>
    <row r="8688" spans="1:4">
      <c r="A8688" s="691"/>
      <c r="D8688" s="3"/>
    </row>
    <row r="8689" spans="1:4">
      <c r="A8689" s="691"/>
      <c r="D8689" s="3"/>
    </row>
    <row r="8690" spans="1:4">
      <c r="A8690" s="691"/>
      <c r="D8690" s="3"/>
    </row>
    <row r="8691" spans="1:4">
      <c r="A8691" s="691"/>
      <c r="D8691" s="3"/>
    </row>
    <row r="8692" spans="1:4">
      <c r="A8692" s="691"/>
      <c r="D8692" s="3"/>
    </row>
    <row r="8693" spans="1:4">
      <c r="A8693" s="691"/>
      <c r="D8693" s="3"/>
    </row>
    <row r="8694" spans="1:4">
      <c r="A8694" s="691"/>
      <c r="D8694" s="3"/>
    </row>
    <row r="8695" spans="1:4">
      <c r="A8695" s="691"/>
      <c r="D8695" s="3"/>
    </row>
    <row r="8696" spans="1:4">
      <c r="A8696" s="691"/>
      <c r="D8696" s="3"/>
    </row>
    <row r="8697" spans="1:4">
      <c r="A8697" s="691"/>
      <c r="D8697" s="3"/>
    </row>
    <row r="8698" spans="1:4">
      <c r="A8698" s="691"/>
      <c r="D8698" s="3"/>
    </row>
    <row r="8699" spans="1:4">
      <c r="A8699" s="691"/>
      <c r="D8699" s="3"/>
    </row>
    <row r="8700" spans="1:4">
      <c r="A8700" s="691"/>
      <c r="D8700" s="3"/>
    </row>
    <row r="8701" spans="1:4">
      <c r="A8701" s="691"/>
      <c r="D8701" s="3"/>
    </row>
    <row r="8702" spans="1:4">
      <c r="A8702" s="691"/>
      <c r="D8702" s="3"/>
    </row>
    <row r="8703" spans="1:4">
      <c r="A8703" s="691"/>
      <c r="D8703" s="3"/>
    </row>
    <row r="8704" spans="1:4">
      <c r="A8704" s="691"/>
      <c r="D8704" s="3"/>
    </row>
    <row r="8705" spans="1:4">
      <c r="A8705" s="691"/>
      <c r="D8705" s="3"/>
    </row>
    <row r="8706" spans="1:4">
      <c r="A8706" s="691"/>
      <c r="D8706" s="3"/>
    </row>
    <row r="8707" spans="1:4">
      <c r="A8707" s="691"/>
      <c r="D8707" s="3"/>
    </row>
    <row r="8708" spans="1:4">
      <c r="A8708" s="691"/>
      <c r="D8708" s="3"/>
    </row>
    <row r="8709" spans="1:4">
      <c r="A8709" s="691"/>
      <c r="D8709" s="3"/>
    </row>
    <row r="8710" spans="1:4">
      <c r="A8710" s="691"/>
      <c r="D8710" s="3"/>
    </row>
    <row r="8711" spans="1:4">
      <c r="A8711" s="691"/>
      <c r="D8711" s="3"/>
    </row>
    <row r="8712" spans="1:4">
      <c r="A8712" s="691"/>
      <c r="D8712" s="3"/>
    </row>
    <row r="8713" spans="1:4">
      <c r="A8713" s="691"/>
      <c r="D8713" s="3"/>
    </row>
    <row r="8714" spans="1:4">
      <c r="A8714" s="691"/>
      <c r="D8714" s="3"/>
    </row>
    <row r="8715" spans="1:4">
      <c r="A8715" s="691"/>
      <c r="D8715" s="3"/>
    </row>
    <row r="8716" spans="1:4">
      <c r="A8716" s="691"/>
      <c r="D8716" s="3"/>
    </row>
    <row r="8717" spans="1:4">
      <c r="A8717" s="691"/>
      <c r="D8717" s="3"/>
    </row>
    <row r="8718" spans="1:4">
      <c r="A8718" s="691"/>
      <c r="D8718" s="3"/>
    </row>
    <row r="8719" spans="1:4">
      <c r="A8719" s="691"/>
      <c r="D8719" s="3"/>
    </row>
    <row r="8720" spans="1:4">
      <c r="A8720" s="691"/>
      <c r="D8720" s="3"/>
    </row>
    <row r="8721" spans="1:4">
      <c r="A8721" s="691"/>
      <c r="D8721" s="3"/>
    </row>
    <row r="8722" spans="1:4">
      <c r="A8722" s="691"/>
      <c r="D8722" s="3"/>
    </row>
    <row r="8723" spans="1:4">
      <c r="A8723" s="691"/>
      <c r="D8723" s="3"/>
    </row>
    <row r="8724" spans="1:4">
      <c r="A8724" s="691"/>
      <c r="D8724" s="3"/>
    </row>
    <row r="8725" spans="1:4">
      <c r="A8725" s="691"/>
      <c r="D8725" s="3"/>
    </row>
    <row r="8726" spans="1:4">
      <c r="A8726" s="691"/>
      <c r="D8726" s="3"/>
    </row>
    <row r="8727" spans="1:4">
      <c r="A8727" s="691"/>
      <c r="D8727" s="3"/>
    </row>
    <row r="8728" spans="1:4">
      <c r="A8728" s="691"/>
      <c r="D8728" s="3"/>
    </row>
    <row r="8729" spans="1:4">
      <c r="A8729" s="691"/>
      <c r="D8729" s="3"/>
    </row>
    <row r="8730" spans="1:4">
      <c r="A8730" s="691"/>
      <c r="D8730" s="3"/>
    </row>
    <row r="8731" spans="1:4">
      <c r="A8731" s="691"/>
      <c r="D8731" s="3"/>
    </row>
    <row r="8732" spans="1:4">
      <c r="A8732" s="691"/>
      <c r="D8732" s="3"/>
    </row>
    <row r="8733" spans="1:4">
      <c r="A8733" s="691"/>
      <c r="D8733" s="3"/>
    </row>
    <row r="8734" spans="1:4">
      <c r="A8734" s="691"/>
      <c r="D8734" s="3"/>
    </row>
    <row r="8735" spans="1:4">
      <c r="A8735" s="691"/>
      <c r="D8735" s="3"/>
    </row>
    <row r="8736" spans="1:4">
      <c r="A8736" s="691"/>
      <c r="D8736" s="3"/>
    </row>
    <row r="8737" spans="1:4">
      <c r="A8737" s="691"/>
      <c r="D8737" s="3"/>
    </row>
    <row r="8738" spans="1:4">
      <c r="A8738" s="691"/>
      <c r="D8738" s="3"/>
    </row>
    <row r="8739" spans="1:4">
      <c r="A8739" s="691"/>
      <c r="D8739" s="3"/>
    </row>
    <row r="8740" spans="1:4">
      <c r="A8740" s="691"/>
      <c r="D8740" s="3"/>
    </row>
    <row r="8741" spans="1:4">
      <c r="A8741" s="691"/>
      <c r="D8741" s="3"/>
    </row>
    <row r="8742" spans="1:4">
      <c r="A8742" s="691"/>
      <c r="D8742" s="3"/>
    </row>
    <row r="8743" spans="1:4">
      <c r="A8743" s="691"/>
      <c r="D8743" s="3"/>
    </row>
    <row r="8744" spans="1:4">
      <c r="A8744" s="691"/>
      <c r="D8744" s="3"/>
    </row>
    <row r="8745" spans="1:4">
      <c r="A8745" s="691"/>
      <c r="D8745" s="3"/>
    </row>
    <row r="8746" spans="1:4">
      <c r="A8746" s="691"/>
      <c r="D8746" s="3"/>
    </row>
    <row r="8747" spans="1:4">
      <c r="A8747" s="691"/>
      <c r="D8747" s="3"/>
    </row>
    <row r="8748" spans="1:4">
      <c r="A8748" s="691"/>
      <c r="D8748" s="3"/>
    </row>
    <row r="8749" spans="1:4">
      <c r="A8749" s="691"/>
      <c r="D8749" s="3"/>
    </row>
    <row r="8750" spans="1:4">
      <c r="A8750" s="691"/>
      <c r="D8750" s="3"/>
    </row>
    <row r="8751" spans="1:4">
      <c r="A8751" s="691"/>
      <c r="D8751" s="3"/>
    </row>
    <row r="8752" spans="1:4">
      <c r="A8752" s="691"/>
      <c r="D8752" s="3"/>
    </row>
    <row r="8753" spans="1:4">
      <c r="A8753" s="691"/>
      <c r="D8753" s="3"/>
    </row>
    <row r="8754" spans="1:4">
      <c r="A8754" s="691"/>
      <c r="D8754" s="3"/>
    </row>
    <row r="8755" spans="1:4">
      <c r="A8755" s="691"/>
      <c r="D8755" s="3"/>
    </row>
    <row r="8756" spans="1:4">
      <c r="A8756" s="691"/>
      <c r="D8756" s="3"/>
    </row>
    <row r="8757" spans="1:4">
      <c r="A8757" s="691"/>
      <c r="D8757" s="3"/>
    </row>
    <row r="8758" spans="1:4">
      <c r="A8758" s="691"/>
      <c r="D8758" s="3"/>
    </row>
    <row r="8759" spans="1:4">
      <c r="A8759" s="691"/>
      <c r="D8759" s="3"/>
    </row>
    <row r="8760" spans="1:4">
      <c r="A8760" s="691"/>
      <c r="D8760" s="3"/>
    </row>
    <row r="8761" spans="1:4">
      <c r="A8761" s="691"/>
      <c r="D8761" s="3"/>
    </row>
    <row r="8762" spans="1:4">
      <c r="A8762" s="691"/>
      <c r="D8762" s="3"/>
    </row>
    <row r="8763" spans="1:4">
      <c r="A8763" s="691"/>
      <c r="D8763" s="3"/>
    </row>
    <row r="8764" spans="1:4">
      <c r="A8764" s="691"/>
      <c r="D8764" s="3"/>
    </row>
    <row r="8765" spans="1:4">
      <c r="A8765" s="691"/>
      <c r="D8765" s="3"/>
    </row>
    <row r="8766" spans="1:4">
      <c r="A8766" s="691"/>
      <c r="D8766" s="3"/>
    </row>
    <row r="8767" spans="1:4">
      <c r="A8767" s="691"/>
      <c r="D8767" s="3"/>
    </row>
    <row r="8768" spans="1:4">
      <c r="A8768" s="691"/>
      <c r="D8768" s="3"/>
    </row>
    <row r="8769" spans="1:4">
      <c r="A8769" s="691"/>
      <c r="D8769" s="3"/>
    </row>
    <row r="8770" spans="1:4">
      <c r="A8770" s="691"/>
      <c r="D8770" s="3"/>
    </row>
    <row r="8771" spans="1:4">
      <c r="A8771" s="691"/>
      <c r="D8771" s="3"/>
    </row>
    <row r="8772" spans="1:4">
      <c r="A8772" s="691"/>
      <c r="D8772" s="3"/>
    </row>
    <row r="8773" spans="1:4">
      <c r="A8773" s="691"/>
      <c r="D8773" s="3"/>
    </row>
    <row r="8774" spans="1:4">
      <c r="A8774" s="691"/>
      <c r="D8774" s="3"/>
    </row>
    <row r="8775" spans="1:4">
      <c r="A8775" s="691"/>
      <c r="D8775" s="3"/>
    </row>
    <row r="8776" spans="1:4">
      <c r="A8776" s="691"/>
      <c r="D8776" s="3"/>
    </row>
    <row r="8777" spans="1:4">
      <c r="A8777" s="691"/>
      <c r="D8777" s="3"/>
    </row>
    <row r="8778" spans="1:4">
      <c r="A8778" s="691"/>
      <c r="D8778" s="3"/>
    </row>
    <row r="8779" spans="1:4">
      <c r="A8779" s="691"/>
      <c r="D8779" s="3"/>
    </row>
    <row r="8780" spans="1:4">
      <c r="A8780" s="691"/>
      <c r="D8780" s="3"/>
    </row>
    <row r="8781" spans="1:4">
      <c r="A8781" s="691"/>
      <c r="D8781" s="3"/>
    </row>
    <row r="8782" spans="1:4">
      <c r="A8782" s="691"/>
      <c r="D8782" s="3"/>
    </row>
    <row r="8783" spans="1:4">
      <c r="A8783" s="691"/>
      <c r="D8783" s="3"/>
    </row>
    <row r="8784" spans="1:4">
      <c r="A8784" s="691"/>
      <c r="D8784" s="3"/>
    </row>
    <row r="8785" spans="1:4">
      <c r="A8785" s="691"/>
      <c r="D8785" s="3"/>
    </row>
    <row r="8786" spans="1:4">
      <c r="A8786" s="691"/>
      <c r="D8786" s="3"/>
    </row>
    <row r="8787" spans="1:4">
      <c r="A8787" s="691"/>
      <c r="D8787" s="3"/>
    </row>
    <row r="8788" spans="1:4">
      <c r="A8788" s="691"/>
      <c r="D8788" s="3"/>
    </row>
    <row r="8789" spans="1:4">
      <c r="A8789" s="691"/>
      <c r="D8789" s="3"/>
    </row>
    <row r="8790" spans="1:4">
      <c r="A8790" s="691"/>
      <c r="D8790" s="3"/>
    </row>
    <row r="8791" spans="1:4">
      <c r="A8791" s="691"/>
      <c r="D8791" s="3"/>
    </row>
    <row r="8792" spans="1:4">
      <c r="A8792" s="691"/>
      <c r="D8792" s="3"/>
    </row>
    <row r="8793" spans="1:4">
      <c r="A8793" s="691"/>
      <c r="D8793" s="3"/>
    </row>
    <row r="8794" spans="1:4">
      <c r="A8794" s="691"/>
      <c r="D8794" s="3"/>
    </row>
    <row r="8795" spans="1:4">
      <c r="A8795" s="691"/>
      <c r="D8795" s="3"/>
    </row>
    <row r="8796" spans="1:4">
      <c r="A8796" s="691"/>
      <c r="D8796" s="3"/>
    </row>
    <row r="8797" spans="1:4">
      <c r="A8797" s="691"/>
      <c r="D8797" s="3"/>
    </row>
    <row r="8798" spans="1:4">
      <c r="A8798" s="691"/>
      <c r="D8798" s="3"/>
    </row>
    <row r="8799" spans="1:4">
      <c r="A8799" s="691"/>
      <c r="D8799" s="3"/>
    </row>
    <row r="8800" spans="1:4">
      <c r="A8800" s="691"/>
      <c r="D8800" s="3"/>
    </row>
    <row r="8801" spans="1:4">
      <c r="A8801" s="691"/>
      <c r="D8801" s="3"/>
    </row>
    <row r="8802" spans="1:4">
      <c r="A8802" s="691"/>
      <c r="D8802" s="3"/>
    </row>
    <row r="8803" spans="1:4">
      <c r="A8803" s="691"/>
      <c r="D8803" s="3"/>
    </row>
    <row r="8804" spans="1:4">
      <c r="A8804" s="691"/>
      <c r="D8804" s="3"/>
    </row>
    <row r="8805" spans="1:4">
      <c r="A8805" s="691"/>
      <c r="D8805" s="3"/>
    </row>
    <row r="8806" spans="1:4">
      <c r="A8806" s="691"/>
      <c r="D8806" s="3"/>
    </row>
    <row r="8807" spans="1:4">
      <c r="A8807" s="691"/>
      <c r="D8807" s="3"/>
    </row>
    <row r="8808" spans="1:4">
      <c r="A8808" s="691"/>
      <c r="D8808" s="3"/>
    </row>
    <row r="8809" spans="1:4">
      <c r="A8809" s="691"/>
      <c r="D8809" s="3"/>
    </row>
    <row r="8810" spans="1:4">
      <c r="A8810" s="691"/>
      <c r="D8810" s="3"/>
    </row>
    <row r="8811" spans="1:4">
      <c r="A8811" s="691"/>
      <c r="D8811" s="3"/>
    </row>
    <row r="8812" spans="1:4">
      <c r="A8812" s="691"/>
      <c r="D8812" s="3"/>
    </row>
    <row r="8813" spans="1:4">
      <c r="A8813" s="691"/>
      <c r="D8813" s="3"/>
    </row>
    <row r="8814" spans="1:4">
      <c r="A8814" s="691"/>
      <c r="D8814" s="3"/>
    </row>
    <row r="8815" spans="1:4">
      <c r="A8815" s="691"/>
      <c r="D8815" s="3"/>
    </row>
    <row r="8816" spans="1:4">
      <c r="A8816" s="691"/>
      <c r="D8816" s="3"/>
    </row>
    <row r="8817" spans="1:4">
      <c r="A8817" s="691"/>
      <c r="D8817" s="3"/>
    </row>
    <row r="8818" spans="1:4">
      <c r="A8818" s="691"/>
      <c r="D8818" s="3"/>
    </row>
    <row r="8819" spans="1:4">
      <c r="A8819" s="691"/>
      <c r="D8819" s="3"/>
    </row>
    <row r="8820" spans="1:4">
      <c r="A8820" s="691"/>
      <c r="D8820" s="3"/>
    </row>
    <row r="8821" spans="1:4">
      <c r="A8821" s="691"/>
      <c r="D8821" s="3"/>
    </row>
    <row r="8822" spans="1:4">
      <c r="A8822" s="691"/>
      <c r="D8822" s="3"/>
    </row>
    <row r="8823" spans="1:4">
      <c r="A8823" s="691"/>
      <c r="D8823" s="3"/>
    </row>
    <row r="8824" spans="1:4">
      <c r="A8824" s="691"/>
      <c r="D8824" s="3"/>
    </row>
    <row r="8825" spans="1:4">
      <c r="A8825" s="691"/>
      <c r="D8825" s="3"/>
    </row>
    <row r="8826" spans="1:4">
      <c r="A8826" s="691"/>
      <c r="D8826" s="3"/>
    </row>
    <row r="8827" spans="1:4">
      <c r="A8827" s="691"/>
      <c r="D8827" s="3"/>
    </row>
    <row r="8828" spans="1:4">
      <c r="A8828" s="691"/>
      <c r="D8828" s="3"/>
    </row>
    <row r="8829" spans="1:4">
      <c r="A8829" s="691"/>
      <c r="D8829" s="3"/>
    </row>
    <row r="8830" spans="1:4">
      <c r="A8830" s="691"/>
      <c r="D8830" s="3"/>
    </row>
    <row r="8831" spans="1:4">
      <c r="A8831" s="691"/>
      <c r="D8831" s="3"/>
    </row>
    <row r="8832" spans="1:4">
      <c r="A8832" s="691"/>
      <c r="D8832" s="3"/>
    </row>
    <row r="8833" spans="1:4">
      <c r="A8833" s="691"/>
      <c r="D8833" s="3"/>
    </row>
    <row r="8834" spans="1:4">
      <c r="A8834" s="691"/>
      <c r="D8834" s="3"/>
    </row>
    <row r="8835" spans="1:4">
      <c r="A8835" s="691"/>
      <c r="D8835" s="3"/>
    </row>
    <row r="8836" spans="1:4">
      <c r="A8836" s="691"/>
      <c r="D8836" s="3"/>
    </row>
    <row r="8837" spans="1:4">
      <c r="A8837" s="691"/>
      <c r="D8837" s="3"/>
    </row>
    <row r="8838" spans="1:4">
      <c r="A8838" s="691"/>
      <c r="D8838" s="3"/>
    </row>
    <row r="8839" spans="1:4">
      <c r="A8839" s="691"/>
      <c r="D8839" s="3"/>
    </row>
    <row r="8840" spans="1:4">
      <c r="A8840" s="691"/>
      <c r="D8840" s="3"/>
    </row>
    <row r="8841" spans="1:4">
      <c r="A8841" s="691"/>
      <c r="D8841" s="3"/>
    </row>
    <row r="8842" spans="1:4">
      <c r="A8842" s="691"/>
      <c r="D8842" s="3"/>
    </row>
    <row r="8843" spans="1:4">
      <c r="A8843" s="691"/>
      <c r="D8843" s="3"/>
    </row>
    <row r="8844" spans="1:4">
      <c r="A8844" s="691"/>
      <c r="D8844" s="3"/>
    </row>
    <row r="8845" spans="1:4">
      <c r="A8845" s="691"/>
      <c r="D8845" s="3"/>
    </row>
    <row r="8846" spans="1:4">
      <c r="A8846" s="691"/>
      <c r="D8846" s="3"/>
    </row>
    <row r="8847" spans="1:4">
      <c r="A8847" s="691"/>
      <c r="D8847" s="3"/>
    </row>
    <row r="8848" spans="1:4">
      <c r="A8848" s="691"/>
      <c r="D8848" s="3"/>
    </row>
    <row r="8849" spans="1:4">
      <c r="A8849" s="691"/>
      <c r="D8849" s="3"/>
    </row>
    <row r="8850" spans="1:4">
      <c r="A8850" s="691"/>
      <c r="D8850" s="3"/>
    </row>
    <row r="8851" spans="1:4">
      <c r="A8851" s="691"/>
      <c r="D8851" s="3"/>
    </row>
    <row r="8852" spans="1:4">
      <c r="A8852" s="691"/>
      <c r="D8852" s="3"/>
    </row>
    <row r="8853" spans="1:4">
      <c r="A8853" s="691"/>
      <c r="D8853" s="3"/>
    </row>
    <row r="8854" spans="1:4">
      <c r="A8854" s="691"/>
      <c r="D8854" s="3"/>
    </row>
    <row r="8855" spans="1:4">
      <c r="A8855" s="691"/>
      <c r="D8855" s="3"/>
    </row>
    <row r="8856" spans="1:4">
      <c r="A8856" s="691"/>
      <c r="D8856" s="3"/>
    </row>
    <row r="8857" spans="1:4">
      <c r="A8857" s="691"/>
      <c r="D8857" s="3"/>
    </row>
    <row r="8858" spans="1:4">
      <c r="A8858" s="691"/>
      <c r="D8858" s="3"/>
    </row>
    <row r="8859" spans="1:4">
      <c r="A8859" s="691"/>
      <c r="D8859" s="3"/>
    </row>
    <row r="8860" spans="1:4">
      <c r="A8860" s="691"/>
      <c r="D8860" s="3"/>
    </row>
    <row r="8861" spans="1:4">
      <c r="A8861" s="691"/>
      <c r="D8861" s="3"/>
    </row>
    <row r="8862" spans="1:4">
      <c r="A8862" s="691"/>
      <c r="D8862" s="3"/>
    </row>
    <row r="8863" spans="1:4">
      <c r="A8863" s="691"/>
      <c r="D8863" s="3"/>
    </row>
    <row r="8864" spans="1:4">
      <c r="A8864" s="691"/>
      <c r="D8864" s="3"/>
    </row>
    <row r="8865" spans="1:4">
      <c r="A8865" s="691"/>
      <c r="D8865" s="3"/>
    </row>
    <row r="8866" spans="1:4">
      <c r="A8866" s="691"/>
      <c r="D8866" s="3"/>
    </row>
    <row r="8867" spans="1:4">
      <c r="A8867" s="691"/>
      <c r="D8867" s="3"/>
    </row>
    <row r="8868" spans="1:4">
      <c r="A8868" s="691"/>
      <c r="D8868" s="3"/>
    </row>
    <row r="8869" spans="1:4">
      <c r="A8869" s="691"/>
      <c r="D8869" s="3"/>
    </row>
    <row r="8870" spans="1:4">
      <c r="A8870" s="691"/>
      <c r="D8870" s="3"/>
    </row>
    <row r="8871" spans="1:4">
      <c r="A8871" s="691"/>
      <c r="D8871" s="3"/>
    </row>
    <row r="8872" spans="1:4">
      <c r="A8872" s="691"/>
      <c r="D8872" s="3"/>
    </row>
    <row r="8873" spans="1:4">
      <c r="A8873" s="691"/>
      <c r="D8873" s="3"/>
    </row>
    <row r="8874" spans="1:4">
      <c r="A8874" s="691"/>
      <c r="D8874" s="3"/>
    </row>
    <row r="8875" spans="1:4">
      <c r="A8875" s="691"/>
      <c r="D8875" s="3"/>
    </row>
    <row r="8876" spans="1:4">
      <c r="A8876" s="691"/>
      <c r="D8876" s="3"/>
    </row>
    <row r="8877" spans="1:4">
      <c r="A8877" s="691"/>
      <c r="D8877" s="3"/>
    </row>
    <row r="8878" spans="1:4">
      <c r="A8878" s="691"/>
      <c r="D8878" s="3"/>
    </row>
    <row r="8879" spans="1:4">
      <c r="A8879" s="691"/>
      <c r="D8879" s="3"/>
    </row>
    <row r="8880" spans="1:4">
      <c r="A8880" s="691"/>
      <c r="D8880" s="3"/>
    </row>
    <row r="8881" spans="1:4">
      <c r="A8881" s="691"/>
      <c r="D8881" s="3"/>
    </row>
    <row r="8882" spans="1:4">
      <c r="A8882" s="691"/>
      <c r="D8882" s="3"/>
    </row>
    <row r="8883" spans="1:4">
      <c r="A8883" s="691"/>
      <c r="D8883" s="3"/>
    </row>
    <row r="8884" spans="1:4">
      <c r="A8884" s="691"/>
      <c r="D8884" s="3"/>
    </row>
    <row r="8885" spans="1:4">
      <c r="A8885" s="691"/>
      <c r="D8885" s="3"/>
    </row>
    <row r="8886" spans="1:4">
      <c r="A8886" s="691"/>
      <c r="D8886" s="3"/>
    </row>
    <row r="8887" spans="1:4">
      <c r="A8887" s="691"/>
      <c r="D8887" s="3"/>
    </row>
    <row r="8888" spans="1:4">
      <c r="A8888" s="691"/>
      <c r="D8888" s="3"/>
    </row>
    <row r="8889" spans="1:4">
      <c r="A8889" s="691"/>
      <c r="D8889" s="3"/>
    </row>
    <row r="8890" spans="1:4">
      <c r="A8890" s="691"/>
      <c r="D8890" s="3"/>
    </row>
    <row r="8891" spans="1:4">
      <c r="A8891" s="691"/>
      <c r="D8891" s="3"/>
    </row>
    <row r="8892" spans="1:4">
      <c r="A8892" s="691"/>
      <c r="D8892" s="3"/>
    </row>
    <row r="8893" spans="1:4">
      <c r="A8893" s="691"/>
      <c r="D8893" s="3"/>
    </row>
    <row r="8894" spans="1:4">
      <c r="A8894" s="691"/>
      <c r="D8894" s="3"/>
    </row>
    <row r="8895" spans="1:4">
      <c r="A8895" s="691"/>
      <c r="D8895" s="3"/>
    </row>
    <row r="8896" spans="1:4">
      <c r="A8896" s="691"/>
      <c r="D8896" s="3"/>
    </row>
    <row r="8897" spans="1:4">
      <c r="A8897" s="691"/>
      <c r="D8897" s="3"/>
    </row>
    <row r="8898" spans="1:4">
      <c r="A8898" s="691"/>
      <c r="D8898" s="3"/>
    </row>
    <row r="8899" spans="1:4">
      <c r="A8899" s="691"/>
      <c r="D8899" s="3"/>
    </row>
    <row r="8900" spans="1:4">
      <c r="A8900" s="691"/>
      <c r="D8900" s="3"/>
    </row>
    <row r="8901" spans="1:4">
      <c r="A8901" s="691"/>
      <c r="D8901" s="3"/>
    </row>
    <row r="8902" spans="1:4">
      <c r="A8902" s="691"/>
      <c r="D8902" s="3"/>
    </row>
    <row r="8903" spans="1:4">
      <c r="A8903" s="691"/>
      <c r="D8903" s="3"/>
    </row>
    <row r="8904" spans="1:4">
      <c r="A8904" s="691"/>
      <c r="D8904" s="3"/>
    </row>
    <row r="8905" spans="1:4">
      <c r="A8905" s="691"/>
      <c r="D8905" s="3"/>
    </row>
    <row r="8906" spans="1:4">
      <c r="A8906" s="691"/>
      <c r="D8906" s="3"/>
    </row>
    <row r="8907" spans="1:4">
      <c r="A8907" s="691"/>
      <c r="D8907" s="3"/>
    </row>
    <row r="8908" spans="1:4">
      <c r="A8908" s="691"/>
      <c r="D8908" s="3"/>
    </row>
    <row r="8909" spans="1:4">
      <c r="A8909" s="691"/>
      <c r="D8909" s="3"/>
    </row>
    <row r="8910" spans="1:4">
      <c r="A8910" s="691"/>
      <c r="D8910" s="3"/>
    </row>
    <row r="8911" spans="1:4">
      <c r="A8911" s="691"/>
      <c r="D8911" s="3"/>
    </row>
    <row r="8912" spans="1:4">
      <c r="A8912" s="691"/>
      <c r="D8912" s="3"/>
    </row>
    <row r="8913" spans="1:4">
      <c r="A8913" s="691"/>
      <c r="D8913" s="3"/>
    </row>
    <row r="8914" spans="1:4">
      <c r="A8914" s="691"/>
      <c r="D8914" s="3"/>
    </row>
    <row r="8915" spans="1:4">
      <c r="A8915" s="691"/>
      <c r="D8915" s="3"/>
    </row>
    <row r="8916" spans="1:4">
      <c r="A8916" s="691"/>
      <c r="D8916" s="3"/>
    </row>
    <row r="8917" spans="1:4">
      <c r="A8917" s="691"/>
      <c r="D8917" s="3"/>
    </row>
    <row r="8918" spans="1:4">
      <c r="A8918" s="691"/>
      <c r="D8918" s="3"/>
    </row>
    <row r="8919" spans="1:4">
      <c r="A8919" s="691"/>
      <c r="D8919" s="3"/>
    </row>
    <row r="8920" spans="1:4">
      <c r="A8920" s="691"/>
      <c r="D8920" s="3"/>
    </row>
    <row r="8921" spans="1:4">
      <c r="A8921" s="691"/>
      <c r="D8921" s="3"/>
    </row>
    <row r="8922" spans="1:4">
      <c r="A8922" s="691"/>
      <c r="D8922" s="3"/>
    </row>
    <row r="8923" spans="1:4">
      <c r="A8923" s="691"/>
      <c r="D8923" s="3"/>
    </row>
    <row r="8924" spans="1:4">
      <c r="A8924" s="691"/>
      <c r="D8924" s="3"/>
    </row>
    <row r="8925" spans="1:4">
      <c r="A8925" s="691"/>
      <c r="D8925" s="3"/>
    </row>
    <row r="8926" spans="1:4">
      <c r="A8926" s="691"/>
      <c r="D8926" s="3"/>
    </row>
    <row r="8927" spans="1:4">
      <c r="A8927" s="691"/>
      <c r="D8927" s="3"/>
    </row>
    <row r="8928" spans="1:4">
      <c r="A8928" s="691"/>
      <c r="D8928" s="3"/>
    </row>
    <row r="8929" spans="1:4">
      <c r="A8929" s="691"/>
      <c r="D8929" s="3"/>
    </row>
    <row r="8930" spans="1:4">
      <c r="A8930" s="691"/>
      <c r="D8930" s="3"/>
    </row>
    <row r="8931" spans="1:4">
      <c r="A8931" s="691"/>
      <c r="D8931" s="3"/>
    </row>
    <row r="8932" spans="1:4">
      <c r="A8932" s="691"/>
      <c r="D8932" s="3"/>
    </row>
    <row r="8933" spans="1:4">
      <c r="A8933" s="691"/>
      <c r="D8933" s="3"/>
    </row>
    <row r="8934" spans="1:4">
      <c r="A8934" s="691"/>
      <c r="D8934" s="3"/>
    </row>
    <row r="8935" spans="1:4">
      <c r="A8935" s="691"/>
      <c r="D8935" s="3"/>
    </row>
    <row r="8936" spans="1:4">
      <c r="A8936" s="691"/>
      <c r="D8936" s="3"/>
    </row>
    <row r="8937" spans="1:4">
      <c r="A8937" s="691"/>
      <c r="D8937" s="3"/>
    </row>
    <row r="8938" spans="1:4">
      <c r="A8938" s="691"/>
      <c r="D8938" s="3"/>
    </row>
    <row r="8939" spans="1:4">
      <c r="A8939" s="691"/>
      <c r="D8939" s="3"/>
    </row>
    <row r="8940" spans="1:4">
      <c r="A8940" s="691"/>
      <c r="D8940" s="3"/>
    </row>
    <row r="8941" spans="1:4">
      <c r="A8941" s="691"/>
      <c r="D8941" s="3"/>
    </row>
    <row r="8942" spans="1:4">
      <c r="A8942" s="691"/>
      <c r="D8942" s="3"/>
    </row>
    <row r="8943" spans="1:4">
      <c r="A8943" s="691"/>
      <c r="D8943" s="3"/>
    </row>
    <row r="8944" spans="1:4">
      <c r="A8944" s="691"/>
      <c r="D8944" s="3"/>
    </row>
    <row r="8945" spans="1:4">
      <c r="A8945" s="691"/>
      <c r="D8945" s="3"/>
    </row>
    <row r="8946" spans="1:4">
      <c r="A8946" s="691"/>
      <c r="D8946" s="3"/>
    </row>
    <row r="8947" spans="1:4">
      <c r="A8947" s="691"/>
      <c r="D8947" s="3"/>
    </row>
    <row r="8948" spans="1:4">
      <c r="A8948" s="691"/>
      <c r="D8948" s="3"/>
    </row>
    <row r="8949" spans="1:4">
      <c r="A8949" s="691"/>
      <c r="D8949" s="3"/>
    </row>
    <row r="8950" spans="1:4">
      <c r="A8950" s="691"/>
      <c r="D8950" s="3"/>
    </row>
    <row r="8951" spans="1:4">
      <c r="A8951" s="691"/>
      <c r="D8951" s="3"/>
    </row>
    <row r="8952" spans="1:4">
      <c r="A8952" s="691"/>
      <c r="D8952" s="3"/>
    </row>
    <row r="8953" spans="1:4">
      <c r="A8953" s="691"/>
      <c r="D8953" s="3"/>
    </row>
    <row r="8954" spans="1:4">
      <c r="A8954" s="691"/>
      <c r="D8954" s="3"/>
    </row>
    <row r="8955" spans="1:4">
      <c r="A8955" s="691"/>
      <c r="D8955" s="3"/>
    </row>
    <row r="8956" spans="1:4">
      <c r="A8956" s="691"/>
      <c r="D8956" s="3"/>
    </row>
    <row r="8957" spans="1:4">
      <c r="A8957" s="691"/>
      <c r="D8957" s="3"/>
    </row>
    <row r="8958" spans="1:4">
      <c r="A8958" s="691"/>
      <c r="D8958" s="3"/>
    </row>
    <row r="8959" spans="1:4">
      <c r="A8959" s="691"/>
      <c r="D8959" s="3"/>
    </row>
    <row r="8960" spans="1:4">
      <c r="A8960" s="691"/>
      <c r="D8960" s="3"/>
    </row>
    <row r="8961" spans="1:4">
      <c r="A8961" s="691"/>
      <c r="D8961" s="3"/>
    </row>
    <row r="8962" spans="1:4">
      <c r="A8962" s="691"/>
      <c r="D8962" s="3"/>
    </row>
    <row r="8963" spans="1:4">
      <c r="A8963" s="691"/>
      <c r="D8963" s="3"/>
    </row>
    <row r="8964" spans="1:4">
      <c r="A8964" s="691"/>
      <c r="D8964" s="3"/>
    </row>
    <row r="8965" spans="1:4">
      <c r="A8965" s="691"/>
      <c r="D8965" s="3"/>
    </row>
    <row r="8966" spans="1:4">
      <c r="A8966" s="691"/>
      <c r="D8966" s="3"/>
    </row>
    <row r="8967" spans="1:4">
      <c r="A8967" s="691"/>
      <c r="D8967" s="3"/>
    </row>
    <row r="8968" spans="1:4">
      <c r="A8968" s="691"/>
      <c r="D8968" s="3"/>
    </row>
    <row r="8969" spans="1:4">
      <c r="A8969" s="691"/>
      <c r="D8969" s="3"/>
    </row>
    <row r="8970" spans="1:4">
      <c r="A8970" s="691"/>
      <c r="D8970" s="3"/>
    </row>
    <row r="8971" spans="1:4">
      <c r="A8971" s="691"/>
      <c r="D8971" s="3"/>
    </row>
    <row r="8972" spans="1:4">
      <c r="A8972" s="691"/>
      <c r="D8972" s="3"/>
    </row>
    <row r="8973" spans="1:4">
      <c r="A8973" s="691"/>
      <c r="D8973" s="3"/>
    </row>
    <row r="8974" spans="1:4">
      <c r="A8974" s="691"/>
      <c r="D8974" s="3"/>
    </row>
    <row r="8975" spans="1:4">
      <c r="A8975" s="691"/>
      <c r="D8975" s="3"/>
    </row>
    <row r="8976" spans="1:4">
      <c r="A8976" s="691"/>
      <c r="D8976" s="3"/>
    </row>
    <row r="8977" spans="1:4">
      <c r="A8977" s="691"/>
      <c r="D8977" s="3"/>
    </row>
    <row r="8978" spans="1:4">
      <c r="A8978" s="691"/>
      <c r="D8978" s="3"/>
    </row>
    <row r="8979" spans="1:4">
      <c r="A8979" s="691"/>
      <c r="D8979" s="3"/>
    </row>
    <row r="8980" spans="1:4">
      <c r="A8980" s="691"/>
      <c r="D8980" s="3"/>
    </row>
    <row r="8981" spans="1:4">
      <c r="A8981" s="691"/>
      <c r="D8981" s="3"/>
    </row>
    <row r="8982" spans="1:4">
      <c r="A8982" s="691"/>
      <c r="D8982" s="3"/>
    </row>
    <row r="8983" spans="1:4">
      <c r="A8983" s="691"/>
      <c r="D8983" s="3"/>
    </row>
    <row r="8984" spans="1:4">
      <c r="A8984" s="691"/>
      <c r="D8984" s="3"/>
    </row>
    <row r="8985" spans="1:4">
      <c r="A8985" s="691"/>
      <c r="D8985" s="3"/>
    </row>
    <row r="8986" spans="1:4">
      <c r="A8986" s="691"/>
      <c r="D8986" s="3"/>
    </row>
    <row r="8987" spans="1:4">
      <c r="A8987" s="691"/>
      <c r="D8987" s="3"/>
    </row>
    <row r="8988" spans="1:4">
      <c r="A8988" s="691"/>
      <c r="D8988" s="3"/>
    </row>
    <row r="8989" spans="1:4">
      <c r="A8989" s="691"/>
      <c r="D8989" s="3"/>
    </row>
    <row r="8990" spans="1:4">
      <c r="A8990" s="691"/>
      <c r="D8990" s="3"/>
    </row>
    <row r="8991" spans="1:4">
      <c r="A8991" s="691"/>
      <c r="D8991" s="3"/>
    </row>
    <row r="8992" spans="1:4">
      <c r="A8992" s="691"/>
      <c r="D8992" s="3"/>
    </row>
    <row r="8993" spans="1:4">
      <c r="A8993" s="691"/>
      <c r="D8993" s="3"/>
    </row>
    <row r="8994" spans="1:4">
      <c r="A8994" s="691"/>
      <c r="D8994" s="3"/>
    </row>
    <row r="8995" spans="1:4">
      <c r="A8995" s="691"/>
      <c r="D8995" s="3"/>
    </row>
    <row r="8996" spans="1:4">
      <c r="A8996" s="691"/>
      <c r="D8996" s="3"/>
    </row>
    <row r="8997" spans="1:4">
      <c r="A8997" s="691"/>
      <c r="D8997" s="3"/>
    </row>
    <row r="8998" spans="1:4">
      <c r="A8998" s="691"/>
      <c r="D8998" s="3"/>
    </row>
    <row r="8999" spans="1:4">
      <c r="A8999" s="691"/>
      <c r="D8999" s="3"/>
    </row>
    <row r="9000" spans="1:4">
      <c r="A9000" s="691"/>
      <c r="D9000" s="3"/>
    </row>
    <row r="9001" spans="1:4">
      <c r="A9001" s="691"/>
      <c r="D9001" s="3"/>
    </row>
    <row r="9002" spans="1:4">
      <c r="A9002" s="691"/>
      <c r="D9002" s="3"/>
    </row>
    <row r="9003" spans="1:4">
      <c r="A9003" s="691"/>
      <c r="D9003" s="3"/>
    </row>
    <row r="9004" spans="1:4">
      <c r="A9004" s="691"/>
      <c r="D9004" s="3"/>
    </row>
    <row r="9005" spans="1:4">
      <c r="A9005" s="691"/>
      <c r="D9005" s="3"/>
    </row>
    <row r="9006" spans="1:4">
      <c r="A9006" s="691"/>
      <c r="D9006" s="3"/>
    </row>
    <row r="9007" spans="1:4">
      <c r="A9007" s="691"/>
      <c r="D9007" s="3"/>
    </row>
    <row r="9008" spans="1:4">
      <c r="A9008" s="691"/>
      <c r="D9008" s="3"/>
    </row>
    <row r="9009" spans="1:4">
      <c r="A9009" s="691"/>
      <c r="D9009" s="3"/>
    </row>
    <row r="9010" spans="1:4">
      <c r="A9010" s="691"/>
      <c r="D9010" s="3"/>
    </row>
    <row r="9011" spans="1:4">
      <c r="A9011" s="691"/>
      <c r="D9011" s="3"/>
    </row>
    <row r="9012" spans="1:4">
      <c r="A9012" s="691"/>
      <c r="D9012" s="3"/>
    </row>
    <row r="9013" spans="1:4">
      <c r="A9013" s="691"/>
      <c r="D9013" s="3"/>
    </row>
    <row r="9014" spans="1:4">
      <c r="A9014" s="691"/>
      <c r="D9014" s="3"/>
    </row>
    <row r="9015" spans="1:4">
      <c r="A9015" s="691"/>
      <c r="D9015" s="3"/>
    </row>
    <row r="9016" spans="1:4">
      <c r="A9016" s="691"/>
      <c r="D9016" s="3"/>
    </row>
    <row r="9017" spans="1:4">
      <c r="A9017" s="691"/>
      <c r="D9017" s="3"/>
    </row>
    <row r="9018" spans="1:4">
      <c r="A9018" s="691"/>
      <c r="D9018" s="3"/>
    </row>
    <row r="9019" spans="1:4">
      <c r="A9019" s="691"/>
      <c r="D9019" s="3"/>
    </row>
    <row r="9020" spans="1:4">
      <c r="A9020" s="691"/>
      <c r="D9020" s="3"/>
    </row>
    <row r="9021" spans="1:4">
      <c r="A9021" s="691"/>
      <c r="D9021" s="3"/>
    </row>
    <row r="9022" spans="1:4">
      <c r="A9022" s="691"/>
      <c r="D9022" s="3"/>
    </row>
    <row r="9023" spans="1:4">
      <c r="A9023" s="691"/>
      <c r="D9023" s="3"/>
    </row>
    <row r="9024" spans="1:4">
      <c r="A9024" s="691"/>
      <c r="D9024" s="3"/>
    </row>
    <row r="9025" spans="1:4">
      <c r="A9025" s="691"/>
      <c r="D9025" s="3"/>
    </row>
    <row r="9026" spans="1:4">
      <c r="A9026" s="691"/>
      <c r="D9026" s="3"/>
    </row>
    <row r="9027" spans="1:4">
      <c r="A9027" s="691"/>
      <c r="D9027" s="3"/>
    </row>
    <row r="9028" spans="1:4">
      <c r="A9028" s="691"/>
      <c r="D9028" s="3"/>
    </row>
    <row r="9029" spans="1:4">
      <c r="A9029" s="691"/>
      <c r="D9029" s="3"/>
    </row>
    <row r="9030" spans="1:4">
      <c r="A9030" s="691"/>
      <c r="D9030" s="3"/>
    </row>
    <row r="9031" spans="1:4">
      <c r="A9031" s="691"/>
      <c r="D9031" s="3"/>
    </row>
    <row r="9032" spans="1:4">
      <c r="A9032" s="691"/>
      <c r="D9032" s="3"/>
    </row>
    <row r="9033" spans="1:4">
      <c r="A9033" s="691"/>
      <c r="D9033" s="3"/>
    </row>
    <row r="9034" spans="1:4">
      <c r="A9034" s="691"/>
      <c r="D9034" s="3"/>
    </row>
    <row r="9035" spans="1:4">
      <c r="A9035" s="691"/>
      <c r="D9035" s="3"/>
    </row>
    <row r="9036" spans="1:4">
      <c r="A9036" s="691"/>
      <c r="D9036" s="3"/>
    </row>
    <row r="9037" spans="1:4">
      <c r="A9037" s="691"/>
      <c r="D9037" s="3"/>
    </row>
    <row r="9038" spans="1:4">
      <c r="A9038" s="691"/>
      <c r="D9038" s="3"/>
    </row>
    <row r="9039" spans="1:4">
      <c r="A9039" s="691"/>
      <c r="D9039" s="3"/>
    </row>
    <row r="9040" spans="1:4">
      <c r="A9040" s="691"/>
      <c r="D9040" s="3"/>
    </row>
    <row r="9041" spans="1:4">
      <c r="A9041" s="691"/>
      <c r="D9041" s="3"/>
    </row>
    <row r="9042" spans="1:4">
      <c r="A9042" s="691"/>
      <c r="D9042" s="3"/>
    </row>
    <row r="9043" spans="1:4">
      <c r="A9043" s="691"/>
      <c r="D9043" s="3"/>
    </row>
    <row r="9044" spans="1:4">
      <c r="A9044" s="691"/>
      <c r="D9044" s="3"/>
    </row>
    <row r="9045" spans="1:4">
      <c r="A9045" s="691"/>
      <c r="D9045" s="3"/>
    </row>
    <row r="9046" spans="1:4">
      <c r="A9046" s="691"/>
      <c r="D9046" s="3"/>
    </row>
    <row r="9047" spans="1:4">
      <c r="A9047" s="691"/>
      <c r="D9047" s="3"/>
    </row>
    <row r="9048" spans="1:4">
      <c r="A9048" s="691"/>
      <c r="D9048" s="3"/>
    </row>
    <row r="9049" spans="1:4">
      <c r="A9049" s="691"/>
      <c r="D9049" s="3"/>
    </row>
    <row r="9050" spans="1:4">
      <c r="A9050" s="691"/>
      <c r="D9050" s="3"/>
    </row>
    <row r="9051" spans="1:4">
      <c r="A9051" s="691"/>
      <c r="D9051" s="3"/>
    </row>
    <row r="9052" spans="1:4">
      <c r="A9052" s="691"/>
      <c r="D9052" s="3"/>
    </row>
    <row r="9053" spans="1:4">
      <c r="A9053" s="691"/>
      <c r="D9053" s="3"/>
    </row>
    <row r="9054" spans="1:4">
      <c r="A9054" s="691"/>
      <c r="D9054" s="3"/>
    </row>
    <row r="9055" spans="1:4">
      <c r="A9055" s="691"/>
      <c r="D9055" s="3"/>
    </row>
    <row r="9056" spans="1:4">
      <c r="A9056" s="691"/>
      <c r="D9056" s="3"/>
    </row>
    <row r="9057" spans="1:4">
      <c r="A9057" s="691"/>
      <c r="D9057" s="3"/>
    </row>
    <row r="9058" spans="1:4">
      <c r="A9058" s="691"/>
      <c r="D9058" s="3"/>
    </row>
    <row r="9059" spans="1:4">
      <c r="A9059" s="691"/>
      <c r="D9059" s="3"/>
    </row>
    <row r="9060" spans="1:4">
      <c r="A9060" s="691"/>
      <c r="D9060" s="3"/>
    </row>
    <row r="9061" spans="1:4">
      <c r="A9061" s="691"/>
      <c r="D9061" s="3"/>
    </row>
    <row r="9062" spans="1:4">
      <c r="A9062" s="691"/>
      <c r="D9062" s="3"/>
    </row>
    <row r="9063" spans="1:4">
      <c r="A9063" s="691"/>
      <c r="D9063" s="3"/>
    </row>
    <row r="9064" spans="1:4">
      <c r="A9064" s="691"/>
      <c r="D9064" s="3"/>
    </row>
    <row r="9065" spans="1:4">
      <c r="A9065" s="691"/>
      <c r="D9065" s="3"/>
    </row>
    <row r="9066" spans="1:4">
      <c r="A9066" s="691"/>
      <c r="D9066" s="3"/>
    </row>
    <row r="9067" spans="1:4">
      <c r="A9067" s="691"/>
      <c r="D9067" s="3"/>
    </row>
    <row r="9068" spans="1:4">
      <c r="A9068" s="691"/>
      <c r="D9068" s="3"/>
    </row>
    <row r="9069" spans="1:4">
      <c r="A9069" s="691"/>
      <c r="D9069" s="3"/>
    </row>
    <row r="9070" spans="1:4">
      <c r="A9070" s="691"/>
      <c r="D9070" s="3"/>
    </row>
    <row r="9071" spans="1:4">
      <c r="A9071" s="691"/>
      <c r="D9071" s="3"/>
    </row>
    <row r="9072" spans="1:4">
      <c r="A9072" s="691"/>
      <c r="D9072" s="3"/>
    </row>
    <row r="9073" spans="1:4">
      <c r="A9073" s="691"/>
      <c r="D9073" s="3"/>
    </row>
    <row r="9074" spans="1:4">
      <c r="A9074" s="691"/>
      <c r="D9074" s="3"/>
    </row>
    <row r="9075" spans="1:4">
      <c r="A9075" s="691"/>
      <c r="D9075" s="3"/>
    </row>
    <row r="9076" spans="1:4">
      <c r="A9076" s="691"/>
      <c r="D9076" s="3"/>
    </row>
    <row r="9077" spans="1:4">
      <c r="A9077" s="691"/>
      <c r="D9077" s="3"/>
    </row>
    <row r="9078" spans="1:4">
      <c r="A9078" s="691"/>
      <c r="D9078" s="3"/>
    </row>
    <row r="9079" spans="1:4">
      <c r="A9079" s="691"/>
      <c r="D9079" s="3"/>
    </row>
    <row r="9080" spans="1:4">
      <c r="A9080" s="691"/>
      <c r="D9080" s="3"/>
    </row>
    <row r="9081" spans="1:4">
      <c r="A9081" s="691"/>
      <c r="D9081" s="3"/>
    </row>
    <row r="9082" spans="1:4">
      <c r="A9082" s="691"/>
      <c r="D9082" s="3"/>
    </row>
    <row r="9083" spans="1:4">
      <c r="A9083" s="691"/>
      <c r="D9083" s="3"/>
    </row>
    <row r="9084" spans="1:4">
      <c r="A9084" s="691"/>
      <c r="D9084" s="3"/>
    </row>
    <row r="9085" spans="1:4">
      <c r="A9085" s="691"/>
      <c r="D9085" s="3"/>
    </row>
    <row r="9086" spans="1:4">
      <c r="A9086" s="691"/>
      <c r="D9086" s="3"/>
    </row>
    <row r="9087" spans="1:4">
      <c r="A9087" s="691"/>
      <c r="D9087" s="3"/>
    </row>
    <row r="9088" spans="1:4">
      <c r="A9088" s="691"/>
      <c r="D9088" s="3"/>
    </row>
    <row r="9089" spans="1:4">
      <c r="A9089" s="691"/>
      <c r="D9089" s="3"/>
    </row>
    <row r="9090" spans="1:4">
      <c r="A9090" s="691"/>
      <c r="D9090" s="3"/>
    </row>
    <row r="9091" spans="1:4">
      <c r="A9091" s="691"/>
      <c r="D9091" s="3"/>
    </row>
    <row r="9092" spans="1:4">
      <c r="A9092" s="691"/>
      <c r="D9092" s="3"/>
    </row>
    <row r="9093" spans="1:4">
      <c r="A9093" s="691"/>
      <c r="D9093" s="3"/>
    </row>
    <row r="9094" spans="1:4">
      <c r="A9094" s="691"/>
      <c r="D9094" s="3"/>
    </row>
    <row r="9095" spans="1:4">
      <c r="A9095" s="691"/>
      <c r="D9095" s="3"/>
    </row>
    <row r="9096" spans="1:4">
      <c r="A9096" s="691"/>
      <c r="D9096" s="3"/>
    </row>
    <row r="9097" spans="1:4">
      <c r="A9097" s="691"/>
      <c r="D9097" s="3"/>
    </row>
    <row r="9098" spans="1:4">
      <c r="A9098" s="691"/>
      <c r="D9098" s="3"/>
    </row>
    <row r="9099" spans="1:4">
      <c r="A9099" s="691"/>
      <c r="D9099" s="3"/>
    </row>
    <row r="9100" spans="1:4">
      <c r="A9100" s="691"/>
      <c r="D9100" s="3"/>
    </row>
    <row r="9101" spans="1:4">
      <c r="A9101" s="691"/>
      <c r="D9101" s="3"/>
    </row>
    <row r="9102" spans="1:4">
      <c r="A9102" s="691"/>
      <c r="D9102" s="3"/>
    </row>
    <row r="9103" spans="1:4">
      <c r="A9103" s="691"/>
      <c r="D9103" s="3"/>
    </row>
    <row r="9104" spans="1:4">
      <c r="A9104" s="691"/>
      <c r="D9104" s="3"/>
    </row>
    <row r="9105" spans="1:4">
      <c r="A9105" s="691"/>
      <c r="D9105" s="3"/>
    </row>
    <row r="9106" spans="1:4">
      <c r="A9106" s="691"/>
      <c r="D9106" s="3"/>
    </row>
    <row r="9107" spans="1:4">
      <c r="A9107" s="691"/>
      <c r="D9107" s="3"/>
    </row>
    <row r="9108" spans="1:4">
      <c r="A9108" s="691"/>
      <c r="D9108" s="3"/>
    </row>
    <row r="9109" spans="1:4">
      <c r="A9109" s="691"/>
      <c r="D9109" s="3"/>
    </row>
    <row r="9110" spans="1:4">
      <c r="A9110" s="691"/>
      <c r="D9110" s="3"/>
    </row>
    <row r="9111" spans="1:4">
      <c r="A9111" s="691"/>
      <c r="D9111" s="3"/>
    </row>
    <row r="9112" spans="1:4">
      <c r="A9112" s="691"/>
      <c r="D9112" s="3"/>
    </row>
    <row r="9113" spans="1:4">
      <c r="A9113" s="691"/>
      <c r="D9113" s="3"/>
    </row>
    <row r="9114" spans="1:4">
      <c r="A9114" s="691"/>
      <c r="D9114" s="3"/>
    </row>
    <row r="9115" spans="1:4">
      <c r="A9115" s="691"/>
      <c r="D9115" s="3"/>
    </row>
    <row r="9116" spans="1:4">
      <c r="A9116" s="691"/>
      <c r="D9116" s="3"/>
    </row>
    <row r="9117" spans="1:4">
      <c r="A9117" s="691"/>
      <c r="D9117" s="3"/>
    </row>
    <row r="9118" spans="1:4">
      <c r="A9118" s="691"/>
      <c r="D9118" s="3"/>
    </row>
    <row r="9119" spans="1:4">
      <c r="A9119" s="691"/>
      <c r="D9119" s="3"/>
    </row>
    <row r="9120" spans="1:4">
      <c r="A9120" s="691"/>
      <c r="D9120" s="3"/>
    </row>
    <row r="9121" spans="1:4">
      <c r="A9121" s="691"/>
      <c r="D9121" s="3"/>
    </row>
    <row r="9122" spans="1:4">
      <c r="A9122" s="691"/>
      <c r="D9122" s="3"/>
    </row>
    <row r="9123" spans="1:4">
      <c r="A9123" s="691"/>
      <c r="D9123" s="3"/>
    </row>
    <row r="9124" spans="1:4">
      <c r="A9124" s="691"/>
      <c r="D9124" s="3"/>
    </row>
    <row r="9125" spans="1:4">
      <c r="A9125" s="691"/>
      <c r="D9125" s="3"/>
    </row>
    <row r="9126" spans="1:4">
      <c r="A9126" s="691"/>
      <c r="D9126" s="3"/>
    </row>
    <row r="9127" spans="1:4">
      <c r="A9127" s="691"/>
      <c r="D9127" s="3"/>
    </row>
    <row r="9128" spans="1:4">
      <c r="A9128" s="691"/>
      <c r="D9128" s="3"/>
    </row>
    <row r="9129" spans="1:4">
      <c r="A9129" s="691"/>
      <c r="D9129" s="3"/>
    </row>
    <row r="9130" spans="1:4">
      <c r="A9130" s="691"/>
      <c r="D9130" s="3"/>
    </row>
    <row r="9131" spans="1:4">
      <c r="A9131" s="691"/>
      <c r="D9131" s="3"/>
    </row>
    <row r="9132" spans="1:4">
      <c r="A9132" s="691"/>
      <c r="D9132" s="3"/>
    </row>
    <row r="9133" spans="1:4">
      <c r="A9133" s="691"/>
      <c r="D9133" s="3"/>
    </row>
    <row r="9134" spans="1:4">
      <c r="A9134" s="691"/>
      <c r="D9134" s="3"/>
    </row>
    <row r="9135" spans="1:4">
      <c r="A9135" s="691"/>
      <c r="D9135" s="3"/>
    </row>
    <row r="9136" spans="1:4">
      <c r="A9136" s="691"/>
      <c r="D9136" s="3"/>
    </row>
    <row r="9137" spans="1:4">
      <c r="A9137" s="691"/>
      <c r="D9137" s="3"/>
    </row>
    <row r="9138" spans="1:4">
      <c r="A9138" s="691"/>
      <c r="D9138" s="3"/>
    </row>
    <row r="9139" spans="1:4">
      <c r="A9139" s="691"/>
      <c r="D9139" s="3"/>
    </row>
    <row r="9140" spans="1:4">
      <c r="A9140" s="691"/>
      <c r="D9140" s="3"/>
    </row>
    <row r="9141" spans="1:4">
      <c r="A9141" s="691"/>
      <c r="D9141" s="3"/>
    </row>
    <row r="9142" spans="1:4">
      <c r="A9142" s="691"/>
      <c r="D9142" s="3"/>
    </row>
    <row r="9143" spans="1:4">
      <c r="A9143" s="691"/>
      <c r="D9143" s="3"/>
    </row>
    <row r="9144" spans="1:4">
      <c r="A9144" s="691"/>
      <c r="D9144" s="3"/>
    </row>
    <row r="9145" spans="1:4">
      <c r="A9145" s="691"/>
      <c r="D9145" s="3"/>
    </row>
    <row r="9146" spans="1:4">
      <c r="A9146" s="691"/>
      <c r="D9146" s="3"/>
    </row>
    <row r="9147" spans="1:4">
      <c r="A9147" s="691"/>
      <c r="D9147" s="3"/>
    </row>
    <row r="9148" spans="1:4">
      <c r="A9148" s="691"/>
      <c r="D9148" s="3"/>
    </row>
    <row r="9149" spans="1:4">
      <c r="A9149" s="691"/>
      <c r="D9149" s="3"/>
    </row>
    <row r="9150" spans="1:4">
      <c r="A9150" s="691"/>
      <c r="D9150" s="3"/>
    </row>
    <row r="9151" spans="1:4">
      <c r="A9151" s="691"/>
      <c r="D9151" s="3"/>
    </row>
    <row r="9152" spans="1:4">
      <c r="A9152" s="691"/>
      <c r="D9152" s="3"/>
    </row>
    <row r="9153" spans="1:4">
      <c r="A9153" s="691"/>
      <c r="D9153" s="3"/>
    </row>
    <row r="9154" spans="1:4">
      <c r="A9154" s="691"/>
      <c r="D9154" s="3"/>
    </row>
    <row r="9155" spans="1:4">
      <c r="A9155" s="691"/>
      <c r="D9155" s="3"/>
    </row>
    <row r="9156" spans="1:4">
      <c r="A9156" s="691"/>
      <c r="D9156" s="3"/>
    </row>
    <row r="9157" spans="1:4">
      <c r="A9157" s="691"/>
      <c r="D9157" s="3"/>
    </row>
    <row r="9158" spans="1:4">
      <c r="A9158" s="691"/>
      <c r="D9158" s="3"/>
    </row>
    <row r="9159" spans="1:4">
      <c r="A9159" s="691"/>
      <c r="D9159" s="3"/>
    </row>
    <row r="9160" spans="1:4">
      <c r="A9160" s="691"/>
      <c r="D9160" s="3"/>
    </row>
    <row r="9161" spans="1:4">
      <c r="A9161" s="691"/>
      <c r="D9161" s="3"/>
    </row>
    <row r="9162" spans="1:4">
      <c r="A9162" s="691"/>
      <c r="D9162" s="3"/>
    </row>
    <row r="9163" spans="1:4">
      <c r="A9163" s="691"/>
      <c r="D9163" s="3"/>
    </row>
    <row r="9164" spans="1:4">
      <c r="A9164" s="691"/>
      <c r="D9164" s="3"/>
    </row>
    <row r="9165" spans="1:4">
      <c r="A9165" s="691"/>
      <c r="D9165" s="3"/>
    </row>
    <row r="9166" spans="1:4">
      <c r="A9166" s="691"/>
      <c r="D9166" s="3"/>
    </row>
    <row r="9167" spans="1:4">
      <c r="A9167" s="691"/>
      <c r="D9167" s="3"/>
    </row>
    <row r="9168" spans="1:4">
      <c r="A9168" s="691"/>
      <c r="D9168" s="3"/>
    </row>
    <row r="9169" spans="1:4">
      <c r="A9169" s="691"/>
      <c r="D9169" s="3"/>
    </row>
    <row r="9170" spans="1:4">
      <c r="A9170" s="691"/>
      <c r="D9170" s="3"/>
    </row>
    <row r="9171" spans="1:4">
      <c r="A9171" s="691"/>
      <c r="D9171" s="3"/>
    </row>
    <row r="9172" spans="1:4">
      <c r="A9172" s="691"/>
      <c r="D9172" s="3"/>
    </row>
    <row r="9173" spans="1:4">
      <c r="A9173" s="691"/>
      <c r="D9173" s="3"/>
    </row>
    <row r="9174" spans="1:4">
      <c r="A9174" s="691"/>
      <c r="D9174" s="3"/>
    </row>
    <row r="9175" spans="1:4">
      <c r="A9175" s="691"/>
      <c r="D9175" s="3"/>
    </row>
    <row r="9176" spans="1:4">
      <c r="A9176" s="691"/>
      <c r="D9176" s="3"/>
    </row>
    <row r="9177" spans="1:4">
      <c r="A9177" s="691"/>
      <c r="D9177" s="3"/>
    </row>
    <row r="9178" spans="1:4">
      <c r="A9178" s="691"/>
      <c r="D9178" s="3"/>
    </row>
    <row r="9179" spans="1:4">
      <c r="A9179" s="691"/>
      <c r="D9179" s="3"/>
    </row>
    <row r="9180" spans="1:4">
      <c r="A9180" s="691"/>
      <c r="D9180" s="3"/>
    </row>
    <row r="9181" spans="1:4">
      <c r="A9181" s="691"/>
      <c r="D9181" s="3"/>
    </row>
    <row r="9182" spans="1:4">
      <c r="A9182" s="691"/>
      <c r="D9182" s="3"/>
    </row>
    <row r="9183" spans="1:4">
      <c r="A9183" s="691"/>
      <c r="D9183" s="3"/>
    </row>
    <row r="9184" spans="1:4">
      <c r="A9184" s="691"/>
      <c r="D9184" s="3"/>
    </row>
    <row r="9185" spans="1:4">
      <c r="A9185" s="691"/>
      <c r="D9185" s="3"/>
    </row>
    <row r="9186" spans="1:4">
      <c r="A9186" s="691"/>
      <c r="D9186" s="3"/>
    </row>
    <row r="9187" spans="1:4">
      <c r="A9187" s="691"/>
      <c r="D9187" s="3"/>
    </row>
    <row r="9188" spans="1:4">
      <c r="A9188" s="691"/>
      <c r="D9188" s="3"/>
    </row>
    <row r="9189" spans="1:4">
      <c r="A9189" s="691"/>
      <c r="D9189" s="3"/>
    </row>
    <row r="9190" spans="1:4">
      <c r="A9190" s="691"/>
      <c r="D9190" s="3"/>
    </row>
    <row r="9191" spans="1:4">
      <c r="A9191" s="691"/>
      <c r="D9191" s="3"/>
    </row>
    <row r="9192" spans="1:4">
      <c r="A9192" s="691"/>
      <c r="D9192" s="3"/>
    </row>
    <row r="9193" spans="1:4">
      <c r="A9193" s="691"/>
      <c r="D9193" s="3"/>
    </row>
    <row r="9194" spans="1:4">
      <c r="A9194" s="691"/>
      <c r="D9194" s="3"/>
    </row>
    <row r="9195" spans="1:4">
      <c r="A9195" s="691"/>
      <c r="D9195" s="3"/>
    </row>
    <row r="9196" spans="1:4">
      <c r="A9196" s="691"/>
      <c r="D9196" s="3"/>
    </row>
    <row r="9197" spans="1:4">
      <c r="A9197" s="691"/>
      <c r="D9197" s="3"/>
    </row>
    <row r="9198" spans="1:4">
      <c r="A9198" s="691"/>
      <c r="D9198" s="3"/>
    </row>
    <row r="9199" spans="1:4">
      <c r="A9199" s="691"/>
      <c r="D9199" s="3"/>
    </row>
    <row r="9200" spans="1:4">
      <c r="A9200" s="691"/>
      <c r="D9200" s="3"/>
    </row>
    <row r="9201" spans="1:4">
      <c r="A9201" s="691"/>
      <c r="D9201" s="3"/>
    </row>
    <row r="9202" spans="1:4">
      <c r="A9202" s="691"/>
      <c r="D9202" s="3"/>
    </row>
    <row r="9203" spans="1:4">
      <c r="A9203" s="691"/>
      <c r="D9203" s="3"/>
    </row>
    <row r="9204" spans="1:4">
      <c r="A9204" s="691"/>
      <c r="D9204" s="3"/>
    </row>
    <row r="9205" spans="1:4">
      <c r="A9205" s="691"/>
      <c r="D9205" s="3"/>
    </row>
    <row r="9206" spans="1:4">
      <c r="A9206" s="691"/>
      <c r="D9206" s="3"/>
    </row>
    <row r="9207" spans="1:4">
      <c r="A9207" s="691"/>
      <c r="D9207" s="3"/>
    </row>
    <row r="9208" spans="1:4">
      <c r="A9208" s="691"/>
      <c r="D9208" s="3"/>
    </row>
    <row r="9209" spans="1:4">
      <c r="A9209" s="691"/>
      <c r="D9209" s="3"/>
    </row>
    <row r="9210" spans="1:4">
      <c r="A9210" s="691"/>
      <c r="D9210" s="3"/>
    </row>
    <row r="9211" spans="1:4">
      <c r="A9211" s="691"/>
      <c r="D9211" s="3"/>
    </row>
    <row r="9212" spans="1:4">
      <c r="A9212" s="691"/>
      <c r="D9212" s="3"/>
    </row>
    <row r="9213" spans="1:4">
      <c r="A9213" s="691"/>
      <c r="D9213" s="3"/>
    </row>
    <row r="9214" spans="1:4">
      <c r="A9214" s="691"/>
      <c r="D9214" s="3"/>
    </row>
    <row r="9215" spans="1:4">
      <c r="A9215" s="691"/>
      <c r="D9215" s="3"/>
    </row>
    <row r="9216" spans="1:4">
      <c r="A9216" s="691"/>
      <c r="D9216" s="3"/>
    </row>
    <row r="9217" spans="1:4">
      <c r="A9217" s="691"/>
      <c r="D9217" s="3"/>
    </row>
    <row r="9218" spans="1:4">
      <c r="A9218" s="691"/>
      <c r="D9218" s="3"/>
    </row>
    <row r="9219" spans="1:4">
      <c r="A9219" s="691"/>
      <c r="D9219" s="3"/>
    </row>
    <row r="9220" spans="1:4">
      <c r="A9220" s="691"/>
      <c r="D9220" s="3"/>
    </row>
    <row r="9221" spans="1:4">
      <c r="A9221" s="691"/>
      <c r="D9221" s="3"/>
    </row>
    <row r="9222" spans="1:4">
      <c r="A9222" s="691"/>
      <c r="D9222" s="3"/>
    </row>
    <row r="9223" spans="1:4">
      <c r="A9223" s="691"/>
      <c r="D9223" s="3"/>
    </row>
    <row r="9224" spans="1:4">
      <c r="A9224" s="691"/>
      <c r="D9224" s="3"/>
    </row>
    <row r="9225" spans="1:4">
      <c r="A9225" s="691"/>
      <c r="D9225" s="3"/>
    </row>
    <row r="9226" spans="1:4">
      <c r="A9226" s="691"/>
      <c r="D9226" s="3"/>
    </row>
    <row r="9227" spans="1:4">
      <c r="A9227" s="691"/>
      <c r="D9227" s="3"/>
    </row>
    <row r="9228" spans="1:4">
      <c r="A9228" s="691"/>
      <c r="D9228" s="3"/>
    </row>
    <row r="9229" spans="1:4">
      <c r="A9229" s="691"/>
      <c r="D9229" s="3"/>
    </row>
    <row r="9230" spans="1:4">
      <c r="A9230" s="691"/>
      <c r="D9230" s="3"/>
    </row>
    <row r="9231" spans="1:4">
      <c r="A9231" s="691"/>
      <c r="D9231" s="3"/>
    </row>
    <row r="9232" spans="1:4">
      <c r="A9232" s="691"/>
      <c r="D9232" s="3"/>
    </row>
    <row r="9233" spans="1:4">
      <c r="A9233" s="691"/>
      <c r="D9233" s="3"/>
    </row>
    <row r="9234" spans="1:4">
      <c r="A9234" s="691"/>
      <c r="D9234" s="3"/>
    </row>
    <row r="9235" spans="1:4">
      <c r="A9235" s="691"/>
      <c r="D9235" s="3"/>
    </row>
    <row r="9236" spans="1:4">
      <c r="A9236" s="691"/>
      <c r="D9236" s="3"/>
    </row>
    <row r="9237" spans="1:4">
      <c r="A9237" s="691"/>
      <c r="D9237" s="3"/>
    </row>
    <row r="9238" spans="1:4">
      <c r="A9238" s="691"/>
      <c r="D9238" s="3"/>
    </row>
    <row r="9239" spans="1:4">
      <c r="A9239" s="691"/>
      <c r="D9239" s="3"/>
    </row>
    <row r="9240" spans="1:4">
      <c r="A9240" s="691"/>
      <c r="D9240" s="3"/>
    </row>
    <row r="9241" spans="1:4">
      <c r="A9241" s="691"/>
      <c r="D9241" s="3"/>
    </row>
    <row r="9242" spans="1:4">
      <c r="A9242" s="691"/>
      <c r="D9242" s="3"/>
    </row>
    <row r="9243" spans="1:4">
      <c r="A9243" s="691"/>
      <c r="D9243" s="3"/>
    </row>
    <row r="9244" spans="1:4">
      <c r="A9244" s="691"/>
      <c r="D9244" s="3"/>
    </row>
    <row r="9245" spans="1:4">
      <c r="A9245" s="691"/>
      <c r="D9245" s="3"/>
    </row>
    <row r="9246" spans="1:4">
      <c r="A9246" s="691"/>
      <c r="D9246" s="3"/>
    </row>
    <row r="9247" spans="1:4">
      <c r="A9247" s="691"/>
      <c r="D9247" s="3"/>
    </row>
    <row r="9248" spans="1:4">
      <c r="A9248" s="691"/>
      <c r="D9248" s="3"/>
    </row>
    <row r="9249" spans="1:4">
      <c r="A9249" s="691"/>
      <c r="D9249" s="3"/>
    </row>
    <row r="9250" spans="1:4">
      <c r="A9250" s="691"/>
      <c r="D9250" s="3"/>
    </row>
    <row r="9251" spans="1:4">
      <c r="A9251" s="691"/>
      <c r="D9251" s="3"/>
    </row>
    <row r="9252" spans="1:4">
      <c r="A9252" s="691"/>
      <c r="D9252" s="3"/>
    </row>
    <row r="9253" spans="1:4">
      <c r="A9253" s="691"/>
      <c r="D9253" s="3"/>
    </row>
    <row r="9254" spans="1:4">
      <c r="A9254" s="691"/>
      <c r="D9254" s="3"/>
    </row>
    <row r="9255" spans="1:4">
      <c r="A9255" s="691"/>
      <c r="D9255" s="3"/>
    </row>
    <row r="9256" spans="1:4">
      <c r="A9256" s="691"/>
      <c r="D9256" s="3"/>
    </row>
    <row r="9257" spans="1:4">
      <c r="A9257" s="691"/>
      <c r="D9257" s="3"/>
    </row>
    <row r="9258" spans="1:4">
      <c r="A9258" s="691"/>
      <c r="D9258" s="3"/>
    </row>
    <row r="9259" spans="1:4">
      <c r="A9259" s="691"/>
      <c r="D9259" s="3"/>
    </row>
    <row r="9260" spans="1:4">
      <c r="A9260" s="691"/>
      <c r="D9260" s="3"/>
    </row>
    <row r="9261" spans="1:4">
      <c r="A9261" s="691"/>
      <c r="D9261" s="3"/>
    </row>
    <row r="9262" spans="1:4">
      <c r="A9262" s="691"/>
      <c r="D9262" s="3"/>
    </row>
    <row r="9263" spans="1:4">
      <c r="A9263" s="691"/>
      <c r="D9263" s="3"/>
    </row>
    <row r="9264" spans="1:4">
      <c r="A9264" s="691"/>
      <c r="D9264" s="3"/>
    </row>
    <row r="9265" spans="1:4">
      <c r="A9265" s="691"/>
      <c r="D9265" s="3"/>
    </row>
    <row r="9266" spans="1:4">
      <c r="A9266" s="691"/>
      <c r="D9266" s="3"/>
    </row>
    <row r="9267" spans="1:4">
      <c r="A9267" s="691"/>
      <c r="D9267" s="3"/>
    </row>
    <row r="9268" spans="1:4">
      <c r="A9268" s="691"/>
      <c r="D9268" s="3"/>
    </row>
    <row r="9269" spans="1:4">
      <c r="A9269" s="691"/>
      <c r="D9269" s="3"/>
    </row>
    <row r="9270" spans="1:4">
      <c r="A9270" s="691"/>
      <c r="D9270" s="3"/>
    </row>
    <row r="9271" spans="1:4">
      <c r="A9271" s="691"/>
      <c r="D9271" s="3"/>
    </row>
    <row r="9272" spans="1:4">
      <c r="A9272" s="691"/>
      <c r="D9272" s="3"/>
    </row>
    <row r="9273" spans="1:4">
      <c r="A9273" s="691"/>
      <c r="D9273" s="3"/>
    </row>
    <row r="9274" spans="1:4">
      <c r="A9274" s="691"/>
      <c r="D9274" s="3"/>
    </row>
    <row r="9275" spans="1:4">
      <c r="A9275" s="691"/>
      <c r="D9275" s="3"/>
    </row>
    <row r="9276" spans="1:4">
      <c r="A9276" s="691"/>
      <c r="D9276" s="3"/>
    </row>
    <row r="9277" spans="1:4">
      <c r="A9277" s="691"/>
      <c r="D9277" s="3"/>
    </row>
    <row r="9278" spans="1:4">
      <c r="A9278" s="691"/>
      <c r="D9278" s="3"/>
    </row>
    <row r="9279" spans="1:4">
      <c r="A9279" s="691"/>
      <c r="D9279" s="3"/>
    </row>
    <row r="9280" spans="1:4">
      <c r="A9280" s="691"/>
      <c r="D9280" s="3"/>
    </row>
    <row r="9281" spans="1:4">
      <c r="A9281" s="691"/>
      <c r="D9281" s="3"/>
    </row>
    <row r="9282" spans="1:4">
      <c r="A9282" s="691"/>
      <c r="D9282" s="3"/>
    </row>
    <row r="9283" spans="1:4">
      <c r="A9283" s="691"/>
      <c r="D9283" s="3"/>
    </row>
    <row r="9284" spans="1:4">
      <c r="A9284" s="691"/>
      <c r="D9284" s="3"/>
    </row>
    <row r="9285" spans="1:4">
      <c r="A9285" s="691"/>
      <c r="D9285" s="3"/>
    </row>
    <row r="9286" spans="1:4">
      <c r="A9286" s="691"/>
      <c r="D9286" s="3"/>
    </row>
    <row r="9287" spans="1:4">
      <c r="A9287" s="691"/>
      <c r="D9287" s="3"/>
    </row>
    <row r="9288" spans="1:4">
      <c r="A9288" s="691"/>
      <c r="D9288" s="3"/>
    </row>
    <row r="9289" spans="1:4">
      <c r="A9289" s="691"/>
      <c r="D9289" s="3"/>
    </row>
    <row r="9290" spans="1:4">
      <c r="A9290" s="691"/>
      <c r="D9290" s="3"/>
    </row>
    <row r="9291" spans="1:4">
      <c r="A9291" s="691"/>
      <c r="D9291" s="3"/>
    </row>
    <row r="9292" spans="1:4">
      <c r="A9292" s="691"/>
      <c r="D9292" s="3"/>
    </row>
    <row r="9293" spans="1:4">
      <c r="A9293" s="691"/>
      <c r="D9293" s="3"/>
    </row>
    <row r="9294" spans="1:4">
      <c r="A9294" s="691"/>
      <c r="D9294" s="3"/>
    </row>
    <row r="9295" spans="1:4">
      <c r="A9295" s="691"/>
      <c r="D9295" s="3"/>
    </row>
    <row r="9296" spans="1:4">
      <c r="A9296" s="691"/>
      <c r="D9296" s="3"/>
    </row>
    <row r="9297" spans="1:4">
      <c r="A9297" s="691"/>
      <c r="D9297" s="3"/>
    </row>
    <row r="9298" spans="1:4">
      <c r="A9298" s="691"/>
      <c r="D9298" s="3"/>
    </row>
    <row r="9299" spans="1:4">
      <c r="A9299" s="691"/>
      <c r="D9299" s="3"/>
    </row>
    <row r="9300" spans="1:4">
      <c r="A9300" s="691"/>
      <c r="D9300" s="3"/>
    </row>
    <row r="9301" spans="1:4">
      <c r="A9301" s="691"/>
      <c r="D9301" s="3"/>
    </row>
    <row r="9302" spans="1:4">
      <c r="A9302" s="691"/>
      <c r="D9302" s="3"/>
    </row>
    <row r="9303" spans="1:4">
      <c r="A9303" s="691"/>
      <c r="D9303" s="3"/>
    </row>
    <row r="9304" spans="1:4">
      <c r="A9304" s="691"/>
      <c r="D9304" s="3"/>
    </row>
    <row r="9305" spans="1:4">
      <c r="A9305" s="691"/>
      <c r="D9305" s="3"/>
    </row>
    <row r="9306" spans="1:4">
      <c r="A9306" s="691"/>
      <c r="D9306" s="3"/>
    </row>
    <row r="9307" spans="1:4">
      <c r="A9307" s="691"/>
      <c r="D9307" s="3"/>
    </row>
    <row r="9308" spans="1:4">
      <c r="A9308" s="691"/>
      <c r="D9308" s="3"/>
    </row>
    <row r="9309" spans="1:4">
      <c r="A9309" s="691"/>
      <c r="D9309" s="3"/>
    </row>
    <row r="9310" spans="1:4">
      <c r="A9310" s="691"/>
      <c r="D9310" s="3"/>
    </row>
    <row r="9311" spans="1:4">
      <c r="A9311" s="691"/>
      <c r="D9311" s="3"/>
    </row>
    <row r="9312" spans="1:4">
      <c r="A9312" s="691"/>
      <c r="D9312" s="3"/>
    </row>
    <row r="9313" spans="1:4">
      <c r="A9313" s="691"/>
      <c r="D9313" s="3"/>
    </row>
    <row r="9314" spans="1:4">
      <c r="A9314" s="691"/>
      <c r="D9314" s="3"/>
    </row>
    <row r="9315" spans="1:4">
      <c r="A9315" s="691"/>
      <c r="D9315" s="3"/>
    </row>
    <row r="9316" spans="1:4">
      <c r="A9316" s="691"/>
      <c r="D9316" s="3"/>
    </row>
    <row r="9317" spans="1:4">
      <c r="A9317" s="691"/>
      <c r="D9317" s="3"/>
    </row>
    <row r="9318" spans="1:4">
      <c r="A9318" s="691"/>
      <c r="D9318" s="3"/>
    </row>
    <row r="9319" spans="1:4">
      <c r="A9319" s="691"/>
      <c r="D9319" s="3"/>
    </row>
    <row r="9320" spans="1:4">
      <c r="A9320" s="691"/>
      <c r="D9320" s="3"/>
    </row>
    <row r="9321" spans="1:4">
      <c r="A9321" s="691"/>
      <c r="D9321" s="3"/>
    </row>
    <row r="9322" spans="1:4">
      <c r="A9322" s="691"/>
      <c r="D9322" s="3"/>
    </row>
    <row r="9323" spans="1:4">
      <c r="A9323" s="691"/>
      <c r="D9323" s="3"/>
    </row>
    <row r="9324" spans="1:4">
      <c r="A9324" s="691"/>
      <c r="D9324" s="3"/>
    </row>
    <row r="9325" spans="1:4">
      <c r="A9325" s="691"/>
      <c r="D9325" s="3"/>
    </row>
    <row r="9326" spans="1:4">
      <c r="A9326" s="691"/>
      <c r="D9326" s="3"/>
    </row>
    <row r="9327" spans="1:4">
      <c r="A9327" s="691"/>
      <c r="D9327" s="3"/>
    </row>
    <row r="9328" spans="1:4">
      <c r="A9328" s="691"/>
      <c r="D9328" s="3"/>
    </row>
    <row r="9329" spans="1:4">
      <c r="A9329" s="691"/>
      <c r="D9329" s="3"/>
    </row>
    <row r="9330" spans="1:4">
      <c r="A9330" s="691"/>
      <c r="D9330" s="3"/>
    </row>
    <row r="9331" spans="1:4">
      <c r="A9331" s="691"/>
      <c r="D9331" s="3"/>
    </row>
    <row r="9332" spans="1:4">
      <c r="A9332" s="691"/>
      <c r="D9332" s="3"/>
    </row>
    <row r="9333" spans="1:4">
      <c r="A9333" s="691"/>
      <c r="D9333" s="3"/>
    </row>
    <row r="9334" spans="1:4">
      <c r="A9334" s="691"/>
      <c r="D9334" s="3"/>
    </row>
    <row r="9335" spans="1:4">
      <c r="A9335" s="691"/>
      <c r="D9335" s="3"/>
    </row>
    <row r="9336" spans="1:4">
      <c r="A9336" s="691"/>
      <c r="D9336" s="3"/>
    </row>
    <row r="9337" spans="1:4">
      <c r="A9337" s="691"/>
      <c r="D9337" s="3"/>
    </row>
    <row r="9338" spans="1:4">
      <c r="A9338" s="691"/>
      <c r="D9338" s="3"/>
    </row>
    <row r="9339" spans="1:4">
      <c r="A9339" s="691"/>
      <c r="D9339" s="3"/>
    </row>
    <row r="9340" spans="1:4">
      <c r="A9340" s="691"/>
      <c r="D9340" s="3"/>
    </row>
    <row r="9341" spans="1:4">
      <c r="A9341" s="691"/>
      <c r="D9341" s="3"/>
    </row>
    <row r="9342" spans="1:4">
      <c r="A9342" s="691"/>
      <c r="D9342" s="3"/>
    </row>
    <row r="9343" spans="1:4">
      <c r="A9343" s="691"/>
      <c r="D9343" s="3"/>
    </row>
    <row r="9344" spans="1:4">
      <c r="A9344" s="691"/>
      <c r="D9344" s="3"/>
    </row>
    <row r="9345" spans="1:4">
      <c r="A9345" s="691"/>
      <c r="D9345" s="3"/>
    </row>
    <row r="9346" spans="1:4">
      <c r="A9346" s="691"/>
      <c r="D9346" s="3"/>
    </row>
    <row r="9347" spans="1:4">
      <c r="A9347" s="691"/>
      <c r="D9347" s="3"/>
    </row>
    <row r="9348" spans="1:4">
      <c r="A9348" s="691"/>
      <c r="D9348" s="3"/>
    </row>
    <row r="9349" spans="1:4">
      <c r="A9349" s="691"/>
      <c r="D9349" s="3"/>
    </row>
    <row r="9350" spans="1:4">
      <c r="A9350" s="691"/>
      <c r="D9350" s="3"/>
    </row>
    <row r="9351" spans="1:4">
      <c r="A9351" s="691"/>
      <c r="D9351" s="3"/>
    </row>
    <row r="9352" spans="1:4">
      <c r="A9352" s="691"/>
      <c r="D9352" s="3"/>
    </row>
    <row r="9353" spans="1:4">
      <c r="A9353" s="691"/>
      <c r="D9353" s="3"/>
    </row>
    <row r="9354" spans="1:4">
      <c r="A9354" s="691"/>
      <c r="D9354" s="3"/>
    </row>
    <row r="9355" spans="1:4">
      <c r="A9355" s="691"/>
      <c r="D9355" s="3"/>
    </row>
    <row r="9356" spans="1:4">
      <c r="A9356" s="691"/>
      <c r="D9356" s="3"/>
    </row>
    <row r="9357" spans="1:4">
      <c r="A9357" s="691"/>
      <c r="D9357" s="3"/>
    </row>
    <row r="9358" spans="1:4">
      <c r="A9358" s="691"/>
      <c r="D9358" s="3"/>
    </row>
    <row r="9359" spans="1:4">
      <c r="A9359" s="691"/>
      <c r="D9359" s="3"/>
    </row>
    <row r="9360" spans="1:4">
      <c r="A9360" s="691"/>
      <c r="D9360" s="3"/>
    </row>
    <row r="9361" spans="1:4">
      <c r="A9361" s="691"/>
      <c r="D9361" s="3"/>
    </row>
    <row r="9362" spans="1:4">
      <c r="A9362" s="691"/>
      <c r="D9362" s="3"/>
    </row>
    <row r="9363" spans="1:4">
      <c r="A9363" s="691"/>
      <c r="D9363" s="3"/>
    </row>
    <row r="9364" spans="1:4">
      <c r="A9364" s="691"/>
      <c r="D9364" s="3"/>
    </row>
    <row r="9365" spans="1:4">
      <c r="A9365" s="691"/>
      <c r="D9365" s="3"/>
    </row>
    <row r="9366" spans="1:4">
      <c r="A9366" s="691"/>
      <c r="D9366" s="3"/>
    </row>
    <row r="9367" spans="1:4">
      <c r="A9367" s="691"/>
      <c r="D9367" s="3"/>
    </row>
    <row r="9368" spans="1:4">
      <c r="A9368" s="691"/>
      <c r="D9368" s="3"/>
    </row>
    <row r="9369" spans="1:4">
      <c r="A9369" s="691"/>
      <c r="D9369" s="3"/>
    </row>
    <row r="9370" spans="1:4">
      <c r="A9370" s="691"/>
      <c r="D9370" s="3"/>
    </row>
    <row r="9371" spans="1:4">
      <c r="A9371" s="691"/>
      <c r="D9371" s="3"/>
    </row>
    <row r="9372" spans="1:4">
      <c r="A9372" s="691"/>
      <c r="D9372" s="3"/>
    </row>
    <row r="9373" spans="1:4">
      <c r="A9373" s="691"/>
      <c r="D9373" s="3"/>
    </row>
    <row r="9374" spans="1:4">
      <c r="A9374" s="691"/>
      <c r="D9374" s="3"/>
    </row>
    <row r="9375" spans="1:4">
      <c r="A9375" s="691"/>
      <c r="D9375" s="3"/>
    </row>
    <row r="9376" spans="1:4">
      <c r="A9376" s="691"/>
      <c r="D9376" s="3"/>
    </row>
    <row r="9377" spans="1:4">
      <c r="A9377" s="691"/>
      <c r="D9377" s="3"/>
    </row>
    <row r="9378" spans="1:4">
      <c r="A9378" s="691"/>
      <c r="D9378" s="3"/>
    </row>
    <row r="9379" spans="1:4">
      <c r="A9379" s="691"/>
      <c r="D9379" s="3"/>
    </row>
    <row r="9380" spans="1:4">
      <c r="A9380" s="691"/>
      <c r="D9380" s="3"/>
    </row>
    <row r="9381" spans="1:4">
      <c r="A9381" s="691"/>
      <c r="D9381" s="3"/>
    </row>
    <row r="9382" spans="1:4">
      <c r="A9382" s="691"/>
      <c r="D9382" s="3"/>
    </row>
    <row r="9383" spans="1:4">
      <c r="A9383" s="691"/>
      <c r="D9383" s="3"/>
    </row>
    <row r="9384" spans="1:4">
      <c r="A9384" s="691"/>
      <c r="D9384" s="3"/>
    </row>
    <row r="9385" spans="1:4">
      <c r="A9385" s="691"/>
      <c r="D9385" s="3"/>
    </row>
    <row r="9386" spans="1:4">
      <c r="A9386" s="691"/>
      <c r="D9386" s="3"/>
    </row>
    <row r="9387" spans="1:4">
      <c r="A9387" s="691"/>
      <c r="D9387" s="3"/>
    </row>
    <row r="9388" spans="1:4">
      <c r="A9388" s="691"/>
      <c r="D9388" s="3"/>
    </row>
    <row r="9389" spans="1:4">
      <c r="A9389" s="691"/>
      <c r="D9389" s="3"/>
    </row>
    <row r="9390" spans="1:4">
      <c r="A9390" s="691"/>
      <c r="D9390" s="3"/>
    </row>
    <row r="9391" spans="1:4">
      <c r="A9391" s="691"/>
      <c r="D9391" s="3"/>
    </row>
    <row r="9392" spans="1:4">
      <c r="A9392" s="691"/>
      <c r="D9392" s="3"/>
    </row>
    <row r="9393" spans="1:4">
      <c r="A9393" s="691"/>
      <c r="D9393" s="3"/>
    </row>
    <row r="9394" spans="1:4">
      <c r="A9394" s="691"/>
      <c r="D9394" s="3"/>
    </row>
    <row r="9395" spans="1:4">
      <c r="A9395" s="691"/>
      <c r="D9395" s="3"/>
    </row>
    <row r="9396" spans="1:4">
      <c r="A9396" s="691"/>
      <c r="D9396" s="3"/>
    </row>
    <row r="9397" spans="1:4">
      <c r="A9397" s="691"/>
      <c r="D9397" s="3"/>
    </row>
    <row r="9398" spans="1:4">
      <c r="A9398" s="691"/>
      <c r="D9398" s="3"/>
    </row>
    <row r="9399" spans="1:4">
      <c r="A9399" s="691"/>
      <c r="D9399" s="3"/>
    </row>
    <row r="9400" spans="1:4">
      <c r="A9400" s="691"/>
      <c r="D9400" s="3"/>
    </row>
    <row r="9401" spans="1:4">
      <c r="A9401" s="691"/>
      <c r="D9401" s="3"/>
    </row>
    <row r="9402" spans="1:4">
      <c r="A9402" s="691"/>
      <c r="D9402" s="3"/>
    </row>
    <row r="9403" spans="1:4">
      <c r="A9403" s="691"/>
      <c r="D9403" s="3"/>
    </row>
    <row r="9404" spans="1:4">
      <c r="A9404" s="691"/>
      <c r="D9404" s="3"/>
    </row>
    <row r="9405" spans="1:4">
      <c r="A9405" s="691"/>
      <c r="D9405" s="3"/>
    </row>
    <row r="9406" spans="1:4">
      <c r="A9406" s="691"/>
      <c r="D9406" s="3"/>
    </row>
    <row r="9407" spans="1:4">
      <c r="A9407" s="691"/>
      <c r="D9407" s="3"/>
    </row>
    <row r="9408" spans="1:4">
      <c r="A9408" s="691"/>
      <c r="D9408" s="3"/>
    </row>
    <row r="9409" spans="1:4">
      <c r="A9409" s="691"/>
      <c r="D9409" s="3"/>
    </row>
    <row r="9410" spans="1:4">
      <c r="A9410" s="691"/>
      <c r="D9410" s="3"/>
    </row>
    <row r="9411" spans="1:4">
      <c r="A9411" s="691"/>
      <c r="D9411" s="3"/>
    </row>
    <row r="9412" spans="1:4">
      <c r="A9412" s="691"/>
      <c r="D9412" s="3"/>
    </row>
    <row r="9413" spans="1:4">
      <c r="A9413" s="691"/>
      <c r="D9413" s="3"/>
    </row>
    <row r="9414" spans="1:4">
      <c r="A9414" s="691"/>
      <c r="D9414" s="3"/>
    </row>
    <row r="9415" spans="1:4">
      <c r="A9415" s="691"/>
      <c r="D9415" s="3"/>
    </row>
    <row r="9416" spans="1:4">
      <c r="A9416" s="691"/>
      <c r="D9416" s="3"/>
    </row>
    <row r="9417" spans="1:4">
      <c r="A9417" s="691"/>
      <c r="D9417" s="3"/>
    </row>
    <row r="9418" spans="1:4">
      <c r="A9418" s="691"/>
      <c r="D9418" s="3"/>
    </row>
    <row r="9419" spans="1:4">
      <c r="A9419" s="691"/>
      <c r="D9419" s="3"/>
    </row>
    <row r="9420" spans="1:4">
      <c r="A9420" s="691"/>
      <c r="D9420" s="3"/>
    </row>
    <row r="9421" spans="1:4">
      <c r="A9421" s="691"/>
      <c r="D9421" s="3"/>
    </row>
    <row r="9422" spans="1:4">
      <c r="A9422" s="691"/>
      <c r="D9422" s="3"/>
    </row>
    <row r="9423" spans="1:4">
      <c r="A9423" s="691"/>
      <c r="D9423" s="3"/>
    </row>
    <row r="9424" spans="1:4">
      <c r="A9424" s="691"/>
      <c r="D9424" s="3"/>
    </row>
    <row r="9425" spans="1:4">
      <c r="A9425" s="691"/>
      <c r="D9425" s="3"/>
    </row>
    <row r="9426" spans="1:4">
      <c r="A9426" s="691"/>
      <c r="D9426" s="3"/>
    </row>
    <row r="9427" spans="1:4">
      <c r="A9427" s="691"/>
      <c r="D9427" s="3"/>
    </row>
    <row r="9428" spans="1:4">
      <c r="A9428" s="691"/>
      <c r="D9428" s="3"/>
    </row>
    <row r="9429" spans="1:4">
      <c r="A9429" s="691"/>
      <c r="D9429" s="3"/>
    </row>
    <row r="9430" spans="1:4">
      <c r="A9430" s="691"/>
      <c r="D9430" s="3"/>
    </row>
    <row r="9431" spans="1:4">
      <c r="A9431" s="691"/>
      <c r="D9431" s="3"/>
    </row>
    <row r="9432" spans="1:4">
      <c r="A9432" s="691"/>
      <c r="D9432" s="3"/>
    </row>
    <row r="9433" spans="1:4">
      <c r="A9433" s="691"/>
      <c r="D9433" s="3"/>
    </row>
    <row r="9434" spans="1:4">
      <c r="A9434" s="691"/>
      <c r="D9434" s="3"/>
    </row>
    <row r="9435" spans="1:4">
      <c r="A9435" s="691"/>
      <c r="D9435" s="3"/>
    </row>
    <row r="9436" spans="1:4">
      <c r="A9436" s="691"/>
      <c r="D9436" s="3"/>
    </row>
    <row r="9437" spans="1:4">
      <c r="A9437" s="691"/>
      <c r="D9437" s="3"/>
    </row>
    <row r="9438" spans="1:4">
      <c r="A9438" s="691"/>
      <c r="D9438" s="3"/>
    </row>
    <row r="9439" spans="1:4">
      <c r="A9439" s="691"/>
      <c r="D9439" s="3"/>
    </row>
    <row r="9440" spans="1:4">
      <c r="A9440" s="691"/>
      <c r="D9440" s="3"/>
    </row>
    <row r="9441" spans="1:4">
      <c r="A9441" s="691"/>
      <c r="D9441" s="3"/>
    </row>
    <row r="9442" spans="1:4">
      <c r="A9442" s="691"/>
      <c r="D9442" s="3"/>
    </row>
    <row r="9443" spans="1:4">
      <c r="A9443" s="691"/>
      <c r="D9443" s="3"/>
    </row>
    <row r="9444" spans="1:4">
      <c r="A9444" s="691"/>
      <c r="D9444" s="3"/>
    </row>
    <row r="9445" spans="1:4">
      <c r="A9445" s="691"/>
      <c r="D9445" s="3"/>
    </row>
    <row r="9446" spans="1:4">
      <c r="A9446" s="691"/>
      <c r="D9446" s="3"/>
    </row>
    <row r="9447" spans="1:4">
      <c r="A9447" s="691"/>
      <c r="D9447" s="3"/>
    </row>
    <row r="9448" spans="1:4">
      <c r="A9448" s="691"/>
      <c r="D9448" s="3"/>
    </row>
    <row r="9449" spans="1:4">
      <c r="A9449" s="691"/>
      <c r="D9449" s="3"/>
    </row>
    <row r="9450" spans="1:4">
      <c r="A9450" s="691"/>
      <c r="D9450" s="3"/>
    </row>
    <row r="9451" spans="1:4">
      <c r="A9451" s="691"/>
      <c r="D9451" s="3"/>
    </row>
    <row r="9452" spans="1:4">
      <c r="A9452" s="691"/>
      <c r="D9452" s="3"/>
    </row>
    <row r="9453" spans="1:4">
      <c r="A9453" s="691"/>
      <c r="D9453" s="3"/>
    </row>
    <row r="9454" spans="1:4">
      <c r="A9454" s="691"/>
      <c r="D9454" s="3"/>
    </row>
    <row r="9455" spans="1:4">
      <c r="A9455" s="691"/>
      <c r="D9455" s="3"/>
    </row>
    <row r="9456" spans="1:4">
      <c r="A9456" s="691"/>
      <c r="D9456" s="3"/>
    </row>
    <row r="9457" spans="1:4">
      <c r="A9457" s="691"/>
      <c r="D9457" s="3"/>
    </row>
    <row r="9458" spans="1:4">
      <c r="A9458" s="691"/>
      <c r="D9458" s="3"/>
    </row>
    <row r="9459" spans="1:4">
      <c r="A9459" s="691"/>
      <c r="D9459" s="3"/>
    </row>
    <row r="9460" spans="1:4">
      <c r="A9460" s="691"/>
      <c r="D9460" s="3"/>
    </row>
    <row r="9461" spans="1:4">
      <c r="A9461" s="691"/>
      <c r="D9461" s="3"/>
    </row>
    <row r="9462" spans="1:4">
      <c r="A9462" s="691"/>
      <c r="D9462" s="3"/>
    </row>
    <row r="9463" spans="1:4">
      <c r="A9463" s="691"/>
      <c r="D9463" s="3"/>
    </row>
    <row r="9464" spans="1:4">
      <c r="A9464" s="691"/>
      <c r="D9464" s="3"/>
    </row>
    <row r="9465" spans="1:4">
      <c r="A9465" s="691"/>
      <c r="D9465" s="3"/>
    </row>
    <row r="9466" spans="1:4">
      <c r="A9466" s="691"/>
      <c r="D9466" s="3"/>
    </row>
    <row r="9467" spans="1:4">
      <c r="A9467" s="691"/>
      <c r="D9467" s="3"/>
    </row>
    <row r="9468" spans="1:4">
      <c r="A9468" s="691"/>
      <c r="D9468" s="3"/>
    </row>
    <row r="9469" spans="1:4">
      <c r="A9469" s="691"/>
      <c r="D9469" s="3"/>
    </row>
    <row r="9470" spans="1:4">
      <c r="A9470" s="691"/>
      <c r="D9470" s="3"/>
    </row>
    <row r="9471" spans="1:4">
      <c r="A9471" s="691"/>
      <c r="D9471" s="3"/>
    </row>
    <row r="9472" spans="1:4">
      <c r="A9472" s="691"/>
      <c r="D9472" s="3"/>
    </row>
    <row r="9473" spans="1:4">
      <c r="A9473" s="691"/>
      <c r="D9473" s="3"/>
    </row>
    <row r="9474" spans="1:4">
      <c r="A9474" s="691"/>
      <c r="D9474" s="3"/>
    </row>
    <row r="9475" spans="1:4">
      <c r="A9475" s="691"/>
      <c r="D9475" s="3"/>
    </row>
    <row r="9476" spans="1:4">
      <c r="A9476" s="691"/>
      <c r="D9476" s="3"/>
    </row>
    <row r="9477" spans="1:4">
      <c r="A9477" s="691"/>
      <c r="D9477" s="3"/>
    </row>
    <row r="9478" spans="1:4">
      <c r="A9478" s="691"/>
      <c r="D9478" s="3"/>
    </row>
    <row r="9479" spans="1:4">
      <c r="A9479" s="691"/>
      <c r="D9479" s="3"/>
    </row>
    <row r="9480" spans="1:4">
      <c r="A9480" s="691"/>
      <c r="D9480" s="3"/>
    </row>
    <row r="9481" spans="1:4">
      <c r="A9481" s="691"/>
      <c r="D9481" s="3"/>
    </row>
    <row r="9482" spans="1:4">
      <c r="A9482" s="691"/>
      <c r="D9482" s="3"/>
    </row>
    <row r="9483" spans="1:4">
      <c r="A9483" s="691"/>
      <c r="D9483" s="3"/>
    </row>
    <row r="9484" spans="1:4">
      <c r="A9484" s="691"/>
      <c r="D9484" s="3"/>
    </row>
    <row r="9485" spans="1:4">
      <c r="A9485" s="691"/>
      <c r="D9485" s="3"/>
    </row>
    <row r="9486" spans="1:4">
      <c r="A9486" s="691"/>
      <c r="D9486" s="3"/>
    </row>
    <row r="9487" spans="1:4">
      <c r="A9487" s="691"/>
      <c r="D9487" s="3"/>
    </row>
    <row r="9488" spans="1:4">
      <c r="A9488" s="691"/>
      <c r="D9488" s="3"/>
    </row>
    <row r="9489" spans="1:4">
      <c r="A9489" s="691"/>
      <c r="D9489" s="3"/>
    </row>
    <row r="9490" spans="1:4">
      <c r="A9490" s="691"/>
      <c r="D9490" s="3"/>
    </row>
    <row r="9491" spans="1:4">
      <c r="A9491" s="691"/>
      <c r="D9491" s="3"/>
    </row>
    <row r="9492" spans="1:4">
      <c r="A9492" s="691"/>
      <c r="D9492" s="3"/>
    </row>
    <row r="9493" spans="1:4">
      <c r="A9493" s="691"/>
      <c r="D9493" s="3"/>
    </row>
    <row r="9494" spans="1:4">
      <c r="A9494" s="691"/>
      <c r="D9494" s="3"/>
    </row>
    <row r="9495" spans="1:4">
      <c r="A9495" s="691"/>
      <c r="D9495" s="3"/>
    </row>
    <row r="9496" spans="1:4">
      <c r="A9496" s="691"/>
      <c r="D9496" s="3"/>
    </row>
    <row r="9497" spans="1:4">
      <c r="A9497" s="691"/>
      <c r="D9497" s="3"/>
    </row>
    <row r="9498" spans="1:4">
      <c r="A9498" s="691"/>
      <c r="D9498" s="3"/>
    </row>
    <row r="9499" spans="1:4">
      <c r="A9499" s="691"/>
      <c r="D9499" s="3"/>
    </row>
    <row r="9500" spans="1:4">
      <c r="A9500" s="691"/>
      <c r="D9500" s="3"/>
    </row>
    <row r="9501" spans="1:4">
      <c r="A9501" s="691"/>
      <c r="D9501" s="3"/>
    </row>
    <row r="9502" spans="1:4">
      <c r="A9502" s="691"/>
      <c r="D9502" s="3"/>
    </row>
    <row r="9503" spans="1:4">
      <c r="A9503" s="691"/>
      <c r="D9503" s="3"/>
    </row>
    <row r="9504" spans="1:4">
      <c r="A9504" s="691"/>
      <c r="D9504" s="3"/>
    </row>
    <row r="9505" spans="1:4">
      <c r="A9505" s="691"/>
      <c r="D9505" s="3"/>
    </row>
    <row r="9506" spans="1:4">
      <c r="A9506" s="691"/>
      <c r="D9506" s="3"/>
    </row>
    <row r="9507" spans="1:4">
      <c r="A9507" s="691"/>
      <c r="D9507" s="3"/>
    </row>
    <row r="9508" spans="1:4">
      <c r="A9508" s="691"/>
      <c r="D9508" s="3"/>
    </row>
    <row r="9509" spans="1:4">
      <c r="A9509" s="691"/>
      <c r="D9509" s="3"/>
    </row>
    <row r="9510" spans="1:4">
      <c r="A9510" s="691"/>
      <c r="D9510" s="3"/>
    </row>
    <row r="9511" spans="1:4">
      <c r="A9511" s="691"/>
      <c r="D9511" s="3"/>
    </row>
    <row r="9512" spans="1:4">
      <c r="A9512" s="691"/>
      <c r="D9512" s="3"/>
    </row>
    <row r="9513" spans="1:4">
      <c r="A9513" s="691"/>
      <c r="D9513" s="3"/>
    </row>
    <row r="9514" spans="1:4">
      <c r="A9514" s="691"/>
      <c r="D9514" s="3"/>
    </row>
    <row r="9515" spans="1:4">
      <c r="A9515" s="691"/>
      <c r="D9515" s="3"/>
    </row>
    <row r="9516" spans="1:4">
      <c r="A9516" s="691"/>
      <c r="D9516" s="3"/>
    </row>
    <row r="9517" spans="1:4">
      <c r="A9517" s="691"/>
      <c r="D9517" s="3"/>
    </row>
    <row r="9518" spans="1:4">
      <c r="A9518" s="691"/>
      <c r="D9518" s="3"/>
    </row>
    <row r="9519" spans="1:4">
      <c r="A9519" s="691"/>
      <c r="D9519" s="3"/>
    </row>
    <row r="9520" spans="1:4">
      <c r="A9520" s="691"/>
      <c r="D9520" s="3"/>
    </row>
    <row r="9521" spans="1:4">
      <c r="A9521" s="691"/>
      <c r="D9521" s="3"/>
    </row>
    <row r="9522" spans="1:4">
      <c r="A9522" s="691"/>
      <c r="D9522" s="3"/>
    </row>
    <row r="9523" spans="1:4">
      <c r="A9523" s="691"/>
      <c r="D9523" s="3"/>
    </row>
    <row r="9524" spans="1:4">
      <c r="A9524" s="691"/>
      <c r="D9524" s="3"/>
    </row>
    <row r="9525" spans="1:4">
      <c r="A9525" s="691"/>
      <c r="D9525" s="3"/>
    </row>
    <row r="9526" spans="1:4">
      <c r="A9526" s="691"/>
      <c r="D9526" s="3"/>
    </row>
    <row r="9527" spans="1:4">
      <c r="A9527" s="691"/>
      <c r="D9527" s="3"/>
    </row>
    <row r="9528" spans="1:4">
      <c r="A9528" s="691"/>
      <c r="D9528" s="3"/>
    </row>
    <row r="9529" spans="1:4">
      <c r="A9529" s="691"/>
      <c r="D9529" s="3"/>
    </row>
    <row r="9530" spans="1:4">
      <c r="A9530" s="691"/>
      <c r="D9530" s="3"/>
    </row>
    <row r="9531" spans="1:4">
      <c r="A9531" s="691"/>
      <c r="D9531" s="3"/>
    </row>
    <row r="9532" spans="1:4">
      <c r="A9532" s="691"/>
      <c r="D9532" s="3"/>
    </row>
    <row r="9533" spans="1:4">
      <c r="A9533" s="691"/>
      <c r="D9533" s="3"/>
    </row>
    <row r="9534" spans="1:4">
      <c r="A9534" s="691"/>
      <c r="D9534" s="3"/>
    </row>
    <row r="9535" spans="1:4">
      <c r="A9535" s="691"/>
      <c r="D9535" s="3"/>
    </row>
    <row r="9536" spans="1:4">
      <c r="A9536" s="691"/>
      <c r="D9536" s="3"/>
    </row>
    <row r="9537" spans="1:4">
      <c r="A9537" s="691"/>
      <c r="D9537" s="3"/>
    </row>
    <row r="9538" spans="1:4">
      <c r="A9538" s="691"/>
      <c r="D9538" s="3"/>
    </row>
    <row r="9539" spans="1:4">
      <c r="A9539" s="691"/>
      <c r="D9539" s="3"/>
    </row>
    <row r="9540" spans="1:4">
      <c r="A9540" s="691"/>
      <c r="D9540" s="3"/>
    </row>
    <row r="9541" spans="1:4">
      <c r="A9541" s="691"/>
      <c r="D9541" s="3"/>
    </row>
    <row r="9542" spans="1:4">
      <c r="A9542" s="691"/>
      <c r="D9542" s="3"/>
    </row>
    <row r="9543" spans="1:4">
      <c r="A9543" s="691"/>
      <c r="D9543" s="3"/>
    </row>
    <row r="9544" spans="1:4">
      <c r="A9544" s="691"/>
      <c r="D9544" s="3"/>
    </row>
    <row r="9545" spans="1:4">
      <c r="A9545" s="691"/>
      <c r="D9545" s="3"/>
    </row>
    <row r="9546" spans="1:4">
      <c r="A9546" s="691"/>
      <c r="D9546" s="3"/>
    </row>
    <row r="9547" spans="1:4">
      <c r="A9547" s="691"/>
      <c r="D9547" s="3"/>
    </row>
    <row r="9548" spans="1:4">
      <c r="A9548" s="691"/>
      <c r="D9548" s="3"/>
    </row>
    <row r="9549" spans="1:4">
      <c r="A9549" s="691"/>
      <c r="D9549" s="3"/>
    </row>
    <row r="9550" spans="1:4">
      <c r="A9550" s="691"/>
      <c r="D9550" s="3"/>
    </row>
    <row r="9551" spans="1:4">
      <c r="A9551" s="691"/>
      <c r="D9551" s="3"/>
    </row>
    <row r="9552" spans="1:4">
      <c r="A9552" s="691"/>
      <c r="D9552" s="3"/>
    </row>
    <row r="9553" spans="1:4">
      <c r="A9553" s="691"/>
      <c r="D9553" s="3"/>
    </row>
    <row r="9554" spans="1:4">
      <c r="A9554" s="691"/>
      <c r="D9554" s="3"/>
    </row>
    <row r="9555" spans="1:4">
      <c r="A9555" s="691"/>
      <c r="D9555" s="3"/>
    </row>
    <row r="9556" spans="1:4">
      <c r="A9556" s="691"/>
      <c r="D9556" s="3"/>
    </row>
    <row r="9557" spans="1:4">
      <c r="A9557" s="691"/>
      <c r="D9557" s="3"/>
    </row>
    <row r="9558" spans="1:4">
      <c r="A9558" s="691"/>
      <c r="D9558" s="3"/>
    </row>
    <row r="9559" spans="1:4">
      <c r="A9559" s="691"/>
      <c r="D9559" s="3"/>
    </row>
    <row r="9560" spans="1:4">
      <c r="A9560" s="691"/>
      <c r="D9560" s="3"/>
    </row>
    <row r="9561" spans="1:4">
      <c r="A9561" s="691"/>
      <c r="D9561" s="3"/>
    </row>
    <row r="9562" spans="1:4">
      <c r="A9562" s="691"/>
      <c r="D9562" s="3"/>
    </row>
    <row r="9563" spans="1:4">
      <c r="A9563" s="691"/>
      <c r="D9563" s="3"/>
    </row>
    <row r="9564" spans="1:4">
      <c r="A9564" s="691"/>
      <c r="D9564" s="3"/>
    </row>
    <row r="9565" spans="1:4">
      <c r="A9565" s="691"/>
      <c r="D9565" s="3"/>
    </row>
    <row r="9566" spans="1:4">
      <c r="A9566" s="691"/>
      <c r="D9566" s="3"/>
    </row>
    <row r="9567" spans="1:4">
      <c r="A9567" s="691"/>
      <c r="D9567" s="3"/>
    </row>
    <row r="9568" spans="1:4">
      <c r="A9568" s="691"/>
      <c r="D9568" s="3"/>
    </row>
    <row r="9569" spans="1:4">
      <c r="A9569" s="691"/>
      <c r="D9569" s="3"/>
    </row>
    <row r="9570" spans="1:4">
      <c r="A9570" s="691"/>
      <c r="D9570" s="3"/>
    </row>
    <row r="9571" spans="1:4">
      <c r="A9571" s="691"/>
      <c r="D9571" s="3"/>
    </row>
    <row r="9572" spans="1:4">
      <c r="A9572" s="691"/>
      <c r="D9572" s="3"/>
    </row>
    <row r="9573" spans="1:4">
      <c r="A9573" s="691"/>
      <c r="D9573" s="3"/>
    </row>
    <row r="9574" spans="1:4">
      <c r="A9574" s="691"/>
      <c r="D9574" s="3"/>
    </row>
    <row r="9575" spans="1:4">
      <c r="A9575" s="691"/>
      <c r="D9575" s="3"/>
    </row>
    <row r="9576" spans="1:4">
      <c r="A9576" s="691"/>
      <c r="D9576" s="3"/>
    </row>
    <row r="9577" spans="1:4">
      <c r="A9577" s="691"/>
      <c r="D9577" s="3"/>
    </row>
    <row r="9578" spans="1:4">
      <c r="A9578" s="691"/>
      <c r="D9578" s="3"/>
    </row>
    <row r="9579" spans="1:4">
      <c r="A9579" s="691"/>
      <c r="D9579" s="3"/>
    </row>
    <row r="9580" spans="1:4">
      <c r="A9580" s="691"/>
      <c r="D9580" s="3"/>
    </row>
    <row r="9581" spans="1:4">
      <c r="A9581" s="691"/>
      <c r="D9581" s="3"/>
    </row>
    <row r="9582" spans="1:4">
      <c r="A9582" s="691"/>
      <c r="D9582" s="3"/>
    </row>
    <row r="9583" spans="1:4">
      <c r="A9583" s="691"/>
      <c r="D9583" s="3"/>
    </row>
    <row r="9584" spans="1:4">
      <c r="A9584" s="691"/>
      <c r="D9584" s="3"/>
    </row>
    <row r="9585" spans="1:4">
      <c r="A9585" s="691"/>
      <c r="D9585" s="3"/>
    </row>
    <row r="9586" spans="1:4">
      <c r="A9586" s="691"/>
      <c r="D9586" s="3"/>
    </row>
    <row r="9587" spans="1:4">
      <c r="A9587" s="691"/>
      <c r="D9587" s="3"/>
    </row>
    <row r="9588" spans="1:4">
      <c r="A9588" s="691"/>
      <c r="D9588" s="3"/>
    </row>
    <row r="9589" spans="1:4">
      <c r="A9589" s="691"/>
      <c r="D9589" s="3"/>
    </row>
    <row r="9590" spans="1:4">
      <c r="A9590" s="691"/>
      <c r="D9590" s="3"/>
    </row>
    <row r="9591" spans="1:4">
      <c r="A9591" s="691"/>
      <c r="D9591" s="3"/>
    </row>
    <row r="9592" spans="1:4">
      <c r="A9592" s="691"/>
      <c r="D9592" s="3"/>
    </row>
    <row r="9593" spans="1:4">
      <c r="A9593" s="691"/>
      <c r="D9593" s="3"/>
    </row>
    <row r="9594" spans="1:4">
      <c r="A9594" s="691"/>
      <c r="D9594" s="3"/>
    </row>
    <row r="9595" spans="1:4">
      <c r="A9595" s="691"/>
      <c r="D9595" s="3"/>
    </row>
    <row r="9596" spans="1:4">
      <c r="A9596" s="691"/>
      <c r="D9596" s="3"/>
    </row>
    <row r="9597" spans="1:4">
      <c r="A9597" s="691"/>
      <c r="D9597" s="3"/>
    </row>
    <row r="9598" spans="1:4">
      <c r="A9598" s="691"/>
      <c r="D9598" s="3"/>
    </row>
    <row r="9599" spans="1:4">
      <c r="A9599" s="691"/>
      <c r="D9599" s="3"/>
    </row>
    <row r="9600" spans="1:4">
      <c r="A9600" s="691"/>
      <c r="D9600" s="3"/>
    </row>
    <row r="9601" spans="1:4">
      <c r="A9601" s="691"/>
      <c r="D9601" s="3"/>
    </row>
    <row r="9602" spans="1:4">
      <c r="A9602" s="691"/>
      <c r="D9602" s="3"/>
    </row>
    <row r="9603" spans="1:4">
      <c r="A9603" s="691"/>
      <c r="D9603" s="3"/>
    </row>
    <row r="9604" spans="1:4">
      <c r="A9604" s="691"/>
      <c r="D9604" s="3"/>
    </row>
    <row r="9605" spans="1:4">
      <c r="A9605" s="691"/>
      <c r="D9605" s="3"/>
    </row>
    <row r="9606" spans="1:4">
      <c r="A9606" s="691"/>
      <c r="D9606" s="3"/>
    </row>
    <row r="9607" spans="1:4">
      <c r="A9607" s="691"/>
      <c r="D9607" s="3"/>
    </row>
    <row r="9608" spans="1:4">
      <c r="A9608" s="691"/>
      <c r="D9608" s="3"/>
    </row>
    <row r="9609" spans="1:4">
      <c r="A9609" s="691"/>
      <c r="D9609" s="3"/>
    </row>
    <row r="9610" spans="1:4">
      <c r="A9610" s="691"/>
      <c r="D9610" s="3"/>
    </row>
    <row r="9611" spans="1:4">
      <c r="A9611" s="691"/>
      <c r="D9611" s="3"/>
    </row>
    <row r="9612" spans="1:4">
      <c r="A9612" s="691"/>
      <c r="D9612" s="3"/>
    </row>
    <row r="9613" spans="1:4">
      <c r="A9613" s="691"/>
      <c r="D9613" s="3"/>
    </row>
    <row r="9614" spans="1:4">
      <c r="A9614" s="691"/>
      <c r="D9614" s="3"/>
    </row>
    <row r="9615" spans="1:4">
      <c r="A9615" s="691"/>
      <c r="D9615" s="3"/>
    </row>
    <row r="9616" spans="1:4">
      <c r="A9616" s="691"/>
      <c r="D9616" s="3"/>
    </row>
    <row r="9617" spans="1:4">
      <c r="A9617" s="691"/>
      <c r="D9617" s="3"/>
    </row>
    <row r="9618" spans="1:4">
      <c r="A9618" s="691"/>
      <c r="D9618" s="3"/>
    </row>
    <row r="9619" spans="1:4">
      <c r="A9619" s="691"/>
      <c r="D9619" s="3"/>
    </row>
    <row r="9620" spans="1:4">
      <c r="A9620" s="691"/>
      <c r="D9620" s="3"/>
    </row>
    <row r="9621" spans="1:4">
      <c r="A9621" s="691"/>
      <c r="D9621" s="3"/>
    </row>
    <row r="9622" spans="1:4">
      <c r="A9622" s="691"/>
      <c r="D9622" s="3"/>
    </row>
    <row r="9623" spans="1:4">
      <c r="A9623" s="691"/>
      <c r="D9623" s="3"/>
    </row>
    <row r="9624" spans="1:4">
      <c r="A9624" s="691"/>
      <c r="D9624" s="3"/>
    </row>
    <row r="9625" spans="1:4">
      <c r="A9625" s="691"/>
      <c r="D9625" s="3"/>
    </row>
    <row r="9626" spans="1:4">
      <c r="A9626" s="691"/>
      <c r="D9626" s="3"/>
    </row>
    <row r="9627" spans="1:4">
      <c r="A9627" s="691"/>
      <c r="D9627" s="3"/>
    </row>
    <row r="9628" spans="1:4">
      <c r="A9628" s="691"/>
      <c r="D9628" s="3"/>
    </row>
    <row r="9629" spans="1:4">
      <c r="A9629" s="691"/>
      <c r="D9629" s="3"/>
    </row>
    <row r="9630" spans="1:4">
      <c r="A9630" s="691"/>
      <c r="D9630" s="3"/>
    </row>
    <row r="9631" spans="1:4">
      <c r="A9631" s="691"/>
      <c r="D9631" s="3"/>
    </row>
    <row r="9632" spans="1:4">
      <c r="A9632" s="691"/>
      <c r="D9632" s="3"/>
    </row>
    <row r="9633" spans="1:4">
      <c r="A9633" s="691"/>
      <c r="D9633" s="3"/>
    </row>
    <row r="9634" spans="1:4">
      <c r="A9634" s="691"/>
      <c r="D9634" s="3"/>
    </row>
    <row r="9635" spans="1:4">
      <c r="A9635" s="691"/>
      <c r="D9635" s="3"/>
    </row>
    <row r="9636" spans="1:4">
      <c r="A9636" s="691"/>
      <c r="D9636" s="3"/>
    </row>
    <row r="9637" spans="1:4">
      <c r="A9637" s="691"/>
      <c r="D9637" s="3"/>
    </row>
    <row r="9638" spans="1:4">
      <c r="A9638" s="691"/>
      <c r="D9638" s="3"/>
    </row>
    <row r="9639" spans="1:4">
      <c r="A9639" s="691"/>
      <c r="D9639" s="3"/>
    </row>
    <row r="9640" spans="1:4">
      <c r="A9640" s="691"/>
      <c r="D9640" s="3"/>
    </row>
    <row r="9641" spans="1:4">
      <c r="A9641" s="691"/>
      <c r="D9641" s="3"/>
    </row>
    <row r="9642" spans="1:4">
      <c r="A9642" s="691"/>
      <c r="D9642" s="3"/>
    </row>
    <row r="9643" spans="1:4">
      <c r="A9643" s="691"/>
      <c r="D9643" s="3"/>
    </row>
    <row r="9644" spans="1:4">
      <c r="A9644" s="691"/>
      <c r="D9644" s="3"/>
    </row>
    <row r="9645" spans="1:4">
      <c r="A9645" s="691"/>
      <c r="D9645" s="3"/>
    </row>
    <row r="9646" spans="1:4">
      <c r="A9646" s="691"/>
      <c r="D9646" s="3"/>
    </row>
    <row r="9647" spans="1:4">
      <c r="A9647" s="691"/>
      <c r="D9647" s="3"/>
    </row>
    <row r="9648" spans="1:4">
      <c r="A9648" s="691"/>
      <c r="D9648" s="3"/>
    </row>
    <row r="9649" spans="1:4">
      <c r="A9649" s="691"/>
      <c r="D9649" s="3"/>
    </row>
    <row r="9650" spans="1:4">
      <c r="A9650" s="691"/>
      <c r="D9650" s="3"/>
    </row>
    <row r="9651" spans="1:4">
      <c r="A9651" s="691"/>
      <c r="D9651" s="3"/>
    </row>
    <row r="9652" spans="1:4">
      <c r="A9652" s="691"/>
      <c r="D9652" s="3"/>
    </row>
    <row r="9653" spans="1:4">
      <c r="A9653" s="691"/>
      <c r="D9653" s="3"/>
    </row>
    <row r="9654" spans="1:4">
      <c r="A9654" s="691"/>
      <c r="D9654" s="3"/>
    </row>
    <row r="9655" spans="1:4">
      <c r="A9655" s="691"/>
      <c r="D9655" s="3"/>
    </row>
    <row r="9656" spans="1:4">
      <c r="A9656" s="691"/>
      <c r="D9656" s="3"/>
    </row>
    <row r="9657" spans="1:4">
      <c r="A9657" s="691"/>
      <c r="D9657" s="3"/>
    </row>
    <row r="9658" spans="1:4">
      <c r="A9658" s="691"/>
      <c r="D9658" s="3"/>
    </row>
    <row r="9659" spans="1:4">
      <c r="A9659" s="691"/>
      <c r="D9659" s="3"/>
    </row>
    <row r="9660" spans="1:4">
      <c r="A9660" s="691"/>
      <c r="D9660" s="3"/>
    </row>
    <row r="9661" spans="1:4">
      <c r="A9661" s="691"/>
      <c r="D9661" s="3"/>
    </row>
    <row r="9662" spans="1:4">
      <c r="A9662" s="691"/>
      <c r="D9662" s="3"/>
    </row>
    <row r="9663" spans="1:4">
      <c r="A9663" s="691"/>
      <c r="D9663" s="3"/>
    </row>
    <row r="9664" spans="1:4">
      <c r="A9664" s="691"/>
      <c r="D9664" s="3"/>
    </row>
    <row r="9665" spans="1:4">
      <c r="A9665" s="691"/>
      <c r="D9665" s="3"/>
    </row>
    <row r="9666" spans="1:4">
      <c r="A9666" s="691"/>
      <c r="D9666" s="3"/>
    </row>
    <row r="9667" spans="1:4">
      <c r="A9667" s="691"/>
      <c r="D9667" s="3"/>
    </row>
    <row r="9668" spans="1:4">
      <c r="A9668" s="691"/>
      <c r="D9668" s="3"/>
    </row>
    <row r="9669" spans="1:4">
      <c r="A9669" s="691"/>
      <c r="D9669" s="3"/>
    </row>
    <row r="9670" spans="1:4">
      <c r="A9670" s="691"/>
      <c r="D9670" s="3"/>
    </row>
    <row r="9671" spans="1:4">
      <c r="A9671" s="691"/>
      <c r="D9671" s="3"/>
    </row>
    <row r="9672" spans="1:4">
      <c r="A9672" s="691"/>
      <c r="D9672" s="3"/>
    </row>
    <row r="9673" spans="1:4">
      <c r="A9673" s="691"/>
      <c r="D9673" s="3"/>
    </row>
    <row r="9674" spans="1:4">
      <c r="A9674" s="691"/>
      <c r="D9674" s="3"/>
    </row>
    <row r="9675" spans="1:4">
      <c r="A9675" s="691"/>
      <c r="D9675" s="3"/>
    </row>
    <row r="9676" spans="1:4">
      <c r="A9676" s="691"/>
      <c r="D9676" s="3"/>
    </row>
    <row r="9677" spans="1:4">
      <c r="A9677" s="691"/>
      <c r="D9677" s="3"/>
    </row>
    <row r="9678" spans="1:4">
      <c r="A9678" s="691"/>
      <c r="D9678" s="3"/>
    </row>
    <row r="9679" spans="1:4">
      <c r="A9679" s="691"/>
      <c r="D9679" s="3"/>
    </row>
    <row r="9680" spans="1:4">
      <c r="A9680" s="691"/>
      <c r="D9680" s="3"/>
    </row>
    <row r="9681" spans="1:4">
      <c r="A9681" s="691"/>
      <c r="D9681" s="3"/>
    </row>
    <row r="9682" spans="1:4">
      <c r="A9682" s="691"/>
      <c r="D9682" s="3"/>
    </row>
    <row r="9683" spans="1:4">
      <c r="A9683" s="691"/>
      <c r="D9683" s="3"/>
    </row>
    <row r="9684" spans="1:4">
      <c r="A9684" s="691"/>
      <c r="D9684" s="3"/>
    </row>
    <row r="9685" spans="1:4">
      <c r="A9685" s="691"/>
      <c r="D9685" s="3"/>
    </row>
    <row r="9686" spans="1:4">
      <c r="A9686" s="691"/>
      <c r="D9686" s="3"/>
    </row>
    <row r="9687" spans="1:4">
      <c r="A9687" s="691"/>
      <c r="D9687" s="3"/>
    </row>
    <row r="9688" spans="1:4">
      <c r="A9688" s="691"/>
      <c r="D9688" s="3"/>
    </row>
    <row r="9689" spans="1:4">
      <c r="A9689" s="691"/>
      <c r="D9689" s="3"/>
    </row>
    <row r="9690" spans="1:4">
      <c r="A9690" s="691"/>
      <c r="D9690" s="3"/>
    </row>
    <row r="9691" spans="1:4">
      <c r="A9691" s="691"/>
      <c r="D9691" s="3"/>
    </row>
    <row r="9692" spans="1:4">
      <c r="A9692" s="691"/>
      <c r="D9692" s="3"/>
    </row>
    <row r="9693" spans="1:4">
      <c r="A9693" s="691"/>
      <c r="D9693" s="3"/>
    </row>
    <row r="9694" spans="1:4">
      <c r="A9694" s="691"/>
      <c r="D9694" s="3"/>
    </row>
    <row r="9695" spans="1:4">
      <c r="A9695" s="691"/>
      <c r="D9695" s="3"/>
    </row>
    <row r="9696" spans="1:4">
      <c r="A9696" s="691"/>
      <c r="D9696" s="3"/>
    </row>
    <row r="9697" spans="1:4">
      <c r="A9697" s="691"/>
      <c r="D9697" s="3"/>
    </row>
    <row r="9698" spans="1:4">
      <c r="A9698" s="691"/>
      <c r="D9698" s="3"/>
    </row>
    <row r="9699" spans="1:4">
      <c r="A9699" s="691"/>
      <c r="D9699" s="3"/>
    </row>
    <row r="9700" spans="1:4">
      <c r="A9700" s="691"/>
      <c r="D9700" s="3"/>
    </row>
    <row r="9701" spans="1:4">
      <c r="A9701" s="691"/>
      <c r="D9701" s="3"/>
    </row>
    <row r="9702" spans="1:4">
      <c r="A9702" s="691"/>
      <c r="D9702" s="3"/>
    </row>
    <row r="9703" spans="1:4">
      <c r="A9703" s="691"/>
      <c r="D9703" s="3"/>
    </row>
    <row r="9704" spans="1:4">
      <c r="A9704" s="691"/>
      <c r="D9704" s="3"/>
    </row>
    <row r="9705" spans="1:4">
      <c r="A9705" s="691"/>
      <c r="D9705" s="3"/>
    </row>
    <row r="9706" spans="1:4">
      <c r="A9706" s="691"/>
      <c r="D9706" s="3"/>
    </row>
    <row r="9707" spans="1:4">
      <c r="A9707" s="691"/>
      <c r="D9707" s="3"/>
    </row>
    <row r="9708" spans="1:4">
      <c r="A9708" s="691"/>
      <c r="D9708" s="3"/>
    </row>
    <row r="9709" spans="1:4">
      <c r="A9709" s="691"/>
      <c r="D9709" s="3"/>
    </row>
    <row r="9710" spans="1:4">
      <c r="A9710" s="691"/>
      <c r="D9710" s="3"/>
    </row>
    <row r="9711" spans="1:4">
      <c r="A9711" s="691"/>
      <c r="D9711" s="3"/>
    </row>
    <row r="9712" spans="1:4">
      <c r="A9712" s="691"/>
      <c r="D9712" s="3"/>
    </row>
    <row r="9713" spans="1:4">
      <c r="A9713" s="691"/>
      <c r="D9713" s="3"/>
    </row>
    <row r="9714" spans="1:4">
      <c r="A9714" s="691"/>
      <c r="D9714" s="3"/>
    </row>
    <row r="9715" spans="1:4">
      <c r="A9715" s="691"/>
      <c r="D9715" s="3"/>
    </row>
    <row r="9716" spans="1:4">
      <c r="A9716" s="691"/>
      <c r="D9716" s="3"/>
    </row>
    <row r="9717" spans="1:4">
      <c r="A9717" s="691"/>
      <c r="D9717" s="3"/>
    </row>
    <row r="9718" spans="1:4">
      <c r="A9718" s="691"/>
      <c r="D9718" s="3"/>
    </row>
    <row r="9719" spans="1:4">
      <c r="A9719" s="691"/>
      <c r="D9719" s="3"/>
    </row>
    <row r="9720" spans="1:4">
      <c r="A9720" s="691"/>
      <c r="D9720" s="3"/>
    </row>
    <row r="9721" spans="1:4">
      <c r="A9721" s="691"/>
      <c r="D9721" s="3"/>
    </row>
    <row r="9722" spans="1:4">
      <c r="A9722" s="691"/>
      <c r="D9722" s="3"/>
    </row>
    <row r="9723" spans="1:4">
      <c r="A9723" s="691"/>
      <c r="D9723" s="3"/>
    </row>
    <row r="9724" spans="1:4">
      <c r="A9724" s="691"/>
      <c r="D9724" s="3"/>
    </row>
    <row r="9725" spans="1:4">
      <c r="A9725" s="691"/>
      <c r="D9725" s="3"/>
    </row>
    <row r="9726" spans="1:4">
      <c r="A9726" s="691"/>
      <c r="D9726" s="3"/>
    </row>
    <row r="9727" spans="1:4">
      <c r="A9727" s="691"/>
      <c r="D9727" s="3"/>
    </row>
    <row r="9728" spans="1:4">
      <c r="A9728" s="691"/>
      <c r="D9728" s="3"/>
    </row>
    <row r="9729" spans="1:4">
      <c r="A9729" s="691"/>
      <c r="D9729" s="3"/>
    </row>
    <row r="9730" spans="1:4">
      <c r="A9730" s="691"/>
      <c r="D9730" s="3"/>
    </row>
    <row r="9731" spans="1:4">
      <c r="A9731" s="691"/>
      <c r="D9731" s="3"/>
    </row>
    <row r="9732" spans="1:4">
      <c r="A9732" s="691"/>
      <c r="D9732" s="3"/>
    </row>
    <row r="9733" spans="1:4">
      <c r="A9733" s="691"/>
      <c r="D9733" s="3"/>
    </row>
    <row r="9734" spans="1:4">
      <c r="A9734" s="691"/>
      <c r="D9734" s="3"/>
    </row>
    <row r="9735" spans="1:4">
      <c r="A9735" s="691"/>
      <c r="D9735" s="3"/>
    </row>
    <row r="9736" spans="1:4">
      <c r="A9736" s="691"/>
      <c r="D9736" s="3"/>
    </row>
    <row r="9737" spans="1:4">
      <c r="A9737" s="691"/>
      <c r="D9737" s="3"/>
    </row>
    <row r="9738" spans="1:4">
      <c r="A9738" s="691"/>
      <c r="D9738" s="3"/>
    </row>
    <row r="9739" spans="1:4">
      <c r="A9739" s="691"/>
      <c r="D9739" s="3"/>
    </row>
    <row r="9740" spans="1:4">
      <c r="A9740" s="691"/>
      <c r="D9740" s="3"/>
    </row>
    <row r="9741" spans="1:4">
      <c r="A9741" s="691"/>
      <c r="D9741" s="3"/>
    </row>
    <row r="9742" spans="1:4">
      <c r="A9742" s="691"/>
      <c r="D9742" s="3"/>
    </row>
    <row r="9743" spans="1:4">
      <c r="A9743" s="691"/>
      <c r="D9743" s="3"/>
    </row>
    <row r="9744" spans="1:4">
      <c r="A9744" s="691"/>
      <c r="D9744" s="3"/>
    </row>
    <row r="9745" spans="1:4">
      <c r="A9745" s="691"/>
      <c r="D9745" s="3"/>
    </row>
    <row r="9746" spans="1:4">
      <c r="A9746" s="691"/>
      <c r="D9746" s="3"/>
    </row>
    <row r="9747" spans="1:4">
      <c r="A9747" s="691"/>
      <c r="D9747" s="3"/>
    </row>
    <row r="9748" spans="1:4">
      <c r="A9748" s="691"/>
      <c r="D9748" s="3"/>
    </row>
    <row r="9749" spans="1:4">
      <c r="A9749" s="691"/>
      <c r="D9749" s="3"/>
    </row>
    <row r="9750" spans="1:4">
      <c r="A9750" s="691"/>
      <c r="D9750" s="3"/>
    </row>
    <row r="9751" spans="1:4">
      <c r="A9751" s="691"/>
      <c r="D9751" s="3"/>
    </row>
    <row r="9752" spans="1:4">
      <c r="A9752" s="691"/>
      <c r="D9752" s="3"/>
    </row>
    <row r="9753" spans="1:4">
      <c r="A9753" s="691"/>
      <c r="D9753" s="3"/>
    </row>
    <row r="9754" spans="1:4">
      <c r="A9754" s="691"/>
      <c r="D9754" s="3"/>
    </row>
    <row r="9755" spans="1:4">
      <c r="A9755" s="691"/>
      <c r="D9755" s="3"/>
    </row>
    <row r="9756" spans="1:4">
      <c r="A9756" s="691"/>
      <c r="D9756" s="3"/>
    </row>
    <row r="9757" spans="1:4">
      <c r="A9757" s="691"/>
      <c r="D9757" s="3"/>
    </row>
    <row r="9758" spans="1:4">
      <c r="A9758" s="691"/>
      <c r="D9758" s="3"/>
    </row>
    <row r="9759" spans="1:4">
      <c r="A9759" s="691"/>
      <c r="D9759" s="3"/>
    </row>
    <row r="9760" spans="1:4">
      <c r="A9760" s="691"/>
      <c r="D9760" s="3"/>
    </row>
    <row r="9761" spans="1:4">
      <c r="A9761" s="691"/>
      <c r="D9761" s="3"/>
    </row>
    <row r="9762" spans="1:4">
      <c r="A9762" s="691"/>
      <c r="D9762" s="3"/>
    </row>
    <row r="9763" spans="1:4">
      <c r="A9763" s="691"/>
      <c r="D9763" s="3"/>
    </row>
    <row r="9764" spans="1:4">
      <c r="A9764" s="691"/>
      <c r="D9764" s="3"/>
    </row>
    <row r="9765" spans="1:4">
      <c r="A9765" s="691"/>
      <c r="D9765" s="3"/>
    </row>
    <row r="9766" spans="1:4">
      <c r="A9766" s="691"/>
      <c r="D9766" s="3"/>
    </row>
    <row r="9767" spans="1:4">
      <c r="A9767" s="691"/>
      <c r="D9767" s="3"/>
    </row>
    <row r="9768" spans="1:4">
      <c r="A9768" s="691"/>
      <c r="D9768" s="3"/>
    </row>
    <row r="9769" spans="1:4">
      <c r="A9769" s="691"/>
      <c r="D9769" s="3"/>
    </row>
    <row r="9770" spans="1:4">
      <c r="A9770" s="691"/>
      <c r="D9770" s="3"/>
    </row>
    <row r="9771" spans="1:4">
      <c r="A9771" s="691"/>
      <c r="D9771" s="3"/>
    </row>
    <row r="9772" spans="1:4">
      <c r="A9772" s="691"/>
      <c r="D9772" s="3"/>
    </row>
    <row r="9773" spans="1:4">
      <c r="A9773" s="691"/>
      <c r="D9773" s="3"/>
    </row>
    <row r="9774" spans="1:4">
      <c r="A9774" s="691"/>
      <c r="D9774" s="3"/>
    </row>
    <row r="9775" spans="1:4">
      <c r="A9775" s="691"/>
      <c r="D9775" s="3"/>
    </row>
    <row r="9776" spans="1:4">
      <c r="A9776" s="691"/>
      <c r="D9776" s="3"/>
    </row>
    <row r="9777" spans="1:4">
      <c r="A9777" s="691"/>
      <c r="D9777" s="3"/>
    </row>
    <row r="9778" spans="1:4">
      <c r="A9778" s="691"/>
      <c r="D9778" s="3"/>
    </row>
    <row r="9779" spans="1:4">
      <c r="A9779" s="691"/>
      <c r="D9779" s="3"/>
    </row>
    <row r="9780" spans="1:4">
      <c r="A9780" s="691"/>
      <c r="D9780" s="3"/>
    </row>
    <row r="9781" spans="1:4">
      <c r="A9781" s="691"/>
      <c r="D9781" s="3"/>
    </row>
    <row r="9782" spans="1:4">
      <c r="A9782" s="691"/>
      <c r="D9782" s="3"/>
    </row>
    <row r="9783" spans="1:4">
      <c r="A9783" s="691"/>
      <c r="D9783" s="3"/>
    </row>
    <row r="9784" spans="1:4">
      <c r="A9784" s="691"/>
      <c r="D9784" s="3"/>
    </row>
    <row r="9785" spans="1:4">
      <c r="A9785" s="691"/>
      <c r="D9785" s="3"/>
    </row>
    <row r="9786" spans="1:4">
      <c r="A9786" s="691"/>
      <c r="D9786" s="3"/>
    </row>
    <row r="9787" spans="1:4">
      <c r="A9787" s="691"/>
      <c r="D9787" s="3"/>
    </row>
    <row r="9788" spans="1:4">
      <c r="A9788" s="691"/>
      <c r="D9788" s="3"/>
    </row>
    <row r="9789" spans="1:4">
      <c r="A9789" s="691"/>
      <c r="D9789" s="3"/>
    </row>
    <row r="9790" spans="1:4">
      <c r="A9790" s="691"/>
      <c r="D9790" s="3"/>
    </row>
    <row r="9791" spans="1:4">
      <c r="A9791" s="691"/>
      <c r="D9791" s="3"/>
    </row>
    <row r="9792" spans="1:4">
      <c r="A9792" s="691"/>
      <c r="D9792" s="3"/>
    </row>
    <row r="9793" spans="1:4">
      <c r="A9793" s="691"/>
      <c r="D9793" s="3"/>
    </row>
    <row r="9794" spans="1:4">
      <c r="A9794" s="691"/>
      <c r="D9794" s="3"/>
    </row>
    <row r="9795" spans="1:4">
      <c r="A9795" s="691"/>
      <c r="D9795" s="3"/>
    </row>
    <row r="9796" spans="1:4">
      <c r="A9796" s="691"/>
      <c r="D9796" s="3"/>
    </row>
    <row r="9797" spans="1:4">
      <c r="A9797" s="691"/>
      <c r="D9797" s="3"/>
    </row>
    <row r="9798" spans="1:4">
      <c r="A9798" s="691"/>
      <c r="D9798" s="3"/>
    </row>
    <row r="9799" spans="1:4">
      <c r="A9799" s="691"/>
      <c r="D9799" s="3"/>
    </row>
    <row r="9800" spans="1:4">
      <c r="A9800" s="691"/>
      <c r="D9800" s="3"/>
    </row>
    <row r="9801" spans="1:4">
      <c r="A9801" s="691"/>
      <c r="D9801" s="3"/>
    </row>
    <row r="9802" spans="1:4">
      <c r="A9802" s="691"/>
      <c r="D9802" s="3"/>
    </row>
    <row r="9803" spans="1:4">
      <c r="A9803" s="691"/>
      <c r="D9803" s="3"/>
    </row>
    <row r="9804" spans="1:4">
      <c r="A9804" s="691"/>
      <c r="D9804" s="3"/>
    </row>
    <row r="9805" spans="1:4">
      <c r="A9805" s="691"/>
      <c r="D9805" s="3"/>
    </row>
    <row r="9806" spans="1:4">
      <c r="A9806" s="691"/>
      <c r="D9806" s="3"/>
    </row>
    <row r="9807" spans="1:4">
      <c r="A9807" s="691"/>
      <c r="D9807" s="3"/>
    </row>
    <row r="9808" spans="1:4">
      <c r="A9808" s="691"/>
      <c r="D9808" s="3"/>
    </row>
    <row r="9809" spans="1:4">
      <c r="A9809" s="691"/>
      <c r="D9809" s="3"/>
    </row>
    <row r="9810" spans="1:4">
      <c r="A9810" s="691"/>
      <c r="D9810" s="3"/>
    </row>
    <row r="9811" spans="1:4">
      <c r="A9811" s="691"/>
      <c r="D9811" s="3"/>
    </row>
    <row r="9812" spans="1:4">
      <c r="A9812" s="691"/>
      <c r="D9812" s="3"/>
    </row>
    <row r="9813" spans="1:4">
      <c r="A9813" s="691"/>
      <c r="D9813" s="3"/>
    </row>
    <row r="9814" spans="1:4">
      <c r="A9814" s="691"/>
      <c r="D9814" s="3"/>
    </row>
    <row r="9815" spans="1:4">
      <c r="A9815" s="691"/>
      <c r="D9815" s="3"/>
    </row>
    <row r="9816" spans="1:4">
      <c r="A9816" s="691"/>
      <c r="D9816" s="3"/>
    </row>
    <row r="9817" spans="1:4">
      <c r="A9817" s="691"/>
      <c r="D9817" s="3"/>
    </row>
    <row r="9818" spans="1:4">
      <c r="A9818" s="691"/>
      <c r="D9818" s="3"/>
    </row>
    <row r="9819" spans="1:4">
      <c r="A9819" s="691"/>
      <c r="D9819" s="3"/>
    </row>
    <row r="9820" spans="1:4">
      <c r="A9820" s="691"/>
      <c r="D9820" s="3"/>
    </row>
    <row r="9821" spans="1:4">
      <c r="A9821" s="691"/>
      <c r="D9821" s="3"/>
    </row>
    <row r="9822" spans="1:4">
      <c r="A9822" s="691"/>
      <c r="D9822" s="3"/>
    </row>
    <row r="9823" spans="1:4">
      <c r="A9823" s="691"/>
      <c r="D9823" s="3"/>
    </row>
    <row r="9824" spans="1:4">
      <c r="A9824" s="691"/>
      <c r="D9824" s="3"/>
    </row>
    <row r="9825" spans="1:4">
      <c r="A9825" s="691"/>
      <c r="D9825" s="3"/>
    </row>
    <row r="9826" spans="1:4">
      <c r="A9826" s="691"/>
      <c r="D9826" s="3"/>
    </row>
    <row r="9827" spans="1:4">
      <c r="A9827" s="691"/>
      <c r="D9827" s="3"/>
    </row>
    <row r="9828" spans="1:4">
      <c r="A9828" s="691"/>
      <c r="D9828" s="3"/>
    </row>
    <row r="9829" spans="1:4">
      <c r="A9829" s="691"/>
      <c r="D9829" s="3"/>
    </row>
    <row r="9830" spans="1:4">
      <c r="A9830" s="691"/>
      <c r="D9830" s="3"/>
    </row>
    <row r="9831" spans="1:4">
      <c r="A9831" s="691"/>
      <c r="D9831" s="3"/>
    </row>
    <row r="9832" spans="1:4">
      <c r="A9832" s="691"/>
      <c r="D9832" s="3"/>
    </row>
    <row r="9833" spans="1:4">
      <c r="A9833" s="691"/>
      <c r="D9833" s="3"/>
    </row>
    <row r="9834" spans="1:4">
      <c r="A9834" s="691"/>
      <c r="D9834" s="3"/>
    </row>
    <row r="9835" spans="1:4">
      <c r="A9835" s="691"/>
      <c r="D9835" s="3"/>
    </row>
    <row r="9836" spans="1:4">
      <c r="A9836" s="691"/>
      <c r="D9836" s="3"/>
    </row>
    <row r="9837" spans="1:4">
      <c r="A9837" s="691"/>
      <c r="D9837" s="3"/>
    </row>
    <row r="9838" spans="1:4">
      <c r="A9838" s="691"/>
      <c r="D9838" s="3"/>
    </row>
    <row r="9839" spans="1:4">
      <c r="A9839" s="691"/>
      <c r="D9839" s="3"/>
    </row>
    <row r="9840" spans="1:4">
      <c r="A9840" s="691"/>
      <c r="D9840" s="3"/>
    </row>
    <row r="9841" spans="1:4">
      <c r="A9841" s="691"/>
      <c r="D9841" s="3"/>
    </row>
    <row r="9842" spans="1:4">
      <c r="A9842" s="691"/>
      <c r="D9842" s="3"/>
    </row>
    <row r="9843" spans="1:4">
      <c r="A9843" s="691"/>
      <c r="D9843" s="3"/>
    </row>
    <row r="9844" spans="1:4">
      <c r="A9844" s="691"/>
      <c r="D9844" s="3"/>
    </row>
    <row r="9845" spans="1:4">
      <c r="A9845" s="691"/>
      <c r="D9845" s="3"/>
    </row>
    <row r="9846" spans="1:4">
      <c r="A9846" s="691"/>
      <c r="D9846" s="3"/>
    </row>
    <row r="9847" spans="1:4">
      <c r="A9847" s="691"/>
      <c r="D9847" s="3"/>
    </row>
    <row r="9848" spans="1:4">
      <c r="A9848" s="691"/>
      <c r="D9848" s="3"/>
    </row>
    <row r="9849" spans="1:4">
      <c r="A9849" s="691"/>
      <c r="D9849" s="3"/>
    </row>
    <row r="9850" spans="1:4">
      <c r="A9850" s="691"/>
      <c r="D9850" s="3"/>
    </row>
    <row r="9851" spans="1:4">
      <c r="A9851" s="691"/>
      <c r="D9851" s="3"/>
    </row>
    <row r="9852" spans="1:4">
      <c r="A9852" s="691"/>
      <c r="D9852" s="3"/>
    </row>
    <row r="9853" spans="1:4">
      <c r="A9853" s="691"/>
      <c r="D9853" s="3"/>
    </row>
    <row r="9854" spans="1:4">
      <c r="A9854" s="691"/>
      <c r="D9854" s="3"/>
    </row>
    <row r="9855" spans="1:4">
      <c r="A9855" s="691"/>
      <c r="D9855" s="3"/>
    </row>
    <row r="9856" spans="1:4">
      <c r="A9856" s="691"/>
      <c r="D9856" s="3"/>
    </row>
    <row r="9857" spans="1:4">
      <c r="A9857" s="691"/>
      <c r="D9857" s="3"/>
    </row>
    <row r="9858" spans="1:4">
      <c r="A9858" s="691"/>
      <c r="D9858" s="3"/>
    </row>
    <row r="9859" spans="1:4">
      <c r="A9859" s="691"/>
      <c r="D9859" s="3"/>
    </row>
    <row r="9860" spans="1:4">
      <c r="A9860" s="691"/>
      <c r="D9860" s="3"/>
    </row>
    <row r="9861" spans="1:4">
      <c r="A9861" s="691"/>
      <c r="D9861" s="3"/>
    </row>
    <row r="9862" spans="1:4">
      <c r="A9862" s="691"/>
      <c r="D9862" s="3"/>
    </row>
    <row r="9863" spans="1:4">
      <c r="A9863" s="691"/>
      <c r="D9863" s="3"/>
    </row>
    <row r="9864" spans="1:4">
      <c r="A9864" s="691"/>
      <c r="D9864" s="3"/>
    </row>
    <row r="9865" spans="1:4">
      <c r="A9865" s="691"/>
      <c r="D9865" s="3"/>
    </row>
    <row r="9866" spans="1:4">
      <c r="A9866" s="691"/>
      <c r="D9866" s="3"/>
    </row>
    <row r="9867" spans="1:4">
      <c r="A9867" s="691"/>
      <c r="D9867" s="3"/>
    </row>
    <row r="9868" spans="1:4">
      <c r="A9868" s="691"/>
      <c r="D9868" s="3"/>
    </row>
    <row r="9869" spans="1:4">
      <c r="A9869" s="691"/>
      <c r="D9869" s="3"/>
    </row>
    <row r="9870" spans="1:4">
      <c r="A9870" s="691"/>
      <c r="D9870" s="3"/>
    </row>
    <row r="9871" spans="1:4">
      <c r="A9871" s="691"/>
      <c r="D9871" s="3"/>
    </row>
    <row r="9872" spans="1:4">
      <c r="A9872" s="691"/>
      <c r="D9872" s="3"/>
    </row>
    <row r="9873" spans="1:4">
      <c r="A9873" s="691"/>
      <c r="D9873" s="3"/>
    </row>
    <row r="9874" spans="1:4">
      <c r="A9874" s="691"/>
      <c r="D9874" s="3"/>
    </row>
    <row r="9875" spans="1:4">
      <c r="A9875" s="691"/>
      <c r="D9875" s="3"/>
    </row>
    <row r="9876" spans="1:4">
      <c r="A9876" s="691"/>
      <c r="D9876" s="3"/>
    </row>
    <row r="9877" spans="1:4">
      <c r="A9877" s="691"/>
      <c r="D9877" s="3"/>
    </row>
    <row r="9878" spans="1:4">
      <c r="A9878" s="691"/>
      <c r="D9878" s="3"/>
    </row>
    <row r="9879" spans="1:4">
      <c r="A9879" s="691"/>
      <c r="D9879" s="3"/>
    </row>
    <row r="9880" spans="1:4">
      <c r="A9880" s="691"/>
      <c r="D9880" s="3"/>
    </row>
    <row r="9881" spans="1:4">
      <c r="A9881" s="691"/>
      <c r="D9881" s="3"/>
    </row>
    <row r="9882" spans="1:4">
      <c r="A9882" s="691"/>
      <c r="D9882" s="3"/>
    </row>
    <row r="9883" spans="1:4">
      <c r="A9883" s="691"/>
      <c r="D9883" s="3"/>
    </row>
    <row r="9884" spans="1:4">
      <c r="A9884" s="691"/>
      <c r="D9884" s="3"/>
    </row>
    <row r="9885" spans="1:4">
      <c r="A9885" s="691"/>
      <c r="D9885" s="3"/>
    </row>
    <row r="9886" spans="1:4">
      <c r="A9886" s="691"/>
      <c r="D9886" s="3"/>
    </row>
    <row r="9887" spans="1:4">
      <c r="A9887" s="691"/>
      <c r="D9887" s="3"/>
    </row>
    <row r="9888" spans="1:4">
      <c r="A9888" s="691"/>
      <c r="D9888" s="3"/>
    </row>
    <row r="9889" spans="1:4">
      <c r="A9889" s="691"/>
      <c r="D9889" s="3"/>
    </row>
    <row r="9890" spans="1:4">
      <c r="A9890" s="691"/>
      <c r="D9890" s="3"/>
    </row>
    <row r="9891" spans="1:4">
      <c r="A9891" s="691"/>
      <c r="D9891" s="3"/>
    </row>
    <row r="9892" spans="1:4">
      <c r="A9892" s="691"/>
      <c r="D9892" s="3"/>
    </row>
    <row r="9893" spans="1:4">
      <c r="A9893" s="691"/>
      <c r="D9893" s="3"/>
    </row>
    <row r="9894" spans="1:4">
      <c r="A9894" s="691"/>
      <c r="D9894" s="3"/>
    </row>
    <row r="9895" spans="1:4">
      <c r="A9895" s="691"/>
      <c r="D9895" s="3"/>
    </row>
    <row r="9896" spans="1:4">
      <c r="A9896" s="691"/>
      <c r="D9896" s="3"/>
    </row>
    <row r="9897" spans="1:4">
      <c r="A9897" s="691"/>
      <c r="D9897" s="3"/>
    </row>
    <row r="9898" spans="1:4">
      <c r="A9898" s="691"/>
      <c r="D9898" s="3"/>
    </row>
    <row r="9899" spans="1:4">
      <c r="A9899" s="691"/>
      <c r="D9899" s="3"/>
    </row>
    <row r="9900" spans="1:4">
      <c r="A9900" s="691"/>
      <c r="D9900" s="3"/>
    </row>
    <row r="9901" spans="1:4">
      <c r="A9901" s="691"/>
      <c r="D9901" s="3"/>
    </row>
    <row r="9902" spans="1:4">
      <c r="A9902" s="691"/>
      <c r="D9902" s="3"/>
    </row>
    <row r="9903" spans="1:4">
      <c r="A9903" s="691"/>
      <c r="D9903" s="3"/>
    </row>
    <row r="9904" spans="1:4">
      <c r="A9904" s="691"/>
      <c r="D9904" s="3"/>
    </row>
    <row r="9905" spans="1:4">
      <c r="A9905" s="691"/>
      <c r="D9905" s="3"/>
    </row>
    <row r="9906" spans="1:4">
      <c r="A9906" s="691"/>
      <c r="D9906" s="3"/>
    </row>
    <row r="9907" spans="1:4">
      <c r="A9907" s="691"/>
      <c r="D9907" s="3"/>
    </row>
    <row r="9908" spans="1:4">
      <c r="A9908" s="691"/>
      <c r="D9908" s="3"/>
    </row>
    <row r="9909" spans="1:4">
      <c r="A9909" s="691"/>
      <c r="D9909" s="3"/>
    </row>
    <row r="9910" spans="1:4">
      <c r="A9910" s="691"/>
      <c r="D9910" s="3"/>
    </row>
    <row r="9911" spans="1:4">
      <c r="A9911" s="691"/>
      <c r="D9911" s="3"/>
    </row>
    <row r="9912" spans="1:4">
      <c r="A9912" s="691"/>
      <c r="D9912" s="3"/>
    </row>
    <row r="9913" spans="1:4">
      <c r="A9913" s="691"/>
      <c r="D9913" s="3"/>
    </row>
    <row r="9914" spans="1:4">
      <c r="A9914" s="691"/>
      <c r="D9914" s="3"/>
    </row>
    <row r="9915" spans="1:4">
      <c r="A9915" s="691"/>
      <c r="D9915" s="3"/>
    </row>
    <row r="9916" spans="1:4">
      <c r="A9916" s="691"/>
      <c r="D9916" s="3"/>
    </row>
    <row r="9917" spans="1:4">
      <c r="A9917" s="691"/>
      <c r="D9917" s="3"/>
    </row>
    <row r="9918" spans="1:4">
      <c r="A9918" s="691"/>
      <c r="D9918" s="3"/>
    </row>
    <row r="9919" spans="1:4">
      <c r="A9919" s="691"/>
      <c r="D9919" s="3"/>
    </row>
    <row r="9920" spans="1:4">
      <c r="A9920" s="691"/>
      <c r="D9920" s="3"/>
    </row>
    <row r="9921" spans="1:4">
      <c r="A9921" s="691"/>
      <c r="D9921" s="3"/>
    </row>
    <row r="9922" spans="1:4">
      <c r="A9922" s="691"/>
      <c r="D9922" s="3"/>
    </row>
    <row r="9923" spans="1:4">
      <c r="A9923" s="691"/>
      <c r="D9923" s="3"/>
    </row>
    <row r="9924" spans="1:4">
      <c r="A9924" s="691"/>
      <c r="D9924" s="3"/>
    </row>
    <row r="9925" spans="1:4">
      <c r="A9925" s="691"/>
      <c r="D9925" s="3"/>
    </row>
    <row r="9926" spans="1:4">
      <c r="A9926" s="691"/>
      <c r="D9926" s="3"/>
    </row>
    <row r="9927" spans="1:4">
      <c r="A9927" s="691"/>
      <c r="D9927" s="3"/>
    </row>
    <row r="9928" spans="1:4">
      <c r="A9928" s="691"/>
      <c r="D9928" s="3"/>
    </row>
    <row r="9929" spans="1:4">
      <c r="A9929" s="691"/>
      <c r="D9929" s="3"/>
    </row>
    <row r="9930" spans="1:4">
      <c r="A9930" s="691"/>
      <c r="D9930" s="3"/>
    </row>
    <row r="9931" spans="1:4">
      <c r="A9931" s="691"/>
      <c r="D9931" s="3"/>
    </row>
    <row r="9932" spans="1:4">
      <c r="A9932" s="691"/>
      <c r="D9932" s="3"/>
    </row>
    <row r="9933" spans="1:4">
      <c r="A9933" s="691"/>
      <c r="D9933" s="3"/>
    </row>
    <row r="9934" spans="1:4">
      <c r="A9934" s="691"/>
      <c r="D9934" s="3"/>
    </row>
    <row r="9935" spans="1:4">
      <c r="A9935" s="691"/>
      <c r="D9935" s="3"/>
    </row>
    <row r="9936" spans="1:4">
      <c r="A9936" s="691"/>
      <c r="D9936" s="3"/>
    </row>
    <row r="9937" spans="1:4">
      <c r="A9937" s="691"/>
      <c r="D9937" s="3"/>
    </row>
    <row r="9938" spans="1:4">
      <c r="A9938" s="691"/>
      <c r="D9938" s="3"/>
    </row>
    <row r="9939" spans="1:4">
      <c r="A9939" s="691"/>
      <c r="D9939" s="3"/>
    </row>
    <row r="9940" spans="1:4">
      <c r="A9940" s="691"/>
      <c r="D9940" s="3"/>
    </row>
    <row r="9941" spans="1:4">
      <c r="A9941" s="691"/>
      <c r="D9941" s="3"/>
    </row>
    <row r="9942" spans="1:4">
      <c r="A9942" s="691"/>
      <c r="D9942" s="3"/>
    </row>
    <row r="9943" spans="1:4">
      <c r="A9943" s="691"/>
      <c r="D9943" s="3"/>
    </row>
    <row r="9944" spans="1:4">
      <c r="A9944" s="691"/>
      <c r="D9944" s="3"/>
    </row>
    <row r="9945" spans="1:4">
      <c r="A9945" s="691"/>
      <c r="D9945" s="3"/>
    </row>
    <row r="9946" spans="1:4">
      <c r="A9946" s="691"/>
      <c r="D9946" s="3"/>
    </row>
    <row r="9947" spans="1:4">
      <c r="A9947" s="691"/>
      <c r="D9947" s="3"/>
    </row>
    <row r="9948" spans="1:4">
      <c r="A9948" s="691"/>
      <c r="D9948" s="3"/>
    </row>
    <row r="9949" spans="1:4">
      <c r="A9949" s="691"/>
      <c r="D9949" s="3"/>
    </row>
    <row r="9950" spans="1:4">
      <c r="A9950" s="691"/>
      <c r="D9950" s="3"/>
    </row>
    <row r="9951" spans="1:4">
      <c r="A9951" s="691"/>
      <c r="D9951" s="3"/>
    </row>
    <row r="9952" spans="1:4">
      <c r="A9952" s="691"/>
      <c r="D9952" s="3"/>
    </row>
    <row r="9953" spans="1:4">
      <c r="A9953" s="691"/>
      <c r="D9953" s="3"/>
    </row>
    <row r="9954" spans="1:4">
      <c r="A9954" s="691"/>
      <c r="D9954" s="3"/>
    </row>
    <row r="9955" spans="1:4">
      <c r="A9955" s="691"/>
      <c r="D9955" s="3"/>
    </row>
    <row r="9956" spans="1:4">
      <c r="A9956" s="691"/>
      <c r="D9956" s="3"/>
    </row>
    <row r="9957" spans="1:4">
      <c r="A9957" s="691"/>
      <c r="D9957" s="3"/>
    </row>
    <row r="9958" spans="1:4">
      <c r="A9958" s="691"/>
      <c r="D9958" s="3"/>
    </row>
    <row r="9959" spans="1:4">
      <c r="A9959" s="691"/>
      <c r="D9959" s="3"/>
    </row>
    <row r="9960" spans="1:4">
      <c r="A9960" s="691"/>
      <c r="D9960" s="3"/>
    </row>
    <row r="9961" spans="1:4">
      <c r="A9961" s="691"/>
      <c r="D9961" s="3"/>
    </row>
    <row r="9962" spans="1:4">
      <c r="A9962" s="691"/>
      <c r="D9962" s="3"/>
    </row>
    <row r="9963" spans="1:4">
      <c r="A9963" s="691"/>
      <c r="D9963" s="3"/>
    </row>
    <row r="9964" spans="1:4">
      <c r="A9964" s="691"/>
      <c r="D9964" s="3"/>
    </row>
    <row r="9965" spans="1:4">
      <c r="A9965" s="691"/>
      <c r="D9965" s="3"/>
    </row>
    <row r="9966" spans="1:4">
      <c r="A9966" s="691"/>
      <c r="D9966" s="3"/>
    </row>
    <row r="9967" spans="1:4">
      <c r="A9967" s="691"/>
      <c r="D9967" s="3"/>
    </row>
    <row r="9968" spans="1:4">
      <c r="A9968" s="691"/>
      <c r="D9968" s="3"/>
    </row>
    <row r="9969" spans="1:4">
      <c r="A9969" s="691"/>
      <c r="D9969" s="3"/>
    </row>
    <row r="9970" spans="1:4">
      <c r="A9970" s="691"/>
      <c r="D9970" s="3"/>
    </row>
    <row r="9971" spans="1:4">
      <c r="A9971" s="691"/>
      <c r="D9971" s="3"/>
    </row>
    <row r="9972" spans="1:4">
      <c r="A9972" s="691"/>
      <c r="D9972" s="3"/>
    </row>
    <row r="9973" spans="1:4">
      <c r="A9973" s="691"/>
      <c r="D9973" s="3"/>
    </row>
    <row r="9974" spans="1:4">
      <c r="A9974" s="691"/>
      <c r="D9974" s="3"/>
    </row>
    <row r="9975" spans="1:4">
      <c r="A9975" s="691"/>
      <c r="D9975" s="3"/>
    </row>
    <row r="9976" spans="1:4">
      <c r="A9976" s="691"/>
      <c r="D9976" s="3"/>
    </row>
    <row r="9977" spans="1:4">
      <c r="A9977" s="691"/>
      <c r="D9977" s="3"/>
    </row>
    <row r="9978" spans="1:4">
      <c r="A9978" s="691"/>
      <c r="D9978" s="3"/>
    </row>
    <row r="9979" spans="1:4">
      <c r="A9979" s="691"/>
      <c r="D9979" s="3"/>
    </row>
    <row r="9980" spans="1:4">
      <c r="A9980" s="691"/>
      <c r="D9980" s="3"/>
    </row>
    <row r="9981" spans="1:4">
      <c r="A9981" s="691"/>
      <c r="D9981" s="3"/>
    </row>
    <row r="9982" spans="1:4">
      <c r="A9982" s="691"/>
      <c r="D9982" s="3"/>
    </row>
    <row r="9983" spans="1:4">
      <c r="A9983" s="691"/>
      <c r="D9983" s="3"/>
    </row>
    <row r="9984" spans="1:4">
      <c r="A9984" s="691"/>
      <c r="D9984" s="3"/>
    </row>
    <row r="9985" spans="1:4">
      <c r="A9985" s="691"/>
      <c r="D9985" s="3"/>
    </row>
    <row r="9986" spans="1:4">
      <c r="A9986" s="691"/>
      <c r="D9986" s="3"/>
    </row>
    <row r="9987" spans="1:4">
      <c r="A9987" s="691"/>
      <c r="D9987" s="3"/>
    </row>
    <row r="9988" spans="1:4">
      <c r="A9988" s="691"/>
      <c r="D9988" s="3"/>
    </row>
    <row r="9989" spans="1:4">
      <c r="A9989" s="691"/>
      <c r="D9989" s="3"/>
    </row>
    <row r="9990" spans="1:4">
      <c r="A9990" s="691"/>
      <c r="D9990" s="3"/>
    </row>
    <row r="9991" spans="1:4">
      <c r="A9991" s="691"/>
      <c r="D9991" s="3"/>
    </row>
    <row r="9992" spans="1:4">
      <c r="A9992" s="691"/>
      <c r="D9992" s="3"/>
    </row>
    <row r="9993" spans="1:4">
      <c r="A9993" s="691"/>
      <c r="D9993" s="3"/>
    </row>
    <row r="9994" spans="1:4">
      <c r="A9994" s="691"/>
      <c r="D9994" s="3"/>
    </row>
    <row r="9995" spans="1:4">
      <c r="A9995" s="691"/>
      <c r="D9995" s="3"/>
    </row>
    <row r="9996" spans="1:4">
      <c r="A9996" s="691"/>
      <c r="D9996" s="3"/>
    </row>
    <row r="9997" spans="1:4">
      <c r="A9997" s="691"/>
      <c r="D9997" s="3"/>
    </row>
    <row r="9998" spans="1:4">
      <c r="A9998" s="691"/>
      <c r="D9998" s="3"/>
    </row>
    <row r="9999" spans="1:4">
      <c r="A9999" s="691"/>
      <c r="D9999" s="3"/>
    </row>
    <row r="10000" spans="1:4">
      <c r="A10000" s="691"/>
      <c r="D10000" s="3"/>
    </row>
    <row r="10001" spans="1:4">
      <c r="A10001" s="691"/>
      <c r="D10001" s="3"/>
    </row>
    <row r="10002" spans="1:4">
      <c r="A10002" s="691"/>
      <c r="D10002" s="3"/>
    </row>
    <row r="10003" spans="1:4">
      <c r="A10003" s="691"/>
      <c r="D10003" s="3"/>
    </row>
    <row r="10004" spans="1:4">
      <c r="A10004" s="691"/>
      <c r="D10004" s="3"/>
    </row>
    <row r="10005" spans="1:4">
      <c r="A10005" s="691"/>
      <c r="D10005" s="3"/>
    </row>
    <row r="10006" spans="1:4">
      <c r="A10006" s="691"/>
      <c r="D10006" s="3"/>
    </row>
    <row r="10007" spans="1:4">
      <c r="A10007" s="691"/>
      <c r="D10007" s="3"/>
    </row>
    <row r="10008" spans="1:4">
      <c r="A10008" s="691"/>
      <c r="D10008" s="3"/>
    </row>
    <row r="10009" spans="1:4">
      <c r="A10009" s="691"/>
      <c r="D10009" s="3"/>
    </row>
    <row r="10010" spans="1:4">
      <c r="A10010" s="691"/>
      <c r="D10010" s="3"/>
    </row>
    <row r="10011" spans="1:4">
      <c r="A10011" s="691"/>
      <c r="D10011" s="3"/>
    </row>
    <row r="10012" spans="1:4">
      <c r="A10012" s="691"/>
      <c r="D10012" s="3"/>
    </row>
    <row r="10013" spans="1:4">
      <c r="A10013" s="691"/>
      <c r="D10013" s="3"/>
    </row>
    <row r="10014" spans="1:4">
      <c r="A10014" s="691"/>
      <c r="D10014" s="3"/>
    </row>
    <row r="10015" spans="1:4">
      <c r="A10015" s="691"/>
      <c r="D10015" s="3"/>
    </row>
    <row r="10016" spans="1:4">
      <c r="A10016" s="691"/>
      <c r="D10016" s="3"/>
    </row>
    <row r="10017" spans="1:4">
      <c r="A10017" s="691"/>
      <c r="D10017" s="3"/>
    </row>
    <row r="10018" spans="1:4">
      <c r="A10018" s="691"/>
      <c r="D10018" s="3"/>
    </row>
    <row r="10019" spans="1:4">
      <c r="A10019" s="691"/>
      <c r="D10019" s="3"/>
    </row>
    <row r="10020" spans="1:4">
      <c r="A10020" s="691"/>
      <c r="D10020" s="3"/>
    </row>
    <row r="10021" spans="1:4">
      <c r="A10021" s="691"/>
      <c r="D10021" s="3"/>
    </row>
    <row r="10022" spans="1:4">
      <c r="A10022" s="691"/>
      <c r="D10022" s="3"/>
    </row>
    <row r="10023" spans="1:4">
      <c r="A10023" s="691"/>
      <c r="D10023" s="3"/>
    </row>
    <row r="10024" spans="1:4">
      <c r="A10024" s="691"/>
      <c r="D10024" s="3"/>
    </row>
    <row r="10025" spans="1:4">
      <c r="A10025" s="691"/>
      <c r="D10025" s="3"/>
    </row>
    <row r="10026" spans="1:4">
      <c r="A10026" s="691"/>
      <c r="D10026" s="3"/>
    </row>
    <row r="10027" spans="1:4">
      <c r="A10027" s="691"/>
      <c r="D10027" s="3"/>
    </row>
    <row r="10028" spans="1:4">
      <c r="A10028" s="691"/>
      <c r="D10028" s="3"/>
    </row>
    <row r="10029" spans="1:4">
      <c r="A10029" s="691"/>
      <c r="D10029" s="3"/>
    </row>
    <row r="10030" spans="1:4">
      <c r="A10030" s="691"/>
      <c r="D10030" s="3"/>
    </row>
    <row r="10031" spans="1:4">
      <c r="A10031" s="691"/>
      <c r="D10031" s="3"/>
    </row>
    <row r="10032" spans="1:4">
      <c r="A10032" s="691"/>
      <c r="D10032" s="3"/>
    </row>
    <row r="10033" spans="1:4">
      <c r="A10033" s="691"/>
      <c r="D10033" s="3"/>
    </row>
    <row r="10034" spans="1:4">
      <c r="A10034" s="691"/>
      <c r="D10034" s="3"/>
    </row>
    <row r="10035" spans="1:4">
      <c r="A10035" s="691"/>
      <c r="D10035" s="3"/>
    </row>
    <row r="10036" spans="1:4">
      <c r="A10036" s="691"/>
      <c r="D10036" s="3"/>
    </row>
    <row r="10037" spans="1:4">
      <c r="A10037" s="691"/>
      <c r="D10037" s="3"/>
    </row>
    <row r="10038" spans="1:4">
      <c r="A10038" s="691"/>
      <c r="D10038" s="3"/>
    </row>
    <row r="10039" spans="1:4">
      <c r="A10039" s="691"/>
      <c r="D10039" s="3"/>
    </row>
    <row r="10040" spans="1:4">
      <c r="A10040" s="691"/>
      <c r="D10040" s="3"/>
    </row>
    <row r="10041" spans="1:4">
      <c r="A10041" s="691"/>
      <c r="D10041" s="3"/>
    </row>
    <row r="10042" spans="1:4">
      <c r="A10042" s="691"/>
      <c r="D10042" s="3"/>
    </row>
    <row r="10043" spans="1:4">
      <c r="A10043" s="691"/>
      <c r="D10043" s="3"/>
    </row>
    <row r="10044" spans="1:4">
      <c r="A10044" s="691"/>
      <c r="D10044" s="3"/>
    </row>
    <row r="10045" spans="1:4">
      <c r="A10045" s="691"/>
      <c r="D10045" s="3"/>
    </row>
    <row r="10046" spans="1:4">
      <c r="A10046" s="691"/>
      <c r="D10046" s="3"/>
    </row>
    <row r="10047" spans="1:4">
      <c r="A10047" s="691"/>
      <c r="D10047" s="3"/>
    </row>
    <row r="10048" spans="1:4">
      <c r="A10048" s="691"/>
      <c r="D10048" s="3"/>
    </row>
    <row r="10049" spans="1:4">
      <c r="A10049" s="691"/>
      <c r="D10049" s="3"/>
    </row>
    <row r="10050" spans="1:4">
      <c r="A10050" s="691"/>
      <c r="D10050" s="3"/>
    </row>
    <row r="10051" spans="1:4">
      <c r="A10051" s="691"/>
      <c r="D10051" s="3"/>
    </row>
    <row r="10052" spans="1:4">
      <c r="A10052" s="691"/>
      <c r="D10052" s="3"/>
    </row>
    <row r="10053" spans="1:4">
      <c r="A10053" s="691"/>
      <c r="D10053" s="3"/>
    </row>
    <row r="10054" spans="1:4">
      <c r="A10054" s="691"/>
      <c r="D10054" s="3"/>
    </row>
    <row r="10055" spans="1:4">
      <c r="A10055" s="691"/>
      <c r="D10055" s="3"/>
    </row>
    <row r="10056" spans="1:4">
      <c r="A10056" s="691"/>
      <c r="D10056" s="3"/>
    </row>
    <row r="10057" spans="1:4">
      <c r="A10057" s="691"/>
      <c r="D10057" s="3"/>
    </row>
    <row r="10058" spans="1:4">
      <c r="A10058" s="691"/>
      <c r="D10058" s="3"/>
    </row>
    <row r="10059" spans="1:4">
      <c r="A10059" s="691"/>
      <c r="D10059" s="3"/>
    </row>
    <row r="10060" spans="1:4">
      <c r="A10060" s="691"/>
      <c r="D10060" s="3"/>
    </row>
    <row r="10061" spans="1:4">
      <c r="A10061" s="691"/>
      <c r="D10061" s="3"/>
    </row>
    <row r="10062" spans="1:4">
      <c r="A10062" s="691"/>
      <c r="D10062" s="3"/>
    </row>
    <row r="10063" spans="1:4">
      <c r="A10063" s="691"/>
      <c r="D10063" s="3"/>
    </row>
    <row r="10064" spans="1:4">
      <c r="A10064" s="691"/>
      <c r="D10064" s="3"/>
    </row>
    <row r="10065" spans="1:4">
      <c r="A10065" s="691"/>
      <c r="D10065" s="3"/>
    </row>
    <row r="10066" spans="1:4">
      <c r="A10066" s="691"/>
      <c r="D10066" s="3"/>
    </row>
    <row r="10067" spans="1:4">
      <c r="A10067" s="691"/>
      <c r="D10067" s="3"/>
    </row>
    <row r="10068" spans="1:4">
      <c r="A10068" s="691"/>
      <c r="D10068" s="3"/>
    </row>
    <row r="10069" spans="1:4">
      <c r="A10069" s="691"/>
      <c r="D10069" s="3"/>
    </row>
    <row r="10070" spans="1:4">
      <c r="A10070" s="691"/>
      <c r="D10070" s="3"/>
    </row>
    <row r="10071" spans="1:4">
      <c r="A10071" s="691"/>
      <c r="D10071" s="3"/>
    </row>
    <row r="10072" spans="1:4">
      <c r="A10072" s="691"/>
      <c r="D10072" s="3"/>
    </row>
    <row r="10073" spans="1:4">
      <c r="A10073" s="691"/>
      <c r="D10073" s="3"/>
    </row>
    <row r="10074" spans="1:4">
      <c r="A10074" s="691"/>
      <c r="D10074" s="3"/>
    </row>
    <row r="10075" spans="1:4">
      <c r="A10075" s="691"/>
      <c r="D10075" s="3"/>
    </row>
    <row r="10076" spans="1:4">
      <c r="A10076" s="691"/>
      <c r="D10076" s="3"/>
    </row>
    <row r="10077" spans="1:4">
      <c r="A10077" s="691"/>
      <c r="D10077" s="3"/>
    </row>
    <row r="10078" spans="1:4">
      <c r="A10078" s="691"/>
      <c r="D10078" s="3"/>
    </row>
    <row r="10079" spans="1:4">
      <c r="A10079" s="691"/>
      <c r="D10079" s="3"/>
    </row>
    <row r="10080" spans="1:4">
      <c r="A10080" s="691"/>
      <c r="D10080" s="3"/>
    </row>
    <row r="10081" spans="1:4">
      <c r="A10081" s="691"/>
      <c r="D10081" s="3"/>
    </row>
    <row r="10082" spans="1:4">
      <c r="A10082" s="691"/>
      <c r="D10082" s="3"/>
    </row>
    <row r="10083" spans="1:4">
      <c r="A10083" s="691"/>
      <c r="D10083" s="3"/>
    </row>
    <row r="10084" spans="1:4">
      <c r="A10084" s="691"/>
      <c r="D10084" s="3"/>
    </row>
    <row r="10085" spans="1:4">
      <c r="A10085" s="691"/>
      <c r="D10085" s="3"/>
    </row>
    <row r="10086" spans="1:4">
      <c r="A10086" s="691"/>
      <c r="D10086" s="3"/>
    </row>
    <row r="10087" spans="1:4">
      <c r="A10087" s="691"/>
      <c r="D10087" s="3"/>
    </row>
    <row r="10088" spans="1:4">
      <c r="A10088" s="691"/>
      <c r="D10088" s="3"/>
    </row>
    <row r="10089" spans="1:4">
      <c r="A10089" s="691"/>
      <c r="D10089" s="3"/>
    </row>
    <row r="10090" spans="1:4">
      <c r="A10090" s="691"/>
      <c r="D10090" s="3"/>
    </row>
    <row r="10091" spans="1:4">
      <c r="A10091" s="691"/>
      <c r="D10091" s="3"/>
    </row>
    <row r="10092" spans="1:4">
      <c r="A10092" s="691"/>
      <c r="D10092" s="3"/>
    </row>
    <row r="10093" spans="1:4">
      <c r="A10093" s="691"/>
      <c r="D10093" s="3"/>
    </row>
    <row r="10094" spans="1:4">
      <c r="A10094" s="691"/>
      <c r="D10094" s="3"/>
    </row>
    <row r="10095" spans="1:4">
      <c r="A10095" s="691"/>
      <c r="D10095" s="3"/>
    </row>
    <row r="10096" spans="1:4">
      <c r="A10096" s="691"/>
      <c r="D10096" s="3"/>
    </row>
    <row r="10097" spans="1:4">
      <c r="A10097" s="691"/>
      <c r="D10097" s="3"/>
    </row>
    <row r="10098" spans="1:4">
      <c r="A10098" s="691"/>
      <c r="D10098" s="3"/>
    </row>
    <row r="10099" spans="1:4">
      <c r="A10099" s="691"/>
      <c r="D10099" s="3"/>
    </row>
    <row r="10100" spans="1:4">
      <c r="A10100" s="691"/>
      <c r="D10100" s="3"/>
    </row>
    <row r="10101" spans="1:4">
      <c r="A10101" s="691"/>
      <c r="D10101" s="3"/>
    </row>
    <row r="10102" spans="1:4">
      <c r="A10102" s="691"/>
      <c r="D10102" s="3"/>
    </row>
    <row r="10103" spans="1:4">
      <c r="A10103" s="691"/>
      <c r="D10103" s="3"/>
    </row>
    <row r="10104" spans="1:4">
      <c r="A10104" s="691"/>
      <c r="D10104" s="3"/>
    </row>
    <row r="10105" spans="1:4">
      <c r="A10105" s="691"/>
      <c r="D10105" s="3"/>
    </row>
    <row r="10106" spans="1:4">
      <c r="A10106" s="691"/>
      <c r="D10106" s="3"/>
    </row>
    <row r="10107" spans="1:4">
      <c r="A10107" s="691"/>
      <c r="D10107" s="3"/>
    </row>
    <row r="10108" spans="1:4">
      <c r="A10108" s="691"/>
      <c r="D10108" s="3"/>
    </row>
    <row r="10109" spans="1:4">
      <c r="A10109" s="691"/>
      <c r="D10109" s="3"/>
    </row>
    <row r="10110" spans="1:4">
      <c r="A10110" s="691"/>
      <c r="D10110" s="3"/>
    </row>
    <row r="10111" spans="1:4">
      <c r="A10111" s="691"/>
      <c r="D10111" s="3"/>
    </row>
    <row r="10112" spans="1:4">
      <c r="A10112" s="691"/>
      <c r="D10112" s="3"/>
    </row>
    <row r="10113" spans="1:4">
      <c r="A10113" s="691"/>
      <c r="D10113" s="3"/>
    </row>
    <row r="10114" spans="1:4">
      <c r="A10114" s="691"/>
      <c r="D10114" s="3"/>
    </row>
    <row r="10115" spans="1:4">
      <c r="A10115" s="691"/>
      <c r="D10115" s="3"/>
    </row>
    <row r="10116" spans="1:4">
      <c r="A10116" s="691"/>
      <c r="D10116" s="3"/>
    </row>
    <row r="10117" spans="1:4">
      <c r="A10117" s="691"/>
      <c r="D10117" s="3"/>
    </row>
    <row r="10118" spans="1:4">
      <c r="A10118" s="691"/>
      <c r="D10118" s="3"/>
    </row>
    <row r="10119" spans="1:4">
      <c r="A10119" s="691"/>
      <c r="D10119" s="3"/>
    </row>
    <row r="10120" spans="1:4">
      <c r="A10120" s="691"/>
      <c r="D10120" s="3"/>
    </row>
    <row r="10121" spans="1:4">
      <c r="A10121" s="691"/>
      <c r="D10121" s="3"/>
    </row>
    <row r="10122" spans="1:4">
      <c r="A10122" s="691"/>
      <c r="D10122" s="3"/>
    </row>
    <row r="10123" spans="1:4">
      <c r="A10123" s="691"/>
      <c r="D10123" s="3"/>
    </row>
    <row r="10124" spans="1:4">
      <c r="A10124" s="691"/>
      <c r="D10124" s="3"/>
    </row>
    <row r="10125" spans="1:4">
      <c r="A10125" s="691"/>
      <c r="D10125" s="3"/>
    </row>
    <row r="10126" spans="1:4">
      <c r="A10126" s="691"/>
      <c r="D10126" s="3"/>
    </row>
    <row r="10127" spans="1:4">
      <c r="A10127" s="691"/>
      <c r="D10127" s="3"/>
    </row>
    <row r="10128" spans="1:4">
      <c r="A10128" s="691"/>
      <c r="D10128" s="3"/>
    </row>
    <row r="10129" spans="1:4">
      <c r="A10129" s="691"/>
      <c r="D10129" s="3"/>
    </row>
    <row r="10130" spans="1:4">
      <c r="A10130" s="691"/>
      <c r="D10130" s="3"/>
    </row>
    <row r="10131" spans="1:4">
      <c r="A10131" s="691"/>
      <c r="D10131" s="3"/>
    </row>
    <row r="10132" spans="1:4">
      <c r="A10132" s="691"/>
      <c r="D10132" s="3"/>
    </row>
    <row r="10133" spans="1:4">
      <c r="A10133" s="691"/>
      <c r="D10133" s="3"/>
    </row>
    <row r="10134" spans="1:4">
      <c r="A10134" s="691"/>
      <c r="D10134" s="3"/>
    </row>
    <row r="10135" spans="1:4">
      <c r="A10135" s="691"/>
      <c r="D10135" s="3"/>
    </row>
    <row r="10136" spans="1:4">
      <c r="A10136" s="691"/>
      <c r="D10136" s="3"/>
    </row>
    <row r="10137" spans="1:4">
      <c r="A10137" s="691"/>
      <c r="D10137" s="3"/>
    </row>
    <row r="10138" spans="1:4">
      <c r="A10138" s="691"/>
      <c r="D10138" s="3"/>
    </row>
    <row r="10139" spans="1:4">
      <c r="A10139" s="691"/>
      <c r="D10139" s="3"/>
    </row>
    <row r="10140" spans="1:4">
      <c r="A10140" s="691"/>
      <c r="D10140" s="3"/>
    </row>
    <row r="10141" spans="1:4">
      <c r="A10141" s="691"/>
      <c r="D10141" s="3"/>
    </row>
    <row r="10142" spans="1:4">
      <c r="A10142" s="691"/>
      <c r="D10142" s="3"/>
    </row>
    <row r="10143" spans="1:4">
      <c r="A10143" s="691"/>
      <c r="D10143" s="3"/>
    </row>
    <row r="10144" spans="1:4">
      <c r="A10144" s="691"/>
      <c r="D10144" s="3"/>
    </row>
    <row r="10145" spans="1:4">
      <c r="A10145" s="691"/>
      <c r="D10145" s="3"/>
    </row>
    <row r="10146" spans="1:4">
      <c r="A10146" s="691"/>
      <c r="D10146" s="3"/>
    </row>
    <row r="10147" spans="1:4">
      <c r="A10147" s="691"/>
      <c r="D10147" s="3"/>
    </row>
    <row r="10148" spans="1:4">
      <c r="A10148" s="691"/>
      <c r="D10148" s="3"/>
    </row>
    <row r="10149" spans="1:4">
      <c r="A10149" s="691"/>
      <c r="D10149" s="3"/>
    </row>
    <row r="10150" spans="1:4">
      <c r="A10150" s="691"/>
      <c r="D10150" s="3"/>
    </row>
    <row r="10151" spans="1:4">
      <c r="A10151" s="691"/>
      <c r="D10151" s="3"/>
    </row>
    <row r="10152" spans="1:4">
      <c r="A10152" s="691"/>
      <c r="D10152" s="3"/>
    </row>
    <row r="10153" spans="1:4">
      <c r="A10153" s="691"/>
      <c r="D10153" s="3"/>
    </row>
    <row r="10154" spans="1:4">
      <c r="A10154" s="691"/>
      <c r="D10154" s="3"/>
    </row>
    <row r="10155" spans="1:4">
      <c r="A10155" s="691"/>
      <c r="D10155" s="3"/>
    </row>
    <row r="10156" spans="1:4">
      <c r="A10156" s="691"/>
      <c r="D10156" s="3"/>
    </row>
    <row r="10157" spans="1:4">
      <c r="A10157" s="691"/>
      <c r="D10157" s="3"/>
    </row>
    <row r="10158" spans="1:4">
      <c r="A10158" s="691"/>
      <c r="D10158" s="3"/>
    </row>
    <row r="10159" spans="1:4">
      <c r="A10159" s="691"/>
      <c r="D10159" s="3"/>
    </row>
    <row r="10160" spans="1:4">
      <c r="A10160" s="691"/>
      <c r="D10160" s="3"/>
    </row>
    <row r="10161" spans="1:4">
      <c r="A10161" s="691"/>
      <c r="D10161" s="3"/>
    </row>
    <row r="10162" spans="1:4">
      <c r="A10162" s="691"/>
      <c r="D10162" s="3"/>
    </row>
    <row r="10163" spans="1:4">
      <c r="A10163" s="691"/>
      <c r="D10163" s="3"/>
    </row>
    <row r="10164" spans="1:4">
      <c r="A10164" s="691"/>
      <c r="D10164" s="3"/>
    </row>
    <row r="10165" spans="1:4">
      <c r="A10165" s="691"/>
      <c r="D10165" s="3"/>
    </row>
    <row r="10166" spans="1:4">
      <c r="A10166" s="691"/>
      <c r="D10166" s="3"/>
    </row>
    <row r="10167" spans="1:4">
      <c r="A10167" s="691"/>
      <c r="D10167" s="3"/>
    </row>
    <row r="10168" spans="1:4">
      <c r="A10168" s="691"/>
      <c r="D10168" s="3"/>
    </row>
    <row r="10169" spans="1:4">
      <c r="A10169" s="691"/>
      <c r="D10169" s="3"/>
    </row>
    <row r="10170" spans="1:4">
      <c r="A10170" s="691"/>
      <c r="D10170" s="3"/>
    </row>
    <row r="10171" spans="1:4">
      <c r="A10171" s="691"/>
      <c r="D10171" s="3"/>
    </row>
    <row r="10172" spans="1:4">
      <c r="A10172" s="691"/>
      <c r="D10172" s="3"/>
    </row>
    <row r="10173" spans="1:4">
      <c r="A10173" s="691"/>
      <c r="D10173" s="3"/>
    </row>
    <row r="10174" spans="1:4">
      <c r="A10174" s="691"/>
      <c r="D10174" s="3"/>
    </row>
    <row r="10175" spans="1:4">
      <c r="A10175" s="691"/>
      <c r="D10175" s="3"/>
    </row>
    <row r="10176" spans="1:4">
      <c r="A10176" s="691"/>
      <c r="D10176" s="3"/>
    </row>
    <row r="10177" spans="1:4">
      <c r="A10177" s="691"/>
      <c r="D10177" s="3"/>
    </row>
    <row r="10178" spans="1:4">
      <c r="A10178" s="691"/>
      <c r="D10178" s="3"/>
    </row>
    <row r="10179" spans="1:4">
      <c r="A10179" s="691"/>
      <c r="D10179" s="3"/>
    </row>
    <row r="10180" spans="1:4">
      <c r="A10180" s="691"/>
      <c r="D10180" s="3"/>
    </row>
    <row r="10181" spans="1:4">
      <c r="A10181" s="691"/>
      <c r="D10181" s="3"/>
    </row>
    <row r="10182" spans="1:4">
      <c r="A10182" s="691"/>
      <c r="D10182" s="3"/>
    </row>
    <row r="10183" spans="1:4">
      <c r="A10183" s="691"/>
      <c r="D10183" s="3"/>
    </row>
    <row r="10184" spans="1:4">
      <c r="A10184" s="691"/>
      <c r="D10184" s="3"/>
    </row>
    <row r="10185" spans="1:4">
      <c r="A10185" s="691"/>
      <c r="D10185" s="3"/>
    </row>
    <row r="10186" spans="1:4">
      <c r="A10186" s="691"/>
      <c r="D10186" s="3"/>
    </row>
    <row r="10187" spans="1:4">
      <c r="A10187" s="691"/>
      <c r="D10187" s="3"/>
    </row>
    <row r="10188" spans="1:4">
      <c r="A10188" s="691"/>
      <c r="D10188" s="3"/>
    </row>
    <row r="10189" spans="1:4">
      <c r="A10189" s="691"/>
      <c r="D10189" s="3"/>
    </row>
    <row r="10190" spans="1:4">
      <c r="A10190" s="691"/>
      <c r="D10190" s="3"/>
    </row>
    <row r="10191" spans="1:4">
      <c r="A10191" s="691"/>
      <c r="D10191" s="3"/>
    </row>
    <row r="10192" spans="1:4">
      <c r="A10192" s="691"/>
      <c r="D10192" s="3"/>
    </row>
    <row r="10193" spans="1:4">
      <c r="A10193" s="691"/>
      <c r="D10193" s="3"/>
    </row>
    <row r="10194" spans="1:4">
      <c r="A10194" s="691"/>
      <c r="D10194" s="3"/>
    </row>
    <row r="10195" spans="1:4">
      <c r="A10195" s="691"/>
      <c r="D10195" s="3"/>
    </row>
    <row r="10196" spans="1:4">
      <c r="A10196" s="691"/>
      <c r="D10196" s="3"/>
    </row>
    <row r="10197" spans="1:4">
      <c r="A10197" s="691"/>
      <c r="D10197" s="3"/>
    </row>
    <row r="10198" spans="1:4">
      <c r="A10198" s="691"/>
      <c r="D10198" s="3"/>
    </row>
    <row r="10199" spans="1:4">
      <c r="A10199" s="691"/>
      <c r="D10199" s="3"/>
    </row>
    <row r="10200" spans="1:4">
      <c r="A10200" s="691"/>
      <c r="D10200" s="3"/>
    </row>
    <row r="10201" spans="1:4">
      <c r="A10201" s="691"/>
      <c r="D10201" s="3"/>
    </row>
    <row r="10202" spans="1:4">
      <c r="A10202" s="691"/>
      <c r="D10202" s="3"/>
    </row>
    <row r="10203" spans="1:4">
      <c r="A10203" s="691"/>
      <c r="D10203" s="3"/>
    </row>
    <row r="10204" spans="1:4">
      <c r="A10204" s="691"/>
      <c r="D10204" s="3"/>
    </row>
    <row r="10205" spans="1:4">
      <c r="A10205" s="691"/>
      <c r="D10205" s="3"/>
    </row>
    <row r="10206" spans="1:4">
      <c r="A10206" s="691"/>
      <c r="D10206" s="3"/>
    </row>
    <row r="10207" spans="1:4">
      <c r="A10207" s="691"/>
      <c r="D10207" s="3"/>
    </row>
    <row r="10208" spans="1:4">
      <c r="A10208" s="691"/>
      <c r="D10208" s="3"/>
    </row>
    <row r="10209" spans="1:4">
      <c r="A10209" s="691"/>
      <c r="D10209" s="3"/>
    </row>
    <row r="10210" spans="1:4">
      <c r="A10210" s="691"/>
      <c r="D10210" s="3"/>
    </row>
    <row r="10211" spans="1:4">
      <c r="A10211" s="691"/>
      <c r="D10211" s="3"/>
    </row>
    <row r="10212" spans="1:4">
      <c r="A10212" s="691"/>
      <c r="D10212" s="3"/>
    </row>
    <row r="10213" spans="1:4">
      <c r="A10213" s="691"/>
      <c r="D10213" s="3"/>
    </row>
    <row r="10214" spans="1:4">
      <c r="A10214" s="691"/>
      <c r="D10214" s="3"/>
    </row>
    <row r="10215" spans="1:4">
      <c r="A10215" s="691"/>
      <c r="D10215" s="3"/>
    </row>
    <row r="10216" spans="1:4">
      <c r="A10216" s="691"/>
      <c r="D10216" s="3"/>
    </row>
    <row r="10217" spans="1:4">
      <c r="A10217" s="691"/>
      <c r="D10217" s="3"/>
    </row>
    <row r="10218" spans="1:4">
      <c r="A10218" s="691"/>
      <c r="D10218" s="3"/>
    </row>
    <row r="10219" spans="1:4">
      <c r="A10219" s="691"/>
      <c r="D10219" s="3"/>
    </row>
    <row r="10220" spans="1:4">
      <c r="A10220" s="691"/>
      <c r="D10220" s="3"/>
    </row>
    <row r="10221" spans="1:4">
      <c r="A10221" s="691"/>
      <c r="D10221" s="3"/>
    </row>
    <row r="10222" spans="1:4">
      <c r="A10222" s="691"/>
      <c r="D10222" s="3"/>
    </row>
    <row r="10223" spans="1:4">
      <c r="A10223" s="691"/>
      <c r="D10223" s="3"/>
    </row>
    <row r="10224" spans="1:4">
      <c r="A10224" s="691"/>
      <c r="D10224" s="3"/>
    </row>
    <row r="10225" spans="1:4">
      <c r="A10225" s="691"/>
      <c r="D10225" s="3"/>
    </row>
    <row r="10226" spans="1:4">
      <c r="A10226" s="691"/>
      <c r="D10226" s="3"/>
    </row>
    <row r="10227" spans="1:4">
      <c r="A10227" s="691"/>
      <c r="D10227" s="3"/>
    </row>
    <row r="10228" spans="1:4">
      <c r="A10228" s="691"/>
      <c r="D10228" s="3"/>
    </row>
    <row r="10229" spans="1:4">
      <c r="A10229" s="691"/>
      <c r="D10229" s="3"/>
    </row>
    <row r="10230" spans="1:4">
      <c r="A10230" s="691"/>
      <c r="D10230" s="3"/>
    </row>
    <row r="10231" spans="1:4">
      <c r="A10231" s="691"/>
      <c r="D10231" s="3"/>
    </row>
    <row r="10232" spans="1:4">
      <c r="A10232" s="691"/>
      <c r="D10232" s="3"/>
    </row>
    <row r="10233" spans="1:4">
      <c r="A10233" s="691"/>
      <c r="D10233" s="3"/>
    </row>
    <row r="10234" spans="1:4">
      <c r="A10234" s="691"/>
      <c r="D10234" s="3"/>
    </row>
    <row r="10235" spans="1:4">
      <c r="A10235" s="691"/>
      <c r="D10235" s="3"/>
    </row>
    <row r="10236" spans="1:4">
      <c r="A10236" s="691"/>
      <c r="D10236" s="3"/>
    </row>
    <row r="10237" spans="1:4">
      <c r="A10237" s="691"/>
      <c r="D10237" s="3"/>
    </row>
    <row r="10238" spans="1:4">
      <c r="A10238" s="691"/>
      <c r="D10238" s="3"/>
    </row>
    <row r="10239" spans="1:4">
      <c r="A10239" s="691"/>
      <c r="D10239" s="3"/>
    </row>
    <row r="10240" spans="1:4">
      <c r="A10240" s="691"/>
      <c r="D10240" s="3"/>
    </row>
    <row r="10241" spans="1:4">
      <c r="A10241" s="691"/>
      <c r="D10241" s="3"/>
    </row>
    <row r="10242" spans="1:4">
      <c r="A10242" s="691"/>
      <c r="D10242" s="3"/>
    </row>
    <row r="10243" spans="1:4">
      <c r="A10243" s="691"/>
      <c r="D10243" s="3"/>
    </row>
    <row r="10244" spans="1:4">
      <c r="A10244" s="691"/>
      <c r="D10244" s="3"/>
    </row>
    <row r="10245" spans="1:4">
      <c r="A10245" s="691"/>
      <c r="D10245" s="3"/>
    </row>
    <row r="10246" spans="1:4">
      <c r="A10246" s="691"/>
      <c r="D10246" s="3"/>
    </row>
    <row r="10247" spans="1:4">
      <c r="A10247" s="691"/>
      <c r="D10247" s="3"/>
    </row>
    <row r="10248" spans="1:4">
      <c r="A10248" s="691"/>
      <c r="D10248" s="3"/>
    </row>
    <row r="10249" spans="1:4">
      <c r="A10249" s="691"/>
      <c r="D10249" s="3"/>
    </row>
    <row r="10250" spans="1:4">
      <c r="A10250" s="691"/>
      <c r="D10250" s="3"/>
    </row>
    <row r="10251" spans="1:4">
      <c r="A10251" s="691"/>
      <c r="D10251" s="3"/>
    </row>
    <row r="10252" spans="1:4">
      <c r="A10252" s="691"/>
      <c r="D10252" s="3"/>
    </row>
    <row r="10253" spans="1:4">
      <c r="A10253" s="691"/>
      <c r="D10253" s="3"/>
    </row>
    <row r="10254" spans="1:4">
      <c r="A10254" s="691"/>
      <c r="D10254" s="3"/>
    </row>
    <row r="10255" spans="1:4">
      <c r="A10255" s="691"/>
      <c r="D10255" s="3"/>
    </row>
    <row r="10256" spans="1:4">
      <c r="A10256" s="691"/>
      <c r="D10256" s="3"/>
    </row>
    <row r="10257" spans="1:4">
      <c r="A10257" s="691"/>
      <c r="D10257" s="3"/>
    </row>
    <row r="10258" spans="1:4">
      <c r="A10258" s="691"/>
      <c r="D10258" s="3"/>
    </row>
    <row r="10259" spans="1:4">
      <c r="A10259" s="691"/>
      <c r="D10259" s="3"/>
    </row>
    <row r="10260" spans="1:4">
      <c r="A10260" s="691"/>
      <c r="D10260" s="3"/>
    </row>
    <row r="10261" spans="1:4">
      <c r="A10261" s="691"/>
      <c r="D10261" s="3"/>
    </row>
    <row r="10262" spans="1:4">
      <c r="A10262" s="691"/>
      <c r="D10262" s="3"/>
    </row>
    <row r="10263" spans="1:4">
      <c r="A10263" s="691"/>
      <c r="D10263" s="3"/>
    </row>
    <row r="10264" spans="1:4">
      <c r="A10264" s="691"/>
      <c r="D10264" s="3"/>
    </row>
    <row r="10265" spans="1:4">
      <c r="A10265" s="691"/>
      <c r="D10265" s="3"/>
    </row>
    <row r="10266" spans="1:4">
      <c r="A10266" s="691"/>
      <c r="D10266" s="3"/>
    </row>
    <row r="10267" spans="1:4">
      <c r="A10267" s="691"/>
      <c r="D10267" s="3"/>
    </row>
    <row r="10268" spans="1:4">
      <c r="A10268" s="691"/>
      <c r="D10268" s="3"/>
    </row>
    <row r="10269" spans="1:4">
      <c r="A10269" s="691"/>
      <c r="D10269" s="3"/>
    </row>
    <row r="10270" spans="1:4">
      <c r="A10270" s="691"/>
      <c r="D10270" s="3"/>
    </row>
    <row r="10271" spans="1:4">
      <c r="A10271" s="691"/>
      <c r="D10271" s="3"/>
    </row>
    <row r="10272" spans="1:4">
      <c r="A10272" s="691"/>
      <c r="D10272" s="3"/>
    </row>
    <row r="10273" spans="1:4">
      <c r="A10273" s="691"/>
      <c r="D10273" s="3"/>
    </row>
    <row r="10274" spans="1:4">
      <c r="A10274" s="691"/>
      <c r="D10274" s="3"/>
    </row>
    <row r="10275" spans="1:4">
      <c r="A10275" s="691"/>
      <c r="D10275" s="3"/>
    </row>
    <row r="10276" spans="1:4">
      <c r="A10276" s="691"/>
      <c r="D10276" s="3"/>
    </row>
    <row r="10277" spans="1:4">
      <c r="A10277" s="691"/>
      <c r="D10277" s="3"/>
    </row>
    <row r="10278" spans="1:4">
      <c r="A10278" s="691"/>
      <c r="D10278" s="3"/>
    </row>
    <row r="10279" spans="1:4">
      <c r="A10279" s="691"/>
      <c r="D10279" s="3"/>
    </row>
    <row r="10280" spans="1:4">
      <c r="A10280" s="691"/>
      <c r="D10280" s="3"/>
    </row>
    <row r="10281" spans="1:4">
      <c r="A10281" s="691"/>
      <c r="D10281" s="3"/>
    </row>
    <row r="10282" spans="1:4">
      <c r="A10282" s="691"/>
      <c r="D10282" s="3"/>
    </row>
    <row r="10283" spans="1:4">
      <c r="A10283" s="691"/>
      <c r="D10283" s="3"/>
    </row>
    <row r="10284" spans="1:4">
      <c r="A10284" s="691"/>
      <c r="D10284" s="3"/>
    </row>
    <row r="10285" spans="1:4">
      <c r="A10285" s="691"/>
      <c r="D10285" s="3"/>
    </row>
    <row r="10286" spans="1:4">
      <c r="A10286" s="691"/>
      <c r="D10286" s="3"/>
    </row>
    <row r="10287" spans="1:4">
      <c r="A10287" s="691"/>
      <c r="D10287" s="3"/>
    </row>
    <row r="10288" spans="1:4">
      <c r="A10288" s="691"/>
      <c r="D10288" s="3"/>
    </row>
    <row r="10289" spans="1:4">
      <c r="A10289" s="691"/>
      <c r="D10289" s="3"/>
    </row>
    <row r="10290" spans="1:4">
      <c r="A10290" s="691"/>
      <c r="D10290" s="3"/>
    </row>
    <row r="10291" spans="1:4">
      <c r="A10291" s="691"/>
      <c r="D10291" s="3"/>
    </row>
    <row r="10292" spans="1:4">
      <c r="A10292" s="691"/>
      <c r="D10292" s="3"/>
    </row>
    <row r="10293" spans="1:4">
      <c r="A10293" s="691"/>
      <c r="D10293" s="3"/>
    </row>
    <row r="10294" spans="1:4">
      <c r="A10294" s="691"/>
      <c r="D10294" s="3"/>
    </row>
    <row r="10295" spans="1:4">
      <c r="A10295" s="691"/>
      <c r="D10295" s="3"/>
    </row>
    <row r="10296" spans="1:4">
      <c r="A10296" s="691"/>
      <c r="D10296" s="3"/>
    </row>
    <row r="10297" spans="1:4">
      <c r="A10297" s="691"/>
      <c r="D10297" s="3"/>
    </row>
    <row r="10298" spans="1:4">
      <c r="A10298" s="691"/>
      <c r="D10298" s="3"/>
    </row>
    <row r="10299" spans="1:4">
      <c r="A10299" s="691"/>
      <c r="D10299" s="3"/>
    </row>
    <row r="10300" spans="1:4">
      <c r="A10300" s="691"/>
      <c r="D10300" s="3"/>
    </row>
    <row r="10301" spans="1:4">
      <c r="A10301" s="691"/>
      <c r="D10301" s="3"/>
    </row>
    <row r="10302" spans="1:4">
      <c r="A10302" s="691"/>
      <c r="D10302" s="3"/>
    </row>
    <row r="10303" spans="1:4">
      <c r="A10303" s="691"/>
      <c r="D10303" s="3"/>
    </row>
    <row r="10304" spans="1:4">
      <c r="A10304" s="691"/>
      <c r="D10304" s="3"/>
    </row>
    <row r="10305" spans="1:4">
      <c r="A10305" s="691"/>
      <c r="D10305" s="3"/>
    </row>
    <row r="10306" spans="1:4">
      <c r="A10306" s="691"/>
      <c r="D10306" s="3"/>
    </row>
    <row r="10307" spans="1:4">
      <c r="A10307" s="691"/>
      <c r="D10307" s="3"/>
    </row>
    <row r="10308" spans="1:4">
      <c r="A10308" s="691"/>
      <c r="D10308" s="3"/>
    </row>
    <row r="10309" spans="1:4">
      <c r="A10309" s="691"/>
      <c r="D10309" s="3"/>
    </row>
    <row r="10310" spans="1:4">
      <c r="A10310" s="691"/>
      <c r="D10310" s="3"/>
    </row>
    <row r="10311" spans="1:4">
      <c r="A10311" s="691"/>
      <c r="D10311" s="3"/>
    </row>
    <row r="10312" spans="1:4">
      <c r="A10312" s="691"/>
      <c r="D10312" s="3"/>
    </row>
    <row r="10313" spans="1:4">
      <c r="A10313" s="691"/>
      <c r="D10313" s="3"/>
    </row>
    <row r="10314" spans="1:4">
      <c r="A10314" s="691"/>
      <c r="D10314" s="3"/>
    </row>
    <row r="10315" spans="1:4">
      <c r="A10315" s="691"/>
      <c r="D10315" s="3"/>
    </row>
    <row r="10316" spans="1:4">
      <c r="A10316" s="691"/>
      <c r="D10316" s="3"/>
    </row>
    <row r="10317" spans="1:4">
      <c r="A10317" s="691"/>
      <c r="D10317" s="3"/>
    </row>
    <row r="10318" spans="1:4">
      <c r="A10318" s="691"/>
      <c r="D10318" s="3"/>
    </row>
    <row r="10319" spans="1:4">
      <c r="A10319" s="691"/>
      <c r="D10319" s="3"/>
    </row>
    <row r="10320" spans="1:4">
      <c r="A10320" s="691"/>
      <c r="D10320" s="3"/>
    </row>
    <row r="10321" spans="1:4">
      <c r="A10321" s="691"/>
      <c r="D10321" s="3"/>
    </row>
    <row r="10322" spans="1:4">
      <c r="A10322" s="691"/>
      <c r="D10322" s="3"/>
    </row>
    <row r="10323" spans="1:4">
      <c r="A10323" s="691"/>
      <c r="D10323" s="3"/>
    </row>
    <row r="10324" spans="1:4">
      <c r="A10324" s="691"/>
      <c r="D10324" s="3"/>
    </row>
    <row r="10325" spans="1:4">
      <c r="A10325" s="691"/>
      <c r="D10325" s="3"/>
    </row>
    <row r="10326" spans="1:4">
      <c r="A10326" s="691"/>
      <c r="D10326" s="3"/>
    </row>
    <row r="10327" spans="1:4">
      <c r="A10327" s="691"/>
      <c r="D10327" s="3"/>
    </row>
    <row r="10328" spans="1:4">
      <c r="A10328" s="691"/>
      <c r="D10328" s="3"/>
    </row>
    <row r="10329" spans="1:4">
      <c r="A10329" s="691"/>
      <c r="D10329" s="3"/>
    </row>
    <row r="10330" spans="1:4">
      <c r="A10330" s="691"/>
      <c r="D10330" s="3"/>
    </row>
    <row r="10331" spans="1:4">
      <c r="A10331" s="691"/>
      <c r="D10331" s="3"/>
    </row>
    <row r="10332" spans="1:4">
      <c r="A10332" s="691"/>
      <c r="D10332" s="3"/>
    </row>
    <row r="10333" spans="1:4">
      <c r="A10333" s="691"/>
      <c r="D10333" s="3"/>
    </row>
    <row r="10334" spans="1:4">
      <c r="A10334" s="691"/>
      <c r="D10334" s="3"/>
    </row>
    <row r="10335" spans="1:4">
      <c r="A10335" s="691"/>
      <c r="D10335" s="3"/>
    </row>
    <row r="10336" spans="1:4">
      <c r="A10336" s="691"/>
      <c r="D10336" s="3"/>
    </row>
    <row r="10337" spans="1:4">
      <c r="A10337" s="691"/>
      <c r="D10337" s="3"/>
    </row>
    <row r="10338" spans="1:4">
      <c r="A10338" s="691"/>
      <c r="D10338" s="3"/>
    </row>
    <row r="10339" spans="1:4">
      <c r="A10339" s="691"/>
      <c r="D10339" s="3"/>
    </row>
    <row r="10340" spans="1:4">
      <c r="A10340" s="691"/>
      <c r="D10340" s="3"/>
    </row>
    <row r="10341" spans="1:4">
      <c r="A10341" s="691"/>
      <c r="D10341" s="3"/>
    </row>
    <row r="10342" spans="1:4">
      <c r="A10342" s="691"/>
      <c r="D10342" s="3"/>
    </row>
    <row r="10343" spans="1:4">
      <c r="A10343" s="691"/>
      <c r="D10343" s="3"/>
    </row>
    <row r="10344" spans="1:4">
      <c r="A10344" s="691"/>
      <c r="D10344" s="3"/>
    </row>
    <row r="10345" spans="1:4">
      <c r="A10345" s="691"/>
      <c r="D10345" s="3"/>
    </row>
    <row r="10346" spans="1:4">
      <c r="A10346" s="691"/>
      <c r="D10346" s="3"/>
    </row>
    <row r="10347" spans="1:4">
      <c r="A10347" s="691"/>
      <c r="D10347" s="3"/>
    </row>
    <row r="10348" spans="1:4">
      <c r="A10348" s="691"/>
      <c r="D10348" s="3"/>
    </row>
    <row r="10349" spans="1:4">
      <c r="A10349" s="691"/>
      <c r="D10349" s="3"/>
    </row>
    <row r="10350" spans="1:4">
      <c r="A10350" s="691"/>
      <c r="D10350" s="3"/>
    </row>
    <row r="10351" spans="1:4">
      <c r="A10351" s="691"/>
      <c r="D10351" s="3"/>
    </row>
    <row r="10352" spans="1:4">
      <c r="A10352" s="691"/>
      <c r="D10352" s="3"/>
    </row>
    <row r="10353" spans="1:4">
      <c r="A10353" s="691"/>
      <c r="D10353" s="3"/>
    </row>
    <row r="10354" spans="1:4">
      <c r="A10354" s="691"/>
      <c r="D10354" s="3"/>
    </row>
    <row r="10355" spans="1:4">
      <c r="A10355" s="691"/>
      <c r="D10355" s="3"/>
    </row>
    <row r="10356" spans="1:4">
      <c r="A10356" s="691"/>
      <c r="D10356" s="3"/>
    </row>
    <row r="10357" spans="1:4">
      <c r="A10357" s="691"/>
      <c r="D10357" s="3"/>
    </row>
    <row r="10358" spans="1:4">
      <c r="A10358" s="691"/>
      <c r="D10358" s="3"/>
    </row>
    <row r="10359" spans="1:4">
      <c r="A10359" s="691"/>
      <c r="D10359" s="3"/>
    </row>
    <row r="10360" spans="1:4">
      <c r="A10360" s="691"/>
      <c r="D10360" s="3"/>
    </row>
    <row r="10361" spans="1:4">
      <c r="A10361" s="691"/>
      <c r="D10361" s="3"/>
    </row>
    <row r="10362" spans="1:4">
      <c r="A10362" s="691"/>
      <c r="D10362" s="3"/>
    </row>
    <row r="10363" spans="1:4">
      <c r="A10363" s="691"/>
      <c r="D10363" s="3"/>
    </row>
    <row r="10364" spans="1:4">
      <c r="A10364" s="691"/>
      <c r="D10364" s="3"/>
    </row>
    <row r="10365" spans="1:4">
      <c r="A10365" s="691"/>
      <c r="D10365" s="3"/>
    </row>
    <row r="10366" spans="1:4">
      <c r="A10366" s="691"/>
      <c r="D10366" s="3"/>
    </row>
    <row r="10367" spans="1:4">
      <c r="A10367" s="691"/>
      <c r="D10367" s="3"/>
    </row>
    <row r="10368" spans="1:4">
      <c r="A10368" s="691"/>
      <c r="D10368" s="3"/>
    </row>
    <row r="10369" spans="1:4">
      <c r="A10369" s="691"/>
      <c r="D10369" s="3"/>
    </row>
    <row r="10370" spans="1:4">
      <c r="A10370" s="691"/>
      <c r="D10370" s="3"/>
    </row>
    <row r="10371" spans="1:4">
      <c r="A10371" s="691"/>
      <c r="D10371" s="3"/>
    </row>
    <row r="10372" spans="1:4">
      <c r="A10372" s="691"/>
      <c r="D10372" s="3"/>
    </row>
    <row r="10373" spans="1:4">
      <c r="A10373" s="691"/>
      <c r="D10373" s="3"/>
    </row>
    <row r="10374" spans="1:4">
      <c r="A10374" s="691"/>
      <c r="D10374" s="3"/>
    </row>
    <row r="10375" spans="1:4">
      <c r="A10375" s="691"/>
      <c r="D10375" s="3"/>
    </row>
    <row r="10376" spans="1:4">
      <c r="A10376" s="691"/>
      <c r="D10376" s="3"/>
    </row>
    <row r="10377" spans="1:4">
      <c r="A10377" s="691"/>
      <c r="D10377" s="3"/>
    </row>
    <row r="10378" spans="1:4">
      <c r="A10378" s="691"/>
      <c r="D10378" s="3"/>
    </row>
    <row r="10379" spans="1:4">
      <c r="A10379" s="691"/>
      <c r="D10379" s="3"/>
    </row>
    <row r="10380" spans="1:4">
      <c r="A10380" s="691"/>
      <c r="D10380" s="3"/>
    </row>
    <row r="10381" spans="1:4">
      <c r="A10381" s="691"/>
      <c r="D10381" s="3"/>
    </row>
    <row r="10382" spans="1:4">
      <c r="A10382" s="691"/>
      <c r="D10382" s="3"/>
    </row>
    <row r="10383" spans="1:4">
      <c r="A10383" s="691"/>
      <c r="D10383" s="3"/>
    </row>
    <row r="10384" spans="1:4">
      <c r="A10384" s="691"/>
      <c r="D10384" s="3"/>
    </row>
    <row r="10385" spans="1:4">
      <c r="A10385" s="691"/>
      <c r="D10385" s="3"/>
    </row>
    <row r="10386" spans="1:4">
      <c r="A10386" s="691"/>
      <c r="D10386" s="3"/>
    </row>
    <row r="10387" spans="1:4">
      <c r="A10387" s="691"/>
      <c r="D10387" s="3"/>
    </row>
    <row r="10388" spans="1:4">
      <c r="A10388" s="691"/>
      <c r="D10388" s="3"/>
    </row>
    <row r="10389" spans="1:4">
      <c r="A10389" s="691"/>
      <c r="D10389" s="3"/>
    </row>
    <row r="10390" spans="1:4">
      <c r="A10390" s="691"/>
      <c r="D10390" s="3"/>
    </row>
    <row r="10391" spans="1:4">
      <c r="A10391" s="691"/>
      <c r="D10391" s="3"/>
    </row>
    <row r="10392" spans="1:4">
      <c r="A10392" s="691"/>
      <c r="D10392" s="3"/>
    </row>
    <row r="10393" spans="1:4">
      <c r="A10393" s="691"/>
      <c r="D10393" s="3"/>
    </row>
    <row r="10394" spans="1:4">
      <c r="A10394" s="691"/>
      <c r="D10394" s="3"/>
    </row>
    <row r="10395" spans="1:4">
      <c r="A10395" s="691"/>
      <c r="D10395" s="3"/>
    </row>
    <row r="10396" spans="1:4">
      <c r="A10396" s="691"/>
      <c r="D10396" s="3"/>
    </row>
    <row r="10397" spans="1:4">
      <c r="A10397" s="691"/>
      <c r="D10397" s="3"/>
    </row>
    <row r="10398" spans="1:4">
      <c r="A10398" s="691"/>
      <c r="D10398" s="3"/>
    </row>
    <row r="10399" spans="1:4">
      <c r="A10399" s="691"/>
      <c r="D10399" s="3"/>
    </row>
    <row r="10400" spans="1:4">
      <c r="A10400" s="691"/>
      <c r="D10400" s="3"/>
    </row>
    <row r="10401" spans="1:4">
      <c r="A10401" s="691"/>
      <c r="D10401" s="3"/>
    </row>
    <row r="10402" spans="1:4">
      <c r="A10402" s="691"/>
      <c r="D10402" s="3"/>
    </row>
    <row r="10403" spans="1:4">
      <c r="A10403" s="691"/>
      <c r="D10403" s="3"/>
    </row>
    <row r="10404" spans="1:4">
      <c r="A10404" s="691"/>
      <c r="D10404" s="3"/>
    </row>
    <row r="10405" spans="1:4">
      <c r="A10405" s="691"/>
      <c r="D10405" s="3"/>
    </row>
    <row r="10406" spans="1:4">
      <c r="A10406" s="691"/>
      <c r="D10406" s="3"/>
    </row>
    <row r="10407" spans="1:4">
      <c r="A10407" s="691"/>
      <c r="D10407" s="3"/>
    </row>
    <row r="10408" spans="1:4">
      <c r="A10408" s="691"/>
      <c r="D10408" s="3"/>
    </row>
    <row r="10409" spans="1:4">
      <c r="A10409" s="691"/>
      <c r="D10409" s="3"/>
    </row>
    <row r="10410" spans="1:4">
      <c r="A10410" s="691"/>
      <c r="D10410" s="3"/>
    </row>
    <row r="10411" spans="1:4">
      <c r="A10411" s="691"/>
      <c r="D10411" s="3"/>
    </row>
    <row r="10412" spans="1:4">
      <c r="A10412" s="691"/>
      <c r="D10412" s="3"/>
    </row>
    <row r="10413" spans="1:4">
      <c r="A10413" s="691"/>
      <c r="D10413" s="3"/>
    </row>
    <row r="10414" spans="1:4">
      <c r="A10414" s="691"/>
      <c r="D10414" s="3"/>
    </row>
    <row r="10415" spans="1:4">
      <c r="A10415" s="691"/>
      <c r="D10415" s="3"/>
    </row>
    <row r="10416" spans="1:4">
      <c r="A10416" s="691"/>
      <c r="D10416" s="3"/>
    </row>
    <row r="10417" spans="1:4">
      <c r="A10417" s="691"/>
      <c r="D10417" s="3"/>
    </row>
    <row r="10418" spans="1:4">
      <c r="A10418" s="691"/>
      <c r="D10418" s="3"/>
    </row>
    <row r="10419" spans="1:4">
      <c r="A10419" s="691"/>
      <c r="D10419" s="3"/>
    </row>
    <row r="10420" spans="1:4">
      <c r="A10420" s="691"/>
      <c r="D10420" s="3"/>
    </row>
    <row r="10421" spans="1:4">
      <c r="A10421" s="691"/>
      <c r="D10421" s="3"/>
    </row>
    <row r="10422" spans="1:4">
      <c r="A10422" s="691"/>
      <c r="D10422" s="3"/>
    </row>
    <row r="10423" spans="1:4">
      <c r="A10423" s="691"/>
      <c r="D10423" s="3"/>
    </row>
    <row r="10424" spans="1:4">
      <c r="A10424" s="691"/>
      <c r="D10424" s="3"/>
    </row>
    <row r="10425" spans="1:4">
      <c r="A10425" s="691"/>
      <c r="D10425" s="3"/>
    </row>
    <row r="10426" spans="1:4">
      <c r="A10426" s="691"/>
      <c r="D10426" s="3"/>
    </row>
    <row r="10427" spans="1:4">
      <c r="A10427" s="691"/>
      <c r="D10427" s="3"/>
    </row>
    <row r="10428" spans="1:4">
      <c r="A10428" s="691"/>
      <c r="D10428" s="3"/>
    </row>
    <row r="10429" spans="1:4">
      <c r="A10429" s="691"/>
      <c r="D10429" s="3"/>
    </row>
    <row r="10430" spans="1:4">
      <c r="A10430" s="691"/>
      <c r="D10430" s="3"/>
    </row>
    <row r="10431" spans="1:4">
      <c r="A10431" s="691"/>
      <c r="D10431" s="3"/>
    </row>
    <row r="10432" spans="1:4">
      <c r="A10432" s="691"/>
      <c r="D10432" s="3"/>
    </row>
    <row r="10433" spans="1:4">
      <c r="A10433" s="691"/>
      <c r="D10433" s="3"/>
    </row>
    <row r="10434" spans="1:4">
      <c r="A10434" s="691"/>
      <c r="D10434" s="3"/>
    </row>
    <row r="10435" spans="1:4">
      <c r="A10435" s="691"/>
      <c r="D10435" s="3"/>
    </row>
    <row r="10436" spans="1:4">
      <c r="A10436" s="691"/>
      <c r="D10436" s="3"/>
    </row>
    <row r="10437" spans="1:4">
      <c r="A10437" s="691"/>
      <c r="D10437" s="3"/>
    </row>
    <row r="10438" spans="1:4">
      <c r="A10438" s="691"/>
      <c r="D10438" s="3"/>
    </row>
    <row r="10439" spans="1:4">
      <c r="A10439" s="691"/>
      <c r="D10439" s="3"/>
    </row>
    <row r="10440" spans="1:4">
      <c r="A10440" s="691"/>
      <c r="D10440" s="3"/>
    </row>
    <row r="10441" spans="1:4">
      <c r="A10441" s="691"/>
      <c r="D10441" s="3"/>
    </row>
    <row r="10442" spans="1:4">
      <c r="A10442" s="691"/>
      <c r="D10442" s="3"/>
    </row>
    <row r="10443" spans="1:4">
      <c r="A10443" s="691"/>
      <c r="D10443" s="3"/>
    </row>
    <row r="10444" spans="1:4">
      <c r="A10444" s="691"/>
      <c r="D10444" s="3"/>
    </row>
    <row r="10445" spans="1:4">
      <c r="A10445" s="691"/>
      <c r="D10445" s="3"/>
    </row>
    <row r="10446" spans="1:4">
      <c r="A10446" s="691"/>
      <c r="D10446" s="3"/>
    </row>
    <row r="10447" spans="1:4">
      <c r="A10447" s="691"/>
      <c r="D10447" s="3"/>
    </row>
    <row r="10448" spans="1:4">
      <c r="A10448" s="691"/>
      <c r="D10448" s="3"/>
    </row>
    <row r="10449" spans="1:4">
      <c r="A10449" s="691"/>
      <c r="D10449" s="3"/>
    </row>
    <row r="10450" spans="1:4">
      <c r="A10450" s="691"/>
      <c r="D10450" s="3"/>
    </row>
    <row r="10451" spans="1:4">
      <c r="A10451" s="691"/>
      <c r="D10451" s="3"/>
    </row>
    <row r="10452" spans="1:4">
      <c r="A10452" s="691"/>
      <c r="D10452" s="3"/>
    </row>
    <row r="10453" spans="1:4">
      <c r="A10453" s="691"/>
      <c r="D10453" s="3"/>
    </row>
    <row r="10454" spans="1:4">
      <c r="A10454" s="691"/>
      <c r="D10454" s="3"/>
    </row>
    <row r="10455" spans="1:4">
      <c r="A10455" s="691"/>
      <c r="D10455" s="3"/>
    </row>
    <row r="10456" spans="1:4">
      <c r="A10456" s="691"/>
      <c r="D10456" s="3"/>
    </row>
    <row r="10457" spans="1:4">
      <c r="A10457" s="691"/>
      <c r="D10457" s="3"/>
    </row>
    <row r="10458" spans="1:4">
      <c r="A10458" s="691"/>
      <c r="D10458" s="3"/>
    </row>
    <row r="10459" spans="1:4">
      <c r="A10459" s="691"/>
      <c r="D10459" s="3"/>
    </row>
    <row r="10460" spans="1:4">
      <c r="A10460" s="691"/>
      <c r="D10460" s="3"/>
    </row>
    <row r="10461" spans="1:4">
      <c r="A10461" s="691"/>
      <c r="D10461" s="3"/>
    </row>
    <row r="10462" spans="1:4">
      <c r="A10462" s="691"/>
      <c r="D10462" s="3"/>
    </row>
    <row r="10463" spans="1:4">
      <c r="A10463" s="691"/>
      <c r="D10463" s="3"/>
    </row>
    <row r="10464" spans="1:4">
      <c r="A10464" s="691"/>
      <c r="D10464" s="3"/>
    </row>
    <row r="10465" spans="1:4">
      <c r="A10465" s="691"/>
      <c r="D10465" s="3"/>
    </row>
    <row r="10466" spans="1:4">
      <c r="A10466" s="691"/>
      <c r="D10466" s="3"/>
    </row>
    <row r="10467" spans="1:4">
      <c r="A10467" s="691"/>
      <c r="D10467" s="3"/>
    </row>
    <row r="10468" spans="1:4">
      <c r="A10468" s="691"/>
      <c r="D10468" s="3"/>
    </row>
    <row r="10469" spans="1:4">
      <c r="A10469" s="691"/>
      <c r="D10469" s="3"/>
    </row>
    <row r="10470" spans="1:4">
      <c r="A10470" s="691"/>
      <c r="D10470" s="3"/>
    </row>
    <row r="10471" spans="1:4">
      <c r="A10471" s="691"/>
      <c r="D10471" s="3"/>
    </row>
    <row r="10472" spans="1:4">
      <c r="A10472" s="691"/>
      <c r="D10472" s="3"/>
    </row>
    <row r="10473" spans="1:4">
      <c r="A10473" s="691"/>
      <c r="D10473" s="3"/>
    </row>
    <row r="10474" spans="1:4">
      <c r="A10474" s="691"/>
      <c r="D10474" s="3"/>
    </row>
    <row r="10475" spans="1:4">
      <c r="A10475" s="691"/>
      <c r="D10475" s="3"/>
    </row>
    <row r="10476" spans="1:4">
      <c r="A10476" s="691"/>
      <c r="D10476" s="3"/>
    </row>
    <row r="10477" spans="1:4">
      <c r="A10477" s="691"/>
      <c r="D10477" s="3"/>
    </row>
    <row r="10478" spans="1:4">
      <c r="A10478" s="691"/>
      <c r="D10478" s="3"/>
    </row>
    <row r="10479" spans="1:4">
      <c r="A10479" s="691"/>
      <c r="D10479" s="3"/>
    </row>
    <row r="10480" spans="1:4">
      <c r="A10480" s="691"/>
      <c r="D10480" s="3"/>
    </row>
    <row r="10481" spans="1:4">
      <c r="A10481" s="691"/>
      <c r="D10481" s="3"/>
    </row>
    <row r="10482" spans="1:4">
      <c r="A10482" s="691"/>
      <c r="D10482" s="3"/>
    </row>
    <row r="10483" spans="1:4">
      <c r="A10483" s="691"/>
      <c r="D10483" s="3"/>
    </row>
    <row r="10484" spans="1:4">
      <c r="A10484" s="691"/>
      <c r="D10484" s="3"/>
    </row>
    <row r="10485" spans="1:4">
      <c r="A10485" s="691"/>
      <c r="D10485" s="3"/>
    </row>
    <row r="10486" spans="1:4">
      <c r="A10486" s="691"/>
      <c r="D10486" s="3"/>
    </row>
    <row r="10487" spans="1:4">
      <c r="A10487" s="691"/>
      <c r="D10487" s="3"/>
    </row>
    <row r="10488" spans="1:4">
      <c r="A10488" s="691"/>
      <c r="D10488" s="3"/>
    </row>
    <row r="10489" spans="1:4">
      <c r="A10489" s="691"/>
      <c r="D10489" s="3"/>
    </row>
    <row r="10490" spans="1:4">
      <c r="A10490" s="691"/>
      <c r="D10490" s="3"/>
    </row>
    <row r="10491" spans="1:4">
      <c r="A10491" s="691"/>
      <c r="D10491" s="3"/>
    </row>
    <row r="10492" spans="1:4">
      <c r="A10492" s="691"/>
      <c r="D10492" s="3"/>
    </row>
    <row r="10493" spans="1:4">
      <c r="A10493" s="691"/>
      <c r="D10493" s="3"/>
    </row>
    <row r="10494" spans="1:4">
      <c r="A10494" s="691"/>
      <c r="D10494" s="3"/>
    </row>
    <row r="10495" spans="1:4">
      <c r="A10495" s="691"/>
      <c r="D10495" s="3"/>
    </row>
    <row r="10496" spans="1:4">
      <c r="A10496" s="691"/>
      <c r="D10496" s="3"/>
    </row>
    <row r="10497" spans="1:4">
      <c r="A10497" s="691"/>
      <c r="D10497" s="3"/>
    </row>
    <row r="10498" spans="1:4">
      <c r="A10498" s="691"/>
      <c r="D10498" s="3"/>
    </row>
    <row r="10499" spans="1:4">
      <c r="A10499" s="691"/>
      <c r="D10499" s="3"/>
    </row>
    <row r="10500" spans="1:4">
      <c r="A10500" s="691"/>
      <c r="D10500" s="3"/>
    </row>
    <row r="10501" spans="1:4">
      <c r="A10501" s="691"/>
      <c r="D10501" s="3"/>
    </row>
    <row r="10502" spans="1:4">
      <c r="A10502" s="691"/>
      <c r="D10502" s="3"/>
    </row>
    <row r="10503" spans="1:4">
      <c r="A10503" s="691"/>
      <c r="D10503" s="3"/>
    </row>
    <row r="10504" spans="1:4">
      <c r="A10504" s="691"/>
      <c r="D10504" s="3"/>
    </row>
    <row r="10505" spans="1:4">
      <c r="A10505" s="691"/>
      <c r="D10505" s="3"/>
    </row>
    <row r="10506" spans="1:4">
      <c r="A10506" s="691"/>
      <c r="D10506" s="3"/>
    </row>
    <row r="10507" spans="1:4">
      <c r="A10507" s="691"/>
      <c r="D10507" s="3"/>
    </row>
    <row r="10508" spans="1:4">
      <c r="A10508" s="691"/>
      <c r="D10508" s="3"/>
    </row>
    <row r="10509" spans="1:4">
      <c r="A10509" s="691"/>
      <c r="D10509" s="3"/>
    </row>
    <row r="10510" spans="1:4">
      <c r="A10510" s="691"/>
      <c r="D10510" s="3"/>
    </row>
    <row r="10511" spans="1:4">
      <c r="A10511" s="691"/>
      <c r="D10511" s="3"/>
    </row>
    <row r="10512" spans="1:4">
      <c r="A10512" s="691"/>
      <c r="D10512" s="3"/>
    </row>
    <row r="10513" spans="1:4">
      <c r="A10513" s="691"/>
      <c r="D10513" s="3"/>
    </row>
    <row r="10514" spans="1:4">
      <c r="A10514" s="691"/>
      <c r="D10514" s="3"/>
    </row>
    <row r="10515" spans="1:4">
      <c r="A10515" s="691"/>
      <c r="D10515" s="3"/>
    </row>
    <row r="10516" spans="1:4">
      <c r="A10516" s="691"/>
      <c r="D10516" s="3"/>
    </row>
    <row r="10517" spans="1:4">
      <c r="A10517" s="691"/>
      <c r="D10517" s="3"/>
    </row>
    <row r="10518" spans="1:4">
      <c r="A10518" s="691"/>
      <c r="D10518" s="3"/>
    </row>
    <row r="10519" spans="1:4">
      <c r="A10519" s="691"/>
      <c r="D10519" s="3"/>
    </row>
    <row r="10520" spans="1:4">
      <c r="A10520" s="691"/>
      <c r="D10520" s="3"/>
    </row>
    <row r="10521" spans="1:4">
      <c r="A10521" s="691"/>
      <c r="D10521" s="3"/>
    </row>
    <row r="10522" spans="1:4">
      <c r="A10522" s="691"/>
      <c r="D10522" s="3"/>
    </row>
    <row r="10523" spans="1:4">
      <c r="A10523" s="691"/>
      <c r="D10523" s="3"/>
    </row>
    <row r="10524" spans="1:4">
      <c r="A10524" s="691"/>
      <c r="D10524" s="3"/>
    </row>
    <row r="10525" spans="1:4">
      <c r="A10525" s="691"/>
      <c r="D10525" s="3"/>
    </row>
    <row r="10526" spans="1:4">
      <c r="A10526" s="691"/>
      <c r="D10526" s="3"/>
    </row>
    <row r="10527" spans="1:4">
      <c r="A10527" s="691"/>
      <c r="D10527" s="3"/>
    </row>
    <row r="10528" spans="1:4">
      <c r="A10528" s="691"/>
      <c r="D10528" s="3"/>
    </row>
    <row r="10529" spans="1:4">
      <c r="A10529" s="691"/>
      <c r="D10529" s="3"/>
    </row>
    <row r="10530" spans="1:4">
      <c r="A10530" s="691"/>
      <c r="D10530" s="3"/>
    </row>
    <row r="10531" spans="1:4">
      <c r="A10531" s="691"/>
      <c r="D10531" s="3"/>
    </row>
    <row r="10532" spans="1:4">
      <c r="A10532" s="691"/>
      <c r="D10532" s="3"/>
    </row>
    <row r="10533" spans="1:4">
      <c r="A10533" s="691"/>
      <c r="D10533" s="3"/>
    </row>
    <row r="10534" spans="1:4">
      <c r="A10534" s="691"/>
      <c r="D10534" s="3"/>
    </row>
    <row r="10535" spans="1:4">
      <c r="A10535" s="691"/>
      <c r="D10535" s="3"/>
    </row>
    <row r="10536" spans="1:4">
      <c r="A10536" s="691"/>
      <c r="D10536" s="3"/>
    </row>
    <row r="10537" spans="1:4">
      <c r="A10537" s="691"/>
      <c r="D10537" s="3"/>
    </row>
    <row r="10538" spans="1:4">
      <c r="A10538" s="691"/>
      <c r="D10538" s="3"/>
    </row>
    <row r="10539" spans="1:4">
      <c r="A10539" s="691"/>
      <c r="D10539" s="3"/>
    </row>
    <row r="10540" spans="1:4">
      <c r="A10540" s="691"/>
      <c r="D10540" s="3"/>
    </row>
    <row r="10541" spans="1:4">
      <c r="A10541" s="691"/>
      <c r="D10541" s="3"/>
    </row>
    <row r="10542" spans="1:4">
      <c r="A10542" s="691"/>
      <c r="D10542" s="3"/>
    </row>
    <row r="10543" spans="1:4">
      <c r="A10543" s="691"/>
      <c r="D10543" s="3"/>
    </row>
    <row r="10544" spans="1:4">
      <c r="A10544" s="691"/>
      <c r="D10544" s="3"/>
    </row>
    <row r="10545" spans="1:4">
      <c r="A10545" s="691"/>
      <c r="D10545" s="3"/>
    </row>
    <row r="10546" spans="1:4">
      <c r="A10546" s="691"/>
      <c r="D10546" s="3"/>
    </row>
    <row r="10547" spans="1:4">
      <c r="A10547" s="691"/>
      <c r="D10547" s="3"/>
    </row>
    <row r="10548" spans="1:4">
      <c r="A10548" s="691"/>
      <c r="D10548" s="3"/>
    </row>
    <row r="10549" spans="1:4">
      <c r="A10549" s="691"/>
      <c r="D10549" s="3"/>
    </row>
    <row r="10550" spans="1:4">
      <c r="A10550" s="691"/>
      <c r="D10550" s="3"/>
    </row>
    <row r="10551" spans="1:4">
      <c r="A10551" s="691"/>
      <c r="D10551" s="3"/>
    </row>
    <row r="10552" spans="1:4">
      <c r="A10552" s="691"/>
      <c r="D10552" s="3"/>
    </row>
    <row r="10553" spans="1:4">
      <c r="A10553" s="691"/>
      <c r="D10553" s="3"/>
    </row>
    <row r="10554" spans="1:4">
      <c r="A10554" s="691"/>
      <c r="D10554" s="3"/>
    </row>
    <row r="10555" spans="1:4">
      <c r="A10555" s="691"/>
      <c r="D10555" s="3"/>
    </row>
    <row r="10556" spans="1:4">
      <c r="A10556" s="691"/>
      <c r="D10556" s="3"/>
    </row>
    <row r="10557" spans="1:4">
      <c r="A10557" s="691"/>
      <c r="D10557" s="3"/>
    </row>
    <row r="10558" spans="1:4">
      <c r="A10558" s="691"/>
      <c r="D10558" s="3"/>
    </row>
    <row r="10559" spans="1:4">
      <c r="A10559" s="691"/>
      <c r="D10559" s="3"/>
    </row>
    <row r="10560" spans="1:4">
      <c r="A10560" s="691"/>
      <c r="D10560" s="3"/>
    </row>
    <row r="10561" spans="1:4">
      <c r="A10561" s="691"/>
      <c r="D10561" s="3"/>
    </row>
    <row r="10562" spans="1:4">
      <c r="A10562" s="691"/>
      <c r="D10562" s="3"/>
    </row>
    <row r="10563" spans="1:4">
      <c r="A10563" s="691"/>
      <c r="D10563" s="3"/>
    </row>
    <row r="10564" spans="1:4">
      <c r="A10564" s="691"/>
      <c r="D10564" s="3"/>
    </row>
    <row r="10565" spans="1:4">
      <c r="A10565" s="691"/>
      <c r="D10565" s="3"/>
    </row>
    <row r="10566" spans="1:4">
      <c r="A10566" s="691"/>
      <c r="D10566" s="3"/>
    </row>
    <row r="10567" spans="1:4">
      <c r="A10567" s="691"/>
      <c r="D10567" s="3"/>
    </row>
    <row r="10568" spans="1:4">
      <c r="A10568" s="691"/>
      <c r="D10568" s="3"/>
    </row>
    <row r="10569" spans="1:4">
      <c r="A10569" s="691"/>
      <c r="D10569" s="3"/>
    </row>
    <row r="10570" spans="1:4">
      <c r="A10570" s="691"/>
      <c r="D10570" s="3"/>
    </row>
    <row r="10571" spans="1:4">
      <c r="A10571" s="691"/>
      <c r="D10571" s="3"/>
    </row>
    <row r="10572" spans="1:4">
      <c r="A10572" s="691"/>
      <c r="D10572" s="3"/>
    </row>
    <row r="10573" spans="1:4">
      <c r="A10573" s="691"/>
      <c r="D10573" s="3"/>
    </row>
    <row r="10574" spans="1:4">
      <c r="A10574" s="691"/>
      <c r="D10574" s="3"/>
    </row>
    <row r="10575" spans="1:4">
      <c r="A10575" s="691"/>
      <c r="D10575" s="3"/>
    </row>
    <row r="10576" spans="1:4">
      <c r="A10576" s="691"/>
      <c r="D10576" s="3"/>
    </row>
    <row r="10577" spans="1:4">
      <c r="A10577" s="691"/>
      <c r="D10577" s="3"/>
    </row>
    <row r="10578" spans="1:4">
      <c r="A10578" s="691"/>
      <c r="D10578" s="3"/>
    </row>
    <row r="10579" spans="1:4">
      <c r="A10579" s="691"/>
      <c r="D10579" s="3"/>
    </row>
    <row r="10580" spans="1:4">
      <c r="A10580" s="691"/>
      <c r="D10580" s="3"/>
    </row>
    <row r="10581" spans="1:4">
      <c r="A10581" s="691"/>
      <c r="D10581" s="3"/>
    </row>
    <row r="10582" spans="1:4">
      <c r="A10582" s="691"/>
      <c r="D10582" s="3"/>
    </row>
    <row r="10583" spans="1:4">
      <c r="A10583" s="691"/>
      <c r="D10583" s="3"/>
    </row>
    <row r="10584" spans="1:4">
      <c r="A10584" s="691"/>
      <c r="D10584" s="3"/>
    </row>
    <row r="10585" spans="1:4">
      <c r="A10585" s="691"/>
      <c r="D10585" s="3"/>
    </row>
    <row r="10586" spans="1:4">
      <c r="A10586" s="691"/>
      <c r="D10586" s="3"/>
    </row>
    <row r="10587" spans="1:4">
      <c r="A10587" s="691"/>
      <c r="D10587" s="3"/>
    </row>
    <row r="10588" spans="1:4">
      <c r="A10588" s="691"/>
      <c r="D10588" s="3"/>
    </row>
    <row r="10589" spans="1:4">
      <c r="A10589" s="691"/>
      <c r="D10589" s="3"/>
    </row>
    <row r="10590" spans="1:4">
      <c r="A10590" s="691"/>
      <c r="D10590" s="3"/>
    </row>
    <row r="10591" spans="1:4">
      <c r="A10591" s="691"/>
      <c r="D10591" s="3"/>
    </row>
    <row r="10592" spans="1:4">
      <c r="A10592" s="691"/>
      <c r="D10592" s="3"/>
    </row>
    <row r="10593" spans="1:4">
      <c r="A10593" s="691"/>
      <c r="D10593" s="3"/>
    </row>
    <row r="10594" spans="1:4">
      <c r="A10594" s="691"/>
      <c r="D10594" s="3"/>
    </row>
    <row r="10595" spans="1:4">
      <c r="A10595" s="691"/>
      <c r="D10595" s="3"/>
    </row>
    <row r="10596" spans="1:4">
      <c r="A10596" s="691"/>
      <c r="D10596" s="3"/>
    </row>
    <row r="10597" spans="1:4">
      <c r="A10597" s="691"/>
      <c r="D10597" s="3"/>
    </row>
    <row r="10598" spans="1:4">
      <c r="A10598" s="691"/>
      <c r="D10598" s="3"/>
    </row>
    <row r="10599" spans="1:4">
      <c r="A10599" s="691"/>
      <c r="D10599" s="3"/>
    </row>
    <row r="10600" spans="1:4">
      <c r="A10600" s="691"/>
      <c r="D10600" s="3"/>
    </row>
    <row r="10601" spans="1:4">
      <c r="A10601" s="691"/>
      <c r="D10601" s="3"/>
    </row>
    <row r="10602" spans="1:4">
      <c r="A10602" s="691"/>
      <c r="D10602" s="3"/>
    </row>
    <row r="10603" spans="1:4">
      <c r="A10603" s="691"/>
      <c r="D10603" s="3"/>
    </row>
    <row r="10604" spans="1:4">
      <c r="A10604" s="691"/>
      <c r="D10604" s="3"/>
    </row>
    <row r="10605" spans="1:4">
      <c r="A10605" s="691"/>
      <c r="D10605" s="3"/>
    </row>
    <row r="10606" spans="1:4">
      <c r="A10606" s="691"/>
      <c r="D10606" s="3"/>
    </row>
    <row r="10607" spans="1:4">
      <c r="A10607" s="691"/>
      <c r="D10607" s="3"/>
    </row>
    <row r="10608" spans="1:4">
      <c r="A10608" s="691"/>
      <c r="D10608" s="3"/>
    </row>
    <row r="10609" spans="1:4">
      <c r="A10609" s="691"/>
      <c r="D10609" s="3"/>
    </row>
    <row r="10610" spans="1:4">
      <c r="A10610" s="691"/>
      <c r="D10610" s="3"/>
    </row>
    <row r="10611" spans="1:4">
      <c r="A10611" s="691"/>
      <c r="D10611" s="3"/>
    </row>
    <row r="10612" spans="1:4">
      <c r="A10612" s="691"/>
      <c r="D10612" s="3"/>
    </row>
    <row r="10613" spans="1:4">
      <c r="A10613" s="691"/>
      <c r="D10613" s="3"/>
    </row>
    <row r="10614" spans="1:4">
      <c r="A10614" s="691"/>
      <c r="D10614" s="3"/>
    </row>
    <row r="10615" spans="1:4">
      <c r="A10615" s="691"/>
      <c r="D10615" s="3"/>
    </row>
    <row r="10616" spans="1:4">
      <c r="A10616" s="691"/>
      <c r="D10616" s="3"/>
    </row>
    <row r="10617" spans="1:4">
      <c r="A10617" s="691"/>
      <c r="D10617" s="3"/>
    </row>
    <row r="10618" spans="1:4">
      <c r="A10618" s="691"/>
      <c r="D10618" s="3"/>
    </row>
    <row r="10619" spans="1:4">
      <c r="A10619" s="691"/>
      <c r="D10619" s="3"/>
    </row>
    <row r="10620" spans="1:4">
      <c r="A10620" s="691"/>
      <c r="D10620" s="3"/>
    </row>
    <row r="10621" spans="1:4">
      <c r="A10621" s="691"/>
      <c r="D10621" s="3"/>
    </row>
    <row r="10622" spans="1:4">
      <c r="A10622" s="691"/>
      <c r="D10622" s="3"/>
    </row>
    <row r="10623" spans="1:4">
      <c r="A10623" s="691"/>
      <c r="D10623" s="3"/>
    </row>
    <row r="10624" spans="1:4">
      <c r="A10624" s="691"/>
      <c r="D10624" s="3"/>
    </row>
    <row r="10625" spans="1:4">
      <c r="A10625" s="691"/>
      <c r="D10625" s="3"/>
    </row>
    <row r="10626" spans="1:4">
      <c r="A10626" s="691"/>
      <c r="D10626" s="3"/>
    </row>
    <row r="10627" spans="1:4">
      <c r="A10627" s="691"/>
      <c r="D10627" s="3"/>
    </row>
    <row r="10628" spans="1:4">
      <c r="A10628" s="691"/>
      <c r="D10628" s="3"/>
    </row>
    <row r="10629" spans="1:4">
      <c r="A10629" s="691"/>
      <c r="D10629" s="3"/>
    </row>
    <row r="10630" spans="1:4">
      <c r="A10630" s="691"/>
      <c r="D10630" s="3"/>
    </row>
    <row r="10631" spans="1:4">
      <c r="A10631" s="691"/>
      <c r="D10631" s="3"/>
    </row>
    <row r="10632" spans="1:4">
      <c r="A10632" s="691"/>
      <c r="D10632" s="3"/>
    </row>
    <row r="10633" spans="1:4">
      <c r="A10633" s="691"/>
      <c r="D10633" s="3"/>
    </row>
    <row r="10634" spans="1:4">
      <c r="A10634" s="691"/>
      <c r="D10634" s="3"/>
    </row>
    <row r="10635" spans="1:4">
      <c r="A10635" s="691"/>
      <c r="D10635" s="3"/>
    </row>
    <row r="10636" spans="1:4">
      <c r="A10636" s="691"/>
      <c r="D10636" s="3"/>
    </row>
    <row r="10637" spans="1:4">
      <c r="A10637" s="691"/>
      <c r="D10637" s="3"/>
    </row>
    <row r="10638" spans="1:4">
      <c r="A10638" s="691"/>
      <c r="D10638" s="3"/>
    </row>
    <row r="10639" spans="1:4">
      <c r="A10639" s="691"/>
      <c r="D10639" s="3"/>
    </row>
    <row r="10640" spans="1:4">
      <c r="A10640" s="691"/>
      <c r="D10640" s="3"/>
    </row>
    <row r="10641" spans="1:4">
      <c r="A10641" s="691"/>
      <c r="D10641" s="3"/>
    </row>
    <row r="10642" spans="1:4">
      <c r="A10642" s="691"/>
      <c r="D10642" s="3"/>
    </row>
    <row r="10643" spans="1:4">
      <c r="A10643" s="691"/>
      <c r="D10643" s="3"/>
    </row>
    <row r="10644" spans="1:4">
      <c r="A10644" s="691"/>
      <c r="D10644" s="3"/>
    </row>
    <row r="10645" spans="1:4">
      <c r="A10645" s="691"/>
      <c r="D10645" s="3"/>
    </row>
    <row r="10646" spans="1:4">
      <c r="A10646" s="691"/>
      <c r="D10646" s="3"/>
    </row>
    <row r="10647" spans="1:4">
      <c r="A10647" s="691"/>
      <c r="D10647" s="3"/>
    </row>
    <row r="10648" spans="1:4">
      <c r="A10648" s="691"/>
      <c r="D10648" s="3"/>
    </row>
    <row r="10649" spans="1:4">
      <c r="A10649" s="691"/>
      <c r="D10649" s="3"/>
    </row>
    <row r="10650" spans="1:4">
      <c r="A10650" s="691"/>
      <c r="D10650" s="3"/>
    </row>
    <row r="10651" spans="1:4">
      <c r="A10651" s="691"/>
      <c r="D10651" s="3"/>
    </row>
    <row r="10652" spans="1:4">
      <c r="A10652" s="691"/>
      <c r="D10652" s="3"/>
    </row>
    <row r="10653" spans="1:4">
      <c r="A10653" s="691"/>
      <c r="D10653" s="3"/>
    </row>
    <row r="10654" spans="1:4">
      <c r="A10654" s="691"/>
      <c r="D10654" s="3"/>
    </row>
    <row r="10655" spans="1:4">
      <c r="A10655" s="691"/>
      <c r="D10655" s="3"/>
    </row>
    <row r="10656" spans="1:4">
      <c r="A10656" s="691"/>
      <c r="D10656" s="3"/>
    </row>
    <row r="10657" spans="1:4">
      <c r="A10657" s="691"/>
      <c r="D10657" s="3"/>
    </row>
    <row r="10658" spans="1:4">
      <c r="A10658" s="691"/>
      <c r="D10658" s="3"/>
    </row>
    <row r="10659" spans="1:4">
      <c r="A10659" s="691"/>
      <c r="D10659" s="3"/>
    </row>
    <row r="10660" spans="1:4">
      <c r="A10660" s="691"/>
      <c r="D10660" s="3"/>
    </row>
    <row r="10661" spans="1:4">
      <c r="A10661" s="691"/>
      <c r="D10661" s="3"/>
    </row>
    <row r="10662" spans="1:4">
      <c r="A10662" s="691"/>
      <c r="D10662" s="3"/>
    </row>
    <row r="10663" spans="1:4">
      <c r="A10663" s="691"/>
      <c r="D10663" s="3"/>
    </row>
    <row r="10664" spans="1:4">
      <c r="A10664" s="691"/>
      <c r="D10664" s="3"/>
    </row>
    <row r="10665" spans="1:4">
      <c r="A10665" s="691"/>
      <c r="D10665" s="3"/>
    </row>
    <row r="10666" spans="1:4">
      <c r="A10666" s="691"/>
      <c r="D10666" s="3"/>
    </row>
    <row r="10667" spans="1:4">
      <c r="A10667" s="691"/>
      <c r="D10667" s="3"/>
    </row>
    <row r="10668" spans="1:4">
      <c r="A10668" s="691"/>
      <c r="D10668" s="3"/>
    </row>
    <row r="10669" spans="1:4">
      <c r="A10669" s="691"/>
      <c r="D10669" s="3"/>
    </row>
    <row r="10670" spans="1:4">
      <c r="A10670" s="691"/>
      <c r="D10670" s="3"/>
    </row>
    <row r="10671" spans="1:4">
      <c r="A10671" s="691"/>
      <c r="D10671" s="3"/>
    </row>
    <row r="10672" spans="1:4">
      <c r="A10672" s="691"/>
      <c r="D10672" s="3"/>
    </row>
    <row r="10673" spans="1:4">
      <c r="A10673" s="691"/>
      <c r="D10673" s="3"/>
    </row>
    <row r="10674" spans="1:4">
      <c r="A10674" s="691"/>
      <c r="D10674" s="3"/>
    </row>
    <row r="10675" spans="1:4">
      <c r="A10675" s="691"/>
      <c r="D10675" s="3"/>
    </row>
    <row r="10676" spans="1:4">
      <c r="A10676" s="691"/>
      <c r="D10676" s="3"/>
    </row>
    <row r="10677" spans="1:4">
      <c r="A10677" s="691"/>
      <c r="D10677" s="3"/>
    </row>
    <row r="10678" spans="1:4">
      <c r="A10678" s="691"/>
      <c r="D10678" s="3"/>
    </row>
    <row r="10679" spans="1:4">
      <c r="A10679" s="691"/>
      <c r="D10679" s="3"/>
    </row>
    <row r="10680" spans="1:4">
      <c r="A10680" s="691"/>
      <c r="D10680" s="3"/>
    </row>
    <row r="10681" spans="1:4">
      <c r="A10681" s="691"/>
      <c r="D10681" s="3"/>
    </row>
    <row r="10682" spans="1:4">
      <c r="A10682" s="691"/>
      <c r="D10682" s="3"/>
    </row>
    <row r="10683" spans="1:4">
      <c r="A10683" s="691"/>
      <c r="D10683" s="3"/>
    </row>
    <row r="10684" spans="1:4">
      <c r="A10684" s="691"/>
      <c r="D10684" s="3"/>
    </row>
    <row r="10685" spans="1:4">
      <c r="A10685" s="691"/>
      <c r="D10685" s="3"/>
    </row>
    <row r="10686" spans="1:4">
      <c r="A10686" s="691"/>
      <c r="D10686" s="3"/>
    </row>
    <row r="10687" spans="1:4">
      <c r="A10687" s="691"/>
      <c r="D10687" s="3"/>
    </row>
    <row r="10688" spans="1:4">
      <c r="A10688" s="691"/>
      <c r="D10688" s="3"/>
    </row>
    <row r="10689" spans="1:4">
      <c r="A10689" s="691"/>
      <c r="D10689" s="3"/>
    </row>
    <row r="10690" spans="1:4">
      <c r="A10690" s="691"/>
      <c r="D10690" s="3"/>
    </row>
    <row r="10691" spans="1:4">
      <c r="A10691" s="691"/>
      <c r="D10691" s="3"/>
    </row>
    <row r="10692" spans="1:4">
      <c r="A10692" s="691"/>
      <c r="D10692" s="3"/>
    </row>
    <row r="10693" spans="1:4">
      <c r="A10693" s="691"/>
      <c r="D10693" s="3"/>
    </row>
    <row r="10694" spans="1:4">
      <c r="A10694" s="691"/>
      <c r="D10694" s="3"/>
    </row>
    <row r="10695" spans="1:4">
      <c r="A10695" s="691"/>
      <c r="D10695" s="3"/>
    </row>
    <row r="10696" spans="1:4">
      <c r="A10696" s="691"/>
      <c r="D10696" s="3"/>
    </row>
    <row r="10697" spans="1:4">
      <c r="A10697" s="691"/>
      <c r="D10697" s="3"/>
    </row>
    <row r="10698" spans="1:4">
      <c r="A10698" s="691"/>
      <c r="D10698" s="3"/>
    </row>
    <row r="10699" spans="1:4">
      <c r="A10699" s="691"/>
      <c r="D10699" s="3"/>
    </row>
    <row r="10700" spans="1:4">
      <c r="A10700" s="691"/>
      <c r="D10700" s="3"/>
    </row>
    <row r="10701" spans="1:4">
      <c r="A10701" s="691"/>
      <c r="D10701" s="3"/>
    </row>
    <row r="10702" spans="1:4">
      <c r="A10702" s="691"/>
      <c r="D10702" s="3"/>
    </row>
    <row r="10703" spans="1:4">
      <c r="A10703" s="691"/>
      <c r="D10703" s="3"/>
    </row>
    <row r="10704" spans="1:4">
      <c r="A10704" s="691"/>
      <c r="D10704" s="3"/>
    </row>
    <row r="10705" spans="1:4">
      <c r="A10705" s="691"/>
      <c r="D10705" s="3"/>
    </row>
    <row r="10706" spans="1:4">
      <c r="A10706" s="691"/>
      <c r="D10706" s="3"/>
    </row>
    <row r="10707" spans="1:4">
      <c r="A10707" s="691"/>
      <c r="D10707" s="3"/>
    </row>
    <row r="10708" spans="1:4">
      <c r="A10708" s="691"/>
      <c r="D10708" s="3"/>
    </row>
    <row r="10709" spans="1:4">
      <c r="A10709" s="691"/>
      <c r="D10709" s="3"/>
    </row>
    <row r="10710" spans="1:4">
      <c r="A10710" s="691"/>
      <c r="D10710" s="3"/>
    </row>
    <row r="10711" spans="1:4">
      <c r="A10711" s="691"/>
      <c r="D10711" s="3"/>
    </row>
    <row r="10712" spans="1:4">
      <c r="A10712" s="691"/>
      <c r="D10712" s="3"/>
    </row>
    <row r="10713" spans="1:4">
      <c r="A10713" s="691"/>
      <c r="D10713" s="3"/>
    </row>
    <row r="10714" spans="1:4">
      <c r="A10714" s="691"/>
      <c r="D10714" s="3"/>
    </row>
    <row r="10715" spans="1:4">
      <c r="A10715" s="691"/>
      <c r="D10715" s="3"/>
    </row>
    <row r="10716" spans="1:4">
      <c r="A10716" s="691"/>
      <c r="D10716" s="3"/>
    </row>
    <row r="10717" spans="1:4">
      <c r="A10717" s="691"/>
      <c r="D10717" s="3"/>
    </row>
    <row r="10718" spans="1:4">
      <c r="A10718" s="691"/>
      <c r="D10718" s="3"/>
    </row>
    <row r="10719" spans="1:4">
      <c r="A10719" s="691"/>
      <c r="D10719" s="3"/>
    </row>
    <row r="10720" spans="1:4">
      <c r="A10720" s="691"/>
      <c r="D10720" s="3"/>
    </row>
    <row r="10721" spans="1:4">
      <c r="A10721" s="691"/>
      <c r="D10721" s="3"/>
    </row>
    <row r="10722" spans="1:4">
      <c r="A10722" s="691"/>
      <c r="D10722" s="3"/>
    </row>
    <row r="10723" spans="1:4">
      <c r="A10723" s="691"/>
      <c r="D10723" s="3"/>
    </row>
    <row r="10724" spans="1:4">
      <c r="A10724" s="691"/>
      <c r="D10724" s="3"/>
    </row>
    <row r="10725" spans="1:4">
      <c r="A10725" s="691"/>
      <c r="D10725" s="3"/>
    </row>
    <row r="10726" spans="1:4">
      <c r="A10726" s="691"/>
      <c r="D10726" s="3"/>
    </row>
    <row r="10727" spans="1:4">
      <c r="A10727" s="691"/>
      <c r="D10727" s="3"/>
    </row>
    <row r="10728" spans="1:4">
      <c r="A10728" s="691"/>
      <c r="D10728" s="3"/>
    </row>
    <row r="10729" spans="1:4">
      <c r="A10729" s="691"/>
      <c r="D10729" s="3"/>
    </row>
    <row r="10730" spans="1:4">
      <c r="A10730" s="691"/>
      <c r="D10730" s="3"/>
    </row>
    <row r="10731" spans="1:4">
      <c r="A10731" s="691"/>
      <c r="D10731" s="3"/>
    </row>
    <row r="10732" spans="1:4">
      <c r="A10732" s="691"/>
      <c r="D10732" s="3"/>
    </row>
    <row r="10733" spans="1:4">
      <c r="A10733" s="691"/>
      <c r="D10733" s="3"/>
    </row>
    <row r="10734" spans="1:4">
      <c r="A10734" s="691"/>
      <c r="D10734" s="3"/>
    </row>
    <row r="10735" spans="1:4">
      <c r="A10735" s="691"/>
      <c r="D10735" s="3"/>
    </row>
    <row r="10736" spans="1:4">
      <c r="A10736" s="691"/>
      <c r="D10736" s="3"/>
    </row>
    <row r="10737" spans="1:4">
      <c r="A10737" s="691"/>
      <c r="D10737" s="3"/>
    </row>
    <row r="10738" spans="1:4">
      <c r="A10738" s="691"/>
      <c r="D10738" s="3"/>
    </row>
    <row r="10739" spans="1:4">
      <c r="A10739" s="691"/>
      <c r="D10739" s="3"/>
    </row>
    <row r="10740" spans="1:4">
      <c r="A10740" s="691"/>
      <c r="D10740" s="3"/>
    </row>
    <row r="10741" spans="1:4">
      <c r="A10741" s="691"/>
      <c r="D10741" s="3"/>
    </row>
    <row r="10742" spans="1:4">
      <c r="A10742" s="691"/>
      <c r="D10742" s="3"/>
    </row>
    <row r="10743" spans="1:4">
      <c r="A10743" s="691"/>
      <c r="D10743" s="3"/>
    </row>
    <row r="10744" spans="1:4">
      <c r="A10744" s="691"/>
      <c r="D10744" s="3"/>
    </row>
    <row r="10745" spans="1:4">
      <c r="A10745" s="691"/>
      <c r="D10745" s="3"/>
    </row>
    <row r="10746" spans="1:4">
      <c r="A10746" s="691"/>
      <c r="D10746" s="3"/>
    </row>
    <row r="10747" spans="1:4">
      <c r="A10747" s="691"/>
      <c r="D10747" s="3"/>
    </row>
    <row r="10748" spans="1:4">
      <c r="A10748" s="691"/>
      <c r="D10748" s="3"/>
    </row>
    <row r="10749" spans="1:4">
      <c r="A10749" s="691"/>
      <c r="D10749" s="3"/>
    </row>
    <row r="10750" spans="1:4">
      <c r="A10750" s="691"/>
      <c r="D10750" s="3"/>
    </row>
    <row r="10751" spans="1:4">
      <c r="A10751" s="691"/>
      <c r="D10751" s="3"/>
    </row>
    <row r="10752" spans="1:4">
      <c r="A10752" s="691"/>
      <c r="D10752" s="3"/>
    </row>
    <row r="10753" spans="1:4">
      <c r="A10753" s="691"/>
      <c r="D10753" s="3"/>
    </row>
    <row r="10754" spans="1:4">
      <c r="A10754" s="691"/>
      <c r="D10754" s="3"/>
    </row>
    <row r="10755" spans="1:4">
      <c r="A10755" s="691"/>
      <c r="D10755" s="3"/>
    </row>
    <row r="10756" spans="1:4">
      <c r="A10756" s="691"/>
      <c r="D10756" s="3"/>
    </row>
    <row r="10757" spans="1:4">
      <c r="A10757" s="691"/>
      <c r="D10757" s="3"/>
    </row>
    <row r="10758" spans="1:4">
      <c r="A10758" s="691"/>
      <c r="D10758" s="3"/>
    </row>
    <row r="10759" spans="1:4">
      <c r="A10759" s="691"/>
      <c r="D10759" s="3"/>
    </row>
    <row r="10760" spans="1:4">
      <c r="A10760" s="691"/>
      <c r="D10760" s="3"/>
    </row>
    <row r="10761" spans="1:4">
      <c r="A10761" s="691"/>
      <c r="D10761" s="3"/>
    </row>
    <row r="10762" spans="1:4">
      <c r="A10762" s="691"/>
      <c r="D10762" s="3"/>
    </row>
    <row r="10763" spans="1:4">
      <c r="A10763" s="691"/>
      <c r="D10763" s="3"/>
    </row>
    <row r="10764" spans="1:4">
      <c r="A10764" s="691"/>
      <c r="D10764" s="3"/>
    </row>
    <row r="10765" spans="1:4">
      <c r="A10765" s="691"/>
      <c r="D10765" s="3"/>
    </row>
    <row r="10766" spans="1:4">
      <c r="A10766" s="691"/>
      <c r="D10766" s="3"/>
    </row>
    <row r="10767" spans="1:4">
      <c r="A10767" s="691"/>
      <c r="D10767" s="3"/>
    </row>
    <row r="10768" spans="1:4">
      <c r="A10768" s="691"/>
      <c r="D10768" s="3"/>
    </row>
    <row r="10769" spans="1:4">
      <c r="A10769" s="691"/>
      <c r="D10769" s="3"/>
    </row>
    <row r="10770" spans="1:4">
      <c r="A10770" s="691"/>
      <c r="D10770" s="3"/>
    </row>
    <row r="10771" spans="1:4">
      <c r="A10771" s="691"/>
      <c r="D10771" s="3"/>
    </row>
    <row r="10772" spans="1:4">
      <c r="A10772" s="691"/>
      <c r="D10772" s="3"/>
    </row>
    <row r="10773" spans="1:4">
      <c r="A10773" s="691"/>
      <c r="D10773" s="3"/>
    </row>
    <row r="10774" spans="1:4">
      <c r="A10774" s="691"/>
      <c r="D10774" s="3"/>
    </row>
    <row r="10775" spans="1:4">
      <c r="A10775" s="691"/>
      <c r="D10775" s="3"/>
    </row>
    <row r="10776" spans="1:4">
      <c r="A10776" s="691"/>
      <c r="D10776" s="3"/>
    </row>
    <row r="10777" spans="1:4">
      <c r="A10777" s="691"/>
      <c r="D10777" s="3"/>
    </row>
    <row r="10778" spans="1:4">
      <c r="A10778" s="691"/>
      <c r="D10778" s="3"/>
    </row>
    <row r="10779" spans="1:4">
      <c r="A10779" s="691"/>
      <c r="D10779" s="3"/>
    </row>
    <row r="10780" spans="1:4">
      <c r="A10780" s="691"/>
      <c r="D10780" s="3"/>
    </row>
    <row r="10781" spans="1:4">
      <c r="A10781" s="691"/>
      <c r="D10781" s="3"/>
    </row>
    <row r="10782" spans="1:4">
      <c r="A10782" s="691"/>
      <c r="D10782" s="3"/>
    </row>
    <row r="10783" spans="1:4">
      <c r="A10783" s="691"/>
      <c r="D10783" s="3"/>
    </row>
    <row r="10784" spans="1:4">
      <c r="A10784" s="691"/>
      <c r="D10784" s="3"/>
    </row>
    <row r="10785" spans="1:4">
      <c r="A10785" s="691"/>
      <c r="D10785" s="3"/>
    </row>
    <row r="10786" spans="1:4">
      <c r="A10786" s="691"/>
      <c r="D10786" s="3"/>
    </row>
    <row r="10787" spans="1:4">
      <c r="A10787" s="691"/>
      <c r="D10787" s="3"/>
    </row>
    <row r="10788" spans="1:4">
      <c r="A10788" s="691"/>
      <c r="D10788" s="3"/>
    </row>
    <row r="10789" spans="1:4">
      <c r="A10789" s="691"/>
      <c r="D10789" s="3"/>
    </row>
    <row r="10790" spans="1:4">
      <c r="A10790" s="691"/>
      <c r="D10790" s="3"/>
    </row>
    <row r="10791" spans="1:4">
      <c r="A10791" s="691"/>
      <c r="D10791" s="3"/>
    </row>
    <row r="10792" spans="1:4">
      <c r="A10792" s="691"/>
      <c r="D10792" s="3"/>
    </row>
    <row r="10793" spans="1:4">
      <c r="A10793" s="691"/>
      <c r="D10793" s="3"/>
    </row>
    <row r="10794" spans="1:4">
      <c r="A10794" s="691"/>
      <c r="D10794" s="3"/>
    </row>
    <row r="10795" spans="1:4">
      <c r="A10795" s="691"/>
      <c r="D10795" s="3"/>
    </row>
    <row r="10796" spans="1:4">
      <c r="A10796" s="691"/>
      <c r="D10796" s="3"/>
    </row>
    <row r="10797" spans="1:4">
      <c r="A10797" s="691"/>
      <c r="D10797" s="3"/>
    </row>
    <row r="10798" spans="1:4">
      <c r="A10798" s="691"/>
      <c r="D10798" s="3"/>
    </row>
    <row r="10799" spans="1:4">
      <c r="A10799" s="691"/>
      <c r="D10799" s="3"/>
    </row>
    <row r="10800" spans="1:4">
      <c r="A10800" s="691"/>
      <c r="D10800" s="3"/>
    </row>
    <row r="10801" spans="1:4">
      <c r="A10801" s="691"/>
      <c r="D10801" s="3"/>
    </row>
    <row r="10802" spans="1:4">
      <c r="A10802" s="691"/>
      <c r="D10802" s="3"/>
    </row>
    <row r="10803" spans="1:4">
      <c r="A10803" s="691"/>
      <c r="D10803" s="3"/>
    </row>
    <row r="10804" spans="1:4">
      <c r="A10804" s="691"/>
      <c r="D10804" s="3"/>
    </row>
    <row r="10805" spans="1:4">
      <c r="A10805" s="691"/>
      <c r="D10805" s="3"/>
    </row>
    <row r="10806" spans="1:4">
      <c r="A10806" s="691"/>
      <c r="D10806" s="3"/>
    </row>
    <row r="10807" spans="1:4">
      <c r="A10807" s="691"/>
      <c r="D10807" s="3"/>
    </row>
    <row r="10808" spans="1:4">
      <c r="A10808" s="691"/>
      <c r="D10808" s="3"/>
    </row>
    <row r="10809" spans="1:4">
      <c r="A10809" s="691"/>
      <c r="D10809" s="3"/>
    </row>
    <row r="10810" spans="1:4">
      <c r="A10810" s="691"/>
      <c r="D10810" s="3"/>
    </row>
    <row r="10811" spans="1:4">
      <c r="A10811" s="691"/>
      <c r="D10811" s="3"/>
    </row>
    <row r="10812" spans="1:4">
      <c r="A10812" s="691"/>
      <c r="D10812" s="3"/>
    </row>
    <row r="10813" spans="1:4">
      <c r="A10813" s="691"/>
      <c r="D10813" s="3"/>
    </row>
    <row r="10814" spans="1:4">
      <c r="A10814" s="691"/>
      <c r="D10814" s="3"/>
    </row>
    <row r="10815" spans="1:4">
      <c r="A10815" s="691"/>
      <c r="D10815" s="3"/>
    </row>
    <row r="10816" spans="1:4">
      <c r="A10816" s="691"/>
      <c r="D10816" s="3"/>
    </row>
    <row r="10817" spans="1:4">
      <c r="A10817" s="691"/>
      <c r="D10817" s="3"/>
    </row>
    <row r="10818" spans="1:4">
      <c r="A10818" s="691"/>
      <c r="D10818" s="3"/>
    </row>
    <row r="10819" spans="1:4">
      <c r="A10819" s="691"/>
      <c r="D10819" s="3"/>
    </row>
    <row r="10820" spans="1:4">
      <c r="A10820" s="691"/>
      <c r="D10820" s="3"/>
    </row>
    <row r="10821" spans="1:4">
      <c r="A10821" s="691"/>
      <c r="D10821" s="3"/>
    </row>
    <row r="10822" spans="1:4">
      <c r="A10822" s="691"/>
      <c r="D10822" s="3"/>
    </row>
    <row r="10823" spans="1:4">
      <c r="A10823" s="691"/>
      <c r="D10823" s="3"/>
    </row>
    <row r="10824" spans="1:4">
      <c r="A10824" s="691"/>
      <c r="D10824" s="3"/>
    </row>
    <row r="10825" spans="1:4">
      <c r="A10825" s="691"/>
      <c r="D10825" s="3"/>
    </row>
    <row r="10826" spans="1:4">
      <c r="A10826" s="691"/>
      <c r="D10826" s="3"/>
    </row>
    <row r="10827" spans="1:4">
      <c r="A10827" s="691"/>
      <c r="D10827" s="3"/>
    </row>
    <row r="10828" spans="1:4">
      <c r="A10828" s="691"/>
      <c r="D10828" s="3"/>
    </row>
    <row r="10829" spans="1:4">
      <c r="A10829" s="691"/>
      <c r="D10829" s="3"/>
    </row>
    <row r="10830" spans="1:4">
      <c r="A10830" s="691"/>
      <c r="D10830" s="3"/>
    </row>
    <row r="10831" spans="1:4">
      <c r="A10831" s="691"/>
      <c r="D10831" s="3"/>
    </row>
    <row r="10832" spans="1:4">
      <c r="A10832" s="691"/>
      <c r="D10832" s="3"/>
    </row>
    <row r="10833" spans="1:4">
      <c r="A10833" s="691"/>
      <c r="D10833" s="3"/>
    </row>
    <row r="10834" spans="1:4">
      <c r="A10834" s="691"/>
      <c r="D10834" s="3"/>
    </row>
    <row r="10835" spans="1:4">
      <c r="A10835" s="691"/>
      <c r="D10835" s="3"/>
    </row>
    <row r="10836" spans="1:4">
      <c r="A10836" s="691"/>
      <c r="D10836" s="3"/>
    </row>
    <row r="10837" spans="1:4">
      <c r="A10837" s="691"/>
      <c r="D10837" s="3"/>
    </row>
    <row r="10838" spans="1:4">
      <c r="A10838" s="691"/>
      <c r="D10838" s="3"/>
    </row>
    <row r="10839" spans="1:4">
      <c r="A10839" s="691"/>
      <c r="D10839" s="3"/>
    </row>
    <row r="10840" spans="1:4">
      <c r="A10840" s="691"/>
      <c r="D10840" s="3"/>
    </row>
    <row r="10841" spans="1:4">
      <c r="A10841" s="691"/>
      <c r="D10841" s="3"/>
    </row>
    <row r="10842" spans="1:4">
      <c r="A10842" s="691"/>
      <c r="D10842" s="3"/>
    </row>
    <row r="10843" spans="1:4">
      <c r="A10843" s="691"/>
      <c r="D10843" s="3"/>
    </row>
    <row r="10844" spans="1:4">
      <c r="A10844" s="691"/>
      <c r="D10844" s="3"/>
    </row>
    <row r="10845" spans="1:4">
      <c r="A10845" s="691"/>
      <c r="D10845" s="3"/>
    </row>
    <row r="10846" spans="1:4">
      <c r="A10846" s="691"/>
      <c r="D10846" s="3"/>
    </row>
    <row r="10847" spans="1:4">
      <c r="A10847" s="691"/>
      <c r="D10847" s="3"/>
    </row>
    <row r="10848" spans="1:4">
      <c r="A10848" s="691"/>
      <c r="D10848" s="3"/>
    </row>
    <row r="10849" spans="1:4">
      <c r="A10849" s="691"/>
      <c r="D10849" s="3"/>
    </row>
    <row r="10850" spans="1:4">
      <c r="A10850" s="691"/>
      <c r="D10850" s="3"/>
    </row>
    <row r="10851" spans="1:4">
      <c r="A10851" s="691"/>
      <c r="D10851" s="3"/>
    </row>
    <row r="10852" spans="1:4">
      <c r="A10852" s="691"/>
      <c r="D10852" s="3"/>
    </row>
    <row r="10853" spans="1:4">
      <c r="A10853" s="691"/>
      <c r="D10853" s="3"/>
    </row>
    <row r="10854" spans="1:4">
      <c r="A10854" s="691"/>
      <c r="D10854" s="3"/>
    </row>
    <row r="10855" spans="1:4">
      <c r="A10855" s="691"/>
      <c r="D10855" s="3"/>
    </row>
    <row r="10856" spans="1:4">
      <c r="A10856" s="691"/>
      <c r="D10856" s="3"/>
    </row>
    <row r="10857" spans="1:4">
      <c r="A10857" s="691"/>
      <c r="D10857" s="3"/>
    </row>
    <row r="10858" spans="1:4">
      <c r="A10858" s="691"/>
      <c r="D10858" s="3"/>
    </row>
    <row r="10859" spans="1:4">
      <c r="A10859" s="691"/>
      <c r="D10859" s="3"/>
    </row>
    <row r="10860" spans="1:4">
      <c r="A10860" s="691"/>
      <c r="D10860" s="3"/>
    </row>
    <row r="10861" spans="1:4">
      <c r="A10861" s="691"/>
      <c r="D10861" s="3"/>
    </row>
    <row r="10862" spans="1:4">
      <c r="A10862" s="691"/>
      <c r="D10862" s="3"/>
    </row>
    <row r="10863" spans="1:4">
      <c r="A10863" s="691"/>
      <c r="D10863" s="3"/>
    </row>
    <row r="10864" spans="1:4">
      <c r="A10864" s="691"/>
      <c r="D10864" s="3"/>
    </row>
    <row r="10865" spans="1:4">
      <c r="A10865" s="691"/>
      <c r="D10865" s="3"/>
    </row>
    <row r="10866" spans="1:4">
      <c r="A10866" s="691"/>
      <c r="D10866" s="3"/>
    </row>
    <row r="10867" spans="1:4">
      <c r="A10867" s="691"/>
      <c r="D10867" s="3"/>
    </row>
    <row r="10868" spans="1:4">
      <c r="A10868" s="691"/>
      <c r="D10868" s="3"/>
    </row>
    <row r="10869" spans="1:4">
      <c r="A10869" s="691"/>
      <c r="D10869" s="3"/>
    </row>
    <row r="10870" spans="1:4">
      <c r="A10870" s="691"/>
      <c r="D10870" s="3"/>
    </row>
    <row r="10871" spans="1:4">
      <c r="A10871" s="691"/>
      <c r="D10871" s="3"/>
    </row>
    <row r="10872" spans="1:4">
      <c r="A10872" s="691"/>
      <c r="D10872" s="3"/>
    </row>
    <row r="10873" spans="1:4">
      <c r="A10873" s="691"/>
      <c r="D10873" s="3"/>
    </row>
    <row r="10874" spans="1:4">
      <c r="A10874" s="691"/>
      <c r="D10874" s="3"/>
    </row>
    <row r="10875" spans="1:4">
      <c r="A10875" s="691"/>
      <c r="D10875" s="3"/>
    </row>
    <row r="10876" spans="1:4">
      <c r="A10876" s="691"/>
      <c r="D10876" s="3"/>
    </row>
    <row r="10877" spans="1:4">
      <c r="A10877" s="691"/>
      <c r="D10877" s="3"/>
    </row>
    <row r="10878" spans="1:4">
      <c r="A10878" s="691"/>
      <c r="D10878" s="3"/>
    </row>
    <row r="10879" spans="1:4">
      <c r="A10879" s="691"/>
      <c r="D10879" s="3"/>
    </row>
    <row r="10880" spans="1:4">
      <c r="A10880" s="691"/>
      <c r="D10880" s="3"/>
    </row>
    <row r="10881" spans="1:4">
      <c r="A10881" s="691"/>
      <c r="D10881" s="3"/>
    </row>
    <row r="10882" spans="1:4">
      <c r="A10882" s="691"/>
      <c r="D10882" s="3"/>
    </row>
    <row r="10883" spans="1:4">
      <c r="A10883" s="691"/>
      <c r="D10883" s="3"/>
    </row>
    <row r="10884" spans="1:4">
      <c r="A10884" s="691"/>
      <c r="D10884" s="3"/>
    </row>
    <row r="10885" spans="1:4">
      <c r="A10885" s="691"/>
      <c r="D10885" s="3"/>
    </row>
    <row r="10886" spans="1:4">
      <c r="A10886" s="691"/>
      <c r="D10886" s="3"/>
    </row>
    <row r="10887" spans="1:4">
      <c r="A10887" s="691"/>
      <c r="D10887" s="3"/>
    </row>
    <row r="10888" spans="1:4">
      <c r="A10888" s="691"/>
      <c r="D10888" s="3"/>
    </row>
    <row r="10889" spans="1:4">
      <c r="A10889" s="691"/>
      <c r="D10889" s="3"/>
    </row>
    <row r="10890" spans="1:4">
      <c r="A10890" s="691"/>
      <c r="D10890" s="3"/>
    </row>
    <row r="10891" spans="1:4">
      <c r="A10891" s="691"/>
      <c r="D10891" s="3"/>
    </row>
    <row r="10892" spans="1:4">
      <c r="A10892" s="691"/>
      <c r="D10892" s="3"/>
    </row>
    <row r="10893" spans="1:4">
      <c r="A10893" s="691"/>
      <c r="D10893" s="3"/>
    </row>
    <row r="10894" spans="1:4">
      <c r="A10894" s="691"/>
      <c r="D10894" s="3"/>
    </row>
    <row r="10895" spans="1:4">
      <c r="A10895" s="691"/>
      <c r="D10895" s="3"/>
    </row>
    <row r="10896" spans="1:4">
      <c r="A10896" s="691"/>
      <c r="D10896" s="3"/>
    </row>
    <row r="10897" spans="1:4">
      <c r="A10897" s="691"/>
      <c r="D10897" s="3"/>
    </row>
    <row r="10898" spans="1:4">
      <c r="A10898" s="691"/>
      <c r="D10898" s="3"/>
    </row>
    <row r="10899" spans="1:4">
      <c r="A10899" s="691"/>
      <c r="D10899" s="3"/>
    </row>
    <row r="10900" spans="1:4">
      <c r="A10900" s="691"/>
      <c r="D10900" s="3"/>
    </row>
    <row r="10901" spans="1:4">
      <c r="A10901" s="691"/>
      <c r="D10901" s="3"/>
    </row>
    <row r="10902" spans="1:4">
      <c r="A10902" s="691"/>
      <c r="D10902" s="3"/>
    </row>
    <row r="10903" spans="1:4">
      <c r="A10903" s="691"/>
      <c r="D10903" s="3"/>
    </row>
    <row r="10904" spans="1:4">
      <c r="A10904" s="691"/>
      <c r="D10904" s="3"/>
    </row>
    <row r="10905" spans="1:4">
      <c r="A10905" s="691"/>
      <c r="D10905" s="3"/>
    </row>
    <row r="10906" spans="1:4">
      <c r="A10906" s="691"/>
      <c r="D10906" s="3"/>
    </row>
    <row r="10907" spans="1:4">
      <c r="A10907" s="691"/>
      <c r="D10907" s="3"/>
    </row>
    <row r="10908" spans="1:4">
      <c r="A10908" s="691"/>
      <c r="D10908" s="3"/>
    </row>
    <row r="10909" spans="1:4">
      <c r="A10909" s="691"/>
      <c r="D10909" s="3"/>
    </row>
    <row r="10910" spans="1:4">
      <c r="A10910" s="691"/>
      <c r="D10910" s="3"/>
    </row>
    <row r="10911" spans="1:4">
      <c r="A10911" s="691"/>
      <c r="D10911" s="3"/>
    </row>
    <row r="10912" spans="1:4">
      <c r="A10912" s="691"/>
      <c r="D10912" s="3"/>
    </row>
    <row r="10913" spans="1:4">
      <c r="A10913" s="691"/>
      <c r="D10913" s="3"/>
    </row>
    <row r="10914" spans="1:4">
      <c r="A10914" s="691"/>
      <c r="D10914" s="3"/>
    </row>
    <row r="10915" spans="1:4">
      <c r="A10915" s="691"/>
      <c r="D10915" s="3"/>
    </row>
    <row r="10916" spans="1:4">
      <c r="A10916" s="691"/>
      <c r="D10916" s="3"/>
    </row>
    <row r="10917" spans="1:4">
      <c r="A10917" s="691"/>
      <c r="D10917" s="3"/>
    </row>
    <row r="10918" spans="1:4">
      <c r="A10918" s="691"/>
      <c r="D10918" s="3"/>
    </row>
    <row r="10919" spans="1:4">
      <c r="A10919" s="691"/>
      <c r="D10919" s="3"/>
    </row>
    <row r="10920" spans="1:4">
      <c r="A10920" s="691"/>
      <c r="D10920" s="3"/>
    </row>
    <row r="10921" spans="1:4">
      <c r="A10921" s="691"/>
      <c r="D10921" s="3"/>
    </row>
    <row r="10922" spans="1:4">
      <c r="A10922" s="691"/>
      <c r="D10922" s="3"/>
    </row>
    <row r="10923" spans="1:4">
      <c r="A10923" s="691"/>
      <c r="D10923" s="3"/>
    </row>
    <row r="10924" spans="1:4">
      <c r="A10924" s="691"/>
      <c r="D10924" s="3"/>
    </row>
    <row r="10925" spans="1:4">
      <c r="A10925" s="691"/>
      <c r="D10925" s="3"/>
    </row>
    <row r="10926" spans="1:4">
      <c r="A10926" s="691"/>
      <c r="D10926" s="3"/>
    </row>
    <row r="10927" spans="1:4">
      <c r="A10927" s="691"/>
      <c r="D10927" s="3"/>
    </row>
    <row r="10928" spans="1:4">
      <c r="A10928" s="691"/>
      <c r="D10928" s="3"/>
    </row>
    <row r="10929" spans="1:4">
      <c r="A10929" s="691"/>
      <c r="D10929" s="3"/>
    </row>
    <row r="10930" spans="1:4">
      <c r="A10930" s="691"/>
      <c r="D10930" s="3"/>
    </row>
    <row r="10931" spans="1:4">
      <c r="A10931" s="691"/>
      <c r="D10931" s="3"/>
    </row>
    <row r="10932" spans="1:4">
      <c r="A10932" s="691"/>
      <c r="D10932" s="3"/>
    </row>
    <row r="10933" spans="1:4">
      <c r="A10933" s="691"/>
      <c r="D10933" s="3"/>
    </row>
    <row r="10934" spans="1:4">
      <c r="A10934" s="691"/>
      <c r="D10934" s="3"/>
    </row>
    <row r="10935" spans="1:4">
      <c r="A10935" s="691"/>
      <c r="D10935" s="3"/>
    </row>
    <row r="10936" spans="1:4">
      <c r="A10936" s="691"/>
      <c r="D10936" s="3"/>
    </row>
    <row r="10937" spans="1:4">
      <c r="A10937" s="691"/>
      <c r="D10937" s="3"/>
    </row>
    <row r="10938" spans="1:4">
      <c r="A10938" s="691"/>
      <c r="D10938" s="3"/>
    </row>
    <row r="10939" spans="1:4">
      <c r="A10939" s="691"/>
      <c r="D10939" s="3"/>
    </row>
    <row r="10940" spans="1:4">
      <c r="A10940" s="691"/>
      <c r="D10940" s="3"/>
    </row>
    <row r="10941" spans="1:4">
      <c r="A10941" s="691"/>
      <c r="D10941" s="3"/>
    </row>
    <row r="10942" spans="1:4">
      <c r="A10942" s="691"/>
      <c r="D10942" s="3"/>
    </row>
    <row r="10943" spans="1:4">
      <c r="A10943" s="691"/>
      <c r="D10943" s="3"/>
    </row>
    <row r="10944" spans="1:4">
      <c r="A10944" s="691"/>
      <c r="D10944" s="3"/>
    </row>
    <row r="10945" spans="1:4">
      <c r="A10945" s="691"/>
      <c r="D10945" s="3"/>
    </row>
    <row r="10946" spans="1:4">
      <c r="A10946" s="691"/>
      <c r="D10946" s="3"/>
    </row>
    <row r="10947" spans="1:4">
      <c r="A10947" s="691"/>
      <c r="D10947" s="3"/>
    </row>
    <row r="10948" spans="1:4">
      <c r="A10948" s="691"/>
      <c r="D10948" s="3"/>
    </row>
    <row r="10949" spans="1:4">
      <c r="A10949" s="691"/>
      <c r="D10949" s="3"/>
    </row>
    <row r="10950" spans="1:4">
      <c r="A10950" s="691"/>
      <c r="D10950" s="3"/>
    </row>
    <row r="10951" spans="1:4">
      <c r="A10951" s="691"/>
      <c r="D10951" s="3"/>
    </row>
    <row r="10952" spans="1:4">
      <c r="A10952" s="691"/>
      <c r="D10952" s="3"/>
    </row>
    <row r="10953" spans="1:4">
      <c r="A10953" s="691"/>
      <c r="D10953" s="3"/>
    </row>
    <row r="10954" spans="1:4">
      <c r="A10954" s="691"/>
      <c r="D10954" s="3"/>
    </row>
    <row r="10955" spans="1:4">
      <c r="A10955" s="691"/>
      <c r="D10955" s="3"/>
    </row>
    <row r="10956" spans="1:4">
      <c r="A10956" s="691"/>
      <c r="D10956" s="3"/>
    </row>
    <row r="10957" spans="1:4">
      <c r="A10957" s="691"/>
      <c r="D10957" s="3"/>
    </row>
    <row r="10958" spans="1:4">
      <c r="A10958" s="691"/>
      <c r="D10958" s="3"/>
    </row>
    <row r="10959" spans="1:4">
      <c r="A10959" s="691"/>
      <c r="D10959" s="3"/>
    </row>
    <row r="10960" spans="1:4">
      <c r="A10960" s="691"/>
      <c r="D10960" s="3"/>
    </row>
    <row r="10961" spans="1:4">
      <c r="A10961" s="691"/>
      <c r="D10961" s="3"/>
    </row>
    <row r="10962" spans="1:4">
      <c r="A10962" s="691"/>
      <c r="D10962" s="3"/>
    </row>
    <row r="10963" spans="1:4">
      <c r="A10963" s="691"/>
      <c r="D10963" s="3"/>
    </row>
    <row r="10964" spans="1:4">
      <c r="A10964" s="691"/>
      <c r="D10964" s="3"/>
    </row>
    <row r="10965" spans="1:4">
      <c r="A10965" s="691"/>
      <c r="D10965" s="3"/>
    </row>
    <row r="10966" spans="1:4">
      <c r="A10966" s="691"/>
      <c r="D10966" s="3"/>
    </row>
    <row r="10967" spans="1:4">
      <c r="A10967" s="691"/>
      <c r="D10967" s="3"/>
    </row>
    <row r="10968" spans="1:4">
      <c r="A10968" s="691"/>
      <c r="D10968" s="3"/>
    </row>
    <row r="10969" spans="1:4">
      <c r="A10969" s="691"/>
      <c r="D10969" s="3"/>
    </row>
    <row r="10970" spans="1:4">
      <c r="A10970" s="691"/>
      <c r="D10970" s="3"/>
    </row>
    <row r="10971" spans="1:4">
      <c r="A10971" s="691"/>
      <c r="D10971" s="3"/>
    </row>
    <row r="10972" spans="1:4">
      <c r="A10972" s="691"/>
      <c r="D10972" s="3"/>
    </row>
    <row r="10973" spans="1:4">
      <c r="A10973" s="691"/>
      <c r="D10973" s="3"/>
    </row>
    <row r="10974" spans="1:4">
      <c r="A10974" s="691"/>
      <c r="D10974" s="3"/>
    </row>
    <row r="10975" spans="1:4">
      <c r="A10975" s="691"/>
      <c r="D10975" s="3"/>
    </row>
    <row r="10976" spans="1:4">
      <c r="A10976" s="691"/>
      <c r="D10976" s="3"/>
    </row>
    <row r="10977" spans="1:4">
      <c r="A10977" s="691"/>
      <c r="D10977" s="3"/>
    </row>
    <row r="10978" spans="1:4">
      <c r="A10978" s="691"/>
      <c r="D10978" s="3"/>
    </row>
    <row r="10979" spans="1:4">
      <c r="A10979" s="691"/>
      <c r="D10979" s="3"/>
    </row>
    <row r="10980" spans="1:4">
      <c r="A10980" s="691"/>
      <c r="D10980" s="3"/>
    </row>
    <row r="10981" spans="1:4">
      <c r="A10981" s="691"/>
      <c r="D10981" s="3"/>
    </row>
    <row r="10982" spans="1:4">
      <c r="A10982" s="691"/>
      <c r="D10982" s="3"/>
    </row>
    <row r="10983" spans="1:4">
      <c r="A10983" s="691"/>
      <c r="D10983" s="3"/>
    </row>
    <row r="10984" spans="1:4">
      <c r="A10984" s="691"/>
      <c r="D10984" s="3"/>
    </row>
    <row r="10985" spans="1:4">
      <c r="A10985" s="691"/>
      <c r="D10985" s="3"/>
    </row>
    <row r="10986" spans="1:4">
      <c r="A10986" s="691"/>
      <c r="D10986" s="3"/>
    </row>
    <row r="10987" spans="1:4">
      <c r="A10987" s="691"/>
      <c r="D10987" s="3"/>
    </row>
    <row r="10988" spans="1:4">
      <c r="A10988" s="691"/>
      <c r="D10988" s="3"/>
    </row>
    <row r="10989" spans="1:4">
      <c r="A10989" s="691"/>
      <c r="D10989" s="3"/>
    </row>
    <row r="10990" spans="1:4">
      <c r="A10990" s="691"/>
      <c r="D10990" s="3"/>
    </row>
    <row r="10991" spans="1:4">
      <c r="A10991" s="691"/>
      <c r="D10991" s="3"/>
    </row>
    <row r="10992" spans="1:4">
      <c r="A10992" s="691"/>
      <c r="D10992" s="3"/>
    </row>
    <row r="10993" spans="1:4">
      <c r="A10993" s="691"/>
      <c r="D10993" s="3"/>
    </row>
    <row r="10994" spans="1:4">
      <c r="A10994" s="691"/>
      <c r="D10994" s="3"/>
    </row>
    <row r="10995" spans="1:4">
      <c r="A10995" s="691"/>
      <c r="D10995" s="3"/>
    </row>
    <row r="10996" spans="1:4">
      <c r="A10996" s="691"/>
      <c r="D10996" s="3"/>
    </row>
    <row r="10997" spans="1:4">
      <c r="A10997" s="691"/>
      <c r="D10997" s="3"/>
    </row>
    <row r="10998" spans="1:4">
      <c r="A10998" s="691"/>
      <c r="D10998" s="3"/>
    </row>
    <row r="10999" spans="1:4">
      <c r="A10999" s="691"/>
      <c r="D10999" s="3"/>
    </row>
    <row r="11000" spans="1:4">
      <c r="A11000" s="691"/>
      <c r="D11000" s="3"/>
    </row>
    <row r="11001" spans="1:4">
      <c r="A11001" s="691"/>
      <c r="D11001" s="3"/>
    </row>
    <row r="11002" spans="1:4">
      <c r="A11002" s="691"/>
      <c r="D11002" s="3"/>
    </row>
    <row r="11003" spans="1:4">
      <c r="A11003" s="691"/>
      <c r="D11003" s="3"/>
    </row>
    <row r="11004" spans="1:4">
      <c r="A11004" s="691"/>
      <c r="D11004" s="3"/>
    </row>
    <row r="11005" spans="1:4">
      <c r="A11005" s="691"/>
      <c r="D11005" s="3"/>
    </row>
    <row r="11006" spans="1:4">
      <c r="A11006" s="691"/>
      <c r="D11006" s="3"/>
    </row>
    <row r="11007" spans="1:4">
      <c r="A11007" s="691"/>
      <c r="D11007" s="3"/>
    </row>
    <row r="11008" spans="1:4">
      <c r="A11008" s="691"/>
      <c r="D11008" s="3"/>
    </row>
    <row r="11009" spans="1:4">
      <c r="A11009" s="691"/>
      <c r="D11009" s="3"/>
    </row>
    <row r="11010" spans="1:4">
      <c r="A11010" s="691"/>
      <c r="D11010" s="3"/>
    </row>
    <row r="11011" spans="1:4">
      <c r="A11011" s="691"/>
      <c r="D11011" s="3"/>
    </row>
    <row r="11012" spans="1:4">
      <c r="A11012" s="691"/>
      <c r="D11012" s="3"/>
    </row>
    <row r="11013" spans="1:4">
      <c r="A11013" s="691"/>
      <c r="D11013" s="3"/>
    </row>
    <row r="11014" spans="1:4">
      <c r="A11014" s="691"/>
      <c r="D11014" s="3"/>
    </row>
    <row r="11015" spans="1:4">
      <c r="A11015" s="691"/>
      <c r="D11015" s="3"/>
    </row>
    <row r="11016" spans="1:4">
      <c r="A11016" s="691"/>
      <c r="D11016" s="3"/>
    </row>
    <row r="11017" spans="1:4">
      <c r="A11017" s="691"/>
      <c r="D11017" s="3"/>
    </row>
    <row r="11018" spans="1:4">
      <c r="A11018" s="691"/>
      <c r="D11018" s="3"/>
    </row>
    <row r="11019" spans="1:4">
      <c r="A11019" s="691"/>
      <c r="D11019" s="3"/>
    </row>
    <row r="11020" spans="1:4">
      <c r="A11020" s="691"/>
      <c r="D11020" s="3"/>
    </row>
    <row r="11021" spans="1:4">
      <c r="A11021" s="691"/>
      <c r="D11021" s="3"/>
    </row>
    <row r="11022" spans="1:4">
      <c r="A11022" s="691"/>
      <c r="D11022" s="3"/>
    </row>
    <row r="11023" spans="1:4">
      <c r="A11023" s="691"/>
      <c r="D11023" s="3"/>
    </row>
    <row r="11024" spans="1:4">
      <c r="A11024" s="691"/>
      <c r="D11024" s="3"/>
    </row>
    <row r="11025" spans="1:4">
      <c r="A11025" s="691"/>
      <c r="D11025" s="3"/>
    </row>
    <row r="11026" spans="1:4">
      <c r="A11026" s="691"/>
      <c r="D11026" s="3"/>
    </row>
    <row r="11027" spans="1:4">
      <c r="A11027" s="691"/>
      <c r="D11027" s="3"/>
    </row>
    <row r="11028" spans="1:4">
      <c r="A11028" s="691"/>
      <c r="D11028" s="3"/>
    </row>
    <row r="11029" spans="1:4">
      <c r="A11029" s="691"/>
      <c r="D11029" s="3"/>
    </row>
    <row r="11030" spans="1:4">
      <c r="A11030" s="691"/>
      <c r="D11030" s="3"/>
    </row>
    <row r="11031" spans="1:4">
      <c r="A11031" s="691"/>
      <c r="D11031" s="3"/>
    </row>
    <row r="11032" spans="1:4">
      <c r="A11032" s="691"/>
      <c r="D11032" s="3"/>
    </row>
    <row r="11033" spans="1:4">
      <c r="A11033" s="691"/>
      <c r="D11033" s="3"/>
    </row>
    <row r="11034" spans="1:4">
      <c r="A11034" s="691"/>
      <c r="D11034" s="3"/>
    </row>
    <row r="11035" spans="1:4">
      <c r="A11035" s="691"/>
      <c r="D11035" s="3"/>
    </row>
    <row r="11036" spans="1:4">
      <c r="A11036" s="691"/>
      <c r="D11036" s="3"/>
    </row>
    <row r="11037" spans="1:4">
      <c r="A11037" s="691"/>
      <c r="D11037" s="3"/>
    </row>
    <row r="11038" spans="1:4">
      <c r="A11038" s="691"/>
      <c r="D11038" s="3"/>
    </row>
    <row r="11039" spans="1:4">
      <c r="A11039" s="691"/>
      <c r="D11039" s="3"/>
    </row>
    <row r="11040" spans="1:4">
      <c r="A11040" s="691"/>
      <c r="D11040" s="3"/>
    </row>
    <row r="11041" spans="1:4">
      <c r="A11041" s="691"/>
      <c r="D11041" s="3"/>
    </row>
    <row r="11042" spans="1:4">
      <c r="A11042" s="691"/>
      <c r="D11042" s="3"/>
    </row>
    <row r="11043" spans="1:4">
      <c r="A11043" s="691"/>
      <c r="D11043" s="3"/>
    </row>
    <row r="11044" spans="1:4">
      <c r="A11044" s="691"/>
      <c r="D11044" s="3"/>
    </row>
    <row r="11045" spans="1:4">
      <c r="A11045" s="691"/>
      <c r="D11045" s="3"/>
    </row>
    <row r="11046" spans="1:4">
      <c r="A11046" s="691"/>
      <c r="D11046" s="3"/>
    </row>
    <row r="11047" spans="1:4">
      <c r="A11047" s="691"/>
      <c r="D11047" s="3"/>
    </row>
    <row r="11048" spans="1:4">
      <c r="A11048" s="691"/>
      <c r="D11048" s="3"/>
    </row>
    <row r="11049" spans="1:4">
      <c r="A11049" s="691"/>
      <c r="D11049" s="3"/>
    </row>
    <row r="11050" spans="1:4">
      <c r="A11050" s="691"/>
      <c r="D11050" s="3"/>
    </row>
    <row r="11051" spans="1:4">
      <c r="A11051" s="691"/>
      <c r="D11051" s="3"/>
    </row>
    <row r="11052" spans="1:4">
      <c r="A11052" s="691"/>
      <c r="D11052" s="3"/>
    </row>
    <row r="11053" spans="1:4">
      <c r="A11053" s="691"/>
      <c r="D11053" s="3"/>
    </row>
    <row r="11054" spans="1:4">
      <c r="A11054" s="691"/>
      <c r="D11054" s="3"/>
    </row>
    <row r="11055" spans="1:4">
      <c r="A11055" s="691"/>
      <c r="D11055" s="3"/>
    </row>
    <row r="11056" spans="1:4">
      <c r="A11056" s="691"/>
      <c r="D11056" s="3"/>
    </row>
    <row r="11057" spans="1:4">
      <c r="A11057" s="691"/>
      <c r="D11057" s="3"/>
    </row>
    <row r="11058" spans="1:4">
      <c r="A11058" s="691"/>
      <c r="D11058" s="3"/>
    </row>
    <row r="11059" spans="1:4">
      <c r="A11059" s="691"/>
      <c r="D11059" s="3"/>
    </row>
    <row r="11060" spans="1:4">
      <c r="A11060" s="691"/>
      <c r="D11060" s="3"/>
    </row>
    <row r="11061" spans="1:4">
      <c r="A11061" s="691"/>
      <c r="D11061" s="3"/>
    </row>
    <row r="11062" spans="1:4">
      <c r="A11062" s="691"/>
      <c r="D11062" s="3"/>
    </row>
    <row r="11063" spans="1:4">
      <c r="A11063" s="691"/>
      <c r="D11063" s="3"/>
    </row>
    <row r="11064" spans="1:4">
      <c r="A11064" s="691"/>
      <c r="D11064" s="3"/>
    </row>
    <row r="11065" spans="1:4">
      <c r="A11065" s="691"/>
      <c r="D11065" s="3"/>
    </row>
    <row r="11066" spans="1:4">
      <c r="A11066" s="691"/>
      <c r="D11066" s="3"/>
    </row>
    <row r="11067" spans="1:4">
      <c r="A11067" s="691"/>
      <c r="D11067" s="3"/>
    </row>
    <row r="11068" spans="1:4">
      <c r="A11068" s="691"/>
      <c r="D11068" s="3"/>
    </row>
    <row r="11069" spans="1:4">
      <c r="A11069" s="691"/>
      <c r="D11069" s="3"/>
    </row>
    <row r="11070" spans="1:4">
      <c r="A11070" s="691"/>
      <c r="D11070" s="3"/>
    </row>
    <row r="11071" spans="1:4">
      <c r="A11071" s="691"/>
      <c r="D11071" s="3"/>
    </row>
    <row r="11072" spans="1:4">
      <c r="A11072" s="691"/>
      <c r="D11072" s="3"/>
    </row>
    <row r="11073" spans="1:4">
      <c r="A11073" s="691"/>
      <c r="D11073" s="3"/>
    </row>
    <row r="11074" spans="1:4">
      <c r="A11074" s="691"/>
      <c r="D11074" s="3"/>
    </row>
    <row r="11075" spans="1:4">
      <c r="A11075" s="691"/>
      <c r="D11075" s="3"/>
    </row>
    <row r="11076" spans="1:4">
      <c r="A11076" s="691"/>
      <c r="D11076" s="3"/>
    </row>
    <row r="11077" spans="1:4">
      <c r="A11077" s="691"/>
      <c r="D11077" s="3"/>
    </row>
    <row r="11078" spans="1:4">
      <c r="A11078" s="691"/>
      <c r="D11078" s="3"/>
    </row>
    <row r="11079" spans="1:4">
      <c r="A11079" s="691"/>
      <c r="D11079" s="3"/>
    </row>
    <row r="11080" spans="1:4">
      <c r="A11080" s="691"/>
      <c r="D11080" s="3"/>
    </row>
    <row r="11081" spans="1:4">
      <c r="A11081" s="691"/>
      <c r="D11081" s="3"/>
    </row>
    <row r="11082" spans="1:4">
      <c r="A11082" s="691"/>
      <c r="D11082" s="3"/>
    </row>
    <row r="11083" spans="1:4">
      <c r="A11083" s="691"/>
      <c r="D11083" s="3"/>
    </row>
    <row r="11084" spans="1:4">
      <c r="A11084" s="691"/>
      <c r="D11084" s="3"/>
    </row>
    <row r="11085" spans="1:4">
      <c r="A11085" s="691"/>
      <c r="D11085" s="3"/>
    </row>
    <row r="11086" spans="1:4">
      <c r="A11086" s="691"/>
      <c r="D11086" s="3"/>
    </row>
    <row r="11087" spans="1:4">
      <c r="A11087" s="691"/>
      <c r="D11087" s="3"/>
    </row>
    <row r="11088" spans="1:4">
      <c r="A11088" s="691"/>
      <c r="D11088" s="3"/>
    </row>
    <row r="11089" spans="1:4">
      <c r="A11089" s="691"/>
      <c r="D11089" s="3"/>
    </row>
    <row r="11090" spans="1:4">
      <c r="A11090" s="691"/>
      <c r="D11090" s="3"/>
    </row>
    <row r="11091" spans="1:4">
      <c r="A11091" s="691"/>
      <c r="D11091" s="3"/>
    </row>
    <row r="11092" spans="1:4">
      <c r="A11092" s="691"/>
      <c r="D11092" s="3"/>
    </row>
    <row r="11093" spans="1:4">
      <c r="A11093" s="691"/>
      <c r="D11093" s="3"/>
    </row>
    <row r="11094" spans="1:4">
      <c r="A11094" s="691"/>
      <c r="D11094" s="3"/>
    </row>
    <row r="11095" spans="1:4">
      <c r="A11095" s="691"/>
      <c r="D11095" s="3"/>
    </row>
    <row r="11096" spans="1:4">
      <c r="A11096" s="691"/>
      <c r="D11096" s="3"/>
    </row>
    <row r="11097" spans="1:4">
      <c r="A11097" s="691"/>
      <c r="D11097" s="3"/>
    </row>
    <row r="11098" spans="1:4">
      <c r="A11098" s="691"/>
      <c r="D11098" s="3"/>
    </row>
    <row r="11099" spans="1:4">
      <c r="A11099" s="691"/>
      <c r="D11099" s="3"/>
    </row>
    <row r="11100" spans="1:4">
      <c r="A11100" s="691"/>
      <c r="D11100" s="3"/>
    </row>
    <row r="11101" spans="1:4">
      <c r="A11101" s="691"/>
      <c r="D11101" s="3"/>
    </row>
    <row r="11102" spans="1:4">
      <c r="A11102" s="691"/>
      <c r="D11102" s="3"/>
    </row>
    <row r="11103" spans="1:4">
      <c r="A11103" s="691"/>
      <c r="D11103" s="3"/>
    </row>
    <row r="11104" spans="1:4">
      <c r="A11104" s="691"/>
      <c r="D11104" s="3"/>
    </row>
    <row r="11105" spans="1:4">
      <c r="A11105" s="691"/>
      <c r="D11105" s="3"/>
    </row>
    <row r="11106" spans="1:4">
      <c r="A11106" s="691"/>
      <c r="D11106" s="3"/>
    </row>
    <row r="11107" spans="1:4">
      <c r="A11107" s="691"/>
      <c r="D11107" s="3"/>
    </row>
    <row r="11108" spans="1:4">
      <c r="A11108" s="691"/>
      <c r="D11108" s="3"/>
    </row>
    <row r="11109" spans="1:4">
      <c r="A11109" s="691"/>
      <c r="D11109" s="3"/>
    </row>
    <row r="11110" spans="1:4">
      <c r="A11110" s="691"/>
      <c r="D11110" s="3"/>
    </row>
    <row r="11111" spans="1:4">
      <c r="A11111" s="691"/>
      <c r="D11111" s="3"/>
    </row>
    <row r="11112" spans="1:4">
      <c r="A11112" s="691"/>
      <c r="D11112" s="3"/>
    </row>
    <row r="11113" spans="1:4">
      <c r="A11113" s="691"/>
      <c r="D11113" s="3"/>
    </row>
    <row r="11114" spans="1:4">
      <c r="A11114" s="691"/>
      <c r="D11114" s="3"/>
    </row>
    <row r="11115" spans="1:4">
      <c r="A11115" s="691"/>
      <c r="D11115" s="3"/>
    </row>
    <row r="11116" spans="1:4">
      <c r="A11116" s="691"/>
      <c r="D11116" s="3"/>
    </row>
    <row r="11117" spans="1:4">
      <c r="A11117" s="691"/>
      <c r="D11117" s="3"/>
    </row>
    <row r="11118" spans="1:4">
      <c r="A11118" s="691"/>
      <c r="D11118" s="3"/>
    </row>
    <row r="11119" spans="1:4">
      <c r="A11119" s="691"/>
      <c r="D11119" s="3"/>
    </row>
    <row r="11120" spans="1:4">
      <c r="A11120" s="691"/>
      <c r="D11120" s="3"/>
    </row>
    <row r="11121" spans="1:4">
      <c r="A11121" s="691"/>
      <c r="D11121" s="3"/>
    </row>
    <row r="11122" spans="1:4">
      <c r="A11122" s="691"/>
      <c r="D11122" s="3"/>
    </row>
    <row r="11123" spans="1:4">
      <c r="A11123" s="691"/>
      <c r="D11123" s="3"/>
    </row>
    <row r="11124" spans="1:4">
      <c r="A11124" s="691"/>
      <c r="D11124" s="3"/>
    </row>
    <row r="11125" spans="1:4">
      <c r="A11125" s="691"/>
      <c r="D11125" s="3"/>
    </row>
    <row r="11126" spans="1:4">
      <c r="A11126" s="691"/>
      <c r="D11126" s="3"/>
    </row>
    <row r="11127" spans="1:4">
      <c r="A11127" s="691"/>
      <c r="D11127" s="3"/>
    </row>
    <row r="11128" spans="1:4">
      <c r="A11128" s="691"/>
      <c r="D11128" s="3"/>
    </row>
    <row r="11129" spans="1:4">
      <c r="A11129" s="691"/>
      <c r="D11129" s="3"/>
    </row>
    <row r="11130" spans="1:4">
      <c r="A11130" s="691"/>
      <c r="D11130" s="3"/>
    </row>
    <row r="11131" spans="1:4">
      <c r="A11131" s="691"/>
      <c r="D11131" s="3"/>
    </row>
    <row r="11132" spans="1:4">
      <c r="A11132" s="691"/>
      <c r="D11132" s="3"/>
    </row>
    <row r="11133" spans="1:4">
      <c r="A11133" s="691"/>
      <c r="D11133" s="3"/>
    </row>
    <row r="11134" spans="1:4">
      <c r="A11134" s="691"/>
      <c r="D11134" s="3"/>
    </row>
    <row r="11135" spans="1:4">
      <c r="A11135" s="691"/>
      <c r="D11135" s="3"/>
    </row>
    <row r="11136" spans="1:4">
      <c r="A11136" s="691"/>
      <c r="D11136" s="3"/>
    </row>
    <row r="11137" spans="1:4">
      <c r="A11137" s="691"/>
      <c r="D11137" s="3"/>
    </row>
    <row r="11138" spans="1:4">
      <c r="A11138" s="691"/>
      <c r="D11138" s="3"/>
    </row>
    <row r="11139" spans="1:4">
      <c r="A11139" s="691"/>
      <c r="D11139" s="3"/>
    </row>
    <row r="11140" spans="1:4">
      <c r="A11140" s="691"/>
      <c r="D11140" s="3"/>
    </row>
    <row r="11141" spans="1:4">
      <c r="A11141" s="691"/>
      <c r="D11141" s="3"/>
    </row>
    <row r="11142" spans="1:4">
      <c r="A11142" s="691"/>
      <c r="D11142" s="3"/>
    </row>
    <row r="11143" spans="1:4">
      <c r="A11143" s="691"/>
      <c r="D11143" s="3"/>
    </row>
    <row r="11144" spans="1:4">
      <c r="A11144" s="691"/>
      <c r="D11144" s="3"/>
    </row>
    <row r="11145" spans="1:4">
      <c r="A11145" s="691"/>
      <c r="D11145" s="3"/>
    </row>
    <row r="11146" spans="1:4">
      <c r="A11146" s="691"/>
      <c r="D11146" s="3"/>
    </row>
    <row r="11147" spans="1:4">
      <c r="A11147" s="691"/>
      <c r="D11147" s="3"/>
    </row>
    <row r="11148" spans="1:4">
      <c r="A11148" s="691"/>
      <c r="D11148" s="3"/>
    </row>
    <row r="11149" spans="1:4">
      <c r="A11149" s="691"/>
      <c r="D11149" s="3"/>
    </row>
    <row r="11150" spans="1:4">
      <c r="A11150" s="691"/>
      <c r="D11150" s="3"/>
    </row>
    <row r="11151" spans="1:4">
      <c r="A11151" s="691"/>
      <c r="D11151" s="3"/>
    </row>
    <row r="11152" spans="1:4">
      <c r="A11152" s="691"/>
      <c r="D11152" s="3"/>
    </row>
    <row r="11153" spans="1:4">
      <c r="A11153" s="691"/>
      <c r="D11153" s="3"/>
    </row>
    <row r="11154" spans="1:4">
      <c r="A11154" s="691"/>
      <c r="D11154" s="3"/>
    </row>
    <row r="11155" spans="1:4">
      <c r="A11155" s="691"/>
      <c r="D11155" s="3"/>
    </row>
    <row r="11156" spans="1:4">
      <c r="A11156" s="691"/>
      <c r="D11156" s="3"/>
    </row>
    <row r="11157" spans="1:4">
      <c r="A11157" s="691"/>
      <c r="D11157" s="3"/>
    </row>
    <row r="11158" spans="1:4">
      <c r="A11158" s="691"/>
      <c r="D11158" s="3"/>
    </row>
    <row r="11159" spans="1:4">
      <c r="A11159" s="691"/>
      <c r="D11159" s="3"/>
    </row>
    <row r="11160" spans="1:4">
      <c r="A11160" s="691"/>
      <c r="D11160" s="3"/>
    </row>
    <row r="11161" spans="1:4">
      <c r="A11161" s="691"/>
      <c r="D11161" s="3"/>
    </row>
    <row r="11162" spans="1:4">
      <c r="A11162" s="691"/>
      <c r="D11162" s="3"/>
    </row>
    <row r="11163" spans="1:4">
      <c r="A11163" s="691"/>
      <c r="D11163" s="3"/>
    </row>
    <row r="11164" spans="1:4">
      <c r="A11164" s="691"/>
      <c r="D11164" s="3"/>
    </row>
    <row r="11165" spans="1:4">
      <c r="A11165" s="691"/>
      <c r="D11165" s="3"/>
    </row>
    <row r="11166" spans="1:4">
      <c r="A11166" s="691"/>
      <c r="D11166" s="3"/>
    </row>
    <row r="11167" spans="1:4">
      <c r="A11167" s="691"/>
      <c r="D11167" s="3"/>
    </row>
    <row r="11168" spans="1:4">
      <c r="A11168" s="691"/>
      <c r="D11168" s="3"/>
    </row>
    <row r="11169" spans="1:4">
      <c r="A11169" s="691"/>
      <c r="D11169" s="3"/>
    </row>
    <row r="11170" spans="1:4">
      <c r="A11170" s="691"/>
      <c r="D11170" s="3"/>
    </row>
    <row r="11171" spans="1:4">
      <c r="A11171" s="691"/>
      <c r="D11171" s="3"/>
    </row>
    <row r="11172" spans="1:4">
      <c r="A11172" s="691"/>
      <c r="D11172" s="3"/>
    </row>
    <row r="11173" spans="1:4">
      <c r="A11173" s="691"/>
      <c r="D11173" s="3"/>
    </row>
    <row r="11174" spans="1:4">
      <c r="A11174" s="691"/>
      <c r="D11174" s="3"/>
    </row>
    <row r="11175" spans="1:4">
      <c r="A11175" s="691"/>
      <c r="D11175" s="3"/>
    </row>
    <row r="11176" spans="1:4">
      <c r="A11176" s="691"/>
      <c r="D11176" s="3"/>
    </row>
    <row r="11177" spans="1:4">
      <c r="A11177" s="691"/>
      <c r="D11177" s="3"/>
    </row>
    <row r="11178" spans="1:4">
      <c r="A11178" s="691"/>
      <c r="D11178" s="3"/>
    </row>
    <row r="11179" spans="1:4">
      <c r="A11179" s="691"/>
      <c r="D11179" s="3"/>
    </row>
    <row r="11180" spans="1:4">
      <c r="A11180" s="691"/>
      <c r="D11180" s="3"/>
    </row>
    <row r="11181" spans="1:4">
      <c r="A11181" s="691"/>
      <c r="D11181" s="3"/>
    </row>
    <row r="11182" spans="1:4">
      <c r="A11182" s="691"/>
      <c r="D11182" s="3"/>
    </row>
    <row r="11183" spans="1:4">
      <c r="A11183" s="691"/>
      <c r="D11183" s="3"/>
    </row>
    <row r="11184" spans="1:4">
      <c r="A11184" s="691"/>
      <c r="D11184" s="3"/>
    </row>
    <row r="11185" spans="1:4">
      <c r="A11185" s="691"/>
      <c r="D11185" s="3"/>
    </row>
    <row r="11186" spans="1:4">
      <c r="A11186" s="691"/>
      <c r="D11186" s="3"/>
    </row>
    <row r="11187" spans="1:4">
      <c r="A11187" s="691"/>
      <c r="D11187" s="3"/>
    </row>
    <row r="11188" spans="1:4">
      <c r="A11188" s="691"/>
      <c r="D11188" s="3"/>
    </row>
    <row r="11189" spans="1:4">
      <c r="A11189" s="691"/>
      <c r="D11189" s="3"/>
    </row>
    <row r="11190" spans="1:4">
      <c r="A11190" s="691"/>
      <c r="D11190" s="3"/>
    </row>
    <row r="11191" spans="1:4">
      <c r="A11191" s="691"/>
      <c r="D11191" s="3"/>
    </row>
    <row r="11192" spans="1:4">
      <c r="A11192" s="691"/>
      <c r="D11192" s="3"/>
    </row>
    <row r="11193" spans="1:4">
      <c r="A11193" s="691"/>
      <c r="D11193" s="3"/>
    </row>
    <row r="11194" spans="1:4">
      <c r="A11194" s="691"/>
      <c r="D11194" s="3"/>
    </row>
    <row r="11195" spans="1:4">
      <c r="A11195" s="691"/>
      <c r="D11195" s="3"/>
    </row>
    <row r="11196" spans="1:4">
      <c r="A11196" s="691"/>
      <c r="D11196" s="3"/>
    </row>
    <row r="11197" spans="1:4">
      <c r="A11197" s="691"/>
      <c r="D11197" s="3"/>
    </row>
    <row r="11198" spans="1:4">
      <c r="A11198" s="691"/>
      <c r="D11198" s="3"/>
    </row>
    <row r="11199" spans="1:4">
      <c r="A11199" s="691"/>
      <c r="D11199" s="3"/>
    </row>
    <row r="11200" spans="1:4">
      <c r="A11200" s="691"/>
      <c r="D11200" s="3"/>
    </row>
    <row r="11201" spans="1:4">
      <c r="A11201" s="691"/>
      <c r="D11201" s="3"/>
    </row>
    <row r="11202" spans="1:4">
      <c r="A11202" s="691"/>
      <c r="D11202" s="3"/>
    </row>
    <row r="11203" spans="1:4">
      <c r="A11203" s="691"/>
      <c r="D11203" s="3"/>
    </row>
    <row r="11204" spans="1:4">
      <c r="A11204" s="691"/>
      <c r="D11204" s="3"/>
    </row>
    <row r="11205" spans="1:4">
      <c r="A11205" s="691"/>
      <c r="D11205" s="3"/>
    </row>
    <row r="11206" spans="1:4">
      <c r="A11206" s="691"/>
      <c r="D11206" s="3"/>
    </row>
    <row r="11207" spans="1:4">
      <c r="A11207" s="691"/>
      <c r="D11207" s="3"/>
    </row>
    <row r="11208" spans="1:4">
      <c r="A11208" s="691"/>
      <c r="D11208" s="3"/>
    </row>
    <row r="11209" spans="1:4">
      <c r="A11209" s="691"/>
      <c r="D11209" s="3"/>
    </row>
    <row r="11210" spans="1:4">
      <c r="A11210" s="691"/>
      <c r="D11210" s="3"/>
    </row>
    <row r="11211" spans="1:4">
      <c r="A11211" s="691"/>
      <c r="D11211" s="3"/>
    </row>
    <row r="11212" spans="1:4">
      <c r="A11212" s="691"/>
      <c r="D11212" s="3"/>
    </row>
    <row r="11213" spans="1:4">
      <c r="A11213" s="691"/>
      <c r="D11213" s="3"/>
    </row>
    <row r="11214" spans="1:4">
      <c r="A11214" s="691"/>
      <c r="D11214" s="3"/>
    </row>
    <row r="11215" spans="1:4">
      <c r="A11215" s="691"/>
      <c r="D11215" s="3"/>
    </row>
    <row r="11216" spans="1:4">
      <c r="A11216" s="691"/>
      <c r="D11216" s="3"/>
    </row>
    <row r="11217" spans="1:4">
      <c r="A11217" s="691"/>
      <c r="D11217" s="3"/>
    </row>
    <row r="11218" spans="1:4">
      <c r="A11218" s="691"/>
      <c r="D11218" s="3"/>
    </row>
    <row r="11219" spans="1:4">
      <c r="A11219" s="691"/>
      <c r="D11219" s="3"/>
    </row>
    <row r="11220" spans="1:4">
      <c r="A11220" s="691"/>
      <c r="D11220" s="3"/>
    </row>
    <row r="11221" spans="1:4">
      <c r="A11221" s="691"/>
      <c r="D11221" s="3"/>
    </row>
    <row r="11222" spans="1:4">
      <c r="A11222" s="691"/>
      <c r="D11222" s="3"/>
    </row>
    <row r="11223" spans="1:4">
      <c r="A11223" s="691"/>
      <c r="D11223" s="3"/>
    </row>
    <row r="11224" spans="1:4">
      <c r="A11224" s="691"/>
      <c r="D11224" s="3"/>
    </row>
    <row r="11225" spans="1:4">
      <c r="A11225" s="691"/>
      <c r="D11225" s="3"/>
    </row>
    <row r="11226" spans="1:4">
      <c r="A11226" s="691"/>
      <c r="D11226" s="3"/>
    </row>
    <row r="11227" spans="1:4">
      <c r="A11227" s="691"/>
      <c r="D11227" s="3"/>
    </row>
    <row r="11228" spans="1:4">
      <c r="A11228" s="691"/>
      <c r="D11228" s="3"/>
    </row>
    <row r="11229" spans="1:4">
      <c r="A11229" s="691"/>
      <c r="D11229" s="3"/>
    </row>
    <row r="11230" spans="1:4">
      <c r="A11230" s="691"/>
      <c r="D11230" s="3"/>
    </row>
    <row r="11231" spans="1:4">
      <c r="A11231" s="691"/>
      <c r="D11231" s="3"/>
    </row>
    <row r="11232" spans="1:4">
      <c r="A11232" s="691"/>
      <c r="D11232" s="3"/>
    </row>
    <row r="11233" spans="1:4">
      <c r="A11233" s="691"/>
      <c r="D11233" s="3"/>
    </row>
    <row r="11234" spans="1:4">
      <c r="A11234" s="691"/>
      <c r="D11234" s="3"/>
    </row>
    <row r="11235" spans="1:4">
      <c r="A11235" s="691"/>
      <c r="D11235" s="3"/>
    </row>
    <row r="11236" spans="1:4">
      <c r="A11236" s="691"/>
      <c r="D11236" s="3"/>
    </row>
    <row r="11237" spans="1:4">
      <c r="A11237" s="691"/>
      <c r="D11237" s="3"/>
    </row>
    <row r="11238" spans="1:4">
      <c r="A11238" s="691"/>
      <c r="D11238" s="3"/>
    </row>
    <row r="11239" spans="1:4">
      <c r="A11239" s="691"/>
      <c r="D11239" s="3"/>
    </row>
    <row r="11240" spans="1:4">
      <c r="A11240" s="691"/>
      <c r="D11240" s="3"/>
    </row>
    <row r="11241" spans="1:4">
      <c r="A11241" s="691"/>
      <c r="D11241" s="3"/>
    </row>
    <row r="11242" spans="1:4">
      <c r="A11242" s="691"/>
      <c r="D11242" s="3"/>
    </row>
    <row r="11243" spans="1:4">
      <c r="A11243" s="691"/>
      <c r="D11243" s="3"/>
    </row>
    <row r="11244" spans="1:4">
      <c r="A11244" s="691"/>
      <c r="D11244" s="3"/>
    </row>
    <row r="11245" spans="1:4">
      <c r="A11245" s="691"/>
      <c r="D11245" s="3"/>
    </row>
    <row r="11246" spans="1:4">
      <c r="A11246" s="691"/>
      <c r="D11246" s="3"/>
    </row>
    <row r="11247" spans="1:4">
      <c r="A11247" s="691"/>
      <c r="D11247" s="3"/>
    </row>
    <row r="11248" spans="1:4">
      <c r="A11248" s="691"/>
      <c r="D11248" s="3"/>
    </row>
    <row r="11249" spans="1:4">
      <c r="A11249" s="691"/>
      <c r="D11249" s="3"/>
    </row>
    <row r="11250" spans="1:4">
      <c r="A11250" s="691"/>
      <c r="D11250" s="3"/>
    </row>
    <row r="11251" spans="1:4">
      <c r="A11251" s="691"/>
      <c r="D11251" s="3"/>
    </row>
    <row r="11252" spans="1:4">
      <c r="A11252" s="691"/>
      <c r="D11252" s="3"/>
    </row>
    <row r="11253" spans="1:4">
      <c r="A11253" s="691"/>
      <c r="D11253" s="3"/>
    </row>
    <row r="11254" spans="1:4">
      <c r="A11254" s="691"/>
      <c r="D11254" s="3"/>
    </row>
    <row r="11255" spans="1:4">
      <c r="A11255" s="691"/>
      <c r="D11255" s="3"/>
    </row>
    <row r="11256" spans="1:4">
      <c r="A11256" s="691"/>
      <c r="D11256" s="3"/>
    </row>
    <row r="11257" spans="1:4">
      <c r="A11257" s="691"/>
      <c r="D11257" s="3"/>
    </row>
    <row r="11258" spans="1:4">
      <c r="A11258" s="691"/>
      <c r="D11258" s="3"/>
    </row>
    <row r="11259" spans="1:4">
      <c r="A11259" s="691"/>
      <c r="D11259" s="3"/>
    </row>
    <row r="11260" spans="1:4">
      <c r="A11260" s="691"/>
      <c r="D11260" s="3"/>
    </row>
    <row r="11261" spans="1:4">
      <c r="A11261" s="691"/>
      <c r="D11261" s="3"/>
    </row>
    <row r="11262" spans="1:4">
      <c r="A11262" s="691"/>
      <c r="D11262" s="3"/>
    </row>
    <row r="11263" spans="1:4">
      <c r="A11263" s="691"/>
      <c r="D11263" s="3"/>
    </row>
    <row r="11264" spans="1:4">
      <c r="A11264" s="691"/>
      <c r="D11264" s="3"/>
    </row>
    <row r="11265" spans="1:4">
      <c r="A11265" s="691"/>
      <c r="D11265" s="3"/>
    </row>
    <row r="11266" spans="1:4">
      <c r="A11266" s="691"/>
      <c r="D11266" s="3"/>
    </row>
    <row r="11267" spans="1:4">
      <c r="A11267" s="691"/>
      <c r="D11267" s="3"/>
    </row>
    <row r="11268" spans="1:4">
      <c r="A11268" s="691"/>
      <c r="D11268" s="3"/>
    </row>
    <row r="11269" spans="1:4">
      <c r="A11269" s="691"/>
      <c r="D11269" s="3"/>
    </row>
    <row r="11270" spans="1:4">
      <c r="A11270" s="691"/>
      <c r="D11270" s="3"/>
    </row>
    <row r="11271" spans="1:4">
      <c r="A11271" s="691"/>
      <c r="D11271" s="3"/>
    </row>
    <row r="11272" spans="1:4">
      <c r="A11272" s="691"/>
      <c r="D11272" s="3"/>
    </row>
    <row r="11273" spans="1:4">
      <c r="A11273" s="691"/>
      <c r="D11273" s="3"/>
    </row>
    <row r="11274" spans="1:4">
      <c r="A11274" s="691"/>
      <c r="D11274" s="3"/>
    </row>
    <row r="11275" spans="1:4">
      <c r="A11275" s="691"/>
      <c r="D11275" s="3"/>
    </row>
    <row r="11276" spans="1:4">
      <c r="A11276" s="691"/>
      <c r="D11276" s="3"/>
    </row>
    <row r="11277" spans="1:4">
      <c r="A11277" s="691"/>
      <c r="D11277" s="3"/>
    </row>
    <row r="11278" spans="1:4">
      <c r="A11278" s="691"/>
      <c r="D11278" s="3"/>
    </row>
    <row r="11279" spans="1:4">
      <c r="A11279" s="691"/>
      <c r="D11279" s="3"/>
    </row>
    <row r="11280" spans="1:4">
      <c r="A11280" s="691"/>
      <c r="D11280" s="3"/>
    </row>
    <row r="11281" spans="1:4">
      <c r="A11281" s="691"/>
      <c r="D11281" s="3"/>
    </row>
    <row r="11282" spans="1:4">
      <c r="A11282" s="691"/>
      <c r="D11282" s="3"/>
    </row>
    <row r="11283" spans="1:4">
      <c r="A11283" s="691"/>
      <c r="D11283" s="3"/>
    </row>
    <row r="11284" spans="1:4">
      <c r="A11284" s="691"/>
      <c r="D11284" s="3"/>
    </row>
    <row r="11285" spans="1:4">
      <c r="A11285" s="691"/>
      <c r="D11285" s="3"/>
    </row>
    <row r="11286" spans="1:4">
      <c r="A11286" s="691"/>
      <c r="D11286" s="3"/>
    </row>
    <row r="11287" spans="1:4">
      <c r="A11287" s="691"/>
      <c r="D11287" s="3"/>
    </row>
    <row r="11288" spans="1:4">
      <c r="A11288" s="691"/>
      <c r="D11288" s="3"/>
    </row>
    <row r="11289" spans="1:4">
      <c r="A11289" s="691"/>
      <c r="D11289" s="3"/>
    </row>
    <row r="11290" spans="1:4">
      <c r="A11290" s="691"/>
      <c r="D11290" s="3"/>
    </row>
    <row r="11291" spans="1:4">
      <c r="A11291" s="691"/>
      <c r="D11291" s="3"/>
    </row>
    <row r="11292" spans="1:4">
      <c r="A11292" s="691"/>
      <c r="D11292" s="3"/>
    </row>
    <row r="11293" spans="1:4">
      <c r="A11293" s="691"/>
      <c r="D11293" s="3"/>
    </row>
    <row r="11294" spans="1:4">
      <c r="A11294" s="691"/>
      <c r="D11294" s="3"/>
    </row>
    <row r="11295" spans="1:4">
      <c r="A11295" s="691"/>
      <c r="D11295" s="3"/>
    </row>
    <row r="11296" spans="1:4">
      <c r="A11296" s="691"/>
      <c r="D11296" s="3"/>
    </row>
    <row r="11297" spans="1:4">
      <c r="A11297" s="691"/>
      <c r="D11297" s="3"/>
    </row>
    <row r="11298" spans="1:4">
      <c r="A11298" s="691"/>
      <c r="D11298" s="3"/>
    </row>
    <row r="11299" spans="1:4">
      <c r="A11299" s="691"/>
      <c r="D11299" s="3"/>
    </row>
    <row r="11300" spans="1:4">
      <c r="A11300" s="691"/>
      <c r="D11300" s="3"/>
    </row>
    <row r="11301" spans="1:4">
      <c r="A11301" s="691"/>
      <c r="D11301" s="3"/>
    </row>
    <row r="11302" spans="1:4">
      <c r="A11302" s="691"/>
      <c r="D11302" s="3"/>
    </row>
    <row r="11303" spans="1:4">
      <c r="A11303" s="691"/>
      <c r="D11303" s="3"/>
    </row>
    <row r="11304" spans="1:4">
      <c r="A11304" s="691"/>
      <c r="D11304" s="3"/>
    </row>
    <row r="11305" spans="1:4">
      <c r="A11305" s="691"/>
      <c r="D11305" s="3"/>
    </row>
    <row r="11306" spans="1:4">
      <c r="A11306" s="691"/>
      <c r="D11306" s="3"/>
    </row>
    <row r="11307" spans="1:4">
      <c r="A11307" s="691"/>
      <c r="D11307" s="3"/>
    </row>
    <row r="11308" spans="1:4">
      <c r="A11308" s="691"/>
      <c r="D11308" s="3"/>
    </row>
    <row r="11309" spans="1:4">
      <c r="A11309" s="691"/>
      <c r="D11309" s="3"/>
    </row>
    <row r="11310" spans="1:4">
      <c r="A11310" s="691"/>
      <c r="D11310" s="3"/>
    </row>
    <row r="11311" spans="1:4">
      <c r="A11311" s="691"/>
      <c r="D11311" s="3"/>
    </row>
    <row r="11312" spans="1:4">
      <c r="A11312" s="691"/>
      <c r="D11312" s="3"/>
    </row>
    <row r="11313" spans="1:4">
      <c r="A11313" s="691"/>
      <c r="D11313" s="3"/>
    </row>
    <row r="11314" spans="1:4">
      <c r="A11314" s="691"/>
      <c r="D11314" s="3"/>
    </row>
    <row r="11315" spans="1:4">
      <c r="A11315" s="691"/>
      <c r="D11315" s="3"/>
    </row>
    <row r="11316" spans="1:4">
      <c r="A11316" s="691"/>
      <c r="D11316" s="3"/>
    </row>
    <row r="11317" spans="1:4">
      <c r="A11317" s="691"/>
      <c r="D11317" s="3"/>
    </row>
    <row r="11318" spans="1:4">
      <c r="A11318" s="691"/>
      <c r="D11318" s="3"/>
    </row>
    <row r="11319" spans="1:4">
      <c r="A11319" s="691"/>
      <c r="D11319" s="3"/>
    </row>
    <row r="11320" spans="1:4">
      <c r="A11320" s="691"/>
      <c r="D11320" s="3"/>
    </row>
    <row r="11321" spans="1:4">
      <c r="A11321" s="691"/>
      <c r="D11321" s="3"/>
    </row>
    <row r="11322" spans="1:4">
      <c r="A11322" s="691"/>
      <c r="D11322" s="3"/>
    </row>
    <row r="11323" spans="1:4">
      <c r="A11323" s="691"/>
      <c r="D11323" s="3"/>
    </row>
    <row r="11324" spans="1:4">
      <c r="A11324" s="691"/>
      <c r="D11324" s="3"/>
    </row>
    <row r="11325" spans="1:4">
      <c r="A11325" s="691"/>
      <c r="D11325" s="3"/>
    </row>
    <row r="11326" spans="1:4">
      <c r="A11326" s="691"/>
      <c r="D11326" s="3"/>
    </row>
    <row r="11327" spans="1:4">
      <c r="A11327" s="691"/>
      <c r="D11327" s="3"/>
    </row>
    <row r="11328" spans="1:4">
      <c r="A11328" s="691"/>
      <c r="D11328" s="3"/>
    </row>
    <row r="11329" spans="1:4">
      <c r="A11329" s="691"/>
      <c r="D11329" s="3"/>
    </row>
    <row r="11330" spans="1:4">
      <c r="A11330" s="691"/>
      <c r="D11330" s="3"/>
    </row>
    <row r="11331" spans="1:4">
      <c r="A11331" s="691"/>
      <c r="D11331" s="3"/>
    </row>
    <row r="11332" spans="1:4">
      <c r="A11332" s="691"/>
      <c r="D11332" s="3"/>
    </row>
    <row r="11333" spans="1:4">
      <c r="A11333" s="691"/>
      <c r="D11333" s="3"/>
    </row>
    <row r="11334" spans="1:4">
      <c r="A11334" s="691"/>
      <c r="D11334" s="3"/>
    </row>
    <row r="11335" spans="1:4">
      <c r="A11335" s="691"/>
      <c r="D11335" s="3"/>
    </row>
    <row r="11336" spans="1:4">
      <c r="A11336" s="691"/>
      <c r="D11336" s="3"/>
    </row>
    <row r="11337" spans="1:4">
      <c r="A11337" s="691"/>
      <c r="D11337" s="3"/>
    </row>
    <row r="11338" spans="1:4">
      <c r="A11338" s="691"/>
      <c r="D11338" s="3"/>
    </row>
    <row r="11339" spans="1:4">
      <c r="A11339" s="691"/>
      <c r="D11339" s="3"/>
    </row>
    <row r="11340" spans="1:4">
      <c r="A11340" s="691"/>
      <c r="D11340" s="3"/>
    </row>
    <row r="11341" spans="1:4">
      <c r="A11341" s="691"/>
      <c r="D11341" s="3"/>
    </row>
    <row r="11342" spans="1:4">
      <c r="A11342" s="691"/>
      <c r="D11342" s="3"/>
    </row>
    <row r="11343" spans="1:4">
      <c r="A11343" s="691"/>
      <c r="D11343" s="3"/>
    </row>
    <row r="11344" spans="1:4">
      <c r="A11344" s="691"/>
      <c r="D11344" s="3"/>
    </row>
    <row r="11345" spans="1:4">
      <c r="A11345" s="691"/>
      <c r="D11345" s="3"/>
    </row>
    <row r="11346" spans="1:4">
      <c r="A11346" s="691"/>
      <c r="D11346" s="3"/>
    </row>
    <row r="11347" spans="1:4">
      <c r="A11347" s="691"/>
      <c r="D11347" s="3"/>
    </row>
    <row r="11348" spans="1:4">
      <c r="A11348" s="691"/>
      <c r="D11348" s="3"/>
    </row>
    <row r="11349" spans="1:4">
      <c r="A11349" s="691"/>
      <c r="D11349" s="3"/>
    </row>
    <row r="11350" spans="1:4">
      <c r="A11350" s="691"/>
      <c r="D11350" s="3"/>
    </row>
    <row r="11351" spans="1:4">
      <c r="A11351" s="691"/>
      <c r="D11351" s="3"/>
    </row>
    <row r="11352" spans="1:4">
      <c r="A11352" s="691"/>
      <c r="D11352" s="3"/>
    </row>
    <row r="11353" spans="1:4">
      <c r="A11353" s="691"/>
      <c r="D11353" s="3"/>
    </row>
    <row r="11354" spans="1:4">
      <c r="A11354" s="691"/>
      <c r="D11354" s="3"/>
    </row>
    <row r="11355" spans="1:4">
      <c r="A11355" s="691"/>
      <c r="D11355" s="3"/>
    </row>
    <row r="11356" spans="1:4">
      <c r="A11356" s="691"/>
      <c r="D11356" s="3"/>
    </row>
    <row r="11357" spans="1:4">
      <c r="A11357" s="691"/>
      <c r="D11357" s="3"/>
    </row>
    <row r="11358" spans="1:4">
      <c r="A11358" s="691"/>
      <c r="D11358" s="3"/>
    </row>
    <row r="11359" spans="1:4">
      <c r="A11359" s="691"/>
      <c r="D11359" s="3"/>
    </row>
    <row r="11360" spans="1:4">
      <c r="A11360" s="691"/>
      <c r="D11360" s="3"/>
    </row>
    <row r="11361" spans="1:4">
      <c r="A11361" s="691"/>
      <c r="D11361" s="3"/>
    </row>
    <row r="11362" spans="1:4">
      <c r="A11362" s="691"/>
      <c r="D11362" s="3"/>
    </row>
    <row r="11363" spans="1:4">
      <c r="A11363" s="691"/>
      <c r="D11363" s="3"/>
    </row>
    <row r="11364" spans="1:4">
      <c r="A11364" s="691"/>
      <c r="D11364" s="3"/>
    </row>
    <row r="11365" spans="1:4">
      <c r="A11365" s="691"/>
      <c r="D11365" s="3"/>
    </row>
    <row r="11366" spans="1:4">
      <c r="A11366" s="691"/>
      <c r="D11366" s="3"/>
    </row>
    <row r="11367" spans="1:4">
      <c r="A11367" s="691"/>
      <c r="D11367" s="3"/>
    </row>
    <row r="11368" spans="1:4">
      <c r="A11368" s="691"/>
      <c r="D11368" s="3"/>
    </row>
    <row r="11369" spans="1:4">
      <c r="A11369" s="691"/>
      <c r="D11369" s="3"/>
    </row>
    <row r="11370" spans="1:4">
      <c r="A11370" s="691"/>
      <c r="D11370" s="3"/>
    </row>
    <row r="11371" spans="1:4">
      <c r="A11371" s="691"/>
      <c r="D11371" s="3"/>
    </row>
    <row r="11372" spans="1:4">
      <c r="A11372" s="691"/>
      <c r="D11372" s="3"/>
    </row>
    <row r="11373" spans="1:4">
      <c r="A11373" s="691"/>
      <c r="D11373" s="3"/>
    </row>
    <row r="11374" spans="1:4">
      <c r="A11374" s="691"/>
      <c r="D11374" s="3"/>
    </row>
    <row r="11375" spans="1:4">
      <c r="A11375" s="691"/>
      <c r="D11375" s="3"/>
    </row>
    <row r="11376" spans="1:4">
      <c r="A11376" s="691"/>
      <c r="D11376" s="3"/>
    </row>
    <row r="11377" spans="1:4">
      <c r="A11377" s="691"/>
      <c r="D11377" s="3"/>
    </row>
    <row r="11378" spans="1:4">
      <c r="A11378" s="691"/>
      <c r="D11378" s="3"/>
    </row>
    <row r="11379" spans="1:4">
      <c r="A11379" s="691"/>
      <c r="D11379" s="3"/>
    </row>
    <row r="11380" spans="1:4">
      <c r="A11380" s="691"/>
      <c r="D11380" s="3"/>
    </row>
    <row r="11381" spans="1:4">
      <c r="A11381" s="691"/>
      <c r="D11381" s="3"/>
    </row>
    <row r="11382" spans="1:4">
      <c r="A11382" s="691"/>
      <c r="D11382" s="3"/>
    </row>
    <row r="11383" spans="1:4">
      <c r="A11383" s="691"/>
      <c r="D11383" s="3"/>
    </row>
    <row r="11384" spans="1:4">
      <c r="A11384" s="691"/>
      <c r="D11384" s="3"/>
    </row>
    <row r="11385" spans="1:4">
      <c r="A11385" s="691"/>
      <c r="D11385" s="3"/>
    </row>
    <row r="11386" spans="1:4">
      <c r="A11386" s="691"/>
      <c r="D11386" s="3"/>
    </row>
    <row r="11387" spans="1:4">
      <c r="A11387" s="691"/>
      <c r="D11387" s="3"/>
    </row>
    <row r="11388" spans="1:4">
      <c r="A11388" s="691"/>
      <c r="D11388" s="3"/>
    </row>
    <row r="11389" spans="1:4">
      <c r="A11389" s="691"/>
      <c r="D11389" s="3"/>
    </row>
    <row r="11390" spans="1:4">
      <c r="A11390" s="691"/>
      <c r="D11390" s="3"/>
    </row>
    <row r="11391" spans="1:4">
      <c r="A11391" s="691"/>
      <c r="D11391" s="3"/>
    </row>
    <row r="11392" spans="1:4">
      <c r="A11392" s="691"/>
      <c r="D11392" s="3"/>
    </row>
    <row r="11393" spans="1:4">
      <c r="A11393" s="691"/>
      <c r="D11393" s="3"/>
    </row>
    <row r="11394" spans="1:4">
      <c r="A11394" s="691"/>
      <c r="D11394" s="3"/>
    </row>
    <row r="11395" spans="1:4">
      <c r="A11395" s="691"/>
      <c r="D11395" s="3"/>
    </row>
    <row r="11396" spans="1:4">
      <c r="A11396" s="691"/>
      <c r="D11396" s="3"/>
    </row>
    <row r="11397" spans="1:4">
      <c r="A11397" s="691"/>
      <c r="D11397" s="3"/>
    </row>
    <row r="11398" spans="1:4">
      <c r="A11398" s="691"/>
      <c r="D11398" s="3"/>
    </row>
    <row r="11399" spans="1:4">
      <c r="A11399" s="691"/>
      <c r="D11399" s="3"/>
    </row>
    <row r="11400" spans="1:4">
      <c r="A11400" s="691"/>
      <c r="D11400" s="3"/>
    </row>
    <row r="11401" spans="1:4">
      <c r="A11401" s="691"/>
      <c r="D11401" s="3"/>
    </row>
    <row r="11402" spans="1:4">
      <c r="A11402" s="691"/>
      <c r="D11402" s="3"/>
    </row>
    <row r="11403" spans="1:4">
      <c r="A11403" s="691"/>
      <c r="D11403" s="3"/>
    </row>
    <row r="11404" spans="1:4">
      <c r="A11404" s="691"/>
      <c r="D11404" s="3"/>
    </row>
    <row r="11405" spans="1:4">
      <c r="A11405" s="691"/>
      <c r="D11405" s="3"/>
    </row>
    <row r="11406" spans="1:4">
      <c r="A11406" s="691"/>
      <c r="D11406" s="3"/>
    </row>
    <row r="11407" spans="1:4">
      <c r="A11407" s="691"/>
      <c r="D11407" s="3"/>
    </row>
    <row r="11408" spans="1:4">
      <c r="A11408" s="691"/>
      <c r="D11408" s="3"/>
    </row>
    <row r="11409" spans="1:4">
      <c r="A11409" s="691"/>
      <c r="D11409" s="3"/>
    </row>
    <row r="11410" spans="1:4">
      <c r="A11410" s="691"/>
      <c r="D11410" s="3"/>
    </row>
    <row r="11411" spans="1:4">
      <c r="A11411" s="691"/>
      <c r="D11411" s="3"/>
    </row>
    <row r="11412" spans="1:4">
      <c r="A11412" s="691"/>
      <c r="D11412" s="3"/>
    </row>
    <row r="11413" spans="1:4">
      <c r="A11413" s="691"/>
      <c r="D11413" s="3"/>
    </row>
    <row r="11414" spans="1:4">
      <c r="A11414" s="691"/>
      <c r="D11414" s="3"/>
    </row>
    <row r="11415" spans="1:4">
      <c r="A11415" s="691"/>
      <c r="D11415" s="3"/>
    </row>
    <row r="11416" spans="1:4">
      <c r="A11416" s="691"/>
      <c r="D11416" s="3"/>
    </row>
    <row r="11417" spans="1:4">
      <c r="A11417" s="691"/>
      <c r="D11417" s="3"/>
    </row>
    <row r="11418" spans="1:4">
      <c r="A11418" s="691"/>
      <c r="D11418" s="3"/>
    </row>
    <row r="11419" spans="1:4">
      <c r="A11419" s="691"/>
      <c r="D11419" s="3"/>
    </row>
    <row r="11420" spans="1:4">
      <c r="A11420" s="691"/>
      <c r="D11420" s="3"/>
    </row>
    <row r="11421" spans="1:4">
      <c r="A11421" s="691"/>
      <c r="D11421" s="3"/>
    </row>
    <row r="11422" spans="1:4">
      <c r="A11422" s="691"/>
      <c r="D11422" s="3"/>
    </row>
    <row r="11423" spans="1:4">
      <c r="A11423" s="691"/>
      <c r="D11423" s="3"/>
    </row>
    <row r="11424" spans="1:4">
      <c r="A11424" s="691"/>
      <c r="D11424" s="3"/>
    </row>
    <row r="11425" spans="1:4">
      <c r="A11425" s="691"/>
      <c r="D11425" s="3"/>
    </row>
    <row r="11426" spans="1:4">
      <c r="A11426" s="691"/>
      <c r="D11426" s="3"/>
    </row>
    <row r="11427" spans="1:4">
      <c r="A11427" s="691"/>
      <c r="D11427" s="3"/>
    </row>
    <row r="11428" spans="1:4">
      <c r="A11428" s="691"/>
      <c r="D11428" s="3"/>
    </row>
    <row r="11429" spans="1:4">
      <c r="A11429" s="691"/>
      <c r="D11429" s="3"/>
    </row>
    <row r="11430" spans="1:4">
      <c r="A11430" s="691"/>
      <c r="D11430" s="3"/>
    </row>
    <row r="11431" spans="1:4">
      <c r="A11431" s="691"/>
      <c r="D11431" s="3"/>
    </row>
    <row r="11432" spans="1:4">
      <c r="A11432" s="691"/>
      <c r="D11432" s="3"/>
    </row>
    <row r="11433" spans="1:4">
      <c r="A11433" s="691"/>
      <c r="D11433" s="3"/>
    </row>
    <row r="11434" spans="1:4">
      <c r="A11434" s="691"/>
      <c r="D11434" s="3"/>
    </row>
    <row r="11435" spans="1:4">
      <c r="A11435" s="691"/>
      <c r="D11435" s="3"/>
    </row>
    <row r="11436" spans="1:4">
      <c r="A11436" s="691"/>
      <c r="D11436" s="3"/>
    </row>
    <row r="11437" spans="1:4">
      <c r="A11437" s="691"/>
      <c r="D11437" s="3"/>
    </row>
    <row r="11438" spans="1:4">
      <c r="A11438" s="691"/>
      <c r="D11438" s="3"/>
    </row>
    <row r="11439" spans="1:4">
      <c r="A11439" s="691"/>
      <c r="D11439" s="3"/>
    </row>
    <row r="11440" spans="1:4">
      <c r="A11440" s="691"/>
      <c r="D11440" s="3"/>
    </row>
    <row r="11441" spans="1:4">
      <c r="A11441" s="691"/>
      <c r="D11441" s="3"/>
    </row>
    <row r="11442" spans="1:4">
      <c r="A11442" s="691"/>
      <c r="D11442" s="3"/>
    </row>
    <row r="11443" spans="1:4">
      <c r="A11443" s="691"/>
      <c r="D11443" s="3"/>
    </row>
    <row r="11444" spans="1:4">
      <c r="A11444" s="691"/>
      <c r="D11444" s="3"/>
    </row>
    <row r="11445" spans="1:4">
      <c r="A11445" s="691"/>
      <c r="D11445" s="3"/>
    </row>
    <row r="11446" spans="1:4">
      <c r="A11446" s="691"/>
      <c r="D11446" s="3"/>
    </row>
    <row r="11447" spans="1:4">
      <c r="A11447" s="691"/>
      <c r="D11447" s="3"/>
    </row>
    <row r="11448" spans="1:4">
      <c r="A11448" s="691"/>
      <c r="D11448" s="3"/>
    </row>
    <row r="11449" spans="1:4">
      <c r="A11449" s="691"/>
      <c r="D11449" s="3"/>
    </row>
    <row r="11450" spans="1:4">
      <c r="A11450" s="691"/>
      <c r="D11450" s="3"/>
    </row>
    <row r="11451" spans="1:4">
      <c r="A11451" s="691"/>
      <c r="D11451" s="3"/>
    </row>
    <row r="11452" spans="1:4">
      <c r="A11452" s="691"/>
      <c r="D11452" s="3"/>
    </row>
    <row r="11453" spans="1:4">
      <c r="A11453" s="691"/>
      <c r="D11453" s="3"/>
    </row>
    <row r="11454" spans="1:4">
      <c r="A11454" s="691"/>
      <c r="D11454" s="3"/>
    </row>
    <row r="11455" spans="1:4">
      <c r="A11455" s="691"/>
      <c r="D11455" s="3"/>
    </row>
    <row r="11456" spans="1:4">
      <c r="A11456" s="691"/>
      <c r="D11456" s="3"/>
    </row>
    <row r="11457" spans="1:4">
      <c r="A11457" s="691"/>
      <c r="D11457" s="3"/>
    </row>
    <row r="11458" spans="1:4">
      <c r="A11458" s="691"/>
      <c r="D11458" s="3"/>
    </row>
    <row r="11459" spans="1:4">
      <c r="A11459" s="691"/>
      <c r="D11459" s="3"/>
    </row>
    <row r="11460" spans="1:4">
      <c r="A11460" s="691"/>
      <c r="D11460" s="3"/>
    </row>
    <row r="11461" spans="1:4">
      <c r="A11461" s="691"/>
      <c r="D11461" s="3"/>
    </row>
    <row r="11462" spans="1:4">
      <c r="A11462" s="691"/>
      <c r="D11462" s="3"/>
    </row>
    <row r="11463" spans="1:4">
      <c r="A11463" s="691"/>
      <c r="D11463" s="3"/>
    </row>
    <row r="11464" spans="1:4">
      <c r="A11464" s="691"/>
      <c r="D11464" s="3"/>
    </row>
    <row r="11465" spans="1:4">
      <c r="A11465" s="691"/>
      <c r="D11465" s="3"/>
    </row>
    <row r="11466" spans="1:4">
      <c r="A11466" s="691"/>
      <c r="D11466" s="3"/>
    </row>
    <row r="11467" spans="1:4">
      <c r="A11467" s="691"/>
      <c r="D11467" s="3"/>
    </row>
    <row r="11468" spans="1:4">
      <c r="A11468" s="691"/>
      <c r="D11468" s="3"/>
    </row>
    <row r="11469" spans="1:4">
      <c r="A11469" s="691"/>
      <c r="D11469" s="3"/>
    </row>
    <row r="11470" spans="1:4">
      <c r="A11470" s="691"/>
      <c r="D11470" s="3"/>
    </row>
    <row r="11471" spans="1:4">
      <c r="A11471" s="691"/>
      <c r="D11471" s="3"/>
    </row>
    <row r="11472" spans="1:4">
      <c r="A11472" s="691"/>
      <c r="D11472" s="3"/>
    </row>
    <row r="11473" spans="1:4">
      <c r="A11473" s="691"/>
      <c r="D11473" s="3"/>
    </row>
    <row r="11474" spans="1:4">
      <c r="A11474" s="691"/>
      <c r="D11474" s="3"/>
    </row>
    <row r="11475" spans="1:4">
      <c r="A11475" s="691"/>
      <c r="D11475" s="3"/>
    </row>
    <row r="11476" spans="1:4">
      <c r="A11476" s="691"/>
      <c r="D11476" s="3"/>
    </row>
    <row r="11477" spans="1:4">
      <c r="A11477" s="691"/>
      <c r="D11477" s="3"/>
    </row>
    <row r="11478" spans="1:4">
      <c r="A11478" s="691"/>
      <c r="D11478" s="3"/>
    </row>
    <row r="11479" spans="1:4">
      <c r="A11479" s="691"/>
      <c r="D11479" s="3"/>
    </row>
    <row r="11480" spans="1:4">
      <c r="A11480" s="691"/>
      <c r="D11480" s="3"/>
    </row>
    <row r="11481" spans="1:4">
      <c r="A11481" s="691"/>
      <c r="D11481" s="3"/>
    </row>
    <row r="11482" spans="1:4">
      <c r="A11482" s="691"/>
      <c r="D11482" s="3"/>
    </row>
    <row r="11483" spans="1:4">
      <c r="A11483" s="691"/>
      <c r="D11483" s="3"/>
    </row>
    <row r="11484" spans="1:4">
      <c r="A11484" s="691"/>
      <c r="D11484" s="3"/>
    </row>
    <row r="11485" spans="1:4">
      <c r="A11485" s="691"/>
      <c r="D11485" s="3"/>
    </row>
    <row r="11486" spans="1:4">
      <c r="A11486" s="691"/>
      <c r="D11486" s="3"/>
    </row>
    <row r="11487" spans="1:4">
      <c r="A11487" s="691"/>
      <c r="D11487" s="3"/>
    </row>
    <row r="11488" spans="1:4">
      <c r="A11488" s="691"/>
      <c r="D11488" s="3"/>
    </row>
    <row r="11489" spans="1:4">
      <c r="A11489" s="691"/>
      <c r="D11489" s="3"/>
    </row>
    <row r="11490" spans="1:4">
      <c r="A11490" s="691"/>
      <c r="D11490" s="3"/>
    </row>
    <row r="11491" spans="1:4">
      <c r="A11491" s="691"/>
      <c r="D11491" s="3"/>
    </row>
    <row r="11492" spans="1:4">
      <c r="A11492" s="691"/>
      <c r="D11492" s="3"/>
    </row>
    <row r="11493" spans="1:4">
      <c r="A11493" s="691"/>
      <c r="D11493" s="3"/>
    </row>
    <row r="11494" spans="1:4">
      <c r="A11494" s="691"/>
      <c r="D11494" s="3"/>
    </row>
    <row r="11495" spans="1:4">
      <c r="A11495" s="691"/>
      <c r="D11495" s="3"/>
    </row>
    <row r="11496" spans="1:4">
      <c r="A11496" s="691"/>
      <c r="D11496" s="3"/>
    </row>
    <row r="11497" spans="1:4">
      <c r="A11497" s="691"/>
      <c r="D11497" s="3"/>
    </row>
    <row r="11498" spans="1:4">
      <c r="A11498" s="691"/>
      <c r="D11498" s="3"/>
    </row>
    <row r="11499" spans="1:4">
      <c r="A11499" s="691"/>
      <c r="D11499" s="3"/>
    </row>
    <row r="11500" spans="1:4">
      <c r="A11500" s="691"/>
      <c r="D11500" s="3"/>
    </row>
    <row r="11501" spans="1:4">
      <c r="A11501" s="691"/>
      <c r="D11501" s="3"/>
    </row>
    <row r="11502" spans="1:4">
      <c r="A11502" s="691"/>
      <c r="D11502" s="3"/>
    </row>
    <row r="11503" spans="1:4">
      <c r="A11503" s="691"/>
      <c r="D11503" s="3"/>
    </row>
    <row r="11504" spans="1:4">
      <c r="A11504" s="691"/>
      <c r="D11504" s="3"/>
    </row>
    <row r="11505" spans="1:4">
      <c r="A11505" s="691"/>
      <c r="D11505" s="3"/>
    </row>
    <row r="11506" spans="1:4">
      <c r="A11506" s="691"/>
      <c r="D11506" s="3"/>
    </row>
    <row r="11507" spans="1:4">
      <c r="A11507" s="691"/>
      <c r="D11507" s="3"/>
    </row>
    <row r="11508" spans="1:4">
      <c r="A11508" s="691"/>
      <c r="D11508" s="3"/>
    </row>
    <row r="11509" spans="1:4">
      <c r="A11509" s="691"/>
      <c r="D11509" s="3"/>
    </row>
    <row r="11510" spans="1:4">
      <c r="A11510" s="691"/>
      <c r="D11510" s="3"/>
    </row>
    <row r="11511" spans="1:4">
      <c r="A11511" s="691"/>
      <c r="D11511" s="3"/>
    </row>
    <row r="11512" spans="1:4">
      <c r="A11512" s="691"/>
      <c r="D11512" s="3"/>
    </row>
    <row r="11513" spans="1:4">
      <c r="A11513" s="691"/>
      <c r="D11513" s="3"/>
    </row>
    <row r="11514" spans="1:4">
      <c r="A11514" s="691"/>
      <c r="D11514" s="3"/>
    </row>
    <row r="11515" spans="1:4">
      <c r="A11515" s="691"/>
      <c r="D11515" s="3"/>
    </row>
    <row r="11516" spans="1:4">
      <c r="A11516" s="691"/>
      <c r="D11516" s="3"/>
    </row>
    <row r="11517" spans="1:4">
      <c r="A11517" s="691"/>
      <c r="D11517" s="3"/>
    </row>
    <row r="11518" spans="1:4">
      <c r="A11518" s="691"/>
      <c r="D11518" s="3"/>
    </row>
    <row r="11519" spans="1:4">
      <c r="A11519" s="691"/>
      <c r="D11519" s="3"/>
    </row>
    <row r="11520" spans="1:4">
      <c r="A11520" s="691"/>
      <c r="D11520" s="3"/>
    </row>
    <row r="11521" spans="1:4">
      <c r="A11521" s="691"/>
      <c r="D11521" s="3"/>
    </row>
    <row r="11522" spans="1:4">
      <c r="A11522" s="691"/>
      <c r="D11522" s="3"/>
    </row>
    <row r="11523" spans="1:4">
      <c r="A11523" s="691"/>
      <c r="D11523" s="3"/>
    </row>
    <row r="11524" spans="1:4">
      <c r="A11524" s="691"/>
      <c r="D11524" s="3"/>
    </row>
    <row r="11525" spans="1:4">
      <c r="A11525" s="691"/>
      <c r="D11525" s="3"/>
    </row>
    <row r="11526" spans="1:4">
      <c r="A11526" s="691"/>
      <c r="D11526" s="3"/>
    </row>
    <row r="11527" spans="1:4">
      <c r="A11527" s="691"/>
      <c r="D11527" s="3"/>
    </row>
    <row r="11528" spans="1:4">
      <c r="A11528" s="691"/>
      <c r="D11528" s="3"/>
    </row>
    <row r="11529" spans="1:4">
      <c r="A11529" s="691"/>
      <c r="D11529" s="3"/>
    </row>
    <row r="11530" spans="1:4">
      <c r="A11530" s="691"/>
      <c r="D11530" s="3"/>
    </row>
    <row r="11531" spans="1:4">
      <c r="A11531" s="691"/>
      <c r="D11531" s="3"/>
    </row>
    <row r="11532" spans="1:4">
      <c r="A11532" s="691"/>
      <c r="D11532" s="3"/>
    </row>
    <row r="11533" spans="1:4">
      <c r="A11533" s="691"/>
      <c r="D11533" s="3"/>
    </row>
    <row r="11534" spans="1:4">
      <c r="A11534" s="691"/>
      <c r="D11534" s="3"/>
    </row>
    <row r="11535" spans="1:4">
      <c r="A11535" s="691"/>
      <c r="D11535" s="3"/>
    </row>
    <row r="11536" spans="1:4">
      <c r="A11536" s="691"/>
      <c r="D11536" s="3"/>
    </row>
    <row r="11537" spans="1:4">
      <c r="A11537" s="691"/>
      <c r="D11537" s="3"/>
    </row>
    <row r="11538" spans="1:4">
      <c r="A11538" s="691"/>
      <c r="D11538" s="3"/>
    </row>
    <row r="11539" spans="1:4">
      <c r="A11539" s="691"/>
      <c r="D11539" s="3"/>
    </row>
    <row r="11540" spans="1:4">
      <c r="A11540" s="691"/>
      <c r="D11540" s="3"/>
    </row>
    <row r="11541" spans="1:4">
      <c r="A11541" s="691"/>
      <c r="D11541" s="3"/>
    </row>
    <row r="11542" spans="1:4">
      <c r="A11542" s="691"/>
      <c r="D11542" s="3"/>
    </row>
    <row r="11543" spans="1:4">
      <c r="A11543" s="691"/>
      <c r="D11543" s="3"/>
    </row>
    <row r="11544" spans="1:4">
      <c r="A11544" s="691"/>
      <c r="D11544" s="3"/>
    </row>
    <row r="11545" spans="1:4">
      <c r="A11545" s="691"/>
      <c r="D11545" s="3"/>
    </row>
    <row r="11546" spans="1:4">
      <c r="A11546" s="691"/>
      <c r="D11546" s="3"/>
    </row>
    <row r="11547" spans="1:4">
      <c r="A11547" s="691"/>
      <c r="D11547" s="3"/>
    </row>
    <row r="11548" spans="1:4">
      <c r="A11548" s="691"/>
      <c r="D11548" s="3"/>
    </row>
    <row r="11549" spans="1:4">
      <c r="A11549" s="691"/>
      <c r="D11549" s="3"/>
    </row>
    <row r="11550" spans="1:4">
      <c r="A11550" s="691"/>
      <c r="D11550" s="3"/>
    </row>
    <row r="11551" spans="1:4">
      <c r="A11551" s="691"/>
      <c r="D11551" s="3"/>
    </row>
    <row r="11552" spans="1:4">
      <c r="A11552" s="691"/>
      <c r="D11552" s="3"/>
    </row>
    <row r="11553" spans="1:4">
      <c r="A11553" s="691"/>
      <c r="D11553" s="3"/>
    </row>
    <row r="11554" spans="1:4">
      <c r="A11554" s="691"/>
      <c r="D11554" s="3"/>
    </row>
    <row r="11555" spans="1:4">
      <c r="A11555" s="691"/>
      <c r="D11555" s="3"/>
    </row>
    <row r="11556" spans="1:4">
      <c r="A11556" s="691"/>
      <c r="D11556" s="3"/>
    </row>
    <row r="11557" spans="1:4">
      <c r="A11557" s="691"/>
      <c r="D11557" s="3"/>
    </row>
    <row r="11558" spans="1:4">
      <c r="A11558" s="691"/>
      <c r="D11558" s="3"/>
    </row>
    <row r="11559" spans="1:4">
      <c r="A11559" s="691"/>
      <c r="D11559" s="3"/>
    </row>
    <row r="11560" spans="1:4">
      <c r="A11560" s="691"/>
      <c r="D11560" s="3"/>
    </row>
    <row r="11561" spans="1:4">
      <c r="A11561" s="691"/>
      <c r="D11561" s="3"/>
    </row>
    <row r="11562" spans="1:4">
      <c r="A11562" s="691"/>
      <c r="D11562" s="3"/>
    </row>
    <row r="11563" spans="1:4">
      <c r="A11563" s="691"/>
      <c r="D11563" s="3"/>
    </row>
    <row r="11564" spans="1:4">
      <c r="A11564" s="691"/>
      <c r="D11564" s="3"/>
    </row>
    <row r="11565" spans="1:4">
      <c r="A11565" s="691"/>
      <c r="D11565" s="3"/>
    </row>
    <row r="11566" spans="1:4">
      <c r="A11566" s="691"/>
      <c r="D11566" s="3"/>
    </row>
    <row r="11567" spans="1:4">
      <c r="A11567" s="691"/>
      <c r="D11567" s="3"/>
    </row>
    <row r="11568" spans="1:4">
      <c r="A11568" s="691"/>
      <c r="D11568" s="3"/>
    </row>
    <row r="11569" spans="1:4">
      <c r="A11569" s="691"/>
      <c r="D11569" s="3"/>
    </row>
    <row r="11570" spans="1:4">
      <c r="A11570" s="691"/>
      <c r="D11570" s="3"/>
    </row>
    <row r="11571" spans="1:4">
      <c r="A11571" s="691"/>
      <c r="D11571" s="3"/>
    </row>
    <row r="11572" spans="1:4">
      <c r="A11572" s="691"/>
      <c r="D11572" s="3"/>
    </row>
    <row r="11573" spans="1:4">
      <c r="A11573" s="691"/>
      <c r="D11573" s="3"/>
    </row>
    <row r="11574" spans="1:4">
      <c r="A11574" s="691"/>
      <c r="D11574" s="3"/>
    </row>
    <row r="11575" spans="1:4">
      <c r="A11575" s="691"/>
      <c r="D11575" s="3"/>
    </row>
    <row r="11576" spans="1:4">
      <c r="A11576" s="691"/>
      <c r="D11576" s="3"/>
    </row>
    <row r="11577" spans="1:4">
      <c r="A11577" s="691"/>
      <c r="D11577" s="3"/>
    </row>
    <row r="11578" spans="1:4">
      <c r="A11578" s="691"/>
      <c r="D11578" s="3"/>
    </row>
    <row r="11579" spans="1:4">
      <c r="A11579" s="691"/>
      <c r="D11579" s="3"/>
    </row>
    <row r="11580" spans="1:4">
      <c r="A11580" s="691"/>
      <c r="D11580" s="3"/>
    </row>
    <row r="11581" spans="1:4">
      <c r="A11581" s="691"/>
      <c r="D11581" s="3"/>
    </row>
    <row r="11582" spans="1:4">
      <c r="A11582" s="691"/>
      <c r="D11582" s="3"/>
    </row>
    <row r="11583" spans="1:4">
      <c r="A11583" s="691"/>
      <c r="D11583" s="3"/>
    </row>
    <row r="11584" spans="1:4">
      <c r="A11584" s="691"/>
      <c r="D11584" s="3"/>
    </row>
    <row r="11585" spans="1:4">
      <c r="A11585" s="691"/>
      <c r="D11585" s="3"/>
    </row>
    <row r="11586" spans="1:4">
      <c r="A11586" s="691"/>
      <c r="D11586" s="3"/>
    </row>
    <row r="11587" spans="1:4">
      <c r="A11587" s="691"/>
      <c r="D11587" s="3"/>
    </row>
    <row r="11588" spans="1:4">
      <c r="A11588" s="691"/>
      <c r="D11588" s="3"/>
    </row>
    <row r="11589" spans="1:4">
      <c r="A11589" s="691"/>
      <c r="D11589" s="3"/>
    </row>
    <row r="11590" spans="1:4">
      <c r="A11590" s="691"/>
      <c r="D11590" s="3"/>
    </row>
    <row r="11591" spans="1:4">
      <c r="A11591" s="691"/>
      <c r="D11591" s="3"/>
    </row>
    <row r="11592" spans="1:4">
      <c r="A11592" s="691"/>
      <c r="D11592" s="3"/>
    </row>
    <row r="11593" spans="1:4">
      <c r="A11593" s="691"/>
      <c r="D11593" s="3"/>
    </row>
    <row r="11594" spans="1:4">
      <c r="A11594" s="691"/>
      <c r="D11594" s="3"/>
    </row>
    <row r="11595" spans="1:4">
      <c r="A11595" s="691"/>
      <c r="D11595" s="3"/>
    </row>
    <row r="11596" spans="1:4">
      <c r="A11596" s="691"/>
      <c r="D11596" s="3"/>
    </row>
    <row r="11597" spans="1:4">
      <c r="A11597" s="691"/>
      <c r="D11597" s="3"/>
    </row>
    <row r="11598" spans="1:4">
      <c r="A11598" s="691"/>
      <c r="D11598" s="3"/>
    </row>
    <row r="11599" spans="1:4">
      <c r="A11599" s="691"/>
      <c r="D11599" s="3"/>
    </row>
    <row r="11600" spans="1:4">
      <c r="A11600" s="691"/>
      <c r="D11600" s="3"/>
    </row>
    <row r="11601" spans="1:4">
      <c r="A11601" s="691"/>
      <c r="D11601" s="3"/>
    </row>
    <row r="11602" spans="1:4">
      <c r="A11602" s="691"/>
      <c r="D11602" s="3"/>
    </row>
    <row r="11603" spans="1:4">
      <c r="A11603" s="691"/>
      <c r="D11603" s="3"/>
    </row>
    <row r="11604" spans="1:4">
      <c r="A11604" s="691"/>
      <c r="D11604" s="3"/>
    </row>
    <row r="11605" spans="1:4">
      <c r="A11605" s="691"/>
      <c r="D11605" s="3"/>
    </row>
    <row r="11606" spans="1:4">
      <c r="A11606" s="691"/>
      <c r="D11606" s="3"/>
    </row>
    <row r="11607" spans="1:4">
      <c r="A11607" s="691"/>
      <c r="D11607" s="3"/>
    </row>
    <row r="11608" spans="1:4">
      <c r="A11608" s="691"/>
      <c r="D11608" s="3"/>
    </row>
    <row r="11609" spans="1:4">
      <c r="A11609" s="691"/>
      <c r="D11609" s="3"/>
    </row>
    <row r="11610" spans="1:4">
      <c r="A11610" s="691"/>
      <c r="D11610" s="3"/>
    </row>
    <row r="11611" spans="1:4">
      <c r="A11611" s="691"/>
      <c r="D11611" s="3"/>
    </row>
    <row r="11612" spans="1:4">
      <c r="A11612" s="691"/>
      <c r="D11612" s="3"/>
    </row>
    <row r="11613" spans="1:4">
      <c r="A11613" s="691"/>
      <c r="D11613" s="3"/>
    </row>
    <row r="11614" spans="1:4">
      <c r="A11614" s="691"/>
      <c r="D11614" s="3"/>
    </row>
    <row r="11615" spans="1:4">
      <c r="A11615" s="691"/>
      <c r="D11615" s="3"/>
    </row>
    <row r="11616" spans="1:4">
      <c r="A11616" s="691"/>
      <c r="D11616" s="3"/>
    </row>
    <row r="11617" spans="1:4">
      <c r="A11617" s="691"/>
      <c r="D11617" s="3"/>
    </row>
    <row r="11618" spans="1:4">
      <c r="A11618" s="691"/>
      <c r="D11618" s="3"/>
    </row>
    <row r="11619" spans="1:4">
      <c r="A11619" s="691"/>
      <c r="D11619" s="3"/>
    </row>
    <row r="11620" spans="1:4">
      <c r="A11620" s="691"/>
      <c r="D11620" s="3"/>
    </row>
    <row r="11621" spans="1:4">
      <c r="A11621" s="691"/>
      <c r="D11621" s="3"/>
    </row>
    <row r="11622" spans="1:4">
      <c r="A11622" s="691"/>
      <c r="D11622" s="3"/>
    </row>
    <row r="11623" spans="1:4">
      <c r="A11623" s="691"/>
      <c r="D11623" s="3"/>
    </row>
    <row r="11624" spans="1:4">
      <c r="A11624" s="691"/>
      <c r="D11624" s="3"/>
    </row>
    <row r="11625" spans="1:4">
      <c r="A11625" s="691"/>
      <c r="D11625" s="3"/>
    </row>
    <row r="11626" spans="1:4">
      <c r="A11626" s="691"/>
      <c r="D11626" s="3"/>
    </row>
    <row r="11627" spans="1:4">
      <c r="A11627" s="691"/>
      <c r="D11627" s="3"/>
    </row>
    <row r="11628" spans="1:4">
      <c r="A11628" s="691"/>
      <c r="D11628" s="3"/>
    </row>
    <row r="11629" spans="1:4">
      <c r="A11629" s="691"/>
      <c r="D11629" s="3"/>
    </row>
    <row r="11630" spans="1:4">
      <c r="A11630" s="691"/>
      <c r="D11630" s="3"/>
    </row>
    <row r="11631" spans="1:4">
      <c r="A11631" s="691"/>
      <c r="D11631" s="3"/>
    </row>
    <row r="11632" spans="1:4">
      <c r="A11632" s="691"/>
      <c r="D11632" s="3"/>
    </row>
    <row r="11633" spans="1:4">
      <c r="A11633" s="691"/>
      <c r="D11633" s="3"/>
    </row>
    <row r="11634" spans="1:4">
      <c r="A11634" s="691"/>
      <c r="D11634" s="3"/>
    </row>
    <row r="11635" spans="1:4">
      <c r="A11635" s="691"/>
      <c r="D11635" s="3"/>
    </row>
    <row r="11636" spans="1:4">
      <c r="A11636" s="691"/>
      <c r="D11636" s="3"/>
    </row>
    <row r="11637" spans="1:4">
      <c r="A11637" s="691"/>
      <c r="D11637" s="3"/>
    </row>
    <row r="11638" spans="1:4">
      <c r="A11638" s="691"/>
      <c r="D11638" s="3"/>
    </row>
    <row r="11639" spans="1:4">
      <c r="A11639" s="691"/>
      <c r="D11639" s="3"/>
    </row>
    <row r="11640" spans="1:4">
      <c r="A11640" s="691"/>
      <c r="D11640" s="3"/>
    </row>
    <row r="11641" spans="1:4">
      <c r="A11641" s="691"/>
      <c r="D11641" s="3"/>
    </row>
    <row r="11642" spans="1:4">
      <c r="A11642" s="691"/>
      <c r="D11642" s="3"/>
    </row>
    <row r="11643" spans="1:4">
      <c r="A11643" s="691"/>
      <c r="D11643" s="3"/>
    </row>
    <row r="11644" spans="1:4">
      <c r="A11644" s="691"/>
      <c r="D11644" s="3"/>
    </row>
    <row r="11645" spans="1:4">
      <c r="A11645" s="691"/>
      <c r="D11645" s="3"/>
    </row>
    <row r="11646" spans="1:4">
      <c r="A11646" s="691"/>
      <c r="D11646" s="3"/>
    </row>
    <row r="11647" spans="1:4">
      <c r="A11647" s="691"/>
      <c r="D11647" s="3"/>
    </row>
    <row r="11648" spans="1:4">
      <c r="A11648" s="691"/>
      <c r="D11648" s="3"/>
    </row>
    <row r="11649" spans="1:4">
      <c r="A11649" s="691"/>
      <c r="D11649" s="3"/>
    </row>
    <row r="11650" spans="1:4">
      <c r="A11650" s="691"/>
      <c r="D11650" s="3"/>
    </row>
    <row r="11651" spans="1:4">
      <c r="A11651" s="691"/>
      <c r="D11651" s="3"/>
    </row>
    <row r="11652" spans="1:4">
      <c r="A11652" s="691"/>
      <c r="D11652" s="3"/>
    </row>
    <row r="11653" spans="1:4">
      <c r="A11653" s="691"/>
      <c r="D11653" s="3"/>
    </row>
    <row r="11654" spans="1:4">
      <c r="A11654" s="691"/>
      <c r="D11654" s="3"/>
    </row>
    <row r="11655" spans="1:4">
      <c r="A11655" s="691"/>
      <c r="D11655" s="3"/>
    </row>
    <row r="11656" spans="1:4">
      <c r="A11656" s="691"/>
      <c r="D11656" s="3"/>
    </row>
    <row r="11657" spans="1:4">
      <c r="A11657" s="691"/>
      <c r="D11657" s="3"/>
    </row>
    <row r="11658" spans="1:4">
      <c r="A11658" s="691"/>
      <c r="D11658" s="3"/>
    </row>
    <row r="11659" spans="1:4">
      <c r="A11659" s="691"/>
      <c r="D11659" s="3"/>
    </row>
    <row r="11660" spans="1:4">
      <c r="A11660" s="691"/>
      <c r="D11660" s="3"/>
    </row>
    <row r="11661" spans="1:4">
      <c r="A11661" s="691"/>
      <c r="D11661" s="3"/>
    </row>
    <row r="11662" spans="1:4">
      <c r="A11662" s="691"/>
      <c r="D11662" s="3"/>
    </row>
    <row r="11663" spans="1:4">
      <c r="A11663" s="691"/>
      <c r="D11663" s="3"/>
    </row>
    <row r="11664" spans="1:4">
      <c r="A11664" s="691"/>
      <c r="D11664" s="3"/>
    </row>
    <row r="11665" spans="1:4">
      <c r="A11665" s="691"/>
      <c r="D11665" s="3"/>
    </row>
    <row r="11666" spans="1:4">
      <c r="A11666" s="691"/>
      <c r="D11666" s="3"/>
    </row>
    <row r="11667" spans="1:4">
      <c r="A11667" s="691"/>
      <c r="D11667" s="3"/>
    </row>
    <row r="11668" spans="1:4">
      <c r="A11668" s="691"/>
      <c r="D11668" s="3"/>
    </row>
    <row r="11669" spans="1:4">
      <c r="A11669" s="691"/>
      <c r="D11669" s="3"/>
    </row>
    <row r="11670" spans="1:4">
      <c r="A11670" s="691"/>
      <c r="D11670" s="3"/>
    </row>
    <row r="11671" spans="1:4">
      <c r="A11671" s="691"/>
      <c r="D11671" s="3"/>
    </row>
    <row r="11672" spans="1:4">
      <c r="A11672" s="691"/>
      <c r="D11672" s="3"/>
    </row>
    <row r="11673" spans="1:4">
      <c r="A11673" s="691"/>
      <c r="D11673" s="3"/>
    </row>
    <row r="11674" spans="1:4">
      <c r="A11674" s="691"/>
      <c r="D11674" s="3"/>
    </row>
    <row r="11675" spans="1:4">
      <c r="A11675" s="691"/>
      <c r="D11675" s="3"/>
    </row>
    <row r="11676" spans="1:4">
      <c r="A11676" s="691"/>
      <c r="D11676" s="3"/>
    </row>
    <row r="11677" spans="1:4">
      <c r="A11677" s="691"/>
      <c r="D11677" s="3"/>
    </row>
    <row r="11678" spans="1:4">
      <c r="A11678" s="691"/>
      <c r="D11678" s="3"/>
    </row>
    <row r="11679" spans="1:4">
      <c r="A11679" s="691"/>
      <c r="D11679" s="3"/>
    </row>
    <row r="11680" spans="1:4">
      <c r="A11680" s="691"/>
      <c r="D11680" s="3"/>
    </row>
    <row r="11681" spans="1:4">
      <c r="A11681" s="691"/>
      <c r="D11681" s="3"/>
    </row>
    <row r="11682" spans="1:4">
      <c r="A11682" s="691"/>
      <c r="D11682" s="3"/>
    </row>
    <row r="11683" spans="1:4">
      <c r="A11683" s="691"/>
      <c r="D11683" s="3"/>
    </row>
    <row r="11684" spans="1:4">
      <c r="A11684" s="691"/>
      <c r="D11684" s="3"/>
    </row>
    <row r="11685" spans="1:4">
      <c r="A11685" s="691"/>
      <c r="D11685" s="3"/>
    </row>
    <row r="11686" spans="1:4">
      <c r="A11686" s="691"/>
      <c r="D11686" s="3"/>
    </row>
    <row r="11687" spans="1:4">
      <c r="A11687" s="691"/>
      <c r="D11687" s="3"/>
    </row>
    <row r="11688" spans="1:4">
      <c r="A11688" s="691"/>
      <c r="D11688" s="3"/>
    </row>
    <row r="11689" spans="1:4">
      <c r="A11689" s="691"/>
      <c r="D11689" s="3"/>
    </row>
    <row r="11690" spans="1:4">
      <c r="A11690" s="691"/>
      <c r="D11690" s="3"/>
    </row>
    <row r="11691" spans="1:4">
      <c r="A11691" s="691"/>
      <c r="D11691" s="3"/>
    </row>
    <row r="11692" spans="1:4">
      <c r="A11692" s="691"/>
      <c r="D11692" s="3"/>
    </row>
    <row r="11693" spans="1:4">
      <c r="A11693" s="691"/>
      <c r="D11693" s="3"/>
    </row>
    <row r="11694" spans="1:4">
      <c r="A11694" s="691"/>
      <c r="D11694" s="3"/>
    </row>
    <row r="11695" spans="1:4">
      <c r="A11695" s="691"/>
      <c r="D11695" s="3"/>
    </row>
    <row r="11696" spans="1:4">
      <c r="A11696" s="691"/>
      <c r="D11696" s="3"/>
    </row>
    <row r="11697" spans="1:4">
      <c r="A11697" s="691"/>
      <c r="D11697" s="3"/>
    </row>
    <row r="11698" spans="1:4">
      <c r="A11698" s="691"/>
      <c r="D11698" s="3"/>
    </row>
    <row r="11699" spans="1:4">
      <c r="A11699" s="691"/>
      <c r="D11699" s="3"/>
    </row>
    <row r="11700" spans="1:4">
      <c r="A11700" s="691"/>
      <c r="D11700" s="3"/>
    </row>
    <row r="11701" spans="1:4">
      <c r="A11701" s="691"/>
      <c r="D11701" s="3"/>
    </row>
    <row r="11702" spans="1:4">
      <c r="A11702" s="691"/>
      <c r="D11702" s="3"/>
    </row>
    <row r="11703" spans="1:4">
      <c r="A11703" s="691"/>
      <c r="D11703" s="3"/>
    </row>
    <row r="11704" spans="1:4">
      <c r="A11704" s="691"/>
      <c r="D11704" s="3"/>
    </row>
    <row r="11705" spans="1:4">
      <c r="A11705" s="691"/>
      <c r="D11705" s="3"/>
    </row>
    <row r="11706" spans="1:4">
      <c r="A11706" s="691"/>
      <c r="D11706" s="3"/>
    </row>
    <row r="11707" spans="1:4">
      <c r="A11707" s="691"/>
      <c r="D11707" s="3"/>
    </row>
    <row r="11708" spans="1:4">
      <c r="A11708" s="691"/>
      <c r="D11708" s="3"/>
    </row>
    <row r="11709" spans="1:4">
      <c r="A11709" s="691"/>
      <c r="D11709" s="3"/>
    </row>
    <row r="11710" spans="1:4">
      <c r="A11710" s="691"/>
      <c r="D11710" s="3"/>
    </row>
    <row r="11711" spans="1:4">
      <c r="A11711" s="691"/>
      <c r="D11711" s="3"/>
    </row>
    <row r="11712" spans="1:4">
      <c r="A11712" s="691"/>
      <c r="D11712" s="3"/>
    </row>
    <row r="11713" spans="1:4">
      <c r="A11713" s="691"/>
      <c r="D11713" s="3"/>
    </row>
    <row r="11714" spans="1:4">
      <c r="A11714" s="691"/>
      <c r="D11714" s="3"/>
    </row>
    <row r="11715" spans="1:4">
      <c r="A11715" s="691"/>
      <c r="D11715" s="3"/>
    </row>
    <row r="11716" spans="1:4">
      <c r="A11716" s="691"/>
      <c r="D11716" s="3"/>
    </row>
    <row r="11717" spans="1:4">
      <c r="A11717" s="691"/>
      <c r="D11717" s="3"/>
    </row>
    <row r="11718" spans="1:4">
      <c r="A11718" s="691"/>
      <c r="D11718" s="3"/>
    </row>
    <row r="11719" spans="1:4">
      <c r="A11719" s="691"/>
      <c r="D11719" s="3"/>
    </row>
    <row r="11720" spans="1:4">
      <c r="A11720" s="691"/>
      <c r="D11720" s="3"/>
    </row>
    <row r="11721" spans="1:4">
      <c r="A11721" s="691"/>
      <c r="D11721" s="3"/>
    </row>
    <row r="11722" spans="1:4">
      <c r="A11722" s="691"/>
      <c r="D11722" s="3"/>
    </row>
    <row r="11723" spans="1:4">
      <c r="A11723" s="691"/>
      <c r="D11723" s="3"/>
    </row>
    <row r="11724" spans="1:4">
      <c r="A11724" s="691"/>
      <c r="D11724" s="3"/>
    </row>
    <row r="11725" spans="1:4">
      <c r="A11725" s="691"/>
      <c r="D11725" s="3"/>
    </row>
    <row r="11726" spans="1:4">
      <c r="A11726" s="691"/>
      <c r="D11726" s="3"/>
    </row>
    <row r="11727" spans="1:4">
      <c r="A11727" s="691"/>
      <c r="D11727" s="3"/>
    </row>
    <row r="11728" spans="1:4">
      <c r="A11728" s="691"/>
      <c r="D11728" s="3"/>
    </row>
    <row r="11729" spans="1:4">
      <c r="A11729" s="691"/>
      <c r="D11729" s="3"/>
    </row>
    <row r="11730" spans="1:4">
      <c r="A11730" s="691"/>
      <c r="D11730" s="3"/>
    </row>
    <row r="11731" spans="1:4">
      <c r="A11731" s="691"/>
      <c r="D11731" s="3"/>
    </row>
    <row r="11732" spans="1:4">
      <c r="A11732" s="691"/>
      <c r="D11732" s="3"/>
    </row>
    <row r="11733" spans="1:4">
      <c r="A11733" s="691"/>
      <c r="D11733" s="3"/>
    </row>
    <row r="11734" spans="1:4">
      <c r="A11734" s="691"/>
      <c r="D11734" s="3"/>
    </row>
    <row r="11735" spans="1:4">
      <c r="A11735" s="691"/>
      <c r="D11735" s="3"/>
    </row>
    <row r="11736" spans="1:4">
      <c r="A11736" s="691"/>
      <c r="D11736" s="3"/>
    </row>
    <row r="11737" spans="1:4">
      <c r="A11737" s="691"/>
      <c r="D11737" s="3"/>
    </row>
    <row r="11738" spans="1:4">
      <c r="A11738" s="691"/>
      <c r="D11738" s="3"/>
    </row>
    <row r="11739" spans="1:4">
      <c r="A11739" s="691"/>
      <c r="D11739" s="3"/>
    </row>
    <row r="11740" spans="1:4">
      <c r="A11740" s="691"/>
      <c r="D11740" s="3"/>
    </row>
    <row r="11741" spans="1:4">
      <c r="A11741" s="691"/>
      <c r="D11741" s="3"/>
    </row>
    <row r="11742" spans="1:4">
      <c r="A11742" s="691"/>
      <c r="D11742" s="3"/>
    </row>
    <row r="11743" spans="1:4">
      <c r="A11743" s="691"/>
      <c r="D11743" s="3"/>
    </row>
    <row r="11744" spans="1:4">
      <c r="A11744" s="691"/>
      <c r="D11744" s="3"/>
    </row>
    <row r="11745" spans="1:4">
      <c r="A11745" s="691"/>
      <c r="D11745" s="3"/>
    </row>
    <row r="11746" spans="1:4">
      <c r="A11746" s="691"/>
      <c r="D11746" s="3"/>
    </row>
    <row r="11747" spans="1:4">
      <c r="A11747" s="691"/>
      <c r="D11747" s="3"/>
    </row>
    <row r="11748" spans="1:4">
      <c r="A11748" s="691"/>
      <c r="D11748" s="3"/>
    </row>
    <row r="11749" spans="1:4">
      <c r="A11749" s="691"/>
      <c r="D11749" s="3"/>
    </row>
    <row r="11750" spans="1:4">
      <c r="A11750" s="691"/>
      <c r="D11750" s="3"/>
    </row>
    <row r="11751" spans="1:4">
      <c r="A11751" s="691"/>
      <c r="D11751" s="3"/>
    </row>
    <row r="11752" spans="1:4">
      <c r="A11752" s="691"/>
      <c r="D11752" s="3"/>
    </row>
    <row r="11753" spans="1:4">
      <c r="A11753" s="691"/>
      <c r="D11753" s="3"/>
    </row>
    <row r="11754" spans="1:4">
      <c r="A11754" s="691"/>
      <c r="D11754" s="3"/>
    </row>
    <row r="11755" spans="1:4">
      <c r="A11755" s="691"/>
      <c r="D11755" s="3"/>
    </row>
    <row r="11756" spans="1:4">
      <c r="A11756" s="691"/>
      <c r="D11756" s="3"/>
    </row>
    <row r="11757" spans="1:4">
      <c r="A11757" s="691"/>
      <c r="D11757" s="3"/>
    </row>
    <row r="11758" spans="1:4">
      <c r="A11758" s="691"/>
      <c r="D11758" s="3"/>
    </row>
    <row r="11759" spans="1:4">
      <c r="A11759" s="691"/>
      <c r="D11759" s="3"/>
    </row>
    <row r="11760" spans="1:4">
      <c r="A11760" s="691"/>
      <c r="D11760" s="3"/>
    </row>
    <row r="11761" spans="1:4">
      <c r="A11761" s="691"/>
      <c r="D11761" s="3"/>
    </row>
    <row r="11762" spans="1:4">
      <c r="A11762" s="691"/>
      <c r="D11762" s="3"/>
    </row>
    <row r="11763" spans="1:4">
      <c r="A11763" s="691"/>
      <c r="D11763" s="3"/>
    </row>
    <row r="11764" spans="1:4">
      <c r="A11764" s="691"/>
      <c r="D11764" s="3"/>
    </row>
    <row r="11765" spans="1:4">
      <c r="A11765" s="691"/>
      <c r="D11765" s="3"/>
    </row>
    <row r="11766" spans="1:4">
      <c r="A11766" s="691"/>
      <c r="D11766" s="3"/>
    </row>
    <row r="11767" spans="1:4">
      <c r="A11767" s="691"/>
      <c r="D11767" s="3"/>
    </row>
    <row r="11768" spans="1:4">
      <c r="A11768" s="691"/>
      <c r="D11768" s="3"/>
    </row>
    <row r="11769" spans="1:4">
      <c r="A11769" s="691"/>
      <c r="D11769" s="3"/>
    </row>
    <row r="11770" spans="1:4">
      <c r="A11770" s="691"/>
      <c r="D11770" s="3"/>
    </row>
    <row r="11771" spans="1:4">
      <c r="A11771" s="691"/>
      <c r="D11771" s="3"/>
    </row>
    <row r="11772" spans="1:4">
      <c r="A11772" s="691"/>
      <c r="D11772" s="3"/>
    </row>
    <row r="11773" spans="1:4">
      <c r="A11773" s="691"/>
      <c r="D11773" s="3"/>
    </row>
    <row r="11774" spans="1:4">
      <c r="A11774" s="691"/>
      <c r="D11774" s="3"/>
    </row>
    <row r="11775" spans="1:4">
      <c r="A11775" s="691"/>
      <c r="D11775" s="3"/>
    </row>
    <row r="11776" spans="1:4">
      <c r="A11776" s="691"/>
      <c r="D11776" s="3"/>
    </row>
    <row r="11777" spans="1:4">
      <c r="A11777" s="691"/>
      <c r="D11777" s="3"/>
    </row>
    <row r="11778" spans="1:4">
      <c r="A11778" s="691"/>
      <c r="D11778" s="3"/>
    </row>
    <row r="11779" spans="1:4">
      <c r="A11779" s="691"/>
      <c r="D11779" s="3"/>
    </row>
    <row r="11780" spans="1:4">
      <c r="A11780" s="691"/>
      <c r="D11780" s="3"/>
    </row>
    <row r="11781" spans="1:4">
      <c r="A11781" s="691"/>
      <c r="D11781" s="3"/>
    </row>
    <row r="11782" spans="1:4">
      <c r="A11782" s="691"/>
      <c r="D11782" s="3"/>
    </row>
    <row r="11783" spans="1:4">
      <c r="A11783" s="691"/>
      <c r="D11783" s="3"/>
    </row>
    <row r="11784" spans="1:4">
      <c r="A11784" s="691"/>
      <c r="D11784" s="3"/>
    </row>
    <row r="11785" spans="1:4">
      <c r="A11785" s="691"/>
      <c r="D11785" s="3"/>
    </row>
    <row r="11786" spans="1:4">
      <c r="A11786" s="691"/>
      <c r="D11786" s="3"/>
    </row>
    <row r="11787" spans="1:4">
      <c r="A11787" s="691"/>
      <c r="D11787" s="3"/>
    </row>
    <row r="11788" spans="1:4">
      <c r="A11788" s="691"/>
      <c r="D11788" s="3"/>
    </row>
    <row r="11789" spans="1:4">
      <c r="A11789" s="691"/>
      <c r="D11789" s="3"/>
    </row>
    <row r="11790" spans="1:4">
      <c r="A11790" s="691"/>
      <c r="D11790" s="3"/>
    </row>
    <row r="11791" spans="1:4">
      <c r="A11791" s="691"/>
      <c r="D11791" s="3"/>
    </row>
    <row r="11792" spans="1:4">
      <c r="A11792" s="691"/>
      <c r="D11792" s="3"/>
    </row>
    <row r="11793" spans="1:4">
      <c r="A11793" s="691"/>
      <c r="D11793" s="3"/>
    </row>
    <row r="11794" spans="1:4">
      <c r="A11794" s="691"/>
      <c r="D11794" s="3"/>
    </row>
    <row r="11795" spans="1:4">
      <c r="A11795" s="691"/>
      <c r="D11795" s="3"/>
    </row>
    <row r="11796" spans="1:4">
      <c r="A11796" s="691"/>
      <c r="D11796" s="3"/>
    </row>
    <row r="11797" spans="1:4">
      <c r="A11797" s="691"/>
      <c r="D11797" s="3"/>
    </row>
    <row r="11798" spans="1:4">
      <c r="A11798" s="691"/>
      <c r="D11798" s="3"/>
    </row>
    <row r="11799" spans="1:4">
      <c r="A11799" s="691"/>
      <c r="D11799" s="3"/>
    </row>
    <row r="11800" spans="1:4">
      <c r="A11800" s="691"/>
      <c r="D11800" s="3"/>
    </row>
    <row r="11801" spans="1:4">
      <c r="A11801" s="691"/>
      <c r="D11801" s="3"/>
    </row>
    <row r="11802" spans="1:4">
      <c r="A11802" s="691"/>
      <c r="D11802" s="3"/>
    </row>
    <row r="11803" spans="1:4">
      <c r="A11803" s="691"/>
      <c r="D11803" s="3"/>
    </row>
    <row r="11804" spans="1:4">
      <c r="A11804" s="691"/>
      <c r="D11804" s="3"/>
    </row>
    <row r="11805" spans="1:4">
      <c r="A11805" s="691"/>
      <c r="D11805" s="3"/>
    </row>
    <row r="11806" spans="1:4">
      <c r="A11806" s="691"/>
      <c r="D11806" s="3"/>
    </row>
    <row r="11807" spans="1:4">
      <c r="A11807" s="691"/>
      <c r="D11807" s="3"/>
    </row>
    <row r="11808" spans="1:4">
      <c r="A11808" s="691"/>
      <c r="D11808" s="3"/>
    </row>
    <row r="11809" spans="1:4">
      <c r="A11809" s="691"/>
      <c r="D11809" s="3"/>
    </row>
    <row r="11810" spans="1:4">
      <c r="A11810" s="691"/>
      <c r="D11810" s="3"/>
    </row>
    <row r="11811" spans="1:4">
      <c r="A11811" s="691"/>
      <c r="D11811" s="3"/>
    </row>
    <row r="11812" spans="1:4">
      <c r="A11812" s="691"/>
      <c r="D11812" s="3"/>
    </row>
    <row r="11813" spans="1:4">
      <c r="A11813" s="691"/>
      <c r="D11813" s="3"/>
    </row>
    <row r="11814" spans="1:4">
      <c r="A11814" s="691"/>
      <c r="D11814" s="3"/>
    </row>
    <row r="11815" spans="1:4">
      <c r="A11815" s="691"/>
      <c r="D11815" s="3"/>
    </row>
    <row r="11816" spans="1:4">
      <c r="A11816" s="691"/>
      <c r="D11816" s="3"/>
    </row>
    <row r="11817" spans="1:4">
      <c r="A11817" s="691"/>
      <c r="D11817" s="3"/>
    </row>
    <row r="11818" spans="1:4">
      <c r="A11818" s="691"/>
      <c r="D11818" s="3"/>
    </row>
    <row r="11819" spans="1:4">
      <c r="A11819" s="691"/>
      <c r="D11819" s="3"/>
    </row>
    <row r="11820" spans="1:4">
      <c r="A11820" s="691"/>
      <c r="D11820" s="3"/>
    </row>
    <row r="11821" spans="1:4">
      <c r="A11821" s="691"/>
      <c r="D11821" s="3"/>
    </row>
    <row r="11822" spans="1:4">
      <c r="A11822" s="691"/>
      <c r="D11822" s="3"/>
    </row>
    <row r="11823" spans="1:4">
      <c r="A11823" s="691"/>
      <c r="D11823" s="3"/>
    </row>
    <row r="11824" spans="1:4">
      <c r="A11824" s="691"/>
      <c r="D11824" s="3"/>
    </row>
    <row r="11825" spans="1:4">
      <c r="A11825" s="691"/>
      <c r="D11825" s="3"/>
    </row>
    <row r="11826" spans="1:4">
      <c r="A11826" s="691"/>
      <c r="D11826" s="3"/>
    </row>
    <row r="11827" spans="1:4">
      <c r="A11827" s="691"/>
      <c r="D11827" s="3"/>
    </row>
    <row r="11828" spans="1:4">
      <c r="A11828" s="691"/>
      <c r="D11828" s="3"/>
    </row>
    <row r="11829" spans="1:4">
      <c r="A11829" s="691"/>
      <c r="D11829" s="3"/>
    </row>
    <row r="11830" spans="1:4">
      <c r="A11830" s="691"/>
      <c r="D11830" s="3"/>
    </row>
    <row r="11831" spans="1:4">
      <c r="A11831" s="691"/>
      <c r="D11831" s="3"/>
    </row>
    <row r="11832" spans="1:4">
      <c r="A11832" s="691"/>
      <c r="D11832" s="3"/>
    </row>
    <row r="11833" spans="1:4">
      <c r="A11833" s="691"/>
      <c r="D11833" s="3"/>
    </row>
    <row r="11834" spans="1:4">
      <c r="A11834" s="691"/>
      <c r="D11834" s="3"/>
    </row>
    <row r="11835" spans="1:4">
      <c r="A11835" s="691"/>
      <c r="D11835" s="3"/>
    </row>
    <row r="11836" spans="1:4">
      <c r="A11836" s="691"/>
      <c r="D11836" s="3"/>
    </row>
    <row r="11837" spans="1:4">
      <c r="A11837" s="691"/>
      <c r="D11837" s="3"/>
    </row>
    <row r="11838" spans="1:4">
      <c r="A11838" s="691"/>
      <c r="D11838" s="3"/>
    </row>
    <row r="11839" spans="1:4">
      <c r="A11839" s="691"/>
      <c r="D11839" s="3"/>
    </row>
    <row r="11840" spans="1:4">
      <c r="A11840" s="691"/>
      <c r="D11840" s="3"/>
    </row>
    <row r="11841" spans="1:4">
      <c r="A11841" s="691"/>
      <c r="D11841" s="3"/>
    </row>
    <row r="11842" spans="1:4">
      <c r="A11842" s="691"/>
      <c r="D11842" s="3"/>
    </row>
    <row r="11843" spans="1:4">
      <c r="A11843" s="691"/>
      <c r="D11843" s="3"/>
    </row>
    <row r="11844" spans="1:4">
      <c r="A11844" s="691"/>
      <c r="D11844" s="3"/>
    </row>
    <row r="11845" spans="1:4">
      <c r="A11845" s="691"/>
      <c r="D11845" s="3"/>
    </row>
    <row r="11846" spans="1:4">
      <c r="A11846" s="691"/>
      <c r="D11846" s="3"/>
    </row>
    <row r="11847" spans="1:4">
      <c r="A11847" s="691"/>
      <c r="D11847" s="3"/>
    </row>
    <row r="11848" spans="1:4">
      <c r="A11848" s="691"/>
      <c r="D11848" s="3"/>
    </row>
    <row r="11849" spans="1:4">
      <c r="A11849" s="691"/>
      <c r="D11849" s="3"/>
    </row>
    <row r="11850" spans="1:4">
      <c r="A11850" s="691"/>
      <c r="D11850" s="3"/>
    </row>
    <row r="11851" spans="1:4">
      <c r="A11851" s="691"/>
      <c r="D11851" s="3"/>
    </row>
    <row r="11852" spans="1:4">
      <c r="A11852" s="691"/>
      <c r="D11852" s="3"/>
    </row>
    <row r="11853" spans="1:4">
      <c r="A11853" s="691"/>
      <c r="D11853" s="3"/>
    </row>
    <row r="11854" spans="1:4">
      <c r="A11854" s="691"/>
      <c r="D11854" s="3"/>
    </row>
    <row r="11855" spans="1:4">
      <c r="A11855" s="691"/>
      <c r="D11855" s="3"/>
    </row>
    <row r="11856" spans="1:4">
      <c r="A11856" s="691"/>
      <c r="D11856" s="3"/>
    </row>
    <row r="11857" spans="1:4">
      <c r="A11857" s="691"/>
      <c r="D11857" s="3"/>
    </row>
    <row r="11858" spans="1:4">
      <c r="A11858" s="691"/>
      <c r="D11858" s="3"/>
    </row>
    <row r="11859" spans="1:4">
      <c r="A11859" s="691"/>
      <c r="D11859" s="3"/>
    </row>
    <row r="11860" spans="1:4">
      <c r="A11860" s="691"/>
      <c r="D11860" s="3"/>
    </row>
    <row r="11861" spans="1:4">
      <c r="A11861" s="691"/>
      <c r="D11861" s="3"/>
    </row>
    <row r="11862" spans="1:4">
      <c r="A11862" s="691"/>
      <c r="D11862" s="3"/>
    </row>
    <row r="11863" spans="1:4">
      <c r="A11863" s="691"/>
      <c r="D11863" s="3"/>
    </row>
    <row r="11864" spans="1:4">
      <c r="A11864" s="691"/>
      <c r="D11864" s="3"/>
    </row>
    <row r="11865" spans="1:4">
      <c r="A11865" s="691"/>
      <c r="D11865" s="3"/>
    </row>
    <row r="11866" spans="1:4">
      <c r="A11866" s="691"/>
      <c r="D11866" s="3"/>
    </row>
    <row r="11867" spans="1:4">
      <c r="A11867" s="691"/>
      <c r="D11867" s="3"/>
    </row>
    <row r="11868" spans="1:4">
      <c r="A11868" s="691"/>
      <c r="D11868" s="3"/>
    </row>
    <row r="11869" spans="1:4">
      <c r="A11869" s="691"/>
      <c r="D11869" s="3"/>
    </row>
    <row r="11870" spans="1:4">
      <c r="A11870" s="691"/>
      <c r="D11870" s="3"/>
    </row>
    <row r="11871" spans="1:4">
      <c r="A11871" s="691"/>
      <c r="D11871" s="3"/>
    </row>
    <row r="11872" spans="1:4">
      <c r="A11872" s="691"/>
      <c r="D11872" s="3"/>
    </row>
    <row r="11873" spans="1:4">
      <c r="A11873" s="691"/>
      <c r="D11873" s="3"/>
    </row>
    <row r="11874" spans="1:4">
      <c r="A11874" s="691"/>
      <c r="D11874" s="3"/>
    </row>
    <row r="11875" spans="1:4">
      <c r="A11875" s="691"/>
      <c r="D11875" s="3"/>
    </row>
    <row r="11876" spans="1:4">
      <c r="A11876" s="691"/>
      <c r="D11876" s="3"/>
    </row>
    <row r="11877" spans="1:4">
      <c r="A11877" s="691"/>
      <c r="D11877" s="3"/>
    </row>
    <row r="11878" spans="1:4">
      <c r="A11878" s="691"/>
      <c r="D11878" s="3"/>
    </row>
    <row r="11879" spans="1:4">
      <c r="A11879" s="691"/>
      <c r="D11879" s="3"/>
    </row>
    <row r="11880" spans="1:4">
      <c r="A11880" s="691"/>
      <c r="D11880" s="3"/>
    </row>
    <row r="11881" spans="1:4">
      <c r="A11881" s="691"/>
      <c r="D11881" s="3"/>
    </row>
    <row r="11882" spans="1:4">
      <c r="A11882" s="691"/>
      <c r="D11882" s="3"/>
    </row>
    <row r="11883" spans="1:4">
      <c r="A11883" s="691"/>
      <c r="D11883" s="3"/>
    </row>
    <row r="11884" spans="1:4">
      <c r="A11884" s="691"/>
      <c r="D11884" s="3"/>
    </row>
    <row r="11885" spans="1:4">
      <c r="A11885" s="691"/>
      <c r="D11885" s="3"/>
    </row>
    <row r="11886" spans="1:4">
      <c r="A11886" s="691"/>
      <c r="D11886" s="3"/>
    </row>
    <row r="11887" spans="1:4">
      <c r="A11887" s="691"/>
      <c r="D11887" s="3"/>
    </row>
    <row r="11888" spans="1:4">
      <c r="A11888" s="691"/>
      <c r="D11888" s="3"/>
    </row>
    <row r="11889" spans="1:4">
      <c r="A11889" s="691"/>
      <c r="D11889" s="3"/>
    </row>
    <row r="11890" spans="1:4">
      <c r="A11890" s="691"/>
      <c r="D11890" s="3"/>
    </row>
    <row r="11891" spans="1:4">
      <c r="A11891" s="691"/>
      <c r="D11891" s="3"/>
    </row>
    <row r="11892" spans="1:4">
      <c r="A11892" s="691"/>
      <c r="D11892" s="3"/>
    </row>
    <row r="11893" spans="1:4">
      <c r="A11893" s="691"/>
      <c r="D11893" s="3"/>
    </row>
    <row r="11894" spans="1:4">
      <c r="A11894" s="691"/>
      <c r="D11894" s="3"/>
    </row>
    <row r="11895" spans="1:4">
      <c r="A11895" s="691"/>
      <c r="D11895" s="3"/>
    </row>
    <row r="11896" spans="1:4">
      <c r="A11896" s="691"/>
      <c r="D11896" s="3"/>
    </row>
    <row r="11897" spans="1:4">
      <c r="A11897" s="691"/>
      <c r="D11897" s="3"/>
    </row>
    <row r="11898" spans="1:4">
      <c r="A11898" s="691"/>
      <c r="D11898" s="3"/>
    </row>
    <row r="11899" spans="1:4">
      <c r="A11899" s="691"/>
      <c r="D11899" s="3"/>
    </row>
    <row r="11900" spans="1:4">
      <c r="A11900" s="691"/>
      <c r="D11900" s="3"/>
    </row>
    <row r="11901" spans="1:4">
      <c r="A11901" s="691"/>
      <c r="D11901" s="3"/>
    </row>
    <row r="11902" spans="1:4">
      <c r="A11902" s="691"/>
      <c r="D11902" s="3"/>
    </row>
    <row r="11903" spans="1:4">
      <c r="A11903" s="691"/>
      <c r="D11903" s="3"/>
    </row>
    <row r="11904" spans="1:4">
      <c r="A11904" s="691"/>
      <c r="D11904" s="3"/>
    </row>
    <row r="11905" spans="1:4">
      <c r="A11905" s="691"/>
      <c r="D11905" s="3"/>
    </row>
    <row r="11906" spans="1:4">
      <c r="A11906" s="691"/>
      <c r="D11906" s="3"/>
    </row>
    <row r="11907" spans="1:4">
      <c r="A11907" s="691"/>
      <c r="D11907" s="3"/>
    </row>
    <row r="11908" spans="1:4">
      <c r="A11908" s="691"/>
      <c r="D11908" s="3"/>
    </row>
    <row r="11909" spans="1:4">
      <c r="A11909" s="691"/>
      <c r="D11909" s="3"/>
    </row>
    <row r="11910" spans="1:4">
      <c r="A11910" s="691"/>
      <c r="D11910" s="3"/>
    </row>
    <row r="11911" spans="1:4">
      <c r="A11911" s="691"/>
      <c r="D11911" s="3"/>
    </row>
    <row r="11912" spans="1:4">
      <c r="A11912" s="691"/>
      <c r="D11912" s="3"/>
    </row>
    <row r="11913" spans="1:4">
      <c r="A11913" s="691"/>
      <c r="D11913" s="3"/>
    </row>
    <row r="11914" spans="1:4">
      <c r="A11914" s="691"/>
      <c r="D11914" s="3"/>
    </row>
    <row r="11915" spans="1:4">
      <c r="A11915" s="691"/>
      <c r="D11915" s="3"/>
    </row>
    <row r="11916" spans="1:4">
      <c r="A11916" s="691"/>
      <c r="D11916" s="3"/>
    </row>
    <row r="11917" spans="1:4">
      <c r="A11917" s="691"/>
      <c r="D11917" s="3"/>
    </row>
    <row r="11918" spans="1:4">
      <c r="A11918" s="691"/>
      <c r="D11918" s="3"/>
    </row>
    <row r="11919" spans="1:4">
      <c r="A11919" s="691"/>
      <c r="D11919" s="3"/>
    </row>
    <row r="11920" spans="1:4">
      <c r="A11920" s="691"/>
      <c r="D11920" s="3"/>
    </row>
    <row r="11921" spans="1:4">
      <c r="A11921" s="691"/>
      <c r="D11921" s="3"/>
    </row>
    <row r="11922" spans="1:4">
      <c r="A11922" s="691"/>
      <c r="D11922" s="3"/>
    </row>
    <row r="11923" spans="1:4">
      <c r="A11923" s="691"/>
      <c r="D11923" s="3"/>
    </row>
    <row r="11924" spans="1:4">
      <c r="A11924" s="691"/>
      <c r="D11924" s="3"/>
    </row>
    <row r="11925" spans="1:4">
      <c r="A11925" s="691"/>
      <c r="D11925" s="3"/>
    </row>
    <row r="11926" spans="1:4">
      <c r="A11926" s="691"/>
      <c r="D11926" s="3"/>
    </row>
    <row r="11927" spans="1:4">
      <c r="A11927" s="691"/>
      <c r="D11927" s="3"/>
    </row>
    <row r="11928" spans="1:4">
      <c r="A11928" s="691"/>
      <c r="D11928" s="3"/>
    </row>
    <row r="11929" spans="1:4">
      <c r="A11929" s="691"/>
      <c r="D11929" s="3"/>
    </row>
    <row r="11930" spans="1:4">
      <c r="A11930" s="691"/>
      <c r="D11930" s="3"/>
    </row>
    <row r="11931" spans="1:4">
      <c r="A11931" s="691"/>
      <c r="D11931" s="3"/>
    </row>
    <row r="11932" spans="1:4">
      <c r="A11932" s="691"/>
      <c r="D11932" s="3"/>
    </row>
    <row r="11933" spans="1:4">
      <c r="A11933" s="691"/>
      <c r="D11933" s="3"/>
    </row>
    <row r="11934" spans="1:4">
      <c r="A11934" s="691"/>
      <c r="D11934" s="3"/>
    </row>
    <row r="11935" spans="1:4">
      <c r="A11935" s="691"/>
      <c r="D11935" s="3"/>
    </row>
    <row r="11936" spans="1:4">
      <c r="A11936" s="691"/>
      <c r="D11936" s="3"/>
    </row>
    <row r="11937" spans="1:4">
      <c r="A11937" s="691"/>
      <c r="D11937" s="3"/>
    </row>
    <row r="11938" spans="1:4">
      <c r="A11938" s="691"/>
      <c r="D11938" s="3"/>
    </row>
    <row r="11939" spans="1:4">
      <c r="A11939" s="691"/>
      <c r="D11939" s="3"/>
    </row>
    <row r="11940" spans="1:4">
      <c r="A11940" s="691"/>
      <c r="D11940" s="3"/>
    </row>
    <row r="11941" spans="1:4">
      <c r="A11941" s="691"/>
      <c r="D11941" s="3"/>
    </row>
    <row r="11942" spans="1:4">
      <c r="A11942" s="691"/>
      <c r="D11942" s="3"/>
    </row>
    <row r="11943" spans="1:4">
      <c r="A11943" s="691"/>
      <c r="D11943" s="3"/>
    </row>
    <row r="11944" spans="1:4">
      <c r="A11944" s="691"/>
      <c r="D11944" s="3"/>
    </row>
    <row r="11945" spans="1:4">
      <c r="A11945" s="691"/>
      <c r="D11945" s="3"/>
    </row>
    <row r="11946" spans="1:4">
      <c r="A11946" s="691"/>
      <c r="D11946" s="3"/>
    </row>
    <row r="11947" spans="1:4">
      <c r="A11947" s="691"/>
      <c r="D11947" s="3"/>
    </row>
    <row r="11948" spans="1:4">
      <c r="A11948" s="691"/>
      <c r="D11948" s="3"/>
    </row>
    <row r="11949" spans="1:4">
      <c r="A11949" s="691"/>
      <c r="D11949" s="3"/>
    </row>
    <row r="11950" spans="1:4">
      <c r="A11950" s="691"/>
      <c r="D11950" s="3"/>
    </row>
    <row r="11951" spans="1:4">
      <c r="A11951" s="691"/>
      <c r="D11951" s="3"/>
    </row>
    <row r="11952" spans="1:4">
      <c r="A11952" s="691"/>
      <c r="D11952" s="3"/>
    </row>
    <row r="11953" spans="1:4">
      <c r="A11953" s="691"/>
      <c r="D11953" s="3"/>
    </row>
    <row r="11954" spans="1:4">
      <c r="A11954" s="691"/>
      <c r="D11954" s="3"/>
    </row>
    <row r="11955" spans="1:4">
      <c r="A11955" s="691"/>
      <c r="D11955" s="3"/>
    </row>
    <row r="11956" spans="1:4">
      <c r="A11956" s="691"/>
      <c r="D11956" s="3"/>
    </row>
    <row r="11957" spans="1:4">
      <c r="A11957" s="691"/>
      <c r="D11957" s="3"/>
    </row>
    <row r="11958" spans="1:4">
      <c r="A11958" s="691"/>
      <c r="D11958" s="3"/>
    </row>
    <row r="11959" spans="1:4">
      <c r="A11959" s="691"/>
      <c r="D11959" s="3"/>
    </row>
    <row r="11960" spans="1:4">
      <c r="A11960" s="691"/>
      <c r="D11960" s="3"/>
    </row>
    <row r="11961" spans="1:4">
      <c r="A11961" s="691"/>
      <c r="D11961" s="3"/>
    </row>
    <row r="11962" spans="1:4">
      <c r="A11962" s="691"/>
      <c r="D11962" s="3"/>
    </row>
    <row r="11963" spans="1:4">
      <c r="A11963" s="691"/>
      <c r="D11963" s="3"/>
    </row>
    <row r="11964" spans="1:4">
      <c r="A11964" s="691"/>
      <c r="D11964" s="3"/>
    </row>
    <row r="11965" spans="1:4">
      <c r="A11965" s="691"/>
      <c r="D11965" s="3"/>
    </row>
    <row r="11966" spans="1:4">
      <c r="A11966" s="691"/>
      <c r="D11966" s="3"/>
    </row>
    <row r="11967" spans="1:4">
      <c r="A11967" s="691"/>
      <c r="D11967" s="3"/>
    </row>
    <row r="11968" spans="1:4">
      <c r="A11968" s="691"/>
      <c r="D11968" s="3"/>
    </row>
    <row r="11969" spans="1:4">
      <c r="A11969" s="691"/>
      <c r="D11969" s="3"/>
    </row>
    <row r="11970" spans="1:4">
      <c r="A11970" s="691"/>
      <c r="D11970" s="3"/>
    </row>
    <row r="11971" spans="1:4">
      <c r="A11971" s="691"/>
      <c r="D11971" s="3"/>
    </row>
    <row r="11972" spans="1:4">
      <c r="A11972" s="691"/>
      <c r="D11972" s="3"/>
    </row>
    <row r="11973" spans="1:4">
      <c r="A11973" s="691"/>
      <c r="D11973" s="3"/>
    </row>
    <row r="11974" spans="1:4">
      <c r="A11974" s="691"/>
      <c r="D11974" s="3"/>
    </row>
    <row r="11975" spans="1:4">
      <c r="A11975" s="691"/>
      <c r="D11975" s="3"/>
    </row>
    <row r="11976" spans="1:4">
      <c r="A11976" s="691"/>
      <c r="D11976" s="3"/>
    </row>
    <row r="11977" spans="1:4">
      <c r="A11977" s="691"/>
      <c r="D11977" s="3"/>
    </row>
    <row r="11978" spans="1:4">
      <c r="A11978" s="691"/>
      <c r="D11978" s="3"/>
    </row>
    <row r="11979" spans="1:4">
      <c r="A11979" s="691"/>
      <c r="D11979" s="3"/>
    </row>
    <row r="11980" spans="1:4">
      <c r="A11980" s="691"/>
      <c r="D11980" s="3"/>
    </row>
    <row r="11981" spans="1:4">
      <c r="A11981" s="691"/>
      <c r="D11981" s="3"/>
    </row>
    <row r="11982" spans="1:4">
      <c r="A11982" s="691"/>
      <c r="D11982" s="3"/>
    </row>
    <row r="11983" spans="1:4">
      <c r="A11983" s="691"/>
      <c r="D11983" s="3"/>
    </row>
    <row r="11984" spans="1:4">
      <c r="A11984" s="691"/>
      <c r="D11984" s="3"/>
    </row>
    <row r="11985" spans="1:4">
      <c r="A11985" s="691"/>
      <c r="D11985" s="3"/>
    </row>
    <row r="11986" spans="1:4">
      <c r="A11986" s="691"/>
      <c r="D11986" s="3"/>
    </row>
    <row r="11987" spans="1:4">
      <c r="A11987" s="691"/>
      <c r="D11987" s="3"/>
    </row>
    <row r="11988" spans="1:4">
      <c r="A11988" s="691"/>
      <c r="D11988" s="3"/>
    </row>
    <row r="11989" spans="1:4">
      <c r="A11989" s="691"/>
      <c r="D11989" s="3"/>
    </row>
    <row r="11990" spans="1:4">
      <c r="A11990" s="691"/>
      <c r="D11990" s="3"/>
    </row>
    <row r="11991" spans="1:4">
      <c r="A11991" s="691"/>
      <c r="D11991" s="3"/>
    </row>
    <row r="11992" spans="1:4">
      <c r="A11992" s="691"/>
      <c r="D11992" s="3"/>
    </row>
    <row r="11993" spans="1:4">
      <c r="A11993" s="691"/>
      <c r="D11993" s="3"/>
    </row>
    <row r="11994" spans="1:4">
      <c r="A11994" s="691"/>
      <c r="D11994" s="3"/>
    </row>
    <row r="11995" spans="1:4">
      <c r="A11995" s="691"/>
      <c r="D11995" s="3"/>
    </row>
    <row r="11996" spans="1:4">
      <c r="A11996" s="691"/>
      <c r="D11996" s="3"/>
    </row>
    <row r="11997" spans="1:4">
      <c r="A11997" s="691"/>
      <c r="D11997" s="3"/>
    </row>
    <row r="11998" spans="1:4">
      <c r="A11998" s="691"/>
      <c r="D11998" s="3"/>
    </row>
    <row r="11999" spans="1:4">
      <c r="A11999" s="691"/>
      <c r="D11999" s="3"/>
    </row>
    <row r="12000" spans="1:4">
      <c r="A12000" s="691"/>
      <c r="D12000" s="3"/>
    </row>
    <row r="12001" spans="1:4">
      <c r="A12001" s="691"/>
      <c r="D12001" s="3"/>
    </row>
    <row r="12002" spans="1:4">
      <c r="A12002" s="691"/>
      <c r="D12002" s="3"/>
    </row>
    <row r="12003" spans="1:4">
      <c r="A12003" s="691"/>
      <c r="D12003" s="3"/>
    </row>
    <row r="12004" spans="1:4">
      <c r="A12004" s="691"/>
      <c r="D12004" s="3"/>
    </row>
    <row r="12005" spans="1:4">
      <c r="A12005" s="691"/>
      <c r="D12005" s="3"/>
    </row>
    <row r="12006" spans="1:4">
      <c r="A12006" s="691"/>
      <c r="D12006" s="3"/>
    </row>
    <row r="12007" spans="1:4">
      <c r="A12007" s="691"/>
      <c r="D12007" s="3"/>
    </row>
    <row r="12008" spans="1:4">
      <c r="A12008" s="691"/>
      <c r="D12008" s="3"/>
    </row>
    <row r="12009" spans="1:4">
      <c r="A12009" s="691"/>
      <c r="D12009" s="3"/>
    </row>
    <row r="12010" spans="1:4">
      <c r="A12010" s="691"/>
      <c r="D12010" s="3"/>
    </row>
    <row r="12011" spans="1:4">
      <c r="A12011" s="691"/>
      <c r="D12011" s="3"/>
    </row>
    <row r="12012" spans="1:4">
      <c r="A12012" s="691"/>
      <c r="D12012" s="3"/>
    </row>
    <row r="12013" spans="1:4">
      <c r="A12013" s="691"/>
      <c r="D12013" s="3"/>
    </row>
    <row r="12014" spans="1:4">
      <c r="A12014" s="691"/>
      <c r="D12014" s="3"/>
    </row>
    <row r="12015" spans="1:4">
      <c r="A12015" s="691"/>
      <c r="D12015" s="3"/>
    </row>
    <row r="12016" spans="1:4">
      <c r="A12016" s="691"/>
      <c r="D12016" s="3"/>
    </row>
    <row r="12017" spans="1:4">
      <c r="A12017" s="691"/>
      <c r="D12017" s="3"/>
    </row>
    <row r="12018" spans="1:4">
      <c r="A12018" s="691"/>
      <c r="D12018" s="3"/>
    </row>
    <row r="12019" spans="1:4">
      <c r="A12019" s="691"/>
      <c r="D12019" s="3"/>
    </row>
    <row r="12020" spans="1:4">
      <c r="A12020" s="691"/>
      <c r="D12020" s="3"/>
    </row>
    <row r="12021" spans="1:4">
      <c r="A12021" s="691"/>
      <c r="D12021" s="3"/>
    </row>
    <row r="12022" spans="1:4">
      <c r="A12022" s="691"/>
      <c r="D12022" s="3"/>
    </row>
    <row r="12023" spans="1:4">
      <c r="A12023" s="691"/>
      <c r="D12023" s="3"/>
    </row>
    <row r="12024" spans="1:4">
      <c r="A12024" s="691"/>
      <c r="D12024" s="3"/>
    </row>
    <row r="12025" spans="1:4">
      <c r="A12025" s="691"/>
      <c r="D12025" s="3"/>
    </row>
    <row r="12026" spans="1:4">
      <c r="A12026" s="691"/>
      <c r="D12026" s="3"/>
    </row>
    <row r="12027" spans="1:4">
      <c r="A12027" s="691"/>
      <c r="D12027" s="3"/>
    </row>
    <row r="12028" spans="1:4">
      <c r="A12028" s="691"/>
      <c r="D12028" s="3"/>
    </row>
    <row r="12029" spans="1:4">
      <c r="A12029" s="691"/>
      <c r="D12029" s="3"/>
    </row>
    <row r="12030" spans="1:4">
      <c r="A12030" s="691"/>
      <c r="D12030" s="3"/>
    </row>
    <row r="12031" spans="1:4">
      <c r="A12031" s="691"/>
      <c r="D12031" s="3"/>
    </row>
    <row r="12032" spans="1:4">
      <c r="A12032" s="691"/>
      <c r="D12032" s="3"/>
    </row>
    <row r="12033" spans="1:4">
      <c r="A12033" s="691"/>
      <c r="D12033" s="3"/>
    </row>
    <row r="12034" spans="1:4">
      <c r="A12034" s="691"/>
      <c r="D12034" s="3"/>
    </row>
    <row r="12035" spans="1:4">
      <c r="A12035" s="691"/>
      <c r="D12035" s="3"/>
    </row>
    <row r="12036" spans="1:4">
      <c r="A12036" s="691"/>
      <c r="D12036" s="3"/>
    </row>
    <row r="12037" spans="1:4">
      <c r="A12037" s="691"/>
      <c r="D12037" s="3"/>
    </row>
    <row r="12038" spans="1:4">
      <c r="A12038" s="691"/>
      <c r="D12038" s="3"/>
    </row>
    <row r="12039" spans="1:4">
      <c r="A12039" s="691"/>
      <c r="D12039" s="3"/>
    </row>
    <row r="12040" spans="1:4">
      <c r="A12040" s="691"/>
      <c r="D12040" s="3"/>
    </row>
    <row r="12041" spans="1:4">
      <c r="A12041" s="691"/>
      <c r="D12041" s="3"/>
    </row>
    <row r="12042" spans="1:4">
      <c r="A12042" s="691"/>
      <c r="D12042" s="3"/>
    </row>
    <row r="12043" spans="1:4">
      <c r="A12043" s="691"/>
      <c r="D12043" s="3"/>
    </row>
    <row r="12044" spans="1:4">
      <c r="A12044" s="691"/>
      <c r="D12044" s="3"/>
    </row>
    <row r="12045" spans="1:4">
      <c r="A12045" s="691"/>
      <c r="D12045" s="3"/>
    </row>
    <row r="12046" spans="1:4">
      <c r="A12046" s="691"/>
      <c r="D12046" s="3"/>
    </row>
    <row r="12047" spans="1:4">
      <c r="A12047" s="691"/>
      <c r="D12047" s="3"/>
    </row>
    <row r="12048" spans="1:4">
      <c r="A12048" s="691"/>
      <c r="D12048" s="3"/>
    </row>
    <row r="12049" spans="1:4">
      <c r="A12049" s="691"/>
      <c r="D12049" s="3"/>
    </row>
    <row r="12050" spans="1:4">
      <c r="A12050" s="691"/>
      <c r="D12050" s="3"/>
    </row>
    <row r="12051" spans="1:4">
      <c r="A12051" s="691"/>
      <c r="D12051" s="3"/>
    </row>
    <row r="12052" spans="1:4">
      <c r="A12052" s="691"/>
      <c r="D12052" s="3"/>
    </row>
    <row r="12053" spans="1:4">
      <c r="A12053" s="691"/>
      <c r="D12053" s="3"/>
    </row>
    <row r="12054" spans="1:4">
      <c r="A12054" s="691"/>
      <c r="D12054" s="3"/>
    </row>
    <row r="12055" spans="1:4">
      <c r="A12055" s="691"/>
      <c r="D12055" s="3"/>
    </row>
    <row r="12056" spans="1:4">
      <c r="A12056" s="691"/>
      <c r="D12056" s="3"/>
    </row>
    <row r="12057" spans="1:4">
      <c r="A12057" s="691"/>
      <c r="D12057" s="3"/>
    </row>
    <row r="12058" spans="1:4">
      <c r="A12058" s="691"/>
      <c r="D12058" s="3"/>
    </row>
    <row r="12059" spans="1:4">
      <c r="A12059" s="691"/>
      <c r="D12059" s="3"/>
    </row>
    <row r="12060" spans="1:4">
      <c r="A12060" s="691"/>
      <c r="D12060" s="3"/>
    </row>
    <row r="12061" spans="1:4">
      <c r="A12061" s="691"/>
      <c r="D12061" s="3"/>
    </row>
    <row r="12062" spans="1:4">
      <c r="A12062" s="691"/>
      <c r="D12062" s="3"/>
    </row>
    <row r="12063" spans="1:4">
      <c r="A12063" s="691"/>
      <c r="D12063" s="3"/>
    </row>
    <row r="12064" spans="1:4">
      <c r="A12064" s="691"/>
      <c r="D12064" s="3"/>
    </row>
    <row r="12065" spans="1:4">
      <c r="A12065" s="691"/>
      <c r="D12065" s="3"/>
    </row>
    <row r="12066" spans="1:4">
      <c r="A12066" s="691"/>
      <c r="D12066" s="3"/>
    </row>
    <row r="12067" spans="1:4">
      <c r="A12067" s="691"/>
      <c r="D12067" s="3"/>
    </row>
    <row r="12068" spans="1:4">
      <c r="A12068" s="691"/>
      <c r="D12068" s="3"/>
    </row>
    <row r="12069" spans="1:4">
      <c r="A12069" s="691"/>
      <c r="D12069" s="3"/>
    </row>
    <row r="12070" spans="1:4">
      <c r="A12070" s="691"/>
      <c r="D12070" s="3"/>
    </row>
    <row r="12071" spans="1:4">
      <c r="A12071" s="691"/>
      <c r="D12071" s="3"/>
    </row>
    <row r="12072" spans="1:4">
      <c r="A12072" s="691"/>
      <c r="D12072" s="3"/>
    </row>
    <row r="12073" spans="1:4">
      <c r="A12073" s="691"/>
      <c r="D12073" s="3"/>
    </row>
    <row r="12074" spans="1:4">
      <c r="A12074" s="691"/>
      <c r="D12074" s="3"/>
    </row>
    <row r="12075" spans="1:4">
      <c r="A12075" s="691"/>
      <c r="D12075" s="3"/>
    </row>
    <row r="12076" spans="1:4">
      <c r="A12076" s="691"/>
      <c r="D12076" s="3"/>
    </row>
    <row r="12077" spans="1:4">
      <c r="A12077" s="691"/>
      <c r="D12077" s="3"/>
    </row>
    <row r="12078" spans="1:4">
      <c r="A12078" s="691"/>
      <c r="D12078" s="3"/>
    </row>
    <row r="12079" spans="1:4">
      <c r="A12079" s="691"/>
      <c r="D12079" s="3"/>
    </row>
    <row r="12080" spans="1:4">
      <c r="A12080" s="691"/>
      <c r="D12080" s="3"/>
    </row>
    <row r="12081" spans="1:4">
      <c r="A12081" s="691"/>
      <c r="D12081" s="3"/>
    </row>
    <row r="12082" spans="1:4">
      <c r="A12082" s="691"/>
      <c r="D12082" s="3"/>
    </row>
    <row r="12083" spans="1:4">
      <c r="A12083" s="691"/>
      <c r="D12083" s="3"/>
    </row>
    <row r="12084" spans="1:4">
      <c r="A12084" s="691"/>
      <c r="D12084" s="3"/>
    </row>
    <row r="12085" spans="1:4">
      <c r="A12085" s="691"/>
      <c r="D12085" s="3"/>
    </row>
    <row r="12086" spans="1:4">
      <c r="A12086" s="691"/>
      <c r="D12086" s="3"/>
    </row>
    <row r="12087" spans="1:4">
      <c r="A12087" s="691"/>
      <c r="D12087" s="3"/>
    </row>
    <row r="12088" spans="1:4">
      <c r="A12088" s="691"/>
      <c r="D12088" s="3"/>
    </row>
    <row r="12089" spans="1:4">
      <c r="A12089" s="691"/>
      <c r="D12089" s="3"/>
    </row>
    <row r="12090" spans="1:4">
      <c r="A12090" s="691"/>
      <c r="D12090" s="3"/>
    </row>
    <row r="12091" spans="1:4">
      <c r="A12091" s="691"/>
      <c r="D12091" s="3"/>
    </row>
    <row r="12092" spans="1:4">
      <c r="A12092" s="691"/>
      <c r="D12092" s="3"/>
    </row>
    <row r="12093" spans="1:4">
      <c r="A12093" s="691"/>
      <c r="D12093" s="3"/>
    </row>
    <row r="12094" spans="1:4">
      <c r="A12094" s="691"/>
      <c r="D12094" s="3"/>
    </row>
    <row r="12095" spans="1:4">
      <c r="A12095" s="691"/>
      <c r="D12095" s="3"/>
    </row>
    <row r="12096" spans="1:4">
      <c r="A12096" s="691"/>
      <c r="D12096" s="3"/>
    </row>
    <row r="12097" spans="1:4">
      <c r="A12097" s="691"/>
      <c r="D12097" s="3"/>
    </row>
    <row r="12098" spans="1:4">
      <c r="A12098" s="691"/>
      <c r="D12098" s="3"/>
    </row>
    <row r="12099" spans="1:4">
      <c r="A12099" s="691"/>
      <c r="D12099" s="3"/>
    </row>
    <row r="12100" spans="1:4">
      <c r="A12100" s="691"/>
      <c r="D12100" s="3"/>
    </row>
    <row r="12101" spans="1:4">
      <c r="A12101" s="691"/>
      <c r="D12101" s="3"/>
    </row>
    <row r="12102" spans="1:4">
      <c r="A12102" s="691"/>
      <c r="D12102" s="3"/>
    </row>
    <row r="12103" spans="1:4">
      <c r="A12103" s="691"/>
      <c r="D12103" s="3"/>
    </row>
    <row r="12104" spans="1:4">
      <c r="A12104" s="691"/>
      <c r="D12104" s="3"/>
    </row>
    <row r="12105" spans="1:4">
      <c r="A12105" s="691"/>
      <c r="D12105" s="3"/>
    </row>
    <row r="12106" spans="1:4">
      <c r="A12106" s="691"/>
      <c r="D12106" s="3"/>
    </row>
    <row r="12107" spans="1:4">
      <c r="A12107" s="691"/>
      <c r="D12107" s="3"/>
    </row>
    <row r="12108" spans="1:4">
      <c r="A12108" s="691"/>
      <c r="D12108" s="3"/>
    </row>
    <row r="12109" spans="1:4">
      <c r="A12109" s="691"/>
      <c r="D12109" s="3"/>
    </row>
    <row r="12110" spans="1:4">
      <c r="A12110" s="691"/>
      <c r="D12110" s="3"/>
    </row>
    <row r="12111" spans="1:4">
      <c r="A12111" s="691"/>
      <c r="D12111" s="3"/>
    </row>
    <row r="12112" spans="1:4">
      <c r="A12112" s="691"/>
      <c r="D12112" s="3"/>
    </row>
    <row r="12113" spans="1:4">
      <c r="A12113" s="691"/>
      <c r="D12113" s="3"/>
    </row>
    <row r="12114" spans="1:4">
      <c r="A12114" s="691"/>
      <c r="D12114" s="3"/>
    </row>
    <row r="12115" spans="1:4">
      <c r="A12115" s="691"/>
      <c r="D12115" s="3"/>
    </row>
    <row r="12116" spans="1:4">
      <c r="A12116" s="691"/>
      <c r="D12116" s="3"/>
    </row>
    <row r="12117" spans="1:4">
      <c r="A12117" s="691"/>
      <c r="D12117" s="3"/>
    </row>
    <row r="12118" spans="1:4">
      <c r="A12118" s="691"/>
      <c r="D12118" s="3"/>
    </row>
    <row r="12119" spans="1:4">
      <c r="A12119" s="691"/>
      <c r="D12119" s="3"/>
    </row>
    <row r="12120" spans="1:4">
      <c r="A12120" s="691"/>
      <c r="D12120" s="3"/>
    </row>
    <row r="12121" spans="1:4">
      <c r="A12121" s="691"/>
      <c r="D12121" s="3"/>
    </row>
    <row r="12122" spans="1:4">
      <c r="A12122" s="691"/>
      <c r="D12122" s="3"/>
    </row>
    <row r="12123" spans="1:4">
      <c r="A12123" s="691"/>
      <c r="D12123" s="3"/>
    </row>
    <row r="12124" spans="1:4">
      <c r="A12124" s="691"/>
      <c r="D12124" s="3"/>
    </row>
    <row r="12125" spans="1:4">
      <c r="A12125" s="691"/>
      <c r="D12125" s="3"/>
    </row>
    <row r="12126" spans="1:4">
      <c r="A12126" s="691"/>
      <c r="D12126" s="3"/>
    </row>
    <row r="12127" spans="1:4">
      <c r="A12127" s="691"/>
      <c r="D12127" s="3"/>
    </row>
    <row r="12128" spans="1:4">
      <c r="A12128" s="691"/>
      <c r="D12128" s="3"/>
    </row>
    <row r="12129" spans="1:4">
      <c r="A12129" s="691"/>
      <c r="D12129" s="3"/>
    </row>
    <row r="12130" spans="1:4">
      <c r="A12130" s="691"/>
      <c r="D12130" s="3"/>
    </row>
    <row r="12131" spans="1:4">
      <c r="A12131" s="691"/>
      <c r="D12131" s="3"/>
    </row>
    <row r="12132" spans="1:4">
      <c r="A12132" s="691"/>
      <c r="D12132" s="3"/>
    </row>
    <row r="12133" spans="1:4">
      <c r="A12133" s="691"/>
      <c r="D12133" s="3"/>
    </row>
    <row r="12134" spans="1:4">
      <c r="A12134" s="691"/>
      <c r="D12134" s="3"/>
    </row>
    <row r="12135" spans="1:4">
      <c r="A12135" s="691"/>
      <c r="D12135" s="3"/>
    </row>
    <row r="12136" spans="1:4">
      <c r="A12136" s="691"/>
      <c r="D12136" s="3"/>
    </row>
    <row r="12137" spans="1:4">
      <c r="A12137" s="691"/>
      <c r="D12137" s="3"/>
    </row>
    <row r="12138" spans="1:4">
      <c r="A12138" s="691"/>
      <c r="D12138" s="3"/>
    </row>
    <row r="12139" spans="1:4">
      <c r="A12139" s="691"/>
      <c r="D12139" s="3"/>
    </row>
    <row r="12140" spans="1:4">
      <c r="A12140" s="691"/>
      <c r="D12140" s="3"/>
    </row>
    <row r="12141" spans="1:4">
      <c r="A12141" s="691"/>
      <c r="D12141" s="3"/>
    </row>
    <row r="12142" spans="1:4">
      <c r="A12142" s="691"/>
      <c r="D12142" s="3"/>
    </row>
    <row r="12143" spans="1:4">
      <c r="A12143" s="691"/>
      <c r="D12143" s="3"/>
    </row>
    <row r="12144" spans="1:4">
      <c r="A12144" s="691"/>
      <c r="D12144" s="3"/>
    </row>
    <row r="12145" spans="1:4">
      <c r="A12145" s="691"/>
      <c r="D12145" s="3"/>
    </row>
    <row r="12146" spans="1:4">
      <c r="A12146" s="691"/>
      <c r="D12146" s="3"/>
    </row>
    <row r="12147" spans="1:4">
      <c r="A12147" s="691"/>
      <c r="D12147" s="3"/>
    </row>
    <row r="12148" spans="1:4">
      <c r="A12148" s="691"/>
      <c r="D12148" s="3"/>
    </row>
    <row r="12149" spans="1:4">
      <c r="A12149" s="691"/>
      <c r="D12149" s="3"/>
    </row>
    <row r="12150" spans="1:4">
      <c r="A12150" s="691"/>
      <c r="D12150" s="3"/>
    </row>
    <row r="12151" spans="1:4">
      <c r="A12151" s="691"/>
      <c r="D12151" s="3"/>
    </row>
    <row r="12152" spans="1:4">
      <c r="A12152" s="691"/>
      <c r="D12152" s="3"/>
    </row>
    <row r="12153" spans="1:4">
      <c r="A12153" s="691"/>
      <c r="D12153" s="3"/>
    </row>
    <row r="12154" spans="1:4">
      <c r="A12154" s="691"/>
      <c r="D12154" s="3"/>
    </row>
    <row r="12155" spans="1:4">
      <c r="A12155" s="691"/>
      <c r="D12155" s="3"/>
    </row>
    <row r="12156" spans="1:4">
      <c r="A12156" s="691"/>
      <c r="D12156" s="3"/>
    </row>
    <row r="12157" spans="1:4">
      <c r="A12157" s="691"/>
      <c r="D12157" s="3"/>
    </row>
    <row r="12158" spans="1:4">
      <c r="A12158" s="691"/>
      <c r="D12158" s="3"/>
    </row>
    <row r="12159" spans="1:4">
      <c r="A12159" s="691"/>
      <c r="D12159" s="3"/>
    </row>
    <row r="12160" spans="1:4">
      <c r="A12160" s="691"/>
      <c r="D12160" s="3"/>
    </row>
    <row r="12161" spans="1:4">
      <c r="A12161" s="691"/>
      <c r="D12161" s="3"/>
    </row>
    <row r="12162" spans="1:4">
      <c r="A12162" s="691"/>
      <c r="D12162" s="3"/>
    </row>
    <row r="12163" spans="1:4">
      <c r="A12163" s="691"/>
      <c r="D12163" s="3"/>
    </row>
    <row r="12164" spans="1:4">
      <c r="A12164" s="691"/>
      <c r="D12164" s="3"/>
    </row>
    <row r="12165" spans="1:4">
      <c r="A12165" s="691"/>
      <c r="D12165" s="3"/>
    </row>
    <row r="12166" spans="1:4">
      <c r="A12166" s="691"/>
      <c r="D12166" s="3"/>
    </row>
    <row r="12167" spans="1:4">
      <c r="A12167" s="691"/>
      <c r="D12167" s="3"/>
    </row>
    <row r="12168" spans="1:4">
      <c r="A12168" s="691"/>
      <c r="D12168" s="3"/>
    </row>
    <row r="12169" spans="1:4">
      <c r="A12169" s="691"/>
      <c r="D12169" s="3"/>
    </row>
    <row r="12170" spans="1:4">
      <c r="A12170" s="691"/>
      <c r="D12170" s="3"/>
    </row>
    <row r="12171" spans="1:4">
      <c r="A12171" s="691"/>
      <c r="D12171" s="3"/>
    </row>
    <row r="12172" spans="1:4">
      <c r="A12172" s="691"/>
      <c r="D12172" s="3"/>
    </row>
    <row r="12173" spans="1:4">
      <c r="A12173" s="691"/>
      <c r="D12173" s="3"/>
    </row>
    <row r="12174" spans="1:4">
      <c r="A12174" s="691"/>
      <c r="D12174" s="3"/>
    </row>
    <row r="12175" spans="1:4">
      <c r="A12175" s="691"/>
      <c r="D12175" s="3"/>
    </row>
    <row r="12176" spans="1:4">
      <c r="A12176" s="691"/>
      <c r="D12176" s="3"/>
    </row>
    <row r="12177" spans="1:4">
      <c r="A12177" s="691"/>
      <c r="D12177" s="3"/>
    </row>
    <row r="12178" spans="1:4">
      <c r="A12178" s="691"/>
      <c r="D12178" s="3"/>
    </row>
    <row r="12179" spans="1:4">
      <c r="A12179" s="691"/>
      <c r="D12179" s="3"/>
    </row>
    <row r="12180" spans="1:4">
      <c r="A12180" s="691"/>
      <c r="D12180" s="3"/>
    </row>
    <row r="12181" spans="1:4">
      <c r="A12181" s="691"/>
      <c r="D12181" s="3"/>
    </row>
    <row r="12182" spans="1:4">
      <c r="A12182" s="691"/>
      <c r="D12182" s="3"/>
    </row>
    <row r="12183" spans="1:4">
      <c r="A12183" s="691"/>
      <c r="D12183" s="3"/>
    </row>
    <row r="12184" spans="1:4">
      <c r="A12184" s="691"/>
      <c r="D12184" s="3"/>
    </row>
    <row r="12185" spans="1:4">
      <c r="A12185" s="691"/>
      <c r="D12185" s="3"/>
    </row>
    <row r="12186" spans="1:4">
      <c r="A12186" s="691"/>
      <c r="D12186" s="3"/>
    </row>
    <row r="12187" spans="1:4">
      <c r="A12187" s="691"/>
      <c r="D12187" s="3"/>
    </row>
    <row r="12188" spans="1:4">
      <c r="A12188" s="691"/>
      <c r="D12188" s="3"/>
    </row>
    <row r="12189" spans="1:4">
      <c r="A12189" s="691"/>
      <c r="D12189" s="3"/>
    </row>
    <row r="12190" spans="1:4">
      <c r="A12190" s="691"/>
      <c r="D12190" s="3"/>
    </row>
    <row r="12191" spans="1:4">
      <c r="A12191" s="691"/>
      <c r="D12191" s="3"/>
    </row>
    <row r="12192" spans="1:4">
      <c r="A12192" s="691"/>
      <c r="D12192" s="3"/>
    </row>
    <row r="12193" spans="1:4">
      <c r="A12193" s="691"/>
      <c r="D12193" s="3"/>
    </row>
    <row r="12194" spans="1:4">
      <c r="A12194" s="691"/>
      <c r="D12194" s="3"/>
    </row>
    <row r="12195" spans="1:4">
      <c r="A12195" s="691"/>
      <c r="D12195" s="3"/>
    </row>
    <row r="12196" spans="1:4">
      <c r="A12196" s="691"/>
      <c r="D12196" s="3"/>
    </row>
    <row r="12197" spans="1:4">
      <c r="A12197" s="691"/>
      <c r="D12197" s="3"/>
    </row>
    <row r="12198" spans="1:4">
      <c r="A12198" s="691"/>
      <c r="D12198" s="3"/>
    </row>
    <row r="12199" spans="1:4">
      <c r="A12199" s="691"/>
      <c r="D12199" s="3"/>
    </row>
    <row r="12200" spans="1:4">
      <c r="A12200" s="691"/>
      <c r="D12200" s="3"/>
    </row>
    <row r="12201" spans="1:4">
      <c r="A12201" s="691"/>
      <c r="D12201" s="3"/>
    </row>
    <row r="12202" spans="1:4">
      <c r="A12202" s="691"/>
      <c r="D12202" s="3"/>
    </row>
    <row r="12203" spans="1:4">
      <c r="A12203" s="691"/>
      <c r="D12203" s="3"/>
    </row>
    <row r="12204" spans="1:4">
      <c r="A12204" s="691"/>
      <c r="D12204" s="3"/>
    </row>
    <row r="12205" spans="1:4">
      <c r="A12205" s="691"/>
      <c r="D12205" s="3"/>
    </row>
    <row r="12206" spans="1:4">
      <c r="A12206" s="691"/>
      <c r="D12206" s="3"/>
    </row>
    <row r="12207" spans="1:4">
      <c r="A12207" s="691"/>
      <c r="D12207" s="3"/>
    </row>
    <row r="12208" spans="1:4">
      <c r="A12208" s="691"/>
      <c r="D12208" s="3"/>
    </row>
    <row r="12209" spans="1:4">
      <c r="A12209" s="691"/>
      <c r="D12209" s="3"/>
    </row>
    <row r="12210" spans="1:4">
      <c r="A12210" s="691"/>
      <c r="D12210" s="3"/>
    </row>
    <row r="12211" spans="1:4">
      <c r="A12211" s="691"/>
      <c r="D12211" s="3"/>
    </row>
    <row r="12212" spans="1:4">
      <c r="A12212" s="691"/>
      <c r="D12212" s="3"/>
    </row>
    <row r="12213" spans="1:4">
      <c r="A12213" s="691"/>
      <c r="D12213" s="3"/>
    </row>
    <row r="12214" spans="1:4">
      <c r="A12214" s="691"/>
      <c r="D12214" s="3"/>
    </row>
    <row r="12215" spans="1:4">
      <c r="A12215" s="691"/>
      <c r="D12215" s="3"/>
    </row>
    <row r="12216" spans="1:4">
      <c r="A12216" s="691"/>
      <c r="D12216" s="3"/>
    </row>
    <row r="12217" spans="1:4">
      <c r="A12217" s="691"/>
      <c r="D12217" s="3"/>
    </row>
    <row r="12218" spans="1:4">
      <c r="A12218" s="691"/>
      <c r="D12218" s="3"/>
    </row>
    <row r="12219" spans="1:4">
      <c r="A12219" s="691"/>
      <c r="D12219" s="3"/>
    </row>
    <row r="12220" spans="1:4">
      <c r="A12220" s="691"/>
      <c r="D12220" s="3"/>
    </row>
    <row r="12221" spans="1:4">
      <c r="A12221" s="691"/>
      <c r="D12221" s="3"/>
    </row>
    <row r="12222" spans="1:4">
      <c r="A12222" s="691"/>
      <c r="D12222" s="3"/>
    </row>
    <row r="12223" spans="1:4">
      <c r="A12223" s="691"/>
      <c r="D12223" s="3"/>
    </row>
    <row r="12224" spans="1:4">
      <c r="A12224" s="691"/>
      <c r="D12224" s="3"/>
    </row>
    <row r="12225" spans="1:4">
      <c r="A12225" s="691"/>
      <c r="D12225" s="3"/>
    </row>
    <row r="12226" spans="1:4">
      <c r="A12226" s="691"/>
      <c r="D12226" s="3"/>
    </row>
    <row r="12227" spans="1:4">
      <c r="A12227" s="691"/>
      <c r="D12227" s="3"/>
    </row>
    <row r="12228" spans="1:4">
      <c r="A12228" s="691"/>
      <c r="D12228" s="3"/>
    </row>
    <row r="12229" spans="1:4">
      <c r="A12229" s="691"/>
      <c r="D12229" s="3"/>
    </row>
    <row r="12230" spans="1:4">
      <c r="A12230" s="691"/>
      <c r="D12230" s="3"/>
    </row>
    <row r="12231" spans="1:4">
      <c r="A12231" s="691"/>
      <c r="D12231" s="3"/>
    </row>
    <row r="12232" spans="1:4">
      <c r="A12232" s="691"/>
      <c r="D12232" s="3"/>
    </row>
    <row r="12233" spans="1:4">
      <c r="A12233" s="691"/>
      <c r="D12233" s="3"/>
    </row>
    <row r="12234" spans="1:4">
      <c r="A12234" s="691"/>
      <c r="D12234" s="3"/>
    </row>
    <row r="12235" spans="1:4">
      <c r="A12235" s="691"/>
      <c r="D12235" s="3"/>
    </row>
    <row r="12236" spans="1:4">
      <c r="A12236" s="691"/>
      <c r="D12236" s="3"/>
    </row>
    <row r="12237" spans="1:4">
      <c r="A12237" s="691"/>
      <c r="D12237" s="3"/>
    </row>
    <row r="12238" spans="1:4">
      <c r="A12238" s="691"/>
      <c r="D12238" s="3"/>
    </row>
    <row r="12239" spans="1:4">
      <c r="A12239" s="691"/>
      <c r="D12239" s="3"/>
    </row>
    <row r="12240" spans="1:4">
      <c r="A12240" s="691"/>
      <c r="D12240" s="3"/>
    </row>
    <row r="12241" spans="1:4">
      <c r="A12241" s="691"/>
      <c r="D12241" s="3"/>
    </row>
    <row r="12242" spans="1:4">
      <c r="A12242" s="691"/>
      <c r="D12242" s="3"/>
    </row>
    <row r="12243" spans="1:4">
      <c r="A12243" s="691"/>
      <c r="D12243" s="3"/>
    </row>
    <row r="12244" spans="1:4">
      <c r="A12244" s="691"/>
      <c r="D12244" s="3"/>
    </row>
    <row r="12245" spans="1:4">
      <c r="A12245" s="691"/>
      <c r="D12245" s="3"/>
    </row>
    <row r="12246" spans="1:4">
      <c r="A12246" s="691"/>
      <c r="D12246" s="3"/>
    </row>
    <row r="12247" spans="1:4">
      <c r="A12247" s="691"/>
      <c r="D12247" s="3"/>
    </row>
    <row r="12248" spans="1:4">
      <c r="A12248" s="691"/>
      <c r="D12248" s="3"/>
    </row>
    <row r="12249" spans="1:4">
      <c r="A12249" s="691"/>
      <c r="D12249" s="3"/>
    </row>
    <row r="12250" spans="1:4">
      <c r="A12250" s="691"/>
      <c r="D12250" s="3"/>
    </row>
    <row r="12251" spans="1:4">
      <c r="A12251" s="691"/>
      <c r="D12251" s="3"/>
    </row>
    <row r="12252" spans="1:4">
      <c r="A12252" s="691"/>
      <c r="D12252" s="3"/>
    </row>
    <row r="12253" spans="1:4">
      <c r="A12253" s="691"/>
      <c r="D12253" s="3"/>
    </row>
    <row r="12254" spans="1:4">
      <c r="A12254" s="691"/>
      <c r="D12254" s="3"/>
    </row>
    <row r="12255" spans="1:4">
      <c r="A12255" s="691"/>
      <c r="D12255" s="3"/>
    </row>
    <row r="12256" spans="1:4">
      <c r="A12256" s="691"/>
      <c r="D12256" s="3"/>
    </row>
    <row r="12257" spans="1:4">
      <c r="A12257" s="691"/>
      <c r="D12257" s="3"/>
    </row>
    <row r="12258" spans="1:4">
      <c r="A12258" s="691"/>
      <c r="D12258" s="3"/>
    </row>
    <row r="12259" spans="1:4">
      <c r="A12259" s="691"/>
      <c r="D12259" s="3"/>
    </row>
    <row r="12260" spans="1:4">
      <c r="A12260" s="691"/>
      <c r="D12260" s="3"/>
    </row>
    <row r="12261" spans="1:4">
      <c r="A12261" s="691"/>
      <c r="D12261" s="3"/>
    </row>
    <row r="12262" spans="1:4">
      <c r="A12262" s="691"/>
      <c r="D12262" s="3"/>
    </row>
    <row r="12263" spans="1:4">
      <c r="A12263" s="691"/>
      <c r="D12263" s="3"/>
    </row>
    <row r="12264" spans="1:4">
      <c r="A12264" s="691"/>
      <c r="D12264" s="3"/>
    </row>
    <row r="12265" spans="1:4">
      <c r="A12265" s="691"/>
      <c r="D12265" s="3"/>
    </row>
    <row r="12266" spans="1:4">
      <c r="A12266" s="691"/>
      <c r="D12266" s="3"/>
    </row>
    <row r="12267" spans="1:4">
      <c r="A12267" s="691"/>
      <c r="D12267" s="3"/>
    </row>
    <row r="12268" spans="1:4">
      <c r="A12268" s="691"/>
      <c r="D12268" s="3"/>
    </row>
    <row r="12269" spans="1:4">
      <c r="A12269" s="691"/>
      <c r="D12269" s="3"/>
    </row>
    <row r="12270" spans="1:4">
      <c r="A12270" s="691"/>
      <c r="D12270" s="3"/>
    </row>
    <row r="12271" spans="1:4">
      <c r="A12271" s="691"/>
      <c r="D12271" s="3"/>
    </row>
    <row r="12272" spans="1:4">
      <c r="A12272" s="691"/>
      <c r="D12272" s="3"/>
    </row>
    <row r="12273" spans="1:4">
      <c r="A12273" s="691"/>
      <c r="D12273" s="3"/>
    </row>
    <row r="12274" spans="1:4">
      <c r="A12274" s="691"/>
      <c r="D12274" s="3"/>
    </row>
    <row r="12275" spans="1:4">
      <c r="A12275" s="691"/>
      <c r="D12275" s="3"/>
    </row>
    <row r="12276" spans="1:4">
      <c r="A12276" s="691"/>
      <c r="D12276" s="3"/>
    </row>
    <row r="12277" spans="1:4">
      <c r="A12277" s="691"/>
      <c r="D12277" s="3"/>
    </row>
    <row r="12278" spans="1:4">
      <c r="A12278" s="691"/>
      <c r="D12278" s="3"/>
    </row>
    <row r="12279" spans="1:4">
      <c r="A12279" s="691"/>
      <c r="D12279" s="3"/>
    </row>
    <row r="12280" spans="1:4">
      <c r="A12280" s="691"/>
      <c r="D12280" s="3"/>
    </row>
    <row r="12281" spans="1:4">
      <c r="A12281" s="691"/>
      <c r="D12281" s="3"/>
    </row>
    <row r="12282" spans="1:4">
      <c r="A12282" s="691"/>
      <c r="D12282" s="3"/>
    </row>
    <row r="12283" spans="1:4">
      <c r="A12283" s="691"/>
      <c r="D12283" s="3"/>
    </row>
    <row r="12284" spans="1:4">
      <c r="A12284" s="691"/>
      <c r="D12284" s="3"/>
    </row>
    <row r="12285" spans="1:4">
      <c r="A12285" s="691"/>
      <c r="D12285" s="3"/>
    </row>
    <row r="12286" spans="1:4">
      <c r="A12286" s="691"/>
      <c r="D12286" s="3"/>
    </row>
    <row r="12287" spans="1:4">
      <c r="A12287" s="691"/>
      <c r="D12287" s="3"/>
    </row>
    <row r="12288" spans="1:4">
      <c r="A12288" s="691"/>
      <c r="D12288" s="3"/>
    </row>
    <row r="12289" spans="1:4">
      <c r="A12289" s="691"/>
      <c r="D12289" s="3"/>
    </row>
    <row r="12290" spans="1:4">
      <c r="A12290" s="691"/>
      <c r="D12290" s="3"/>
    </row>
    <row r="12291" spans="1:4">
      <c r="A12291" s="691"/>
      <c r="D12291" s="3"/>
    </row>
    <row r="12292" spans="1:4">
      <c r="A12292" s="691"/>
      <c r="D12292" s="3"/>
    </row>
    <row r="12293" spans="1:4">
      <c r="A12293" s="691"/>
      <c r="D12293" s="3"/>
    </row>
    <row r="12294" spans="1:4">
      <c r="A12294" s="691"/>
      <c r="D12294" s="3"/>
    </row>
    <row r="12295" spans="1:4">
      <c r="A12295" s="691"/>
      <c r="D12295" s="3"/>
    </row>
    <row r="12296" spans="1:4">
      <c r="A12296" s="691"/>
      <c r="D12296" s="3"/>
    </row>
    <row r="12297" spans="1:4">
      <c r="A12297" s="691"/>
      <c r="D12297" s="3"/>
    </row>
    <row r="12298" spans="1:4">
      <c r="A12298" s="691"/>
      <c r="D12298" s="3"/>
    </row>
    <row r="12299" spans="1:4">
      <c r="A12299" s="691"/>
      <c r="D12299" s="3"/>
    </row>
    <row r="12300" spans="1:4">
      <c r="A12300" s="691"/>
      <c r="D12300" s="3"/>
    </row>
    <row r="12301" spans="1:4">
      <c r="A12301" s="691"/>
      <c r="D12301" s="3"/>
    </row>
    <row r="12302" spans="1:4">
      <c r="A12302" s="691"/>
      <c r="D12302" s="3"/>
    </row>
    <row r="12303" spans="1:4">
      <c r="A12303" s="691"/>
      <c r="D12303" s="3"/>
    </row>
    <row r="12304" spans="1:4">
      <c r="A12304" s="691"/>
      <c r="D12304" s="3"/>
    </row>
    <row r="12305" spans="1:4">
      <c r="A12305" s="691"/>
      <c r="D12305" s="3"/>
    </row>
    <row r="12306" spans="1:4">
      <c r="A12306" s="691"/>
      <c r="D12306" s="3"/>
    </row>
    <row r="12307" spans="1:4">
      <c r="A12307" s="691"/>
      <c r="D12307" s="3"/>
    </row>
    <row r="12308" spans="1:4">
      <c r="A12308" s="691"/>
      <c r="D12308" s="3"/>
    </row>
    <row r="12309" spans="1:4">
      <c r="A12309" s="691"/>
      <c r="D12309" s="3"/>
    </row>
    <row r="12310" spans="1:4">
      <c r="A12310" s="691"/>
      <c r="D12310" s="3"/>
    </row>
    <row r="12311" spans="1:4">
      <c r="A12311" s="691"/>
      <c r="D12311" s="3"/>
    </row>
    <row r="12312" spans="1:4">
      <c r="A12312" s="691"/>
      <c r="D12312" s="3"/>
    </row>
    <row r="12313" spans="1:4">
      <c r="A12313" s="691"/>
      <c r="D12313" s="3"/>
    </row>
    <row r="12314" spans="1:4">
      <c r="A12314" s="691"/>
      <c r="D12314" s="3"/>
    </row>
    <row r="12315" spans="1:4">
      <c r="A12315" s="691"/>
      <c r="D12315" s="3"/>
    </row>
    <row r="12316" spans="1:4">
      <c r="A12316" s="691"/>
      <c r="D12316" s="3"/>
    </row>
    <row r="12317" spans="1:4">
      <c r="A12317" s="691"/>
      <c r="D12317" s="3"/>
    </row>
    <row r="12318" spans="1:4">
      <c r="A12318" s="691"/>
      <c r="D12318" s="3"/>
    </row>
    <row r="12319" spans="1:4">
      <c r="A12319" s="691"/>
      <c r="D12319" s="3"/>
    </row>
    <row r="12320" spans="1:4">
      <c r="A12320" s="691"/>
      <c r="D12320" s="3"/>
    </row>
    <row r="12321" spans="1:4">
      <c r="A12321" s="691"/>
      <c r="D12321" s="3"/>
    </row>
    <row r="12322" spans="1:4">
      <c r="A12322" s="691"/>
      <c r="D12322" s="3"/>
    </row>
    <row r="12323" spans="1:4">
      <c r="A12323" s="691"/>
      <c r="D12323" s="3"/>
    </row>
    <row r="12324" spans="1:4">
      <c r="A12324" s="691"/>
      <c r="D12324" s="3"/>
    </row>
    <row r="12325" spans="1:4">
      <c r="A12325" s="691"/>
      <c r="D12325" s="3"/>
    </row>
    <row r="12326" spans="1:4">
      <c r="A12326" s="691"/>
      <c r="D12326" s="3"/>
    </row>
    <row r="12327" spans="1:4">
      <c r="A12327" s="691"/>
      <c r="D12327" s="3"/>
    </row>
    <row r="12328" spans="1:4">
      <c r="A12328" s="691"/>
      <c r="D12328" s="3"/>
    </row>
    <row r="12329" spans="1:4">
      <c r="A12329" s="691"/>
      <c r="D12329" s="3"/>
    </row>
    <row r="12330" spans="1:4">
      <c r="A12330" s="691"/>
      <c r="D12330" s="3"/>
    </row>
    <row r="12331" spans="1:4">
      <c r="A12331" s="691"/>
      <c r="D12331" s="3"/>
    </row>
    <row r="12332" spans="1:4">
      <c r="A12332" s="691"/>
      <c r="D12332" s="3"/>
    </row>
    <row r="12333" spans="1:4">
      <c r="A12333" s="691"/>
      <c r="D12333" s="3"/>
    </row>
    <row r="12334" spans="1:4">
      <c r="A12334" s="691"/>
      <c r="D12334" s="3"/>
    </row>
    <row r="12335" spans="1:4">
      <c r="A12335" s="691"/>
      <c r="D12335" s="3"/>
    </row>
    <row r="12336" spans="1:4">
      <c r="A12336" s="691"/>
      <c r="D12336" s="3"/>
    </row>
    <row r="12337" spans="1:4">
      <c r="A12337" s="691"/>
      <c r="D12337" s="3"/>
    </row>
    <row r="12338" spans="1:4">
      <c r="A12338" s="691"/>
      <c r="D12338" s="3"/>
    </row>
    <row r="12339" spans="1:4">
      <c r="A12339" s="691"/>
      <c r="D12339" s="3"/>
    </row>
    <row r="12340" spans="1:4">
      <c r="A12340" s="691"/>
      <c r="D12340" s="3"/>
    </row>
    <row r="12341" spans="1:4">
      <c r="A12341" s="691"/>
      <c r="D12341" s="3"/>
    </row>
    <row r="12342" spans="1:4">
      <c r="A12342" s="691"/>
      <c r="D12342" s="3"/>
    </row>
    <row r="12343" spans="1:4">
      <c r="A12343" s="691"/>
      <c r="D12343" s="3"/>
    </row>
    <row r="12344" spans="1:4">
      <c r="A12344" s="691"/>
      <c r="D12344" s="3"/>
    </row>
    <row r="12345" spans="1:4">
      <c r="A12345" s="691"/>
      <c r="D12345" s="3"/>
    </row>
    <row r="12346" spans="1:4">
      <c r="A12346" s="691"/>
      <c r="D12346" s="3"/>
    </row>
    <row r="12347" spans="1:4">
      <c r="A12347" s="691"/>
      <c r="D12347" s="3"/>
    </row>
    <row r="12348" spans="1:4">
      <c r="A12348" s="691"/>
      <c r="D12348" s="3"/>
    </row>
    <row r="12349" spans="1:4">
      <c r="A12349" s="691"/>
      <c r="D12349" s="3"/>
    </row>
    <row r="12350" spans="1:4">
      <c r="A12350" s="691"/>
      <c r="D12350" s="3"/>
    </row>
    <row r="12351" spans="1:4">
      <c r="A12351" s="691"/>
      <c r="D12351" s="3"/>
    </row>
    <row r="12352" spans="1:4">
      <c r="A12352" s="691"/>
      <c r="D12352" s="3"/>
    </row>
    <row r="12353" spans="1:4">
      <c r="A12353" s="691"/>
      <c r="D12353" s="3"/>
    </row>
    <row r="12354" spans="1:4">
      <c r="A12354" s="691"/>
      <c r="D12354" s="3"/>
    </row>
    <row r="12355" spans="1:4">
      <c r="A12355" s="691"/>
      <c r="D12355" s="3"/>
    </row>
    <row r="12356" spans="1:4">
      <c r="A12356" s="691"/>
      <c r="D12356" s="3"/>
    </row>
    <row r="12357" spans="1:4">
      <c r="A12357" s="691"/>
      <c r="D12357" s="3"/>
    </row>
    <row r="12358" spans="1:4">
      <c r="A12358" s="691"/>
      <c r="D12358" s="3"/>
    </row>
    <row r="12359" spans="1:4">
      <c r="A12359" s="691"/>
      <c r="D12359" s="3"/>
    </row>
    <row r="12360" spans="1:4">
      <c r="A12360" s="691"/>
      <c r="D12360" s="3"/>
    </row>
    <row r="12361" spans="1:4">
      <c r="A12361" s="691"/>
      <c r="D12361" s="3"/>
    </row>
    <row r="12362" spans="1:4">
      <c r="A12362" s="691"/>
      <c r="D12362" s="3"/>
    </row>
    <row r="12363" spans="1:4">
      <c r="A12363" s="691"/>
      <c r="D12363" s="3"/>
    </row>
    <row r="12364" spans="1:4">
      <c r="A12364" s="691"/>
      <c r="D12364" s="3"/>
    </row>
    <row r="12365" spans="1:4">
      <c r="A12365" s="691"/>
      <c r="D12365" s="3"/>
    </row>
    <row r="12366" spans="1:4">
      <c r="A12366" s="691"/>
      <c r="D12366" s="3"/>
    </row>
    <row r="12367" spans="1:4">
      <c r="A12367" s="691"/>
      <c r="D12367" s="3"/>
    </row>
    <row r="12368" spans="1:4">
      <c r="A12368" s="691"/>
      <c r="D12368" s="3"/>
    </row>
    <row r="12369" spans="1:4">
      <c r="A12369" s="691"/>
      <c r="D12369" s="3"/>
    </row>
    <row r="12370" spans="1:4">
      <c r="A12370" s="691"/>
      <c r="D12370" s="3"/>
    </row>
    <row r="12371" spans="1:4">
      <c r="A12371" s="691"/>
      <c r="D12371" s="3"/>
    </row>
    <row r="12372" spans="1:4">
      <c r="A12372" s="691"/>
      <c r="D12372" s="3"/>
    </row>
    <row r="12373" spans="1:4">
      <c r="A12373" s="691"/>
      <c r="D12373" s="3"/>
    </row>
    <row r="12374" spans="1:4">
      <c r="A12374" s="691"/>
      <c r="D12374" s="3"/>
    </row>
    <row r="12375" spans="1:4">
      <c r="A12375" s="691"/>
      <c r="D12375" s="3"/>
    </row>
    <row r="12376" spans="1:4">
      <c r="A12376" s="691"/>
      <c r="D12376" s="3"/>
    </row>
    <row r="12377" spans="1:4">
      <c r="A12377" s="691"/>
      <c r="D12377" s="3"/>
    </row>
    <row r="12378" spans="1:4">
      <c r="A12378" s="691"/>
      <c r="D12378" s="3"/>
    </row>
    <row r="12379" spans="1:4">
      <c r="A12379" s="691"/>
      <c r="D12379" s="3"/>
    </row>
    <row r="12380" spans="1:4">
      <c r="A12380" s="691"/>
      <c r="D12380" s="3"/>
    </row>
    <row r="12381" spans="1:4">
      <c r="A12381" s="691"/>
      <c r="D12381" s="3"/>
    </row>
    <row r="12382" spans="1:4">
      <c r="A12382" s="691"/>
      <c r="D12382" s="3"/>
    </row>
    <row r="12383" spans="1:4">
      <c r="A12383" s="691"/>
      <c r="D12383" s="3"/>
    </row>
    <row r="12384" spans="1:4">
      <c r="A12384" s="691"/>
      <c r="D12384" s="3"/>
    </row>
    <row r="12385" spans="1:4">
      <c r="A12385" s="691"/>
      <c r="D12385" s="3"/>
    </row>
    <row r="12386" spans="1:4">
      <c r="A12386" s="691"/>
      <c r="D12386" s="3"/>
    </row>
    <row r="12387" spans="1:4">
      <c r="A12387" s="691"/>
      <c r="D12387" s="3"/>
    </row>
    <row r="12388" spans="1:4">
      <c r="A12388" s="691"/>
      <c r="D12388" s="3"/>
    </row>
    <row r="12389" spans="1:4">
      <c r="A12389" s="691"/>
      <c r="D12389" s="3"/>
    </row>
    <row r="12390" spans="1:4">
      <c r="A12390" s="691"/>
      <c r="D12390" s="3"/>
    </row>
    <row r="12391" spans="1:4">
      <c r="A12391" s="691"/>
      <c r="D12391" s="3"/>
    </row>
    <row r="12392" spans="1:4">
      <c r="A12392" s="691"/>
      <c r="D12392" s="3"/>
    </row>
    <row r="12393" spans="1:4">
      <c r="A12393" s="691"/>
      <c r="D12393" s="3"/>
    </row>
    <row r="12394" spans="1:4">
      <c r="A12394" s="691"/>
      <c r="D12394" s="3"/>
    </row>
    <row r="12395" spans="1:4">
      <c r="A12395" s="691"/>
      <c r="D12395" s="3"/>
    </row>
    <row r="12396" spans="1:4">
      <c r="A12396" s="691"/>
      <c r="D12396" s="3"/>
    </row>
    <row r="12397" spans="1:4">
      <c r="A12397" s="691"/>
      <c r="D12397" s="3"/>
    </row>
    <row r="12398" spans="1:4">
      <c r="A12398" s="691"/>
      <c r="D12398" s="3"/>
    </row>
    <row r="12399" spans="1:4">
      <c r="A12399" s="691"/>
      <c r="D12399" s="3"/>
    </row>
    <row r="12400" spans="1:4">
      <c r="A12400" s="691"/>
      <c r="D12400" s="3"/>
    </row>
    <row r="12401" spans="1:4">
      <c r="A12401" s="691"/>
      <c r="D12401" s="3"/>
    </row>
    <row r="12402" spans="1:4">
      <c r="A12402" s="691"/>
      <c r="D12402" s="3"/>
    </row>
    <row r="12403" spans="1:4">
      <c r="A12403" s="691"/>
      <c r="D12403" s="3"/>
    </row>
    <row r="12404" spans="1:4">
      <c r="A12404" s="691"/>
      <c r="D12404" s="3"/>
    </row>
    <row r="12405" spans="1:4">
      <c r="A12405" s="691"/>
      <c r="D12405" s="3"/>
    </row>
    <row r="12406" spans="1:4">
      <c r="A12406" s="691"/>
      <c r="D12406" s="3"/>
    </row>
    <row r="12407" spans="1:4">
      <c r="A12407" s="691"/>
      <c r="D12407" s="3"/>
    </row>
    <row r="12408" spans="1:4">
      <c r="A12408" s="691"/>
      <c r="D12408" s="3"/>
    </row>
    <row r="12409" spans="1:4">
      <c r="A12409" s="691"/>
      <c r="D12409" s="3"/>
    </row>
    <row r="12410" spans="1:4">
      <c r="A12410" s="691"/>
      <c r="D12410" s="3"/>
    </row>
    <row r="12411" spans="1:4">
      <c r="A12411" s="691"/>
      <c r="D12411" s="3"/>
    </row>
    <row r="12412" spans="1:4">
      <c r="A12412" s="691"/>
      <c r="D12412" s="3"/>
    </row>
    <row r="12413" spans="1:4">
      <c r="A12413" s="691"/>
      <c r="D12413" s="3"/>
    </row>
    <row r="12414" spans="1:4">
      <c r="A12414" s="691"/>
      <c r="D12414" s="3"/>
    </row>
    <row r="12415" spans="1:4">
      <c r="A12415" s="691"/>
      <c r="D12415" s="3"/>
    </row>
    <row r="12416" spans="1:4">
      <c r="A12416" s="691"/>
      <c r="D12416" s="3"/>
    </row>
    <row r="12417" spans="1:4">
      <c r="A12417" s="691"/>
      <c r="D12417" s="3"/>
    </row>
    <row r="12418" spans="1:4">
      <c r="A12418" s="691"/>
      <c r="D12418" s="3"/>
    </row>
    <row r="12419" spans="1:4">
      <c r="A12419" s="691"/>
      <c r="D12419" s="3"/>
    </row>
    <row r="12420" spans="1:4">
      <c r="A12420" s="691"/>
      <c r="D12420" s="3"/>
    </row>
    <row r="12421" spans="1:4">
      <c r="A12421" s="691"/>
      <c r="D12421" s="3"/>
    </row>
    <row r="12422" spans="1:4">
      <c r="A12422" s="691"/>
      <c r="D12422" s="3"/>
    </row>
    <row r="12423" spans="1:4">
      <c r="A12423" s="691"/>
      <c r="D12423" s="3"/>
    </row>
    <row r="12424" spans="1:4">
      <c r="A12424" s="691"/>
      <c r="D12424" s="3"/>
    </row>
    <row r="12425" spans="1:4">
      <c r="A12425" s="691"/>
      <c r="D12425" s="3"/>
    </row>
    <row r="12426" spans="1:4">
      <c r="A12426" s="691"/>
      <c r="D12426" s="3"/>
    </row>
    <row r="12427" spans="1:4">
      <c r="A12427" s="691"/>
      <c r="D12427" s="3"/>
    </row>
    <row r="12428" spans="1:4">
      <c r="A12428" s="691"/>
      <c r="D12428" s="3"/>
    </row>
    <row r="12429" spans="1:4">
      <c r="A12429" s="691"/>
      <c r="D12429" s="3"/>
    </row>
    <row r="12430" spans="1:4">
      <c r="A12430" s="691"/>
      <c r="D12430" s="3"/>
    </row>
    <row r="12431" spans="1:4">
      <c r="A12431" s="691"/>
      <c r="D12431" s="3"/>
    </row>
    <row r="12432" spans="1:4">
      <c r="A12432" s="691"/>
      <c r="D12432" s="3"/>
    </row>
    <row r="12433" spans="1:4">
      <c r="A12433" s="691"/>
      <c r="D12433" s="3"/>
    </row>
    <row r="12434" spans="1:4">
      <c r="A12434" s="691"/>
      <c r="D12434" s="3"/>
    </row>
    <row r="12435" spans="1:4">
      <c r="A12435" s="691"/>
      <c r="D12435" s="3"/>
    </row>
    <row r="12436" spans="1:4">
      <c r="A12436" s="691"/>
      <c r="D12436" s="3"/>
    </row>
    <row r="12437" spans="1:4">
      <c r="A12437" s="691"/>
      <c r="D12437" s="3"/>
    </row>
    <row r="12438" spans="1:4">
      <c r="A12438" s="691"/>
      <c r="D12438" s="3"/>
    </row>
    <row r="12439" spans="1:4">
      <c r="A12439" s="691"/>
      <c r="D12439" s="3"/>
    </row>
    <row r="12440" spans="1:4">
      <c r="A12440" s="691"/>
      <c r="D12440" s="3"/>
    </row>
    <row r="12441" spans="1:4">
      <c r="A12441" s="691"/>
      <c r="D12441" s="3"/>
    </row>
    <row r="12442" spans="1:4">
      <c r="A12442" s="691"/>
      <c r="D12442" s="3"/>
    </row>
    <row r="12443" spans="1:4">
      <c r="A12443" s="691"/>
      <c r="D12443" s="3"/>
    </row>
    <row r="12444" spans="1:4">
      <c r="A12444" s="691"/>
      <c r="D12444" s="3"/>
    </row>
    <row r="12445" spans="1:4">
      <c r="A12445" s="691"/>
      <c r="D12445" s="3"/>
    </row>
    <row r="12446" spans="1:4">
      <c r="A12446" s="691"/>
      <c r="D12446" s="3"/>
    </row>
    <row r="12447" spans="1:4">
      <c r="A12447" s="691"/>
      <c r="D12447" s="3"/>
    </row>
    <row r="12448" spans="1:4">
      <c r="A12448" s="691"/>
      <c r="D12448" s="3"/>
    </row>
    <row r="12449" spans="1:4">
      <c r="A12449" s="691"/>
      <c r="D12449" s="3"/>
    </row>
    <row r="12450" spans="1:4">
      <c r="A12450" s="691"/>
      <c r="D12450" s="3"/>
    </row>
    <row r="12451" spans="1:4">
      <c r="A12451" s="691"/>
      <c r="D12451" s="3"/>
    </row>
    <row r="12452" spans="1:4">
      <c r="A12452" s="691"/>
      <c r="D12452" s="3"/>
    </row>
    <row r="12453" spans="1:4">
      <c r="A12453" s="691"/>
      <c r="D12453" s="3"/>
    </row>
    <row r="12454" spans="1:4">
      <c r="A12454" s="691"/>
      <c r="D12454" s="3"/>
    </row>
    <row r="12455" spans="1:4">
      <c r="A12455" s="691"/>
      <c r="D12455" s="3"/>
    </row>
    <row r="12456" spans="1:4">
      <c r="A12456" s="691"/>
      <c r="D12456" s="3"/>
    </row>
    <row r="12457" spans="1:4">
      <c r="A12457" s="691"/>
      <c r="D12457" s="3"/>
    </row>
    <row r="12458" spans="1:4">
      <c r="A12458" s="691"/>
      <c r="D12458" s="3"/>
    </row>
    <row r="12459" spans="1:4">
      <c r="A12459" s="691"/>
      <c r="D12459" s="3"/>
    </row>
    <row r="12460" spans="1:4">
      <c r="A12460" s="691"/>
      <c r="D12460" s="3"/>
    </row>
    <row r="12461" spans="1:4">
      <c r="A12461" s="691"/>
      <c r="D12461" s="3"/>
    </row>
    <row r="12462" spans="1:4">
      <c r="A12462" s="691"/>
      <c r="D12462" s="3"/>
    </row>
    <row r="12463" spans="1:4">
      <c r="A12463" s="691"/>
      <c r="D12463" s="3"/>
    </row>
    <row r="12464" spans="1:4">
      <c r="A12464" s="691"/>
      <c r="D12464" s="3"/>
    </row>
    <row r="12465" spans="1:4">
      <c r="A12465" s="691"/>
      <c r="D12465" s="3"/>
    </row>
    <row r="12466" spans="1:4">
      <c r="A12466" s="691"/>
      <c r="D12466" s="3"/>
    </row>
    <row r="12467" spans="1:4">
      <c r="A12467" s="691"/>
      <c r="D12467" s="3"/>
    </row>
    <row r="12468" spans="1:4">
      <c r="A12468" s="691"/>
      <c r="D12468" s="3"/>
    </row>
    <row r="12469" spans="1:4">
      <c r="A12469" s="691"/>
      <c r="D12469" s="3"/>
    </row>
    <row r="12470" spans="1:4">
      <c r="A12470" s="691"/>
      <c r="D12470" s="3"/>
    </row>
    <row r="12471" spans="1:4">
      <c r="A12471" s="691"/>
      <c r="D12471" s="3"/>
    </row>
    <row r="12472" spans="1:4">
      <c r="A12472" s="691"/>
      <c r="D12472" s="3"/>
    </row>
    <row r="12473" spans="1:4">
      <c r="A12473" s="691"/>
      <c r="D12473" s="3"/>
    </row>
    <row r="12474" spans="1:4">
      <c r="A12474" s="691"/>
      <c r="D12474" s="3"/>
    </row>
    <row r="12475" spans="1:4">
      <c r="A12475" s="691"/>
      <c r="D12475" s="3"/>
    </row>
    <row r="12476" spans="1:4">
      <c r="A12476" s="691"/>
      <c r="D12476" s="3"/>
    </row>
    <row r="12477" spans="1:4">
      <c r="A12477" s="691"/>
      <c r="D12477" s="3"/>
    </row>
    <row r="12478" spans="1:4">
      <c r="A12478" s="691"/>
      <c r="D12478" s="3"/>
    </row>
    <row r="12479" spans="1:4">
      <c r="A12479" s="691"/>
      <c r="D12479" s="3"/>
    </row>
    <row r="12480" spans="1:4">
      <c r="A12480" s="691"/>
      <c r="D12480" s="3"/>
    </row>
    <row r="12481" spans="1:4">
      <c r="A12481" s="691"/>
      <c r="D12481" s="3"/>
    </row>
    <row r="12482" spans="1:4">
      <c r="A12482" s="691"/>
      <c r="D12482" s="3"/>
    </row>
    <row r="12483" spans="1:4">
      <c r="A12483" s="691"/>
      <c r="D12483" s="3"/>
    </row>
    <row r="12484" spans="1:4">
      <c r="A12484" s="691"/>
      <c r="D12484" s="3"/>
    </row>
    <row r="12485" spans="1:4">
      <c r="A12485" s="691"/>
      <c r="D12485" s="3"/>
    </row>
    <row r="12486" spans="1:4">
      <c r="A12486" s="691"/>
      <c r="D12486" s="3"/>
    </row>
    <row r="12487" spans="1:4">
      <c r="A12487" s="691"/>
      <c r="D12487" s="3"/>
    </row>
    <row r="12488" spans="1:4">
      <c r="A12488" s="691"/>
      <c r="D12488" s="3"/>
    </row>
    <row r="12489" spans="1:4">
      <c r="A12489" s="691"/>
      <c r="D12489" s="3"/>
    </row>
    <row r="12490" spans="1:4">
      <c r="A12490" s="691"/>
      <c r="D12490" s="3"/>
    </row>
    <row r="12491" spans="1:4">
      <c r="A12491" s="691"/>
      <c r="D12491" s="3"/>
    </row>
    <row r="12492" spans="1:4">
      <c r="A12492" s="691"/>
      <c r="D12492" s="3"/>
    </row>
    <row r="12493" spans="1:4">
      <c r="A12493" s="691"/>
      <c r="D12493" s="3"/>
    </row>
    <row r="12494" spans="1:4">
      <c r="A12494" s="691"/>
      <c r="D12494" s="3"/>
    </row>
    <row r="12495" spans="1:4">
      <c r="A12495" s="691"/>
      <c r="D12495" s="3"/>
    </row>
    <row r="12496" spans="1:4">
      <c r="A12496" s="691"/>
      <c r="D12496" s="3"/>
    </row>
    <row r="12497" spans="1:4">
      <c r="A12497" s="691"/>
      <c r="D12497" s="3"/>
    </row>
    <row r="12498" spans="1:4">
      <c r="A12498" s="691"/>
      <c r="D12498" s="3"/>
    </row>
    <row r="12499" spans="1:4">
      <c r="A12499" s="691"/>
      <c r="D12499" s="3"/>
    </row>
    <row r="12500" spans="1:4">
      <c r="A12500" s="691"/>
      <c r="D12500" s="3"/>
    </row>
    <row r="12501" spans="1:4">
      <c r="A12501" s="691"/>
      <c r="D12501" s="3"/>
    </row>
    <row r="12502" spans="1:4">
      <c r="A12502" s="691"/>
      <c r="D12502" s="3"/>
    </row>
    <row r="12503" spans="1:4">
      <c r="A12503" s="691"/>
      <c r="D12503" s="3"/>
    </row>
    <row r="12504" spans="1:4">
      <c r="A12504" s="691"/>
      <c r="D12504" s="3"/>
    </row>
    <row r="12505" spans="1:4">
      <c r="A12505" s="691"/>
      <c r="D12505" s="3"/>
    </row>
    <row r="12506" spans="1:4">
      <c r="A12506" s="691"/>
      <c r="D12506" s="3"/>
    </row>
    <row r="12507" spans="1:4">
      <c r="A12507" s="691"/>
      <c r="D12507" s="3"/>
    </row>
    <row r="12508" spans="1:4">
      <c r="A12508" s="691"/>
      <c r="D12508" s="3"/>
    </row>
    <row r="12509" spans="1:4">
      <c r="A12509" s="691"/>
      <c r="D12509" s="3"/>
    </row>
    <row r="12510" spans="1:4">
      <c r="A12510" s="691"/>
      <c r="D12510" s="3"/>
    </row>
    <row r="12511" spans="1:4">
      <c r="A12511" s="691"/>
      <c r="D12511" s="3"/>
    </row>
    <row r="12512" spans="1:4">
      <c r="A12512" s="691"/>
      <c r="D12512" s="3"/>
    </row>
    <row r="12513" spans="1:4">
      <c r="A12513" s="691"/>
      <c r="D12513" s="3"/>
    </row>
    <row r="12514" spans="1:4">
      <c r="A12514" s="691"/>
      <c r="D12514" s="3"/>
    </row>
    <row r="12515" spans="1:4">
      <c r="A12515" s="691"/>
      <c r="D12515" s="3"/>
    </row>
    <row r="12516" spans="1:4">
      <c r="A12516" s="691"/>
      <c r="D12516" s="3"/>
    </row>
    <row r="12517" spans="1:4">
      <c r="A12517" s="691"/>
      <c r="D12517" s="3"/>
    </row>
    <row r="12518" spans="1:4">
      <c r="A12518" s="691"/>
      <c r="D12518" s="3"/>
    </row>
    <row r="12519" spans="1:4">
      <c r="A12519" s="691"/>
      <c r="D12519" s="3"/>
    </row>
    <row r="12520" spans="1:4">
      <c r="A12520" s="691"/>
      <c r="D12520" s="3"/>
    </row>
    <row r="12521" spans="1:4">
      <c r="A12521" s="691"/>
      <c r="D12521" s="3"/>
    </row>
    <row r="12522" spans="1:4">
      <c r="A12522" s="691"/>
      <c r="D12522" s="3"/>
    </row>
    <row r="12523" spans="1:4">
      <c r="A12523" s="691"/>
      <c r="D12523" s="3"/>
    </row>
    <row r="12524" spans="1:4">
      <c r="A12524" s="691"/>
      <c r="D12524" s="3"/>
    </row>
    <row r="12525" spans="1:4">
      <c r="A12525" s="691"/>
      <c r="D12525" s="3"/>
    </row>
    <row r="12526" spans="1:4">
      <c r="A12526" s="691"/>
      <c r="D12526" s="3"/>
    </row>
    <row r="12527" spans="1:4">
      <c r="A12527" s="691"/>
      <c r="D12527" s="3"/>
    </row>
    <row r="12528" spans="1:4">
      <c r="A12528" s="691"/>
      <c r="D12528" s="3"/>
    </row>
    <row r="12529" spans="1:4">
      <c r="A12529" s="691"/>
      <c r="D12529" s="3"/>
    </row>
    <row r="12530" spans="1:4">
      <c r="A12530" s="691"/>
      <c r="D12530" s="3"/>
    </row>
    <row r="12531" spans="1:4">
      <c r="A12531" s="691"/>
      <c r="D12531" s="3"/>
    </row>
    <row r="12532" spans="1:4">
      <c r="A12532" s="691"/>
      <c r="D12532" s="3"/>
    </row>
    <row r="12533" spans="1:4">
      <c r="A12533" s="691"/>
      <c r="D12533" s="3"/>
    </row>
    <row r="12534" spans="1:4">
      <c r="A12534" s="691"/>
      <c r="D12534" s="3"/>
    </row>
    <row r="12535" spans="1:4">
      <c r="A12535" s="691"/>
      <c r="D12535" s="3"/>
    </row>
    <row r="12536" spans="1:4">
      <c r="A12536" s="691"/>
      <c r="D12536" s="3"/>
    </row>
    <row r="12537" spans="1:4">
      <c r="A12537" s="691"/>
      <c r="D12537" s="3"/>
    </row>
    <row r="12538" spans="1:4">
      <c r="A12538" s="691"/>
      <c r="D12538" s="3"/>
    </row>
    <row r="12539" spans="1:4">
      <c r="A12539" s="691"/>
      <c r="D12539" s="3"/>
    </row>
    <row r="12540" spans="1:4">
      <c r="A12540" s="691"/>
      <c r="D12540" s="3"/>
    </row>
    <row r="12541" spans="1:4">
      <c r="A12541" s="691"/>
      <c r="D12541" s="3"/>
    </row>
    <row r="12542" spans="1:4">
      <c r="A12542" s="691"/>
      <c r="D12542" s="3"/>
    </row>
    <row r="12543" spans="1:4">
      <c r="A12543" s="691"/>
      <c r="D12543" s="3"/>
    </row>
    <row r="12544" spans="1:4">
      <c r="A12544" s="691"/>
      <c r="D12544" s="3"/>
    </row>
    <row r="12545" spans="1:4">
      <c r="A12545" s="691"/>
      <c r="D12545" s="3"/>
    </row>
    <row r="12546" spans="1:4">
      <c r="A12546" s="691"/>
      <c r="D12546" s="3"/>
    </row>
    <row r="12547" spans="1:4">
      <c r="A12547" s="691"/>
      <c r="D12547" s="3"/>
    </row>
    <row r="12548" spans="1:4">
      <c r="A12548" s="691"/>
      <c r="D12548" s="3"/>
    </row>
    <row r="12549" spans="1:4">
      <c r="A12549" s="691"/>
      <c r="D12549" s="3"/>
    </row>
    <row r="12550" spans="1:4">
      <c r="A12550" s="691"/>
      <c r="D12550" s="3"/>
    </row>
    <row r="12551" spans="1:4">
      <c r="A12551" s="691"/>
      <c r="D12551" s="3"/>
    </row>
    <row r="12552" spans="1:4">
      <c r="A12552" s="691"/>
      <c r="D12552" s="3"/>
    </row>
    <row r="12553" spans="1:4">
      <c r="A12553" s="691"/>
      <c r="D12553" s="3"/>
    </row>
    <row r="12554" spans="1:4">
      <c r="A12554" s="691"/>
      <c r="D12554" s="3"/>
    </row>
    <row r="12555" spans="1:4">
      <c r="A12555" s="691"/>
      <c r="D12555" s="3"/>
    </row>
    <row r="12556" spans="1:4">
      <c r="A12556" s="691"/>
      <c r="D12556" s="3"/>
    </row>
    <row r="12557" spans="1:4">
      <c r="A12557" s="691"/>
      <c r="D12557" s="3"/>
    </row>
    <row r="12558" spans="1:4">
      <c r="A12558" s="691"/>
      <c r="D12558" s="3"/>
    </row>
    <row r="12559" spans="1:4">
      <c r="A12559" s="691"/>
      <c r="D12559" s="3"/>
    </row>
    <row r="12560" spans="1:4">
      <c r="A12560" s="691"/>
      <c r="D12560" s="3"/>
    </row>
    <row r="12561" spans="1:4">
      <c r="A12561" s="691"/>
      <c r="D12561" s="3"/>
    </row>
    <row r="12562" spans="1:4">
      <c r="A12562" s="691"/>
      <c r="D12562" s="3"/>
    </row>
    <row r="12563" spans="1:4">
      <c r="A12563" s="691"/>
      <c r="D12563" s="3"/>
    </row>
    <row r="12564" spans="1:4">
      <c r="A12564" s="691"/>
      <c r="D12564" s="3"/>
    </row>
    <row r="12565" spans="1:4">
      <c r="A12565" s="691"/>
      <c r="D12565" s="3"/>
    </row>
    <row r="12566" spans="1:4">
      <c r="A12566" s="691"/>
      <c r="D12566" s="3"/>
    </row>
    <row r="12567" spans="1:4">
      <c r="A12567" s="691"/>
      <c r="D12567" s="3"/>
    </row>
    <row r="12568" spans="1:4">
      <c r="A12568" s="691"/>
      <c r="D12568" s="3"/>
    </row>
    <row r="12569" spans="1:4">
      <c r="A12569" s="691"/>
      <c r="D12569" s="3"/>
    </row>
    <row r="12570" spans="1:4">
      <c r="A12570" s="691"/>
      <c r="D12570" s="3"/>
    </row>
    <row r="12571" spans="1:4">
      <c r="A12571" s="691"/>
      <c r="D12571" s="3"/>
    </row>
    <row r="12572" spans="1:4">
      <c r="A12572" s="691"/>
      <c r="D12572" s="3"/>
    </row>
    <row r="12573" spans="1:4">
      <c r="A12573" s="691"/>
      <c r="D12573" s="3"/>
    </row>
    <row r="12574" spans="1:4">
      <c r="A12574" s="691"/>
      <c r="D12574" s="3"/>
    </row>
    <row r="12575" spans="1:4">
      <c r="A12575" s="691"/>
      <c r="D12575" s="3"/>
    </row>
    <row r="12576" spans="1:4">
      <c r="A12576" s="691"/>
      <c r="D12576" s="3"/>
    </row>
    <row r="12577" spans="1:4">
      <c r="A12577" s="691"/>
      <c r="D12577" s="3"/>
    </row>
    <row r="12578" spans="1:4">
      <c r="A12578" s="691"/>
      <c r="D12578" s="3"/>
    </row>
    <row r="12579" spans="1:4">
      <c r="A12579" s="691"/>
      <c r="D12579" s="3"/>
    </row>
    <row r="12580" spans="1:4">
      <c r="A12580" s="691"/>
      <c r="D12580" s="3"/>
    </row>
    <row r="12581" spans="1:4">
      <c r="A12581" s="691"/>
      <c r="D12581" s="3"/>
    </row>
    <row r="12582" spans="1:4">
      <c r="A12582" s="691"/>
      <c r="D12582" s="3"/>
    </row>
    <row r="12583" spans="1:4">
      <c r="A12583" s="691"/>
      <c r="D12583" s="3"/>
    </row>
    <row r="12584" spans="1:4">
      <c r="A12584" s="691"/>
      <c r="D12584" s="3"/>
    </row>
    <row r="12585" spans="1:4">
      <c r="A12585" s="691"/>
      <c r="D12585" s="3"/>
    </row>
    <row r="12586" spans="1:4">
      <c r="A12586" s="691"/>
      <c r="D12586" s="3"/>
    </row>
    <row r="12587" spans="1:4">
      <c r="A12587" s="691"/>
      <c r="D12587" s="3"/>
    </row>
    <row r="12588" spans="1:4">
      <c r="A12588" s="691"/>
      <c r="D12588" s="3"/>
    </row>
    <row r="12589" spans="1:4">
      <c r="A12589" s="691"/>
      <c r="D12589" s="3"/>
    </row>
    <row r="12590" spans="1:4">
      <c r="A12590" s="691"/>
      <c r="D12590" s="3"/>
    </row>
    <row r="12591" spans="1:4">
      <c r="A12591" s="691"/>
      <c r="D12591" s="3"/>
    </row>
    <row r="12592" spans="1:4">
      <c r="A12592" s="691"/>
      <c r="D12592" s="3"/>
    </row>
    <row r="12593" spans="1:4">
      <c r="A12593" s="691"/>
      <c r="D12593" s="3"/>
    </row>
    <row r="12594" spans="1:4">
      <c r="A12594" s="691"/>
      <c r="D12594" s="3"/>
    </row>
    <row r="12595" spans="1:4">
      <c r="A12595" s="691"/>
      <c r="D12595" s="3"/>
    </row>
    <row r="12596" spans="1:4">
      <c r="A12596" s="691"/>
      <c r="D12596" s="3"/>
    </row>
    <row r="12597" spans="1:4">
      <c r="A12597" s="691"/>
      <c r="D12597" s="3"/>
    </row>
    <row r="12598" spans="1:4">
      <c r="A12598" s="691"/>
      <c r="D12598" s="3"/>
    </row>
    <row r="12599" spans="1:4">
      <c r="A12599" s="691"/>
      <c r="D12599" s="3"/>
    </row>
    <row r="12600" spans="1:4">
      <c r="A12600" s="691"/>
      <c r="D12600" s="3"/>
    </row>
    <row r="12601" spans="1:4">
      <c r="A12601" s="691"/>
      <c r="D12601" s="3"/>
    </row>
    <row r="12602" spans="1:4">
      <c r="A12602" s="691"/>
      <c r="D12602" s="3"/>
    </row>
    <row r="12603" spans="1:4">
      <c r="A12603" s="691"/>
      <c r="D12603" s="3"/>
    </row>
    <row r="12604" spans="1:4">
      <c r="A12604" s="691"/>
      <c r="D12604" s="3"/>
    </row>
    <row r="12605" spans="1:4">
      <c r="A12605" s="691"/>
      <c r="D12605" s="3"/>
    </row>
    <row r="12606" spans="1:4">
      <c r="A12606" s="691"/>
      <c r="D12606" s="3"/>
    </row>
    <row r="12607" spans="1:4">
      <c r="A12607" s="691"/>
      <c r="D12607" s="3"/>
    </row>
    <row r="12608" spans="1:4">
      <c r="A12608" s="691"/>
      <c r="D12608" s="3"/>
    </row>
    <row r="12609" spans="1:4">
      <c r="A12609" s="691"/>
      <c r="D12609" s="3"/>
    </row>
    <row r="12610" spans="1:4">
      <c r="A12610" s="691"/>
      <c r="D12610" s="3"/>
    </row>
    <row r="12611" spans="1:4">
      <c r="A12611" s="691"/>
      <c r="D12611" s="3"/>
    </row>
    <row r="12612" spans="1:4">
      <c r="A12612" s="691"/>
      <c r="D12612" s="3"/>
    </row>
    <row r="12613" spans="1:4">
      <c r="A12613" s="691"/>
      <c r="D12613" s="3"/>
    </row>
    <row r="12614" spans="1:4">
      <c r="A12614" s="691"/>
      <c r="D12614" s="3"/>
    </row>
    <row r="12615" spans="1:4">
      <c r="A12615" s="691"/>
      <c r="D12615" s="3"/>
    </row>
    <row r="12616" spans="1:4">
      <c r="A12616" s="691"/>
      <c r="D12616" s="3"/>
    </row>
    <row r="12617" spans="1:4">
      <c r="A12617" s="691"/>
      <c r="D12617" s="3"/>
    </row>
    <row r="12618" spans="1:4">
      <c r="A12618" s="691"/>
      <c r="D12618" s="3"/>
    </row>
    <row r="12619" spans="1:4">
      <c r="A12619" s="691"/>
      <c r="D12619" s="3"/>
    </row>
    <row r="12620" spans="1:4">
      <c r="A12620" s="691"/>
      <c r="D12620" s="3"/>
    </row>
    <row r="12621" spans="1:4">
      <c r="A12621" s="691"/>
      <c r="D12621" s="3"/>
    </row>
    <row r="12622" spans="1:4">
      <c r="A12622" s="691"/>
      <c r="D12622" s="3"/>
    </row>
    <row r="12623" spans="1:4">
      <c r="A12623" s="691"/>
      <c r="D12623" s="3"/>
    </row>
    <row r="12624" spans="1:4">
      <c r="A12624" s="691"/>
      <c r="D12624" s="3"/>
    </row>
    <row r="12625" spans="1:4">
      <c r="A12625" s="691"/>
      <c r="D12625" s="3"/>
    </row>
    <row r="12626" spans="1:4">
      <c r="A12626" s="691"/>
      <c r="D12626" s="3"/>
    </row>
    <row r="12627" spans="1:4">
      <c r="A12627" s="691"/>
      <c r="D12627" s="3"/>
    </row>
    <row r="12628" spans="1:4">
      <c r="A12628" s="691"/>
      <c r="D12628" s="3"/>
    </row>
    <row r="12629" spans="1:4">
      <c r="A12629" s="691"/>
      <c r="D12629" s="3"/>
    </row>
    <row r="12630" spans="1:4">
      <c r="A12630" s="691"/>
      <c r="D12630" s="3"/>
    </row>
    <row r="12631" spans="1:4">
      <c r="A12631" s="691"/>
      <c r="D12631" s="3"/>
    </row>
    <row r="12632" spans="1:4">
      <c r="A12632" s="691"/>
      <c r="D12632" s="3"/>
    </row>
    <row r="12633" spans="1:4">
      <c r="A12633" s="691"/>
      <c r="D12633" s="3"/>
    </row>
    <row r="12634" spans="1:4">
      <c r="A12634" s="691"/>
      <c r="D12634" s="3"/>
    </row>
    <row r="12635" spans="1:4">
      <c r="A12635" s="691"/>
      <c r="D12635" s="3"/>
    </row>
    <row r="12636" spans="1:4">
      <c r="A12636" s="691"/>
      <c r="D12636" s="3"/>
    </row>
    <row r="12637" spans="1:4">
      <c r="A12637" s="691"/>
      <c r="D12637" s="3"/>
    </row>
    <row r="12638" spans="1:4">
      <c r="A12638" s="691"/>
      <c r="D12638" s="3"/>
    </row>
    <row r="12639" spans="1:4">
      <c r="A12639" s="691"/>
      <c r="D12639" s="3"/>
    </row>
    <row r="12640" spans="1:4">
      <c r="A12640" s="691"/>
      <c r="D12640" s="3"/>
    </row>
    <row r="12641" spans="1:4">
      <c r="A12641" s="691"/>
      <c r="D12641" s="3"/>
    </row>
    <row r="12642" spans="1:4">
      <c r="A12642" s="691"/>
      <c r="D12642" s="3"/>
    </row>
    <row r="12643" spans="1:4">
      <c r="A12643" s="691"/>
      <c r="D12643" s="3"/>
    </row>
    <row r="12644" spans="1:4">
      <c r="A12644" s="691"/>
      <c r="D12644" s="3"/>
    </row>
    <row r="12645" spans="1:4">
      <c r="A12645" s="691"/>
      <c r="D12645" s="3"/>
    </row>
    <row r="12646" spans="1:4">
      <c r="A12646" s="691"/>
      <c r="D12646" s="3"/>
    </row>
    <row r="12647" spans="1:4">
      <c r="A12647" s="691"/>
      <c r="D12647" s="3"/>
    </row>
    <row r="12648" spans="1:4">
      <c r="A12648" s="691"/>
      <c r="D12648" s="3"/>
    </row>
    <row r="12649" spans="1:4">
      <c r="A12649" s="691"/>
      <c r="D12649" s="3"/>
    </row>
    <row r="12650" spans="1:4">
      <c r="A12650" s="691"/>
      <c r="D12650" s="3"/>
    </row>
    <row r="12651" spans="1:4">
      <c r="A12651" s="691"/>
      <c r="D12651" s="3"/>
    </row>
    <row r="12652" spans="1:4">
      <c r="A12652" s="691"/>
      <c r="D12652" s="3"/>
    </row>
    <row r="12653" spans="1:4">
      <c r="A12653" s="691"/>
      <c r="D12653" s="3"/>
    </row>
    <row r="12654" spans="1:4">
      <c r="A12654" s="691"/>
      <c r="D12654" s="3"/>
    </row>
    <row r="12655" spans="1:4">
      <c r="A12655" s="691"/>
      <c r="D12655" s="3"/>
    </row>
    <row r="12656" spans="1:4">
      <c r="A12656" s="691"/>
      <c r="D12656" s="3"/>
    </row>
    <row r="12657" spans="1:4">
      <c r="A12657" s="691"/>
      <c r="D12657" s="3"/>
    </row>
    <row r="12658" spans="1:4">
      <c r="A12658" s="691"/>
      <c r="D12658" s="3"/>
    </row>
    <row r="12659" spans="1:4">
      <c r="A12659" s="691"/>
      <c r="D12659" s="3"/>
    </row>
    <row r="12660" spans="1:4">
      <c r="A12660" s="691"/>
      <c r="D12660" s="3"/>
    </row>
    <row r="12661" spans="1:4">
      <c r="A12661" s="691"/>
      <c r="D12661" s="3"/>
    </row>
    <row r="12662" spans="1:4">
      <c r="A12662" s="691"/>
      <c r="D12662" s="3"/>
    </row>
    <row r="12663" spans="1:4">
      <c r="A12663" s="691"/>
      <c r="D12663" s="3"/>
    </row>
    <row r="12664" spans="1:4">
      <c r="A12664" s="691"/>
      <c r="D12664" s="3"/>
    </row>
    <row r="12665" spans="1:4">
      <c r="A12665" s="691"/>
      <c r="D12665" s="3"/>
    </row>
    <row r="12666" spans="1:4">
      <c r="A12666" s="691"/>
      <c r="D12666" s="3"/>
    </row>
    <row r="12667" spans="1:4">
      <c r="A12667" s="691"/>
      <c r="D12667" s="3"/>
    </row>
    <row r="12668" spans="1:4">
      <c r="A12668" s="691"/>
      <c r="D12668" s="3"/>
    </row>
    <row r="12669" spans="1:4">
      <c r="A12669" s="691"/>
      <c r="D12669" s="3"/>
    </row>
    <row r="12670" spans="1:4">
      <c r="A12670" s="691"/>
      <c r="D12670" s="3"/>
    </row>
    <row r="12671" spans="1:4">
      <c r="A12671" s="691"/>
      <c r="D12671" s="3"/>
    </row>
    <row r="12672" spans="1:4">
      <c r="A12672" s="691"/>
      <c r="D12672" s="3"/>
    </row>
    <row r="12673" spans="1:4">
      <c r="A12673" s="691"/>
      <c r="D12673" s="3"/>
    </row>
    <row r="12674" spans="1:4">
      <c r="A12674" s="691"/>
      <c r="D12674" s="3"/>
    </row>
    <row r="12675" spans="1:4">
      <c r="A12675" s="691"/>
      <c r="D12675" s="3"/>
    </row>
    <row r="12676" spans="1:4">
      <c r="A12676" s="691"/>
      <c r="D12676" s="3"/>
    </row>
    <row r="12677" spans="1:4">
      <c r="A12677" s="691"/>
      <c r="D12677" s="3"/>
    </row>
    <row r="12678" spans="1:4">
      <c r="A12678" s="691"/>
      <c r="D12678" s="3"/>
    </row>
    <row r="12679" spans="1:4">
      <c r="A12679" s="691"/>
      <c r="D12679" s="3"/>
    </row>
    <row r="12680" spans="1:4">
      <c r="A12680" s="691"/>
      <c r="D12680" s="3"/>
    </row>
    <row r="12681" spans="1:4">
      <c r="A12681" s="691"/>
      <c r="D12681" s="3"/>
    </row>
    <row r="12682" spans="1:4">
      <c r="A12682" s="691"/>
      <c r="D12682" s="3"/>
    </row>
    <row r="12683" spans="1:4">
      <c r="A12683" s="691"/>
      <c r="D12683" s="3"/>
    </row>
    <row r="12684" spans="1:4">
      <c r="A12684" s="691"/>
      <c r="D12684" s="3"/>
    </row>
    <row r="12685" spans="1:4">
      <c r="A12685" s="691"/>
      <c r="D12685" s="3"/>
    </row>
    <row r="12686" spans="1:4">
      <c r="A12686" s="691"/>
      <c r="D12686" s="3"/>
    </row>
    <row r="12687" spans="1:4">
      <c r="A12687" s="691"/>
      <c r="D12687" s="3"/>
    </row>
    <row r="12688" spans="1:4">
      <c r="A12688" s="691"/>
      <c r="D12688" s="3"/>
    </row>
    <row r="12689" spans="1:4">
      <c r="A12689" s="691"/>
      <c r="D12689" s="3"/>
    </row>
    <row r="12690" spans="1:4">
      <c r="A12690" s="691"/>
      <c r="D12690" s="3"/>
    </row>
    <row r="12691" spans="1:4">
      <c r="A12691" s="691"/>
      <c r="D12691" s="3"/>
    </row>
    <row r="12692" spans="1:4">
      <c r="A12692" s="691"/>
      <c r="D12692" s="3"/>
    </row>
    <row r="12693" spans="1:4">
      <c r="A12693" s="691"/>
      <c r="D12693" s="3"/>
    </row>
    <row r="12694" spans="1:4">
      <c r="A12694" s="691"/>
      <c r="D12694" s="3"/>
    </row>
    <row r="12695" spans="1:4">
      <c r="A12695" s="691"/>
      <c r="D12695" s="3"/>
    </row>
    <row r="12696" spans="1:4">
      <c r="A12696" s="691"/>
      <c r="D12696" s="3"/>
    </row>
    <row r="12697" spans="1:4">
      <c r="A12697" s="691"/>
      <c r="D12697" s="3"/>
    </row>
    <row r="12698" spans="1:4">
      <c r="A12698" s="691"/>
      <c r="D12698" s="3"/>
    </row>
    <row r="12699" spans="1:4">
      <c r="A12699" s="691"/>
      <c r="D12699" s="3"/>
    </row>
    <row r="12700" spans="1:4">
      <c r="A12700" s="691"/>
      <c r="D12700" s="3"/>
    </row>
    <row r="12701" spans="1:4">
      <c r="A12701" s="691"/>
      <c r="D12701" s="3"/>
    </row>
    <row r="12702" spans="1:4">
      <c r="A12702" s="691"/>
      <c r="D12702" s="3"/>
    </row>
    <row r="12703" spans="1:4">
      <c r="A12703" s="691"/>
      <c r="D12703" s="3"/>
    </row>
    <row r="12704" spans="1:4">
      <c r="A12704" s="691"/>
      <c r="D12704" s="3"/>
    </row>
    <row r="12705" spans="1:4">
      <c r="A12705" s="691"/>
      <c r="D12705" s="3"/>
    </row>
    <row r="12706" spans="1:4">
      <c r="A12706" s="691"/>
      <c r="D12706" s="3"/>
    </row>
    <row r="12707" spans="1:4">
      <c r="A12707" s="691"/>
      <c r="D12707" s="3"/>
    </row>
    <row r="12708" spans="1:4">
      <c r="A12708" s="691"/>
      <c r="D12708" s="3"/>
    </row>
    <row r="12709" spans="1:4">
      <c r="A12709" s="691"/>
      <c r="D12709" s="3"/>
    </row>
    <row r="12710" spans="1:4">
      <c r="A12710" s="691"/>
      <c r="D12710" s="3"/>
    </row>
    <row r="12711" spans="1:4">
      <c r="A12711" s="691"/>
      <c r="D12711" s="3"/>
    </row>
    <row r="12712" spans="1:4">
      <c r="A12712" s="691"/>
      <c r="D12712" s="3"/>
    </row>
    <row r="12713" spans="1:4">
      <c r="A12713" s="691"/>
      <c r="D12713" s="3"/>
    </row>
    <row r="12714" spans="1:4">
      <c r="A12714" s="691"/>
      <c r="D12714" s="3"/>
    </row>
    <row r="12715" spans="1:4">
      <c r="A12715" s="691"/>
      <c r="D12715" s="3"/>
    </row>
    <row r="12716" spans="1:4">
      <c r="A12716" s="691"/>
      <c r="D12716" s="3"/>
    </row>
    <row r="12717" spans="1:4">
      <c r="A12717" s="691"/>
      <c r="D12717" s="3"/>
    </row>
    <row r="12718" spans="1:4">
      <c r="A12718" s="691"/>
      <c r="D12718" s="3"/>
    </row>
    <row r="12719" spans="1:4">
      <c r="A12719" s="691"/>
      <c r="D12719" s="3"/>
    </row>
    <row r="12720" spans="1:4">
      <c r="A12720" s="691"/>
      <c r="D12720" s="3"/>
    </row>
    <row r="12721" spans="1:4">
      <c r="A12721" s="691"/>
      <c r="D12721" s="3"/>
    </row>
    <row r="12722" spans="1:4">
      <c r="A12722" s="691"/>
      <c r="D12722" s="3"/>
    </row>
    <row r="12723" spans="1:4">
      <c r="A12723" s="691"/>
      <c r="D12723" s="3"/>
    </row>
    <row r="12724" spans="1:4">
      <c r="A12724" s="691"/>
      <c r="D12724" s="3"/>
    </row>
    <row r="12725" spans="1:4">
      <c r="A12725" s="691"/>
      <c r="D12725" s="3"/>
    </row>
    <row r="12726" spans="1:4">
      <c r="A12726" s="691"/>
      <c r="D12726" s="3"/>
    </row>
    <row r="12727" spans="1:4">
      <c r="A12727" s="691"/>
      <c r="D12727" s="3"/>
    </row>
    <row r="12728" spans="1:4">
      <c r="A12728" s="691"/>
      <c r="D12728" s="3"/>
    </row>
    <row r="12729" spans="1:4">
      <c r="A12729" s="691"/>
      <c r="D12729" s="3"/>
    </row>
    <row r="12730" spans="1:4">
      <c r="A12730" s="691"/>
      <c r="D12730" s="3"/>
    </row>
    <row r="12731" spans="1:4">
      <c r="A12731" s="691"/>
      <c r="D12731" s="3"/>
    </row>
    <row r="12732" spans="1:4">
      <c r="A12732" s="691"/>
      <c r="D12732" s="3"/>
    </row>
    <row r="12733" spans="1:4">
      <c r="A12733" s="691"/>
      <c r="D12733" s="3"/>
    </row>
    <row r="12734" spans="1:4">
      <c r="A12734" s="691"/>
      <c r="D12734" s="3"/>
    </row>
    <row r="12735" spans="1:4">
      <c r="A12735" s="691"/>
      <c r="D12735" s="3"/>
    </row>
    <row r="12736" spans="1:4">
      <c r="A12736" s="691"/>
      <c r="D12736" s="3"/>
    </row>
    <row r="12737" spans="1:4">
      <c r="A12737" s="691"/>
      <c r="D12737" s="3"/>
    </row>
    <row r="12738" spans="1:4">
      <c r="A12738" s="691"/>
      <c r="D12738" s="3"/>
    </row>
    <row r="12739" spans="1:4">
      <c r="A12739" s="691"/>
      <c r="D12739" s="3"/>
    </row>
    <row r="12740" spans="1:4">
      <c r="A12740" s="691"/>
      <c r="D12740" s="3"/>
    </row>
    <row r="12741" spans="1:4">
      <c r="A12741" s="691"/>
      <c r="D12741" s="3"/>
    </row>
    <row r="12742" spans="1:4">
      <c r="A12742" s="691"/>
      <c r="D12742" s="3"/>
    </row>
    <row r="12743" spans="1:4">
      <c r="A12743" s="691"/>
      <c r="D12743" s="3"/>
    </row>
    <row r="12744" spans="1:4">
      <c r="A12744" s="691"/>
      <c r="D12744" s="3"/>
    </row>
    <row r="12745" spans="1:4">
      <c r="A12745" s="691"/>
      <c r="D12745" s="3"/>
    </row>
    <row r="12746" spans="1:4">
      <c r="A12746" s="691"/>
      <c r="D12746" s="3"/>
    </row>
    <row r="12747" spans="1:4">
      <c r="A12747" s="691"/>
      <c r="D12747" s="3"/>
    </row>
    <row r="12748" spans="1:4">
      <c r="A12748" s="691"/>
      <c r="D12748" s="3"/>
    </row>
    <row r="12749" spans="1:4">
      <c r="A12749" s="691"/>
      <c r="D12749" s="3"/>
    </row>
    <row r="12750" spans="1:4">
      <c r="A12750" s="691"/>
      <c r="D12750" s="3"/>
    </row>
    <row r="12751" spans="1:4">
      <c r="A12751" s="691"/>
      <c r="D12751" s="3"/>
    </row>
    <row r="12752" spans="1:4">
      <c r="A12752" s="691"/>
      <c r="D12752" s="3"/>
    </row>
    <row r="12753" spans="1:4">
      <c r="A12753" s="691"/>
      <c r="D12753" s="3"/>
    </row>
    <row r="12754" spans="1:4">
      <c r="A12754" s="691"/>
      <c r="D12754" s="3"/>
    </row>
    <row r="12755" spans="1:4">
      <c r="A12755" s="691"/>
      <c r="D12755" s="3"/>
    </row>
    <row r="12756" spans="1:4">
      <c r="A12756" s="691"/>
      <c r="D12756" s="3"/>
    </row>
    <row r="12757" spans="1:4">
      <c r="A12757" s="691"/>
      <c r="D12757" s="3"/>
    </row>
    <row r="12758" spans="1:4">
      <c r="A12758" s="691"/>
      <c r="D12758" s="3"/>
    </row>
    <row r="12759" spans="1:4">
      <c r="A12759" s="691"/>
      <c r="D12759" s="3"/>
    </row>
    <row r="12760" spans="1:4">
      <c r="A12760" s="691"/>
      <c r="D12760" s="3"/>
    </row>
    <row r="12761" spans="1:4">
      <c r="A12761" s="691"/>
      <c r="D12761" s="3"/>
    </row>
    <row r="12762" spans="1:4">
      <c r="A12762" s="691"/>
      <c r="D12762" s="3"/>
    </row>
    <row r="12763" spans="1:4">
      <c r="A12763" s="691"/>
      <c r="D12763" s="3"/>
    </row>
    <row r="12764" spans="1:4">
      <c r="A12764" s="691"/>
      <c r="D12764" s="3"/>
    </row>
    <row r="12765" spans="1:4">
      <c r="A12765" s="691"/>
      <c r="D12765" s="3"/>
    </row>
    <row r="12766" spans="1:4">
      <c r="A12766" s="691"/>
      <c r="D12766" s="3"/>
    </row>
    <row r="12767" spans="1:4">
      <c r="A12767" s="691"/>
      <c r="D12767" s="3"/>
    </row>
    <row r="12768" spans="1:4">
      <c r="A12768" s="691"/>
      <c r="D12768" s="3"/>
    </row>
    <row r="12769" spans="1:4">
      <c r="A12769" s="691"/>
      <c r="D12769" s="3"/>
    </row>
    <row r="12770" spans="1:4">
      <c r="A12770" s="691"/>
      <c r="D12770" s="3"/>
    </row>
    <row r="12771" spans="1:4">
      <c r="A12771" s="691"/>
      <c r="D12771" s="3"/>
    </row>
    <row r="12772" spans="1:4">
      <c r="A12772" s="691"/>
      <c r="D12772" s="3"/>
    </row>
    <row r="12773" spans="1:4">
      <c r="A12773" s="691"/>
      <c r="D12773" s="3"/>
    </row>
    <row r="12774" spans="1:4">
      <c r="A12774" s="691"/>
      <c r="D12774" s="3"/>
    </row>
    <row r="12775" spans="1:4">
      <c r="A12775" s="691"/>
      <c r="D12775" s="3"/>
    </row>
    <row r="12776" spans="1:4">
      <c r="A12776" s="691"/>
      <c r="D12776" s="3"/>
    </row>
    <row r="12777" spans="1:4">
      <c r="A12777" s="691"/>
      <c r="D12777" s="3"/>
    </row>
    <row r="12778" spans="1:4">
      <c r="A12778" s="691"/>
      <c r="D12778" s="3"/>
    </row>
    <row r="12779" spans="1:4">
      <c r="A12779" s="691"/>
      <c r="D12779" s="3"/>
    </row>
    <row r="12780" spans="1:4">
      <c r="A12780" s="691"/>
      <c r="D12780" s="3"/>
    </row>
    <row r="12781" spans="1:4">
      <c r="A12781" s="691"/>
      <c r="D12781" s="3"/>
    </row>
    <row r="12782" spans="1:4">
      <c r="A12782" s="691"/>
      <c r="D12782" s="3"/>
    </row>
    <row r="12783" spans="1:4">
      <c r="A12783" s="691"/>
      <c r="D12783" s="3"/>
    </row>
    <row r="12784" spans="1:4">
      <c r="A12784" s="691"/>
      <c r="D12784" s="3"/>
    </row>
    <row r="12785" spans="1:4">
      <c r="A12785" s="691"/>
      <c r="D12785" s="3"/>
    </row>
    <row r="12786" spans="1:4">
      <c r="A12786" s="691"/>
      <c r="D12786" s="3"/>
    </row>
    <row r="12787" spans="1:4">
      <c r="A12787" s="691"/>
      <c r="D12787" s="3"/>
    </row>
    <row r="12788" spans="1:4">
      <c r="A12788" s="691"/>
      <c r="D12788" s="3"/>
    </row>
    <row r="12789" spans="1:4">
      <c r="A12789" s="691"/>
      <c r="D12789" s="3"/>
    </row>
    <row r="12790" spans="1:4">
      <c r="A12790" s="691"/>
      <c r="D12790" s="3"/>
    </row>
    <row r="12791" spans="1:4">
      <c r="A12791" s="691"/>
      <c r="D12791" s="3"/>
    </row>
    <row r="12792" spans="1:4">
      <c r="A12792" s="691"/>
      <c r="D12792" s="3"/>
    </row>
    <row r="12793" spans="1:4">
      <c r="A12793" s="691"/>
      <c r="D12793" s="3"/>
    </row>
    <row r="12794" spans="1:4">
      <c r="A12794" s="691"/>
      <c r="D12794" s="3"/>
    </row>
    <row r="12795" spans="1:4">
      <c r="A12795" s="691"/>
      <c r="D12795" s="3"/>
    </row>
    <row r="12796" spans="1:4">
      <c r="A12796" s="691"/>
      <c r="D12796" s="3"/>
    </row>
    <row r="12797" spans="1:4">
      <c r="A12797" s="691"/>
      <c r="D12797" s="3"/>
    </row>
    <row r="12798" spans="1:4">
      <c r="A12798" s="691"/>
      <c r="D12798" s="3"/>
    </row>
    <row r="12799" spans="1:4">
      <c r="A12799" s="691"/>
      <c r="D12799" s="3"/>
    </row>
    <row r="12800" spans="1:4">
      <c r="A12800" s="691"/>
      <c r="D12800" s="3"/>
    </row>
    <row r="12801" spans="1:4">
      <c r="A12801" s="691"/>
      <c r="D12801" s="3"/>
    </row>
    <row r="12802" spans="1:4">
      <c r="A12802" s="691"/>
      <c r="D12802" s="3"/>
    </row>
    <row r="12803" spans="1:4">
      <c r="A12803" s="691"/>
      <c r="D12803" s="3"/>
    </row>
    <row r="12804" spans="1:4">
      <c r="A12804" s="691"/>
      <c r="D12804" s="3"/>
    </row>
    <row r="12805" spans="1:4">
      <c r="A12805" s="691"/>
      <c r="D12805" s="3"/>
    </row>
    <row r="12806" spans="1:4">
      <c r="A12806" s="691"/>
      <c r="D12806" s="3"/>
    </row>
    <row r="12807" spans="1:4">
      <c r="A12807" s="691"/>
      <c r="D12807" s="3"/>
    </row>
    <row r="12808" spans="1:4">
      <c r="A12808" s="691"/>
      <c r="D12808" s="3"/>
    </row>
    <row r="12809" spans="1:4">
      <c r="A12809" s="691"/>
      <c r="D12809" s="3"/>
    </row>
    <row r="12810" spans="1:4">
      <c r="A12810" s="691"/>
      <c r="D12810" s="3"/>
    </row>
    <row r="12811" spans="1:4">
      <c r="A12811" s="691"/>
      <c r="D12811" s="3"/>
    </row>
    <row r="12812" spans="1:4">
      <c r="A12812" s="691"/>
      <c r="D12812" s="3"/>
    </row>
    <row r="12813" spans="1:4">
      <c r="A12813" s="691"/>
      <c r="D12813" s="3"/>
    </row>
    <row r="12814" spans="1:4">
      <c r="A12814" s="691"/>
      <c r="D12814" s="3"/>
    </row>
    <row r="12815" spans="1:4">
      <c r="A12815" s="691"/>
      <c r="D12815" s="3"/>
    </row>
    <row r="12816" spans="1:4">
      <c r="A12816" s="691"/>
      <c r="D12816" s="3"/>
    </row>
    <row r="12817" spans="1:4">
      <c r="A12817" s="691"/>
      <c r="D12817" s="3"/>
    </row>
    <row r="12818" spans="1:4">
      <c r="A12818" s="691"/>
      <c r="D12818" s="3"/>
    </row>
    <row r="12819" spans="1:4">
      <c r="A12819" s="691"/>
      <c r="D12819" s="3"/>
    </row>
    <row r="12820" spans="1:4">
      <c r="A12820" s="691"/>
      <c r="D12820" s="3"/>
    </row>
    <row r="12821" spans="1:4">
      <c r="A12821" s="691"/>
      <c r="D12821" s="3"/>
    </row>
    <row r="12822" spans="1:4">
      <c r="A12822" s="691"/>
      <c r="D12822" s="3"/>
    </row>
    <row r="12823" spans="1:4">
      <c r="A12823" s="691"/>
      <c r="D12823" s="3"/>
    </row>
    <row r="12824" spans="1:4">
      <c r="A12824" s="691"/>
      <c r="D12824" s="3"/>
    </row>
    <row r="12825" spans="1:4">
      <c r="A12825" s="691"/>
      <c r="D12825" s="3"/>
    </row>
    <row r="12826" spans="1:4">
      <c r="A12826" s="691"/>
      <c r="D12826" s="3"/>
    </row>
    <row r="12827" spans="1:4">
      <c r="A12827" s="691"/>
      <c r="D12827" s="3"/>
    </row>
    <row r="12828" spans="1:4">
      <c r="A12828" s="691"/>
      <c r="D12828" s="3"/>
    </row>
    <row r="12829" spans="1:4">
      <c r="A12829" s="691"/>
      <c r="D12829" s="3"/>
    </row>
    <row r="12830" spans="1:4">
      <c r="A12830" s="691"/>
      <c r="D12830" s="3"/>
    </row>
    <row r="12831" spans="1:4">
      <c r="A12831" s="691"/>
      <c r="D12831" s="3"/>
    </row>
    <row r="12832" spans="1:4">
      <c r="A12832" s="691"/>
      <c r="D12832" s="3"/>
    </row>
    <row r="12833" spans="1:4">
      <c r="A12833" s="691"/>
      <c r="D12833" s="3"/>
    </row>
    <row r="12834" spans="1:4">
      <c r="A12834" s="691"/>
      <c r="D12834" s="3"/>
    </row>
    <row r="12835" spans="1:4">
      <c r="A12835" s="691"/>
      <c r="D12835" s="3"/>
    </row>
    <row r="12836" spans="1:4">
      <c r="A12836" s="691"/>
      <c r="D12836" s="3"/>
    </row>
    <row r="12837" spans="1:4">
      <c r="A12837" s="691"/>
      <c r="D12837" s="3"/>
    </row>
    <row r="12838" spans="1:4">
      <c r="A12838" s="691"/>
      <c r="D12838" s="3"/>
    </row>
    <row r="12839" spans="1:4">
      <c r="A12839" s="691"/>
      <c r="D12839" s="3"/>
    </row>
    <row r="12840" spans="1:4">
      <c r="A12840" s="691"/>
      <c r="D12840" s="3"/>
    </row>
    <row r="12841" spans="1:4">
      <c r="A12841" s="691"/>
      <c r="D12841" s="3"/>
    </row>
    <row r="12842" spans="1:4">
      <c r="A12842" s="691"/>
      <c r="D12842" s="3"/>
    </row>
    <row r="12843" spans="1:4">
      <c r="A12843" s="691"/>
      <c r="D12843" s="3"/>
    </row>
    <row r="12844" spans="1:4">
      <c r="A12844" s="691"/>
      <c r="D12844" s="3"/>
    </row>
    <row r="12845" spans="1:4">
      <c r="A12845" s="691"/>
      <c r="D12845" s="3"/>
    </row>
    <row r="12846" spans="1:4">
      <c r="A12846" s="691"/>
      <c r="D12846" s="3"/>
    </row>
    <row r="12847" spans="1:4">
      <c r="A12847" s="691"/>
      <c r="D12847" s="3"/>
    </row>
    <row r="12848" spans="1:4">
      <c r="A12848" s="691"/>
      <c r="D12848" s="3"/>
    </row>
    <row r="12849" spans="1:4">
      <c r="A12849" s="691"/>
      <c r="D12849" s="3"/>
    </row>
    <row r="12850" spans="1:4">
      <c r="A12850" s="691"/>
      <c r="D12850" s="3"/>
    </row>
    <row r="12851" spans="1:4">
      <c r="A12851" s="691"/>
      <c r="D12851" s="3"/>
    </row>
    <row r="12852" spans="1:4">
      <c r="A12852" s="691"/>
      <c r="D12852" s="3"/>
    </row>
    <row r="12853" spans="1:4">
      <c r="A12853" s="691"/>
      <c r="D12853" s="3"/>
    </row>
    <row r="12854" spans="1:4">
      <c r="A12854" s="691"/>
      <c r="D12854" s="3"/>
    </row>
    <row r="12855" spans="1:4">
      <c r="A12855" s="691"/>
      <c r="D12855" s="3"/>
    </row>
    <row r="12856" spans="1:4">
      <c r="A12856" s="691"/>
      <c r="D12856" s="3"/>
    </row>
    <row r="12857" spans="1:4">
      <c r="A12857" s="691"/>
      <c r="D12857" s="3"/>
    </row>
    <row r="12858" spans="1:4">
      <c r="A12858" s="691"/>
      <c r="D12858" s="3"/>
    </row>
    <row r="12859" spans="1:4">
      <c r="A12859" s="691"/>
      <c r="D12859" s="3"/>
    </row>
    <row r="12860" spans="1:4">
      <c r="A12860" s="691"/>
      <c r="D12860" s="3"/>
    </row>
    <row r="12861" spans="1:4">
      <c r="A12861" s="691"/>
      <c r="D12861" s="3"/>
    </row>
    <row r="12862" spans="1:4">
      <c r="A12862" s="691"/>
      <c r="D12862" s="3"/>
    </row>
    <row r="12863" spans="1:4">
      <c r="A12863" s="691"/>
      <c r="D12863" s="3"/>
    </row>
    <row r="12864" spans="1:4">
      <c r="A12864" s="691"/>
      <c r="D12864" s="3"/>
    </row>
    <row r="12865" spans="1:4">
      <c r="A12865" s="691"/>
      <c r="D12865" s="3"/>
    </row>
    <row r="12866" spans="1:4">
      <c r="A12866" s="691"/>
      <c r="D12866" s="3"/>
    </row>
    <row r="12867" spans="1:4">
      <c r="A12867" s="691"/>
      <c r="D12867" s="3"/>
    </row>
    <row r="12868" spans="1:4">
      <c r="A12868" s="691"/>
      <c r="D12868" s="3"/>
    </row>
    <row r="12869" spans="1:4">
      <c r="A12869" s="691"/>
      <c r="D12869" s="3"/>
    </row>
    <row r="12870" spans="1:4">
      <c r="A12870" s="691"/>
      <c r="D12870" s="3"/>
    </row>
    <row r="12871" spans="1:4">
      <c r="A12871" s="691"/>
      <c r="D12871" s="3"/>
    </row>
    <row r="12872" spans="1:4">
      <c r="A12872" s="691"/>
      <c r="D12872" s="3"/>
    </row>
    <row r="12873" spans="1:4">
      <c r="A12873" s="691"/>
      <c r="D12873" s="3"/>
    </row>
    <row r="12874" spans="1:4">
      <c r="A12874" s="691"/>
      <c r="D12874" s="3"/>
    </row>
    <row r="12875" spans="1:4">
      <c r="A12875" s="691"/>
      <c r="D12875" s="3"/>
    </row>
    <row r="12876" spans="1:4">
      <c r="A12876" s="691"/>
      <c r="D12876" s="3"/>
    </row>
    <row r="12877" spans="1:4">
      <c r="A12877" s="691"/>
      <c r="D12877" s="3"/>
    </row>
    <row r="12878" spans="1:4">
      <c r="A12878" s="691"/>
      <c r="D12878" s="3"/>
    </row>
    <row r="12879" spans="1:4">
      <c r="A12879" s="691"/>
      <c r="D12879" s="3"/>
    </row>
    <row r="12880" spans="1:4">
      <c r="A12880" s="691"/>
      <c r="D12880" s="3"/>
    </row>
    <row r="12881" spans="1:4">
      <c r="A12881" s="691"/>
      <c r="D12881" s="3"/>
    </row>
    <row r="12882" spans="1:4">
      <c r="A12882" s="691"/>
      <c r="D12882" s="3"/>
    </row>
    <row r="12883" spans="1:4">
      <c r="A12883" s="691"/>
      <c r="D12883" s="3"/>
    </row>
    <row r="12884" spans="1:4">
      <c r="A12884" s="691"/>
      <c r="D12884" s="3"/>
    </row>
    <row r="12885" spans="1:4">
      <c r="A12885" s="691"/>
      <c r="D12885" s="3"/>
    </row>
    <row r="12886" spans="1:4">
      <c r="A12886" s="691"/>
      <c r="D12886" s="3"/>
    </row>
    <row r="12887" spans="1:4">
      <c r="A12887" s="691"/>
      <c r="D12887" s="3"/>
    </row>
    <row r="12888" spans="1:4">
      <c r="A12888" s="691"/>
      <c r="D12888" s="3"/>
    </row>
    <row r="12889" spans="1:4">
      <c r="A12889" s="691"/>
      <c r="D12889" s="3"/>
    </row>
    <row r="12890" spans="1:4">
      <c r="A12890" s="691"/>
      <c r="D12890" s="3"/>
    </row>
    <row r="12891" spans="1:4">
      <c r="A12891" s="691"/>
      <c r="D12891" s="3"/>
    </row>
    <row r="12892" spans="1:4">
      <c r="A12892" s="691"/>
      <c r="D12892" s="3"/>
    </row>
    <row r="12893" spans="1:4">
      <c r="A12893" s="691"/>
      <c r="D12893" s="3"/>
    </row>
    <row r="12894" spans="1:4">
      <c r="A12894" s="691"/>
      <c r="D12894" s="3"/>
    </row>
    <row r="12895" spans="1:4">
      <c r="A12895" s="691"/>
      <c r="D12895" s="3"/>
    </row>
    <row r="12896" spans="1:4">
      <c r="A12896" s="691"/>
      <c r="D12896" s="3"/>
    </row>
    <row r="12897" spans="1:4">
      <c r="A12897" s="691"/>
      <c r="D12897" s="3"/>
    </row>
    <row r="12898" spans="1:4">
      <c r="A12898" s="691"/>
      <c r="D12898" s="3"/>
    </row>
    <row r="12899" spans="1:4">
      <c r="A12899" s="691"/>
      <c r="D12899" s="3"/>
    </row>
    <row r="12900" spans="1:4">
      <c r="A12900" s="691"/>
      <c r="D12900" s="3"/>
    </row>
    <row r="12901" spans="1:4">
      <c r="A12901" s="691"/>
      <c r="D12901" s="3"/>
    </row>
    <row r="12902" spans="1:4">
      <c r="A12902" s="691"/>
      <c r="D12902" s="3"/>
    </row>
    <row r="12903" spans="1:4">
      <c r="A12903" s="691"/>
      <c r="D12903" s="3"/>
    </row>
    <row r="12904" spans="1:4">
      <c r="A12904" s="691"/>
      <c r="D12904" s="3"/>
    </row>
    <row r="12905" spans="1:4">
      <c r="A12905" s="691"/>
      <c r="D12905" s="3"/>
    </row>
    <row r="12906" spans="1:4">
      <c r="A12906" s="691"/>
      <c r="D12906" s="3"/>
    </row>
    <row r="12907" spans="1:4">
      <c r="A12907" s="691"/>
      <c r="D12907" s="3"/>
    </row>
    <row r="12908" spans="1:4">
      <c r="A12908" s="691"/>
      <c r="D12908" s="3"/>
    </row>
    <row r="12909" spans="1:4">
      <c r="A12909" s="691"/>
      <c r="D12909" s="3"/>
    </row>
    <row r="12910" spans="1:4">
      <c r="A12910" s="691"/>
      <c r="D12910" s="3"/>
    </row>
    <row r="12911" spans="1:4">
      <c r="A12911" s="691"/>
      <c r="D12911" s="3"/>
    </row>
    <row r="12912" spans="1:4">
      <c r="A12912" s="691"/>
      <c r="D12912" s="3"/>
    </row>
    <row r="12913" spans="1:4">
      <c r="A12913" s="691"/>
      <c r="D12913" s="3"/>
    </row>
    <row r="12914" spans="1:4">
      <c r="A12914" s="691"/>
      <c r="D12914" s="3"/>
    </row>
    <row r="12915" spans="1:4">
      <c r="A12915" s="691"/>
      <c r="D12915" s="3"/>
    </row>
    <row r="12916" spans="1:4">
      <c r="A12916" s="691"/>
      <c r="D12916" s="3"/>
    </row>
    <row r="12917" spans="1:4">
      <c r="A12917" s="691"/>
      <c r="D12917" s="3"/>
    </row>
    <row r="12918" spans="1:4">
      <c r="A12918" s="691"/>
      <c r="D12918" s="3"/>
    </row>
    <row r="12919" spans="1:4">
      <c r="A12919" s="691"/>
      <c r="D12919" s="3"/>
    </row>
    <row r="12920" spans="1:4">
      <c r="A12920" s="691"/>
      <c r="D12920" s="3"/>
    </row>
    <row r="12921" spans="1:4">
      <c r="A12921" s="691"/>
      <c r="D12921" s="3"/>
    </row>
    <row r="12922" spans="1:4">
      <c r="A12922" s="691"/>
      <c r="D12922" s="3"/>
    </row>
    <row r="12923" spans="1:4">
      <c r="A12923" s="691"/>
      <c r="D12923" s="3"/>
    </row>
    <row r="12924" spans="1:4">
      <c r="A12924" s="691"/>
      <c r="D12924" s="3"/>
    </row>
    <row r="12925" spans="1:4">
      <c r="A12925" s="691"/>
      <c r="D12925" s="3"/>
    </row>
    <row r="12926" spans="1:4">
      <c r="A12926" s="691"/>
      <c r="D12926" s="3"/>
    </row>
    <row r="12927" spans="1:4">
      <c r="A12927" s="691"/>
      <c r="D12927" s="3"/>
    </row>
    <row r="12928" spans="1:4">
      <c r="A12928" s="691"/>
      <c r="D12928" s="3"/>
    </row>
    <row r="12929" spans="1:4">
      <c r="A12929" s="691"/>
      <c r="D12929" s="3"/>
    </row>
    <row r="12930" spans="1:4">
      <c r="A12930" s="691"/>
      <c r="D12930" s="3"/>
    </row>
    <row r="12931" spans="1:4">
      <c r="A12931" s="691"/>
      <c r="D12931" s="3"/>
    </row>
    <row r="12932" spans="1:4">
      <c r="A12932" s="691"/>
      <c r="D12932" s="3"/>
    </row>
    <row r="12933" spans="1:4">
      <c r="A12933" s="691"/>
      <c r="D12933" s="3"/>
    </row>
    <row r="12934" spans="1:4">
      <c r="A12934" s="691"/>
      <c r="D12934" s="3"/>
    </row>
    <row r="12935" spans="1:4">
      <c r="A12935" s="691"/>
      <c r="D12935" s="3"/>
    </row>
    <row r="12936" spans="1:4">
      <c r="A12936" s="691"/>
      <c r="D12936" s="3"/>
    </row>
    <row r="12937" spans="1:4">
      <c r="A12937" s="691"/>
      <c r="D12937" s="3"/>
    </row>
    <row r="12938" spans="1:4">
      <c r="A12938" s="691"/>
      <c r="D12938" s="3"/>
    </row>
    <row r="12939" spans="1:4">
      <c r="A12939" s="691"/>
      <c r="D12939" s="3"/>
    </row>
    <row r="12940" spans="1:4">
      <c r="A12940" s="691"/>
      <c r="D12940" s="3"/>
    </row>
    <row r="12941" spans="1:4">
      <c r="A12941" s="691"/>
      <c r="D12941" s="3"/>
    </row>
    <row r="12942" spans="1:4">
      <c r="A12942" s="691"/>
      <c r="D12942" s="3"/>
    </row>
    <row r="12943" spans="1:4">
      <c r="A12943" s="691"/>
      <c r="D12943" s="3"/>
    </row>
    <row r="12944" spans="1:4">
      <c r="A12944" s="691"/>
      <c r="D12944" s="3"/>
    </row>
    <row r="12945" spans="1:4">
      <c r="A12945" s="691"/>
      <c r="D12945" s="3"/>
    </row>
    <row r="12946" spans="1:4">
      <c r="A12946" s="691"/>
      <c r="D12946" s="3"/>
    </row>
    <row r="12947" spans="1:4">
      <c r="A12947" s="691"/>
      <c r="D12947" s="3"/>
    </row>
    <row r="12948" spans="1:4">
      <c r="A12948" s="691"/>
      <c r="D12948" s="3"/>
    </row>
    <row r="12949" spans="1:4">
      <c r="A12949" s="691"/>
      <c r="D12949" s="3"/>
    </row>
    <row r="12950" spans="1:4">
      <c r="A12950" s="691"/>
      <c r="D12950" s="3"/>
    </row>
    <row r="12951" spans="1:4">
      <c r="A12951" s="691"/>
      <c r="D12951" s="3"/>
    </row>
    <row r="12952" spans="1:4">
      <c r="A12952" s="691"/>
      <c r="D12952" s="3"/>
    </row>
    <row r="12953" spans="1:4">
      <c r="A12953" s="691"/>
      <c r="D12953" s="3"/>
    </row>
    <row r="12954" spans="1:4">
      <c r="A12954" s="691"/>
      <c r="D12954" s="3"/>
    </row>
    <row r="12955" spans="1:4">
      <c r="A12955" s="691"/>
      <c r="D12955" s="3"/>
    </row>
    <row r="12956" spans="1:4">
      <c r="A12956" s="691"/>
      <c r="D12956" s="3"/>
    </row>
    <row r="12957" spans="1:4">
      <c r="A12957" s="691"/>
      <c r="D12957" s="3"/>
    </row>
    <row r="12958" spans="1:4">
      <c r="A12958" s="691"/>
      <c r="D12958" s="3"/>
    </row>
    <row r="12959" spans="1:4">
      <c r="A12959" s="691"/>
      <c r="D12959" s="3"/>
    </row>
    <row r="12960" spans="1:4">
      <c r="A12960" s="691"/>
      <c r="D12960" s="3"/>
    </row>
    <row r="12961" spans="1:4">
      <c r="A12961" s="691"/>
      <c r="D12961" s="3"/>
    </row>
    <row r="12962" spans="1:4">
      <c r="A12962" s="691"/>
      <c r="D12962" s="3"/>
    </row>
    <row r="12963" spans="1:4">
      <c r="A12963" s="691"/>
      <c r="D12963" s="3"/>
    </row>
    <row r="12964" spans="1:4">
      <c r="A12964" s="691"/>
      <c r="D12964" s="3"/>
    </row>
    <row r="12965" spans="1:4">
      <c r="A12965" s="691"/>
      <c r="D12965" s="3"/>
    </row>
    <row r="12966" spans="1:4">
      <c r="A12966" s="691"/>
      <c r="D12966" s="3"/>
    </row>
    <row r="12967" spans="1:4">
      <c r="A12967" s="691"/>
      <c r="D12967" s="3"/>
    </row>
    <row r="12968" spans="1:4">
      <c r="A12968" s="691"/>
      <c r="D12968" s="3"/>
    </row>
    <row r="12969" spans="1:4">
      <c r="A12969" s="691"/>
      <c r="D12969" s="3"/>
    </row>
    <row r="12970" spans="1:4">
      <c r="A12970" s="691"/>
      <c r="D12970" s="3"/>
    </row>
    <row r="12971" spans="1:4">
      <c r="A12971" s="691"/>
      <c r="D12971" s="3"/>
    </row>
    <row r="12972" spans="1:4">
      <c r="A12972" s="691"/>
      <c r="D12972" s="3"/>
    </row>
    <row r="12973" spans="1:4">
      <c r="A12973" s="691"/>
      <c r="D12973" s="3"/>
    </row>
    <row r="12974" spans="1:4">
      <c r="A12974" s="691"/>
      <c r="D12974" s="3"/>
    </row>
    <row r="12975" spans="1:4">
      <c r="A12975" s="691"/>
      <c r="D12975" s="3"/>
    </row>
    <row r="12976" spans="1:4">
      <c r="A12976" s="691"/>
      <c r="D12976" s="3"/>
    </row>
    <row r="12977" spans="1:4">
      <c r="A12977" s="691"/>
      <c r="D12977" s="3"/>
    </row>
    <row r="12978" spans="1:4">
      <c r="A12978" s="691"/>
      <c r="D12978" s="3"/>
    </row>
    <row r="12979" spans="1:4">
      <c r="A12979" s="691"/>
      <c r="D12979" s="3"/>
    </row>
    <row r="12980" spans="1:4">
      <c r="A12980" s="691"/>
      <c r="D12980" s="3"/>
    </row>
    <row r="12981" spans="1:4">
      <c r="A12981" s="691"/>
      <c r="D12981" s="3"/>
    </row>
    <row r="12982" spans="1:4">
      <c r="A12982" s="691"/>
      <c r="D12982" s="3"/>
    </row>
    <row r="12983" spans="1:4">
      <c r="A12983" s="691"/>
      <c r="D12983" s="3"/>
    </row>
    <row r="12984" spans="1:4">
      <c r="A12984" s="691"/>
      <c r="D12984" s="3"/>
    </row>
    <row r="12985" spans="1:4">
      <c r="A12985" s="691"/>
      <c r="D12985" s="3"/>
    </row>
    <row r="12986" spans="1:4">
      <c r="A12986" s="691"/>
      <c r="D12986" s="3"/>
    </row>
    <row r="12987" spans="1:4">
      <c r="A12987" s="691"/>
      <c r="D12987" s="3"/>
    </row>
    <row r="12988" spans="1:4">
      <c r="A12988" s="691"/>
      <c r="D12988" s="3"/>
    </row>
    <row r="12989" spans="1:4">
      <c r="A12989" s="691"/>
      <c r="D12989" s="3"/>
    </row>
    <row r="12990" spans="1:4">
      <c r="A12990" s="691"/>
      <c r="D12990" s="3"/>
    </row>
    <row r="12991" spans="1:4">
      <c r="A12991" s="691"/>
      <c r="D12991" s="3"/>
    </row>
    <row r="12992" spans="1:4">
      <c r="A12992" s="691"/>
      <c r="D12992" s="3"/>
    </row>
    <row r="12993" spans="1:4">
      <c r="A12993" s="691"/>
      <c r="D12993" s="3"/>
    </row>
    <row r="12994" spans="1:4">
      <c r="A12994" s="691"/>
      <c r="D12994" s="3"/>
    </row>
    <row r="12995" spans="1:4">
      <c r="A12995" s="691"/>
      <c r="D12995" s="3"/>
    </row>
    <row r="12996" spans="1:4">
      <c r="A12996" s="691"/>
      <c r="D12996" s="3"/>
    </row>
    <row r="12997" spans="1:4">
      <c r="A12997" s="691"/>
      <c r="D12997" s="3"/>
    </row>
    <row r="12998" spans="1:4">
      <c r="A12998" s="691"/>
      <c r="D12998" s="3"/>
    </row>
    <row r="12999" spans="1:4">
      <c r="A12999" s="691"/>
      <c r="D12999" s="3"/>
    </row>
    <row r="13000" spans="1:4">
      <c r="A13000" s="691"/>
      <c r="D13000" s="3"/>
    </row>
    <row r="13001" spans="1:4">
      <c r="A13001" s="691"/>
      <c r="D13001" s="3"/>
    </row>
    <row r="13002" spans="1:4">
      <c r="A13002" s="691"/>
      <c r="D13002" s="3"/>
    </row>
    <row r="13003" spans="1:4">
      <c r="A13003" s="691"/>
      <c r="D13003" s="3"/>
    </row>
    <row r="13004" spans="1:4">
      <c r="A13004" s="691"/>
      <c r="D13004" s="3"/>
    </row>
    <row r="13005" spans="1:4">
      <c r="A13005" s="691"/>
      <c r="D13005" s="3"/>
    </row>
    <row r="13006" spans="1:4">
      <c r="A13006" s="691"/>
      <c r="D13006" s="3"/>
    </row>
    <row r="13007" spans="1:4">
      <c r="A13007" s="691"/>
      <c r="D13007" s="3"/>
    </row>
    <row r="13008" spans="1:4">
      <c r="A13008" s="691"/>
      <c r="D13008" s="3"/>
    </row>
    <row r="13009" spans="1:4">
      <c r="A13009" s="691"/>
      <c r="D13009" s="3"/>
    </row>
    <row r="13010" spans="1:4">
      <c r="A13010" s="691"/>
      <c r="D13010" s="3"/>
    </row>
    <row r="13011" spans="1:4">
      <c r="A13011" s="691"/>
      <c r="D13011" s="3"/>
    </row>
    <row r="13012" spans="1:4">
      <c r="A13012" s="691"/>
      <c r="D13012" s="3"/>
    </row>
    <row r="13013" spans="1:4">
      <c r="A13013" s="691"/>
      <c r="D13013" s="3"/>
    </row>
    <row r="13014" spans="1:4">
      <c r="A13014" s="691"/>
      <c r="D13014" s="3"/>
    </row>
    <row r="13015" spans="1:4">
      <c r="A13015" s="691"/>
      <c r="D13015" s="3"/>
    </row>
    <row r="13016" spans="1:4">
      <c r="A13016" s="691"/>
      <c r="D13016" s="3"/>
    </row>
    <row r="13017" spans="1:4">
      <c r="A13017" s="691"/>
      <c r="D13017" s="3"/>
    </row>
    <row r="13018" spans="1:4">
      <c r="A13018" s="691"/>
      <c r="D13018" s="3"/>
    </row>
    <row r="13019" spans="1:4">
      <c r="A13019" s="691"/>
      <c r="D13019" s="3"/>
    </row>
    <row r="13020" spans="1:4">
      <c r="A13020" s="691"/>
      <c r="D13020" s="3"/>
    </row>
    <row r="13021" spans="1:4">
      <c r="A13021" s="691"/>
      <c r="D13021" s="3"/>
    </row>
    <row r="13022" spans="1:4">
      <c r="A13022" s="691"/>
      <c r="D13022" s="3"/>
    </row>
    <row r="13023" spans="1:4">
      <c r="A13023" s="691"/>
      <c r="D13023" s="3"/>
    </row>
    <row r="13024" spans="1:4">
      <c r="A13024" s="691"/>
      <c r="D13024" s="3"/>
    </row>
    <row r="13025" spans="1:4">
      <c r="A13025" s="691"/>
      <c r="D13025" s="3"/>
    </row>
    <row r="13026" spans="1:4">
      <c r="A13026" s="691"/>
      <c r="D13026" s="3"/>
    </row>
    <row r="13027" spans="1:4">
      <c r="A13027" s="691"/>
      <c r="D13027" s="3"/>
    </row>
    <row r="13028" spans="1:4">
      <c r="A13028" s="691"/>
      <c r="D13028" s="3"/>
    </row>
    <row r="13029" spans="1:4">
      <c r="A13029" s="691"/>
      <c r="D13029" s="3"/>
    </row>
    <row r="13030" spans="1:4">
      <c r="A13030" s="691"/>
      <c r="D13030" s="3"/>
    </row>
    <row r="13031" spans="1:4">
      <c r="A13031" s="691"/>
      <c r="D13031" s="3"/>
    </row>
    <row r="13032" spans="1:4">
      <c r="A13032" s="691"/>
      <c r="D13032" s="3"/>
    </row>
    <row r="13033" spans="1:4">
      <c r="A13033" s="691"/>
      <c r="D13033" s="3"/>
    </row>
    <row r="13034" spans="1:4">
      <c r="A13034" s="691"/>
      <c r="D13034" s="3"/>
    </row>
    <row r="13035" spans="1:4">
      <c r="A13035" s="691"/>
      <c r="D13035" s="3"/>
    </row>
    <row r="13036" spans="1:4">
      <c r="A13036" s="691"/>
      <c r="D13036" s="3"/>
    </row>
    <row r="13037" spans="1:4">
      <c r="A13037" s="691"/>
      <c r="D13037" s="3"/>
    </row>
    <row r="13038" spans="1:4">
      <c r="A13038" s="691"/>
      <c r="D13038" s="3"/>
    </row>
    <row r="13039" spans="1:4">
      <c r="A13039" s="691"/>
      <c r="D13039" s="3"/>
    </row>
    <row r="13040" spans="1:4">
      <c r="A13040" s="691"/>
      <c r="D13040" s="3"/>
    </row>
    <row r="13041" spans="1:4">
      <c r="A13041" s="691"/>
      <c r="D13041" s="3"/>
    </row>
    <row r="13042" spans="1:4">
      <c r="A13042" s="691"/>
      <c r="D13042" s="3"/>
    </row>
    <row r="13043" spans="1:4">
      <c r="A13043" s="691"/>
      <c r="D13043" s="3"/>
    </row>
    <row r="13044" spans="1:4">
      <c r="A13044" s="691"/>
      <c r="D13044" s="3"/>
    </row>
    <row r="13045" spans="1:4">
      <c r="A13045" s="691"/>
      <c r="D13045" s="3"/>
    </row>
    <row r="13046" spans="1:4">
      <c r="A13046" s="691"/>
      <c r="D13046" s="3"/>
    </row>
    <row r="13047" spans="1:4">
      <c r="A13047" s="691"/>
      <c r="D13047" s="3"/>
    </row>
    <row r="13048" spans="1:4">
      <c r="A13048" s="691"/>
      <c r="D13048" s="3"/>
    </row>
    <row r="13049" spans="1:4">
      <c r="A13049" s="691"/>
      <c r="D13049" s="3"/>
    </row>
    <row r="13050" spans="1:4">
      <c r="A13050" s="691"/>
      <c r="D13050" s="3"/>
    </row>
    <row r="13051" spans="1:4">
      <c r="A13051" s="691"/>
      <c r="D13051" s="3"/>
    </row>
    <row r="13052" spans="1:4">
      <c r="A13052" s="691"/>
      <c r="D13052" s="3"/>
    </row>
    <row r="13053" spans="1:4">
      <c r="A13053" s="691"/>
      <c r="D13053" s="3"/>
    </row>
    <row r="13054" spans="1:4">
      <c r="A13054" s="691"/>
      <c r="D13054" s="3"/>
    </row>
    <row r="13055" spans="1:4">
      <c r="A13055" s="691"/>
      <c r="D13055" s="3"/>
    </row>
    <row r="13056" spans="1:4">
      <c r="A13056" s="691"/>
      <c r="D13056" s="3"/>
    </row>
    <row r="13057" spans="1:4">
      <c r="A13057" s="691"/>
      <c r="D13057" s="3"/>
    </row>
    <row r="13058" spans="1:4">
      <c r="A13058" s="691"/>
      <c r="D13058" s="3"/>
    </row>
    <row r="13059" spans="1:4">
      <c r="A13059" s="691"/>
      <c r="D13059" s="3"/>
    </row>
    <row r="13060" spans="1:4">
      <c r="A13060" s="691"/>
      <c r="D13060" s="3"/>
    </row>
    <row r="13061" spans="1:4">
      <c r="A13061" s="691"/>
      <c r="D13061" s="3"/>
    </row>
    <row r="13062" spans="1:4">
      <c r="A13062" s="691"/>
      <c r="D13062" s="3"/>
    </row>
    <row r="13063" spans="1:4">
      <c r="A13063" s="691"/>
      <c r="D13063" s="3"/>
    </row>
    <row r="13064" spans="1:4">
      <c r="A13064" s="691"/>
      <c r="D13064" s="3"/>
    </row>
    <row r="13065" spans="1:4">
      <c r="A13065" s="691"/>
      <c r="D13065" s="3"/>
    </row>
    <row r="13066" spans="1:4">
      <c r="A13066" s="691"/>
      <c r="D13066" s="3"/>
    </row>
    <row r="13067" spans="1:4">
      <c r="A13067" s="691"/>
      <c r="D13067" s="3"/>
    </row>
    <row r="13068" spans="1:4">
      <c r="A13068" s="691"/>
      <c r="D13068" s="3"/>
    </row>
    <row r="13069" spans="1:4">
      <c r="A13069" s="691"/>
      <c r="D13069" s="3"/>
    </row>
    <row r="13070" spans="1:4">
      <c r="A13070" s="691"/>
      <c r="D13070" s="3"/>
    </row>
    <row r="13071" spans="1:4">
      <c r="A13071" s="691"/>
      <c r="D13071" s="3"/>
    </row>
    <row r="13072" spans="1:4">
      <c r="A13072" s="691"/>
      <c r="D13072" s="3"/>
    </row>
    <row r="13073" spans="1:4">
      <c r="A13073" s="691"/>
      <c r="D13073" s="3"/>
    </row>
    <row r="13074" spans="1:4">
      <c r="A13074" s="691"/>
      <c r="D13074" s="3"/>
    </row>
    <row r="13075" spans="1:4">
      <c r="A13075" s="691"/>
      <c r="D13075" s="3"/>
    </row>
    <row r="13076" spans="1:4">
      <c r="A13076" s="691"/>
      <c r="D13076" s="3"/>
    </row>
    <row r="13077" spans="1:4">
      <c r="A13077" s="691"/>
      <c r="D13077" s="3"/>
    </row>
    <row r="13078" spans="1:4">
      <c r="A13078" s="691"/>
      <c r="D13078" s="3"/>
    </row>
    <row r="13079" spans="1:4">
      <c r="A13079" s="691"/>
      <c r="D13079" s="3"/>
    </row>
    <row r="13080" spans="1:4">
      <c r="A13080" s="691"/>
      <c r="D13080" s="3"/>
    </row>
    <row r="13081" spans="1:4">
      <c r="A13081" s="691"/>
      <c r="D13081" s="3"/>
    </row>
    <row r="13082" spans="1:4">
      <c r="A13082" s="691"/>
      <c r="D13082" s="3"/>
    </row>
    <row r="13083" spans="1:4">
      <c r="A13083" s="691"/>
      <c r="D13083" s="3"/>
    </row>
    <row r="13084" spans="1:4">
      <c r="A13084" s="691"/>
      <c r="D13084" s="3"/>
    </row>
    <row r="13085" spans="1:4">
      <c r="A13085" s="691"/>
      <c r="D13085" s="3"/>
    </row>
    <row r="13086" spans="1:4">
      <c r="A13086" s="691"/>
      <c r="D13086" s="3"/>
    </row>
    <row r="13087" spans="1:4">
      <c r="A13087" s="691"/>
      <c r="D13087" s="3"/>
    </row>
    <row r="13088" spans="1:4">
      <c r="A13088" s="691"/>
      <c r="D13088" s="3"/>
    </row>
    <row r="13089" spans="1:4">
      <c r="A13089" s="691"/>
      <c r="D13089" s="3"/>
    </row>
    <row r="13090" spans="1:4">
      <c r="A13090" s="691"/>
      <c r="D13090" s="3"/>
    </row>
    <row r="13091" spans="1:4">
      <c r="A13091" s="691"/>
      <c r="D13091" s="3"/>
    </row>
    <row r="13092" spans="1:4">
      <c r="A13092" s="691"/>
      <c r="D13092" s="3"/>
    </row>
    <row r="13093" spans="1:4">
      <c r="A13093" s="691"/>
      <c r="D13093" s="3"/>
    </row>
    <row r="13094" spans="1:4">
      <c r="A13094" s="691"/>
      <c r="D13094" s="3"/>
    </row>
    <row r="13095" spans="1:4">
      <c r="A13095" s="691"/>
      <c r="D13095" s="3"/>
    </row>
    <row r="13096" spans="1:4">
      <c r="A13096" s="691"/>
      <c r="D13096" s="3"/>
    </row>
    <row r="13097" spans="1:4">
      <c r="A13097" s="691"/>
      <c r="D13097" s="3"/>
    </row>
    <row r="13098" spans="1:4">
      <c r="A13098" s="691"/>
      <c r="D13098" s="3"/>
    </row>
    <row r="13099" spans="1:4">
      <c r="A13099" s="691"/>
      <c r="D13099" s="3"/>
    </row>
    <row r="13100" spans="1:4">
      <c r="A13100" s="691"/>
      <c r="D13100" s="3"/>
    </row>
    <row r="13101" spans="1:4">
      <c r="A13101" s="691"/>
      <c r="D13101" s="3"/>
    </row>
    <row r="13102" spans="1:4">
      <c r="A13102" s="691"/>
      <c r="D13102" s="3"/>
    </row>
    <row r="13103" spans="1:4">
      <c r="A13103" s="691"/>
      <c r="D13103" s="3"/>
    </row>
    <row r="13104" spans="1:4">
      <c r="A13104" s="691"/>
      <c r="D13104" s="3"/>
    </row>
    <row r="13105" spans="1:4">
      <c r="A13105" s="691"/>
      <c r="D13105" s="3"/>
    </row>
    <row r="13106" spans="1:4">
      <c r="A13106" s="691"/>
      <c r="D13106" s="3"/>
    </row>
    <row r="13107" spans="1:4">
      <c r="A13107" s="691"/>
      <c r="D13107" s="3"/>
    </row>
    <row r="13108" spans="1:4">
      <c r="A13108" s="691"/>
      <c r="D13108" s="3"/>
    </row>
    <row r="13109" spans="1:4">
      <c r="A13109" s="691"/>
      <c r="D13109" s="3"/>
    </row>
    <row r="13110" spans="1:4">
      <c r="A13110" s="691"/>
      <c r="D13110" s="3"/>
    </row>
    <row r="13111" spans="1:4">
      <c r="A13111" s="691"/>
      <c r="D13111" s="3"/>
    </row>
    <row r="13112" spans="1:4">
      <c r="A13112" s="691"/>
      <c r="D13112" s="3"/>
    </row>
    <row r="13113" spans="1:4">
      <c r="A13113" s="691"/>
      <c r="D13113" s="3"/>
    </row>
    <row r="13114" spans="1:4">
      <c r="A13114" s="691"/>
      <c r="D13114" s="3"/>
    </row>
    <row r="13115" spans="1:4">
      <c r="A13115" s="691"/>
      <c r="D13115" s="3"/>
    </row>
    <row r="13116" spans="1:4">
      <c r="A13116" s="691"/>
      <c r="D13116" s="3"/>
    </row>
    <row r="13117" spans="1:4">
      <c r="A13117" s="691"/>
      <c r="D13117" s="3"/>
    </row>
    <row r="13118" spans="1:4">
      <c r="A13118" s="691"/>
      <c r="D13118" s="3"/>
    </row>
    <row r="13119" spans="1:4">
      <c r="A13119" s="691"/>
      <c r="D13119" s="3"/>
    </row>
    <row r="13120" spans="1:4">
      <c r="A13120" s="691"/>
      <c r="D13120" s="3"/>
    </row>
    <row r="13121" spans="1:4">
      <c r="A13121" s="691"/>
      <c r="D13121" s="3"/>
    </row>
    <row r="13122" spans="1:4">
      <c r="A13122" s="691"/>
      <c r="D13122" s="3"/>
    </row>
    <row r="13123" spans="1:4">
      <c r="A13123" s="691"/>
      <c r="D13123" s="3"/>
    </row>
    <row r="13124" spans="1:4">
      <c r="A13124" s="691"/>
      <c r="D13124" s="3"/>
    </row>
    <row r="13125" spans="1:4">
      <c r="A13125" s="691"/>
      <c r="D13125" s="3"/>
    </row>
    <row r="13126" spans="1:4">
      <c r="A13126" s="691"/>
      <c r="D13126" s="3"/>
    </row>
    <row r="13127" spans="1:4">
      <c r="A13127" s="691"/>
      <c r="D13127" s="3"/>
    </row>
    <row r="13128" spans="1:4">
      <c r="A13128" s="691"/>
      <c r="D13128" s="3"/>
    </row>
    <row r="13129" spans="1:4">
      <c r="A13129" s="691"/>
      <c r="D13129" s="3"/>
    </row>
    <row r="13130" spans="1:4">
      <c r="A13130" s="691"/>
      <c r="D13130" s="3"/>
    </row>
    <row r="13131" spans="1:4">
      <c r="A13131" s="691"/>
      <c r="D13131" s="3"/>
    </row>
    <row r="13132" spans="1:4">
      <c r="A13132" s="691"/>
      <c r="D13132" s="3"/>
    </row>
    <row r="13133" spans="1:4">
      <c r="A13133" s="691"/>
      <c r="D13133" s="3"/>
    </row>
    <row r="13134" spans="1:4">
      <c r="A13134" s="691"/>
      <c r="D13134" s="3"/>
    </row>
    <row r="13135" spans="1:4">
      <c r="A13135" s="691"/>
      <c r="D13135" s="3"/>
    </row>
    <row r="13136" spans="1:4">
      <c r="A13136" s="691"/>
      <c r="D13136" s="3"/>
    </row>
    <row r="13137" spans="1:4">
      <c r="A13137" s="691"/>
      <c r="D13137" s="3"/>
    </row>
    <row r="13138" spans="1:4">
      <c r="A13138" s="691"/>
      <c r="D13138" s="3"/>
    </row>
    <row r="13139" spans="1:4">
      <c r="A13139" s="691"/>
      <c r="D13139" s="3"/>
    </row>
    <row r="13140" spans="1:4">
      <c r="A13140" s="691"/>
      <c r="D13140" s="3"/>
    </row>
    <row r="13141" spans="1:4">
      <c r="A13141" s="691"/>
      <c r="D13141" s="3"/>
    </row>
    <row r="13142" spans="1:4">
      <c r="A13142" s="691"/>
      <c r="D13142" s="3"/>
    </row>
    <row r="13143" spans="1:4">
      <c r="A13143" s="691"/>
      <c r="D13143" s="3"/>
    </row>
    <row r="13144" spans="1:4">
      <c r="A13144" s="691"/>
      <c r="D13144" s="3"/>
    </row>
    <row r="13145" spans="1:4">
      <c r="A13145" s="691"/>
      <c r="D13145" s="3"/>
    </row>
    <row r="13146" spans="1:4">
      <c r="A13146" s="691"/>
      <c r="D13146" s="3"/>
    </row>
    <row r="13147" spans="1:4">
      <c r="A13147" s="691"/>
      <c r="D13147" s="3"/>
    </row>
    <row r="13148" spans="1:4">
      <c r="A13148" s="691"/>
      <c r="D13148" s="3"/>
    </row>
    <row r="13149" spans="1:4">
      <c r="A13149" s="691"/>
      <c r="D13149" s="3"/>
    </row>
    <row r="13150" spans="1:4">
      <c r="A13150" s="691"/>
      <c r="D13150" s="3"/>
    </row>
    <row r="13151" spans="1:4">
      <c r="A13151" s="691"/>
      <c r="D13151" s="3"/>
    </row>
    <row r="13152" spans="1:4">
      <c r="A13152" s="691"/>
      <c r="D13152" s="3"/>
    </row>
    <row r="13153" spans="1:4">
      <c r="A13153" s="691"/>
      <c r="D13153" s="3"/>
    </row>
    <row r="13154" spans="1:4">
      <c r="A13154" s="691"/>
      <c r="D13154" s="3"/>
    </row>
    <row r="13155" spans="1:4">
      <c r="A13155" s="691"/>
      <c r="D13155" s="3"/>
    </row>
    <row r="13156" spans="1:4">
      <c r="A13156" s="691"/>
      <c r="D13156" s="3"/>
    </row>
    <row r="13157" spans="1:4">
      <c r="A13157" s="691"/>
      <c r="D13157" s="3"/>
    </row>
    <row r="13158" spans="1:4">
      <c r="A13158" s="691"/>
      <c r="D13158" s="3"/>
    </row>
    <row r="13159" spans="1:4">
      <c r="A13159" s="691"/>
      <c r="D13159" s="3"/>
    </row>
    <row r="13160" spans="1:4">
      <c r="A13160" s="691"/>
      <c r="D13160" s="3"/>
    </row>
    <row r="13161" spans="1:4">
      <c r="A13161" s="691"/>
      <c r="D13161" s="3"/>
    </row>
    <row r="13162" spans="1:4">
      <c r="A13162" s="691"/>
      <c r="D13162" s="3"/>
    </row>
    <row r="13163" spans="1:4">
      <c r="A13163" s="691"/>
      <c r="D13163" s="3"/>
    </row>
    <row r="13164" spans="1:4">
      <c r="A13164" s="691"/>
      <c r="D13164" s="3"/>
    </row>
    <row r="13165" spans="1:4">
      <c r="A13165" s="691"/>
      <c r="D13165" s="3"/>
    </row>
    <row r="13166" spans="1:4">
      <c r="A13166" s="691"/>
      <c r="D13166" s="3"/>
    </row>
    <row r="13167" spans="1:4">
      <c r="A13167" s="691"/>
      <c r="D13167" s="3"/>
    </row>
    <row r="13168" spans="1:4">
      <c r="A13168" s="691"/>
      <c r="D13168" s="3"/>
    </row>
    <row r="13169" spans="1:4">
      <c r="A13169" s="691"/>
      <c r="D13169" s="3"/>
    </row>
    <row r="13170" spans="1:4">
      <c r="A13170" s="691"/>
      <c r="D13170" s="3"/>
    </row>
    <row r="13171" spans="1:4">
      <c r="A13171" s="691"/>
      <c r="D13171" s="3"/>
    </row>
    <row r="13172" spans="1:4">
      <c r="A13172" s="691"/>
      <c r="D13172" s="3"/>
    </row>
    <row r="13173" spans="1:4">
      <c r="A13173" s="691"/>
      <c r="D13173" s="3"/>
    </row>
    <row r="13174" spans="1:4">
      <c r="A13174" s="691"/>
      <c r="D13174" s="3"/>
    </row>
    <row r="13175" spans="1:4">
      <c r="A13175" s="691"/>
      <c r="D13175" s="3"/>
    </row>
    <row r="13176" spans="1:4">
      <c r="A13176" s="691"/>
      <c r="D13176" s="3"/>
    </row>
    <row r="13177" spans="1:4">
      <c r="A13177" s="691"/>
      <c r="D13177" s="3"/>
    </row>
    <row r="13178" spans="1:4">
      <c r="A13178" s="691"/>
      <c r="D13178" s="3"/>
    </row>
    <row r="13179" spans="1:4">
      <c r="A13179" s="691"/>
      <c r="D13179" s="3"/>
    </row>
    <row r="13180" spans="1:4">
      <c r="A13180" s="691"/>
      <c r="D13180" s="3"/>
    </row>
    <row r="13181" spans="1:4">
      <c r="A13181" s="691"/>
      <c r="D13181" s="3"/>
    </row>
    <row r="13182" spans="1:4">
      <c r="A13182" s="691"/>
      <c r="D13182" s="3"/>
    </row>
    <row r="13183" spans="1:4">
      <c r="A13183" s="691"/>
      <c r="D13183" s="3"/>
    </row>
    <row r="13184" spans="1:4">
      <c r="A13184" s="691"/>
      <c r="D13184" s="3"/>
    </row>
    <row r="13185" spans="1:4">
      <c r="A13185" s="691"/>
      <c r="D13185" s="3"/>
    </row>
    <row r="13186" spans="1:4">
      <c r="A13186" s="691"/>
      <c r="D13186" s="3"/>
    </row>
    <row r="13187" spans="1:4">
      <c r="A13187" s="691"/>
      <c r="D13187" s="3"/>
    </row>
    <row r="13188" spans="1:4">
      <c r="A13188" s="691"/>
      <c r="D13188" s="3"/>
    </row>
    <row r="13189" spans="1:4">
      <c r="A13189" s="691"/>
      <c r="D13189" s="3"/>
    </row>
    <row r="13190" spans="1:4">
      <c r="A13190" s="691"/>
      <c r="D13190" s="3"/>
    </row>
    <row r="13191" spans="1:4">
      <c r="A13191" s="691"/>
      <c r="D13191" s="3"/>
    </row>
    <row r="13192" spans="1:4">
      <c r="A13192" s="691"/>
      <c r="D13192" s="3"/>
    </row>
    <row r="13193" spans="1:4">
      <c r="A13193" s="691"/>
      <c r="D13193" s="3"/>
    </row>
    <row r="13194" spans="1:4">
      <c r="A13194" s="691"/>
      <c r="D13194" s="3"/>
    </row>
    <row r="13195" spans="1:4">
      <c r="A13195" s="691"/>
      <c r="D13195" s="3"/>
    </row>
    <row r="13196" spans="1:4">
      <c r="A13196" s="691"/>
      <c r="D13196" s="3"/>
    </row>
    <row r="13197" spans="1:4">
      <c r="A13197" s="691"/>
      <c r="D13197" s="3"/>
    </row>
    <row r="13198" spans="1:4">
      <c r="A13198" s="691"/>
      <c r="D13198" s="3"/>
    </row>
    <row r="13199" spans="1:4">
      <c r="A13199" s="691"/>
      <c r="D13199" s="3"/>
    </row>
    <row r="13200" spans="1:4">
      <c r="A13200" s="691"/>
      <c r="D13200" s="3"/>
    </row>
    <row r="13201" spans="1:4">
      <c r="A13201" s="691"/>
      <c r="D13201" s="3"/>
    </row>
    <row r="13202" spans="1:4">
      <c r="A13202" s="691"/>
      <c r="D13202" s="3"/>
    </row>
    <row r="13203" spans="1:4">
      <c r="A13203" s="691"/>
      <c r="D13203" s="3"/>
    </row>
    <row r="13204" spans="1:4">
      <c r="A13204" s="691"/>
      <c r="D13204" s="3"/>
    </row>
    <row r="13205" spans="1:4">
      <c r="A13205" s="691"/>
      <c r="D13205" s="3"/>
    </row>
    <row r="13206" spans="1:4">
      <c r="A13206" s="691"/>
      <c r="D13206" s="3"/>
    </row>
    <row r="13207" spans="1:4">
      <c r="A13207" s="691"/>
      <c r="D13207" s="3"/>
    </row>
    <row r="13208" spans="1:4">
      <c r="A13208" s="691"/>
      <c r="D13208" s="3"/>
    </row>
    <row r="13209" spans="1:4">
      <c r="A13209" s="691"/>
      <c r="D13209" s="3"/>
    </row>
    <row r="13210" spans="1:4">
      <c r="A13210" s="691"/>
      <c r="D13210" s="3"/>
    </row>
    <row r="13211" spans="1:4">
      <c r="A13211" s="691"/>
      <c r="D13211" s="3"/>
    </row>
    <row r="13212" spans="1:4">
      <c r="A13212" s="691"/>
      <c r="D13212" s="3"/>
    </row>
    <row r="13213" spans="1:4">
      <c r="A13213" s="691"/>
      <c r="D13213" s="3"/>
    </row>
    <row r="13214" spans="1:4">
      <c r="A13214" s="691"/>
      <c r="D13214" s="3"/>
    </row>
    <row r="13215" spans="1:4">
      <c r="A13215" s="691"/>
      <c r="D13215" s="3"/>
    </row>
    <row r="13216" spans="1:4">
      <c r="A13216" s="691"/>
      <c r="D13216" s="3"/>
    </row>
    <row r="13217" spans="1:4">
      <c r="A13217" s="691"/>
      <c r="D13217" s="3"/>
    </row>
    <row r="13218" spans="1:4">
      <c r="A13218" s="691"/>
      <c r="D13218" s="3"/>
    </row>
    <row r="13219" spans="1:4">
      <c r="A13219" s="691"/>
      <c r="D13219" s="3"/>
    </row>
    <row r="13220" spans="1:4">
      <c r="A13220" s="691"/>
      <c r="D13220" s="3"/>
    </row>
    <row r="13221" spans="1:4">
      <c r="A13221" s="691"/>
      <c r="D13221" s="3"/>
    </row>
    <row r="13222" spans="1:4">
      <c r="A13222" s="691"/>
      <c r="D13222" s="3"/>
    </row>
    <row r="13223" spans="1:4">
      <c r="A13223" s="691"/>
      <c r="D13223" s="3"/>
    </row>
    <row r="13224" spans="1:4">
      <c r="A13224" s="691"/>
      <c r="D13224" s="3"/>
    </row>
    <row r="13225" spans="1:4">
      <c r="A13225" s="691"/>
      <c r="D13225" s="3"/>
    </row>
    <row r="13226" spans="1:4">
      <c r="A13226" s="691"/>
      <c r="D13226" s="3"/>
    </row>
    <row r="13227" spans="1:4">
      <c r="A13227" s="691"/>
      <c r="D13227" s="3"/>
    </row>
    <row r="13228" spans="1:4">
      <c r="A13228" s="691"/>
      <c r="D13228" s="3"/>
    </row>
    <row r="13229" spans="1:4">
      <c r="A13229" s="691"/>
      <c r="D13229" s="3"/>
    </row>
    <row r="13230" spans="1:4">
      <c r="A13230" s="691"/>
      <c r="D13230" s="3"/>
    </row>
    <row r="13231" spans="1:4">
      <c r="A13231" s="691"/>
      <c r="D13231" s="3"/>
    </row>
    <row r="13232" spans="1:4">
      <c r="A13232" s="691"/>
      <c r="D13232" s="3"/>
    </row>
    <row r="13233" spans="1:4">
      <c r="A13233" s="691"/>
      <c r="D13233" s="3"/>
    </row>
    <row r="13234" spans="1:4">
      <c r="A13234" s="691"/>
      <c r="D13234" s="3"/>
    </row>
    <row r="13235" spans="1:4">
      <c r="A13235" s="691"/>
      <c r="D13235" s="3"/>
    </row>
    <row r="13236" spans="1:4">
      <c r="A13236" s="691"/>
      <c r="D13236" s="3"/>
    </row>
    <row r="13237" spans="1:4">
      <c r="A13237" s="691"/>
      <c r="D13237" s="3"/>
    </row>
    <row r="13238" spans="1:4">
      <c r="A13238" s="691"/>
      <c r="D13238" s="3"/>
    </row>
    <row r="13239" spans="1:4">
      <c r="A13239" s="691"/>
      <c r="D13239" s="3"/>
    </row>
    <row r="13240" spans="1:4">
      <c r="A13240" s="691"/>
      <c r="D13240" s="3"/>
    </row>
    <row r="13241" spans="1:4">
      <c r="A13241" s="691"/>
      <c r="D13241" s="3"/>
    </row>
    <row r="13242" spans="1:4">
      <c r="A13242" s="691"/>
      <c r="D13242" s="3"/>
    </row>
    <row r="13243" spans="1:4">
      <c r="A13243" s="691"/>
      <c r="D13243" s="3"/>
    </row>
    <row r="13244" spans="1:4">
      <c r="A13244" s="691"/>
      <c r="D13244" s="3"/>
    </row>
    <row r="13245" spans="1:4">
      <c r="A13245" s="691"/>
      <c r="D13245" s="3"/>
    </row>
    <row r="13246" spans="1:4">
      <c r="A13246" s="691"/>
      <c r="D13246" s="3"/>
    </row>
    <row r="13247" spans="1:4">
      <c r="A13247" s="691"/>
      <c r="D13247" s="3"/>
    </row>
    <row r="13248" spans="1:4">
      <c r="A13248" s="691"/>
      <c r="D13248" s="3"/>
    </row>
    <row r="13249" spans="1:4">
      <c r="A13249" s="691"/>
      <c r="D13249" s="3"/>
    </row>
    <row r="13250" spans="1:4">
      <c r="A13250" s="691"/>
      <c r="D13250" s="3"/>
    </row>
    <row r="13251" spans="1:4">
      <c r="A13251" s="691"/>
      <c r="D13251" s="3"/>
    </row>
    <row r="13252" spans="1:4">
      <c r="A13252" s="691"/>
      <c r="D13252" s="3"/>
    </row>
    <row r="13253" spans="1:4">
      <c r="A13253" s="691"/>
      <c r="D13253" s="3"/>
    </row>
    <row r="13254" spans="1:4">
      <c r="A13254" s="691"/>
      <c r="D13254" s="3"/>
    </row>
    <row r="13255" spans="1:4">
      <c r="A13255" s="691"/>
      <c r="D13255" s="3"/>
    </row>
    <row r="13256" spans="1:4">
      <c r="A13256" s="691"/>
      <c r="D13256" s="3"/>
    </row>
    <row r="13257" spans="1:4">
      <c r="A13257" s="691"/>
      <c r="D13257" s="3"/>
    </row>
    <row r="13258" spans="1:4">
      <c r="A13258" s="691"/>
      <c r="D13258" s="3"/>
    </row>
    <row r="13259" spans="1:4">
      <c r="A13259" s="691"/>
      <c r="D13259" s="3"/>
    </row>
    <row r="13260" spans="1:4">
      <c r="A13260" s="691"/>
      <c r="D13260" s="3"/>
    </row>
    <row r="13261" spans="1:4">
      <c r="A13261" s="691"/>
      <c r="D13261" s="3"/>
    </row>
    <row r="13262" spans="1:4">
      <c r="A13262" s="691"/>
      <c r="D13262" s="3"/>
    </row>
    <row r="13263" spans="1:4">
      <c r="A13263" s="691"/>
      <c r="D13263" s="3"/>
    </row>
    <row r="13264" spans="1:4">
      <c r="A13264" s="691"/>
      <c r="D13264" s="3"/>
    </row>
    <row r="13265" spans="1:4">
      <c r="A13265" s="691"/>
      <c r="D13265" s="3"/>
    </row>
    <row r="13266" spans="1:4">
      <c r="A13266" s="691"/>
      <c r="D13266" s="3"/>
    </row>
    <row r="13267" spans="1:4">
      <c r="A13267" s="691"/>
      <c r="D13267" s="3"/>
    </row>
    <row r="13268" spans="1:4">
      <c r="A13268" s="691"/>
      <c r="D13268" s="3"/>
    </row>
    <row r="13269" spans="1:4">
      <c r="A13269" s="691"/>
      <c r="D13269" s="3"/>
    </row>
    <row r="13270" spans="1:4">
      <c r="A13270" s="691"/>
      <c r="D13270" s="3"/>
    </row>
    <row r="13271" spans="1:4">
      <c r="A13271" s="691"/>
      <c r="D13271" s="3"/>
    </row>
    <row r="13272" spans="1:4">
      <c r="A13272" s="691"/>
      <c r="D13272" s="3"/>
    </row>
    <row r="13273" spans="1:4">
      <c r="A13273" s="691"/>
      <c r="D13273" s="3"/>
    </row>
    <row r="13274" spans="1:4">
      <c r="A13274" s="691"/>
      <c r="D13274" s="3"/>
    </row>
    <row r="13275" spans="1:4">
      <c r="A13275" s="691"/>
      <c r="D13275" s="3"/>
    </row>
    <row r="13276" spans="1:4">
      <c r="A13276" s="691"/>
      <c r="D13276" s="3"/>
    </row>
    <row r="13277" spans="1:4">
      <c r="A13277" s="691"/>
      <c r="D13277" s="3"/>
    </row>
    <row r="13278" spans="1:4">
      <c r="A13278" s="691"/>
      <c r="D13278" s="3"/>
    </row>
    <row r="13279" spans="1:4">
      <c r="A13279" s="691"/>
      <c r="D13279" s="3"/>
    </row>
    <row r="13280" spans="1:4">
      <c r="A13280" s="691"/>
      <c r="D13280" s="3"/>
    </row>
    <row r="13281" spans="1:4">
      <c r="A13281" s="691"/>
      <c r="D13281" s="3"/>
    </row>
    <row r="13282" spans="1:4">
      <c r="A13282" s="691"/>
      <c r="D13282" s="3"/>
    </row>
    <row r="13283" spans="1:4">
      <c r="A13283" s="691"/>
      <c r="D13283" s="3"/>
    </row>
    <row r="13284" spans="1:4">
      <c r="A13284" s="691"/>
      <c r="D13284" s="3"/>
    </row>
    <row r="13285" spans="1:4">
      <c r="A13285" s="691"/>
      <c r="D13285" s="3"/>
    </row>
    <row r="13286" spans="1:4">
      <c r="A13286" s="691"/>
      <c r="D13286" s="3"/>
    </row>
    <row r="13287" spans="1:4">
      <c r="A13287" s="691"/>
      <c r="D13287" s="3"/>
    </row>
    <row r="13288" spans="1:4">
      <c r="A13288" s="691"/>
      <c r="D13288" s="3"/>
    </row>
    <row r="13289" spans="1:4">
      <c r="A13289" s="691"/>
      <c r="D13289" s="3"/>
    </row>
    <row r="13290" spans="1:4">
      <c r="A13290" s="691"/>
      <c r="D13290" s="3"/>
    </row>
    <row r="13291" spans="1:4">
      <c r="A13291" s="691"/>
      <c r="D13291" s="3"/>
    </row>
    <row r="13292" spans="1:4">
      <c r="A13292" s="691"/>
      <c r="D13292" s="3"/>
    </row>
    <row r="13293" spans="1:4">
      <c r="A13293" s="691"/>
      <c r="D13293" s="3"/>
    </row>
    <row r="13294" spans="1:4">
      <c r="A13294" s="691"/>
      <c r="D13294" s="3"/>
    </row>
    <row r="13295" spans="1:4">
      <c r="A13295" s="691"/>
      <c r="D13295" s="3"/>
    </row>
    <row r="13296" spans="1:4">
      <c r="A13296" s="691"/>
      <c r="D13296" s="3"/>
    </row>
    <row r="13297" spans="1:4">
      <c r="A13297" s="691"/>
      <c r="D13297" s="3"/>
    </row>
    <row r="13298" spans="1:4">
      <c r="A13298" s="691"/>
      <c r="D13298" s="3"/>
    </row>
    <row r="13299" spans="1:4">
      <c r="A13299" s="691"/>
      <c r="D13299" s="3"/>
    </row>
    <row r="13300" spans="1:4">
      <c r="A13300" s="691"/>
      <c r="D13300" s="3"/>
    </row>
    <row r="13301" spans="1:4">
      <c r="A13301" s="691"/>
      <c r="D13301" s="3"/>
    </row>
    <row r="13302" spans="1:4">
      <c r="A13302" s="691"/>
      <c r="D13302" s="3"/>
    </row>
    <row r="13303" spans="1:4">
      <c r="A13303" s="691"/>
      <c r="D13303" s="3"/>
    </row>
    <row r="13304" spans="1:4">
      <c r="A13304" s="691"/>
      <c r="D13304" s="3"/>
    </row>
    <row r="13305" spans="1:4">
      <c r="A13305" s="691"/>
      <c r="D13305" s="3"/>
    </row>
    <row r="13306" spans="1:4">
      <c r="A13306" s="691"/>
      <c r="D13306" s="3"/>
    </row>
    <row r="13307" spans="1:4">
      <c r="A13307" s="691"/>
      <c r="D13307" s="3"/>
    </row>
    <row r="13308" spans="1:4">
      <c r="A13308" s="691"/>
      <c r="D13308" s="3"/>
    </row>
    <row r="13309" spans="1:4">
      <c r="A13309" s="691"/>
      <c r="D13309" s="3"/>
    </row>
    <row r="13310" spans="1:4">
      <c r="A13310" s="691"/>
      <c r="D13310" s="3"/>
    </row>
    <row r="13311" spans="1:4">
      <c r="A13311" s="691"/>
      <c r="D13311" s="3"/>
    </row>
    <row r="13312" spans="1:4">
      <c r="A13312" s="691"/>
      <c r="D13312" s="3"/>
    </row>
    <row r="13313" spans="1:4">
      <c r="A13313" s="691"/>
      <c r="D13313" s="3"/>
    </row>
    <row r="13314" spans="1:4">
      <c r="A13314" s="691"/>
      <c r="D13314" s="3"/>
    </row>
    <row r="13315" spans="1:4">
      <c r="A13315" s="691"/>
      <c r="D13315" s="3"/>
    </row>
    <row r="13316" spans="1:4">
      <c r="A13316" s="691"/>
      <c r="D13316" s="3"/>
    </row>
    <row r="13317" spans="1:4">
      <c r="A13317" s="691"/>
      <c r="D13317" s="3"/>
    </row>
    <row r="13318" spans="1:4">
      <c r="A13318" s="691"/>
      <c r="D13318" s="3"/>
    </row>
    <row r="13319" spans="1:4">
      <c r="A13319" s="691"/>
      <c r="D13319" s="3"/>
    </row>
    <row r="13320" spans="1:4">
      <c r="A13320" s="691"/>
      <c r="D13320" s="3"/>
    </row>
    <row r="13321" spans="1:4">
      <c r="A13321" s="691"/>
      <c r="D13321" s="3"/>
    </row>
    <row r="13322" spans="1:4">
      <c r="A13322" s="691"/>
      <c r="D13322" s="3"/>
    </row>
    <row r="13323" spans="1:4">
      <c r="A13323" s="691"/>
      <c r="D13323" s="3"/>
    </row>
    <row r="13324" spans="1:4">
      <c r="A13324" s="691"/>
      <c r="D13324" s="3"/>
    </row>
    <row r="13325" spans="1:4">
      <c r="A13325" s="691"/>
      <c r="D13325" s="3"/>
    </row>
    <row r="13326" spans="1:4">
      <c r="A13326" s="691"/>
      <c r="D13326" s="3"/>
    </row>
    <row r="13327" spans="1:4">
      <c r="A13327" s="691"/>
      <c r="D13327" s="3"/>
    </row>
    <row r="13328" spans="1:4">
      <c r="A13328" s="691"/>
      <c r="D13328" s="3"/>
    </row>
    <row r="13329" spans="1:4">
      <c r="A13329" s="691"/>
      <c r="D13329" s="3"/>
    </row>
    <row r="13330" spans="1:4">
      <c r="A13330" s="691"/>
      <c r="D13330" s="3"/>
    </row>
    <row r="13331" spans="1:4">
      <c r="A13331" s="691"/>
      <c r="D13331" s="3"/>
    </row>
    <row r="13332" spans="1:4">
      <c r="A13332" s="691"/>
      <c r="D13332" s="3"/>
    </row>
    <row r="13333" spans="1:4">
      <c r="A13333" s="691"/>
      <c r="D13333" s="3"/>
    </row>
    <row r="13334" spans="1:4">
      <c r="A13334" s="691"/>
      <c r="D13334" s="3"/>
    </row>
    <row r="13335" spans="1:4">
      <c r="A13335" s="691"/>
      <c r="D13335" s="3"/>
    </row>
    <row r="13336" spans="1:4">
      <c r="A13336" s="691"/>
      <c r="D13336" s="3"/>
    </row>
    <row r="13337" spans="1:4">
      <c r="A13337" s="691"/>
      <c r="D13337" s="3"/>
    </row>
    <row r="13338" spans="1:4">
      <c r="A13338" s="691"/>
      <c r="D13338" s="3"/>
    </row>
    <row r="13339" spans="1:4">
      <c r="A13339" s="691"/>
      <c r="D13339" s="3"/>
    </row>
    <row r="13340" spans="1:4">
      <c r="A13340" s="691"/>
      <c r="D13340" s="3"/>
    </row>
    <row r="13341" spans="1:4">
      <c r="A13341" s="691"/>
      <c r="D13341" s="3"/>
    </row>
    <row r="13342" spans="1:4">
      <c r="A13342" s="691"/>
      <c r="D13342" s="3"/>
    </row>
    <row r="13343" spans="1:4">
      <c r="A13343" s="691"/>
      <c r="D13343" s="3"/>
    </row>
    <row r="13344" spans="1:4">
      <c r="A13344" s="691"/>
      <c r="D13344" s="3"/>
    </row>
    <row r="13345" spans="1:4">
      <c r="A13345" s="691"/>
      <c r="D13345" s="3"/>
    </row>
    <row r="13346" spans="1:4">
      <c r="A13346" s="691"/>
      <c r="D13346" s="3"/>
    </row>
    <row r="13347" spans="1:4">
      <c r="A13347" s="691"/>
      <c r="D13347" s="3"/>
    </row>
    <row r="13348" spans="1:4">
      <c r="A13348" s="691"/>
      <c r="D13348" s="3"/>
    </row>
    <row r="13349" spans="1:4">
      <c r="A13349" s="691"/>
      <c r="D13349" s="3"/>
    </row>
    <row r="13350" spans="1:4">
      <c r="A13350" s="691"/>
      <c r="D13350" s="3"/>
    </row>
    <row r="13351" spans="1:4">
      <c r="A13351" s="691"/>
      <c r="D13351" s="3"/>
    </row>
    <row r="13352" spans="1:4">
      <c r="A13352" s="691"/>
      <c r="D13352" s="3"/>
    </row>
    <row r="13353" spans="1:4">
      <c r="A13353" s="691"/>
      <c r="D13353" s="3"/>
    </row>
    <row r="13354" spans="1:4">
      <c r="A13354" s="691"/>
      <c r="D13354" s="3"/>
    </row>
    <row r="13355" spans="1:4">
      <c r="A13355" s="691"/>
      <c r="D13355" s="3"/>
    </row>
    <row r="13356" spans="1:4">
      <c r="A13356" s="691"/>
      <c r="D13356" s="3"/>
    </row>
    <row r="13357" spans="1:4">
      <c r="A13357" s="691"/>
      <c r="D13357" s="3"/>
    </row>
    <row r="13358" spans="1:4">
      <c r="A13358" s="691"/>
      <c r="D13358" s="3"/>
    </row>
    <row r="13359" spans="1:4">
      <c r="A13359" s="691"/>
      <c r="D13359" s="3"/>
    </row>
    <row r="13360" spans="1:4">
      <c r="A13360" s="691"/>
      <c r="D13360" s="3"/>
    </row>
    <row r="13361" spans="1:4">
      <c r="A13361" s="691"/>
      <c r="D13361" s="3"/>
    </row>
    <row r="13362" spans="1:4">
      <c r="A13362" s="691"/>
      <c r="D13362" s="3"/>
    </row>
    <row r="13363" spans="1:4">
      <c r="A13363" s="691"/>
      <c r="D13363" s="3"/>
    </row>
    <row r="13364" spans="1:4">
      <c r="A13364" s="691"/>
      <c r="D13364" s="3"/>
    </row>
    <row r="13365" spans="1:4">
      <c r="A13365" s="691"/>
      <c r="D13365" s="3"/>
    </row>
    <row r="13366" spans="1:4">
      <c r="A13366" s="691"/>
      <c r="D13366" s="3"/>
    </row>
    <row r="13367" spans="1:4">
      <c r="A13367" s="691"/>
      <c r="D13367" s="3"/>
    </row>
    <row r="13368" spans="1:4">
      <c r="A13368" s="691"/>
      <c r="D13368" s="3"/>
    </row>
    <row r="13369" spans="1:4">
      <c r="A13369" s="691"/>
      <c r="D13369" s="3"/>
    </row>
    <row r="13370" spans="1:4">
      <c r="A13370" s="691"/>
      <c r="D13370" s="3"/>
    </row>
    <row r="13371" spans="1:4">
      <c r="A13371" s="691"/>
      <c r="D13371" s="3"/>
    </row>
    <row r="13372" spans="1:4">
      <c r="A13372" s="691"/>
      <c r="D13372" s="3"/>
    </row>
    <row r="13373" spans="1:4">
      <c r="A13373" s="691"/>
      <c r="D13373" s="3"/>
    </row>
    <row r="13374" spans="1:4">
      <c r="A13374" s="691"/>
      <c r="D13374" s="3"/>
    </row>
    <row r="13375" spans="1:4">
      <c r="A13375" s="691"/>
      <c r="D13375" s="3"/>
    </row>
    <row r="13376" spans="1:4">
      <c r="A13376" s="691"/>
      <c r="D13376" s="3"/>
    </row>
    <row r="13377" spans="1:4">
      <c r="A13377" s="691"/>
      <c r="D13377" s="3"/>
    </row>
    <row r="13378" spans="1:4">
      <c r="A13378" s="691"/>
      <c r="D13378" s="3"/>
    </row>
    <row r="13379" spans="1:4">
      <c r="A13379" s="691"/>
      <c r="D13379" s="3"/>
    </row>
    <row r="13380" spans="1:4">
      <c r="A13380" s="691"/>
      <c r="D13380" s="3"/>
    </row>
    <row r="13381" spans="1:4">
      <c r="A13381" s="691"/>
      <c r="D13381" s="3"/>
    </row>
    <row r="13382" spans="1:4">
      <c r="A13382" s="691"/>
      <c r="D13382" s="3"/>
    </row>
    <row r="13383" spans="1:4">
      <c r="A13383" s="691"/>
      <c r="D13383" s="3"/>
    </row>
    <row r="13384" spans="1:4">
      <c r="A13384" s="691"/>
      <c r="D13384" s="3"/>
    </row>
    <row r="13385" spans="1:4">
      <c r="A13385" s="691"/>
      <c r="D13385" s="3"/>
    </row>
    <row r="13386" spans="1:4">
      <c r="A13386" s="691"/>
      <c r="D13386" s="3"/>
    </row>
    <row r="13387" spans="1:4">
      <c r="A13387" s="691"/>
      <c r="D13387" s="3"/>
    </row>
    <row r="13388" spans="1:4">
      <c r="A13388" s="691"/>
      <c r="D13388" s="3"/>
    </row>
    <row r="13389" spans="1:4">
      <c r="A13389" s="691"/>
      <c r="D13389" s="3"/>
    </row>
    <row r="13390" spans="1:4">
      <c r="A13390" s="691"/>
      <c r="D13390" s="3"/>
    </row>
    <row r="13391" spans="1:4">
      <c r="A13391" s="691"/>
      <c r="D13391" s="3"/>
    </row>
    <row r="13392" spans="1:4">
      <c r="A13392" s="691"/>
      <c r="D13392" s="3"/>
    </row>
    <row r="13393" spans="1:4">
      <c r="A13393" s="691"/>
      <c r="D13393" s="3"/>
    </row>
    <row r="13394" spans="1:4">
      <c r="A13394" s="691"/>
      <c r="D13394" s="3"/>
    </row>
    <row r="13395" spans="1:4">
      <c r="A13395" s="691"/>
      <c r="D13395" s="3"/>
    </row>
    <row r="13396" spans="1:4">
      <c r="A13396" s="691"/>
      <c r="D13396" s="3"/>
    </row>
    <row r="13397" spans="1:4">
      <c r="A13397" s="691"/>
      <c r="D13397" s="3"/>
    </row>
    <row r="13398" spans="1:4">
      <c r="A13398" s="691"/>
      <c r="D13398" s="3"/>
    </row>
    <row r="13399" spans="1:4">
      <c r="A13399" s="691"/>
      <c r="D13399" s="3"/>
    </row>
    <row r="13400" spans="1:4">
      <c r="A13400" s="691"/>
      <c r="D13400" s="3"/>
    </row>
    <row r="13401" spans="1:4">
      <c r="A13401" s="691"/>
      <c r="D13401" s="3"/>
    </row>
    <row r="13402" spans="1:4">
      <c r="A13402" s="691"/>
      <c r="D13402" s="3"/>
    </row>
    <row r="13403" spans="1:4">
      <c r="A13403" s="691"/>
      <c r="D13403" s="3"/>
    </row>
    <row r="13404" spans="1:4">
      <c r="A13404" s="691"/>
      <c r="D13404" s="3"/>
    </row>
    <row r="13405" spans="1:4">
      <c r="A13405" s="691"/>
      <c r="D13405" s="3"/>
    </row>
    <row r="13406" spans="1:4">
      <c r="A13406" s="691"/>
      <c r="D13406" s="3"/>
    </row>
    <row r="13407" spans="1:4">
      <c r="A13407" s="691"/>
      <c r="D13407" s="3"/>
    </row>
    <row r="13408" spans="1:4">
      <c r="A13408" s="691"/>
      <c r="D13408" s="3"/>
    </row>
    <row r="13409" spans="1:4">
      <c r="A13409" s="691"/>
      <c r="D13409" s="3"/>
    </row>
    <row r="13410" spans="1:4">
      <c r="A13410" s="691"/>
      <c r="D13410" s="3"/>
    </row>
    <row r="13411" spans="1:4">
      <c r="A13411" s="691"/>
      <c r="D13411" s="3"/>
    </row>
    <row r="13412" spans="1:4">
      <c r="A13412" s="691"/>
      <c r="D13412" s="3"/>
    </row>
    <row r="13413" spans="1:4">
      <c r="A13413" s="691"/>
      <c r="D13413" s="3"/>
    </row>
    <row r="13414" spans="1:4">
      <c r="A13414" s="691"/>
      <c r="D13414" s="3"/>
    </row>
    <row r="13415" spans="1:4">
      <c r="A13415" s="691"/>
      <c r="D13415" s="3"/>
    </row>
    <row r="13416" spans="1:4">
      <c r="A13416" s="691"/>
      <c r="D13416" s="3"/>
    </row>
    <row r="13417" spans="1:4">
      <c r="A13417" s="691"/>
      <c r="D13417" s="3"/>
    </row>
    <row r="13418" spans="1:4">
      <c r="A13418" s="691"/>
      <c r="D13418" s="3"/>
    </row>
    <row r="13419" spans="1:4">
      <c r="A13419" s="691"/>
      <c r="D13419" s="3"/>
    </row>
    <row r="13420" spans="1:4">
      <c r="A13420" s="691"/>
      <c r="D13420" s="3"/>
    </row>
    <row r="13421" spans="1:4">
      <c r="A13421" s="691"/>
      <c r="D13421" s="3"/>
    </row>
    <row r="13422" spans="1:4">
      <c r="A13422" s="691"/>
      <c r="D13422" s="3"/>
    </row>
    <row r="13423" spans="1:4">
      <c r="A13423" s="691"/>
      <c r="D13423" s="3"/>
    </row>
    <row r="13424" spans="1:4">
      <c r="A13424" s="691"/>
      <c r="D13424" s="3"/>
    </row>
    <row r="13425" spans="1:4">
      <c r="A13425" s="691"/>
      <c r="D13425" s="3"/>
    </row>
    <row r="13426" spans="1:4">
      <c r="A13426" s="691"/>
      <c r="D13426" s="3"/>
    </row>
    <row r="13427" spans="1:4">
      <c r="A13427" s="691"/>
      <c r="D13427" s="3"/>
    </row>
    <row r="13428" spans="1:4">
      <c r="A13428" s="691"/>
      <c r="D13428" s="3"/>
    </row>
    <row r="13429" spans="1:4">
      <c r="A13429" s="691"/>
      <c r="D13429" s="3"/>
    </row>
    <row r="13430" spans="1:4">
      <c r="A13430" s="691"/>
      <c r="D13430" s="3"/>
    </row>
    <row r="13431" spans="1:4">
      <c r="A13431" s="691"/>
      <c r="D13431" s="3"/>
    </row>
    <row r="13432" spans="1:4">
      <c r="A13432" s="691"/>
      <c r="D13432" s="3"/>
    </row>
    <row r="13433" spans="1:4">
      <c r="A13433" s="691"/>
      <c r="D13433" s="3"/>
    </row>
    <row r="13434" spans="1:4">
      <c r="A13434" s="691"/>
      <c r="D13434" s="3"/>
    </row>
    <row r="13435" spans="1:4">
      <c r="A13435" s="691"/>
      <c r="D13435" s="3"/>
    </row>
    <row r="13436" spans="1:4">
      <c r="A13436" s="691"/>
      <c r="D13436" s="3"/>
    </row>
    <row r="13437" spans="1:4">
      <c r="A13437" s="691"/>
      <c r="D13437" s="3"/>
    </row>
    <row r="13438" spans="1:4">
      <c r="A13438" s="691"/>
      <c r="D13438" s="3"/>
    </row>
    <row r="13439" spans="1:4">
      <c r="A13439" s="691"/>
      <c r="D13439" s="3"/>
    </row>
    <row r="13440" spans="1:4">
      <c r="A13440" s="691"/>
      <c r="D13440" s="3"/>
    </row>
    <row r="13441" spans="1:4">
      <c r="A13441" s="691"/>
      <c r="D13441" s="3"/>
    </row>
    <row r="13442" spans="1:4">
      <c r="A13442" s="691"/>
      <c r="D13442" s="3"/>
    </row>
    <row r="13443" spans="1:4">
      <c r="A13443" s="691"/>
      <c r="D13443" s="3"/>
    </row>
    <row r="13444" spans="1:4">
      <c r="A13444" s="691"/>
      <c r="D13444" s="3"/>
    </row>
    <row r="13445" spans="1:4">
      <c r="A13445" s="691"/>
      <c r="D13445" s="3"/>
    </row>
    <row r="13446" spans="1:4">
      <c r="A13446" s="691"/>
      <c r="D13446" s="3"/>
    </row>
    <row r="13447" spans="1:4">
      <c r="A13447" s="691"/>
      <c r="D13447" s="3"/>
    </row>
    <row r="13448" spans="1:4">
      <c r="A13448" s="691"/>
      <c r="D13448" s="3"/>
    </row>
    <row r="13449" spans="1:4">
      <c r="A13449" s="691"/>
      <c r="D13449" s="3"/>
    </row>
    <row r="13450" spans="1:4">
      <c r="A13450" s="691"/>
      <c r="D13450" s="3"/>
    </row>
    <row r="13451" spans="1:4">
      <c r="A13451" s="691"/>
      <c r="D13451" s="3"/>
    </row>
    <row r="13452" spans="1:4">
      <c r="A13452" s="691"/>
      <c r="D13452" s="3"/>
    </row>
    <row r="13453" spans="1:4">
      <c r="A13453" s="691"/>
      <c r="D13453" s="3"/>
    </row>
    <row r="13454" spans="1:4">
      <c r="A13454" s="691"/>
      <c r="D13454" s="3"/>
    </row>
    <row r="13455" spans="1:4">
      <c r="A13455" s="691"/>
      <c r="D13455" s="3"/>
    </row>
    <row r="13456" spans="1:4">
      <c r="A13456" s="691"/>
      <c r="D13456" s="3"/>
    </row>
    <row r="13457" spans="1:4">
      <c r="A13457" s="691"/>
      <c r="D13457" s="3"/>
    </row>
    <row r="13458" spans="1:4">
      <c r="A13458" s="691"/>
      <c r="D13458" s="3"/>
    </row>
    <row r="13459" spans="1:4">
      <c r="A13459" s="691"/>
      <c r="D13459" s="3"/>
    </row>
    <row r="13460" spans="1:4">
      <c r="A13460" s="691"/>
      <c r="D13460" s="3"/>
    </row>
    <row r="13461" spans="1:4">
      <c r="A13461" s="691"/>
      <c r="D13461" s="3"/>
    </row>
    <row r="13462" spans="1:4">
      <c r="A13462" s="691"/>
      <c r="D13462" s="3"/>
    </row>
    <row r="13463" spans="1:4">
      <c r="A13463" s="691"/>
      <c r="D13463" s="3"/>
    </row>
    <row r="13464" spans="1:4">
      <c r="A13464" s="691"/>
      <c r="D13464" s="3"/>
    </row>
    <row r="13465" spans="1:4">
      <c r="A13465" s="691"/>
      <c r="D13465" s="3"/>
    </row>
    <row r="13466" spans="1:4">
      <c r="A13466" s="691"/>
      <c r="D13466" s="3"/>
    </row>
    <row r="13467" spans="1:4">
      <c r="A13467" s="691"/>
      <c r="D13467" s="3"/>
    </row>
    <row r="13468" spans="1:4">
      <c r="A13468" s="691"/>
      <c r="D13468" s="3"/>
    </row>
    <row r="13469" spans="1:4">
      <c r="A13469" s="691"/>
      <c r="D13469" s="3"/>
    </row>
    <row r="13470" spans="1:4">
      <c r="A13470" s="691"/>
      <c r="D13470" s="3"/>
    </row>
    <row r="13471" spans="1:4">
      <c r="A13471" s="691"/>
      <c r="D13471" s="3"/>
    </row>
    <row r="13472" spans="1:4">
      <c r="A13472" s="691"/>
      <c r="D13472" s="3"/>
    </row>
    <row r="13473" spans="1:4">
      <c r="A13473" s="691"/>
      <c r="D13473" s="3"/>
    </row>
    <row r="13474" spans="1:4">
      <c r="A13474" s="691"/>
      <c r="D13474" s="3"/>
    </row>
    <row r="13475" spans="1:4">
      <c r="A13475" s="691"/>
      <c r="D13475" s="3"/>
    </row>
    <row r="13476" spans="1:4">
      <c r="A13476" s="691"/>
      <c r="D13476" s="3"/>
    </row>
    <row r="13477" spans="1:4">
      <c r="A13477" s="691"/>
      <c r="D13477" s="3"/>
    </row>
    <row r="13478" spans="1:4">
      <c r="A13478" s="691"/>
      <c r="D13478" s="3"/>
    </row>
    <row r="13479" spans="1:4">
      <c r="A13479" s="691"/>
      <c r="D13479" s="3"/>
    </row>
    <row r="13480" spans="1:4">
      <c r="A13480" s="691"/>
      <c r="D13480" s="3"/>
    </row>
    <row r="13481" spans="1:4">
      <c r="A13481" s="691"/>
      <c r="D13481" s="3"/>
    </row>
    <row r="13482" spans="1:4">
      <c r="A13482" s="691"/>
      <c r="D13482" s="3"/>
    </row>
    <row r="13483" spans="1:4">
      <c r="A13483" s="691"/>
      <c r="D13483" s="3"/>
    </row>
    <row r="13484" spans="1:4">
      <c r="A13484" s="691"/>
      <c r="D13484" s="3"/>
    </row>
    <row r="13485" spans="1:4">
      <c r="A13485" s="691"/>
      <c r="D13485" s="3"/>
    </row>
    <row r="13486" spans="1:4">
      <c r="A13486" s="691"/>
      <c r="D13486" s="3"/>
    </row>
    <row r="13487" spans="1:4">
      <c r="A13487" s="691"/>
      <c r="D13487" s="3"/>
    </row>
    <row r="13488" spans="1:4">
      <c r="A13488" s="691"/>
      <c r="D13488" s="3"/>
    </row>
    <row r="13489" spans="1:4">
      <c r="A13489" s="691"/>
      <c r="D13489" s="3"/>
    </row>
    <row r="13490" spans="1:4">
      <c r="A13490" s="691"/>
      <c r="D13490" s="3"/>
    </row>
    <row r="13491" spans="1:4">
      <c r="A13491" s="691"/>
      <c r="D13491" s="3"/>
    </row>
    <row r="13492" spans="1:4">
      <c r="A13492" s="691"/>
      <c r="D13492" s="3"/>
    </row>
    <row r="13493" spans="1:4">
      <c r="A13493" s="691"/>
      <c r="D13493" s="3"/>
    </row>
    <row r="13494" spans="1:4">
      <c r="A13494" s="691"/>
      <c r="D13494" s="3"/>
    </row>
    <row r="13495" spans="1:4">
      <c r="A13495" s="691"/>
      <c r="D13495" s="3"/>
    </row>
    <row r="13496" spans="1:4">
      <c r="A13496" s="691"/>
      <c r="D13496" s="3"/>
    </row>
    <row r="13497" spans="1:4">
      <c r="A13497" s="691"/>
      <c r="D13497" s="3"/>
    </row>
    <row r="13498" spans="1:4">
      <c r="A13498" s="691"/>
      <c r="D13498" s="3"/>
    </row>
    <row r="13499" spans="1:4">
      <c r="A13499" s="691"/>
      <c r="D13499" s="3"/>
    </row>
    <row r="13500" spans="1:4">
      <c r="A13500" s="691"/>
      <c r="D13500" s="3"/>
    </row>
    <row r="13501" spans="1:4">
      <c r="A13501" s="691"/>
      <c r="D13501" s="3"/>
    </row>
    <row r="13502" spans="1:4">
      <c r="A13502" s="691"/>
      <c r="D13502" s="3"/>
    </row>
    <row r="13503" spans="1:4">
      <c r="A13503" s="691"/>
      <c r="D13503" s="3"/>
    </row>
    <row r="13504" spans="1:4">
      <c r="A13504" s="691"/>
      <c r="D13504" s="3"/>
    </row>
    <row r="13505" spans="1:4">
      <c r="A13505" s="691"/>
      <c r="D13505" s="3"/>
    </row>
    <row r="13506" spans="1:4">
      <c r="A13506" s="691"/>
      <c r="D13506" s="3"/>
    </row>
    <row r="13507" spans="1:4">
      <c r="A13507" s="691"/>
      <c r="D13507" s="3"/>
    </row>
    <row r="13508" spans="1:4">
      <c r="A13508" s="691"/>
      <c r="D13508" s="3"/>
    </row>
    <row r="13509" spans="1:4">
      <c r="A13509" s="691"/>
      <c r="D13509" s="3"/>
    </row>
    <row r="13510" spans="1:4">
      <c r="A13510" s="691"/>
      <c r="D13510" s="3"/>
    </row>
    <row r="13511" spans="1:4">
      <c r="A13511" s="691"/>
      <c r="D13511" s="3"/>
    </row>
    <row r="13512" spans="1:4">
      <c r="A13512" s="691"/>
      <c r="D13512" s="3"/>
    </row>
    <row r="13513" spans="1:4">
      <c r="A13513" s="691"/>
      <c r="D13513" s="3"/>
    </row>
    <row r="13514" spans="1:4">
      <c r="A13514" s="691"/>
      <c r="D13514" s="3"/>
    </row>
    <row r="13515" spans="1:4">
      <c r="A13515" s="691"/>
      <c r="D13515" s="3"/>
    </row>
    <row r="13516" spans="1:4">
      <c r="A13516" s="691"/>
      <c r="D13516" s="3"/>
    </row>
    <row r="13517" spans="1:4">
      <c r="A13517" s="691"/>
      <c r="D13517" s="3"/>
    </row>
    <row r="13518" spans="1:4">
      <c r="A13518" s="691"/>
      <c r="D13518" s="3"/>
    </row>
    <row r="13519" spans="1:4">
      <c r="A13519" s="691"/>
      <c r="D13519" s="3"/>
    </row>
    <row r="13520" spans="1:4">
      <c r="A13520" s="691"/>
      <c r="D13520" s="3"/>
    </row>
    <row r="13521" spans="1:4">
      <c r="A13521" s="691"/>
      <c r="D13521" s="3"/>
    </row>
    <row r="13522" spans="1:4">
      <c r="A13522" s="691"/>
      <c r="D13522" s="3"/>
    </row>
    <row r="13523" spans="1:4">
      <c r="A13523" s="691"/>
      <c r="D13523" s="3"/>
    </row>
    <row r="13524" spans="1:4">
      <c r="A13524" s="691"/>
      <c r="D13524" s="3"/>
    </row>
    <row r="13525" spans="1:4">
      <c r="A13525" s="691"/>
      <c r="D13525" s="3"/>
    </row>
    <row r="13526" spans="1:4">
      <c r="A13526" s="691"/>
      <c r="D13526" s="3"/>
    </row>
    <row r="13527" spans="1:4">
      <c r="A13527" s="691"/>
      <c r="D13527" s="3"/>
    </row>
    <row r="13528" spans="1:4">
      <c r="A13528" s="691"/>
      <c r="D13528" s="3"/>
    </row>
    <row r="13529" spans="1:4">
      <c r="A13529" s="691"/>
      <c r="D13529" s="3"/>
    </row>
    <row r="13530" spans="1:4">
      <c r="A13530" s="691"/>
      <c r="D13530" s="3"/>
    </row>
    <row r="13531" spans="1:4">
      <c r="A13531" s="691"/>
      <c r="D13531" s="3"/>
    </row>
    <row r="13532" spans="1:4">
      <c r="A13532" s="691"/>
      <c r="D13532" s="3"/>
    </row>
    <row r="13533" spans="1:4">
      <c r="A13533" s="691"/>
      <c r="D13533" s="3"/>
    </row>
    <row r="13534" spans="1:4">
      <c r="A13534" s="691"/>
      <c r="D13534" s="3"/>
    </row>
    <row r="13535" spans="1:4">
      <c r="A13535" s="691"/>
      <c r="D13535" s="3"/>
    </row>
    <row r="13536" spans="1:4">
      <c r="A13536" s="691"/>
      <c r="D13536" s="3"/>
    </row>
    <row r="13537" spans="1:4">
      <c r="A13537" s="691"/>
      <c r="D13537" s="3"/>
    </row>
    <row r="13538" spans="1:4">
      <c r="A13538" s="691"/>
      <c r="D13538" s="3"/>
    </row>
    <row r="13539" spans="1:4">
      <c r="A13539" s="691"/>
      <c r="D13539" s="3"/>
    </row>
    <row r="13540" spans="1:4">
      <c r="A13540" s="691"/>
      <c r="D13540" s="3"/>
    </row>
    <row r="13541" spans="1:4">
      <c r="A13541" s="691"/>
      <c r="D13541" s="3"/>
    </row>
    <row r="13542" spans="1:4">
      <c r="A13542" s="691"/>
      <c r="D13542" s="3"/>
    </row>
    <row r="13543" spans="1:4">
      <c r="A13543" s="691"/>
      <c r="D13543" s="3"/>
    </row>
    <row r="13544" spans="1:4">
      <c r="A13544" s="691"/>
      <c r="D13544" s="3"/>
    </row>
    <row r="13545" spans="1:4">
      <c r="A13545" s="691"/>
      <c r="D13545" s="3"/>
    </row>
    <row r="13546" spans="1:4">
      <c r="A13546" s="691"/>
      <c r="D13546" s="3"/>
    </row>
    <row r="13547" spans="1:4">
      <c r="A13547" s="691"/>
      <c r="D13547" s="3"/>
    </row>
    <row r="13548" spans="1:4">
      <c r="A13548" s="691"/>
      <c r="D13548" s="3"/>
    </row>
    <row r="13549" spans="1:4">
      <c r="A13549" s="691"/>
      <c r="D13549" s="3"/>
    </row>
    <row r="13550" spans="1:4">
      <c r="A13550" s="691"/>
      <c r="D13550" s="3"/>
    </row>
    <row r="13551" spans="1:4">
      <c r="A13551" s="691"/>
      <c r="D13551" s="3"/>
    </row>
    <row r="13552" spans="1:4">
      <c r="A13552" s="691"/>
      <c r="D13552" s="3"/>
    </row>
    <row r="13553" spans="1:4">
      <c r="A13553" s="691"/>
      <c r="D13553" s="3"/>
    </row>
    <row r="13554" spans="1:4">
      <c r="A13554" s="691"/>
      <c r="D13554" s="3"/>
    </row>
    <row r="13555" spans="1:4">
      <c r="A13555" s="691"/>
      <c r="D13555" s="3"/>
    </row>
    <row r="13556" spans="1:4">
      <c r="A13556" s="691"/>
      <c r="D13556" s="3"/>
    </row>
    <row r="13557" spans="1:4">
      <c r="A13557" s="691"/>
      <c r="D13557" s="3"/>
    </row>
    <row r="13558" spans="1:4">
      <c r="A13558" s="691"/>
      <c r="D13558" s="3"/>
    </row>
    <row r="13559" spans="1:4">
      <c r="A13559" s="691"/>
      <c r="D13559" s="3"/>
    </row>
    <row r="13560" spans="1:4">
      <c r="A13560" s="691"/>
      <c r="D13560" s="3"/>
    </row>
    <row r="13561" spans="1:4">
      <c r="A13561" s="691"/>
      <c r="D13561" s="3"/>
    </row>
    <row r="13562" spans="1:4">
      <c r="A13562" s="691"/>
      <c r="D13562" s="3"/>
    </row>
    <row r="13563" spans="1:4">
      <c r="A13563" s="691"/>
      <c r="D13563" s="3"/>
    </row>
    <row r="13564" spans="1:4">
      <c r="A13564" s="691"/>
      <c r="D13564" s="3"/>
    </row>
    <row r="13565" spans="1:4">
      <c r="A13565" s="691"/>
      <c r="D13565" s="3"/>
    </row>
    <row r="13566" spans="1:4">
      <c r="A13566" s="691"/>
      <c r="D13566" s="3"/>
    </row>
    <row r="13567" spans="1:4">
      <c r="A13567" s="691"/>
      <c r="D13567" s="3"/>
    </row>
    <row r="13568" spans="1:4">
      <c r="A13568" s="691"/>
      <c r="D13568" s="3"/>
    </row>
    <row r="13569" spans="1:4">
      <c r="A13569" s="691"/>
      <c r="D13569" s="3"/>
    </row>
    <row r="13570" spans="1:4">
      <c r="A13570" s="691"/>
      <c r="D13570" s="3"/>
    </row>
    <row r="13571" spans="1:4">
      <c r="A13571" s="691"/>
      <c r="D13571" s="3"/>
    </row>
    <row r="13572" spans="1:4">
      <c r="A13572" s="691"/>
      <c r="D13572" s="3"/>
    </row>
    <row r="13573" spans="1:4">
      <c r="A13573" s="691"/>
      <c r="D13573" s="3"/>
    </row>
    <row r="13574" spans="1:4">
      <c r="A13574" s="691"/>
      <c r="D13574" s="3"/>
    </row>
    <row r="13575" spans="1:4">
      <c r="A13575" s="691"/>
      <c r="D13575" s="3"/>
    </row>
    <row r="13576" spans="1:4">
      <c r="A13576" s="691"/>
      <c r="D13576" s="3"/>
    </row>
    <row r="13577" spans="1:4">
      <c r="A13577" s="691"/>
      <c r="D13577" s="3"/>
    </row>
    <row r="13578" spans="1:4">
      <c r="A13578" s="691"/>
      <c r="D13578" s="3"/>
    </row>
    <row r="13579" spans="1:4">
      <c r="A13579" s="691"/>
      <c r="D13579" s="3"/>
    </row>
    <row r="13580" spans="1:4">
      <c r="A13580" s="691"/>
      <c r="D13580" s="3"/>
    </row>
    <row r="13581" spans="1:4">
      <c r="A13581" s="691"/>
      <c r="D13581" s="3"/>
    </row>
    <row r="13582" spans="1:4">
      <c r="A13582" s="691"/>
      <c r="D13582" s="3"/>
    </row>
    <row r="13583" spans="1:4">
      <c r="A13583" s="691"/>
      <c r="D13583" s="3"/>
    </row>
    <row r="13584" spans="1:4">
      <c r="A13584" s="691"/>
      <c r="D13584" s="3"/>
    </row>
    <row r="13585" spans="1:4">
      <c r="A13585" s="691"/>
      <c r="D13585" s="3"/>
    </row>
    <row r="13586" spans="1:4">
      <c r="A13586" s="691"/>
      <c r="D13586" s="3"/>
    </row>
    <row r="13587" spans="1:4">
      <c r="A13587" s="691"/>
      <c r="D13587" s="3"/>
    </row>
    <row r="13588" spans="1:4">
      <c r="A13588" s="691"/>
      <c r="D13588" s="3"/>
    </row>
    <row r="13589" spans="1:4">
      <c r="A13589" s="691"/>
      <c r="D13589" s="3"/>
    </row>
    <row r="13590" spans="1:4">
      <c r="A13590" s="691"/>
      <c r="D13590" s="3"/>
    </row>
    <row r="13591" spans="1:4">
      <c r="A13591" s="691"/>
      <c r="D13591" s="3"/>
    </row>
    <row r="13592" spans="1:4">
      <c r="A13592" s="691"/>
      <c r="D13592" s="3"/>
    </row>
    <row r="13593" spans="1:4">
      <c r="A13593" s="691"/>
      <c r="D13593" s="3"/>
    </row>
    <row r="13594" spans="1:4">
      <c r="A13594" s="691"/>
      <c r="D13594" s="3"/>
    </row>
    <row r="13595" spans="1:4">
      <c r="A13595" s="691"/>
      <c r="D13595" s="3"/>
    </row>
    <row r="13596" spans="1:4">
      <c r="A13596" s="691"/>
      <c r="D13596" s="3"/>
    </row>
    <row r="13597" spans="1:4">
      <c r="A13597" s="691"/>
      <c r="D13597" s="3"/>
    </row>
    <row r="13598" spans="1:4">
      <c r="A13598" s="691"/>
      <c r="D13598" s="3"/>
    </row>
    <row r="13599" spans="1:4">
      <c r="A13599" s="691"/>
      <c r="D13599" s="3"/>
    </row>
    <row r="13600" spans="1:4">
      <c r="A13600" s="691"/>
      <c r="D13600" s="3"/>
    </row>
    <row r="13601" spans="1:4">
      <c r="A13601" s="691"/>
      <c r="D13601" s="3"/>
    </row>
    <row r="13602" spans="1:4">
      <c r="A13602" s="691"/>
      <c r="D13602" s="3"/>
    </row>
    <row r="13603" spans="1:4">
      <c r="A13603" s="691"/>
      <c r="D13603" s="3"/>
    </row>
    <row r="13604" spans="1:4">
      <c r="A13604" s="691"/>
      <c r="D13604" s="3"/>
    </row>
    <row r="13605" spans="1:4">
      <c r="A13605" s="691"/>
      <c r="D13605" s="3"/>
    </row>
    <row r="13606" spans="1:4">
      <c r="A13606" s="691"/>
      <c r="D13606" s="3"/>
    </row>
    <row r="13607" spans="1:4">
      <c r="A13607" s="691"/>
      <c r="D13607" s="3"/>
    </row>
    <row r="13608" spans="1:4">
      <c r="A13608" s="691"/>
      <c r="D13608" s="3"/>
    </row>
    <row r="13609" spans="1:4">
      <c r="A13609" s="691"/>
      <c r="D13609" s="3"/>
    </row>
    <row r="13610" spans="1:4">
      <c r="A13610" s="691"/>
      <c r="D13610" s="3"/>
    </row>
    <row r="13611" spans="1:4">
      <c r="A13611" s="691"/>
      <c r="D13611" s="3"/>
    </row>
    <row r="13612" spans="1:4">
      <c r="A13612" s="691"/>
      <c r="D13612" s="3"/>
    </row>
    <row r="13613" spans="1:4">
      <c r="A13613" s="691"/>
      <c r="D13613" s="3"/>
    </row>
    <row r="13614" spans="1:4">
      <c r="A13614" s="691"/>
      <c r="D13614" s="3"/>
    </row>
    <row r="13615" spans="1:4">
      <c r="A13615" s="691"/>
      <c r="D13615" s="3"/>
    </row>
    <row r="13616" spans="1:4">
      <c r="A13616" s="691"/>
      <c r="D13616" s="3"/>
    </row>
    <row r="13617" spans="1:4">
      <c r="A13617" s="691"/>
      <c r="D13617" s="3"/>
    </row>
    <row r="13618" spans="1:4">
      <c r="A13618" s="691"/>
      <c r="D13618" s="3"/>
    </row>
    <row r="13619" spans="1:4">
      <c r="A13619" s="691"/>
      <c r="D13619" s="3"/>
    </row>
    <row r="13620" spans="1:4">
      <c r="A13620" s="691"/>
      <c r="D13620" s="3"/>
    </row>
    <row r="13621" spans="1:4">
      <c r="A13621" s="691"/>
      <c r="D13621" s="3"/>
    </row>
    <row r="13622" spans="1:4">
      <c r="A13622" s="691"/>
      <c r="D13622" s="3"/>
    </row>
    <row r="13623" spans="1:4">
      <c r="A13623" s="691"/>
      <c r="D13623" s="3"/>
    </row>
    <row r="13624" spans="1:4">
      <c r="A13624" s="691"/>
      <c r="D13624" s="3"/>
    </row>
    <row r="13625" spans="1:4">
      <c r="A13625" s="691"/>
      <c r="D13625" s="3"/>
    </row>
    <row r="13626" spans="1:4">
      <c r="A13626" s="691"/>
      <c r="D13626" s="3"/>
    </row>
    <row r="13627" spans="1:4">
      <c r="A13627" s="691"/>
      <c r="D13627" s="3"/>
    </row>
    <row r="13628" spans="1:4">
      <c r="A13628" s="691"/>
      <c r="D13628" s="3"/>
    </row>
    <row r="13629" spans="1:4">
      <c r="A13629" s="691"/>
      <c r="D13629" s="3"/>
    </row>
    <row r="13630" spans="1:4">
      <c r="A13630" s="691"/>
      <c r="D13630" s="3"/>
    </row>
    <row r="13631" spans="1:4">
      <c r="A13631" s="691"/>
      <c r="D13631" s="3"/>
    </row>
    <row r="13632" spans="1:4">
      <c r="A13632" s="691"/>
      <c r="D13632" s="3"/>
    </row>
    <row r="13633" spans="1:4">
      <c r="A13633" s="691"/>
      <c r="D13633" s="3"/>
    </row>
    <row r="13634" spans="1:4">
      <c r="A13634" s="691"/>
      <c r="D13634" s="3"/>
    </row>
    <row r="13635" spans="1:4">
      <c r="A13635" s="691"/>
      <c r="D13635" s="3"/>
    </row>
    <row r="13636" spans="1:4">
      <c r="A13636" s="691"/>
      <c r="D13636" s="3"/>
    </row>
    <row r="13637" spans="1:4">
      <c r="A13637" s="691"/>
      <c r="D13637" s="3"/>
    </row>
    <row r="13638" spans="1:4">
      <c r="A13638" s="691"/>
      <c r="D13638" s="3"/>
    </row>
    <row r="13639" spans="1:4">
      <c r="A13639" s="691"/>
      <c r="D13639" s="3"/>
    </row>
    <row r="13640" spans="1:4">
      <c r="A13640" s="691"/>
      <c r="D13640" s="3"/>
    </row>
    <row r="13641" spans="1:4">
      <c r="A13641" s="691"/>
      <c r="D13641" s="3"/>
    </row>
    <row r="13642" spans="1:4">
      <c r="A13642" s="691"/>
      <c r="D13642" s="3"/>
    </row>
    <row r="13643" spans="1:4">
      <c r="A13643" s="691"/>
      <c r="D13643" s="3"/>
    </row>
    <row r="13644" spans="1:4">
      <c r="A13644" s="691"/>
      <c r="D13644" s="3"/>
    </row>
    <row r="13645" spans="1:4">
      <c r="A13645" s="691"/>
      <c r="D13645" s="3"/>
    </row>
    <row r="13646" spans="1:4">
      <c r="A13646" s="691"/>
      <c r="D13646" s="3"/>
    </row>
    <row r="13647" spans="1:4">
      <c r="A13647" s="691"/>
      <c r="D13647" s="3"/>
    </row>
    <row r="13648" spans="1:4">
      <c r="A13648" s="691"/>
      <c r="D13648" s="3"/>
    </row>
    <row r="13649" spans="1:4">
      <c r="A13649" s="691"/>
      <c r="D13649" s="3"/>
    </row>
    <row r="13650" spans="1:4">
      <c r="A13650" s="691"/>
      <c r="D13650" s="3"/>
    </row>
    <row r="13651" spans="1:4">
      <c r="A13651" s="691"/>
      <c r="D13651" s="3"/>
    </row>
    <row r="13652" spans="1:4">
      <c r="A13652" s="691"/>
      <c r="D13652" s="3"/>
    </row>
    <row r="13653" spans="1:4">
      <c r="A13653" s="691"/>
      <c r="D13653" s="3"/>
    </row>
    <row r="13654" spans="1:4">
      <c r="A13654" s="691"/>
      <c r="D13654" s="3"/>
    </row>
    <row r="13655" spans="1:4">
      <c r="A13655" s="691"/>
      <c r="D13655" s="3"/>
    </row>
    <row r="13656" spans="1:4">
      <c r="A13656" s="691"/>
      <c r="D13656" s="3"/>
    </row>
    <row r="13657" spans="1:4">
      <c r="A13657" s="691"/>
      <c r="D13657" s="3"/>
    </row>
    <row r="13658" spans="1:4">
      <c r="A13658" s="691"/>
      <c r="D13658" s="3"/>
    </row>
    <row r="13659" spans="1:4">
      <c r="A13659" s="691"/>
      <c r="D13659" s="3"/>
    </row>
    <row r="13660" spans="1:4">
      <c r="A13660" s="691"/>
      <c r="D13660" s="3"/>
    </row>
    <row r="13661" spans="1:4">
      <c r="A13661" s="691"/>
      <c r="D13661" s="3"/>
    </row>
    <row r="13662" spans="1:4">
      <c r="A13662" s="691"/>
      <c r="D13662" s="3"/>
    </row>
    <row r="13663" spans="1:4">
      <c r="A13663" s="691"/>
      <c r="D13663" s="3"/>
    </row>
    <row r="13664" spans="1:4">
      <c r="A13664" s="691"/>
      <c r="D13664" s="3"/>
    </row>
    <row r="13665" spans="1:4">
      <c r="A13665" s="691"/>
      <c r="D13665" s="3"/>
    </row>
    <row r="13666" spans="1:4">
      <c r="A13666" s="691"/>
      <c r="D13666" s="3"/>
    </row>
    <row r="13667" spans="1:4">
      <c r="A13667" s="691"/>
      <c r="D13667" s="3"/>
    </row>
    <row r="13668" spans="1:4">
      <c r="A13668" s="691"/>
      <c r="D13668" s="3"/>
    </row>
    <row r="13669" spans="1:4">
      <c r="A13669" s="691"/>
      <c r="D13669" s="3"/>
    </row>
    <row r="13670" spans="1:4">
      <c r="A13670" s="691"/>
      <c r="D13670" s="3"/>
    </row>
    <row r="13671" spans="1:4">
      <c r="A13671" s="691"/>
      <c r="D13671" s="3"/>
    </row>
    <row r="13672" spans="1:4">
      <c r="A13672" s="691"/>
      <c r="D13672" s="3"/>
    </row>
    <row r="13673" spans="1:4">
      <c r="A13673" s="691"/>
      <c r="D13673" s="3"/>
    </row>
    <row r="13674" spans="1:4">
      <c r="A13674" s="691"/>
      <c r="D13674" s="3"/>
    </row>
    <row r="13675" spans="1:4">
      <c r="A13675" s="691"/>
      <c r="D13675" s="3"/>
    </row>
    <row r="13676" spans="1:4">
      <c r="A13676" s="691"/>
      <c r="D13676" s="3"/>
    </row>
    <row r="13677" spans="1:4">
      <c r="A13677" s="691"/>
      <c r="D13677" s="3"/>
    </row>
    <row r="13678" spans="1:4">
      <c r="A13678" s="691"/>
      <c r="D13678" s="3"/>
    </row>
    <row r="13679" spans="1:4">
      <c r="A13679" s="691"/>
      <c r="D13679" s="3"/>
    </row>
    <row r="13680" spans="1:4">
      <c r="A13680" s="691"/>
      <c r="D13680" s="3"/>
    </row>
    <row r="13681" spans="1:4">
      <c r="A13681" s="691"/>
      <c r="D13681" s="3"/>
    </row>
    <row r="13682" spans="1:4">
      <c r="A13682" s="691"/>
      <c r="D13682" s="3"/>
    </row>
    <row r="13683" spans="1:4">
      <c r="A13683" s="691"/>
      <c r="D13683" s="3"/>
    </row>
    <row r="13684" spans="1:4">
      <c r="A13684" s="691"/>
      <c r="D13684" s="3"/>
    </row>
    <row r="13685" spans="1:4">
      <c r="A13685" s="691"/>
      <c r="D13685" s="3"/>
    </row>
    <row r="13686" spans="1:4">
      <c r="A13686" s="691"/>
      <c r="D13686" s="3"/>
    </row>
    <row r="13687" spans="1:4">
      <c r="A13687" s="691"/>
      <c r="D13687" s="3"/>
    </row>
    <row r="13688" spans="1:4">
      <c r="A13688" s="691"/>
      <c r="D13688" s="3"/>
    </row>
    <row r="13689" spans="1:4">
      <c r="A13689" s="691"/>
      <c r="D13689" s="3"/>
    </row>
    <row r="13690" spans="1:4">
      <c r="A13690" s="691"/>
      <c r="D13690" s="3"/>
    </row>
    <row r="13691" spans="1:4">
      <c r="A13691" s="691"/>
      <c r="D13691" s="3"/>
    </row>
    <row r="13692" spans="1:4">
      <c r="A13692" s="691"/>
      <c r="D13692" s="3"/>
    </row>
    <row r="13693" spans="1:4">
      <c r="A13693" s="691"/>
      <c r="D13693" s="3"/>
    </row>
    <row r="13694" spans="1:4">
      <c r="A13694" s="691"/>
      <c r="D13694" s="3"/>
    </row>
    <row r="13695" spans="1:4">
      <c r="A13695" s="691"/>
      <c r="D13695" s="3"/>
    </row>
    <row r="13696" spans="1:4">
      <c r="A13696" s="691"/>
      <c r="D13696" s="3"/>
    </row>
    <row r="13697" spans="1:4">
      <c r="A13697" s="691"/>
      <c r="D13697" s="3"/>
    </row>
    <row r="13698" spans="1:4">
      <c r="A13698" s="691"/>
      <c r="D13698" s="3"/>
    </row>
    <row r="13699" spans="1:4">
      <c r="A13699" s="691"/>
      <c r="D13699" s="3"/>
    </row>
    <row r="13700" spans="1:4">
      <c r="A13700" s="691"/>
      <c r="D13700" s="3"/>
    </row>
    <row r="13701" spans="1:4">
      <c r="A13701" s="691"/>
      <c r="D13701" s="3"/>
    </row>
    <row r="13702" spans="1:4">
      <c r="A13702" s="691"/>
      <c r="D13702" s="3"/>
    </row>
    <row r="13703" spans="1:4">
      <c r="A13703" s="691"/>
      <c r="D13703" s="3"/>
    </row>
    <row r="13704" spans="1:4">
      <c r="A13704" s="691"/>
      <c r="D13704" s="3"/>
    </row>
    <row r="13705" spans="1:4">
      <c r="A13705" s="691"/>
      <c r="D13705" s="3"/>
    </row>
    <row r="13706" spans="1:4">
      <c r="A13706" s="691"/>
      <c r="D13706" s="3"/>
    </row>
    <row r="13707" spans="1:4">
      <c r="A13707" s="691"/>
      <c r="D13707" s="3"/>
    </row>
    <row r="13708" spans="1:4">
      <c r="A13708" s="691"/>
      <c r="D13708" s="3"/>
    </row>
    <row r="13709" spans="1:4">
      <c r="A13709" s="691"/>
      <c r="D13709" s="3"/>
    </row>
    <row r="13710" spans="1:4">
      <c r="A13710" s="691"/>
      <c r="D13710" s="3"/>
    </row>
    <row r="13711" spans="1:4">
      <c r="A13711" s="691"/>
      <c r="D13711" s="3"/>
    </row>
    <row r="13712" spans="1:4">
      <c r="A13712" s="691"/>
      <c r="D13712" s="3"/>
    </row>
    <row r="13713" spans="1:4">
      <c r="A13713" s="691"/>
      <c r="D13713" s="3"/>
    </row>
    <row r="13714" spans="1:4">
      <c r="A13714" s="691"/>
      <c r="D13714" s="3"/>
    </row>
    <row r="13715" spans="1:4">
      <c r="A13715" s="691"/>
      <c r="D13715" s="3"/>
    </row>
    <row r="13716" spans="1:4">
      <c r="A13716" s="691"/>
      <c r="D13716" s="3"/>
    </row>
    <row r="13717" spans="1:4">
      <c r="A13717" s="691"/>
      <c r="D13717" s="3"/>
    </row>
    <row r="13718" spans="1:4">
      <c r="A13718" s="691"/>
      <c r="D13718" s="3"/>
    </row>
    <row r="13719" spans="1:4">
      <c r="A13719" s="691"/>
      <c r="D13719" s="3"/>
    </row>
    <row r="13720" spans="1:4">
      <c r="A13720" s="691"/>
      <c r="D13720" s="3"/>
    </row>
    <row r="13721" spans="1:4">
      <c r="A13721" s="691"/>
      <c r="D13721" s="3"/>
    </row>
    <row r="13722" spans="1:4">
      <c r="A13722" s="691"/>
      <c r="D13722" s="3"/>
    </row>
    <row r="13723" spans="1:4">
      <c r="A13723" s="691"/>
      <c r="D13723" s="3"/>
    </row>
    <row r="13724" spans="1:4">
      <c r="A13724" s="691"/>
      <c r="D13724" s="3"/>
    </row>
    <row r="13725" spans="1:4">
      <c r="A13725" s="691"/>
      <c r="D13725" s="3"/>
    </row>
    <row r="13726" spans="1:4">
      <c r="A13726" s="691"/>
      <c r="D13726" s="3"/>
    </row>
    <row r="13727" spans="1:4">
      <c r="A13727" s="691"/>
      <c r="D13727" s="3"/>
    </row>
    <row r="13728" spans="1:4">
      <c r="A13728" s="691"/>
      <c r="D13728" s="3"/>
    </row>
    <row r="13729" spans="1:4">
      <c r="A13729" s="691"/>
      <c r="D13729" s="3"/>
    </row>
    <row r="13730" spans="1:4">
      <c r="A13730" s="691"/>
      <c r="D13730" s="3"/>
    </row>
    <row r="13731" spans="1:4">
      <c r="A13731" s="691"/>
      <c r="D13731" s="3"/>
    </row>
    <row r="13732" spans="1:4">
      <c r="A13732" s="691"/>
      <c r="D13732" s="3"/>
    </row>
    <row r="13733" spans="1:4">
      <c r="A13733" s="691"/>
      <c r="D13733" s="3"/>
    </row>
    <row r="13734" spans="1:4">
      <c r="A13734" s="691"/>
      <c r="D13734" s="3"/>
    </row>
    <row r="13735" spans="1:4">
      <c r="A13735" s="691"/>
      <c r="D13735" s="3"/>
    </row>
    <row r="13736" spans="1:4">
      <c r="A13736" s="691"/>
      <c r="D13736" s="3"/>
    </row>
    <row r="13737" spans="1:4">
      <c r="A13737" s="691"/>
      <c r="D13737" s="3"/>
    </row>
    <row r="13738" spans="1:4">
      <c r="A13738" s="691"/>
      <c r="D13738" s="3"/>
    </row>
    <row r="13739" spans="1:4">
      <c r="A13739" s="691"/>
      <c r="D13739" s="3"/>
    </row>
    <row r="13740" spans="1:4">
      <c r="A13740" s="691"/>
      <c r="D13740" s="3"/>
    </row>
    <row r="13741" spans="1:4">
      <c r="A13741" s="691"/>
      <c r="D13741" s="3"/>
    </row>
    <row r="13742" spans="1:4">
      <c r="A13742" s="691"/>
      <c r="D13742" s="3"/>
    </row>
    <row r="13743" spans="1:4">
      <c r="A13743" s="691"/>
      <c r="D13743" s="3"/>
    </row>
    <row r="13744" spans="1:4">
      <c r="A13744" s="691"/>
      <c r="D13744" s="3"/>
    </row>
    <row r="13745" spans="1:4">
      <c r="A13745" s="691"/>
      <c r="D13745" s="3"/>
    </row>
    <row r="13746" spans="1:4">
      <c r="A13746" s="691"/>
      <c r="D13746" s="3"/>
    </row>
    <row r="13747" spans="1:4">
      <c r="A13747" s="691"/>
      <c r="D13747" s="3"/>
    </row>
    <row r="13748" spans="1:4">
      <c r="A13748" s="691"/>
      <c r="D13748" s="3"/>
    </row>
    <row r="13749" spans="1:4">
      <c r="A13749" s="691"/>
      <c r="D13749" s="3"/>
    </row>
    <row r="13750" spans="1:4">
      <c r="A13750" s="691"/>
      <c r="D13750" s="3"/>
    </row>
    <row r="13751" spans="1:4">
      <c r="A13751" s="691"/>
      <c r="D13751" s="3"/>
    </row>
    <row r="13752" spans="1:4">
      <c r="A13752" s="691"/>
      <c r="D13752" s="3"/>
    </row>
    <row r="13753" spans="1:4">
      <c r="A13753" s="691"/>
      <c r="D13753" s="3"/>
    </row>
    <row r="13754" spans="1:4">
      <c r="A13754" s="691"/>
      <c r="D13754" s="3"/>
    </row>
    <row r="13755" spans="1:4">
      <c r="A13755" s="691"/>
      <c r="D13755" s="3"/>
    </row>
    <row r="13756" spans="1:4">
      <c r="A13756" s="691"/>
      <c r="D13756" s="3"/>
    </row>
    <row r="13757" spans="1:4">
      <c r="A13757" s="691"/>
      <c r="D13757" s="3"/>
    </row>
    <row r="13758" spans="1:4">
      <c r="A13758" s="691"/>
      <c r="D13758" s="3"/>
    </row>
    <row r="13759" spans="1:4">
      <c r="A13759" s="691"/>
      <c r="D13759" s="3"/>
    </row>
    <row r="13760" spans="1:4">
      <c r="A13760" s="691"/>
      <c r="D13760" s="3"/>
    </row>
    <row r="13761" spans="1:4">
      <c r="A13761" s="691"/>
      <c r="D13761" s="3"/>
    </row>
    <row r="13762" spans="1:4">
      <c r="A13762" s="691"/>
      <c r="D13762" s="3"/>
    </row>
    <row r="13763" spans="1:4">
      <c r="A13763" s="691"/>
      <c r="D13763" s="3"/>
    </row>
    <row r="13764" spans="1:4">
      <c r="A13764" s="691"/>
      <c r="D13764" s="3"/>
    </row>
    <row r="13765" spans="1:4">
      <c r="A13765" s="691"/>
      <c r="D13765" s="3"/>
    </row>
    <row r="13766" spans="1:4">
      <c r="A13766" s="691"/>
      <c r="D13766" s="3"/>
    </row>
    <row r="13767" spans="1:4">
      <c r="A13767" s="691"/>
      <c r="D13767" s="3"/>
    </row>
    <row r="13768" spans="1:4">
      <c r="A13768" s="691"/>
      <c r="D13768" s="3"/>
    </row>
    <row r="13769" spans="1:4">
      <c r="A13769" s="691"/>
      <c r="D13769" s="3"/>
    </row>
    <row r="13770" spans="1:4">
      <c r="A13770" s="691"/>
      <c r="D13770" s="3"/>
    </row>
    <row r="13771" spans="1:4">
      <c r="A13771" s="691"/>
      <c r="D13771" s="3"/>
    </row>
    <row r="13772" spans="1:4">
      <c r="A13772" s="691"/>
      <c r="D13772" s="3"/>
    </row>
    <row r="13773" spans="1:4">
      <c r="A13773" s="691"/>
      <c r="D13773" s="3"/>
    </row>
    <row r="13774" spans="1:4">
      <c r="A13774" s="691"/>
      <c r="D13774" s="3"/>
    </row>
    <row r="13775" spans="1:4">
      <c r="A13775" s="691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Y856"/>
  <sheetViews>
    <sheetView workbookViewId="0">
      <selection sqref="A1:XFD1048576"/>
    </sheetView>
  </sheetViews>
  <sheetFormatPr defaultColWidth="6" defaultRowHeight="12.75"/>
  <cols>
    <col min="1" max="1" width="6" style="682"/>
    <col min="2" max="2" width="31.375" style="691" customWidth="1"/>
    <col min="3" max="3" width="8.125" style="3" customWidth="1"/>
    <col min="4" max="4" width="8.125" style="167" customWidth="1"/>
    <col min="5" max="21" width="8.125" style="3" customWidth="1"/>
    <col min="22" max="23" width="8.75" style="3" customWidth="1"/>
    <col min="24" max="24" width="12.25" style="3" customWidth="1"/>
    <col min="25" max="25" width="12.25" style="3" bestFit="1" customWidth="1"/>
    <col min="26" max="16384" width="6" style="3"/>
  </cols>
  <sheetData>
    <row r="3" spans="1:25" ht="15.75">
      <c r="B3" s="682"/>
      <c r="D3" s="3"/>
      <c r="V3"/>
      <c r="W3"/>
      <c r="X3"/>
      <c r="Y3"/>
    </row>
    <row r="4" spans="1:25" ht="15.75">
      <c r="B4" s="682"/>
      <c r="D4" s="3"/>
      <c r="I4" s="575"/>
      <c r="N4" s="575"/>
      <c r="R4" s="575"/>
      <c r="T4" s="575"/>
      <c r="V4"/>
      <c r="W4"/>
      <c r="X4"/>
      <c r="Y4"/>
    </row>
    <row r="5" spans="1:25" ht="15.75">
      <c r="D5" s="3"/>
      <c r="I5" s="575"/>
      <c r="N5" s="575"/>
      <c r="R5" s="575"/>
      <c r="T5" s="575"/>
      <c r="V5"/>
      <c r="W5"/>
      <c r="X5"/>
      <c r="Y5"/>
    </row>
    <row r="6" spans="1:25" ht="15.75">
      <c r="A6" s="683"/>
      <c r="B6" s="687"/>
      <c r="C6" s="674"/>
      <c r="D6" s="675"/>
      <c r="E6" s="675"/>
      <c r="F6" s="675"/>
      <c r="G6" s="675"/>
      <c r="H6" s="676"/>
      <c r="I6" s="676"/>
      <c r="J6" s="675"/>
      <c r="K6" s="675"/>
      <c r="L6" s="675"/>
      <c r="M6" s="676"/>
      <c r="N6" s="676"/>
      <c r="O6" s="675"/>
      <c r="P6" s="675"/>
      <c r="Q6" s="676"/>
      <c r="R6" s="676"/>
      <c r="S6" s="676"/>
      <c r="T6" s="676"/>
      <c r="U6" s="676"/>
      <c r="V6"/>
      <c r="W6"/>
      <c r="X6"/>
      <c r="Y6"/>
    </row>
    <row r="7" spans="1:25" ht="15.75">
      <c r="A7" s="684"/>
      <c r="B7" s="688"/>
      <c r="C7" s="380"/>
      <c r="D7" s="381"/>
      <c r="E7" s="381"/>
      <c r="F7" s="381"/>
      <c r="G7" s="381"/>
      <c r="H7" s="382"/>
      <c r="I7" s="382"/>
      <c r="J7" s="381"/>
      <c r="K7" s="381"/>
      <c r="L7" s="381"/>
      <c r="M7" s="382"/>
      <c r="N7" s="382"/>
      <c r="O7" s="381"/>
      <c r="P7" s="381"/>
      <c r="Q7" s="382"/>
      <c r="R7" s="382"/>
      <c r="S7" s="382"/>
      <c r="T7" s="382"/>
      <c r="U7" s="382"/>
      <c r="V7"/>
      <c r="W7"/>
      <c r="X7"/>
      <c r="Y7"/>
    </row>
    <row r="8" spans="1:25" s="386" customFormat="1" ht="15.75">
      <c r="A8" s="684"/>
      <c r="B8" s="689"/>
      <c r="C8" s="383"/>
      <c r="D8" s="384"/>
      <c r="E8" s="384"/>
      <c r="F8" s="384"/>
      <c r="G8" s="384"/>
      <c r="H8" s="385"/>
      <c r="I8" s="385"/>
      <c r="J8" s="384"/>
      <c r="K8" s="692"/>
      <c r="L8" s="384"/>
      <c r="M8" s="385"/>
      <c r="N8" s="385"/>
      <c r="O8" s="384"/>
      <c r="P8" s="384"/>
      <c r="Q8" s="385"/>
      <c r="R8" s="385"/>
      <c r="S8" s="385"/>
      <c r="T8" s="385"/>
      <c r="U8" s="385"/>
      <c r="V8"/>
      <c r="W8"/>
      <c r="X8"/>
      <c r="Y8"/>
    </row>
    <row r="9" spans="1:25" ht="15.75">
      <c r="A9" s="684"/>
      <c r="B9" s="687"/>
      <c r="C9" s="674"/>
      <c r="D9" s="675"/>
      <c r="E9" s="675"/>
      <c r="F9" s="675"/>
      <c r="G9" s="675"/>
      <c r="H9" s="676"/>
      <c r="I9" s="676"/>
      <c r="J9" s="675"/>
      <c r="K9" s="675"/>
      <c r="L9" s="675"/>
      <c r="M9" s="676"/>
      <c r="N9" s="676"/>
      <c r="O9" s="675"/>
      <c r="P9" s="675"/>
      <c r="Q9" s="676"/>
      <c r="R9" s="676"/>
      <c r="S9" s="676"/>
      <c r="T9" s="676"/>
      <c r="U9" s="676"/>
      <c r="V9"/>
      <c r="W9"/>
      <c r="X9"/>
      <c r="Y9"/>
    </row>
    <row r="10" spans="1:25" ht="15.75">
      <c r="A10" s="684"/>
      <c r="B10" s="688"/>
      <c r="C10" s="380"/>
      <c r="D10" s="381"/>
      <c r="E10" s="381"/>
      <c r="F10" s="381"/>
      <c r="G10" s="381"/>
      <c r="H10" s="382"/>
      <c r="I10" s="382"/>
      <c r="J10" s="381"/>
      <c r="K10" s="381"/>
      <c r="L10" s="381"/>
      <c r="M10" s="382"/>
      <c r="N10" s="382"/>
      <c r="O10" s="381"/>
      <c r="P10" s="381"/>
      <c r="Q10" s="382"/>
      <c r="R10" s="382"/>
      <c r="S10" s="382"/>
      <c r="T10" s="382"/>
      <c r="U10" s="382"/>
      <c r="V10"/>
      <c r="W10"/>
      <c r="X10"/>
      <c r="Y10"/>
    </row>
    <row r="11" spans="1:25" s="386" customFormat="1" ht="15.75">
      <c r="A11" s="684"/>
      <c r="B11" s="689"/>
      <c r="C11" s="383"/>
      <c r="D11" s="384"/>
      <c r="E11" s="384"/>
      <c r="F11" s="384"/>
      <c r="G11" s="384"/>
      <c r="H11" s="385"/>
      <c r="I11" s="385"/>
      <c r="J11" s="384"/>
      <c r="K11" s="384"/>
      <c r="L11" s="384"/>
      <c r="M11" s="385"/>
      <c r="N11" s="385"/>
      <c r="O11" s="384"/>
      <c r="P11" s="384"/>
      <c r="Q11" s="385"/>
      <c r="R11" s="385"/>
      <c r="S11" s="385"/>
      <c r="T11" s="385"/>
      <c r="U11" s="385"/>
      <c r="V11"/>
      <c r="W11"/>
      <c r="X11"/>
      <c r="Y11"/>
    </row>
    <row r="12" spans="1:25" ht="15.75">
      <c r="A12" s="684"/>
      <c r="B12" s="687"/>
      <c r="C12" s="674"/>
      <c r="D12" s="675"/>
      <c r="E12" s="675"/>
      <c r="F12" s="675"/>
      <c r="G12" s="675"/>
      <c r="H12" s="676"/>
      <c r="I12" s="676"/>
      <c r="J12" s="675"/>
      <c r="K12" s="675"/>
      <c r="L12" s="675"/>
      <c r="M12" s="676"/>
      <c r="N12" s="676"/>
      <c r="O12" s="675"/>
      <c r="P12" s="675"/>
      <c r="Q12" s="676"/>
      <c r="R12" s="676"/>
      <c r="S12" s="676"/>
      <c r="T12" s="676"/>
      <c r="U12" s="676"/>
      <c r="V12"/>
      <c r="W12"/>
      <c r="X12"/>
      <c r="Y12"/>
    </row>
    <row r="13" spans="1:25" ht="15.75">
      <c r="A13" s="684"/>
      <c r="B13" s="688"/>
      <c r="C13" s="380"/>
      <c r="D13" s="381"/>
      <c r="E13" s="381"/>
      <c r="F13" s="381"/>
      <c r="G13" s="381"/>
      <c r="H13" s="382"/>
      <c r="I13" s="382"/>
      <c r="J13" s="381"/>
      <c r="K13" s="381"/>
      <c r="L13" s="381"/>
      <c r="M13" s="382"/>
      <c r="N13" s="382"/>
      <c r="O13" s="381"/>
      <c r="P13" s="381"/>
      <c r="Q13" s="382"/>
      <c r="R13" s="382"/>
      <c r="S13" s="382"/>
      <c r="T13" s="382"/>
      <c r="U13" s="382"/>
      <c r="V13"/>
      <c r="W13"/>
      <c r="X13"/>
      <c r="Y13"/>
    </row>
    <row r="14" spans="1:25" s="386" customFormat="1" ht="15.75">
      <c r="A14" s="684"/>
      <c r="B14" s="689"/>
      <c r="C14" s="383"/>
      <c r="D14" s="384"/>
      <c r="E14" s="384"/>
      <c r="F14" s="384"/>
      <c r="G14" s="384"/>
      <c r="H14" s="385"/>
      <c r="I14" s="385"/>
      <c r="J14" s="384"/>
      <c r="K14" s="384"/>
      <c r="L14" s="384"/>
      <c r="M14" s="385"/>
      <c r="N14" s="385"/>
      <c r="O14" s="384"/>
      <c r="P14" s="384"/>
      <c r="Q14" s="385"/>
      <c r="R14" s="385"/>
      <c r="S14" s="385"/>
      <c r="T14" s="385"/>
      <c r="U14" s="385"/>
      <c r="V14"/>
      <c r="W14"/>
      <c r="X14"/>
      <c r="Y14"/>
    </row>
    <row r="15" spans="1:25" ht="15.75">
      <c r="A15" s="684"/>
      <c r="B15" s="687"/>
      <c r="C15" s="674"/>
      <c r="D15" s="675"/>
      <c r="E15" s="675"/>
      <c r="F15" s="675"/>
      <c r="G15" s="675"/>
      <c r="H15" s="676"/>
      <c r="I15" s="676"/>
      <c r="J15" s="675"/>
      <c r="K15" s="675"/>
      <c r="L15" s="675"/>
      <c r="M15" s="676"/>
      <c r="N15" s="676"/>
      <c r="O15" s="675"/>
      <c r="P15" s="675"/>
      <c r="Q15" s="676"/>
      <c r="R15" s="676"/>
      <c r="S15" s="676"/>
      <c r="T15" s="676"/>
      <c r="U15" s="676"/>
      <c r="V15"/>
      <c r="W15"/>
      <c r="X15"/>
      <c r="Y15"/>
    </row>
    <row r="16" spans="1:25" ht="15.75">
      <c r="A16" s="684"/>
      <c r="B16" s="688"/>
      <c r="C16" s="380"/>
      <c r="D16" s="381"/>
      <c r="E16" s="381"/>
      <c r="F16" s="381"/>
      <c r="G16" s="381"/>
      <c r="H16" s="382"/>
      <c r="I16" s="382"/>
      <c r="J16" s="381"/>
      <c r="K16" s="381"/>
      <c r="L16" s="381"/>
      <c r="M16" s="382"/>
      <c r="N16" s="382"/>
      <c r="O16" s="381"/>
      <c r="P16" s="381"/>
      <c r="Q16" s="382"/>
      <c r="R16" s="382"/>
      <c r="S16" s="382"/>
      <c r="T16" s="382"/>
      <c r="U16" s="382"/>
      <c r="V16"/>
      <c r="W16"/>
      <c r="X16"/>
      <c r="Y16"/>
    </row>
    <row r="17" spans="1:25" s="386" customFormat="1" ht="15.75">
      <c r="A17" s="684"/>
      <c r="B17" s="689"/>
      <c r="C17" s="383"/>
      <c r="D17" s="384"/>
      <c r="E17" s="384"/>
      <c r="F17" s="384"/>
      <c r="G17" s="384"/>
      <c r="H17" s="385"/>
      <c r="I17" s="385"/>
      <c r="J17" s="384"/>
      <c r="K17" s="384"/>
      <c r="L17" s="384"/>
      <c r="M17" s="385"/>
      <c r="N17" s="385"/>
      <c r="O17" s="384"/>
      <c r="P17" s="384"/>
      <c r="Q17" s="385"/>
      <c r="R17" s="385"/>
      <c r="S17" s="385"/>
      <c r="T17" s="385"/>
      <c r="U17" s="385"/>
      <c r="V17"/>
      <c r="W17"/>
      <c r="X17"/>
      <c r="Y17"/>
    </row>
    <row r="18" spans="1:25" ht="15.75">
      <c r="A18" s="684"/>
      <c r="B18" s="687"/>
      <c r="C18" s="674"/>
      <c r="D18" s="675"/>
      <c r="E18" s="675"/>
      <c r="F18" s="675"/>
      <c r="G18" s="675"/>
      <c r="H18" s="676"/>
      <c r="I18" s="676"/>
      <c r="J18" s="675"/>
      <c r="K18" s="675"/>
      <c r="L18" s="675"/>
      <c r="M18" s="676"/>
      <c r="N18" s="676"/>
      <c r="O18" s="675"/>
      <c r="P18" s="675"/>
      <c r="Q18" s="676"/>
      <c r="R18" s="676"/>
      <c r="S18" s="676"/>
      <c r="T18" s="676"/>
      <c r="U18" s="676"/>
      <c r="V18"/>
      <c r="W18"/>
      <c r="X18"/>
      <c r="Y18"/>
    </row>
    <row r="19" spans="1:25" ht="15.75">
      <c r="A19" s="684"/>
      <c r="B19" s="688"/>
      <c r="C19" s="380"/>
      <c r="D19" s="381"/>
      <c r="E19" s="381"/>
      <c r="F19" s="381"/>
      <c r="G19" s="381"/>
      <c r="H19" s="382"/>
      <c r="I19" s="382"/>
      <c r="J19" s="381"/>
      <c r="K19" s="381"/>
      <c r="L19" s="381"/>
      <c r="M19" s="382"/>
      <c r="N19" s="382"/>
      <c r="O19" s="381"/>
      <c r="P19" s="381"/>
      <c r="Q19" s="382"/>
      <c r="R19" s="382"/>
      <c r="S19" s="382"/>
      <c r="T19" s="382"/>
      <c r="U19" s="382"/>
      <c r="V19"/>
      <c r="W19"/>
      <c r="X19"/>
      <c r="Y19"/>
    </row>
    <row r="20" spans="1:25" s="386" customFormat="1" ht="15.75">
      <c r="A20" s="684"/>
      <c r="B20" s="689"/>
      <c r="C20" s="383"/>
      <c r="D20" s="384"/>
      <c r="E20" s="692"/>
      <c r="F20" s="384"/>
      <c r="G20" s="384"/>
      <c r="H20" s="385"/>
      <c r="I20" s="385"/>
      <c r="J20" s="384"/>
      <c r="K20" s="384"/>
      <c r="L20" s="384"/>
      <c r="M20" s="385"/>
      <c r="N20" s="385"/>
      <c r="O20" s="384"/>
      <c r="P20" s="384"/>
      <c r="Q20" s="385"/>
      <c r="R20" s="385"/>
      <c r="S20" s="385"/>
      <c r="T20" s="385"/>
      <c r="U20" s="385"/>
      <c r="V20"/>
      <c r="W20"/>
      <c r="X20"/>
      <c r="Y20"/>
    </row>
    <row r="21" spans="1:25" ht="15.75">
      <c r="A21" s="684"/>
      <c r="B21" s="687"/>
      <c r="C21" s="674"/>
      <c r="D21" s="675"/>
      <c r="E21" s="675"/>
      <c r="F21" s="675"/>
      <c r="G21" s="675"/>
      <c r="H21" s="676"/>
      <c r="I21" s="676"/>
      <c r="J21" s="675"/>
      <c r="K21" s="675"/>
      <c r="L21" s="675"/>
      <c r="M21" s="676"/>
      <c r="N21" s="676"/>
      <c r="O21" s="675"/>
      <c r="P21" s="675"/>
      <c r="Q21" s="676"/>
      <c r="R21" s="676"/>
      <c r="S21" s="676"/>
      <c r="T21" s="676"/>
      <c r="U21" s="676"/>
      <c r="V21"/>
      <c r="W21"/>
      <c r="X21"/>
      <c r="Y21"/>
    </row>
    <row r="22" spans="1:25" ht="15.75">
      <c r="A22" s="684"/>
      <c r="B22" s="688"/>
      <c r="C22" s="380"/>
      <c r="D22" s="381"/>
      <c r="E22" s="381"/>
      <c r="F22" s="381"/>
      <c r="G22" s="381"/>
      <c r="H22" s="382"/>
      <c r="I22" s="382"/>
      <c r="J22" s="381"/>
      <c r="K22" s="381"/>
      <c r="L22" s="381"/>
      <c r="M22" s="382"/>
      <c r="N22" s="382"/>
      <c r="O22" s="381"/>
      <c r="P22" s="381"/>
      <c r="Q22" s="382"/>
      <c r="R22" s="382"/>
      <c r="S22" s="382"/>
      <c r="T22" s="382"/>
      <c r="U22" s="382"/>
      <c r="V22"/>
      <c r="W22"/>
      <c r="X22"/>
      <c r="Y22"/>
    </row>
    <row r="23" spans="1:25" s="386" customFormat="1" ht="15.75">
      <c r="A23" s="684"/>
      <c r="B23" s="689"/>
      <c r="C23" s="383"/>
      <c r="D23" s="384"/>
      <c r="E23" s="384"/>
      <c r="F23" s="384"/>
      <c r="G23" s="384"/>
      <c r="H23" s="385"/>
      <c r="I23" s="385"/>
      <c r="J23" s="384"/>
      <c r="K23" s="384"/>
      <c r="L23" s="384"/>
      <c r="M23" s="385"/>
      <c r="N23" s="385"/>
      <c r="O23" s="384"/>
      <c r="P23" s="384"/>
      <c r="Q23" s="385"/>
      <c r="R23" s="385"/>
      <c r="S23" s="385"/>
      <c r="T23" s="385"/>
      <c r="U23" s="385"/>
      <c r="V23"/>
      <c r="W23"/>
      <c r="X23"/>
      <c r="Y23"/>
    </row>
    <row r="24" spans="1:25" ht="15.75">
      <c r="A24" s="684"/>
      <c r="B24" s="687"/>
      <c r="C24" s="674"/>
      <c r="D24" s="675"/>
      <c r="E24" s="675"/>
      <c r="F24" s="675"/>
      <c r="G24" s="675"/>
      <c r="H24" s="676"/>
      <c r="I24" s="676"/>
      <c r="J24" s="675"/>
      <c r="K24" s="675"/>
      <c r="L24" s="675"/>
      <c r="M24" s="676"/>
      <c r="N24" s="676"/>
      <c r="O24" s="675"/>
      <c r="P24" s="675"/>
      <c r="Q24" s="676"/>
      <c r="R24" s="676"/>
      <c r="S24" s="676"/>
      <c r="T24" s="676"/>
      <c r="U24" s="676"/>
      <c r="V24"/>
      <c r="W24"/>
      <c r="X24"/>
      <c r="Y24"/>
    </row>
    <row r="25" spans="1:25" ht="15.75">
      <c r="A25" s="684"/>
      <c r="B25" s="688"/>
      <c r="C25" s="380"/>
      <c r="D25" s="381"/>
      <c r="E25" s="381"/>
      <c r="F25" s="381"/>
      <c r="G25" s="381"/>
      <c r="H25" s="382"/>
      <c r="I25" s="382"/>
      <c r="J25" s="381"/>
      <c r="K25" s="381"/>
      <c r="L25" s="381"/>
      <c r="M25" s="382"/>
      <c r="N25" s="382"/>
      <c r="O25" s="381"/>
      <c r="P25" s="381"/>
      <c r="Q25" s="382"/>
      <c r="R25" s="382"/>
      <c r="S25" s="382"/>
      <c r="T25" s="382"/>
      <c r="U25" s="382"/>
      <c r="V25"/>
      <c r="W25"/>
      <c r="X25"/>
      <c r="Y25"/>
    </row>
    <row r="26" spans="1:25" s="386" customFormat="1" ht="15.75">
      <c r="A26" s="684"/>
      <c r="B26" s="689"/>
      <c r="C26" s="383"/>
      <c r="D26" s="384"/>
      <c r="E26" s="692"/>
      <c r="F26" s="692"/>
      <c r="G26" s="384"/>
      <c r="H26" s="385"/>
      <c r="I26" s="385"/>
      <c r="J26" s="384"/>
      <c r="K26" s="384"/>
      <c r="L26" s="384"/>
      <c r="M26" s="385"/>
      <c r="N26" s="385"/>
      <c r="O26" s="384"/>
      <c r="P26" s="384"/>
      <c r="Q26" s="385"/>
      <c r="R26" s="385"/>
      <c r="S26" s="385"/>
      <c r="T26" s="385"/>
      <c r="U26" s="385"/>
      <c r="V26"/>
      <c r="W26"/>
      <c r="X26"/>
      <c r="Y26"/>
    </row>
    <row r="27" spans="1:25" ht="15.75">
      <c r="A27" s="684"/>
      <c r="B27" s="687"/>
      <c r="C27" s="674"/>
      <c r="D27" s="675"/>
      <c r="E27" s="675"/>
      <c r="F27" s="675"/>
      <c r="G27" s="675"/>
      <c r="H27" s="676"/>
      <c r="I27" s="676"/>
      <c r="J27" s="675"/>
      <c r="K27" s="675"/>
      <c r="L27" s="675"/>
      <c r="M27" s="676"/>
      <c r="N27" s="676"/>
      <c r="O27" s="675"/>
      <c r="P27" s="675"/>
      <c r="Q27" s="676"/>
      <c r="R27" s="676"/>
      <c r="S27" s="676"/>
      <c r="T27" s="676"/>
      <c r="U27" s="676"/>
      <c r="V27"/>
      <c r="W27"/>
      <c r="X27"/>
      <c r="Y27"/>
    </row>
    <row r="28" spans="1:25" ht="15.75">
      <c r="A28" s="684"/>
      <c r="B28" s="688"/>
      <c r="C28" s="380"/>
      <c r="D28" s="381"/>
      <c r="E28" s="381"/>
      <c r="F28" s="381"/>
      <c r="G28" s="381"/>
      <c r="H28" s="382"/>
      <c r="I28" s="382"/>
      <c r="J28" s="381"/>
      <c r="K28" s="381"/>
      <c r="L28" s="381"/>
      <c r="M28" s="382"/>
      <c r="N28" s="382"/>
      <c r="O28" s="381"/>
      <c r="P28" s="381"/>
      <c r="Q28" s="382"/>
      <c r="R28" s="382"/>
      <c r="S28" s="382"/>
      <c r="T28" s="382"/>
      <c r="U28" s="382"/>
      <c r="V28"/>
      <c r="W28"/>
      <c r="X28"/>
      <c r="Y28"/>
    </row>
    <row r="29" spans="1:25" s="386" customFormat="1" ht="15.75">
      <c r="A29" s="684"/>
      <c r="B29" s="689"/>
      <c r="C29" s="383"/>
      <c r="D29" s="384"/>
      <c r="E29" s="384"/>
      <c r="F29" s="384"/>
      <c r="G29" s="384"/>
      <c r="H29" s="385"/>
      <c r="I29" s="385"/>
      <c r="J29" s="384"/>
      <c r="K29" s="384"/>
      <c r="L29" s="384"/>
      <c r="M29" s="385"/>
      <c r="N29" s="385"/>
      <c r="O29" s="384"/>
      <c r="P29" s="384"/>
      <c r="Q29" s="385"/>
      <c r="R29" s="385"/>
      <c r="S29" s="385"/>
      <c r="T29" s="385"/>
      <c r="U29" s="385"/>
      <c r="V29"/>
      <c r="W29"/>
      <c r="X29"/>
      <c r="Y29"/>
    </row>
    <row r="30" spans="1:25" ht="15.75">
      <c r="A30" s="684"/>
      <c r="B30" s="687"/>
      <c r="C30" s="674"/>
      <c r="D30" s="675"/>
      <c r="E30" s="675"/>
      <c r="F30" s="675"/>
      <c r="G30" s="675"/>
      <c r="H30" s="676"/>
      <c r="I30" s="676"/>
      <c r="J30" s="675"/>
      <c r="K30" s="675"/>
      <c r="L30" s="675"/>
      <c r="M30" s="676"/>
      <c r="N30" s="676"/>
      <c r="O30" s="675"/>
      <c r="P30" s="675"/>
      <c r="Q30" s="676"/>
      <c r="R30" s="676"/>
      <c r="S30" s="676"/>
      <c r="T30" s="676"/>
      <c r="U30" s="676"/>
      <c r="V30"/>
      <c r="W30"/>
      <c r="X30"/>
      <c r="Y30"/>
    </row>
    <row r="31" spans="1:25" ht="15.75">
      <c r="A31" s="684"/>
      <c r="B31" s="688"/>
      <c r="C31" s="380"/>
      <c r="D31" s="381"/>
      <c r="E31" s="381"/>
      <c r="F31" s="381"/>
      <c r="G31" s="381"/>
      <c r="H31" s="382"/>
      <c r="I31" s="382"/>
      <c r="J31" s="381"/>
      <c r="K31" s="381"/>
      <c r="L31" s="381"/>
      <c r="M31" s="382"/>
      <c r="N31" s="382"/>
      <c r="O31" s="381"/>
      <c r="P31" s="381"/>
      <c r="Q31" s="382"/>
      <c r="R31" s="382"/>
      <c r="S31" s="382"/>
      <c r="T31" s="382"/>
      <c r="U31" s="382"/>
      <c r="V31"/>
      <c r="W31"/>
      <c r="X31"/>
      <c r="Y31"/>
    </row>
    <row r="32" spans="1:25" s="386" customFormat="1" ht="15.75">
      <c r="A32" s="684"/>
      <c r="B32" s="689"/>
      <c r="C32" s="383"/>
      <c r="D32" s="384"/>
      <c r="E32" s="384"/>
      <c r="F32" s="384"/>
      <c r="G32" s="384"/>
      <c r="H32" s="385"/>
      <c r="I32" s="385"/>
      <c r="J32" s="384"/>
      <c r="K32" s="384"/>
      <c r="L32" s="384"/>
      <c r="M32" s="385"/>
      <c r="N32" s="385"/>
      <c r="O32" s="384"/>
      <c r="P32" s="384"/>
      <c r="Q32" s="385"/>
      <c r="R32" s="385"/>
      <c r="S32" s="385"/>
      <c r="T32" s="385"/>
      <c r="U32" s="385"/>
      <c r="V32"/>
      <c r="W32"/>
      <c r="X32"/>
      <c r="Y32"/>
    </row>
    <row r="33" spans="1:25" ht="15.75">
      <c r="A33" s="684"/>
      <c r="B33" s="687"/>
      <c r="C33" s="674"/>
      <c r="D33" s="675"/>
      <c r="E33" s="675"/>
      <c r="F33" s="675"/>
      <c r="G33" s="675"/>
      <c r="H33" s="676"/>
      <c r="I33" s="676"/>
      <c r="J33" s="675"/>
      <c r="K33" s="675"/>
      <c r="L33" s="675"/>
      <c r="M33" s="676"/>
      <c r="N33" s="676"/>
      <c r="O33" s="675"/>
      <c r="P33" s="675"/>
      <c r="Q33" s="676"/>
      <c r="R33" s="676"/>
      <c r="S33" s="676"/>
      <c r="T33" s="676"/>
      <c r="U33" s="676"/>
      <c r="V33"/>
      <c r="W33"/>
      <c r="X33"/>
      <c r="Y33"/>
    </row>
    <row r="34" spans="1:25" ht="15.75">
      <c r="A34" s="684"/>
      <c r="B34" s="688"/>
      <c r="C34" s="380"/>
      <c r="D34" s="381"/>
      <c r="E34" s="381"/>
      <c r="F34" s="381"/>
      <c r="G34" s="381"/>
      <c r="H34" s="382"/>
      <c r="I34" s="382"/>
      <c r="J34" s="381"/>
      <c r="K34" s="381"/>
      <c r="L34" s="381"/>
      <c r="M34" s="382"/>
      <c r="N34" s="382"/>
      <c r="O34" s="381"/>
      <c r="P34" s="381"/>
      <c r="Q34" s="382"/>
      <c r="R34" s="382"/>
      <c r="S34" s="382"/>
      <c r="T34" s="382"/>
      <c r="U34" s="382"/>
      <c r="V34"/>
      <c r="W34"/>
      <c r="X34"/>
      <c r="Y34"/>
    </row>
    <row r="35" spans="1:25" s="386" customFormat="1" ht="15.75">
      <c r="A35" s="684"/>
      <c r="B35" s="689"/>
      <c r="C35" s="383"/>
      <c r="D35" s="384"/>
      <c r="E35" s="384"/>
      <c r="F35" s="384"/>
      <c r="G35" s="384"/>
      <c r="H35" s="385"/>
      <c r="I35" s="385"/>
      <c r="J35" s="384"/>
      <c r="K35" s="384"/>
      <c r="L35" s="384"/>
      <c r="M35" s="385"/>
      <c r="N35" s="385"/>
      <c r="O35" s="384"/>
      <c r="P35" s="384"/>
      <c r="Q35" s="385"/>
      <c r="R35" s="385"/>
      <c r="S35" s="385"/>
      <c r="T35" s="385"/>
      <c r="U35" s="385"/>
      <c r="V35"/>
      <c r="W35"/>
      <c r="X35"/>
      <c r="Y35"/>
    </row>
    <row r="36" spans="1:25" ht="15.75">
      <c r="A36" s="684"/>
      <c r="B36" s="687"/>
      <c r="C36" s="674"/>
      <c r="D36" s="675"/>
      <c r="E36" s="675"/>
      <c r="F36" s="675"/>
      <c r="G36" s="675"/>
      <c r="H36" s="676"/>
      <c r="I36" s="676"/>
      <c r="J36" s="675"/>
      <c r="K36" s="675"/>
      <c r="L36" s="675"/>
      <c r="M36" s="676"/>
      <c r="N36" s="676"/>
      <c r="O36" s="675"/>
      <c r="P36" s="675"/>
      <c r="Q36" s="676"/>
      <c r="R36" s="676"/>
      <c r="S36" s="676"/>
      <c r="T36" s="676"/>
      <c r="U36" s="676"/>
      <c r="V36"/>
      <c r="W36"/>
      <c r="X36"/>
      <c r="Y36"/>
    </row>
    <row r="37" spans="1:25" ht="15.75">
      <c r="A37" s="684"/>
      <c r="B37" s="688"/>
      <c r="C37" s="380"/>
      <c r="D37" s="381"/>
      <c r="E37" s="381"/>
      <c r="F37" s="381"/>
      <c r="G37" s="381"/>
      <c r="H37" s="382"/>
      <c r="I37" s="382"/>
      <c r="J37" s="381"/>
      <c r="K37" s="381"/>
      <c r="L37" s="381"/>
      <c r="M37" s="382"/>
      <c r="N37" s="382"/>
      <c r="O37" s="381"/>
      <c r="P37" s="381"/>
      <c r="Q37" s="382"/>
      <c r="R37" s="382"/>
      <c r="S37" s="382"/>
      <c r="T37" s="382"/>
      <c r="U37" s="382"/>
      <c r="V37"/>
      <c r="W37"/>
      <c r="X37"/>
      <c r="Y37"/>
    </row>
    <row r="38" spans="1:25" s="386" customFormat="1" ht="15.75">
      <c r="A38" s="684"/>
      <c r="B38" s="689"/>
      <c r="C38" s="383"/>
      <c r="D38" s="384"/>
      <c r="E38" s="384"/>
      <c r="F38" s="384"/>
      <c r="G38" s="384"/>
      <c r="H38" s="385"/>
      <c r="I38" s="385"/>
      <c r="J38" s="384"/>
      <c r="K38" s="384"/>
      <c r="L38" s="384"/>
      <c r="M38" s="385"/>
      <c r="N38" s="385"/>
      <c r="O38" s="384"/>
      <c r="P38" s="384"/>
      <c r="Q38" s="385"/>
      <c r="R38" s="385"/>
      <c r="S38" s="385"/>
      <c r="T38" s="385"/>
      <c r="U38" s="385"/>
      <c r="V38"/>
      <c r="W38"/>
      <c r="X38"/>
      <c r="Y38"/>
    </row>
    <row r="39" spans="1:25" ht="15.75">
      <c r="A39" s="684"/>
      <c r="B39" s="687"/>
      <c r="C39" s="674"/>
      <c r="D39" s="675"/>
      <c r="E39" s="675"/>
      <c r="F39" s="675"/>
      <c r="G39" s="675"/>
      <c r="H39" s="676"/>
      <c r="I39" s="676"/>
      <c r="J39" s="675"/>
      <c r="K39" s="675"/>
      <c r="L39" s="675"/>
      <c r="M39" s="676"/>
      <c r="N39" s="676"/>
      <c r="O39" s="675"/>
      <c r="P39" s="675"/>
      <c r="Q39" s="676"/>
      <c r="R39" s="676"/>
      <c r="S39" s="676"/>
      <c r="T39" s="676"/>
      <c r="U39" s="676"/>
      <c r="V39"/>
      <c r="W39"/>
      <c r="X39"/>
      <c r="Y39"/>
    </row>
    <row r="40" spans="1:25" ht="15.75">
      <c r="A40" s="684"/>
      <c r="B40" s="688"/>
      <c r="C40" s="380"/>
      <c r="D40" s="381"/>
      <c r="E40" s="381"/>
      <c r="F40" s="381"/>
      <c r="G40" s="381"/>
      <c r="H40" s="382"/>
      <c r="I40" s="382"/>
      <c r="J40" s="381"/>
      <c r="K40" s="381"/>
      <c r="L40" s="381"/>
      <c r="M40" s="382"/>
      <c r="N40" s="382"/>
      <c r="O40" s="381"/>
      <c r="P40" s="381"/>
      <c r="Q40" s="382"/>
      <c r="R40" s="382"/>
      <c r="S40" s="382"/>
      <c r="T40" s="382"/>
      <c r="U40" s="382"/>
      <c r="V40"/>
      <c r="W40"/>
      <c r="X40"/>
      <c r="Y40"/>
    </row>
    <row r="41" spans="1:25" s="386" customFormat="1" ht="15.75">
      <c r="A41" s="684"/>
      <c r="B41" s="689"/>
      <c r="C41" s="383"/>
      <c r="D41" s="384"/>
      <c r="E41" s="384"/>
      <c r="F41" s="384"/>
      <c r="G41" s="384"/>
      <c r="H41" s="385"/>
      <c r="I41" s="385"/>
      <c r="J41" s="384"/>
      <c r="K41" s="384"/>
      <c r="L41" s="384"/>
      <c r="M41" s="385"/>
      <c r="N41" s="385"/>
      <c r="O41" s="384"/>
      <c r="P41" s="384"/>
      <c r="Q41" s="385"/>
      <c r="R41" s="385"/>
      <c r="S41" s="385"/>
      <c r="T41" s="385"/>
      <c r="U41" s="385"/>
      <c r="V41"/>
      <c r="W41"/>
      <c r="X41"/>
      <c r="Y41"/>
    </row>
    <row r="42" spans="1:25" ht="15.75">
      <c r="A42" s="684"/>
      <c r="B42" s="687"/>
      <c r="C42" s="674"/>
      <c r="D42" s="675"/>
      <c r="E42" s="675"/>
      <c r="F42" s="675"/>
      <c r="G42" s="675"/>
      <c r="H42" s="676"/>
      <c r="I42" s="676"/>
      <c r="J42" s="675"/>
      <c r="K42" s="675"/>
      <c r="L42" s="675"/>
      <c r="M42" s="676"/>
      <c r="N42" s="676"/>
      <c r="O42" s="675"/>
      <c r="P42" s="675"/>
      <c r="Q42" s="676"/>
      <c r="R42" s="676"/>
      <c r="S42" s="676"/>
      <c r="T42" s="676"/>
      <c r="U42" s="676"/>
      <c r="V42"/>
      <c r="W42"/>
      <c r="X42"/>
      <c r="Y42"/>
    </row>
    <row r="43" spans="1:25" ht="15.75">
      <c r="A43" s="684"/>
      <c r="B43" s="688"/>
      <c r="C43" s="380"/>
      <c r="D43" s="381"/>
      <c r="E43" s="381"/>
      <c r="F43" s="381"/>
      <c r="G43" s="381"/>
      <c r="H43" s="382"/>
      <c r="I43" s="382"/>
      <c r="J43" s="381"/>
      <c r="K43" s="381"/>
      <c r="L43" s="381"/>
      <c r="M43" s="382"/>
      <c r="N43" s="382"/>
      <c r="O43" s="381"/>
      <c r="P43" s="381"/>
      <c r="Q43" s="382"/>
      <c r="R43" s="382"/>
      <c r="S43" s="382"/>
      <c r="T43" s="382"/>
      <c r="U43" s="382"/>
      <c r="V43"/>
      <c r="W43"/>
      <c r="X43"/>
      <c r="Y43"/>
    </row>
    <row r="44" spans="1:25" s="386" customFormat="1" ht="15.75">
      <c r="A44" s="684"/>
      <c r="B44" s="689"/>
      <c r="C44" s="383"/>
      <c r="D44" s="384"/>
      <c r="E44" s="384"/>
      <c r="F44" s="384"/>
      <c r="G44" s="384"/>
      <c r="H44" s="385"/>
      <c r="I44" s="385"/>
      <c r="J44" s="384"/>
      <c r="K44" s="384"/>
      <c r="L44" s="384"/>
      <c r="M44" s="385"/>
      <c r="N44" s="385"/>
      <c r="O44" s="384"/>
      <c r="P44" s="384"/>
      <c r="Q44" s="385"/>
      <c r="R44" s="385"/>
      <c r="S44" s="385"/>
      <c r="T44" s="385"/>
      <c r="U44" s="385"/>
      <c r="V44"/>
      <c r="W44"/>
      <c r="X44"/>
      <c r="Y44"/>
    </row>
    <row r="45" spans="1:25" ht="15.75">
      <c r="A45" s="684"/>
      <c r="B45" s="687"/>
      <c r="C45" s="674"/>
      <c r="D45" s="675"/>
      <c r="E45" s="675"/>
      <c r="F45" s="675"/>
      <c r="G45" s="675"/>
      <c r="H45" s="676"/>
      <c r="I45" s="676"/>
      <c r="J45" s="675"/>
      <c r="K45" s="675"/>
      <c r="L45" s="675"/>
      <c r="M45" s="676"/>
      <c r="N45" s="676"/>
      <c r="O45" s="675"/>
      <c r="P45" s="675"/>
      <c r="Q45" s="676"/>
      <c r="R45" s="676"/>
      <c r="S45" s="676"/>
      <c r="T45" s="676"/>
      <c r="U45" s="676"/>
      <c r="V45"/>
      <c r="W45"/>
      <c r="X45"/>
      <c r="Y45"/>
    </row>
    <row r="46" spans="1:25" ht="15.75">
      <c r="A46" s="684"/>
      <c r="B46" s="688"/>
      <c r="C46" s="380"/>
      <c r="D46" s="381"/>
      <c r="E46" s="381"/>
      <c r="F46" s="381"/>
      <c r="G46" s="381"/>
      <c r="H46" s="382"/>
      <c r="I46" s="382"/>
      <c r="J46" s="381"/>
      <c r="K46" s="381"/>
      <c r="L46" s="381"/>
      <c r="M46" s="382"/>
      <c r="N46" s="382"/>
      <c r="O46" s="381"/>
      <c r="P46" s="381"/>
      <c r="Q46" s="382"/>
      <c r="R46" s="382"/>
      <c r="S46" s="382"/>
      <c r="T46" s="382"/>
      <c r="U46" s="382"/>
      <c r="V46"/>
      <c r="W46"/>
      <c r="X46"/>
      <c r="Y46"/>
    </row>
    <row r="47" spans="1:25" s="386" customFormat="1" ht="15.75">
      <c r="A47" s="684"/>
      <c r="B47" s="689"/>
      <c r="C47" s="383"/>
      <c r="D47" s="384"/>
      <c r="E47" s="384"/>
      <c r="F47" s="384"/>
      <c r="G47" s="384"/>
      <c r="H47" s="385"/>
      <c r="I47" s="385"/>
      <c r="J47" s="384"/>
      <c r="K47" s="384"/>
      <c r="L47" s="384"/>
      <c r="M47" s="385"/>
      <c r="N47" s="385"/>
      <c r="O47" s="384"/>
      <c r="P47" s="384"/>
      <c r="Q47" s="385"/>
      <c r="R47" s="385"/>
      <c r="S47" s="385"/>
      <c r="T47" s="385"/>
      <c r="U47" s="385"/>
      <c r="V47"/>
      <c r="W47"/>
      <c r="X47"/>
      <c r="Y47"/>
    </row>
    <row r="48" spans="1:25" ht="15.75">
      <c r="A48" s="684"/>
      <c r="B48" s="687"/>
      <c r="C48" s="674"/>
      <c r="D48" s="675"/>
      <c r="E48" s="675"/>
      <c r="F48" s="675"/>
      <c r="G48" s="675"/>
      <c r="H48" s="676"/>
      <c r="I48" s="676"/>
      <c r="J48" s="675"/>
      <c r="K48" s="675"/>
      <c r="L48" s="675"/>
      <c r="M48" s="676"/>
      <c r="N48" s="676"/>
      <c r="O48" s="675"/>
      <c r="P48" s="675"/>
      <c r="Q48" s="676"/>
      <c r="R48" s="676"/>
      <c r="S48" s="676"/>
      <c r="T48" s="676"/>
      <c r="U48" s="676"/>
      <c r="V48"/>
      <c r="W48"/>
      <c r="X48"/>
      <c r="Y48"/>
    </row>
    <row r="49" spans="1:25" ht="15.75">
      <c r="A49" s="684"/>
      <c r="B49" s="688"/>
      <c r="C49" s="380"/>
      <c r="D49" s="381"/>
      <c r="E49" s="381"/>
      <c r="F49" s="381"/>
      <c r="G49" s="381"/>
      <c r="H49" s="382"/>
      <c r="I49" s="382"/>
      <c r="J49" s="381"/>
      <c r="K49" s="381"/>
      <c r="L49" s="381"/>
      <c r="M49" s="382"/>
      <c r="N49" s="382"/>
      <c r="O49" s="381"/>
      <c r="P49" s="381"/>
      <c r="Q49" s="382"/>
      <c r="R49" s="382"/>
      <c r="S49" s="382"/>
      <c r="T49" s="382"/>
      <c r="U49" s="382"/>
      <c r="V49"/>
      <c r="W49"/>
      <c r="X49"/>
      <c r="Y49"/>
    </row>
    <row r="50" spans="1:25" s="386" customFormat="1" ht="15.75">
      <c r="A50" s="684"/>
      <c r="B50" s="689"/>
      <c r="C50" s="383"/>
      <c r="D50" s="384"/>
      <c r="E50" s="384"/>
      <c r="F50" s="384"/>
      <c r="G50" s="384"/>
      <c r="H50" s="385"/>
      <c r="I50" s="385"/>
      <c r="J50" s="384"/>
      <c r="K50" s="384"/>
      <c r="L50" s="384"/>
      <c r="M50" s="385"/>
      <c r="N50" s="385"/>
      <c r="O50" s="384"/>
      <c r="P50" s="384"/>
      <c r="Q50" s="385"/>
      <c r="R50" s="385"/>
      <c r="S50" s="385"/>
      <c r="T50" s="385"/>
      <c r="U50" s="385"/>
      <c r="V50"/>
      <c r="W50"/>
      <c r="X50"/>
      <c r="Y50"/>
    </row>
    <row r="51" spans="1:25" ht="15.75">
      <c r="A51" s="684"/>
      <c r="B51" s="687"/>
      <c r="C51" s="674"/>
      <c r="D51" s="675"/>
      <c r="E51" s="675"/>
      <c r="F51" s="675"/>
      <c r="G51" s="675"/>
      <c r="H51" s="676"/>
      <c r="I51" s="676"/>
      <c r="J51" s="675"/>
      <c r="K51" s="675"/>
      <c r="L51" s="675"/>
      <c r="M51" s="676"/>
      <c r="N51" s="676"/>
      <c r="O51" s="675"/>
      <c r="P51" s="675"/>
      <c r="Q51" s="676"/>
      <c r="R51" s="676"/>
      <c r="S51" s="676"/>
      <c r="T51" s="676"/>
      <c r="U51" s="676"/>
      <c r="V51"/>
      <c r="W51"/>
      <c r="X51"/>
      <c r="Y51"/>
    </row>
    <row r="52" spans="1:25" ht="15.75">
      <c r="A52" s="684"/>
      <c r="B52" s="688"/>
      <c r="C52" s="380"/>
      <c r="D52" s="381"/>
      <c r="E52" s="381"/>
      <c r="F52" s="381"/>
      <c r="G52" s="381"/>
      <c r="H52" s="382"/>
      <c r="I52" s="382"/>
      <c r="J52" s="381"/>
      <c r="K52" s="381"/>
      <c r="L52" s="381"/>
      <c r="M52" s="382"/>
      <c r="N52" s="382"/>
      <c r="O52" s="381"/>
      <c r="P52" s="381"/>
      <c r="Q52" s="382"/>
      <c r="R52" s="382"/>
      <c r="S52" s="382"/>
      <c r="T52" s="382"/>
      <c r="U52" s="382"/>
      <c r="V52"/>
      <c r="W52"/>
      <c r="X52"/>
      <c r="Y52"/>
    </row>
    <row r="53" spans="1:25" s="386" customFormat="1" ht="15.75">
      <c r="A53" s="684"/>
      <c r="B53" s="689"/>
      <c r="C53" s="383"/>
      <c r="D53" s="384"/>
      <c r="E53" s="384"/>
      <c r="F53" s="384"/>
      <c r="G53" s="384"/>
      <c r="H53" s="385"/>
      <c r="I53" s="385"/>
      <c r="J53" s="384"/>
      <c r="K53" s="384"/>
      <c r="L53" s="384"/>
      <c r="M53" s="385"/>
      <c r="N53" s="385"/>
      <c r="O53" s="384"/>
      <c r="P53" s="384"/>
      <c r="Q53" s="385"/>
      <c r="R53" s="385"/>
      <c r="S53" s="385"/>
      <c r="T53" s="385"/>
      <c r="U53" s="385"/>
      <c r="V53"/>
      <c r="W53"/>
      <c r="X53"/>
      <c r="Y53"/>
    </row>
    <row r="54" spans="1:25" ht="15.75">
      <c r="A54" s="684"/>
      <c r="B54" s="687"/>
      <c r="C54" s="674"/>
      <c r="D54" s="675"/>
      <c r="E54" s="675"/>
      <c r="F54" s="675"/>
      <c r="G54" s="675"/>
      <c r="H54" s="676"/>
      <c r="I54" s="676"/>
      <c r="J54" s="675"/>
      <c r="K54" s="675"/>
      <c r="L54" s="675"/>
      <c r="M54" s="676"/>
      <c r="N54" s="676"/>
      <c r="O54" s="675"/>
      <c r="P54" s="675"/>
      <c r="Q54" s="676"/>
      <c r="R54" s="676"/>
      <c r="S54" s="676"/>
      <c r="T54" s="676"/>
      <c r="U54" s="676"/>
      <c r="V54"/>
      <c r="W54"/>
      <c r="X54"/>
      <c r="Y54"/>
    </row>
    <row r="55" spans="1:25" ht="15.75">
      <c r="A55" s="685"/>
      <c r="B55" s="690"/>
      <c r="C55" s="576"/>
      <c r="D55" s="577"/>
      <c r="E55" s="577"/>
      <c r="F55" s="577"/>
      <c r="G55" s="577"/>
      <c r="H55" s="578"/>
      <c r="I55" s="578"/>
      <c r="J55" s="577"/>
      <c r="K55" s="577"/>
      <c r="L55" s="577"/>
      <c r="M55" s="578"/>
      <c r="N55" s="578"/>
      <c r="O55" s="577"/>
      <c r="P55" s="577"/>
      <c r="Q55" s="578"/>
      <c r="R55" s="578"/>
      <c r="S55" s="578"/>
      <c r="T55" s="578"/>
      <c r="U55" s="578"/>
      <c r="V55"/>
      <c r="W55"/>
      <c r="X55"/>
      <c r="Y55"/>
    </row>
    <row r="56" spans="1:25" s="386" customFormat="1" ht="15.75">
      <c r="A56" s="683"/>
      <c r="B56" s="687"/>
      <c r="C56" s="674"/>
      <c r="D56" s="675"/>
      <c r="E56" s="675"/>
      <c r="F56" s="675"/>
      <c r="G56" s="675"/>
      <c r="H56" s="676"/>
      <c r="I56" s="676"/>
      <c r="J56" s="675"/>
      <c r="K56" s="675"/>
      <c r="L56" s="675"/>
      <c r="M56" s="676"/>
      <c r="N56" s="676"/>
      <c r="O56" s="675"/>
      <c r="P56" s="675"/>
      <c r="Q56" s="676"/>
      <c r="R56" s="676"/>
      <c r="S56" s="676"/>
      <c r="T56" s="676"/>
      <c r="U56" s="676"/>
      <c r="V56"/>
      <c r="W56"/>
      <c r="X56"/>
      <c r="Y56"/>
    </row>
    <row r="57" spans="1:25" ht="15.75">
      <c r="A57" s="684"/>
      <c r="B57" s="688"/>
      <c r="C57" s="380"/>
      <c r="D57" s="381"/>
      <c r="E57" s="381"/>
      <c r="F57" s="381"/>
      <c r="G57" s="381"/>
      <c r="H57" s="382"/>
      <c r="I57" s="382"/>
      <c r="J57" s="381"/>
      <c r="K57" s="381"/>
      <c r="L57" s="381"/>
      <c r="M57" s="382"/>
      <c r="N57" s="382"/>
      <c r="O57" s="381"/>
      <c r="P57" s="381"/>
      <c r="Q57" s="382"/>
      <c r="R57" s="382"/>
      <c r="S57" s="382"/>
      <c r="T57" s="382"/>
      <c r="U57" s="382"/>
      <c r="V57"/>
      <c r="W57"/>
      <c r="X57"/>
      <c r="Y57"/>
    </row>
    <row r="58" spans="1:25" ht="15.75">
      <c r="A58" s="684"/>
      <c r="B58" s="689"/>
      <c r="C58" s="383"/>
      <c r="D58" s="384"/>
      <c r="E58" s="384"/>
      <c r="F58" s="692"/>
      <c r="G58" s="384"/>
      <c r="H58" s="385"/>
      <c r="I58" s="385"/>
      <c r="J58" s="384"/>
      <c r="K58" s="384"/>
      <c r="L58" s="384"/>
      <c r="M58" s="692"/>
      <c r="N58" s="385"/>
      <c r="O58" s="384"/>
      <c r="P58" s="384"/>
      <c r="Q58" s="385"/>
      <c r="R58" s="385"/>
      <c r="S58" s="385"/>
      <c r="T58" s="385"/>
      <c r="U58" s="385"/>
      <c r="V58"/>
      <c r="W58"/>
      <c r="X58"/>
      <c r="Y58"/>
    </row>
    <row r="59" spans="1:25" s="386" customFormat="1" ht="15.75">
      <c r="A59" s="684"/>
      <c r="B59" s="687"/>
      <c r="C59" s="674"/>
      <c r="D59" s="675"/>
      <c r="E59" s="675"/>
      <c r="F59" s="675"/>
      <c r="G59" s="675"/>
      <c r="H59" s="676"/>
      <c r="I59" s="676"/>
      <c r="J59" s="675"/>
      <c r="K59" s="675"/>
      <c r="L59" s="675"/>
      <c r="M59" s="676"/>
      <c r="N59" s="676"/>
      <c r="O59" s="675"/>
      <c r="P59" s="675"/>
      <c r="Q59" s="676"/>
      <c r="R59" s="676"/>
      <c r="S59" s="676"/>
      <c r="T59" s="676"/>
      <c r="U59" s="676"/>
      <c r="V59"/>
      <c r="W59"/>
      <c r="X59"/>
      <c r="Y59"/>
    </row>
    <row r="60" spans="1:25" ht="15.75">
      <c r="A60" s="684"/>
      <c r="B60" s="688"/>
      <c r="C60" s="380"/>
      <c r="D60" s="381"/>
      <c r="E60" s="381"/>
      <c r="F60" s="381"/>
      <c r="G60" s="381"/>
      <c r="H60" s="382"/>
      <c r="I60" s="382"/>
      <c r="J60" s="381"/>
      <c r="K60" s="381"/>
      <c r="L60" s="381"/>
      <c r="M60" s="382"/>
      <c r="N60" s="382"/>
      <c r="O60" s="381"/>
      <c r="P60" s="381"/>
      <c r="Q60" s="382"/>
      <c r="R60" s="382"/>
      <c r="S60" s="382"/>
      <c r="T60" s="382"/>
      <c r="U60" s="382"/>
      <c r="V60"/>
      <c r="W60"/>
      <c r="X60"/>
      <c r="Y60"/>
    </row>
    <row r="61" spans="1:25" ht="15.75">
      <c r="A61" s="684"/>
      <c r="B61" s="689"/>
      <c r="C61" s="383"/>
      <c r="D61" s="384"/>
      <c r="E61" s="384"/>
      <c r="F61" s="384"/>
      <c r="G61" s="384"/>
      <c r="H61" s="385"/>
      <c r="I61" s="385"/>
      <c r="J61" s="384"/>
      <c r="K61" s="384"/>
      <c r="L61" s="384"/>
      <c r="M61" s="385"/>
      <c r="N61" s="385"/>
      <c r="O61" s="384"/>
      <c r="P61" s="384"/>
      <c r="Q61" s="385"/>
      <c r="R61" s="385"/>
      <c r="S61" s="385"/>
      <c r="T61" s="385"/>
      <c r="U61" s="385"/>
      <c r="V61"/>
      <c r="W61"/>
      <c r="X61"/>
      <c r="Y61"/>
    </row>
    <row r="62" spans="1:25" s="386" customFormat="1" ht="15.75">
      <c r="A62" s="684"/>
      <c r="B62" s="687"/>
      <c r="C62" s="674"/>
      <c r="D62" s="675"/>
      <c r="E62" s="675"/>
      <c r="F62" s="675"/>
      <c r="G62" s="675"/>
      <c r="H62" s="676"/>
      <c r="I62" s="676"/>
      <c r="J62" s="675"/>
      <c r="K62" s="675"/>
      <c r="L62" s="675"/>
      <c r="M62" s="676"/>
      <c r="N62" s="676"/>
      <c r="O62" s="675"/>
      <c r="P62" s="675"/>
      <c r="Q62" s="676"/>
      <c r="R62" s="676"/>
      <c r="S62" s="676"/>
      <c r="T62" s="676"/>
      <c r="U62" s="676"/>
      <c r="V62"/>
      <c r="W62"/>
      <c r="X62"/>
      <c r="Y62"/>
    </row>
    <row r="63" spans="1:25" ht="15.75">
      <c r="A63" s="684"/>
      <c r="B63" s="688"/>
      <c r="C63" s="380"/>
      <c r="D63" s="381"/>
      <c r="E63" s="381"/>
      <c r="F63" s="381"/>
      <c r="G63" s="381"/>
      <c r="H63" s="382"/>
      <c r="I63" s="382"/>
      <c r="J63" s="381"/>
      <c r="K63" s="381"/>
      <c r="L63" s="381"/>
      <c r="M63" s="382"/>
      <c r="N63" s="382"/>
      <c r="O63" s="381"/>
      <c r="P63" s="381"/>
      <c r="Q63" s="382"/>
      <c r="R63" s="382"/>
      <c r="S63" s="382"/>
      <c r="T63" s="382"/>
      <c r="U63" s="382"/>
      <c r="V63"/>
      <c r="W63"/>
      <c r="X63"/>
      <c r="Y63"/>
    </row>
    <row r="64" spans="1:25" ht="15.75">
      <c r="A64" s="684"/>
      <c r="B64" s="689"/>
      <c r="C64" s="383"/>
      <c r="D64" s="384"/>
      <c r="E64" s="692"/>
      <c r="F64" s="692"/>
      <c r="G64" s="692"/>
      <c r="H64" s="692"/>
      <c r="I64" s="385"/>
      <c r="J64" s="384"/>
      <c r="K64" s="384"/>
      <c r="L64" s="384"/>
      <c r="M64" s="385"/>
      <c r="N64" s="385"/>
      <c r="O64" s="384"/>
      <c r="P64" s="384"/>
      <c r="Q64" s="385"/>
      <c r="R64" s="385"/>
      <c r="S64" s="385"/>
      <c r="T64" s="385"/>
      <c r="U64" s="385"/>
      <c r="V64"/>
      <c r="W64"/>
      <c r="X64"/>
      <c r="Y64"/>
    </row>
    <row r="65" spans="1:25" s="386" customFormat="1" ht="15.75">
      <c r="A65" s="684"/>
      <c r="B65" s="687"/>
      <c r="C65" s="674"/>
      <c r="D65" s="675"/>
      <c r="E65" s="675"/>
      <c r="F65" s="675"/>
      <c r="G65" s="675"/>
      <c r="H65" s="676"/>
      <c r="I65" s="676"/>
      <c r="J65" s="675"/>
      <c r="K65" s="675"/>
      <c r="L65" s="675"/>
      <c r="M65" s="676"/>
      <c r="N65" s="676"/>
      <c r="O65" s="675"/>
      <c r="P65" s="675"/>
      <c r="Q65" s="676"/>
      <c r="R65" s="676"/>
      <c r="S65" s="676"/>
      <c r="T65" s="676"/>
      <c r="U65" s="676"/>
      <c r="V65"/>
      <c r="W65"/>
      <c r="X65"/>
      <c r="Y65"/>
    </row>
    <row r="66" spans="1:25" ht="15.75">
      <c r="A66" s="684"/>
      <c r="B66" s="688"/>
      <c r="C66" s="380"/>
      <c r="D66" s="381"/>
      <c r="E66" s="381"/>
      <c r="F66" s="381"/>
      <c r="G66" s="381"/>
      <c r="H66" s="382"/>
      <c r="I66" s="382"/>
      <c r="J66" s="381"/>
      <c r="K66" s="381"/>
      <c r="L66" s="381"/>
      <c r="M66" s="382"/>
      <c r="N66" s="382"/>
      <c r="O66" s="381"/>
      <c r="P66" s="381"/>
      <c r="Q66" s="382"/>
      <c r="R66" s="382"/>
      <c r="S66" s="382"/>
      <c r="T66" s="382"/>
      <c r="U66" s="382"/>
      <c r="V66"/>
      <c r="W66"/>
      <c r="X66"/>
      <c r="Y66"/>
    </row>
    <row r="67" spans="1:25" ht="15.75">
      <c r="A67" s="684"/>
      <c r="B67" s="689"/>
      <c r="C67" s="383"/>
      <c r="D67" s="384"/>
      <c r="E67" s="384"/>
      <c r="F67" s="384"/>
      <c r="G67" s="692"/>
      <c r="H67" s="385"/>
      <c r="I67" s="385"/>
      <c r="J67" s="384"/>
      <c r="K67" s="384"/>
      <c r="L67" s="384"/>
      <c r="M67" s="385"/>
      <c r="N67" s="385"/>
      <c r="O67" s="384"/>
      <c r="P67" s="384"/>
      <c r="Q67" s="385"/>
      <c r="R67" s="385"/>
      <c r="S67" s="385"/>
      <c r="T67" s="385"/>
      <c r="U67" s="385"/>
      <c r="V67"/>
      <c r="W67"/>
      <c r="X67"/>
      <c r="Y67"/>
    </row>
    <row r="68" spans="1:25" s="386" customFormat="1" ht="15.75">
      <c r="A68" s="684"/>
      <c r="B68" s="687"/>
      <c r="C68" s="674"/>
      <c r="D68" s="675"/>
      <c r="E68" s="675"/>
      <c r="F68" s="675"/>
      <c r="G68" s="675"/>
      <c r="H68" s="676"/>
      <c r="I68" s="676"/>
      <c r="J68" s="675"/>
      <c r="K68" s="675"/>
      <c r="L68" s="675"/>
      <c r="M68" s="676"/>
      <c r="N68" s="676"/>
      <c r="O68" s="675"/>
      <c r="P68" s="675"/>
      <c r="Q68" s="676"/>
      <c r="R68" s="676"/>
      <c r="S68" s="676"/>
      <c r="T68" s="676"/>
      <c r="U68" s="676"/>
      <c r="V68"/>
      <c r="W68"/>
      <c r="X68"/>
      <c r="Y68"/>
    </row>
    <row r="69" spans="1:25" ht="15.75">
      <c r="A69" s="684"/>
      <c r="B69" s="688"/>
      <c r="C69" s="380"/>
      <c r="D69" s="381"/>
      <c r="E69" s="381"/>
      <c r="F69" s="381"/>
      <c r="G69" s="381"/>
      <c r="H69" s="382"/>
      <c r="I69" s="382"/>
      <c r="J69" s="381"/>
      <c r="K69" s="381"/>
      <c r="L69" s="381"/>
      <c r="M69" s="382"/>
      <c r="N69" s="382"/>
      <c r="O69" s="381"/>
      <c r="P69" s="381"/>
      <c r="Q69" s="382"/>
      <c r="R69" s="382"/>
      <c r="S69" s="382"/>
      <c r="T69" s="382"/>
      <c r="U69" s="382"/>
      <c r="V69"/>
      <c r="W69"/>
      <c r="X69"/>
      <c r="Y69"/>
    </row>
    <row r="70" spans="1:25" ht="15.75">
      <c r="A70" s="684"/>
      <c r="B70" s="689"/>
      <c r="C70" s="383"/>
      <c r="D70" s="384"/>
      <c r="E70" s="384"/>
      <c r="F70" s="384"/>
      <c r="G70" s="384"/>
      <c r="H70" s="385"/>
      <c r="I70" s="385"/>
      <c r="J70" s="384"/>
      <c r="K70" s="384"/>
      <c r="L70" s="384"/>
      <c r="M70" s="385"/>
      <c r="N70" s="385"/>
      <c r="O70" s="384"/>
      <c r="P70" s="384"/>
      <c r="Q70" s="385"/>
      <c r="R70" s="385"/>
      <c r="S70" s="385"/>
      <c r="T70" s="385"/>
      <c r="U70" s="385"/>
      <c r="V70"/>
      <c r="W70"/>
      <c r="X70"/>
      <c r="Y70"/>
    </row>
    <row r="71" spans="1:25" s="386" customFormat="1" ht="15.75">
      <c r="A71" s="684"/>
      <c r="B71" s="687"/>
      <c r="C71" s="674"/>
      <c r="D71" s="675"/>
      <c r="E71" s="675"/>
      <c r="F71" s="675"/>
      <c r="G71" s="675"/>
      <c r="H71" s="676"/>
      <c r="I71" s="676"/>
      <c r="J71" s="675"/>
      <c r="K71" s="675"/>
      <c r="L71" s="675"/>
      <c r="M71" s="676"/>
      <c r="N71" s="676"/>
      <c r="O71" s="675"/>
      <c r="P71" s="675"/>
      <c r="Q71" s="676"/>
      <c r="R71" s="676"/>
      <c r="S71" s="676"/>
      <c r="T71" s="676"/>
      <c r="U71" s="676"/>
      <c r="V71"/>
      <c r="W71"/>
      <c r="X71"/>
      <c r="Y71"/>
    </row>
    <row r="72" spans="1:25" ht="15.75">
      <c r="A72" s="684"/>
      <c r="B72" s="688"/>
      <c r="C72" s="380"/>
      <c r="D72" s="381"/>
      <c r="E72" s="381"/>
      <c r="F72" s="381"/>
      <c r="G72" s="381"/>
      <c r="H72" s="382"/>
      <c r="I72" s="382"/>
      <c r="J72" s="381"/>
      <c r="K72" s="381"/>
      <c r="L72" s="381"/>
      <c r="M72" s="382"/>
      <c r="N72" s="382"/>
      <c r="O72" s="381"/>
      <c r="P72" s="381"/>
      <c r="Q72" s="382"/>
      <c r="R72" s="382"/>
      <c r="S72" s="382"/>
      <c r="T72" s="382"/>
      <c r="U72" s="382"/>
      <c r="V72"/>
      <c r="W72"/>
      <c r="X72"/>
      <c r="Y72"/>
    </row>
    <row r="73" spans="1:25" ht="15.75">
      <c r="A73" s="684"/>
      <c r="B73" s="689"/>
      <c r="C73" s="383"/>
      <c r="D73" s="384"/>
      <c r="E73" s="384"/>
      <c r="F73" s="384"/>
      <c r="G73" s="692"/>
      <c r="H73" s="385"/>
      <c r="I73" s="385"/>
      <c r="J73" s="384"/>
      <c r="K73" s="384"/>
      <c r="L73" s="384"/>
      <c r="M73" s="385"/>
      <c r="N73" s="385"/>
      <c r="O73" s="384"/>
      <c r="P73" s="384"/>
      <c r="Q73" s="385"/>
      <c r="R73" s="385"/>
      <c r="S73" s="385"/>
      <c r="T73" s="385"/>
      <c r="U73" s="385"/>
      <c r="V73"/>
      <c r="W73"/>
      <c r="X73"/>
      <c r="Y73"/>
    </row>
    <row r="74" spans="1:25" s="386" customFormat="1" ht="15.75">
      <c r="A74" s="684"/>
      <c r="B74" s="687"/>
      <c r="C74" s="674"/>
      <c r="D74" s="675"/>
      <c r="E74" s="675"/>
      <c r="F74" s="675"/>
      <c r="G74" s="675"/>
      <c r="H74" s="676"/>
      <c r="I74" s="676"/>
      <c r="J74" s="675"/>
      <c r="K74" s="675"/>
      <c r="L74" s="675"/>
      <c r="M74" s="676"/>
      <c r="N74" s="676"/>
      <c r="O74" s="675"/>
      <c r="P74" s="675"/>
      <c r="Q74" s="676"/>
      <c r="R74" s="676"/>
      <c r="S74" s="676"/>
      <c r="T74" s="676"/>
      <c r="U74" s="676"/>
      <c r="V74"/>
      <c r="W74"/>
      <c r="X74"/>
      <c r="Y74"/>
    </row>
    <row r="75" spans="1:25" ht="15.75">
      <c r="A75" s="684"/>
      <c r="B75" s="688"/>
      <c r="C75" s="380"/>
      <c r="D75" s="381"/>
      <c r="E75" s="381"/>
      <c r="F75" s="381"/>
      <c r="G75" s="381"/>
      <c r="H75" s="382"/>
      <c r="I75" s="382"/>
      <c r="J75" s="381"/>
      <c r="K75" s="381"/>
      <c r="L75" s="381"/>
      <c r="M75" s="382"/>
      <c r="N75" s="382"/>
      <c r="O75" s="381"/>
      <c r="P75" s="381"/>
      <c r="Q75" s="382"/>
      <c r="R75" s="382"/>
      <c r="S75" s="382"/>
      <c r="T75" s="382"/>
      <c r="U75" s="382"/>
      <c r="V75"/>
      <c r="W75"/>
      <c r="X75"/>
      <c r="Y75"/>
    </row>
    <row r="76" spans="1:25" ht="15.75">
      <c r="A76" s="684"/>
      <c r="B76" s="689"/>
      <c r="C76" s="383"/>
      <c r="D76" s="384"/>
      <c r="E76" s="384"/>
      <c r="F76" s="384"/>
      <c r="G76" s="384"/>
      <c r="H76" s="385"/>
      <c r="I76" s="385"/>
      <c r="J76" s="384"/>
      <c r="K76" s="384"/>
      <c r="L76" s="384"/>
      <c r="M76" s="385"/>
      <c r="N76" s="385"/>
      <c r="O76" s="384"/>
      <c r="P76" s="384"/>
      <c r="Q76" s="385"/>
      <c r="R76" s="385"/>
      <c r="S76" s="385"/>
      <c r="T76" s="692"/>
      <c r="U76" s="385"/>
      <c r="V76"/>
      <c r="W76"/>
      <c r="X76"/>
      <c r="Y76"/>
    </row>
    <row r="77" spans="1:25" s="386" customFormat="1" ht="15.75">
      <c r="A77" s="684"/>
      <c r="B77" s="687"/>
      <c r="C77" s="674"/>
      <c r="D77" s="675"/>
      <c r="E77" s="675"/>
      <c r="F77" s="675"/>
      <c r="G77" s="675"/>
      <c r="H77" s="676"/>
      <c r="I77" s="676"/>
      <c r="J77" s="675"/>
      <c r="K77" s="675"/>
      <c r="L77" s="675"/>
      <c r="M77" s="676"/>
      <c r="N77" s="676"/>
      <c r="O77" s="675"/>
      <c r="P77" s="675"/>
      <c r="Q77" s="676"/>
      <c r="R77" s="676"/>
      <c r="S77" s="676"/>
      <c r="T77" s="676"/>
      <c r="U77" s="676"/>
      <c r="V77"/>
      <c r="W77"/>
      <c r="X77"/>
      <c r="Y77"/>
    </row>
    <row r="78" spans="1:25" ht="15.75">
      <c r="A78" s="684"/>
      <c r="B78" s="688"/>
      <c r="C78" s="380"/>
      <c r="D78" s="381"/>
      <c r="E78" s="381"/>
      <c r="F78" s="381"/>
      <c r="G78" s="381"/>
      <c r="H78" s="382"/>
      <c r="I78" s="382"/>
      <c r="J78" s="381"/>
      <c r="K78" s="381"/>
      <c r="L78" s="381"/>
      <c r="M78" s="382"/>
      <c r="N78" s="382"/>
      <c r="O78" s="381"/>
      <c r="P78" s="381"/>
      <c r="Q78" s="382"/>
      <c r="R78" s="382"/>
      <c r="S78" s="382"/>
      <c r="T78" s="382"/>
      <c r="U78" s="382"/>
      <c r="V78"/>
      <c r="W78"/>
      <c r="X78"/>
      <c r="Y78"/>
    </row>
    <row r="79" spans="1:25" ht="15.75">
      <c r="A79" s="684"/>
      <c r="B79" s="689"/>
      <c r="C79" s="383"/>
      <c r="D79" s="384"/>
      <c r="E79" s="384"/>
      <c r="F79" s="384"/>
      <c r="G79" s="384"/>
      <c r="H79" s="385"/>
      <c r="I79" s="385"/>
      <c r="J79" s="384"/>
      <c r="K79" s="384"/>
      <c r="L79" s="384"/>
      <c r="M79" s="385"/>
      <c r="N79" s="385"/>
      <c r="O79" s="384"/>
      <c r="P79" s="384"/>
      <c r="Q79" s="385"/>
      <c r="R79" s="385"/>
      <c r="S79" s="385"/>
      <c r="T79" s="385"/>
      <c r="U79" s="385"/>
      <c r="V79"/>
      <c r="W79"/>
      <c r="X79"/>
      <c r="Y79"/>
    </row>
    <row r="80" spans="1:25" s="386" customFormat="1" ht="15.75">
      <c r="A80" s="684"/>
      <c r="B80" s="687"/>
      <c r="C80" s="674"/>
      <c r="D80" s="675"/>
      <c r="E80" s="675"/>
      <c r="F80" s="675"/>
      <c r="G80" s="675"/>
      <c r="H80" s="676"/>
      <c r="I80" s="676"/>
      <c r="J80" s="675"/>
      <c r="K80" s="675"/>
      <c r="L80" s="675"/>
      <c r="M80" s="676"/>
      <c r="N80" s="676"/>
      <c r="O80" s="675"/>
      <c r="P80" s="675"/>
      <c r="Q80" s="676"/>
      <c r="R80" s="676"/>
      <c r="S80" s="676"/>
      <c r="T80" s="676"/>
      <c r="U80" s="676"/>
      <c r="V80"/>
      <c r="W80"/>
      <c r="X80"/>
      <c r="Y80"/>
    </row>
    <row r="81" spans="1:25" ht="15.75">
      <c r="A81" s="684"/>
      <c r="B81" s="688"/>
      <c r="C81" s="380"/>
      <c r="D81" s="381"/>
      <c r="E81" s="381"/>
      <c r="F81" s="381"/>
      <c r="G81" s="381"/>
      <c r="H81" s="382"/>
      <c r="I81" s="382"/>
      <c r="J81" s="381"/>
      <c r="K81" s="381"/>
      <c r="L81" s="381"/>
      <c r="M81" s="382"/>
      <c r="N81" s="382"/>
      <c r="O81" s="381"/>
      <c r="P81" s="381"/>
      <c r="Q81" s="382"/>
      <c r="R81" s="382"/>
      <c r="S81" s="382"/>
      <c r="T81" s="382"/>
      <c r="U81" s="382"/>
      <c r="V81"/>
      <c r="W81"/>
      <c r="X81"/>
      <c r="Y81"/>
    </row>
    <row r="82" spans="1:25" ht="15.75">
      <c r="A82" s="684"/>
      <c r="B82" s="689"/>
      <c r="C82" s="383"/>
      <c r="D82" s="384"/>
      <c r="E82" s="384"/>
      <c r="F82" s="384"/>
      <c r="G82" s="384"/>
      <c r="H82" s="385"/>
      <c r="I82" s="385"/>
      <c r="J82" s="384"/>
      <c r="K82" s="384"/>
      <c r="L82" s="384"/>
      <c r="M82" s="385"/>
      <c r="N82" s="385"/>
      <c r="O82" s="384"/>
      <c r="P82" s="384"/>
      <c r="Q82" s="385"/>
      <c r="R82" s="385"/>
      <c r="S82" s="385"/>
      <c r="T82" s="385"/>
      <c r="U82" s="385"/>
      <c r="V82"/>
      <c r="W82"/>
      <c r="X82"/>
      <c r="Y82"/>
    </row>
    <row r="83" spans="1:25" s="386" customFormat="1" ht="15.75">
      <c r="A83" s="684"/>
      <c r="B83" s="687"/>
      <c r="C83" s="674"/>
      <c r="D83" s="675"/>
      <c r="E83" s="675"/>
      <c r="F83" s="675"/>
      <c r="G83" s="675"/>
      <c r="H83" s="676"/>
      <c r="I83" s="676"/>
      <c r="J83" s="675"/>
      <c r="K83" s="675"/>
      <c r="L83" s="675"/>
      <c r="M83" s="676"/>
      <c r="N83" s="676"/>
      <c r="O83" s="675"/>
      <c r="P83" s="675"/>
      <c r="Q83" s="676"/>
      <c r="R83" s="676"/>
      <c r="S83" s="676"/>
      <c r="T83" s="676"/>
      <c r="U83" s="676"/>
      <c r="V83"/>
      <c r="W83"/>
      <c r="X83"/>
      <c r="Y83"/>
    </row>
    <row r="84" spans="1:25" ht="15.75">
      <c r="A84" s="684"/>
      <c r="B84" s="688"/>
      <c r="C84" s="380"/>
      <c r="D84" s="381"/>
      <c r="E84" s="381"/>
      <c r="F84" s="381"/>
      <c r="G84" s="381"/>
      <c r="H84" s="382"/>
      <c r="I84" s="382"/>
      <c r="J84" s="381"/>
      <c r="K84" s="381"/>
      <c r="L84" s="381"/>
      <c r="M84" s="382"/>
      <c r="N84" s="382"/>
      <c r="O84" s="381"/>
      <c r="P84" s="381"/>
      <c r="Q84" s="382"/>
      <c r="R84" s="382"/>
      <c r="S84" s="382"/>
      <c r="T84" s="382"/>
      <c r="U84" s="382"/>
      <c r="V84"/>
      <c r="W84"/>
      <c r="X84"/>
      <c r="Y84"/>
    </row>
    <row r="85" spans="1:25" ht="15.75">
      <c r="A85" s="684"/>
      <c r="B85" s="689"/>
      <c r="C85" s="383"/>
      <c r="D85" s="384"/>
      <c r="E85" s="384"/>
      <c r="F85" s="384"/>
      <c r="G85" s="384"/>
      <c r="H85" s="385"/>
      <c r="I85" s="385"/>
      <c r="J85" s="384"/>
      <c r="K85" s="384"/>
      <c r="L85" s="384"/>
      <c r="M85" s="385"/>
      <c r="N85" s="385"/>
      <c r="O85" s="384"/>
      <c r="P85" s="384"/>
      <c r="Q85" s="385"/>
      <c r="R85" s="385"/>
      <c r="S85" s="385"/>
      <c r="T85" s="385"/>
      <c r="U85" s="385"/>
      <c r="V85"/>
      <c r="W85"/>
      <c r="X85"/>
      <c r="Y85"/>
    </row>
    <row r="86" spans="1:25" s="386" customFormat="1" ht="15.75">
      <c r="A86" s="684"/>
      <c r="B86" s="687"/>
      <c r="C86" s="674"/>
      <c r="D86" s="675"/>
      <c r="E86" s="675"/>
      <c r="F86" s="675"/>
      <c r="G86" s="675"/>
      <c r="H86" s="676"/>
      <c r="I86" s="676"/>
      <c r="J86" s="675"/>
      <c r="K86" s="675"/>
      <c r="L86" s="675"/>
      <c r="M86" s="676"/>
      <c r="N86" s="676"/>
      <c r="O86" s="675"/>
      <c r="P86" s="675"/>
      <c r="Q86" s="676"/>
      <c r="R86" s="676"/>
      <c r="S86" s="676"/>
      <c r="T86" s="676"/>
      <c r="U86" s="676"/>
      <c r="V86"/>
      <c r="W86"/>
      <c r="X86"/>
      <c r="Y86"/>
    </row>
    <row r="87" spans="1:25" ht="15.75">
      <c r="A87" s="684"/>
      <c r="B87" s="688"/>
      <c r="C87" s="380"/>
      <c r="D87" s="381"/>
      <c r="E87" s="381"/>
      <c r="F87" s="381"/>
      <c r="G87" s="381"/>
      <c r="H87" s="382"/>
      <c r="I87" s="382"/>
      <c r="J87" s="381"/>
      <c r="K87" s="381"/>
      <c r="L87" s="381"/>
      <c r="M87" s="382"/>
      <c r="N87" s="382"/>
      <c r="O87" s="381"/>
      <c r="P87" s="381"/>
      <c r="Q87" s="382"/>
      <c r="R87" s="382"/>
      <c r="S87" s="382"/>
      <c r="T87" s="382"/>
      <c r="U87" s="382"/>
      <c r="V87"/>
      <c r="W87"/>
      <c r="X87"/>
      <c r="Y87"/>
    </row>
    <row r="88" spans="1:25" ht="15.75">
      <c r="A88" s="684"/>
      <c r="B88" s="689"/>
      <c r="C88" s="383"/>
      <c r="D88" s="384"/>
      <c r="E88" s="384"/>
      <c r="F88" s="384"/>
      <c r="G88" s="384"/>
      <c r="H88" s="385"/>
      <c r="I88" s="385"/>
      <c r="J88" s="384"/>
      <c r="K88" s="384"/>
      <c r="L88" s="384"/>
      <c r="M88" s="385"/>
      <c r="N88" s="385"/>
      <c r="O88" s="384"/>
      <c r="P88" s="384"/>
      <c r="Q88" s="385"/>
      <c r="R88" s="385"/>
      <c r="S88" s="385"/>
      <c r="T88" s="385"/>
      <c r="U88" s="385"/>
      <c r="V88"/>
      <c r="W88"/>
      <c r="X88"/>
      <c r="Y88"/>
    </row>
    <row r="89" spans="1:25" s="386" customFormat="1" ht="15.75">
      <c r="A89" s="684"/>
      <c r="B89" s="687"/>
      <c r="C89" s="674"/>
      <c r="D89" s="675"/>
      <c r="E89" s="675"/>
      <c r="F89" s="675"/>
      <c r="G89" s="675"/>
      <c r="H89" s="676"/>
      <c r="I89" s="676"/>
      <c r="J89" s="675"/>
      <c r="K89" s="675"/>
      <c r="L89" s="675"/>
      <c r="M89" s="676"/>
      <c r="N89" s="676"/>
      <c r="O89" s="675"/>
      <c r="P89" s="675"/>
      <c r="Q89" s="676"/>
      <c r="R89" s="676"/>
      <c r="S89" s="676"/>
      <c r="T89" s="676"/>
      <c r="U89" s="676"/>
      <c r="V89"/>
      <c r="W89"/>
      <c r="X89"/>
      <c r="Y89"/>
    </row>
    <row r="90" spans="1:25" ht="15.75">
      <c r="A90" s="684"/>
      <c r="B90" s="688"/>
      <c r="C90" s="380"/>
      <c r="D90" s="381"/>
      <c r="E90" s="381"/>
      <c r="F90" s="381"/>
      <c r="G90" s="381"/>
      <c r="H90" s="382"/>
      <c r="I90" s="382"/>
      <c r="J90" s="381"/>
      <c r="K90" s="381"/>
      <c r="L90" s="381"/>
      <c r="M90" s="382"/>
      <c r="N90" s="382"/>
      <c r="O90" s="381"/>
      <c r="P90" s="381"/>
      <c r="Q90" s="382"/>
      <c r="R90" s="382"/>
      <c r="S90" s="382"/>
      <c r="T90" s="382"/>
      <c r="U90" s="382"/>
      <c r="V90"/>
      <c r="W90"/>
      <c r="X90"/>
      <c r="Y90"/>
    </row>
    <row r="91" spans="1:25" ht="15.75">
      <c r="A91" s="684"/>
      <c r="B91" s="689"/>
      <c r="C91" s="383"/>
      <c r="D91" s="384"/>
      <c r="E91" s="384"/>
      <c r="F91" s="384"/>
      <c r="G91" s="384"/>
      <c r="H91" s="385"/>
      <c r="I91" s="385"/>
      <c r="J91" s="384"/>
      <c r="K91" s="384"/>
      <c r="L91" s="384"/>
      <c r="M91" s="385"/>
      <c r="N91" s="385"/>
      <c r="O91" s="384"/>
      <c r="P91" s="384"/>
      <c r="Q91" s="385"/>
      <c r="R91" s="385"/>
      <c r="S91" s="385"/>
      <c r="T91" s="385"/>
      <c r="U91" s="385"/>
      <c r="V91"/>
      <c r="W91"/>
      <c r="X91"/>
      <c r="Y91"/>
    </row>
    <row r="92" spans="1:25" s="386" customFormat="1" ht="15.75">
      <c r="A92" s="684"/>
      <c r="B92" s="687"/>
      <c r="C92" s="674"/>
      <c r="D92" s="675"/>
      <c r="E92" s="675"/>
      <c r="F92" s="675"/>
      <c r="G92" s="675"/>
      <c r="H92" s="676"/>
      <c r="I92" s="676"/>
      <c r="J92" s="675"/>
      <c r="K92" s="675"/>
      <c r="L92" s="675"/>
      <c r="M92" s="676"/>
      <c r="N92" s="676"/>
      <c r="O92" s="675"/>
      <c r="P92" s="675"/>
      <c r="Q92" s="676"/>
      <c r="R92" s="676"/>
      <c r="S92" s="676"/>
      <c r="T92" s="676"/>
      <c r="U92" s="676"/>
      <c r="V92"/>
      <c r="W92"/>
      <c r="X92"/>
      <c r="Y92"/>
    </row>
    <row r="93" spans="1:25" ht="15.75">
      <c r="A93" s="684"/>
      <c r="B93" s="688"/>
      <c r="C93" s="380"/>
      <c r="D93" s="381"/>
      <c r="E93" s="381"/>
      <c r="F93" s="381"/>
      <c r="G93" s="381"/>
      <c r="H93" s="382"/>
      <c r="I93" s="382"/>
      <c r="J93" s="381"/>
      <c r="K93" s="381"/>
      <c r="L93" s="381"/>
      <c r="M93" s="382"/>
      <c r="N93" s="382"/>
      <c r="O93" s="381"/>
      <c r="P93" s="381"/>
      <c r="Q93" s="382"/>
      <c r="R93" s="382"/>
      <c r="S93" s="382"/>
      <c r="T93" s="382"/>
      <c r="U93" s="382"/>
      <c r="V93"/>
      <c r="W93"/>
      <c r="X93"/>
      <c r="Y93"/>
    </row>
    <row r="94" spans="1:25" ht="15.75">
      <c r="A94" s="684"/>
      <c r="B94" s="689"/>
      <c r="C94" s="383"/>
      <c r="D94" s="384"/>
      <c r="E94" s="384"/>
      <c r="F94" s="384"/>
      <c r="G94" s="384"/>
      <c r="H94" s="385"/>
      <c r="I94" s="385"/>
      <c r="J94" s="384"/>
      <c r="K94" s="384"/>
      <c r="L94" s="384"/>
      <c r="M94" s="385"/>
      <c r="N94" s="385"/>
      <c r="O94" s="384"/>
      <c r="P94" s="384"/>
      <c r="Q94" s="385"/>
      <c r="R94" s="385"/>
      <c r="S94" s="385"/>
      <c r="T94" s="385"/>
      <c r="U94" s="385"/>
      <c r="V94"/>
      <c r="W94"/>
      <c r="X94"/>
      <c r="Y94"/>
    </row>
    <row r="95" spans="1:25" s="386" customFormat="1" ht="15.75">
      <c r="A95" s="684"/>
      <c r="B95" s="687"/>
      <c r="C95" s="674"/>
      <c r="D95" s="675"/>
      <c r="E95" s="675"/>
      <c r="F95" s="675"/>
      <c r="G95" s="675"/>
      <c r="H95" s="676"/>
      <c r="I95" s="676"/>
      <c r="J95" s="675"/>
      <c r="K95" s="675"/>
      <c r="L95" s="675"/>
      <c r="M95" s="676"/>
      <c r="N95" s="676"/>
      <c r="O95" s="675"/>
      <c r="P95" s="675"/>
      <c r="Q95" s="676"/>
      <c r="R95" s="676"/>
      <c r="S95" s="676"/>
      <c r="T95" s="676"/>
      <c r="U95" s="676"/>
      <c r="V95"/>
      <c r="W95"/>
      <c r="X95"/>
      <c r="Y95"/>
    </row>
    <row r="96" spans="1:25" ht="15.75">
      <c r="A96" s="684"/>
      <c r="B96" s="688"/>
      <c r="C96" s="380"/>
      <c r="D96" s="381"/>
      <c r="E96" s="381"/>
      <c r="F96" s="381"/>
      <c r="G96" s="381"/>
      <c r="H96" s="382"/>
      <c r="I96" s="382"/>
      <c r="J96" s="381"/>
      <c r="K96" s="381"/>
      <c r="L96" s="381"/>
      <c r="M96" s="382"/>
      <c r="N96" s="382"/>
      <c r="O96" s="381"/>
      <c r="P96" s="381"/>
      <c r="Q96" s="382"/>
      <c r="R96" s="382"/>
      <c r="S96" s="382"/>
      <c r="T96" s="382"/>
      <c r="U96" s="382"/>
      <c r="V96"/>
      <c r="W96"/>
      <c r="X96"/>
      <c r="Y96"/>
    </row>
    <row r="97" spans="1:25" ht="15.75">
      <c r="A97" s="684"/>
      <c r="B97" s="689"/>
      <c r="C97" s="383"/>
      <c r="D97" s="384"/>
      <c r="E97" s="384"/>
      <c r="F97" s="384"/>
      <c r="G97" s="384"/>
      <c r="H97" s="385"/>
      <c r="I97" s="385"/>
      <c r="J97" s="384"/>
      <c r="K97" s="384"/>
      <c r="L97" s="384"/>
      <c r="M97" s="385"/>
      <c r="N97" s="385"/>
      <c r="O97" s="384"/>
      <c r="P97" s="384"/>
      <c r="Q97" s="385"/>
      <c r="R97" s="385"/>
      <c r="S97" s="385"/>
      <c r="T97" s="385"/>
      <c r="U97" s="385"/>
      <c r="V97"/>
      <c r="W97"/>
      <c r="X97"/>
      <c r="Y97"/>
    </row>
    <row r="98" spans="1:25" s="386" customFormat="1" ht="15.75">
      <c r="A98" s="684"/>
      <c r="B98" s="687"/>
      <c r="C98" s="674"/>
      <c r="D98" s="675"/>
      <c r="E98" s="675"/>
      <c r="F98" s="675"/>
      <c r="G98" s="675"/>
      <c r="H98" s="676"/>
      <c r="I98" s="676"/>
      <c r="J98" s="675"/>
      <c r="K98" s="675"/>
      <c r="L98" s="675"/>
      <c r="M98" s="676"/>
      <c r="N98" s="676"/>
      <c r="O98" s="675"/>
      <c r="P98" s="675"/>
      <c r="Q98" s="676"/>
      <c r="R98" s="676"/>
      <c r="S98" s="676"/>
      <c r="T98" s="676"/>
      <c r="U98" s="676"/>
      <c r="V98"/>
      <c r="W98"/>
      <c r="X98"/>
      <c r="Y98"/>
    </row>
    <row r="99" spans="1:25" ht="15.75">
      <c r="A99" s="684"/>
      <c r="B99" s="688"/>
      <c r="C99" s="380"/>
      <c r="D99" s="381"/>
      <c r="E99" s="381"/>
      <c r="F99" s="381"/>
      <c r="G99" s="381"/>
      <c r="H99" s="382"/>
      <c r="I99" s="382"/>
      <c r="J99" s="381"/>
      <c r="K99" s="381"/>
      <c r="L99" s="381"/>
      <c r="M99" s="382"/>
      <c r="N99" s="382"/>
      <c r="O99" s="381"/>
      <c r="P99" s="381"/>
      <c r="Q99" s="382"/>
      <c r="R99" s="382"/>
      <c r="S99" s="382"/>
      <c r="T99" s="382"/>
      <c r="U99" s="382"/>
      <c r="V99"/>
      <c r="W99"/>
      <c r="X99"/>
      <c r="Y99"/>
    </row>
    <row r="100" spans="1:25" ht="15.75">
      <c r="A100" s="684"/>
      <c r="B100" s="689"/>
      <c r="C100" s="383"/>
      <c r="D100" s="384"/>
      <c r="E100" s="384"/>
      <c r="F100" s="384"/>
      <c r="G100" s="384"/>
      <c r="H100" s="385"/>
      <c r="I100" s="385"/>
      <c r="J100" s="384"/>
      <c r="K100" s="384"/>
      <c r="L100" s="384"/>
      <c r="M100" s="385"/>
      <c r="N100" s="385"/>
      <c r="O100" s="384"/>
      <c r="P100" s="384"/>
      <c r="Q100" s="385"/>
      <c r="R100" s="385"/>
      <c r="S100" s="385"/>
      <c r="T100" s="385"/>
      <c r="U100" s="385"/>
      <c r="V100"/>
      <c r="W100"/>
      <c r="X100"/>
      <c r="Y100"/>
    </row>
    <row r="101" spans="1:25" s="386" customFormat="1" ht="15.75">
      <c r="A101" s="684"/>
      <c r="B101" s="687"/>
      <c r="C101" s="674"/>
      <c r="D101" s="675"/>
      <c r="E101" s="675"/>
      <c r="F101" s="675"/>
      <c r="G101" s="675"/>
      <c r="H101" s="676"/>
      <c r="I101" s="676"/>
      <c r="J101" s="675"/>
      <c r="K101" s="675"/>
      <c r="L101" s="675"/>
      <c r="M101" s="676"/>
      <c r="N101" s="676"/>
      <c r="O101" s="675"/>
      <c r="P101" s="675"/>
      <c r="Q101" s="676"/>
      <c r="R101" s="676"/>
      <c r="S101" s="676"/>
      <c r="T101" s="676"/>
      <c r="U101" s="676"/>
      <c r="V101"/>
      <c r="W101"/>
      <c r="X101"/>
      <c r="Y101"/>
    </row>
    <row r="102" spans="1:25" ht="15.75">
      <c r="A102" s="684"/>
      <c r="B102" s="688"/>
      <c r="C102" s="380"/>
      <c r="D102" s="381"/>
      <c r="E102" s="381"/>
      <c r="F102" s="381"/>
      <c r="G102" s="381"/>
      <c r="H102" s="382"/>
      <c r="I102" s="382"/>
      <c r="J102" s="381"/>
      <c r="K102" s="381"/>
      <c r="L102" s="381"/>
      <c r="M102" s="382"/>
      <c r="N102" s="382"/>
      <c r="O102" s="381"/>
      <c r="P102" s="381"/>
      <c r="Q102" s="382"/>
      <c r="R102" s="382"/>
      <c r="S102" s="382"/>
      <c r="T102" s="382"/>
      <c r="U102" s="382"/>
      <c r="V102"/>
      <c r="W102"/>
      <c r="X102"/>
      <c r="Y102"/>
    </row>
    <row r="103" spans="1:25" ht="15.75">
      <c r="A103" s="684"/>
      <c r="B103" s="689"/>
      <c r="C103" s="383"/>
      <c r="D103" s="384"/>
      <c r="E103" s="384"/>
      <c r="F103" s="384"/>
      <c r="G103" s="384"/>
      <c r="H103" s="385"/>
      <c r="I103" s="385"/>
      <c r="J103" s="384"/>
      <c r="K103" s="384"/>
      <c r="L103" s="384"/>
      <c r="M103" s="385"/>
      <c r="N103" s="385"/>
      <c r="O103" s="384"/>
      <c r="P103" s="384"/>
      <c r="Q103" s="385"/>
      <c r="R103" s="385"/>
      <c r="S103" s="385"/>
      <c r="T103" s="385"/>
      <c r="U103" s="385"/>
      <c r="V103"/>
      <c r="W103"/>
      <c r="X103"/>
      <c r="Y103"/>
    </row>
    <row r="104" spans="1:25" s="386" customFormat="1" ht="15.75">
      <c r="A104" s="684"/>
      <c r="B104" s="687"/>
      <c r="C104" s="674"/>
      <c r="D104" s="675"/>
      <c r="E104" s="675"/>
      <c r="F104" s="675"/>
      <c r="G104" s="675"/>
      <c r="H104" s="676"/>
      <c r="I104" s="676"/>
      <c r="J104" s="675"/>
      <c r="K104" s="675"/>
      <c r="L104" s="675"/>
      <c r="M104" s="676"/>
      <c r="N104" s="676"/>
      <c r="O104" s="675"/>
      <c r="P104" s="675"/>
      <c r="Q104" s="676"/>
      <c r="R104" s="676"/>
      <c r="S104" s="676"/>
      <c r="T104" s="676"/>
      <c r="U104" s="676"/>
      <c r="V104"/>
      <c r="W104"/>
      <c r="X104"/>
      <c r="Y104"/>
    </row>
    <row r="105" spans="1:25" ht="15.75">
      <c r="A105" s="685"/>
      <c r="B105" s="690"/>
      <c r="C105" s="576"/>
      <c r="D105" s="577"/>
      <c r="E105" s="577"/>
      <c r="F105" s="577"/>
      <c r="G105" s="577"/>
      <c r="H105" s="578"/>
      <c r="I105" s="578"/>
      <c r="J105" s="577"/>
      <c r="K105" s="577"/>
      <c r="L105" s="577"/>
      <c r="M105" s="578"/>
      <c r="N105" s="578"/>
      <c r="O105" s="577"/>
      <c r="P105" s="577"/>
      <c r="Q105" s="578"/>
      <c r="R105" s="578"/>
      <c r="S105" s="578"/>
      <c r="T105" s="578"/>
      <c r="U105" s="578"/>
      <c r="V105"/>
      <c r="W105"/>
      <c r="X105"/>
      <c r="Y105"/>
    </row>
    <row r="106" spans="1:25" ht="15.75">
      <c r="A106" s="683"/>
      <c r="B106" s="687"/>
      <c r="C106" s="674"/>
      <c r="D106" s="675"/>
      <c r="E106" s="675"/>
      <c r="F106" s="675"/>
      <c r="G106" s="675"/>
      <c r="H106" s="676"/>
      <c r="I106" s="676"/>
      <c r="J106" s="675"/>
      <c r="K106" s="675"/>
      <c r="L106" s="675"/>
      <c r="M106" s="676"/>
      <c r="N106" s="676"/>
      <c r="O106" s="675"/>
      <c r="P106" s="675"/>
      <c r="Q106" s="676"/>
      <c r="R106" s="676"/>
      <c r="S106" s="676"/>
      <c r="T106" s="676"/>
      <c r="U106" s="676"/>
      <c r="V106"/>
      <c r="W106"/>
      <c r="X106"/>
      <c r="Y106"/>
    </row>
    <row r="107" spans="1:25" s="386" customFormat="1" ht="15.75">
      <c r="A107" s="684"/>
      <c r="B107" s="688"/>
      <c r="C107" s="380"/>
      <c r="D107" s="381"/>
      <c r="E107" s="381"/>
      <c r="F107" s="381"/>
      <c r="G107" s="381"/>
      <c r="H107" s="382"/>
      <c r="I107" s="382"/>
      <c r="J107" s="381"/>
      <c r="K107" s="381"/>
      <c r="L107" s="381"/>
      <c r="M107" s="382"/>
      <c r="N107" s="382"/>
      <c r="O107" s="381"/>
      <c r="P107" s="381"/>
      <c r="Q107" s="382"/>
      <c r="R107" s="382"/>
      <c r="S107" s="382"/>
      <c r="T107" s="382"/>
      <c r="U107" s="382"/>
      <c r="V107"/>
      <c r="W107"/>
      <c r="X107"/>
      <c r="Y107"/>
    </row>
    <row r="108" spans="1:25" ht="15.75">
      <c r="A108" s="684"/>
      <c r="B108" s="689"/>
      <c r="C108" s="383"/>
      <c r="D108" s="384"/>
      <c r="E108" s="384"/>
      <c r="F108" s="384"/>
      <c r="G108" s="384"/>
      <c r="H108" s="385"/>
      <c r="I108" s="385"/>
      <c r="J108" s="384"/>
      <c r="K108" s="384"/>
      <c r="L108" s="384"/>
      <c r="M108" s="385"/>
      <c r="N108" s="385"/>
      <c r="O108" s="384"/>
      <c r="P108" s="384"/>
      <c r="Q108" s="385"/>
      <c r="R108" s="385"/>
      <c r="S108" s="385"/>
      <c r="T108" s="385"/>
      <c r="U108" s="385"/>
      <c r="V108"/>
      <c r="W108"/>
      <c r="X108"/>
      <c r="Y108"/>
    </row>
    <row r="109" spans="1:25" ht="15.75">
      <c r="A109" s="684"/>
      <c r="B109" s="687"/>
      <c r="C109" s="674"/>
      <c r="D109" s="675"/>
      <c r="E109" s="675"/>
      <c r="F109" s="675"/>
      <c r="G109" s="675"/>
      <c r="H109" s="676"/>
      <c r="I109" s="676"/>
      <c r="J109" s="675"/>
      <c r="K109" s="675"/>
      <c r="L109" s="675"/>
      <c r="M109" s="676"/>
      <c r="N109" s="676"/>
      <c r="O109" s="675"/>
      <c r="P109" s="675"/>
      <c r="Q109" s="676"/>
      <c r="R109" s="676"/>
      <c r="S109" s="676"/>
      <c r="T109" s="676"/>
      <c r="U109" s="676"/>
      <c r="V109"/>
      <c r="W109"/>
      <c r="X109"/>
      <c r="Y109"/>
    </row>
    <row r="110" spans="1:25" s="386" customFormat="1" ht="15.75">
      <c r="A110" s="684"/>
      <c r="B110" s="688"/>
      <c r="C110" s="380"/>
      <c r="D110" s="381"/>
      <c r="E110" s="381"/>
      <c r="F110" s="381"/>
      <c r="G110" s="381"/>
      <c r="H110" s="382"/>
      <c r="I110" s="382"/>
      <c r="J110" s="381"/>
      <c r="K110" s="381"/>
      <c r="L110" s="381"/>
      <c r="M110" s="382"/>
      <c r="N110" s="382"/>
      <c r="O110" s="381"/>
      <c r="P110" s="381"/>
      <c r="Q110" s="382"/>
      <c r="R110" s="382"/>
      <c r="S110" s="382"/>
      <c r="T110" s="382"/>
      <c r="U110" s="382"/>
      <c r="V110"/>
      <c r="W110"/>
      <c r="X110"/>
      <c r="Y110"/>
    </row>
    <row r="111" spans="1:25" ht="15.75">
      <c r="A111" s="684"/>
      <c r="B111" s="689"/>
      <c r="C111" s="383"/>
      <c r="D111" s="384"/>
      <c r="E111" s="384"/>
      <c r="F111" s="384"/>
      <c r="G111" s="384"/>
      <c r="H111" s="385"/>
      <c r="I111" s="385"/>
      <c r="J111" s="384"/>
      <c r="K111" s="384"/>
      <c r="L111" s="384"/>
      <c r="M111" s="385"/>
      <c r="N111" s="385"/>
      <c r="O111" s="384"/>
      <c r="P111" s="384"/>
      <c r="Q111" s="385"/>
      <c r="R111" s="385"/>
      <c r="S111" s="385"/>
      <c r="T111" s="385"/>
      <c r="U111" s="385"/>
      <c r="V111"/>
      <c r="W111"/>
      <c r="X111"/>
      <c r="Y111"/>
    </row>
    <row r="112" spans="1:25" ht="15.75">
      <c r="A112" s="684"/>
      <c r="B112" s="687"/>
      <c r="C112" s="674"/>
      <c r="D112" s="675"/>
      <c r="E112" s="675"/>
      <c r="F112" s="675"/>
      <c r="G112" s="675"/>
      <c r="H112" s="676"/>
      <c r="I112" s="676"/>
      <c r="J112" s="675"/>
      <c r="K112" s="675"/>
      <c r="L112" s="675"/>
      <c r="M112" s="676"/>
      <c r="N112" s="676"/>
      <c r="O112" s="675"/>
      <c r="P112" s="675"/>
      <c r="Q112" s="676"/>
      <c r="R112" s="676"/>
      <c r="S112" s="676"/>
      <c r="T112" s="676"/>
      <c r="U112" s="676"/>
      <c r="V112"/>
      <c r="W112"/>
      <c r="X112"/>
      <c r="Y112"/>
    </row>
    <row r="113" spans="1:25" s="386" customFormat="1" ht="15.75">
      <c r="A113" s="684"/>
      <c r="B113" s="688"/>
      <c r="C113" s="380"/>
      <c r="D113" s="381"/>
      <c r="E113" s="381"/>
      <c r="F113" s="381"/>
      <c r="G113" s="381"/>
      <c r="H113" s="382"/>
      <c r="I113" s="382"/>
      <c r="J113" s="381"/>
      <c r="K113" s="381"/>
      <c r="L113" s="381"/>
      <c r="M113" s="382"/>
      <c r="N113" s="382"/>
      <c r="O113" s="381"/>
      <c r="P113" s="381"/>
      <c r="Q113" s="382"/>
      <c r="R113" s="382"/>
      <c r="S113" s="382"/>
      <c r="T113" s="382"/>
      <c r="U113" s="382"/>
      <c r="V113"/>
      <c r="W113"/>
      <c r="X113"/>
      <c r="Y113"/>
    </row>
    <row r="114" spans="1:25" ht="15.75">
      <c r="A114" s="684"/>
      <c r="B114" s="689"/>
      <c r="C114" s="383"/>
      <c r="D114" s="384"/>
      <c r="E114" s="384"/>
      <c r="F114" s="384"/>
      <c r="G114" s="384"/>
      <c r="H114" s="385"/>
      <c r="I114" s="385"/>
      <c r="J114" s="384"/>
      <c r="K114" s="384"/>
      <c r="L114" s="384"/>
      <c r="M114" s="385"/>
      <c r="N114" s="385"/>
      <c r="O114" s="384"/>
      <c r="P114" s="384"/>
      <c r="Q114" s="385"/>
      <c r="R114" s="385"/>
      <c r="S114" s="385"/>
      <c r="T114" s="385"/>
      <c r="U114" s="385"/>
      <c r="V114"/>
      <c r="W114"/>
      <c r="X114"/>
      <c r="Y114"/>
    </row>
    <row r="115" spans="1:25" ht="15.75">
      <c r="A115" s="684"/>
      <c r="B115" s="687"/>
      <c r="C115" s="674"/>
      <c r="D115" s="675"/>
      <c r="E115" s="675"/>
      <c r="F115" s="675"/>
      <c r="G115" s="675"/>
      <c r="H115" s="676"/>
      <c r="I115" s="676"/>
      <c r="J115" s="675"/>
      <c r="K115" s="675"/>
      <c r="L115" s="675"/>
      <c r="M115" s="676"/>
      <c r="N115" s="676"/>
      <c r="O115" s="675"/>
      <c r="P115" s="675"/>
      <c r="Q115" s="676"/>
      <c r="R115" s="676"/>
      <c r="S115" s="676"/>
      <c r="T115" s="676"/>
      <c r="U115" s="676"/>
      <c r="V115"/>
      <c r="W115"/>
      <c r="X115"/>
      <c r="Y115"/>
    </row>
    <row r="116" spans="1:25" s="386" customFormat="1" ht="15.75">
      <c r="A116" s="684"/>
      <c r="B116" s="688"/>
      <c r="C116" s="380"/>
      <c r="D116" s="381"/>
      <c r="E116" s="381"/>
      <c r="F116" s="381"/>
      <c r="G116" s="381"/>
      <c r="H116" s="382"/>
      <c r="I116" s="382"/>
      <c r="J116" s="381"/>
      <c r="K116" s="381"/>
      <c r="L116" s="381"/>
      <c r="M116" s="382"/>
      <c r="N116" s="382"/>
      <c r="O116" s="381"/>
      <c r="P116" s="381"/>
      <c r="Q116" s="382"/>
      <c r="R116" s="382"/>
      <c r="S116" s="382"/>
      <c r="T116" s="382"/>
      <c r="U116" s="382"/>
      <c r="V116"/>
      <c r="W116"/>
      <c r="X116"/>
      <c r="Y116"/>
    </row>
    <row r="117" spans="1:25" ht="15.75">
      <c r="A117" s="684"/>
      <c r="B117" s="689"/>
      <c r="C117" s="383"/>
      <c r="D117" s="384"/>
      <c r="E117" s="384"/>
      <c r="F117" s="692"/>
      <c r="G117" s="384"/>
      <c r="H117" s="385"/>
      <c r="I117" s="385"/>
      <c r="J117" s="384"/>
      <c r="K117" s="384"/>
      <c r="L117" s="384"/>
      <c r="M117" s="385"/>
      <c r="N117" s="385"/>
      <c r="O117" s="384"/>
      <c r="P117" s="384"/>
      <c r="Q117" s="385"/>
      <c r="R117" s="385"/>
      <c r="S117" s="385"/>
      <c r="T117" s="385"/>
      <c r="U117" s="385"/>
      <c r="V117"/>
      <c r="W117"/>
      <c r="X117"/>
      <c r="Y117"/>
    </row>
    <row r="118" spans="1:25" ht="15.75">
      <c r="A118" s="684"/>
      <c r="B118" s="687"/>
      <c r="C118" s="674"/>
      <c r="D118" s="675"/>
      <c r="E118" s="675"/>
      <c r="F118" s="675"/>
      <c r="G118" s="675"/>
      <c r="H118" s="676"/>
      <c r="I118" s="676"/>
      <c r="J118" s="675"/>
      <c r="K118" s="675"/>
      <c r="L118" s="675"/>
      <c r="M118" s="676"/>
      <c r="N118" s="676"/>
      <c r="O118" s="675"/>
      <c r="P118" s="675"/>
      <c r="Q118" s="676"/>
      <c r="R118" s="676"/>
      <c r="S118" s="676"/>
      <c r="T118" s="676"/>
      <c r="U118" s="676"/>
      <c r="V118"/>
      <c r="W118"/>
      <c r="X118"/>
      <c r="Y118"/>
    </row>
    <row r="119" spans="1:25" s="386" customFormat="1" ht="15.75">
      <c r="A119" s="684"/>
      <c r="B119" s="688"/>
      <c r="C119" s="380"/>
      <c r="D119" s="381"/>
      <c r="E119" s="381"/>
      <c r="F119" s="381"/>
      <c r="G119" s="381"/>
      <c r="H119" s="382"/>
      <c r="I119" s="382"/>
      <c r="J119" s="381"/>
      <c r="K119" s="381"/>
      <c r="L119" s="381"/>
      <c r="M119" s="382"/>
      <c r="N119" s="382"/>
      <c r="O119" s="381"/>
      <c r="P119" s="381"/>
      <c r="Q119" s="382"/>
      <c r="R119" s="382"/>
      <c r="S119" s="382"/>
      <c r="T119" s="382"/>
      <c r="U119" s="382"/>
      <c r="V119"/>
      <c r="W119"/>
      <c r="X119"/>
      <c r="Y119"/>
    </row>
    <row r="120" spans="1:25" ht="15.75">
      <c r="A120" s="684"/>
      <c r="B120" s="689"/>
      <c r="C120" s="383"/>
      <c r="D120" s="384"/>
      <c r="E120" s="384"/>
      <c r="F120" s="384"/>
      <c r="G120" s="384"/>
      <c r="H120" s="385"/>
      <c r="I120" s="385"/>
      <c r="J120" s="384"/>
      <c r="K120" s="384"/>
      <c r="L120" s="384"/>
      <c r="M120" s="385"/>
      <c r="N120" s="385"/>
      <c r="O120" s="384"/>
      <c r="P120" s="384"/>
      <c r="Q120" s="385"/>
      <c r="R120" s="385"/>
      <c r="S120" s="385"/>
      <c r="T120" s="385"/>
      <c r="U120" s="385"/>
      <c r="V120"/>
      <c r="W120"/>
      <c r="X120"/>
      <c r="Y120"/>
    </row>
    <row r="121" spans="1:25" ht="15.75">
      <c r="A121" s="684"/>
      <c r="B121" s="687"/>
      <c r="C121" s="674"/>
      <c r="D121" s="675"/>
      <c r="E121" s="675"/>
      <c r="F121" s="675"/>
      <c r="G121" s="675"/>
      <c r="H121" s="676"/>
      <c r="I121" s="676"/>
      <c r="J121" s="675"/>
      <c r="K121" s="675"/>
      <c r="L121" s="675"/>
      <c r="M121" s="676"/>
      <c r="N121" s="676"/>
      <c r="O121" s="675"/>
      <c r="P121" s="675"/>
      <c r="Q121" s="676"/>
      <c r="R121" s="676"/>
      <c r="S121" s="676"/>
      <c r="T121" s="676"/>
      <c r="U121" s="676"/>
      <c r="V121"/>
      <c r="W121"/>
      <c r="X121"/>
      <c r="Y121"/>
    </row>
    <row r="122" spans="1:25" s="386" customFormat="1" ht="15.75">
      <c r="A122" s="684"/>
      <c r="B122" s="688"/>
      <c r="C122" s="380"/>
      <c r="D122" s="381"/>
      <c r="E122" s="381"/>
      <c r="F122" s="381"/>
      <c r="G122" s="381"/>
      <c r="H122" s="382"/>
      <c r="I122" s="382"/>
      <c r="J122" s="381"/>
      <c r="K122" s="381"/>
      <c r="L122" s="381"/>
      <c r="M122" s="382"/>
      <c r="N122" s="382"/>
      <c r="O122" s="381"/>
      <c r="P122" s="381"/>
      <c r="Q122" s="382"/>
      <c r="R122" s="382"/>
      <c r="S122" s="382"/>
      <c r="T122" s="382"/>
      <c r="U122" s="382"/>
      <c r="V122"/>
      <c r="W122"/>
      <c r="X122"/>
      <c r="Y122"/>
    </row>
    <row r="123" spans="1:25" ht="15.75">
      <c r="A123" s="684"/>
      <c r="B123" s="689"/>
      <c r="C123" s="692"/>
      <c r="D123" s="384"/>
      <c r="E123" s="384"/>
      <c r="F123" s="384"/>
      <c r="G123" s="384"/>
      <c r="H123" s="385"/>
      <c r="I123" s="385"/>
      <c r="J123" s="384"/>
      <c r="K123" s="384"/>
      <c r="L123" s="384"/>
      <c r="M123" s="385"/>
      <c r="N123" s="385"/>
      <c r="O123" s="384"/>
      <c r="P123" s="384"/>
      <c r="Q123" s="385"/>
      <c r="R123" s="385"/>
      <c r="S123" s="385"/>
      <c r="T123" s="385"/>
      <c r="U123" s="385"/>
      <c r="V123"/>
      <c r="W123"/>
      <c r="X123"/>
      <c r="Y123"/>
    </row>
    <row r="124" spans="1:25" ht="15.75">
      <c r="A124" s="684"/>
      <c r="B124" s="687"/>
      <c r="C124" s="674"/>
      <c r="D124" s="675"/>
      <c r="E124" s="675"/>
      <c r="F124" s="675"/>
      <c r="G124" s="675"/>
      <c r="H124" s="676"/>
      <c r="I124" s="676"/>
      <c r="J124" s="675"/>
      <c r="K124" s="675"/>
      <c r="L124" s="675"/>
      <c r="M124" s="676"/>
      <c r="N124" s="676"/>
      <c r="O124" s="675"/>
      <c r="P124" s="675"/>
      <c r="Q124" s="676"/>
      <c r="R124" s="676"/>
      <c r="S124" s="676"/>
      <c r="T124" s="676"/>
      <c r="U124" s="676"/>
      <c r="V124"/>
      <c r="W124"/>
      <c r="X124"/>
      <c r="Y124"/>
    </row>
    <row r="125" spans="1:25" s="386" customFormat="1" ht="15.75">
      <c r="A125" s="684"/>
      <c r="B125" s="688"/>
      <c r="C125" s="380"/>
      <c r="D125" s="381"/>
      <c r="E125" s="381"/>
      <c r="F125" s="381"/>
      <c r="G125" s="381"/>
      <c r="H125" s="382"/>
      <c r="I125" s="382"/>
      <c r="J125" s="381"/>
      <c r="K125" s="381"/>
      <c r="L125" s="381"/>
      <c r="M125" s="382"/>
      <c r="N125" s="382"/>
      <c r="O125" s="381"/>
      <c r="P125" s="381"/>
      <c r="Q125" s="382"/>
      <c r="R125" s="382"/>
      <c r="S125" s="382"/>
      <c r="T125" s="382"/>
      <c r="U125" s="382"/>
      <c r="V125"/>
      <c r="W125"/>
      <c r="X125"/>
      <c r="Y125"/>
    </row>
    <row r="126" spans="1:25" ht="15.75">
      <c r="A126" s="684"/>
      <c r="B126" s="689"/>
      <c r="C126" s="383"/>
      <c r="D126" s="384"/>
      <c r="E126" s="384"/>
      <c r="F126" s="384"/>
      <c r="G126" s="384"/>
      <c r="H126" s="385"/>
      <c r="I126" s="385"/>
      <c r="J126" s="384"/>
      <c r="K126" s="384"/>
      <c r="L126" s="384"/>
      <c r="M126" s="385"/>
      <c r="N126" s="385"/>
      <c r="O126" s="384"/>
      <c r="P126" s="384"/>
      <c r="Q126" s="385"/>
      <c r="R126" s="385"/>
      <c r="S126" s="385"/>
      <c r="T126" s="385"/>
      <c r="U126" s="385"/>
      <c r="V126"/>
      <c r="W126"/>
      <c r="X126"/>
      <c r="Y126"/>
    </row>
    <row r="127" spans="1:25" ht="15.75">
      <c r="A127" s="684"/>
      <c r="B127" s="687"/>
      <c r="C127" s="674"/>
      <c r="D127" s="675"/>
      <c r="E127" s="675"/>
      <c r="F127" s="675"/>
      <c r="G127" s="675"/>
      <c r="H127" s="676"/>
      <c r="I127" s="676"/>
      <c r="J127" s="675"/>
      <c r="K127" s="675"/>
      <c r="L127" s="675"/>
      <c r="M127" s="676"/>
      <c r="N127" s="676"/>
      <c r="O127" s="675"/>
      <c r="P127" s="675"/>
      <c r="Q127" s="676"/>
      <c r="R127" s="676"/>
      <c r="S127" s="676"/>
      <c r="T127" s="676"/>
      <c r="U127" s="676"/>
      <c r="V127"/>
      <c r="W127"/>
      <c r="X127"/>
      <c r="Y127"/>
    </row>
    <row r="128" spans="1:25" s="386" customFormat="1" ht="15.75">
      <c r="A128" s="684"/>
      <c r="B128" s="688"/>
      <c r="C128" s="380"/>
      <c r="D128" s="381"/>
      <c r="E128" s="381"/>
      <c r="F128" s="381"/>
      <c r="G128" s="381"/>
      <c r="H128" s="382"/>
      <c r="I128" s="382"/>
      <c r="J128" s="381"/>
      <c r="K128" s="381"/>
      <c r="L128" s="381"/>
      <c r="M128" s="382"/>
      <c r="N128" s="382"/>
      <c r="O128" s="381"/>
      <c r="P128" s="381"/>
      <c r="Q128" s="382"/>
      <c r="R128" s="382"/>
      <c r="S128" s="382"/>
      <c r="T128" s="382"/>
      <c r="U128" s="382"/>
      <c r="V128"/>
      <c r="W128"/>
      <c r="X128"/>
      <c r="Y128"/>
    </row>
    <row r="129" spans="1:25" ht="15.75">
      <c r="A129" s="684"/>
      <c r="B129" s="689"/>
      <c r="C129" s="383"/>
      <c r="D129" s="384"/>
      <c r="E129" s="384"/>
      <c r="F129" s="384"/>
      <c r="G129" s="384"/>
      <c r="H129" s="385"/>
      <c r="I129" s="385"/>
      <c r="J129" s="384"/>
      <c r="K129" s="384"/>
      <c r="L129" s="384"/>
      <c r="M129" s="385"/>
      <c r="N129" s="385"/>
      <c r="O129" s="384"/>
      <c r="P129" s="384"/>
      <c r="Q129" s="385"/>
      <c r="R129" s="385"/>
      <c r="S129" s="385"/>
      <c r="T129" s="385"/>
      <c r="U129" s="385"/>
      <c r="V129"/>
      <c r="W129"/>
      <c r="X129"/>
      <c r="Y129"/>
    </row>
    <row r="130" spans="1:25" ht="15.75">
      <c r="A130" s="684"/>
      <c r="B130" s="687"/>
      <c r="C130" s="674"/>
      <c r="D130" s="675"/>
      <c r="E130" s="675"/>
      <c r="F130" s="675"/>
      <c r="G130" s="675"/>
      <c r="H130" s="676"/>
      <c r="I130" s="676"/>
      <c r="J130" s="675"/>
      <c r="K130" s="675"/>
      <c r="L130" s="675"/>
      <c r="M130" s="676"/>
      <c r="N130" s="676"/>
      <c r="O130" s="675"/>
      <c r="P130" s="675"/>
      <c r="Q130" s="676"/>
      <c r="R130" s="676"/>
      <c r="S130" s="676"/>
      <c r="T130" s="676"/>
      <c r="U130" s="676"/>
      <c r="V130"/>
      <c r="W130"/>
      <c r="X130"/>
      <c r="Y130"/>
    </row>
    <row r="131" spans="1:25" s="386" customFormat="1" ht="15.75">
      <c r="A131" s="684"/>
      <c r="B131" s="688"/>
      <c r="C131" s="380"/>
      <c r="D131" s="381"/>
      <c r="E131" s="381"/>
      <c r="F131" s="381"/>
      <c r="G131" s="381"/>
      <c r="H131" s="382"/>
      <c r="I131" s="382"/>
      <c r="J131" s="381"/>
      <c r="K131" s="381"/>
      <c r="L131" s="381"/>
      <c r="M131" s="382"/>
      <c r="N131" s="382"/>
      <c r="O131" s="381"/>
      <c r="P131" s="381"/>
      <c r="Q131" s="382"/>
      <c r="R131" s="382"/>
      <c r="S131" s="382"/>
      <c r="T131" s="382"/>
      <c r="U131" s="382"/>
      <c r="V131"/>
      <c r="W131"/>
      <c r="X131"/>
      <c r="Y131"/>
    </row>
    <row r="132" spans="1:25" ht="15.75">
      <c r="A132" s="684"/>
      <c r="B132" s="689"/>
      <c r="C132" s="383"/>
      <c r="D132" s="384"/>
      <c r="E132" s="384"/>
      <c r="F132" s="384"/>
      <c r="G132" s="384"/>
      <c r="H132" s="385"/>
      <c r="I132" s="385"/>
      <c r="J132" s="384"/>
      <c r="K132" s="384"/>
      <c r="L132" s="384"/>
      <c r="M132" s="385"/>
      <c r="N132" s="385"/>
      <c r="O132" s="384"/>
      <c r="P132" s="384"/>
      <c r="Q132" s="385"/>
      <c r="R132" s="385"/>
      <c r="S132" s="385"/>
      <c r="T132" s="385"/>
      <c r="U132" s="385"/>
      <c r="V132"/>
      <c r="W132"/>
      <c r="X132"/>
      <c r="Y132"/>
    </row>
    <row r="133" spans="1:25" ht="15.75">
      <c r="A133" s="684"/>
      <c r="B133" s="687"/>
      <c r="C133" s="674"/>
      <c r="D133" s="675"/>
      <c r="E133" s="675"/>
      <c r="F133" s="675"/>
      <c r="G133" s="675"/>
      <c r="H133" s="676"/>
      <c r="I133" s="676"/>
      <c r="J133" s="675"/>
      <c r="K133" s="675"/>
      <c r="L133" s="675"/>
      <c r="M133" s="676"/>
      <c r="N133" s="676"/>
      <c r="O133" s="675"/>
      <c r="P133" s="675"/>
      <c r="Q133" s="676"/>
      <c r="R133" s="676"/>
      <c r="S133" s="676"/>
      <c r="T133" s="676"/>
      <c r="U133" s="676"/>
      <c r="V133"/>
      <c r="W133"/>
      <c r="X133"/>
      <c r="Y133"/>
    </row>
    <row r="134" spans="1:25" s="386" customFormat="1" ht="15.75">
      <c r="A134" s="684"/>
      <c r="B134" s="688"/>
      <c r="C134" s="380"/>
      <c r="D134" s="381"/>
      <c r="E134" s="381"/>
      <c r="F134" s="381"/>
      <c r="G134" s="381"/>
      <c r="H134" s="382"/>
      <c r="I134" s="382"/>
      <c r="J134" s="381"/>
      <c r="K134" s="381"/>
      <c r="L134" s="381"/>
      <c r="M134" s="382"/>
      <c r="N134" s="382"/>
      <c r="O134" s="381"/>
      <c r="P134" s="381"/>
      <c r="Q134" s="382"/>
      <c r="R134" s="382"/>
      <c r="S134" s="382"/>
      <c r="T134" s="382"/>
      <c r="U134" s="382"/>
      <c r="V134"/>
      <c r="W134"/>
      <c r="X134"/>
      <c r="Y134"/>
    </row>
    <row r="135" spans="1:25" ht="15.75">
      <c r="A135" s="684"/>
      <c r="B135" s="689"/>
      <c r="C135" s="383"/>
      <c r="D135" s="384"/>
      <c r="E135" s="384"/>
      <c r="F135" s="384"/>
      <c r="G135" s="384"/>
      <c r="H135" s="385"/>
      <c r="I135" s="385"/>
      <c r="J135" s="384"/>
      <c r="K135" s="384"/>
      <c r="L135" s="384"/>
      <c r="M135" s="385"/>
      <c r="N135" s="385"/>
      <c r="O135" s="384"/>
      <c r="P135" s="384"/>
      <c r="Q135" s="385"/>
      <c r="R135" s="385"/>
      <c r="S135" s="385"/>
      <c r="T135" s="385"/>
      <c r="U135" s="385"/>
      <c r="V135"/>
      <c r="W135"/>
      <c r="X135"/>
      <c r="Y135"/>
    </row>
    <row r="136" spans="1:25" ht="15.75">
      <c r="A136" s="684"/>
      <c r="B136" s="687"/>
      <c r="C136" s="674"/>
      <c r="D136" s="675"/>
      <c r="E136" s="675"/>
      <c r="F136" s="675"/>
      <c r="G136" s="675"/>
      <c r="H136" s="676"/>
      <c r="I136" s="676"/>
      <c r="J136" s="675"/>
      <c r="K136" s="675"/>
      <c r="L136" s="675"/>
      <c r="M136" s="676"/>
      <c r="N136" s="676"/>
      <c r="O136" s="675"/>
      <c r="P136" s="675"/>
      <c r="Q136" s="676"/>
      <c r="R136" s="676"/>
      <c r="S136" s="676"/>
      <c r="T136" s="676"/>
      <c r="U136" s="676"/>
      <c r="V136"/>
      <c r="W136"/>
      <c r="X136"/>
      <c r="Y136"/>
    </row>
    <row r="137" spans="1:25" s="386" customFormat="1" ht="15.75">
      <c r="A137" s="684"/>
      <c r="B137" s="688"/>
      <c r="C137" s="380"/>
      <c r="D137" s="381"/>
      <c r="E137" s="381"/>
      <c r="F137" s="381"/>
      <c r="G137" s="381"/>
      <c r="H137" s="382"/>
      <c r="I137" s="382"/>
      <c r="J137" s="381"/>
      <c r="K137" s="381"/>
      <c r="L137" s="381"/>
      <c r="M137" s="382"/>
      <c r="N137" s="382"/>
      <c r="O137" s="381"/>
      <c r="P137" s="381"/>
      <c r="Q137" s="382"/>
      <c r="R137" s="382"/>
      <c r="S137" s="382"/>
      <c r="T137" s="382"/>
      <c r="U137" s="382"/>
      <c r="V137"/>
      <c r="W137"/>
      <c r="X137"/>
      <c r="Y137"/>
    </row>
    <row r="138" spans="1:25" ht="15.75">
      <c r="A138" s="684"/>
      <c r="B138" s="689"/>
      <c r="C138" s="383"/>
      <c r="D138" s="384"/>
      <c r="E138" s="384"/>
      <c r="F138" s="384"/>
      <c r="G138" s="384"/>
      <c r="H138" s="385"/>
      <c r="I138" s="385"/>
      <c r="J138" s="384"/>
      <c r="K138" s="384"/>
      <c r="L138" s="384"/>
      <c r="M138" s="385"/>
      <c r="N138" s="385"/>
      <c r="O138" s="384"/>
      <c r="P138" s="384"/>
      <c r="Q138" s="385"/>
      <c r="R138" s="385"/>
      <c r="S138" s="385"/>
      <c r="T138" s="385"/>
      <c r="U138" s="385"/>
      <c r="V138"/>
      <c r="W138"/>
      <c r="X138"/>
      <c r="Y138"/>
    </row>
    <row r="139" spans="1:25" ht="15.75">
      <c r="A139" s="684"/>
      <c r="B139" s="687"/>
      <c r="C139" s="674"/>
      <c r="D139" s="675"/>
      <c r="E139" s="675"/>
      <c r="F139" s="675"/>
      <c r="G139" s="675"/>
      <c r="H139" s="676"/>
      <c r="I139" s="676"/>
      <c r="J139" s="675"/>
      <c r="K139" s="675"/>
      <c r="L139" s="675"/>
      <c r="M139" s="676"/>
      <c r="N139" s="676"/>
      <c r="O139" s="675"/>
      <c r="P139" s="675"/>
      <c r="Q139" s="676"/>
      <c r="R139" s="676"/>
      <c r="S139" s="676"/>
      <c r="T139" s="676"/>
      <c r="U139" s="676"/>
      <c r="V139"/>
      <c r="W139"/>
      <c r="X139"/>
      <c r="Y139"/>
    </row>
    <row r="140" spans="1:25" s="386" customFormat="1" ht="15.75">
      <c r="A140" s="684"/>
      <c r="B140" s="688"/>
      <c r="C140" s="380"/>
      <c r="D140" s="381"/>
      <c r="E140" s="381"/>
      <c r="F140" s="381"/>
      <c r="G140" s="381"/>
      <c r="H140" s="382"/>
      <c r="I140" s="382"/>
      <c r="J140" s="381"/>
      <c r="K140" s="381"/>
      <c r="L140" s="381"/>
      <c r="M140" s="382"/>
      <c r="N140" s="382"/>
      <c r="O140" s="381"/>
      <c r="P140" s="381"/>
      <c r="Q140" s="382"/>
      <c r="R140" s="382"/>
      <c r="S140" s="382"/>
      <c r="T140" s="382"/>
      <c r="U140" s="382"/>
      <c r="V140"/>
      <c r="W140"/>
      <c r="X140"/>
      <c r="Y140"/>
    </row>
    <row r="141" spans="1:25" ht="15.75">
      <c r="A141" s="684"/>
      <c r="B141" s="689"/>
      <c r="C141" s="383"/>
      <c r="D141" s="384"/>
      <c r="E141" s="384"/>
      <c r="F141" s="384"/>
      <c r="G141" s="384"/>
      <c r="H141" s="385"/>
      <c r="I141" s="385"/>
      <c r="J141" s="384"/>
      <c r="K141" s="384"/>
      <c r="L141" s="384"/>
      <c r="M141" s="385"/>
      <c r="N141" s="385"/>
      <c r="O141" s="384"/>
      <c r="P141" s="384"/>
      <c r="Q141" s="385"/>
      <c r="R141" s="385"/>
      <c r="S141" s="385"/>
      <c r="T141" s="385"/>
      <c r="U141" s="385"/>
      <c r="V141"/>
      <c r="W141"/>
      <c r="X141"/>
      <c r="Y141"/>
    </row>
    <row r="142" spans="1:25" ht="15.75">
      <c r="A142" s="684"/>
      <c r="B142" s="687"/>
      <c r="C142" s="674"/>
      <c r="D142" s="675"/>
      <c r="E142" s="675"/>
      <c r="F142" s="675"/>
      <c r="G142" s="675"/>
      <c r="H142" s="676"/>
      <c r="I142" s="676"/>
      <c r="J142" s="675"/>
      <c r="K142" s="675"/>
      <c r="L142" s="675"/>
      <c r="M142" s="676"/>
      <c r="N142" s="676"/>
      <c r="O142" s="675"/>
      <c r="P142" s="675"/>
      <c r="Q142" s="676"/>
      <c r="R142" s="676"/>
      <c r="S142" s="676"/>
      <c r="T142" s="676"/>
      <c r="U142" s="676"/>
      <c r="V142"/>
      <c r="W142"/>
      <c r="X142"/>
      <c r="Y142"/>
    </row>
    <row r="143" spans="1:25" s="386" customFormat="1" ht="15.75">
      <c r="A143" s="684"/>
      <c r="B143" s="688"/>
      <c r="C143" s="380"/>
      <c r="D143" s="381"/>
      <c r="E143" s="381"/>
      <c r="F143" s="381"/>
      <c r="G143" s="381"/>
      <c r="H143" s="382"/>
      <c r="I143" s="382"/>
      <c r="J143" s="381"/>
      <c r="K143" s="381"/>
      <c r="L143" s="381"/>
      <c r="M143" s="382"/>
      <c r="N143" s="382"/>
      <c r="O143" s="381"/>
      <c r="P143" s="381"/>
      <c r="Q143" s="382"/>
      <c r="R143" s="382"/>
      <c r="S143" s="382"/>
      <c r="T143" s="382"/>
      <c r="U143" s="382"/>
      <c r="V143"/>
      <c r="W143"/>
      <c r="X143"/>
      <c r="Y143"/>
    </row>
    <row r="144" spans="1:25" ht="15.75">
      <c r="A144" s="684"/>
      <c r="B144" s="689"/>
      <c r="C144" s="383"/>
      <c r="D144" s="384"/>
      <c r="E144" s="384"/>
      <c r="F144" s="384"/>
      <c r="G144" s="384"/>
      <c r="H144" s="385"/>
      <c r="I144" s="385"/>
      <c r="J144" s="384"/>
      <c r="K144" s="384"/>
      <c r="L144" s="384"/>
      <c r="M144" s="385"/>
      <c r="N144" s="385"/>
      <c r="O144" s="384"/>
      <c r="P144" s="384"/>
      <c r="Q144" s="385"/>
      <c r="R144" s="385"/>
      <c r="S144" s="385"/>
      <c r="T144" s="385"/>
      <c r="U144" s="385"/>
      <c r="V144"/>
      <c r="W144"/>
      <c r="X144"/>
      <c r="Y144"/>
    </row>
    <row r="145" spans="1:25" ht="15.75">
      <c r="A145" s="684"/>
      <c r="B145" s="687"/>
      <c r="C145" s="674"/>
      <c r="D145" s="675"/>
      <c r="E145" s="675"/>
      <c r="F145" s="675"/>
      <c r="G145" s="675"/>
      <c r="H145" s="676"/>
      <c r="I145" s="676"/>
      <c r="J145" s="675"/>
      <c r="K145" s="675"/>
      <c r="L145" s="675"/>
      <c r="M145" s="676"/>
      <c r="N145" s="676"/>
      <c r="O145" s="675"/>
      <c r="P145" s="675"/>
      <c r="Q145" s="676"/>
      <c r="R145" s="676"/>
      <c r="S145" s="676"/>
      <c r="T145" s="676"/>
      <c r="U145" s="676"/>
      <c r="V145"/>
      <c r="W145"/>
      <c r="X145"/>
      <c r="Y145"/>
    </row>
    <row r="146" spans="1:25" s="386" customFormat="1" ht="15.75">
      <c r="A146" s="684"/>
      <c r="B146" s="688"/>
      <c r="C146" s="380"/>
      <c r="D146" s="381"/>
      <c r="E146" s="381"/>
      <c r="F146" s="381"/>
      <c r="G146" s="381"/>
      <c r="H146" s="382"/>
      <c r="I146" s="382"/>
      <c r="J146" s="381"/>
      <c r="K146" s="381"/>
      <c r="L146" s="381"/>
      <c r="M146" s="382"/>
      <c r="N146" s="382"/>
      <c r="O146" s="381"/>
      <c r="P146" s="381"/>
      <c r="Q146" s="382"/>
      <c r="R146" s="382"/>
      <c r="S146" s="382"/>
      <c r="T146" s="382"/>
      <c r="U146" s="382"/>
      <c r="V146"/>
      <c r="W146"/>
      <c r="X146"/>
      <c r="Y146"/>
    </row>
    <row r="147" spans="1:25" ht="15.75">
      <c r="A147" s="684"/>
      <c r="B147" s="689"/>
      <c r="C147" s="383"/>
      <c r="D147" s="384"/>
      <c r="E147" s="384"/>
      <c r="F147" s="384"/>
      <c r="G147" s="384"/>
      <c r="H147" s="385"/>
      <c r="I147" s="385"/>
      <c r="J147" s="384"/>
      <c r="K147" s="384"/>
      <c r="L147" s="384"/>
      <c r="M147" s="385"/>
      <c r="N147" s="385"/>
      <c r="O147" s="384"/>
      <c r="P147" s="384"/>
      <c r="Q147" s="385"/>
      <c r="R147" s="385"/>
      <c r="S147" s="385"/>
      <c r="T147" s="385"/>
      <c r="U147" s="385"/>
      <c r="V147"/>
      <c r="W147"/>
      <c r="X147"/>
      <c r="Y147"/>
    </row>
    <row r="148" spans="1:25" ht="15.75">
      <c r="A148" s="684"/>
      <c r="B148" s="687"/>
      <c r="C148" s="674"/>
      <c r="D148" s="675"/>
      <c r="E148" s="675"/>
      <c r="F148" s="675"/>
      <c r="G148" s="675"/>
      <c r="H148" s="676"/>
      <c r="I148" s="676"/>
      <c r="J148" s="675"/>
      <c r="K148" s="675"/>
      <c r="L148" s="675"/>
      <c r="M148" s="676"/>
      <c r="N148" s="676"/>
      <c r="O148" s="675"/>
      <c r="P148" s="675"/>
      <c r="Q148" s="676"/>
      <c r="R148" s="676"/>
      <c r="S148" s="676"/>
      <c r="T148" s="676"/>
      <c r="U148" s="676"/>
      <c r="V148"/>
      <c r="W148"/>
      <c r="X148"/>
      <c r="Y148"/>
    </row>
    <row r="149" spans="1:25" s="386" customFormat="1" ht="15.75">
      <c r="A149" s="684"/>
      <c r="B149" s="688"/>
      <c r="C149" s="380"/>
      <c r="D149" s="381"/>
      <c r="E149" s="381"/>
      <c r="F149" s="381"/>
      <c r="G149" s="381"/>
      <c r="H149" s="382"/>
      <c r="I149" s="382"/>
      <c r="J149" s="381"/>
      <c r="K149" s="381"/>
      <c r="L149" s="381"/>
      <c r="M149" s="382"/>
      <c r="N149" s="382"/>
      <c r="O149" s="381"/>
      <c r="P149" s="381"/>
      <c r="Q149" s="382"/>
      <c r="R149" s="382"/>
      <c r="S149" s="382"/>
      <c r="T149" s="382"/>
      <c r="U149" s="382"/>
      <c r="V149"/>
      <c r="W149"/>
      <c r="X149"/>
      <c r="Y149"/>
    </row>
    <row r="150" spans="1:25" ht="15.75">
      <c r="A150" s="684"/>
      <c r="B150" s="689"/>
      <c r="C150" s="383"/>
      <c r="D150" s="384"/>
      <c r="E150" s="384"/>
      <c r="F150" s="384"/>
      <c r="G150" s="384"/>
      <c r="H150" s="385"/>
      <c r="I150" s="385"/>
      <c r="J150" s="384"/>
      <c r="K150" s="384"/>
      <c r="L150" s="384"/>
      <c r="M150" s="385"/>
      <c r="N150" s="385"/>
      <c r="O150" s="384"/>
      <c r="P150" s="384"/>
      <c r="Q150" s="385"/>
      <c r="R150" s="385"/>
      <c r="S150" s="385"/>
      <c r="T150" s="385"/>
      <c r="U150" s="385"/>
      <c r="V150"/>
      <c r="W150"/>
      <c r="X150"/>
      <c r="Y150"/>
    </row>
    <row r="151" spans="1:25" ht="15.75">
      <c r="A151" s="684"/>
      <c r="B151" s="687"/>
      <c r="C151" s="674"/>
      <c r="D151" s="675"/>
      <c r="E151" s="675"/>
      <c r="F151" s="675"/>
      <c r="G151" s="675"/>
      <c r="H151" s="676"/>
      <c r="I151" s="676"/>
      <c r="J151" s="675"/>
      <c r="K151" s="675"/>
      <c r="L151" s="675"/>
      <c r="M151" s="676"/>
      <c r="N151" s="676"/>
      <c r="O151" s="675"/>
      <c r="P151" s="675"/>
      <c r="Q151" s="676"/>
      <c r="R151" s="676"/>
      <c r="S151" s="676"/>
      <c r="T151" s="676"/>
      <c r="U151" s="676"/>
      <c r="V151"/>
      <c r="W151"/>
      <c r="X151"/>
      <c r="Y151"/>
    </row>
    <row r="152" spans="1:25" s="386" customFormat="1" ht="15.75">
      <c r="A152" s="684"/>
      <c r="B152" s="688"/>
      <c r="C152" s="380"/>
      <c r="D152" s="381"/>
      <c r="E152" s="381"/>
      <c r="F152" s="381"/>
      <c r="G152" s="381"/>
      <c r="H152" s="382"/>
      <c r="I152" s="382"/>
      <c r="J152" s="381"/>
      <c r="K152" s="381"/>
      <c r="L152" s="381"/>
      <c r="M152" s="382"/>
      <c r="N152" s="382"/>
      <c r="O152" s="381"/>
      <c r="P152" s="381"/>
      <c r="Q152" s="382"/>
      <c r="R152" s="382"/>
      <c r="S152" s="382"/>
      <c r="T152" s="382"/>
      <c r="U152" s="382"/>
      <c r="V152"/>
      <c r="W152"/>
      <c r="X152"/>
      <c r="Y152"/>
    </row>
    <row r="153" spans="1:25" ht="15.75">
      <c r="A153" s="684"/>
      <c r="B153" s="689"/>
      <c r="C153" s="383"/>
      <c r="D153" s="384"/>
      <c r="E153" s="384"/>
      <c r="F153" s="384"/>
      <c r="G153" s="384"/>
      <c r="H153" s="385"/>
      <c r="I153" s="385"/>
      <c r="J153" s="384"/>
      <c r="K153" s="384"/>
      <c r="L153" s="384"/>
      <c r="M153" s="385"/>
      <c r="N153" s="385"/>
      <c r="O153" s="384"/>
      <c r="P153" s="384"/>
      <c r="Q153" s="385"/>
      <c r="R153" s="385"/>
      <c r="S153" s="385"/>
      <c r="T153" s="385"/>
      <c r="U153" s="385"/>
      <c r="V153"/>
      <c r="W153"/>
      <c r="X153"/>
      <c r="Y153"/>
    </row>
    <row r="154" spans="1:25" ht="15.75">
      <c r="A154" s="684"/>
      <c r="B154" s="687"/>
      <c r="C154" s="674"/>
      <c r="D154" s="675"/>
      <c r="E154" s="675"/>
      <c r="F154" s="675"/>
      <c r="G154" s="675"/>
      <c r="H154" s="676"/>
      <c r="I154" s="676"/>
      <c r="J154" s="675"/>
      <c r="K154" s="675"/>
      <c r="L154" s="675"/>
      <c r="M154" s="676"/>
      <c r="N154" s="676"/>
      <c r="O154" s="675"/>
      <c r="P154" s="675"/>
      <c r="Q154" s="676"/>
      <c r="R154" s="676"/>
      <c r="S154" s="676"/>
      <c r="T154" s="676"/>
      <c r="U154" s="676"/>
      <c r="V154"/>
      <c r="W154"/>
      <c r="X154"/>
      <c r="Y154"/>
    </row>
    <row r="155" spans="1:25" s="386" customFormat="1" ht="15.75">
      <c r="A155" s="685"/>
      <c r="B155" s="690"/>
      <c r="C155" s="576"/>
      <c r="D155" s="577"/>
      <c r="E155" s="577"/>
      <c r="F155" s="577"/>
      <c r="G155" s="577"/>
      <c r="H155" s="578"/>
      <c r="I155" s="578"/>
      <c r="J155" s="577"/>
      <c r="K155" s="577"/>
      <c r="L155" s="577"/>
      <c r="M155" s="578"/>
      <c r="N155" s="578"/>
      <c r="O155" s="577"/>
      <c r="P155" s="577"/>
      <c r="Q155" s="578"/>
      <c r="R155" s="578"/>
      <c r="S155" s="578"/>
      <c r="T155" s="578"/>
      <c r="U155" s="578"/>
      <c r="V155"/>
      <c r="W155"/>
      <c r="X155"/>
      <c r="Y155"/>
    </row>
    <row r="156" spans="1:25" ht="15.75">
      <c r="A156" s="683"/>
      <c r="B156" s="687"/>
      <c r="C156" s="674"/>
      <c r="D156" s="675"/>
      <c r="E156" s="675"/>
      <c r="F156" s="675"/>
      <c r="G156" s="675"/>
      <c r="H156" s="676"/>
      <c r="I156" s="676"/>
      <c r="J156" s="675"/>
      <c r="K156" s="675"/>
      <c r="L156" s="675"/>
      <c r="M156" s="676"/>
      <c r="N156" s="676"/>
      <c r="O156" s="675"/>
      <c r="P156" s="675"/>
      <c r="Q156" s="676"/>
      <c r="R156" s="676"/>
      <c r="S156" s="676"/>
      <c r="T156" s="676"/>
      <c r="U156" s="676"/>
      <c r="V156"/>
      <c r="W156"/>
      <c r="X156"/>
      <c r="Y156"/>
    </row>
    <row r="157" spans="1:25" ht="15.75">
      <c r="A157" s="684"/>
      <c r="B157" s="688"/>
      <c r="C157" s="380"/>
      <c r="D157" s="381"/>
      <c r="E157" s="381"/>
      <c r="F157" s="381"/>
      <c r="G157" s="381"/>
      <c r="H157" s="382"/>
      <c r="I157" s="382"/>
      <c r="J157" s="381"/>
      <c r="K157" s="381"/>
      <c r="L157" s="381"/>
      <c r="M157" s="382"/>
      <c r="N157" s="382"/>
      <c r="O157" s="381"/>
      <c r="P157" s="381"/>
      <c r="Q157" s="382"/>
      <c r="R157" s="382"/>
      <c r="S157" s="382"/>
      <c r="T157" s="382"/>
      <c r="U157" s="382"/>
      <c r="V157"/>
      <c r="W157"/>
      <c r="X157"/>
      <c r="Y157"/>
    </row>
    <row r="158" spans="1:25" s="386" customFormat="1" ht="15.75">
      <c r="A158" s="684"/>
      <c r="B158" s="689"/>
      <c r="C158" s="383"/>
      <c r="D158" s="384"/>
      <c r="E158" s="384"/>
      <c r="F158" s="384"/>
      <c r="G158" s="384"/>
      <c r="H158" s="385"/>
      <c r="I158" s="385"/>
      <c r="J158" s="384"/>
      <c r="K158" s="384"/>
      <c r="L158" s="384"/>
      <c r="M158" s="385"/>
      <c r="N158" s="385"/>
      <c r="O158" s="384"/>
      <c r="P158" s="384"/>
      <c r="Q158" s="385"/>
      <c r="R158" s="385"/>
      <c r="S158" s="385"/>
      <c r="T158" s="385"/>
      <c r="U158" s="385"/>
      <c r="V158"/>
      <c r="W158"/>
      <c r="X158"/>
      <c r="Y158"/>
    </row>
    <row r="159" spans="1:25" ht="15.75">
      <c r="A159" s="684"/>
      <c r="B159" s="687"/>
      <c r="C159" s="674"/>
      <c r="D159" s="675"/>
      <c r="E159" s="675"/>
      <c r="F159" s="675"/>
      <c r="G159" s="675"/>
      <c r="H159" s="676"/>
      <c r="I159" s="676"/>
      <c r="J159" s="675"/>
      <c r="K159" s="675"/>
      <c r="L159" s="675"/>
      <c r="M159" s="676"/>
      <c r="N159" s="676"/>
      <c r="O159" s="675"/>
      <c r="P159" s="675"/>
      <c r="Q159" s="676"/>
      <c r="R159" s="676"/>
      <c r="S159" s="676"/>
      <c r="T159" s="676"/>
      <c r="U159" s="676"/>
      <c r="V159"/>
      <c r="W159"/>
      <c r="X159"/>
      <c r="Y159"/>
    </row>
    <row r="160" spans="1:25" ht="15.75">
      <c r="A160" s="684"/>
      <c r="B160" s="688"/>
      <c r="C160" s="380"/>
      <c r="D160" s="381"/>
      <c r="E160" s="381"/>
      <c r="F160" s="381"/>
      <c r="G160" s="381"/>
      <c r="H160" s="382"/>
      <c r="I160" s="382"/>
      <c r="J160" s="381"/>
      <c r="K160" s="381"/>
      <c r="L160" s="381"/>
      <c r="M160" s="382"/>
      <c r="N160" s="382"/>
      <c r="O160" s="381"/>
      <c r="P160" s="381"/>
      <c r="Q160" s="382"/>
      <c r="R160" s="382"/>
      <c r="S160" s="382"/>
      <c r="T160" s="382"/>
      <c r="U160" s="382"/>
      <c r="V160"/>
      <c r="W160"/>
      <c r="X160"/>
      <c r="Y160"/>
    </row>
    <row r="161" spans="1:25" s="386" customFormat="1" ht="15.75">
      <c r="A161" s="684"/>
      <c r="B161" s="689"/>
      <c r="C161" s="383"/>
      <c r="D161" s="384"/>
      <c r="E161" s="384"/>
      <c r="F161" s="384"/>
      <c r="G161" s="384"/>
      <c r="H161" s="385"/>
      <c r="I161" s="385"/>
      <c r="J161" s="384"/>
      <c r="K161" s="692"/>
      <c r="L161" s="384"/>
      <c r="M161" s="385"/>
      <c r="N161" s="385"/>
      <c r="O161" s="384"/>
      <c r="P161" s="384"/>
      <c r="Q161" s="385"/>
      <c r="R161" s="385"/>
      <c r="S161" s="385"/>
      <c r="T161" s="385"/>
      <c r="U161" s="385"/>
      <c r="V161"/>
      <c r="W161"/>
      <c r="X161"/>
      <c r="Y161"/>
    </row>
    <row r="162" spans="1:25" ht="15.75">
      <c r="A162" s="684"/>
      <c r="B162" s="687"/>
      <c r="C162" s="674"/>
      <c r="D162" s="675"/>
      <c r="E162" s="675"/>
      <c r="F162" s="675"/>
      <c r="G162" s="675"/>
      <c r="H162" s="676"/>
      <c r="I162" s="676"/>
      <c r="J162" s="675"/>
      <c r="K162" s="675"/>
      <c r="L162" s="675"/>
      <c r="M162" s="676"/>
      <c r="N162" s="676"/>
      <c r="O162" s="675"/>
      <c r="P162" s="675"/>
      <c r="Q162" s="676"/>
      <c r="R162" s="676"/>
      <c r="S162" s="676"/>
      <c r="T162" s="676"/>
      <c r="U162" s="676"/>
      <c r="V162"/>
      <c r="W162"/>
      <c r="X162"/>
      <c r="Y162"/>
    </row>
    <row r="163" spans="1:25" ht="15.75">
      <c r="A163" s="684"/>
      <c r="B163" s="688"/>
      <c r="C163" s="380"/>
      <c r="D163" s="381"/>
      <c r="E163" s="381"/>
      <c r="F163" s="381"/>
      <c r="G163" s="381"/>
      <c r="H163" s="382"/>
      <c r="I163" s="382"/>
      <c r="J163" s="381"/>
      <c r="K163" s="381"/>
      <c r="L163" s="381"/>
      <c r="M163" s="382"/>
      <c r="N163" s="382"/>
      <c r="O163" s="381"/>
      <c r="P163" s="381"/>
      <c r="Q163" s="382"/>
      <c r="R163" s="382"/>
      <c r="S163" s="382"/>
      <c r="T163" s="382"/>
      <c r="U163" s="382"/>
      <c r="V163"/>
      <c r="W163"/>
      <c r="X163"/>
      <c r="Y163"/>
    </row>
    <row r="164" spans="1:25" s="386" customFormat="1" ht="15.75">
      <c r="A164" s="684"/>
      <c r="B164" s="689"/>
      <c r="C164" s="692"/>
      <c r="D164" s="384"/>
      <c r="E164" s="384"/>
      <c r="F164" s="384"/>
      <c r="G164" s="384"/>
      <c r="H164" s="385"/>
      <c r="I164" s="385"/>
      <c r="J164" s="384"/>
      <c r="K164" s="384"/>
      <c r="L164" s="384"/>
      <c r="M164" s="385"/>
      <c r="N164" s="385"/>
      <c r="O164" s="384"/>
      <c r="P164" s="384"/>
      <c r="Q164" s="385"/>
      <c r="R164" s="385"/>
      <c r="S164" s="385"/>
      <c r="T164" s="385"/>
      <c r="U164" s="385"/>
      <c r="V164"/>
      <c r="W164"/>
      <c r="X164"/>
      <c r="Y164"/>
    </row>
    <row r="165" spans="1:25" ht="15.75">
      <c r="A165" s="684"/>
      <c r="B165" s="687"/>
      <c r="C165" s="674"/>
      <c r="D165" s="675"/>
      <c r="E165" s="675"/>
      <c r="F165" s="675"/>
      <c r="G165" s="675"/>
      <c r="H165" s="676"/>
      <c r="I165" s="676"/>
      <c r="J165" s="675"/>
      <c r="K165" s="675"/>
      <c r="L165" s="675"/>
      <c r="M165" s="676"/>
      <c r="N165" s="676"/>
      <c r="O165" s="675"/>
      <c r="P165" s="675"/>
      <c r="Q165" s="676"/>
      <c r="R165" s="676"/>
      <c r="S165" s="676"/>
      <c r="T165" s="676"/>
      <c r="U165" s="676"/>
      <c r="V165"/>
      <c r="W165"/>
      <c r="X165"/>
      <c r="Y165"/>
    </row>
    <row r="166" spans="1:25" ht="15.75">
      <c r="A166" s="684"/>
      <c r="B166" s="688"/>
      <c r="C166" s="380"/>
      <c r="D166" s="381"/>
      <c r="E166" s="381"/>
      <c r="F166" s="381"/>
      <c r="G166" s="381"/>
      <c r="H166" s="382"/>
      <c r="I166" s="382"/>
      <c r="J166" s="381"/>
      <c r="K166" s="381"/>
      <c r="L166" s="381"/>
      <c r="M166" s="382"/>
      <c r="N166" s="382"/>
      <c r="O166" s="381"/>
      <c r="P166" s="381"/>
      <c r="Q166" s="382"/>
      <c r="R166" s="382"/>
      <c r="S166" s="382"/>
      <c r="T166" s="382"/>
      <c r="U166" s="382"/>
      <c r="V166"/>
      <c r="W166"/>
      <c r="X166"/>
      <c r="Y166"/>
    </row>
    <row r="167" spans="1:25" s="386" customFormat="1" ht="15.75">
      <c r="A167" s="684"/>
      <c r="B167" s="689"/>
      <c r="C167" s="383"/>
      <c r="D167" s="384"/>
      <c r="E167" s="384"/>
      <c r="F167" s="384"/>
      <c r="G167" s="384"/>
      <c r="H167" s="385"/>
      <c r="I167" s="385"/>
      <c r="J167" s="384"/>
      <c r="K167" s="384"/>
      <c r="L167" s="384"/>
      <c r="M167" s="385"/>
      <c r="N167" s="385"/>
      <c r="O167" s="384"/>
      <c r="P167" s="384"/>
      <c r="Q167" s="385"/>
      <c r="R167" s="385"/>
      <c r="S167" s="385"/>
      <c r="T167" s="385"/>
      <c r="U167" s="385"/>
      <c r="V167"/>
      <c r="W167"/>
      <c r="X167"/>
      <c r="Y167"/>
    </row>
    <row r="168" spans="1:25" ht="15.75">
      <c r="A168" s="684"/>
      <c r="B168" s="687"/>
      <c r="C168" s="674"/>
      <c r="D168" s="675"/>
      <c r="E168" s="675"/>
      <c r="F168" s="675"/>
      <c r="G168" s="675"/>
      <c r="H168" s="676"/>
      <c r="I168" s="676"/>
      <c r="J168" s="675"/>
      <c r="K168" s="675"/>
      <c r="L168" s="675"/>
      <c r="M168" s="676"/>
      <c r="N168" s="676"/>
      <c r="O168" s="675"/>
      <c r="P168" s="675"/>
      <c r="Q168" s="676"/>
      <c r="R168" s="676"/>
      <c r="S168" s="676"/>
      <c r="T168" s="676"/>
      <c r="U168" s="676"/>
      <c r="V168"/>
      <c r="W168"/>
      <c r="X168"/>
      <c r="Y168"/>
    </row>
    <row r="169" spans="1:25" ht="15.75">
      <c r="A169" s="684"/>
      <c r="B169" s="688"/>
      <c r="C169" s="380"/>
      <c r="D169" s="381"/>
      <c r="E169" s="381"/>
      <c r="F169" s="381"/>
      <c r="G169" s="381"/>
      <c r="H169" s="382"/>
      <c r="I169" s="382"/>
      <c r="J169" s="381"/>
      <c r="K169" s="381"/>
      <c r="L169" s="381"/>
      <c r="M169" s="382"/>
      <c r="N169" s="382"/>
      <c r="O169" s="381"/>
      <c r="P169" s="381"/>
      <c r="Q169" s="382"/>
      <c r="R169" s="382"/>
      <c r="S169" s="382"/>
      <c r="T169" s="382"/>
      <c r="U169" s="382"/>
      <c r="V169"/>
      <c r="W169"/>
      <c r="X169"/>
      <c r="Y169"/>
    </row>
    <row r="170" spans="1:25" s="386" customFormat="1" ht="15.75">
      <c r="A170" s="684"/>
      <c r="B170" s="689"/>
      <c r="C170" s="383"/>
      <c r="D170" s="384"/>
      <c r="E170" s="384"/>
      <c r="F170" s="384"/>
      <c r="G170" s="384"/>
      <c r="H170" s="385"/>
      <c r="I170" s="385"/>
      <c r="J170" s="384"/>
      <c r="K170" s="384"/>
      <c r="L170" s="384"/>
      <c r="M170" s="385"/>
      <c r="N170" s="385"/>
      <c r="O170" s="384"/>
      <c r="P170" s="384"/>
      <c r="Q170" s="385"/>
      <c r="R170" s="385"/>
      <c r="S170" s="385"/>
      <c r="T170" s="385"/>
      <c r="U170" s="385"/>
      <c r="V170"/>
      <c r="W170"/>
      <c r="X170"/>
      <c r="Y170"/>
    </row>
    <row r="171" spans="1:25" ht="15.75">
      <c r="A171" s="684"/>
      <c r="B171" s="687"/>
      <c r="C171" s="674"/>
      <c r="D171" s="675"/>
      <c r="E171" s="675"/>
      <c r="F171" s="675"/>
      <c r="G171" s="675"/>
      <c r="H171" s="676"/>
      <c r="I171" s="676"/>
      <c r="J171" s="675"/>
      <c r="K171" s="675"/>
      <c r="L171" s="675"/>
      <c r="M171" s="676"/>
      <c r="N171" s="676"/>
      <c r="O171" s="675"/>
      <c r="P171" s="675"/>
      <c r="Q171" s="676"/>
      <c r="R171" s="676"/>
      <c r="S171" s="676"/>
      <c r="T171" s="676"/>
      <c r="U171" s="676"/>
      <c r="V171"/>
      <c r="W171"/>
      <c r="X171"/>
      <c r="Y171"/>
    </row>
    <row r="172" spans="1:25" ht="15.75">
      <c r="A172" s="684"/>
      <c r="B172" s="688"/>
      <c r="C172" s="380"/>
      <c r="D172" s="381"/>
      <c r="E172" s="381"/>
      <c r="F172" s="381"/>
      <c r="G172" s="381"/>
      <c r="H172" s="382"/>
      <c r="I172" s="382"/>
      <c r="J172" s="381"/>
      <c r="K172" s="381"/>
      <c r="L172" s="381"/>
      <c r="M172" s="382"/>
      <c r="N172" s="382"/>
      <c r="O172" s="381"/>
      <c r="P172" s="381"/>
      <c r="Q172" s="382"/>
      <c r="R172" s="382"/>
      <c r="S172" s="382"/>
      <c r="T172" s="382"/>
      <c r="U172" s="382"/>
      <c r="V172"/>
      <c r="W172"/>
      <c r="X172"/>
      <c r="Y172"/>
    </row>
    <row r="173" spans="1:25" s="386" customFormat="1" ht="15.75">
      <c r="A173" s="684"/>
      <c r="B173" s="689"/>
      <c r="C173" s="383"/>
      <c r="D173" s="384"/>
      <c r="E173" s="384"/>
      <c r="F173" s="384"/>
      <c r="G173" s="384"/>
      <c r="H173" s="385"/>
      <c r="I173" s="385"/>
      <c r="J173" s="384"/>
      <c r="K173" s="384"/>
      <c r="L173" s="384"/>
      <c r="M173" s="385"/>
      <c r="N173" s="385"/>
      <c r="O173" s="384"/>
      <c r="P173" s="384"/>
      <c r="Q173" s="385"/>
      <c r="R173" s="385"/>
      <c r="S173" s="385"/>
      <c r="T173" s="385"/>
      <c r="U173" s="385"/>
      <c r="V173"/>
      <c r="W173"/>
      <c r="X173"/>
      <c r="Y173"/>
    </row>
    <row r="174" spans="1:25" ht="15.75">
      <c r="A174" s="684"/>
      <c r="B174" s="687"/>
      <c r="C174" s="674"/>
      <c r="D174" s="675"/>
      <c r="E174" s="675"/>
      <c r="F174" s="675"/>
      <c r="G174" s="675"/>
      <c r="H174" s="676"/>
      <c r="I174" s="676"/>
      <c r="J174" s="675"/>
      <c r="K174" s="675"/>
      <c r="L174" s="675"/>
      <c r="M174" s="676"/>
      <c r="N174" s="676"/>
      <c r="O174" s="675"/>
      <c r="P174" s="675"/>
      <c r="Q174" s="676"/>
      <c r="R174" s="676"/>
      <c r="S174" s="676"/>
      <c r="T174" s="676"/>
      <c r="U174" s="676"/>
      <c r="V174"/>
      <c r="W174"/>
      <c r="X174"/>
      <c r="Y174"/>
    </row>
    <row r="175" spans="1:25" ht="15.75">
      <c r="A175" s="684"/>
      <c r="B175" s="688"/>
      <c r="C175" s="380"/>
      <c r="D175" s="381"/>
      <c r="E175" s="381"/>
      <c r="F175" s="381"/>
      <c r="G175" s="381"/>
      <c r="H175" s="382"/>
      <c r="I175" s="382"/>
      <c r="J175" s="381"/>
      <c r="K175" s="381"/>
      <c r="L175" s="381"/>
      <c r="M175" s="382"/>
      <c r="N175" s="382"/>
      <c r="O175" s="381"/>
      <c r="P175" s="381"/>
      <c r="Q175" s="382"/>
      <c r="R175" s="382"/>
      <c r="S175" s="382"/>
      <c r="T175" s="382"/>
      <c r="U175" s="382"/>
      <c r="V175"/>
      <c r="W175"/>
      <c r="X175"/>
      <c r="Y175"/>
    </row>
    <row r="176" spans="1:25" s="386" customFormat="1" ht="15.75">
      <c r="A176" s="684"/>
      <c r="B176" s="689"/>
      <c r="C176" s="383"/>
      <c r="D176" s="384"/>
      <c r="E176" s="692"/>
      <c r="F176" s="384"/>
      <c r="G176" s="384"/>
      <c r="H176" s="385"/>
      <c r="I176" s="385"/>
      <c r="J176" s="384"/>
      <c r="K176" s="384"/>
      <c r="L176" s="384"/>
      <c r="M176" s="385"/>
      <c r="N176" s="385"/>
      <c r="O176" s="384"/>
      <c r="P176" s="384"/>
      <c r="Q176" s="385"/>
      <c r="R176" s="385"/>
      <c r="S176" s="385"/>
      <c r="T176" s="385"/>
      <c r="U176" s="385"/>
      <c r="V176"/>
      <c r="W176"/>
      <c r="X176"/>
      <c r="Y176"/>
    </row>
    <row r="177" spans="1:25" ht="15.75">
      <c r="A177" s="684"/>
      <c r="B177" s="687"/>
      <c r="C177" s="674"/>
      <c r="D177" s="675"/>
      <c r="E177" s="675"/>
      <c r="F177" s="675"/>
      <c r="G177" s="675"/>
      <c r="H177" s="676"/>
      <c r="I177" s="676"/>
      <c r="J177" s="675"/>
      <c r="K177" s="675"/>
      <c r="L177" s="675"/>
      <c r="M177" s="676"/>
      <c r="N177" s="676"/>
      <c r="O177" s="675"/>
      <c r="P177" s="675"/>
      <c r="Q177" s="676"/>
      <c r="R177" s="676"/>
      <c r="S177" s="676"/>
      <c r="T177" s="676"/>
      <c r="U177" s="676"/>
      <c r="V177"/>
      <c r="W177"/>
      <c r="X177"/>
      <c r="Y177"/>
    </row>
    <row r="178" spans="1:25" ht="15.75">
      <c r="A178" s="684"/>
      <c r="B178" s="688"/>
      <c r="C178" s="380"/>
      <c r="D178" s="381"/>
      <c r="E178" s="381"/>
      <c r="F178" s="381"/>
      <c r="G178" s="381"/>
      <c r="H178" s="382"/>
      <c r="I178" s="382"/>
      <c r="J178" s="381"/>
      <c r="K178" s="381"/>
      <c r="L178" s="381"/>
      <c r="M178" s="382"/>
      <c r="N178" s="382"/>
      <c r="O178" s="381"/>
      <c r="P178" s="381"/>
      <c r="Q178" s="382"/>
      <c r="R178" s="382"/>
      <c r="S178" s="382"/>
      <c r="T178" s="382"/>
      <c r="U178" s="382"/>
      <c r="V178"/>
      <c r="W178"/>
      <c r="X178"/>
      <c r="Y178"/>
    </row>
    <row r="179" spans="1:25" s="386" customFormat="1" ht="15.75">
      <c r="A179" s="684"/>
      <c r="B179" s="689"/>
      <c r="C179" s="383"/>
      <c r="D179" s="384"/>
      <c r="E179" s="384"/>
      <c r="F179" s="384"/>
      <c r="G179" s="384"/>
      <c r="H179" s="385"/>
      <c r="I179" s="385"/>
      <c r="J179" s="384"/>
      <c r="K179" s="384"/>
      <c r="L179" s="384"/>
      <c r="M179" s="385"/>
      <c r="N179" s="385"/>
      <c r="O179" s="384"/>
      <c r="P179" s="384"/>
      <c r="Q179" s="385"/>
      <c r="R179" s="385"/>
      <c r="S179" s="385"/>
      <c r="T179" s="385"/>
      <c r="U179" s="385"/>
      <c r="V179"/>
      <c r="W179"/>
      <c r="X179"/>
      <c r="Y179"/>
    </row>
    <row r="180" spans="1:25" ht="15.75">
      <c r="A180" s="684"/>
      <c r="B180" s="687"/>
      <c r="C180" s="674"/>
      <c r="D180" s="675"/>
      <c r="E180" s="675"/>
      <c r="F180" s="675"/>
      <c r="G180" s="675"/>
      <c r="H180" s="676"/>
      <c r="I180" s="676"/>
      <c r="J180" s="675"/>
      <c r="K180" s="675"/>
      <c r="L180" s="675"/>
      <c r="M180" s="676"/>
      <c r="N180" s="676"/>
      <c r="O180" s="675"/>
      <c r="P180" s="675"/>
      <c r="Q180" s="676"/>
      <c r="R180" s="676"/>
      <c r="S180" s="676"/>
      <c r="T180" s="676"/>
      <c r="U180" s="676"/>
      <c r="V180"/>
      <c r="W180"/>
      <c r="X180"/>
      <c r="Y180"/>
    </row>
    <row r="181" spans="1:25" ht="15.75">
      <c r="A181" s="684"/>
      <c r="B181" s="688"/>
      <c r="C181" s="380"/>
      <c r="D181" s="381"/>
      <c r="E181" s="381"/>
      <c r="F181" s="381"/>
      <c r="G181" s="381"/>
      <c r="H181" s="382"/>
      <c r="I181" s="382"/>
      <c r="J181" s="381"/>
      <c r="K181" s="381"/>
      <c r="L181" s="381"/>
      <c r="M181" s="382"/>
      <c r="N181" s="382"/>
      <c r="O181" s="381"/>
      <c r="P181" s="381"/>
      <c r="Q181" s="382"/>
      <c r="R181" s="382"/>
      <c r="S181" s="382"/>
      <c r="T181" s="382"/>
      <c r="U181" s="382"/>
      <c r="V181"/>
      <c r="W181"/>
      <c r="X181"/>
      <c r="Y181"/>
    </row>
    <row r="182" spans="1:25" s="386" customFormat="1" ht="15.75">
      <c r="A182" s="684"/>
      <c r="B182" s="689"/>
      <c r="C182" s="383"/>
      <c r="D182" s="384"/>
      <c r="E182" s="384"/>
      <c r="F182" s="384"/>
      <c r="G182" s="384"/>
      <c r="H182" s="385"/>
      <c r="I182" s="385"/>
      <c r="J182" s="384"/>
      <c r="K182" s="384"/>
      <c r="L182" s="384"/>
      <c r="M182" s="385"/>
      <c r="N182" s="385"/>
      <c r="O182" s="384"/>
      <c r="P182" s="384"/>
      <c r="Q182" s="385"/>
      <c r="R182" s="385"/>
      <c r="S182" s="385"/>
      <c r="T182" s="385"/>
      <c r="U182" s="385"/>
      <c r="V182"/>
      <c r="W182"/>
      <c r="X182"/>
      <c r="Y182"/>
    </row>
    <row r="183" spans="1:25" ht="15.75">
      <c r="A183" s="684"/>
      <c r="B183" s="687"/>
      <c r="C183" s="674"/>
      <c r="D183" s="675"/>
      <c r="E183" s="675"/>
      <c r="F183" s="675"/>
      <c r="G183" s="675"/>
      <c r="H183" s="676"/>
      <c r="I183" s="676"/>
      <c r="J183" s="675"/>
      <c r="K183" s="675"/>
      <c r="L183" s="675"/>
      <c r="M183" s="676"/>
      <c r="N183" s="676"/>
      <c r="O183" s="675"/>
      <c r="P183" s="675"/>
      <c r="Q183" s="676"/>
      <c r="R183" s="676"/>
      <c r="S183" s="676"/>
      <c r="T183" s="676"/>
      <c r="U183" s="676"/>
      <c r="V183"/>
      <c r="W183"/>
      <c r="X183"/>
      <c r="Y183"/>
    </row>
    <row r="184" spans="1:25" ht="15.75">
      <c r="A184" s="684"/>
      <c r="B184" s="688"/>
      <c r="C184" s="380"/>
      <c r="D184" s="381"/>
      <c r="E184" s="381"/>
      <c r="F184" s="381"/>
      <c r="G184" s="381"/>
      <c r="H184" s="382"/>
      <c r="I184" s="382"/>
      <c r="J184" s="381"/>
      <c r="K184" s="381"/>
      <c r="L184" s="381"/>
      <c r="M184" s="382"/>
      <c r="N184" s="382"/>
      <c r="O184" s="381"/>
      <c r="P184" s="381"/>
      <c r="Q184" s="382"/>
      <c r="R184" s="382"/>
      <c r="S184" s="382"/>
      <c r="T184" s="382"/>
      <c r="U184" s="382"/>
      <c r="V184"/>
      <c r="W184"/>
      <c r="X184"/>
      <c r="Y184"/>
    </row>
    <row r="185" spans="1:25" s="386" customFormat="1" ht="15.75">
      <c r="A185" s="684"/>
      <c r="B185" s="689"/>
      <c r="C185" s="383"/>
      <c r="D185" s="384"/>
      <c r="E185" s="384"/>
      <c r="F185" s="384"/>
      <c r="G185" s="384"/>
      <c r="H185" s="385"/>
      <c r="I185" s="385"/>
      <c r="J185" s="384"/>
      <c r="K185" s="384"/>
      <c r="L185" s="384"/>
      <c r="M185" s="385"/>
      <c r="N185" s="385"/>
      <c r="O185" s="384"/>
      <c r="P185" s="384"/>
      <c r="Q185" s="385"/>
      <c r="R185" s="385"/>
      <c r="S185" s="385"/>
      <c r="T185" s="385"/>
      <c r="U185" s="385"/>
      <c r="V185"/>
      <c r="W185"/>
      <c r="X185"/>
      <c r="Y185"/>
    </row>
    <row r="186" spans="1:25" ht="15.75">
      <c r="A186" s="684"/>
      <c r="B186" s="687"/>
      <c r="C186" s="674"/>
      <c r="D186" s="675"/>
      <c r="E186" s="675"/>
      <c r="F186" s="675"/>
      <c r="G186" s="675"/>
      <c r="H186" s="676"/>
      <c r="I186" s="676"/>
      <c r="J186" s="675"/>
      <c r="K186" s="675"/>
      <c r="L186" s="675"/>
      <c r="M186" s="676"/>
      <c r="N186" s="676"/>
      <c r="O186" s="675"/>
      <c r="P186" s="675"/>
      <c r="Q186" s="676"/>
      <c r="R186" s="676"/>
      <c r="S186" s="676"/>
      <c r="T186" s="676"/>
      <c r="U186" s="676"/>
      <c r="V186"/>
      <c r="W186"/>
      <c r="X186"/>
      <c r="Y186"/>
    </row>
    <row r="187" spans="1:25" ht="15.75">
      <c r="A187" s="684"/>
      <c r="B187" s="688"/>
      <c r="C187" s="380"/>
      <c r="D187" s="381"/>
      <c r="E187" s="381"/>
      <c r="F187" s="381"/>
      <c r="G187" s="381"/>
      <c r="H187" s="382"/>
      <c r="I187" s="382"/>
      <c r="J187" s="381"/>
      <c r="K187" s="381"/>
      <c r="L187" s="381"/>
      <c r="M187" s="382"/>
      <c r="N187" s="382"/>
      <c r="O187" s="381"/>
      <c r="P187" s="381"/>
      <c r="Q187" s="382"/>
      <c r="R187" s="382"/>
      <c r="S187" s="382"/>
      <c r="T187" s="382"/>
      <c r="U187" s="382"/>
      <c r="V187"/>
      <c r="W187"/>
      <c r="X187"/>
      <c r="Y187"/>
    </row>
    <row r="188" spans="1:25" s="386" customFormat="1" ht="15.75">
      <c r="A188" s="684"/>
      <c r="B188" s="689"/>
      <c r="C188" s="383"/>
      <c r="D188" s="384"/>
      <c r="E188" s="692"/>
      <c r="F188" s="384"/>
      <c r="G188" s="384"/>
      <c r="H188" s="385"/>
      <c r="I188" s="385"/>
      <c r="J188" s="384"/>
      <c r="K188" s="384"/>
      <c r="L188" s="384"/>
      <c r="M188" s="385"/>
      <c r="N188" s="385"/>
      <c r="O188" s="384"/>
      <c r="P188" s="384"/>
      <c r="Q188" s="385"/>
      <c r="R188" s="385"/>
      <c r="S188" s="385"/>
      <c r="T188" s="385"/>
      <c r="U188" s="385"/>
      <c r="V188"/>
      <c r="W188"/>
      <c r="X188"/>
      <c r="Y188"/>
    </row>
    <row r="189" spans="1:25" ht="15.75">
      <c r="A189" s="684"/>
      <c r="B189" s="687"/>
      <c r="C189" s="674"/>
      <c r="D189" s="675"/>
      <c r="E189" s="675"/>
      <c r="F189" s="675"/>
      <c r="G189" s="675"/>
      <c r="H189" s="676"/>
      <c r="I189" s="676"/>
      <c r="J189" s="675"/>
      <c r="K189" s="675"/>
      <c r="L189" s="675"/>
      <c r="M189" s="676"/>
      <c r="N189" s="676"/>
      <c r="O189" s="675"/>
      <c r="P189" s="675"/>
      <c r="Q189" s="676"/>
      <c r="R189" s="676"/>
      <c r="S189" s="676"/>
      <c r="T189" s="676"/>
      <c r="U189" s="676"/>
      <c r="V189"/>
      <c r="W189"/>
      <c r="X189"/>
      <c r="Y189"/>
    </row>
    <row r="190" spans="1:25" ht="15.75">
      <c r="A190" s="684"/>
      <c r="B190" s="688"/>
      <c r="C190" s="380"/>
      <c r="D190" s="381"/>
      <c r="E190" s="381"/>
      <c r="F190" s="381"/>
      <c r="G190" s="381"/>
      <c r="H190" s="382"/>
      <c r="I190" s="382"/>
      <c r="J190" s="381"/>
      <c r="K190" s="381"/>
      <c r="L190" s="381"/>
      <c r="M190" s="382"/>
      <c r="N190" s="382"/>
      <c r="O190" s="381"/>
      <c r="P190" s="381"/>
      <c r="Q190" s="382"/>
      <c r="R190" s="382"/>
      <c r="S190" s="382"/>
      <c r="T190" s="382"/>
      <c r="U190" s="382"/>
      <c r="V190"/>
      <c r="W190"/>
      <c r="X190"/>
      <c r="Y190"/>
    </row>
    <row r="191" spans="1:25" s="386" customFormat="1" ht="15.75">
      <c r="A191" s="684"/>
      <c r="B191" s="689"/>
      <c r="C191" s="383"/>
      <c r="D191" s="384"/>
      <c r="E191" s="384"/>
      <c r="F191" s="384"/>
      <c r="G191" s="384"/>
      <c r="H191" s="385"/>
      <c r="I191" s="385"/>
      <c r="J191" s="384"/>
      <c r="K191" s="384"/>
      <c r="L191" s="384"/>
      <c r="M191" s="385"/>
      <c r="N191" s="385"/>
      <c r="O191" s="384"/>
      <c r="P191" s="384"/>
      <c r="Q191" s="385"/>
      <c r="R191" s="385"/>
      <c r="S191" s="385"/>
      <c r="T191" s="385"/>
      <c r="U191" s="385"/>
      <c r="V191"/>
      <c r="W191"/>
      <c r="X191"/>
      <c r="Y191"/>
    </row>
    <row r="192" spans="1:25" ht="15.75">
      <c r="A192" s="684"/>
      <c r="B192" s="687"/>
      <c r="C192" s="674"/>
      <c r="D192" s="675"/>
      <c r="E192" s="675"/>
      <c r="F192" s="675"/>
      <c r="G192" s="675"/>
      <c r="H192" s="676"/>
      <c r="I192" s="676"/>
      <c r="J192" s="675"/>
      <c r="K192" s="675"/>
      <c r="L192" s="675"/>
      <c r="M192" s="676"/>
      <c r="N192" s="676"/>
      <c r="O192" s="675"/>
      <c r="P192" s="675"/>
      <c r="Q192" s="676"/>
      <c r="R192" s="676"/>
      <c r="S192" s="676"/>
      <c r="T192" s="676"/>
      <c r="U192" s="676"/>
      <c r="V192"/>
      <c r="W192"/>
      <c r="X192"/>
      <c r="Y192"/>
    </row>
    <row r="193" spans="1:25" ht="15.75">
      <c r="A193" s="684"/>
      <c r="B193" s="688"/>
      <c r="C193" s="380"/>
      <c r="D193" s="381"/>
      <c r="E193" s="381"/>
      <c r="F193" s="381"/>
      <c r="G193" s="381"/>
      <c r="H193" s="382"/>
      <c r="I193" s="382"/>
      <c r="J193" s="381"/>
      <c r="K193" s="381"/>
      <c r="L193" s="381"/>
      <c r="M193" s="382"/>
      <c r="N193" s="382"/>
      <c r="O193" s="381"/>
      <c r="P193" s="381"/>
      <c r="Q193" s="382"/>
      <c r="R193" s="382"/>
      <c r="S193" s="382"/>
      <c r="T193" s="382"/>
      <c r="U193" s="382"/>
      <c r="V193"/>
      <c r="W193"/>
      <c r="X193"/>
      <c r="Y193"/>
    </row>
    <row r="194" spans="1:25" s="386" customFormat="1" ht="15.75">
      <c r="A194" s="684"/>
      <c r="B194" s="689"/>
      <c r="C194" s="383"/>
      <c r="D194" s="384"/>
      <c r="E194" s="384"/>
      <c r="F194" s="384"/>
      <c r="G194" s="384"/>
      <c r="H194" s="385"/>
      <c r="I194" s="385"/>
      <c r="J194" s="384"/>
      <c r="K194" s="384"/>
      <c r="L194" s="384"/>
      <c r="M194" s="385"/>
      <c r="N194" s="385"/>
      <c r="O194" s="384"/>
      <c r="P194" s="384"/>
      <c r="Q194" s="385"/>
      <c r="R194" s="385"/>
      <c r="S194" s="385"/>
      <c r="T194" s="385"/>
      <c r="U194" s="385"/>
      <c r="V194"/>
      <c r="W194"/>
      <c r="X194"/>
      <c r="Y194"/>
    </row>
    <row r="195" spans="1:25" ht="15.75">
      <c r="A195" s="684"/>
      <c r="B195" s="687"/>
      <c r="C195" s="674"/>
      <c r="D195" s="675"/>
      <c r="E195" s="675"/>
      <c r="F195" s="675"/>
      <c r="G195" s="675"/>
      <c r="H195" s="676"/>
      <c r="I195" s="676"/>
      <c r="J195" s="675"/>
      <c r="K195" s="675"/>
      <c r="L195" s="675"/>
      <c r="M195" s="676"/>
      <c r="N195" s="676"/>
      <c r="O195" s="675"/>
      <c r="P195" s="675"/>
      <c r="Q195" s="676"/>
      <c r="R195" s="676"/>
      <c r="S195" s="676"/>
      <c r="T195" s="676"/>
      <c r="U195" s="676"/>
      <c r="V195"/>
      <c r="W195"/>
      <c r="X195"/>
      <c r="Y195"/>
    </row>
    <row r="196" spans="1:25" ht="15.75">
      <c r="A196" s="684"/>
      <c r="B196" s="688"/>
      <c r="C196" s="380"/>
      <c r="D196" s="381"/>
      <c r="E196" s="381"/>
      <c r="F196" s="381"/>
      <c r="G196" s="381"/>
      <c r="H196" s="382"/>
      <c r="I196" s="382"/>
      <c r="J196" s="381"/>
      <c r="K196" s="381"/>
      <c r="L196" s="381"/>
      <c r="M196" s="382"/>
      <c r="N196" s="382"/>
      <c r="O196" s="381"/>
      <c r="P196" s="381"/>
      <c r="Q196" s="382"/>
      <c r="R196" s="382"/>
      <c r="S196" s="382"/>
      <c r="T196" s="382"/>
      <c r="U196" s="382"/>
      <c r="V196"/>
      <c r="W196"/>
      <c r="X196"/>
      <c r="Y196"/>
    </row>
    <row r="197" spans="1:25" s="386" customFormat="1" ht="15.75">
      <c r="A197" s="684"/>
      <c r="B197" s="689"/>
      <c r="C197" s="383"/>
      <c r="D197" s="384"/>
      <c r="E197" s="384"/>
      <c r="F197" s="384"/>
      <c r="G197" s="384"/>
      <c r="H197" s="385"/>
      <c r="I197" s="385"/>
      <c r="J197" s="384"/>
      <c r="K197" s="384"/>
      <c r="L197" s="384"/>
      <c r="M197" s="385"/>
      <c r="N197" s="385"/>
      <c r="O197" s="384"/>
      <c r="P197" s="384"/>
      <c r="Q197" s="385"/>
      <c r="R197" s="385"/>
      <c r="S197" s="385"/>
      <c r="T197" s="385"/>
      <c r="U197" s="385"/>
      <c r="V197"/>
      <c r="W197"/>
      <c r="X197"/>
      <c r="Y197"/>
    </row>
    <row r="198" spans="1:25" ht="15.75">
      <c r="A198" s="684"/>
      <c r="B198" s="687"/>
      <c r="C198" s="674"/>
      <c r="D198" s="675"/>
      <c r="E198" s="675"/>
      <c r="F198" s="675"/>
      <c r="G198" s="675"/>
      <c r="H198" s="676"/>
      <c r="I198" s="676"/>
      <c r="J198" s="675"/>
      <c r="K198" s="675"/>
      <c r="L198" s="675"/>
      <c r="M198" s="676"/>
      <c r="N198" s="676"/>
      <c r="O198" s="675"/>
      <c r="P198" s="675"/>
      <c r="Q198" s="676"/>
      <c r="R198" s="676"/>
      <c r="S198" s="676"/>
      <c r="T198" s="676"/>
      <c r="U198" s="676"/>
      <c r="V198"/>
      <c r="W198"/>
      <c r="X198"/>
      <c r="Y198"/>
    </row>
    <row r="199" spans="1:25" ht="15.75">
      <c r="A199" s="684"/>
      <c r="B199" s="688"/>
      <c r="C199" s="380"/>
      <c r="D199" s="381"/>
      <c r="E199" s="381"/>
      <c r="F199" s="381"/>
      <c r="G199" s="381"/>
      <c r="H199" s="382"/>
      <c r="I199" s="382"/>
      <c r="J199" s="381"/>
      <c r="K199" s="381"/>
      <c r="L199" s="381"/>
      <c r="M199" s="382"/>
      <c r="N199" s="382"/>
      <c r="O199" s="381"/>
      <c r="P199" s="381"/>
      <c r="Q199" s="382"/>
      <c r="R199" s="382"/>
      <c r="S199" s="382"/>
      <c r="T199" s="382"/>
      <c r="U199" s="382"/>
      <c r="V199"/>
      <c r="W199"/>
      <c r="X199"/>
      <c r="Y199"/>
    </row>
    <row r="200" spans="1:25" s="386" customFormat="1" ht="15.75">
      <c r="A200" s="684"/>
      <c r="B200" s="689"/>
      <c r="C200" s="383"/>
      <c r="D200" s="384"/>
      <c r="E200" s="384"/>
      <c r="F200" s="384"/>
      <c r="G200" s="384"/>
      <c r="H200" s="385"/>
      <c r="I200" s="385"/>
      <c r="J200" s="384"/>
      <c r="K200" s="384"/>
      <c r="L200" s="384"/>
      <c r="M200" s="385"/>
      <c r="N200" s="385"/>
      <c r="O200" s="384"/>
      <c r="P200" s="384"/>
      <c r="Q200" s="385"/>
      <c r="R200" s="385"/>
      <c r="S200" s="385"/>
      <c r="T200" s="385"/>
      <c r="U200" s="385"/>
      <c r="V200"/>
      <c r="W200"/>
      <c r="X200"/>
      <c r="Y200"/>
    </row>
    <row r="201" spans="1:25" ht="15.75">
      <c r="A201" s="684"/>
      <c r="B201" s="687"/>
      <c r="C201" s="674"/>
      <c r="D201" s="675"/>
      <c r="E201" s="675"/>
      <c r="F201" s="675"/>
      <c r="G201" s="675"/>
      <c r="H201" s="676"/>
      <c r="I201" s="676"/>
      <c r="J201" s="675"/>
      <c r="K201" s="675"/>
      <c r="L201" s="675"/>
      <c r="M201" s="676"/>
      <c r="N201" s="676"/>
      <c r="O201" s="675"/>
      <c r="P201" s="675"/>
      <c r="Q201" s="676"/>
      <c r="R201" s="676"/>
      <c r="S201" s="676"/>
      <c r="T201" s="676"/>
      <c r="U201" s="676"/>
      <c r="V201"/>
      <c r="W201"/>
      <c r="X201"/>
      <c r="Y201"/>
    </row>
    <row r="202" spans="1:25" ht="15.75">
      <c r="A202" s="684"/>
      <c r="B202" s="688"/>
      <c r="C202" s="380"/>
      <c r="D202" s="381"/>
      <c r="E202" s="381"/>
      <c r="F202" s="381"/>
      <c r="G202" s="381"/>
      <c r="H202" s="382"/>
      <c r="I202" s="382"/>
      <c r="J202" s="381"/>
      <c r="K202" s="381"/>
      <c r="L202" s="381"/>
      <c r="M202" s="382"/>
      <c r="N202" s="382"/>
      <c r="O202" s="381"/>
      <c r="P202" s="381"/>
      <c r="Q202" s="382"/>
      <c r="R202" s="382"/>
      <c r="S202" s="382"/>
      <c r="T202" s="382"/>
      <c r="U202" s="382"/>
      <c r="V202"/>
      <c r="W202"/>
      <c r="X202"/>
      <c r="Y202"/>
    </row>
    <row r="203" spans="1:25" s="386" customFormat="1" ht="15.75">
      <c r="A203" s="684"/>
      <c r="B203" s="689"/>
      <c r="C203" s="383"/>
      <c r="D203" s="384"/>
      <c r="E203" s="384"/>
      <c r="F203" s="384"/>
      <c r="G203" s="384"/>
      <c r="H203" s="385"/>
      <c r="I203" s="385"/>
      <c r="J203" s="384"/>
      <c r="K203" s="384"/>
      <c r="L203" s="384"/>
      <c r="M203" s="385"/>
      <c r="N203" s="385"/>
      <c r="O203" s="384"/>
      <c r="P203" s="384"/>
      <c r="Q203" s="385"/>
      <c r="R203" s="385"/>
      <c r="S203" s="385"/>
      <c r="T203" s="385"/>
      <c r="U203" s="385"/>
      <c r="V203"/>
      <c r="W203"/>
      <c r="X203"/>
      <c r="Y203"/>
    </row>
    <row r="204" spans="1:25" ht="15.75">
      <c r="A204" s="684"/>
      <c r="B204" s="687"/>
      <c r="C204" s="674"/>
      <c r="D204" s="675"/>
      <c r="E204" s="675"/>
      <c r="F204" s="675"/>
      <c r="G204" s="675"/>
      <c r="H204" s="676"/>
      <c r="I204" s="676"/>
      <c r="J204" s="675"/>
      <c r="K204" s="675"/>
      <c r="L204" s="675"/>
      <c r="M204" s="676"/>
      <c r="N204" s="676"/>
      <c r="O204" s="675"/>
      <c r="P204" s="675"/>
      <c r="Q204" s="676"/>
      <c r="R204" s="676"/>
      <c r="S204" s="676"/>
      <c r="T204" s="676"/>
      <c r="U204" s="676"/>
      <c r="V204"/>
      <c r="W204"/>
      <c r="X204"/>
      <c r="Y204"/>
    </row>
    <row r="205" spans="1:25" ht="15.75">
      <c r="A205" s="685"/>
      <c r="B205" s="690"/>
      <c r="C205" s="576"/>
      <c r="D205" s="577"/>
      <c r="E205" s="577"/>
      <c r="F205" s="577"/>
      <c r="G205" s="577"/>
      <c r="H205" s="578"/>
      <c r="I205" s="578"/>
      <c r="J205" s="577"/>
      <c r="K205" s="577"/>
      <c r="L205" s="577"/>
      <c r="M205" s="578"/>
      <c r="N205" s="578"/>
      <c r="O205" s="577"/>
      <c r="P205" s="577"/>
      <c r="Q205" s="578"/>
      <c r="R205" s="578"/>
      <c r="S205" s="578"/>
      <c r="T205" s="578"/>
      <c r="U205" s="578"/>
      <c r="V205"/>
      <c r="W205"/>
      <c r="X205"/>
      <c r="Y205"/>
    </row>
    <row r="206" spans="1:25" s="386" customFormat="1" ht="15.75">
      <c r="A206" s="683"/>
      <c r="B206" s="687"/>
      <c r="C206" s="674"/>
      <c r="D206" s="675"/>
      <c r="E206" s="675"/>
      <c r="F206" s="675"/>
      <c r="G206" s="675"/>
      <c r="H206" s="676"/>
      <c r="I206" s="676"/>
      <c r="J206" s="675"/>
      <c r="K206" s="675"/>
      <c r="L206" s="675"/>
      <c r="M206" s="676"/>
      <c r="N206" s="676"/>
      <c r="O206" s="675"/>
      <c r="P206" s="675"/>
      <c r="Q206" s="676"/>
      <c r="R206" s="676"/>
      <c r="S206" s="676"/>
      <c r="T206" s="676"/>
      <c r="U206" s="676"/>
      <c r="V206"/>
      <c r="W206"/>
      <c r="X206"/>
      <c r="Y206"/>
    </row>
    <row r="207" spans="1:25" ht="15.75">
      <c r="A207" s="684"/>
      <c r="B207" s="688"/>
      <c r="C207" s="380"/>
      <c r="D207" s="381"/>
      <c r="E207" s="381"/>
      <c r="F207" s="381"/>
      <c r="G207" s="381"/>
      <c r="H207" s="382"/>
      <c r="I207" s="382"/>
      <c r="J207" s="381"/>
      <c r="K207" s="381"/>
      <c r="L207" s="381"/>
      <c r="M207" s="382"/>
      <c r="N207" s="382"/>
      <c r="O207" s="381"/>
      <c r="P207" s="381"/>
      <c r="Q207" s="382"/>
      <c r="R207" s="382"/>
      <c r="S207" s="382"/>
      <c r="T207" s="382"/>
      <c r="U207" s="382"/>
      <c r="V207"/>
      <c r="W207"/>
      <c r="X207"/>
      <c r="Y207"/>
    </row>
    <row r="208" spans="1:25" ht="15.75">
      <c r="A208" s="684"/>
      <c r="B208" s="689"/>
      <c r="C208" s="383"/>
      <c r="D208" s="384"/>
      <c r="E208" s="384"/>
      <c r="F208" s="384"/>
      <c r="G208" s="384"/>
      <c r="H208" s="385"/>
      <c r="I208" s="385"/>
      <c r="J208" s="384"/>
      <c r="K208" s="384"/>
      <c r="L208" s="384"/>
      <c r="M208" s="385"/>
      <c r="N208" s="385"/>
      <c r="O208" s="384"/>
      <c r="P208" s="384"/>
      <c r="Q208" s="385"/>
      <c r="R208" s="385"/>
      <c r="S208" s="385"/>
      <c r="T208" s="385"/>
      <c r="U208" s="385"/>
      <c r="V208"/>
      <c r="W208"/>
      <c r="X208"/>
      <c r="Y208"/>
    </row>
    <row r="209" spans="1:25" s="386" customFormat="1" ht="15.75">
      <c r="A209" s="684"/>
      <c r="B209" s="687"/>
      <c r="C209" s="674"/>
      <c r="D209" s="675"/>
      <c r="E209" s="675"/>
      <c r="F209" s="675"/>
      <c r="G209" s="675"/>
      <c r="H209" s="676"/>
      <c r="I209" s="676"/>
      <c r="J209" s="675"/>
      <c r="K209" s="675"/>
      <c r="L209" s="675"/>
      <c r="M209" s="676"/>
      <c r="N209" s="676"/>
      <c r="O209" s="675"/>
      <c r="P209" s="675"/>
      <c r="Q209" s="676"/>
      <c r="R209" s="676"/>
      <c r="S209" s="676"/>
      <c r="T209" s="676"/>
      <c r="U209" s="676"/>
      <c r="V209"/>
      <c r="W209"/>
      <c r="X209"/>
      <c r="Y209"/>
    </row>
    <row r="210" spans="1:25" ht="15.75">
      <c r="A210" s="684"/>
      <c r="B210" s="688"/>
      <c r="C210" s="380"/>
      <c r="D210" s="381"/>
      <c r="E210" s="381"/>
      <c r="F210" s="381"/>
      <c r="G210" s="381"/>
      <c r="H210" s="382"/>
      <c r="I210" s="382"/>
      <c r="J210" s="381"/>
      <c r="K210" s="381"/>
      <c r="L210" s="381"/>
      <c r="M210" s="382"/>
      <c r="N210" s="382"/>
      <c r="O210" s="381"/>
      <c r="P210" s="381"/>
      <c r="Q210" s="382"/>
      <c r="R210" s="382"/>
      <c r="S210" s="382"/>
      <c r="T210" s="382"/>
      <c r="U210" s="382"/>
      <c r="V210"/>
      <c r="W210"/>
      <c r="X210"/>
      <c r="Y210"/>
    </row>
    <row r="211" spans="1:25" ht="15.75">
      <c r="A211" s="684"/>
      <c r="B211" s="689"/>
      <c r="C211" s="383"/>
      <c r="D211" s="384"/>
      <c r="E211" s="384"/>
      <c r="F211" s="384"/>
      <c r="G211" s="384"/>
      <c r="H211" s="385"/>
      <c r="I211" s="385"/>
      <c r="J211" s="384"/>
      <c r="K211" s="384"/>
      <c r="L211" s="384"/>
      <c r="M211" s="385"/>
      <c r="N211" s="385"/>
      <c r="O211" s="384"/>
      <c r="P211" s="384"/>
      <c r="Q211" s="385"/>
      <c r="R211" s="385"/>
      <c r="S211" s="385"/>
      <c r="T211" s="385"/>
      <c r="U211" s="385"/>
      <c r="V211"/>
      <c r="W211"/>
      <c r="X211"/>
      <c r="Y211"/>
    </row>
    <row r="212" spans="1:25" s="386" customFormat="1" ht="15.75">
      <c r="A212" s="684"/>
      <c r="B212" s="687"/>
      <c r="C212" s="674"/>
      <c r="D212" s="675"/>
      <c r="E212" s="675"/>
      <c r="F212" s="675"/>
      <c r="G212" s="675"/>
      <c r="H212" s="676"/>
      <c r="I212" s="676"/>
      <c r="J212" s="675"/>
      <c r="K212" s="675"/>
      <c r="L212" s="675"/>
      <c r="M212" s="676"/>
      <c r="N212" s="676"/>
      <c r="O212" s="675"/>
      <c r="P212" s="675"/>
      <c r="Q212" s="676"/>
      <c r="R212" s="676"/>
      <c r="S212" s="676"/>
      <c r="T212" s="676"/>
      <c r="U212" s="676"/>
      <c r="V212"/>
      <c r="W212"/>
      <c r="X212"/>
      <c r="Y212"/>
    </row>
    <row r="213" spans="1:25" ht="15.75">
      <c r="A213" s="684"/>
      <c r="B213" s="688"/>
      <c r="C213" s="380"/>
      <c r="D213" s="381"/>
      <c r="E213" s="381"/>
      <c r="F213" s="381"/>
      <c r="G213" s="381"/>
      <c r="H213" s="382"/>
      <c r="I213" s="382"/>
      <c r="J213" s="381"/>
      <c r="K213" s="381"/>
      <c r="L213" s="381"/>
      <c r="M213" s="382"/>
      <c r="N213" s="382"/>
      <c r="O213" s="381"/>
      <c r="P213" s="381"/>
      <c r="Q213" s="382"/>
      <c r="R213" s="382"/>
      <c r="S213" s="382"/>
      <c r="T213" s="382"/>
      <c r="U213" s="382"/>
      <c r="V213"/>
      <c r="W213"/>
      <c r="X213"/>
      <c r="Y213"/>
    </row>
    <row r="214" spans="1:25" ht="15.75">
      <c r="A214" s="684"/>
      <c r="B214" s="689"/>
      <c r="C214" s="383"/>
      <c r="D214" s="384"/>
      <c r="E214" s="384"/>
      <c r="F214" s="384"/>
      <c r="G214" s="384"/>
      <c r="H214" s="385"/>
      <c r="I214" s="385"/>
      <c r="J214" s="384"/>
      <c r="K214" s="384"/>
      <c r="L214" s="384"/>
      <c r="M214" s="385"/>
      <c r="N214" s="385"/>
      <c r="O214" s="384"/>
      <c r="P214" s="384"/>
      <c r="Q214" s="385"/>
      <c r="R214" s="385"/>
      <c r="S214" s="385"/>
      <c r="T214" s="385"/>
      <c r="U214" s="385"/>
      <c r="V214"/>
      <c r="W214"/>
      <c r="X214"/>
      <c r="Y214"/>
    </row>
    <row r="215" spans="1:25" s="386" customFormat="1" ht="15.75">
      <c r="A215" s="684"/>
      <c r="B215" s="687"/>
      <c r="C215" s="674"/>
      <c r="D215" s="675"/>
      <c r="E215" s="675"/>
      <c r="F215" s="675"/>
      <c r="G215" s="675"/>
      <c r="H215" s="676"/>
      <c r="I215" s="676"/>
      <c r="J215" s="675"/>
      <c r="K215" s="675"/>
      <c r="L215" s="675"/>
      <c r="M215" s="676"/>
      <c r="N215" s="676"/>
      <c r="O215" s="675"/>
      <c r="P215" s="675"/>
      <c r="Q215" s="676"/>
      <c r="R215" s="676"/>
      <c r="S215" s="676"/>
      <c r="T215" s="676"/>
      <c r="U215" s="676"/>
      <c r="V215"/>
      <c r="W215"/>
      <c r="X215"/>
      <c r="Y215"/>
    </row>
    <row r="216" spans="1:25" ht="15.75">
      <c r="A216" s="684"/>
      <c r="B216" s="688"/>
      <c r="C216" s="380"/>
      <c r="D216" s="381"/>
      <c r="E216" s="381"/>
      <c r="F216" s="381"/>
      <c r="G216" s="381"/>
      <c r="H216" s="382"/>
      <c r="I216" s="382"/>
      <c r="J216" s="381"/>
      <c r="K216" s="381"/>
      <c r="L216" s="381"/>
      <c r="M216" s="382"/>
      <c r="N216" s="382"/>
      <c r="O216" s="381"/>
      <c r="P216" s="381"/>
      <c r="Q216" s="382"/>
      <c r="R216" s="382"/>
      <c r="S216" s="382"/>
      <c r="T216" s="382"/>
      <c r="U216" s="382"/>
      <c r="V216"/>
      <c r="W216"/>
      <c r="X216"/>
      <c r="Y216"/>
    </row>
    <row r="217" spans="1:25" ht="15.75">
      <c r="A217" s="684"/>
      <c r="B217" s="689"/>
      <c r="C217" s="383"/>
      <c r="D217" s="384"/>
      <c r="E217" s="384"/>
      <c r="F217" s="384"/>
      <c r="G217" s="384"/>
      <c r="H217" s="385"/>
      <c r="I217" s="385"/>
      <c r="J217" s="384"/>
      <c r="K217" s="384"/>
      <c r="L217" s="692"/>
      <c r="M217" s="385"/>
      <c r="N217" s="385"/>
      <c r="O217" s="384"/>
      <c r="P217" s="384"/>
      <c r="Q217" s="385"/>
      <c r="R217" s="385"/>
      <c r="S217" s="385"/>
      <c r="T217" s="385"/>
      <c r="U217" s="385"/>
      <c r="V217"/>
      <c r="W217"/>
      <c r="X217"/>
      <c r="Y217"/>
    </row>
    <row r="218" spans="1:25" s="386" customFormat="1" ht="15.75">
      <c r="A218" s="684"/>
      <c r="B218" s="687"/>
      <c r="C218" s="674"/>
      <c r="D218" s="675"/>
      <c r="E218" s="675"/>
      <c r="F218" s="675"/>
      <c r="G218" s="675"/>
      <c r="H218" s="676"/>
      <c r="I218" s="676"/>
      <c r="J218" s="675"/>
      <c r="K218" s="675"/>
      <c r="L218" s="675"/>
      <c r="M218" s="676"/>
      <c r="N218" s="676"/>
      <c r="O218" s="675"/>
      <c r="P218" s="675"/>
      <c r="Q218" s="676"/>
      <c r="R218" s="676"/>
      <c r="S218" s="676"/>
      <c r="T218" s="676"/>
      <c r="U218" s="676"/>
      <c r="V218"/>
      <c r="W218"/>
      <c r="X218"/>
      <c r="Y218"/>
    </row>
    <row r="219" spans="1:25" ht="15.75">
      <c r="A219" s="684"/>
      <c r="B219" s="688"/>
      <c r="C219" s="380"/>
      <c r="D219" s="381"/>
      <c r="E219" s="381"/>
      <c r="F219" s="381"/>
      <c r="G219" s="381"/>
      <c r="H219" s="382"/>
      <c r="I219" s="382"/>
      <c r="J219" s="381"/>
      <c r="K219" s="381"/>
      <c r="L219" s="381"/>
      <c r="M219" s="382"/>
      <c r="N219" s="382"/>
      <c r="O219" s="381"/>
      <c r="P219" s="381"/>
      <c r="Q219" s="382"/>
      <c r="R219" s="382"/>
      <c r="S219" s="382"/>
      <c r="T219" s="382"/>
      <c r="U219" s="382"/>
      <c r="V219"/>
      <c r="W219"/>
      <c r="X219"/>
      <c r="Y219"/>
    </row>
    <row r="220" spans="1:25" ht="15.75">
      <c r="A220" s="684"/>
      <c r="B220" s="689"/>
      <c r="C220" s="383"/>
      <c r="D220" s="384"/>
      <c r="E220" s="384"/>
      <c r="F220" s="384"/>
      <c r="G220" s="384"/>
      <c r="H220" s="385"/>
      <c r="I220" s="385"/>
      <c r="J220" s="384"/>
      <c r="K220" s="384"/>
      <c r="L220" s="384"/>
      <c r="M220" s="385"/>
      <c r="N220" s="385"/>
      <c r="O220" s="384"/>
      <c r="P220" s="384"/>
      <c r="Q220" s="385"/>
      <c r="R220" s="385"/>
      <c r="S220" s="385"/>
      <c r="T220" s="385"/>
      <c r="U220" s="385"/>
      <c r="V220"/>
      <c r="W220"/>
      <c r="X220"/>
      <c r="Y220"/>
    </row>
    <row r="221" spans="1:25" s="386" customFormat="1" ht="15.75">
      <c r="A221" s="684"/>
      <c r="B221" s="687"/>
      <c r="C221" s="674"/>
      <c r="D221" s="675"/>
      <c r="E221" s="675"/>
      <c r="F221" s="675"/>
      <c r="G221" s="675"/>
      <c r="H221" s="676"/>
      <c r="I221" s="676"/>
      <c r="J221" s="675"/>
      <c r="K221" s="675"/>
      <c r="L221" s="675"/>
      <c r="M221" s="676"/>
      <c r="N221" s="676"/>
      <c r="O221" s="675"/>
      <c r="P221" s="675"/>
      <c r="Q221" s="676"/>
      <c r="R221" s="676"/>
      <c r="S221" s="676"/>
      <c r="T221" s="676"/>
      <c r="U221" s="676"/>
      <c r="V221"/>
      <c r="W221"/>
      <c r="X221"/>
      <c r="Y221"/>
    </row>
    <row r="222" spans="1:25" ht="15.75">
      <c r="A222" s="684"/>
      <c r="B222" s="688"/>
      <c r="C222" s="380"/>
      <c r="D222" s="381"/>
      <c r="E222" s="381"/>
      <c r="F222" s="381"/>
      <c r="G222" s="381"/>
      <c r="H222" s="382"/>
      <c r="I222" s="382"/>
      <c r="J222" s="381"/>
      <c r="K222" s="381"/>
      <c r="L222" s="381"/>
      <c r="M222" s="382"/>
      <c r="N222" s="382"/>
      <c r="O222" s="381"/>
      <c r="P222" s="381"/>
      <c r="Q222" s="382"/>
      <c r="R222" s="382"/>
      <c r="S222" s="382"/>
      <c r="T222" s="382"/>
      <c r="U222" s="382"/>
      <c r="V222"/>
      <c r="W222"/>
      <c r="X222"/>
      <c r="Y222"/>
    </row>
    <row r="223" spans="1:25" ht="15.75">
      <c r="A223" s="684"/>
      <c r="B223" s="689"/>
      <c r="C223" s="383"/>
      <c r="D223" s="692"/>
      <c r="E223" s="384"/>
      <c r="F223" s="384"/>
      <c r="G223" s="384"/>
      <c r="H223" s="385"/>
      <c r="I223" s="385"/>
      <c r="J223" s="384"/>
      <c r="K223" s="384"/>
      <c r="L223" s="384"/>
      <c r="M223" s="385"/>
      <c r="N223" s="385"/>
      <c r="O223" s="384"/>
      <c r="P223" s="384"/>
      <c r="Q223" s="385"/>
      <c r="R223" s="385"/>
      <c r="S223" s="385"/>
      <c r="T223" s="385"/>
      <c r="U223" s="385"/>
      <c r="V223"/>
      <c r="W223"/>
      <c r="X223"/>
      <c r="Y223"/>
    </row>
    <row r="224" spans="1:25" s="386" customFormat="1" ht="15.75">
      <c r="A224" s="684"/>
      <c r="B224" s="687"/>
      <c r="C224" s="674"/>
      <c r="D224" s="675"/>
      <c r="E224" s="675"/>
      <c r="F224" s="675"/>
      <c r="G224" s="675"/>
      <c r="H224" s="676"/>
      <c r="I224" s="676"/>
      <c r="J224" s="675"/>
      <c r="K224" s="675"/>
      <c r="L224" s="675"/>
      <c r="M224" s="676"/>
      <c r="N224" s="676"/>
      <c r="O224" s="675"/>
      <c r="P224" s="675"/>
      <c r="Q224" s="676"/>
      <c r="R224" s="676"/>
      <c r="S224" s="676"/>
      <c r="T224" s="676"/>
      <c r="U224" s="676"/>
      <c r="V224"/>
      <c r="W224"/>
      <c r="X224"/>
      <c r="Y224"/>
    </row>
    <row r="225" spans="1:25" ht="15.75">
      <c r="A225" s="684"/>
      <c r="B225" s="688"/>
      <c r="C225" s="380"/>
      <c r="D225" s="381"/>
      <c r="E225" s="381"/>
      <c r="F225" s="381"/>
      <c r="G225" s="381"/>
      <c r="H225" s="382"/>
      <c r="I225" s="382"/>
      <c r="J225" s="381"/>
      <c r="K225" s="381"/>
      <c r="L225" s="381"/>
      <c r="M225" s="382"/>
      <c r="N225" s="382"/>
      <c r="O225" s="381"/>
      <c r="P225" s="381"/>
      <c r="Q225" s="382"/>
      <c r="R225" s="382"/>
      <c r="S225" s="382"/>
      <c r="T225" s="382"/>
      <c r="U225" s="382"/>
      <c r="V225"/>
      <c r="W225"/>
      <c r="X225"/>
      <c r="Y225"/>
    </row>
    <row r="226" spans="1:25" ht="15.75">
      <c r="A226" s="684"/>
      <c r="B226" s="689"/>
      <c r="C226" s="383"/>
      <c r="D226" s="384"/>
      <c r="E226" s="692"/>
      <c r="F226" s="384"/>
      <c r="G226" s="384"/>
      <c r="H226" s="385"/>
      <c r="I226" s="385"/>
      <c r="J226" s="384"/>
      <c r="K226" s="384"/>
      <c r="L226" s="384"/>
      <c r="M226" s="385"/>
      <c r="N226" s="385"/>
      <c r="O226" s="384"/>
      <c r="P226" s="384"/>
      <c r="Q226" s="385"/>
      <c r="R226" s="385"/>
      <c r="S226" s="385"/>
      <c r="T226" s="385"/>
      <c r="U226" s="385"/>
      <c r="V226"/>
      <c r="W226"/>
      <c r="X226"/>
      <c r="Y226"/>
    </row>
    <row r="227" spans="1:25" s="386" customFormat="1" ht="15.75">
      <c r="A227" s="684"/>
      <c r="B227" s="687"/>
      <c r="C227" s="674"/>
      <c r="D227" s="675"/>
      <c r="E227" s="675"/>
      <c r="F227" s="675"/>
      <c r="G227" s="675"/>
      <c r="H227" s="676"/>
      <c r="I227" s="676"/>
      <c r="J227" s="675"/>
      <c r="K227" s="675"/>
      <c r="L227" s="675"/>
      <c r="M227" s="676"/>
      <c r="N227" s="676"/>
      <c r="O227" s="675"/>
      <c r="P227" s="675"/>
      <c r="Q227" s="676"/>
      <c r="R227" s="676"/>
      <c r="S227" s="676"/>
      <c r="T227" s="676"/>
      <c r="U227" s="676"/>
      <c r="V227"/>
      <c r="W227"/>
      <c r="X227"/>
      <c r="Y227"/>
    </row>
    <row r="228" spans="1:25" ht="15.75">
      <c r="A228" s="684"/>
      <c r="B228" s="688"/>
      <c r="C228" s="380"/>
      <c r="D228" s="381"/>
      <c r="E228" s="381"/>
      <c r="F228" s="381"/>
      <c r="G228" s="381"/>
      <c r="H228" s="382"/>
      <c r="I228" s="382"/>
      <c r="J228" s="381"/>
      <c r="K228" s="381"/>
      <c r="L228" s="381"/>
      <c r="M228" s="382"/>
      <c r="N228" s="382"/>
      <c r="O228" s="381"/>
      <c r="P228" s="381"/>
      <c r="Q228" s="382"/>
      <c r="R228" s="382"/>
      <c r="S228" s="382"/>
      <c r="T228" s="382"/>
      <c r="U228" s="382"/>
      <c r="V228"/>
      <c r="W228"/>
      <c r="X228"/>
      <c r="Y228"/>
    </row>
    <row r="229" spans="1:25" ht="15.75">
      <c r="A229" s="684"/>
      <c r="B229" s="689"/>
      <c r="C229" s="383"/>
      <c r="D229" s="384"/>
      <c r="E229" s="384"/>
      <c r="F229" s="384"/>
      <c r="G229" s="384"/>
      <c r="H229" s="385"/>
      <c r="I229" s="385"/>
      <c r="J229" s="384"/>
      <c r="K229" s="384"/>
      <c r="L229" s="384"/>
      <c r="M229" s="385"/>
      <c r="N229" s="385"/>
      <c r="O229" s="384"/>
      <c r="P229" s="384"/>
      <c r="Q229" s="385"/>
      <c r="R229" s="385"/>
      <c r="S229" s="385"/>
      <c r="T229" s="385"/>
      <c r="U229" s="385"/>
      <c r="V229"/>
      <c r="W229"/>
      <c r="X229"/>
      <c r="Y229"/>
    </row>
    <row r="230" spans="1:25" s="386" customFormat="1" ht="15.75">
      <c r="A230" s="684"/>
      <c r="B230" s="687"/>
      <c r="C230" s="674"/>
      <c r="D230" s="675"/>
      <c r="E230" s="675"/>
      <c r="F230" s="675"/>
      <c r="G230" s="675"/>
      <c r="H230" s="676"/>
      <c r="I230" s="676"/>
      <c r="J230" s="675"/>
      <c r="K230" s="675"/>
      <c r="L230" s="675"/>
      <c r="M230" s="676"/>
      <c r="N230" s="676"/>
      <c r="O230" s="675"/>
      <c r="P230" s="675"/>
      <c r="Q230" s="676"/>
      <c r="R230" s="676"/>
      <c r="S230" s="676"/>
      <c r="T230" s="676"/>
      <c r="U230" s="676"/>
      <c r="V230"/>
      <c r="W230"/>
      <c r="X230"/>
      <c r="Y230"/>
    </row>
    <row r="231" spans="1:25" ht="15.75">
      <c r="A231" s="684"/>
      <c r="B231" s="688"/>
      <c r="C231" s="380"/>
      <c r="D231" s="381"/>
      <c r="E231" s="381"/>
      <c r="F231" s="381"/>
      <c r="G231" s="381"/>
      <c r="H231" s="382"/>
      <c r="I231" s="382"/>
      <c r="J231" s="381"/>
      <c r="K231" s="381"/>
      <c r="L231" s="381"/>
      <c r="M231" s="382"/>
      <c r="N231" s="382"/>
      <c r="O231" s="381"/>
      <c r="P231" s="381"/>
      <c r="Q231" s="382"/>
      <c r="R231" s="382"/>
      <c r="S231" s="382"/>
      <c r="T231" s="382"/>
      <c r="U231" s="382"/>
      <c r="V231"/>
      <c r="W231"/>
      <c r="X231"/>
      <c r="Y231"/>
    </row>
    <row r="232" spans="1:25" ht="15.75">
      <c r="A232" s="684"/>
      <c r="B232" s="689"/>
      <c r="C232" s="383"/>
      <c r="D232" s="384"/>
      <c r="E232" s="384"/>
      <c r="F232" s="384"/>
      <c r="G232" s="384"/>
      <c r="H232" s="385"/>
      <c r="I232" s="385"/>
      <c r="J232" s="384"/>
      <c r="K232" s="384"/>
      <c r="L232" s="384"/>
      <c r="M232" s="385"/>
      <c r="N232" s="385"/>
      <c r="O232" s="384"/>
      <c r="P232" s="384"/>
      <c r="Q232" s="385"/>
      <c r="R232" s="385"/>
      <c r="S232" s="385"/>
      <c r="T232" s="385"/>
      <c r="U232" s="385"/>
      <c r="V232"/>
      <c r="W232"/>
      <c r="X232"/>
      <c r="Y232"/>
    </row>
    <row r="233" spans="1:25" s="386" customFormat="1" ht="15.75">
      <c r="A233" s="684"/>
      <c r="B233" s="687"/>
      <c r="C233" s="674"/>
      <c r="D233" s="675"/>
      <c r="E233" s="675"/>
      <c r="F233" s="675"/>
      <c r="G233" s="675"/>
      <c r="H233" s="676"/>
      <c r="I233" s="676"/>
      <c r="J233" s="675"/>
      <c r="K233" s="675"/>
      <c r="L233" s="675"/>
      <c r="M233" s="676"/>
      <c r="N233" s="676"/>
      <c r="O233" s="675"/>
      <c r="P233" s="675"/>
      <c r="Q233" s="676"/>
      <c r="R233" s="676"/>
      <c r="S233" s="676"/>
      <c r="T233" s="676"/>
      <c r="U233" s="676"/>
      <c r="V233"/>
      <c r="W233"/>
      <c r="X233"/>
      <c r="Y233"/>
    </row>
    <row r="234" spans="1:25" ht="15.75">
      <c r="A234" s="684"/>
      <c r="B234" s="688"/>
      <c r="C234" s="380"/>
      <c r="D234" s="381"/>
      <c r="E234" s="381"/>
      <c r="F234" s="381"/>
      <c r="G234" s="381"/>
      <c r="H234" s="382"/>
      <c r="I234" s="382"/>
      <c r="J234" s="381"/>
      <c r="K234" s="381"/>
      <c r="L234" s="381"/>
      <c r="M234" s="382"/>
      <c r="N234" s="382"/>
      <c r="O234" s="381"/>
      <c r="P234" s="381"/>
      <c r="Q234" s="382"/>
      <c r="R234" s="382"/>
      <c r="S234" s="382"/>
      <c r="T234" s="382"/>
      <c r="U234" s="382"/>
      <c r="V234"/>
      <c r="W234"/>
      <c r="X234"/>
      <c r="Y234"/>
    </row>
    <row r="235" spans="1:25" ht="15.75">
      <c r="A235" s="684"/>
      <c r="B235" s="689"/>
      <c r="C235" s="383"/>
      <c r="D235" s="384"/>
      <c r="E235" s="384"/>
      <c r="F235" s="384"/>
      <c r="G235" s="384"/>
      <c r="H235" s="385"/>
      <c r="I235" s="385"/>
      <c r="J235" s="384"/>
      <c r="K235" s="384"/>
      <c r="L235" s="384"/>
      <c r="M235" s="385"/>
      <c r="N235" s="385"/>
      <c r="O235" s="384"/>
      <c r="P235" s="384"/>
      <c r="Q235" s="385"/>
      <c r="R235" s="385"/>
      <c r="S235" s="385"/>
      <c r="T235" s="385"/>
      <c r="U235" s="385"/>
      <c r="V235"/>
      <c r="W235"/>
      <c r="X235"/>
      <c r="Y235"/>
    </row>
    <row r="236" spans="1:25" s="386" customFormat="1" ht="15.75">
      <c r="A236" s="684"/>
      <c r="B236" s="687"/>
      <c r="C236" s="674"/>
      <c r="D236" s="675"/>
      <c r="E236" s="675"/>
      <c r="F236" s="675"/>
      <c r="G236" s="675"/>
      <c r="H236" s="676"/>
      <c r="I236" s="676"/>
      <c r="J236" s="675"/>
      <c r="K236" s="675"/>
      <c r="L236" s="675"/>
      <c r="M236" s="676"/>
      <c r="N236" s="676"/>
      <c r="O236" s="675"/>
      <c r="P236" s="675"/>
      <c r="Q236" s="676"/>
      <c r="R236" s="676"/>
      <c r="S236" s="676"/>
      <c r="T236" s="676"/>
      <c r="U236" s="676"/>
      <c r="V236"/>
      <c r="W236"/>
      <c r="X236"/>
      <c r="Y236"/>
    </row>
    <row r="237" spans="1:25" ht="15.75">
      <c r="A237" s="684"/>
      <c r="B237" s="688"/>
      <c r="C237" s="380"/>
      <c r="D237" s="381"/>
      <c r="E237" s="381"/>
      <c r="F237" s="381"/>
      <c r="G237" s="381"/>
      <c r="H237" s="382"/>
      <c r="I237" s="382"/>
      <c r="J237" s="381"/>
      <c r="K237" s="381"/>
      <c r="L237" s="381"/>
      <c r="M237" s="382"/>
      <c r="N237" s="382"/>
      <c r="O237" s="381"/>
      <c r="P237" s="381"/>
      <c r="Q237" s="382"/>
      <c r="R237" s="382"/>
      <c r="S237" s="382"/>
      <c r="T237" s="382"/>
      <c r="U237" s="382"/>
      <c r="V237"/>
      <c r="W237"/>
      <c r="X237"/>
      <c r="Y237"/>
    </row>
    <row r="238" spans="1:25" ht="15.75">
      <c r="A238" s="684"/>
      <c r="B238" s="689"/>
      <c r="C238" s="383"/>
      <c r="D238" s="384"/>
      <c r="E238" s="384"/>
      <c r="F238" s="384"/>
      <c r="G238" s="384"/>
      <c r="H238" s="385"/>
      <c r="I238" s="385"/>
      <c r="J238" s="384"/>
      <c r="K238" s="384"/>
      <c r="L238" s="384"/>
      <c r="M238" s="385"/>
      <c r="N238" s="385"/>
      <c r="O238" s="384"/>
      <c r="P238" s="384"/>
      <c r="Q238" s="385"/>
      <c r="R238" s="385"/>
      <c r="S238" s="385"/>
      <c r="T238" s="385"/>
      <c r="U238" s="385"/>
      <c r="V238"/>
      <c r="W238"/>
      <c r="X238"/>
      <c r="Y238"/>
    </row>
    <row r="239" spans="1:25" s="386" customFormat="1" ht="15.75">
      <c r="A239" s="684"/>
      <c r="B239" s="687"/>
      <c r="C239" s="674"/>
      <c r="D239" s="675"/>
      <c r="E239" s="675"/>
      <c r="F239" s="675"/>
      <c r="G239" s="675"/>
      <c r="H239" s="676"/>
      <c r="I239" s="676"/>
      <c r="J239" s="675"/>
      <c r="K239" s="675"/>
      <c r="L239" s="675"/>
      <c r="M239" s="676"/>
      <c r="N239" s="676"/>
      <c r="O239" s="675"/>
      <c r="P239" s="675"/>
      <c r="Q239" s="676"/>
      <c r="R239" s="676"/>
      <c r="S239" s="676"/>
      <c r="T239" s="676"/>
      <c r="U239" s="676"/>
      <c r="V239"/>
      <c r="W239"/>
      <c r="X239"/>
      <c r="Y239"/>
    </row>
    <row r="240" spans="1:25" ht="15.75">
      <c r="A240" s="684"/>
      <c r="B240" s="688"/>
      <c r="C240" s="380"/>
      <c r="D240" s="381"/>
      <c r="E240" s="381"/>
      <c r="F240" s="381"/>
      <c r="G240" s="381"/>
      <c r="H240" s="382"/>
      <c r="I240" s="382"/>
      <c r="J240" s="381"/>
      <c r="K240" s="381"/>
      <c r="L240" s="381"/>
      <c r="M240" s="382"/>
      <c r="N240" s="382"/>
      <c r="O240" s="381"/>
      <c r="P240" s="381"/>
      <c r="Q240" s="382"/>
      <c r="R240" s="382"/>
      <c r="S240" s="382"/>
      <c r="T240" s="382"/>
      <c r="U240" s="382"/>
      <c r="V240"/>
      <c r="W240"/>
      <c r="X240"/>
      <c r="Y240"/>
    </row>
    <row r="241" spans="1:25" ht="15.75">
      <c r="A241" s="684"/>
      <c r="B241" s="689"/>
      <c r="C241" s="383"/>
      <c r="D241" s="384"/>
      <c r="E241" s="384"/>
      <c r="F241" s="384"/>
      <c r="G241" s="384"/>
      <c r="H241" s="385"/>
      <c r="I241" s="385"/>
      <c r="J241" s="384"/>
      <c r="K241" s="384"/>
      <c r="L241" s="384"/>
      <c r="M241" s="385"/>
      <c r="N241" s="385"/>
      <c r="O241" s="384"/>
      <c r="P241" s="384"/>
      <c r="Q241" s="385"/>
      <c r="R241" s="385"/>
      <c r="S241" s="385"/>
      <c r="T241" s="385"/>
      <c r="U241" s="385"/>
      <c r="V241"/>
      <c r="W241"/>
      <c r="X241"/>
      <c r="Y241"/>
    </row>
    <row r="242" spans="1:25" s="386" customFormat="1" ht="15.75">
      <c r="A242" s="684"/>
      <c r="B242" s="687"/>
      <c r="C242" s="674"/>
      <c r="D242" s="675"/>
      <c r="E242" s="675"/>
      <c r="F242" s="675"/>
      <c r="G242" s="675"/>
      <c r="H242" s="676"/>
      <c r="I242" s="676"/>
      <c r="J242" s="675"/>
      <c r="K242" s="675"/>
      <c r="L242" s="675"/>
      <c r="M242" s="676"/>
      <c r="N242" s="676"/>
      <c r="O242" s="675"/>
      <c r="P242" s="675"/>
      <c r="Q242" s="676"/>
      <c r="R242" s="676"/>
      <c r="S242" s="676"/>
      <c r="T242" s="676"/>
      <c r="U242" s="676"/>
      <c r="V242"/>
      <c r="W242"/>
      <c r="X242"/>
      <c r="Y242"/>
    </row>
    <row r="243" spans="1:25" ht="15.75">
      <c r="A243" s="684"/>
      <c r="B243" s="688"/>
      <c r="C243" s="380"/>
      <c r="D243" s="381"/>
      <c r="E243" s="381"/>
      <c r="F243" s="381"/>
      <c r="G243" s="381"/>
      <c r="H243" s="382"/>
      <c r="I243" s="382"/>
      <c r="J243" s="381"/>
      <c r="K243" s="381"/>
      <c r="L243" s="381"/>
      <c r="M243" s="382"/>
      <c r="N243" s="382"/>
      <c r="O243" s="381"/>
      <c r="P243" s="381"/>
      <c r="Q243" s="382"/>
      <c r="R243" s="382"/>
      <c r="S243" s="382"/>
      <c r="T243" s="382"/>
      <c r="U243" s="382"/>
      <c r="V243"/>
      <c r="W243"/>
      <c r="X243"/>
      <c r="Y243"/>
    </row>
    <row r="244" spans="1:25" ht="15.75">
      <c r="A244" s="684"/>
      <c r="B244" s="689"/>
      <c r="C244" s="383"/>
      <c r="D244" s="384"/>
      <c r="E244" s="384"/>
      <c r="F244" s="384"/>
      <c r="G244" s="384"/>
      <c r="H244" s="385"/>
      <c r="I244" s="385"/>
      <c r="J244" s="384"/>
      <c r="K244" s="384"/>
      <c r="L244" s="384"/>
      <c r="M244" s="385"/>
      <c r="N244" s="385"/>
      <c r="O244" s="384"/>
      <c r="P244" s="384"/>
      <c r="Q244" s="385"/>
      <c r="R244" s="385"/>
      <c r="S244" s="385"/>
      <c r="T244" s="385"/>
      <c r="U244" s="385"/>
      <c r="V244"/>
      <c r="W244"/>
      <c r="X244"/>
      <c r="Y244"/>
    </row>
    <row r="245" spans="1:25" s="386" customFormat="1" ht="15.75">
      <c r="A245" s="684"/>
      <c r="B245" s="687"/>
      <c r="C245" s="674"/>
      <c r="D245" s="675"/>
      <c r="E245" s="675"/>
      <c r="F245" s="675"/>
      <c r="G245" s="675"/>
      <c r="H245" s="676"/>
      <c r="I245" s="676"/>
      <c r="J245" s="675"/>
      <c r="K245" s="675"/>
      <c r="L245" s="675"/>
      <c r="M245" s="676"/>
      <c r="N245" s="676"/>
      <c r="O245" s="675"/>
      <c r="P245" s="675"/>
      <c r="Q245" s="676"/>
      <c r="R245" s="676"/>
      <c r="S245" s="676"/>
      <c r="T245" s="676"/>
      <c r="U245" s="676"/>
      <c r="V245"/>
      <c r="W245"/>
      <c r="X245"/>
      <c r="Y245"/>
    </row>
    <row r="246" spans="1:25" ht="15.75">
      <c r="A246" s="684"/>
      <c r="B246" s="688"/>
      <c r="C246" s="380"/>
      <c r="D246" s="381"/>
      <c r="E246" s="381"/>
      <c r="F246" s="381"/>
      <c r="G246" s="381"/>
      <c r="H246" s="382"/>
      <c r="I246" s="382"/>
      <c r="J246" s="381"/>
      <c r="K246" s="381"/>
      <c r="L246" s="381"/>
      <c r="M246" s="382"/>
      <c r="N246" s="382"/>
      <c r="O246" s="381"/>
      <c r="P246" s="381"/>
      <c r="Q246" s="382"/>
      <c r="R246" s="382"/>
      <c r="S246" s="382"/>
      <c r="T246" s="382"/>
      <c r="U246" s="382"/>
      <c r="V246"/>
      <c r="W246"/>
      <c r="X246"/>
      <c r="Y246"/>
    </row>
    <row r="247" spans="1:25" ht="15.75">
      <c r="A247" s="684"/>
      <c r="B247" s="689"/>
      <c r="C247" s="383"/>
      <c r="D247" s="384"/>
      <c r="E247" s="384"/>
      <c r="F247" s="384"/>
      <c r="G247" s="384"/>
      <c r="H247" s="385"/>
      <c r="I247" s="385"/>
      <c r="J247" s="384"/>
      <c r="K247" s="384"/>
      <c r="L247" s="384"/>
      <c r="M247" s="385"/>
      <c r="N247" s="385"/>
      <c r="O247" s="384"/>
      <c r="P247" s="384"/>
      <c r="Q247" s="385"/>
      <c r="R247" s="385"/>
      <c r="S247" s="385"/>
      <c r="T247" s="385"/>
      <c r="U247" s="385"/>
      <c r="V247"/>
      <c r="W247"/>
      <c r="X247"/>
      <c r="Y247"/>
    </row>
    <row r="248" spans="1:25" s="386" customFormat="1" ht="15.75">
      <c r="A248" s="684"/>
      <c r="B248" s="687"/>
      <c r="C248" s="674"/>
      <c r="D248" s="675"/>
      <c r="E248" s="675"/>
      <c r="F248" s="675"/>
      <c r="G248" s="675"/>
      <c r="H248" s="676"/>
      <c r="I248" s="676"/>
      <c r="J248" s="675"/>
      <c r="K248" s="675"/>
      <c r="L248" s="675"/>
      <c r="M248" s="676"/>
      <c r="N248" s="676"/>
      <c r="O248" s="675"/>
      <c r="P248" s="675"/>
      <c r="Q248" s="676"/>
      <c r="R248" s="676"/>
      <c r="S248" s="676"/>
      <c r="T248" s="676"/>
      <c r="U248" s="676"/>
      <c r="V248"/>
      <c r="W248"/>
      <c r="X248"/>
      <c r="Y248"/>
    </row>
    <row r="249" spans="1:25" ht="15.75">
      <c r="A249" s="684"/>
      <c r="B249" s="688"/>
      <c r="C249" s="380"/>
      <c r="D249" s="381"/>
      <c r="E249" s="381"/>
      <c r="F249" s="381"/>
      <c r="G249" s="381"/>
      <c r="H249" s="382"/>
      <c r="I249" s="382"/>
      <c r="J249" s="381"/>
      <c r="K249" s="381"/>
      <c r="L249" s="381"/>
      <c r="M249" s="382"/>
      <c r="N249" s="382"/>
      <c r="O249" s="381"/>
      <c r="P249" s="381"/>
      <c r="Q249" s="382"/>
      <c r="R249" s="382"/>
      <c r="S249" s="382"/>
      <c r="T249" s="382"/>
      <c r="U249" s="382"/>
      <c r="V249"/>
      <c r="W249"/>
      <c r="X249"/>
      <c r="Y249"/>
    </row>
    <row r="250" spans="1:25" ht="15.75">
      <c r="A250" s="684"/>
      <c r="B250" s="689"/>
      <c r="C250" s="383"/>
      <c r="D250" s="384"/>
      <c r="E250" s="384"/>
      <c r="F250" s="384"/>
      <c r="G250" s="384"/>
      <c r="H250" s="385"/>
      <c r="I250" s="385"/>
      <c r="J250" s="384"/>
      <c r="K250" s="384"/>
      <c r="L250" s="384"/>
      <c r="M250" s="385"/>
      <c r="N250" s="385"/>
      <c r="O250" s="384"/>
      <c r="P250" s="384"/>
      <c r="Q250" s="385"/>
      <c r="R250" s="385"/>
      <c r="S250" s="385"/>
      <c r="T250" s="385"/>
      <c r="U250" s="385"/>
      <c r="V250"/>
      <c r="W250"/>
      <c r="X250"/>
      <c r="Y250"/>
    </row>
    <row r="251" spans="1:25" s="386" customFormat="1" ht="15.75">
      <c r="A251" s="684"/>
      <c r="B251" s="687"/>
      <c r="C251" s="674"/>
      <c r="D251" s="675"/>
      <c r="E251" s="675"/>
      <c r="F251" s="675"/>
      <c r="G251" s="675"/>
      <c r="H251" s="676"/>
      <c r="I251" s="676"/>
      <c r="J251" s="675"/>
      <c r="K251" s="675"/>
      <c r="L251" s="675"/>
      <c r="M251" s="676"/>
      <c r="N251" s="676"/>
      <c r="O251" s="675"/>
      <c r="P251" s="675"/>
      <c r="Q251" s="676"/>
      <c r="R251" s="676"/>
      <c r="S251" s="676"/>
      <c r="T251" s="676"/>
      <c r="U251" s="676"/>
      <c r="V251"/>
      <c r="W251"/>
      <c r="X251"/>
      <c r="Y251"/>
    </row>
    <row r="252" spans="1:25" ht="15.75">
      <c r="A252" s="684"/>
      <c r="B252" s="688"/>
      <c r="C252" s="380"/>
      <c r="D252" s="381"/>
      <c r="E252" s="381"/>
      <c r="F252" s="381"/>
      <c r="G252" s="381"/>
      <c r="H252" s="382"/>
      <c r="I252" s="382"/>
      <c r="J252" s="381"/>
      <c r="K252" s="381"/>
      <c r="L252" s="381"/>
      <c r="M252" s="382"/>
      <c r="N252" s="382"/>
      <c r="O252" s="381"/>
      <c r="P252" s="381"/>
      <c r="Q252" s="382"/>
      <c r="R252" s="382"/>
      <c r="S252" s="382"/>
      <c r="T252" s="382"/>
      <c r="U252" s="382"/>
      <c r="V252"/>
      <c r="W252"/>
      <c r="X252"/>
      <c r="Y252"/>
    </row>
    <row r="253" spans="1:25" ht="15.75">
      <c r="A253" s="684"/>
      <c r="B253" s="689"/>
      <c r="C253" s="383"/>
      <c r="D253" s="384"/>
      <c r="E253" s="384"/>
      <c r="F253" s="384"/>
      <c r="G253" s="384"/>
      <c r="H253" s="385"/>
      <c r="I253" s="385"/>
      <c r="J253" s="384"/>
      <c r="K253" s="384"/>
      <c r="L253" s="384"/>
      <c r="M253" s="385"/>
      <c r="N253" s="385"/>
      <c r="O253" s="384"/>
      <c r="P253" s="384"/>
      <c r="Q253" s="385"/>
      <c r="R253" s="385"/>
      <c r="S253" s="385"/>
      <c r="T253" s="385"/>
      <c r="U253" s="385"/>
      <c r="V253"/>
      <c r="W253"/>
      <c r="X253"/>
      <c r="Y253"/>
    </row>
    <row r="254" spans="1:25" s="386" customFormat="1" ht="15.75">
      <c r="A254" s="684"/>
      <c r="B254" s="687"/>
      <c r="C254" s="674"/>
      <c r="D254" s="675"/>
      <c r="E254" s="675"/>
      <c r="F254" s="675"/>
      <c r="G254" s="675"/>
      <c r="H254" s="676"/>
      <c r="I254" s="676"/>
      <c r="J254" s="675"/>
      <c r="K254" s="675"/>
      <c r="L254" s="675"/>
      <c r="M254" s="676"/>
      <c r="N254" s="676"/>
      <c r="O254" s="675"/>
      <c r="P254" s="675"/>
      <c r="Q254" s="676"/>
      <c r="R254" s="676"/>
      <c r="S254" s="676"/>
      <c r="T254" s="676"/>
      <c r="U254" s="676"/>
      <c r="V254"/>
      <c r="W254"/>
      <c r="X254"/>
      <c r="Y254"/>
    </row>
    <row r="255" spans="1:25" ht="15.75">
      <c r="A255" s="685"/>
      <c r="B255" s="690"/>
      <c r="C255" s="576"/>
      <c r="D255" s="577"/>
      <c r="E255" s="577"/>
      <c r="F255" s="577"/>
      <c r="G255" s="577"/>
      <c r="H255" s="578"/>
      <c r="I255" s="578"/>
      <c r="J255" s="577"/>
      <c r="K255" s="577"/>
      <c r="L255" s="577"/>
      <c r="M255" s="578"/>
      <c r="N255" s="578"/>
      <c r="O255" s="577"/>
      <c r="P255" s="577"/>
      <c r="Q255" s="578"/>
      <c r="R255" s="578"/>
      <c r="S255" s="578"/>
      <c r="T255" s="578"/>
      <c r="U255" s="578"/>
      <c r="V255"/>
      <c r="W255"/>
      <c r="X255"/>
      <c r="Y255"/>
    </row>
    <row r="256" spans="1:25" ht="15.75">
      <c r="A256" s="683"/>
      <c r="B256" s="687"/>
      <c r="C256" s="674"/>
      <c r="D256" s="675"/>
      <c r="E256" s="675"/>
      <c r="F256" s="675"/>
      <c r="G256" s="675"/>
      <c r="H256" s="676"/>
      <c r="I256" s="676"/>
      <c r="J256" s="675"/>
      <c r="K256" s="675"/>
      <c r="L256" s="675"/>
      <c r="M256" s="676"/>
      <c r="N256" s="676"/>
      <c r="O256" s="675"/>
      <c r="P256" s="675"/>
      <c r="Q256" s="676"/>
      <c r="R256" s="676"/>
      <c r="S256" s="676"/>
      <c r="T256" s="676"/>
      <c r="U256" s="676"/>
      <c r="V256"/>
      <c r="W256"/>
      <c r="X256"/>
      <c r="Y256"/>
    </row>
    <row r="257" spans="1:25" s="386" customFormat="1" ht="15.75">
      <c r="A257" s="684"/>
      <c r="B257" s="688"/>
      <c r="C257" s="380"/>
      <c r="D257" s="381"/>
      <c r="E257" s="381"/>
      <c r="F257" s="381"/>
      <c r="G257" s="381"/>
      <c r="H257" s="382"/>
      <c r="I257" s="382"/>
      <c r="J257" s="381"/>
      <c r="K257" s="381"/>
      <c r="L257" s="381"/>
      <c r="M257" s="382"/>
      <c r="N257" s="382"/>
      <c r="O257" s="381"/>
      <c r="P257" s="381"/>
      <c r="Q257" s="382"/>
      <c r="R257" s="382"/>
      <c r="S257" s="382"/>
      <c r="T257" s="382"/>
      <c r="U257" s="382"/>
      <c r="V257"/>
      <c r="W257"/>
      <c r="X257"/>
      <c r="Y257"/>
    </row>
    <row r="258" spans="1:25" ht="15.75">
      <c r="A258" s="684"/>
      <c r="B258" s="689"/>
      <c r="C258" s="383"/>
      <c r="D258" s="384"/>
      <c r="E258" s="384"/>
      <c r="F258" s="384"/>
      <c r="G258" s="384"/>
      <c r="H258" s="385"/>
      <c r="I258" s="385"/>
      <c r="J258" s="384"/>
      <c r="K258" s="384"/>
      <c r="L258" s="384"/>
      <c r="M258" s="385"/>
      <c r="N258" s="385"/>
      <c r="O258" s="384"/>
      <c r="P258" s="384"/>
      <c r="Q258" s="385"/>
      <c r="R258" s="385"/>
      <c r="S258" s="385"/>
      <c r="T258" s="385"/>
      <c r="U258" s="385"/>
      <c r="V258"/>
      <c r="W258"/>
      <c r="X258"/>
      <c r="Y258"/>
    </row>
    <row r="259" spans="1:25" ht="15.75">
      <c r="A259" s="684"/>
      <c r="B259" s="687"/>
      <c r="C259" s="674"/>
      <c r="D259" s="675"/>
      <c r="E259" s="675"/>
      <c r="F259" s="675"/>
      <c r="G259" s="675"/>
      <c r="H259" s="676"/>
      <c r="I259" s="676"/>
      <c r="J259" s="675"/>
      <c r="K259" s="675"/>
      <c r="L259" s="675"/>
      <c r="M259" s="676"/>
      <c r="N259" s="676"/>
      <c r="O259" s="675"/>
      <c r="P259" s="675"/>
      <c r="Q259" s="676"/>
      <c r="R259" s="676"/>
      <c r="S259" s="676"/>
      <c r="T259" s="676"/>
      <c r="U259" s="676"/>
      <c r="V259"/>
      <c r="W259"/>
      <c r="X259"/>
      <c r="Y259"/>
    </row>
    <row r="260" spans="1:25" s="386" customFormat="1" ht="15.75">
      <c r="A260" s="684"/>
      <c r="B260" s="688"/>
      <c r="C260" s="380"/>
      <c r="D260" s="381"/>
      <c r="E260" s="381"/>
      <c r="F260" s="381"/>
      <c r="G260" s="381"/>
      <c r="H260" s="382"/>
      <c r="I260" s="382"/>
      <c r="J260" s="381"/>
      <c r="K260" s="381"/>
      <c r="L260" s="381"/>
      <c r="M260" s="382"/>
      <c r="N260" s="382"/>
      <c r="O260" s="381"/>
      <c r="P260" s="381"/>
      <c r="Q260" s="382"/>
      <c r="R260" s="382"/>
      <c r="S260" s="382"/>
      <c r="T260" s="382"/>
      <c r="U260" s="382"/>
      <c r="V260"/>
      <c r="W260"/>
      <c r="X260"/>
      <c r="Y260"/>
    </row>
    <row r="261" spans="1:25" ht="15.75">
      <c r="A261" s="684"/>
      <c r="B261" s="689"/>
      <c r="C261" s="383"/>
      <c r="D261" s="384"/>
      <c r="E261" s="384"/>
      <c r="F261" s="384"/>
      <c r="G261" s="384"/>
      <c r="H261" s="385"/>
      <c r="I261" s="385"/>
      <c r="J261" s="384"/>
      <c r="K261" s="384"/>
      <c r="L261" s="384"/>
      <c r="M261" s="385"/>
      <c r="N261" s="385"/>
      <c r="O261" s="384"/>
      <c r="P261" s="384"/>
      <c r="Q261" s="385"/>
      <c r="R261" s="385"/>
      <c r="S261" s="385"/>
      <c r="T261" s="385"/>
      <c r="U261" s="385"/>
      <c r="V261"/>
      <c r="W261"/>
      <c r="X261"/>
      <c r="Y261"/>
    </row>
    <row r="262" spans="1:25" ht="15.75">
      <c r="A262" s="684"/>
      <c r="B262" s="687"/>
      <c r="C262" s="674"/>
      <c r="D262" s="675"/>
      <c r="E262" s="675"/>
      <c r="F262" s="675"/>
      <c r="G262" s="675"/>
      <c r="H262" s="676"/>
      <c r="I262" s="676"/>
      <c r="J262" s="675"/>
      <c r="K262" s="675"/>
      <c r="L262" s="675"/>
      <c r="M262" s="676"/>
      <c r="N262" s="676"/>
      <c r="O262" s="675"/>
      <c r="P262" s="675"/>
      <c r="Q262" s="676"/>
      <c r="R262" s="676"/>
      <c r="S262" s="676"/>
      <c r="T262" s="676"/>
      <c r="U262" s="676"/>
      <c r="V262"/>
      <c r="W262"/>
      <c r="X262"/>
      <c r="Y262"/>
    </row>
    <row r="263" spans="1:25" s="386" customFormat="1" ht="15.75">
      <c r="A263" s="684"/>
      <c r="B263" s="688"/>
      <c r="C263" s="380"/>
      <c r="D263" s="381"/>
      <c r="E263" s="381"/>
      <c r="F263" s="381"/>
      <c r="G263" s="381"/>
      <c r="H263" s="382"/>
      <c r="I263" s="382"/>
      <c r="J263" s="381"/>
      <c r="K263" s="381"/>
      <c r="L263" s="381"/>
      <c r="M263" s="382"/>
      <c r="N263" s="382"/>
      <c r="O263" s="381"/>
      <c r="P263" s="381"/>
      <c r="Q263" s="382"/>
      <c r="R263" s="382"/>
      <c r="S263" s="382"/>
      <c r="T263" s="382"/>
      <c r="U263" s="382"/>
      <c r="V263"/>
      <c r="W263"/>
      <c r="X263"/>
      <c r="Y263"/>
    </row>
    <row r="264" spans="1:25" ht="15.75">
      <c r="A264" s="684"/>
      <c r="B264" s="689"/>
      <c r="C264" s="383"/>
      <c r="D264" s="384"/>
      <c r="E264" s="384"/>
      <c r="F264" s="692"/>
      <c r="G264" s="384"/>
      <c r="H264" s="385"/>
      <c r="I264" s="385"/>
      <c r="J264" s="384"/>
      <c r="K264" s="384"/>
      <c r="L264" s="384"/>
      <c r="M264" s="385"/>
      <c r="N264" s="385"/>
      <c r="O264" s="692"/>
      <c r="P264" s="384"/>
      <c r="Q264" s="385"/>
      <c r="R264" s="385"/>
      <c r="S264" s="385"/>
      <c r="T264" s="385"/>
      <c r="U264" s="385"/>
      <c r="V264"/>
      <c r="W264"/>
      <c r="X264"/>
      <c r="Y264"/>
    </row>
    <row r="265" spans="1:25" ht="15.75">
      <c r="A265" s="684"/>
      <c r="B265" s="687"/>
      <c r="C265" s="674"/>
      <c r="D265" s="675"/>
      <c r="E265" s="675"/>
      <c r="F265" s="675"/>
      <c r="G265" s="675"/>
      <c r="H265" s="676"/>
      <c r="I265" s="676"/>
      <c r="J265" s="675"/>
      <c r="K265" s="675"/>
      <c r="L265" s="675"/>
      <c r="M265" s="676"/>
      <c r="N265" s="676"/>
      <c r="O265" s="675"/>
      <c r="P265" s="675"/>
      <c r="Q265" s="676"/>
      <c r="R265" s="676"/>
      <c r="S265" s="676"/>
      <c r="T265" s="676"/>
      <c r="U265" s="676"/>
      <c r="V265"/>
      <c r="W265"/>
      <c r="X265"/>
      <c r="Y265"/>
    </row>
    <row r="266" spans="1:25" s="386" customFormat="1" ht="15.75">
      <c r="A266" s="684"/>
      <c r="B266" s="688"/>
      <c r="C266" s="380"/>
      <c r="D266" s="381"/>
      <c r="E266" s="381"/>
      <c r="F266" s="381"/>
      <c r="G266" s="381"/>
      <c r="H266" s="382"/>
      <c r="I266" s="382"/>
      <c r="J266" s="381"/>
      <c r="K266" s="381"/>
      <c r="L266" s="381"/>
      <c r="M266" s="382"/>
      <c r="N266" s="382"/>
      <c r="O266" s="381"/>
      <c r="P266" s="381"/>
      <c r="Q266" s="382"/>
      <c r="R266" s="382"/>
      <c r="S266" s="382"/>
      <c r="T266" s="382"/>
      <c r="U266" s="382"/>
      <c r="V266"/>
      <c r="W266"/>
      <c r="X266"/>
      <c r="Y266"/>
    </row>
    <row r="267" spans="1:25" ht="15.75">
      <c r="A267" s="684"/>
      <c r="B267" s="689"/>
      <c r="C267" s="383"/>
      <c r="D267" s="384"/>
      <c r="E267" s="384"/>
      <c r="F267" s="384"/>
      <c r="G267" s="692"/>
      <c r="H267" s="385"/>
      <c r="I267" s="385"/>
      <c r="J267" s="384"/>
      <c r="K267" s="384"/>
      <c r="L267" s="384"/>
      <c r="M267" s="385"/>
      <c r="N267" s="385"/>
      <c r="O267" s="384"/>
      <c r="P267" s="384"/>
      <c r="Q267" s="385"/>
      <c r="R267" s="385"/>
      <c r="S267" s="385"/>
      <c r="T267" s="385"/>
      <c r="U267" s="385"/>
      <c r="V267"/>
      <c r="W267"/>
      <c r="X267"/>
      <c r="Y267"/>
    </row>
    <row r="268" spans="1:25" ht="15.75">
      <c r="A268" s="684"/>
      <c r="B268" s="687"/>
      <c r="C268" s="674"/>
      <c r="D268" s="675"/>
      <c r="E268" s="675"/>
      <c r="F268" s="675"/>
      <c r="G268" s="675"/>
      <c r="H268" s="676"/>
      <c r="I268" s="676"/>
      <c r="J268" s="675"/>
      <c r="K268" s="675"/>
      <c r="L268" s="675"/>
      <c r="M268" s="676"/>
      <c r="N268" s="676"/>
      <c r="O268" s="675"/>
      <c r="P268" s="675"/>
      <c r="Q268" s="676"/>
      <c r="R268" s="676"/>
      <c r="S268" s="676"/>
      <c r="T268" s="676"/>
      <c r="U268" s="676"/>
      <c r="V268"/>
      <c r="W268"/>
      <c r="X268"/>
      <c r="Y268"/>
    </row>
    <row r="269" spans="1:25" s="386" customFormat="1" ht="15.75">
      <c r="A269" s="684"/>
      <c r="B269" s="688"/>
      <c r="C269" s="380"/>
      <c r="D269" s="381"/>
      <c r="E269" s="381"/>
      <c r="F269" s="381"/>
      <c r="G269" s="381"/>
      <c r="H269" s="382"/>
      <c r="I269" s="382"/>
      <c r="J269" s="381"/>
      <c r="K269" s="381"/>
      <c r="L269" s="381"/>
      <c r="M269" s="382"/>
      <c r="N269" s="382"/>
      <c r="O269" s="381"/>
      <c r="P269" s="381"/>
      <c r="Q269" s="382"/>
      <c r="R269" s="382"/>
      <c r="S269" s="382"/>
      <c r="T269" s="382"/>
      <c r="U269" s="382"/>
      <c r="V269"/>
      <c r="W269"/>
      <c r="X269"/>
      <c r="Y269"/>
    </row>
    <row r="270" spans="1:25" ht="15.75">
      <c r="A270" s="684"/>
      <c r="B270" s="689"/>
      <c r="C270" s="383"/>
      <c r="D270" s="384"/>
      <c r="E270" s="384"/>
      <c r="F270" s="384"/>
      <c r="G270" s="384"/>
      <c r="H270" s="385"/>
      <c r="I270" s="385"/>
      <c r="J270" s="384"/>
      <c r="K270" s="384"/>
      <c r="L270" s="384"/>
      <c r="M270" s="385"/>
      <c r="N270" s="385"/>
      <c r="O270" s="384"/>
      <c r="P270" s="384"/>
      <c r="Q270" s="385"/>
      <c r="R270" s="385"/>
      <c r="S270" s="385"/>
      <c r="T270" s="385"/>
      <c r="U270" s="385"/>
      <c r="V270"/>
      <c r="W270"/>
      <c r="X270"/>
      <c r="Y270"/>
    </row>
    <row r="271" spans="1:25" ht="15.75">
      <c r="A271" s="684"/>
      <c r="B271" s="687"/>
      <c r="C271" s="674"/>
      <c r="D271" s="675"/>
      <c r="E271" s="675"/>
      <c r="F271" s="675"/>
      <c r="G271" s="675"/>
      <c r="H271" s="676"/>
      <c r="I271" s="676"/>
      <c r="J271" s="675"/>
      <c r="K271" s="675"/>
      <c r="L271" s="675"/>
      <c r="M271" s="676"/>
      <c r="N271" s="676"/>
      <c r="O271" s="675"/>
      <c r="P271" s="675"/>
      <c r="Q271" s="676"/>
      <c r="R271" s="676"/>
      <c r="S271" s="676"/>
      <c r="T271" s="676"/>
      <c r="U271" s="676"/>
      <c r="V271"/>
      <c r="W271"/>
      <c r="X271"/>
      <c r="Y271"/>
    </row>
    <row r="272" spans="1:25" s="386" customFormat="1" ht="15.75">
      <c r="A272" s="684"/>
      <c r="B272" s="688"/>
      <c r="C272" s="380"/>
      <c r="D272" s="381"/>
      <c r="E272" s="381"/>
      <c r="F272" s="381"/>
      <c r="G272" s="381"/>
      <c r="H272" s="382"/>
      <c r="I272" s="382"/>
      <c r="J272" s="381"/>
      <c r="K272" s="381"/>
      <c r="L272" s="381"/>
      <c r="M272" s="382"/>
      <c r="N272" s="382"/>
      <c r="O272" s="381"/>
      <c r="P272" s="381"/>
      <c r="Q272" s="382"/>
      <c r="R272" s="382"/>
      <c r="S272" s="382"/>
      <c r="T272" s="382"/>
      <c r="U272" s="382"/>
      <c r="V272"/>
      <c r="W272"/>
      <c r="X272"/>
      <c r="Y272"/>
    </row>
    <row r="273" spans="1:25" ht="15.75">
      <c r="A273" s="684"/>
      <c r="B273" s="689"/>
      <c r="C273" s="383"/>
      <c r="D273" s="384"/>
      <c r="E273" s="384"/>
      <c r="F273" s="384"/>
      <c r="G273" s="384"/>
      <c r="H273" s="385"/>
      <c r="I273" s="385"/>
      <c r="J273" s="384"/>
      <c r="K273" s="384"/>
      <c r="L273" s="384"/>
      <c r="M273" s="385"/>
      <c r="N273" s="385"/>
      <c r="O273" s="384"/>
      <c r="P273" s="384"/>
      <c r="Q273" s="385"/>
      <c r="R273" s="385"/>
      <c r="S273" s="385"/>
      <c r="T273" s="385"/>
      <c r="U273" s="385"/>
      <c r="V273"/>
      <c r="W273"/>
      <c r="X273"/>
      <c r="Y273"/>
    </row>
    <row r="274" spans="1:25" ht="15.75">
      <c r="A274" s="684"/>
      <c r="B274" s="687"/>
      <c r="C274" s="674"/>
      <c r="D274" s="675"/>
      <c r="E274" s="675"/>
      <c r="F274" s="675"/>
      <c r="G274" s="675"/>
      <c r="H274" s="676"/>
      <c r="I274" s="676"/>
      <c r="J274" s="675"/>
      <c r="K274" s="675"/>
      <c r="L274" s="675"/>
      <c r="M274" s="676"/>
      <c r="N274" s="676"/>
      <c r="O274" s="675"/>
      <c r="P274" s="675"/>
      <c r="Q274" s="676"/>
      <c r="R274" s="676"/>
      <c r="S274" s="676"/>
      <c r="T274" s="676"/>
      <c r="U274" s="676"/>
      <c r="V274"/>
      <c r="W274"/>
      <c r="X274"/>
      <c r="Y274"/>
    </row>
    <row r="275" spans="1:25" s="386" customFormat="1" ht="15.75">
      <c r="A275" s="684"/>
      <c r="B275" s="688"/>
      <c r="C275" s="380"/>
      <c r="D275" s="381"/>
      <c r="E275" s="381"/>
      <c r="F275" s="381"/>
      <c r="G275" s="381"/>
      <c r="H275" s="382"/>
      <c r="I275" s="382"/>
      <c r="J275" s="381"/>
      <c r="K275" s="381"/>
      <c r="L275" s="381"/>
      <c r="M275" s="382"/>
      <c r="N275" s="382"/>
      <c r="O275" s="381"/>
      <c r="P275" s="381"/>
      <c r="Q275" s="382"/>
      <c r="R275" s="382"/>
      <c r="S275" s="382"/>
      <c r="T275" s="382"/>
      <c r="U275" s="382"/>
      <c r="V275"/>
      <c r="W275"/>
      <c r="X275"/>
      <c r="Y275"/>
    </row>
    <row r="276" spans="1:25" ht="15.75">
      <c r="A276" s="684"/>
      <c r="B276" s="689"/>
      <c r="C276" s="383"/>
      <c r="D276" s="384"/>
      <c r="E276" s="384"/>
      <c r="F276" s="384"/>
      <c r="G276" s="384"/>
      <c r="H276" s="385"/>
      <c r="I276" s="385"/>
      <c r="J276" s="384"/>
      <c r="K276" s="384"/>
      <c r="L276" s="384"/>
      <c r="M276" s="385"/>
      <c r="N276" s="385"/>
      <c r="O276" s="384"/>
      <c r="P276" s="384"/>
      <c r="Q276" s="385"/>
      <c r="R276" s="385"/>
      <c r="S276" s="385"/>
      <c r="T276" s="385"/>
      <c r="U276" s="385"/>
      <c r="V276"/>
      <c r="W276"/>
      <c r="X276"/>
      <c r="Y276"/>
    </row>
    <row r="277" spans="1:25" ht="15.75">
      <c r="A277" s="684"/>
      <c r="B277" s="687"/>
      <c r="C277" s="674"/>
      <c r="D277" s="675"/>
      <c r="E277" s="675"/>
      <c r="F277" s="675"/>
      <c r="G277" s="675"/>
      <c r="H277" s="676"/>
      <c r="I277" s="676"/>
      <c r="J277" s="675"/>
      <c r="K277" s="675"/>
      <c r="L277" s="675"/>
      <c r="M277" s="676"/>
      <c r="N277" s="676"/>
      <c r="O277" s="675"/>
      <c r="P277" s="675"/>
      <c r="Q277" s="676"/>
      <c r="R277" s="676"/>
      <c r="S277" s="676"/>
      <c r="T277" s="676"/>
      <c r="U277" s="676"/>
      <c r="V277"/>
      <c r="W277"/>
      <c r="X277"/>
      <c r="Y277"/>
    </row>
    <row r="278" spans="1:25" s="386" customFormat="1" ht="15.75">
      <c r="A278" s="684"/>
      <c r="B278" s="688"/>
      <c r="C278" s="380"/>
      <c r="D278" s="381"/>
      <c r="E278" s="381"/>
      <c r="F278" s="381"/>
      <c r="G278" s="381"/>
      <c r="H278" s="382"/>
      <c r="I278" s="382"/>
      <c r="J278" s="381"/>
      <c r="K278" s="381"/>
      <c r="L278" s="381"/>
      <c r="M278" s="382"/>
      <c r="N278" s="382"/>
      <c r="O278" s="381"/>
      <c r="P278" s="381"/>
      <c r="Q278" s="382"/>
      <c r="R278" s="382"/>
      <c r="S278" s="382"/>
      <c r="T278" s="382"/>
      <c r="U278" s="382"/>
      <c r="V278"/>
      <c r="W278"/>
      <c r="X278"/>
      <c r="Y278"/>
    </row>
    <row r="279" spans="1:25" ht="15.75">
      <c r="A279" s="684"/>
      <c r="B279" s="689"/>
      <c r="C279" s="383"/>
      <c r="D279" s="384"/>
      <c r="E279" s="384"/>
      <c r="F279" s="384"/>
      <c r="G279" s="384"/>
      <c r="H279" s="385"/>
      <c r="I279" s="385"/>
      <c r="J279" s="384"/>
      <c r="K279" s="384"/>
      <c r="L279" s="384"/>
      <c r="M279" s="385"/>
      <c r="N279" s="385"/>
      <c r="O279" s="384"/>
      <c r="P279" s="384"/>
      <c r="Q279" s="385"/>
      <c r="R279" s="385"/>
      <c r="S279" s="385"/>
      <c r="T279" s="385"/>
      <c r="U279" s="385"/>
      <c r="V279"/>
      <c r="W279"/>
      <c r="X279"/>
      <c r="Y279"/>
    </row>
    <row r="280" spans="1:25" ht="15.75">
      <c r="A280" s="684"/>
      <c r="B280" s="687"/>
      <c r="C280" s="674"/>
      <c r="D280" s="675"/>
      <c r="E280" s="675"/>
      <c r="F280" s="675"/>
      <c r="G280" s="675"/>
      <c r="H280" s="676"/>
      <c r="I280" s="676"/>
      <c r="J280" s="675"/>
      <c r="K280" s="675"/>
      <c r="L280" s="675"/>
      <c r="M280" s="676"/>
      <c r="N280" s="676"/>
      <c r="O280" s="675"/>
      <c r="P280" s="675"/>
      <c r="Q280" s="676"/>
      <c r="R280" s="676"/>
      <c r="S280" s="676"/>
      <c r="T280" s="676"/>
      <c r="U280" s="676"/>
      <c r="V280"/>
      <c r="W280"/>
      <c r="X280"/>
      <c r="Y280"/>
    </row>
    <row r="281" spans="1:25" s="386" customFormat="1" ht="15.75">
      <c r="A281" s="684"/>
      <c r="B281" s="688"/>
      <c r="C281" s="380"/>
      <c r="D281" s="381"/>
      <c r="E281" s="381"/>
      <c r="F281" s="381"/>
      <c r="G281" s="381"/>
      <c r="H281" s="382"/>
      <c r="I281" s="382"/>
      <c r="J281" s="381"/>
      <c r="K281" s="381"/>
      <c r="L281" s="381"/>
      <c r="M281" s="382"/>
      <c r="N281" s="382"/>
      <c r="O281" s="381"/>
      <c r="P281" s="381"/>
      <c r="Q281" s="382"/>
      <c r="R281" s="382"/>
      <c r="S281" s="382"/>
      <c r="T281" s="382"/>
      <c r="U281" s="382"/>
      <c r="V281"/>
      <c r="W281"/>
      <c r="X281"/>
      <c r="Y281"/>
    </row>
    <row r="282" spans="1:25" ht="15.75">
      <c r="A282" s="684"/>
      <c r="B282" s="689"/>
      <c r="C282" s="383"/>
      <c r="D282" s="384"/>
      <c r="E282" s="384"/>
      <c r="F282" s="384"/>
      <c r="G282" s="384"/>
      <c r="H282" s="385"/>
      <c r="I282" s="385"/>
      <c r="J282" s="384"/>
      <c r="K282" s="384"/>
      <c r="L282" s="384"/>
      <c r="M282" s="385"/>
      <c r="N282" s="385"/>
      <c r="O282" s="384"/>
      <c r="P282" s="384"/>
      <c r="Q282" s="385"/>
      <c r="R282" s="385"/>
      <c r="S282" s="385"/>
      <c r="T282" s="385"/>
      <c r="U282" s="385"/>
      <c r="V282"/>
      <c r="W282"/>
      <c r="X282"/>
      <c r="Y282"/>
    </row>
    <row r="283" spans="1:25" ht="15.75">
      <c r="A283" s="684"/>
      <c r="B283" s="687"/>
      <c r="C283" s="674"/>
      <c r="D283" s="675"/>
      <c r="E283" s="675"/>
      <c r="F283" s="675"/>
      <c r="G283" s="675"/>
      <c r="H283" s="676"/>
      <c r="I283" s="676"/>
      <c r="J283" s="675"/>
      <c r="K283" s="675"/>
      <c r="L283" s="675"/>
      <c r="M283" s="676"/>
      <c r="N283" s="676"/>
      <c r="O283" s="675"/>
      <c r="P283" s="675"/>
      <c r="Q283" s="676"/>
      <c r="R283" s="676"/>
      <c r="S283" s="676"/>
      <c r="T283" s="676"/>
      <c r="U283" s="676"/>
      <c r="V283"/>
      <c r="W283"/>
      <c r="X283"/>
      <c r="Y283"/>
    </row>
    <row r="284" spans="1:25" s="386" customFormat="1" ht="15.75">
      <c r="A284" s="684"/>
      <c r="B284" s="688"/>
      <c r="C284" s="380"/>
      <c r="D284" s="381"/>
      <c r="E284" s="381"/>
      <c r="F284" s="381"/>
      <c r="G284" s="381"/>
      <c r="H284" s="382"/>
      <c r="I284" s="382"/>
      <c r="J284" s="381"/>
      <c r="K284" s="381"/>
      <c r="L284" s="381"/>
      <c r="M284" s="382"/>
      <c r="N284" s="382"/>
      <c r="O284" s="381"/>
      <c r="P284" s="381"/>
      <c r="Q284" s="382"/>
      <c r="R284" s="382"/>
      <c r="S284" s="382"/>
      <c r="T284" s="382"/>
      <c r="U284" s="382"/>
      <c r="V284"/>
      <c r="W284"/>
      <c r="X284"/>
      <c r="Y284"/>
    </row>
    <row r="285" spans="1:25" ht="15.75">
      <c r="A285" s="684"/>
      <c r="B285" s="689"/>
      <c r="C285" s="383"/>
      <c r="D285" s="384"/>
      <c r="E285" s="384"/>
      <c r="F285" s="384"/>
      <c r="G285" s="384"/>
      <c r="H285" s="385"/>
      <c r="I285" s="385"/>
      <c r="J285" s="384"/>
      <c r="K285" s="384"/>
      <c r="L285" s="384"/>
      <c r="M285" s="385"/>
      <c r="N285" s="385"/>
      <c r="O285" s="384"/>
      <c r="P285" s="384"/>
      <c r="Q285" s="385"/>
      <c r="R285" s="385"/>
      <c r="S285" s="385"/>
      <c r="T285" s="385"/>
      <c r="U285" s="385"/>
      <c r="V285"/>
      <c r="W285"/>
      <c r="X285"/>
      <c r="Y285"/>
    </row>
    <row r="286" spans="1:25" ht="15.75">
      <c r="A286" s="684"/>
      <c r="B286" s="687"/>
      <c r="C286" s="674"/>
      <c r="D286" s="675"/>
      <c r="E286" s="675"/>
      <c r="F286" s="675"/>
      <c r="G286" s="675"/>
      <c r="H286" s="676"/>
      <c r="I286" s="676"/>
      <c r="J286" s="675"/>
      <c r="K286" s="675"/>
      <c r="L286" s="675"/>
      <c r="M286" s="676"/>
      <c r="N286" s="676"/>
      <c r="O286" s="675"/>
      <c r="P286" s="675"/>
      <c r="Q286" s="676"/>
      <c r="R286" s="676"/>
      <c r="S286" s="676"/>
      <c r="T286" s="676"/>
      <c r="U286" s="676"/>
      <c r="V286"/>
      <c r="W286"/>
      <c r="X286"/>
      <c r="Y286"/>
    </row>
    <row r="287" spans="1:25" s="386" customFormat="1" ht="15.75">
      <c r="A287" s="684"/>
      <c r="B287" s="688"/>
      <c r="C287" s="380"/>
      <c r="D287" s="381"/>
      <c r="E287" s="381"/>
      <c r="F287" s="381"/>
      <c r="G287" s="381"/>
      <c r="H287" s="382"/>
      <c r="I287" s="382"/>
      <c r="J287" s="381"/>
      <c r="K287" s="381"/>
      <c r="L287" s="381"/>
      <c r="M287" s="382"/>
      <c r="N287" s="382"/>
      <c r="O287" s="381"/>
      <c r="P287" s="381"/>
      <c r="Q287" s="382"/>
      <c r="R287" s="382"/>
      <c r="S287" s="382"/>
      <c r="T287" s="382"/>
      <c r="U287" s="382"/>
      <c r="V287"/>
      <c r="W287"/>
      <c r="X287"/>
      <c r="Y287"/>
    </row>
    <row r="288" spans="1:25" ht="15.75">
      <c r="A288" s="684"/>
      <c r="B288" s="689"/>
      <c r="C288" s="692"/>
      <c r="D288" s="384"/>
      <c r="E288" s="384"/>
      <c r="F288" s="384"/>
      <c r="G288" s="384"/>
      <c r="H288" s="385"/>
      <c r="I288" s="385"/>
      <c r="J288" s="384"/>
      <c r="K288" s="384"/>
      <c r="L288" s="384"/>
      <c r="M288" s="385"/>
      <c r="N288" s="385"/>
      <c r="O288" s="384"/>
      <c r="P288" s="384"/>
      <c r="Q288" s="385"/>
      <c r="R288" s="385"/>
      <c r="S288" s="385"/>
      <c r="T288" s="385"/>
      <c r="U288" s="385"/>
      <c r="V288"/>
      <c r="W288"/>
      <c r="X288"/>
      <c r="Y288"/>
    </row>
    <row r="289" spans="1:25" ht="15.75">
      <c r="A289" s="684"/>
      <c r="B289" s="687"/>
      <c r="C289" s="674"/>
      <c r="D289" s="675"/>
      <c r="E289" s="675"/>
      <c r="F289" s="675"/>
      <c r="G289" s="675"/>
      <c r="H289" s="676"/>
      <c r="I289" s="676"/>
      <c r="J289" s="675"/>
      <c r="K289" s="675"/>
      <c r="L289" s="675"/>
      <c r="M289" s="676"/>
      <c r="N289" s="676"/>
      <c r="O289" s="675"/>
      <c r="P289" s="675"/>
      <c r="Q289" s="676"/>
      <c r="R289" s="676"/>
      <c r="S289" s="676"/>
      <c r="T289" s="676"/>
      <c r="U289" s="676"/>
      <c r="V289"/>
      <c r="W289"/>
      <c r="X289"/>
      <c r="Y289"/>
    </row>
    <row r="290" spans="1:25" s="386" customFormat="1" ht="15.75">
      <c r="A290" s="684"/>
      <c r="B290" s="688"/>
      <c r="C290" s="380"/>
      <c r="D290" s="381"/>
      <c r="E290" s="381"/>
      <c r="F290" s="381"/>
      <c r="G290" s="381"/>
      <c r="H290" s="382"/>
      <c r="I290" s="382"/>
      <c r="J290" s="381"/>
      <c r="K290" s="381"/>
      <c r="L290" s="381"/>
      <c r="M290" s="382"/>
      <c r="N290" s="382"/>
      <c r="O290" s="381"/>
      <c r="P290" s="381"/>
      <c r="Q290" s="382"/>
      <c r="R290" s="382"/>
      <c r="S290" s="382"/>
      <c r="T290" s="382"/>
      <c r="U290" s="382"/>
      <c r="V290"/>
      <c r="W290"/>
      <c r="X290"/>
      <c r="Y290"/>
    </row>
    <row r="291" spans="1:25" ht="15.75">
      <c r="A291" s="684"/>
      <c r="B291" s="689"/>
      <c r="C291" s="383"/>
      <c r="D291" s="384"/>
      <c r="E291" s="384"/>
      <c r="F291" s="384"/>
      <c r="G291" s="384"/>
      <c r="H291" s="385"/>
      <c r="I291" s="385"/>
      <c r="J291" s="384"/>
      <c r="K291" s="384"/>
      <c r="L291" s="384"/>
      <c r="M291" s="385"/>
      <c r="N291" s="385"/>
      <c r="O291" s="384"/>
      <c r="P291" s="384"/>
      <c r="Q291" s="385"/>
      <c r="R291" s="385"/>
      <c r="S291" s="385"/>
      <c r="T291" s="385"/>
      <c r="U291" s="385"/>
      <c r="V291"/>
      <c r="W291"/>
      <c r="X291"/>
      <c r="Y291"/>
    </row>
    <row r="292" spans="1:25" ht="15.75">
      <c r="A292" s="684"/>
      <c r="B292" s="687"/>
      <c r="C292" s="674"/>
      <c r="D292" s="675"/>
      <c r="E292" s="675"/>
      <c r="F292" s="675"/>
      <c r="G292" s="675"/>
      <c r="H292" s="676"/>
      <c r="I292" s="676"/>
      <c r="J292" s="675"/>
      <c r="K292" s="675"/>
      <c r="L292" s="675"/>
      <c r="M292" s="676"/>
      <c r="N292" s="676"/>
      <c r="O292" s="675"/>
      <c r="P292" s="675"/>
      <c r="Q292" s="676"/>
      <c r="R292" s="676"/>
      <c r="S292" s="676"/>
      <c r="T292" s="676"/>
      <c r="U292" s="676"/>
      <c r="V292"/>
      <c r="W292"/>
      <c r="X292"/>
      <c r="Y292"/>
    </row>
    <row r="293" spans="1:25" s="386" customFormat="1" ht="15.75">
      <c r="A293" s="684"/>
      <c r="B293" s="688"/>
      <c r="C293" s="380"/>
      <c r="D293" s="381"/>
      <c r="E293" s="381"/>
      <c r="F293" s="381"/>
      <c r="G293" s="381"/>
      <c r="H293" s="382"/>
      <c r="I293" s="382"/>
      <c r="J293" s="381"/>
      <c r="K293" s="381"/>
      <c r="L293" s="381"/>
      <c r="M293" s="382"/>
      <c r="N293" s="382"/>
      <c r="O293" s="381"/>
      <c r="P293" s="381"/>
      <c r="Q293" s="382"/>
      <c r="R293" s="382"/>
      <c r="S293" s="382"/>
      <c r="T293" s="382"/>
      <c r="U293" s="382"/>
      <c r="V293"/>
      <c r="W293"/>
      <c r="X293"/>
      <c r="Y293"/>
    </row>
    <row r="294" spans="1:25" ht="15.75">
      <c r="A294" s="684"/>
      <c r="B294" s="689"/>
      <c r="C294" s="383"/>
      <c r="D294" s="384"/>
      <c r="E294" s="384"/>
      <c r="F294" s="384"/>
      <c r="G294" s="384"/>
      <c r="H294" s="385"/>
      <c r="I294" s="385"/>
      <c r="J294" s="384"/>
      <c r="K294" s="384"/>
      <c r="L294" s="384"/>
      <c r="M294" s="385"/>
      <c r="N294" s="385"/>
      <c r="O294" s="384"/>
      <c r="P294" s="384"/>
      <c r="Q294" s="385"/>
      <c r="R294" s="385"/>
      <c r="S294" s="385"/>
      <c r="T294" s="385"/>
      <c r="U294" s="385"/>
      <c r="V294"/>
      <c r="W294"/>
      <c r="X294"/>
      <c r="Y294"/>
    </row>
    <row r="295" spans="1:25" ht="15.75">
      <c r="A295" s="684"/>
      <c r="B295" s="687"/>
      <c r="C295" s="674"/>
      <c r="D295" s="675"/>
      <c r="E295" s="675"/>
      <c r="F295" s="675"/>
      <c r="G295" s="675"/>
      <c r="H295" s="676"/>
      <c r="I295" s="676"/>
      <c r="J295" s="675"/>
      <c r="K295" s="675"/>
      <c r="L295" s="675"/>
      <c r="M295" s="676"/>
      <c r="N295" s="676"/>
      <c r="O295" s="675"/>
      <c r="P295" s="675"/>
      <c r="Q295" s="676"/>
      <c r="R295" s="676"/>
      <c r="S295" s="676"/>
      <c r="T295" s="676"/>
      <c r="U295" s="676"/>
      <c r="V295"/>
      <c r="W295"/>
      <c r="X295"/>
      <c r="Y295"/>
    </row>
    <row r="296" spans="1:25" s="386" customFormat="1" ht="15.75">
      <c r="A296" s="684"/>
      <c r="B296" s="688"/>
      <c r="C296" s="380"/>
      <c r="D296" s="381"/>
      <c r="E296" s="381"/>
      <c r="F296" s="381"/>
      <c r="G296" s="381"/>
      <c r="H296" s="382"/>
      <c r="I296" s="382"/>
      <c r="J296" s="381"/>
      <c r="K296" s="381"/>
      <c r="L296" s="381"/>
      <c r="M296" s="382"/>
      <c r="N296" s="382"/>
      <c r="O296" s="381"/>
      <c r="P296" s="381"/>
      <c r="Q296" s="382"/>
      <c r="R296" s="382"/>
      <c r="S296" s="382"/>
      <c r="T296" s="382"/>
      <c r="U296" s="382"/>
      <c r="V296"/>
      <c r="W296"/>
      <c r="X296"/>
      <c r="Y296"/>
    </row>
    <row r="297" spans="1:25" ht="15.75">
      <c r="A297" s="684"/>
      <c r="B297" s="689"/>
      <c r="C297" s="383"/>
      <c r="D297" s="384"/>
      <c r="E297" s="384"/>
      <c r="F297" s="384"/>
      <c r="G297" s="384"/>
      <c r="H297" s="385"/>
      <c r="I297" s="385"/>
      <c r="J297" s="384"/>
      <c r="K297" s="384"/>
      <c r="L297" s="384"/>
      <c r="M297" s="385"/>
      <c r="N297" s="385"/>
      <c r="O297" s="384"/>
      <c r="P297" s="384"/>
      <c r="Q297" s="385"/>
      <c r="R297" s="385"/>
      <c r="S297" s="385"/>
      <c r="T297" s="385"/>
      <c r="U297" s="385"/>
      <c r="V297"/>
      <c r="W297"/>
      <c r="X297"/>
      <c r="Y297"/>
    </row>
    <row r="298" spans="1:25" ht="15.75">
      <c r="A298" s="684"/>
      <c r="B298" s="687"/>
      <c r="C298" s="674"/>
      <c r="D298" s="675"/>
      <c r="E298" s="675"/>
      <c r="F298" s="675"/>
      <c r="G298" s="675"/>
      <c r="H298" s="676"/>
      <c r="I298" s="676"/>
      <c r="J298" s="675"/>
      <c r="K298" s="675"/>
      <c r="L298" s="675"/>
      <c r="M298" s="676"/>
      <c r="N298" s="676"/>
      <c r="O298" s="675"/>
      <c r="P298" s="675"/>
      <c r="Q298" s="676"/>
      <c r="R298" s="676"/>
      <c r="S298" s="676"/>
      <c r="T298" s="676"/>
      <c r="U298" s="676"/>
      <c r="V298"/>
      <c r="W298"/>
      <c r="X298"/>
      <c r="Y298"/>
    </row>
    <row r="299" spans="1:25" s="386" customFormat="1" ht="15.75">
      <c r="A299" s="684"/>
      <c r="B299" s="688"/>
      <c r="C299" s="380"/>
      <c r="D299" s="381"/>
      <c r="E299" s="381"/>
      <c r="F299" s="381"/>
      <c r="G299" s="381"/>
      <c r="H299" s="382"/>
      <c r="I299" s="382"/>
      <c r="J299" s="381"/>
      <c r="K299" s="381"/>
      <c r="L299" s="381"/>
      <c r="M299" s="382"/>
      <c r="N299" s="382"/>
      <c r="O299" s="381"/>
      <c r="P299" s="381"/>
      <c r="Q299" s="382"/>
      <c r="R299" s="382"/>
      <c r="S299" s="382"/>
      <c r="T299" s="382"/>
      <c r="U299" s="382"/>
      <c r="V299"/>
      <c r="W299"/>
      <c r="X299"/>
      <c r="Y299"/>
    </row>
    <row r="300" spans="1:25" ht="15.75">
      <c r="A300" s="684"/>
      <c r="B300" s="689"/>
      <c r="C300" s="383"/>
      <c r="D300" s="384"/>
      <c r="E300" s="384"/>
      <c r="F300" s="384"/>
      <c r="G300" s="384"/>
      <c r="H300" s="385"/>
      <c r="I300" s="385"/>
      <c r="J300" s="384"/>
      <c r="K300" s="384"/>
      <c r="L300" s="384"/>
      <c r="M300" s="385"/>
      <c r="N300" s="385"/>
      <c r="O300" s="384"/>
      <c r="P300" s="384"/>
      <c r="Q300" s="385"/>
      <c r="R300" s="385"/>
      <c r="S300" s="385"/>
      <c r="T300" s="385"/>
      <c r="U300" s="385"/>
      <c r="V300"/>
      <c r="W300"/>
      <c r="X300"/>
      <c r="Y300"/>
    </row>
    <row r="301" spans="1:25" ht="15.75">
      <c r="A301" s="684"/>
      <c r="B301" s="687"/>
      <c r="C301" s="674"/>
      <c r="D301" s="675"/>
      <c r="E301" s="675"/>
      <c r="F301" s="675"/>
      <c r="G301" s="675"/>
      <c r="H301" s="676"/>
      <c r="I301" s="676"/>
      <c r="J301" s="675"/>
      <c r="K301" s="675"/>
      <c r="L301" s="675"/>
      <c r="M301" s="676"/>
      <c r="N301" s="676"/>
      <c r="O301" s="675"/>
      <c r="P301" s="675"/>
      <c r="Q301" s="676"/>
      <c r="R301" s="676"/>
      <c r="S301" s="676"/>
      <c r="T301" s="676"/>
      <c r="U301" s="676"/>
      <c r="V301"/>
      <c r="W301"/>
      <c r="X301"/>
      <c r="Y301"/>
    </row>
    <row r="302" spans="1:25" s="386" customFormat="1" ht="15.75">
      <c r="A302" s="684"/>
      <c r="B302" s="688"/>
      <c r="C302" s="380"/>
      <c r="D302" s="381"/>
      <c r="E302" s="381"/>
      <c r="F302" s="381"/>
      <c r="G302" s="381"/>
      <c r="H302" s="382"/>
      <c r="I302" s="382"/>
      <c r="J302" s="381"/>
      <c r="K302" s="381"/>
      <c r="L302" s="381"/>
      <c r="M302" s="382"/>
      <c r="N302" s="382"/>
      <c r="O302" s="381"/>
      <c r="P302" s="381"/>
      <c r="Q302" s="382"/>
      <c r="R302" s="382"/>
      <c r="S302" s="382"/>
      <c r="T302" s="382"/>
      <c r="U302" s="382"/>
      <c r="V302"/>
      <c r="W302"/>
      <c r="X302"/>
      <c r="Y302"/>
    </row>
    <row r="303" spans="1:25" ht="15.75">
      <c r="A303" s="684"/>
      <c r="B303" s="689"/>
      <c r="C303" s="383"/>
      <c r="D303" s="384"/>
      <c r="E303" s="384"/>
      <c r="F303" s="384"/>
      <c r="G303" s="384"/>
      <c r="H303" s="385"/>
      <c r="I303" s="385"/>
      <c r="J303" s="384"/>
      <c r="K303" s="384"/>
      <c r="L303" s="384"/>
      <c r="M303" s="385"/>
      <c r="N303" s="385"/>
      <c r="O303" s="384"/>
      <c r="P303" s="384"/>
      <c r="Q303" s="385"/>
      <c r="R303" s="385"/>
      <c r="S303" s="385"/>
      <c r="T303" s="385"/>
      <c r="U303" s="385"/>
      <c r="V303"/>
      <c r="W303"/>
      <c r="X303"/>
      <c r="Y303"/>
    </row>
    <row r="304" spans="1:25" ht="15.75">
      <c r="A304" s="684"/>
      <c r="B304" s="687"/>
      <c r="C304" s="674"/>
      <c r="D304" s="675"/>
      <c r="E304" s="675"/>
      <c r="F304" s="675"/>
      <c r="G304" s="675"/>
      <c r="H304" s="676"/>
      <c r="I304" s="676"/>
      <c r="J304" s="675"/>
      <c r="K304" s="675"/>
      <c r="L304" s="675"/>
      <c r="M304" s="676"/>
      <c r="N304" s="676"/>
      <c r="O304" s="675"/>
      <c r="P304" s="675"/>
      <c r="Q304" s="676"/>
      <c r="R304" s="676"/>
      <c r="S304" s="676"/>
      <c r="T304" s="676"/>
      <c r="U304" s="676"/>
      <c r="V304"/>
      <c r="W304"/>
      <c r="X304"/>
      <c r="Y304"/>
    </row>
    <row r="305" spans="1:25" s="386" customFormat="1" ht="15.75">
      <c r="A305" s="685"/>
      <c r="B305" s="690"/>
      <c r="C305" s="576"/>
      <c r="D305" s="577"/>
      <c r="E305" s="577"/>
      <c r="F305" s="577"/>
      <c r="G305" s="577"/>
      <c r="H305" s="578"/>
      <c r="I305" s="578"/>
      <c r="J305" s="577"/>
      <c r="K305" s="577"/>
      <c r="L305" s="577"/>
      <c r="M305" s="578"/>
      <c r="N305" s="578"/>
      <c r="O305" s="577"/>
      <c r="P305" s="577"/>
      <c r="Q305" s="578"/>
      <c r="R305" s="578"/>
      <c r="S305" s="578"/>
      <c r="T305" s="578"/>
      <c r="U305" s="578"/>
      <c r="V305"/>
      <c r="W305"/>
      <c r="X305"/>
      <c r="Y305"/>
    </row>
    <row r="306" spans="1:25" ht="15.75">
      <c r="A306" s="683"/>
      <c r="B306" s="687"/>
      <c r="C306" s="674"/>
      <c r="D306" s="675"/>
      <c r="E306" s="675"/>
      <c r="F306" s="675"/>
      <c r="G306" s="675"/>
      <c r="H306" s="676"/>
      <c r="I306" s="676"/>
      <c r="J306" s="675"/>
      <c r="K306" s="675"/>
      <c r="L306" s="675"/>
      <c r="M306" s="676"/>
      <c r="N306" s="676"/>
      <c r="O306" s="675"/>
      <c r="P306" s="675"/>
      <c r="Q306" s="676"/>
      <c r="R306" s="676"/>
      <c r="S306" s="676"/>
      <c r="T306" s="676"/>
      <c r="U306" s="676"/>
      <c r="V306"/>
      <c r="W306"/>
      <c r="X306"/>
      <c r="Y306"/>
    </row>
    <row r="307" spans="1:25" ht="15.75">
      <c r="A307" s="684"/>
      <c r="B307" s="688"/>
      <c r="C307" s="380"/>
      <c r="D307" s="381"/>
      <c r="E307" s="381"/>
      <c r="F307" s="381"/>
      <c r="G307" s="381"/>
      <c r="H307" s="382"/>
      <c r="I307" s="382"/>
      <c r="J307" s="381"/>
      <c r="K307" s="381"/>
      <c r="L307" s="381"/>
      <c r="M307" s="382"/>
      <c r="N307" s="382"/>
      <c r="O307" s="381"/>
      <c r="P307" s="381"/>
      <c r="Q307" s="382"/>
      <c r="R307" s="382"/>
      <c r="S307" s="382"/>
      <c r="T307" s="382"/>
      <c r="U307" s="382"/>
      <c r="V307"/>
      <c r="W307"/>
      <c r="X307"/>
      <c r="Y307"/>
    </row>
    <row r="308" spans="1:25" s="386" customFormat="1" ht="15.75">
      <c r="A308" s="684"/>
      <c r="B308" s="689"/>
      <c r="C308" s="383"/>
      <c r="D308" s="384"/>
      <c r="E308" s="384"/>
      <c r="F308" s="384"/>
      <c r="G308" s="384"/>
      <c r="H308" s="385"/>
      <c r="I308" s="385"/>
      <c r="J308" s="384"/>
      <c r="K308" s="384"/>
      <c r="L308" s="384"/>
      <c r="M308" s="692"/>
      <c r="N308" s="385"/>
      <c r="O308" s="384"/>
      <c r="P308" s="384"/>
      <c r="Q308" s="692"/>
      <c r="R308" s="385"/>
      <c r="S308" s="385"/>
      <c r="T308" s="385"/>
      <c r="U308" s="385"/>
      <c r="V308"/>
      <c r="W308"/>
      <c r="X308"/>
      <c r="Y308"/>
    </row>
    <row r="309" spans="1:25" ht="15.75">
      <c r="A309" s="684"/>
      <c r="B309" s="687"/>
      <c r="C309" s="674"/>
      <c r="D309" s="675"/>
      <c r="E309" s="675"/>
      <c r="F309" s="675"/>
      <c r="G309" s="675"/>
      <c r="H309" s="676"/>
      <c r="I309" s="676"/>
      <c r="J309" s="675"/>
      <c r="K309" s="675"/>
      <c r="L309" s="675"/>
      <c r="M309" s="676"/>
      <c r="N309" s="676"/>
      <c r="O309" s="675"/>
      <c r="P309" s="675"/>
      <c r="Q309" s="676"/>
      <c r="R309" s="676"/>
      <c r="S309" s="676"/>
      <c r="T309" s="676"/>
      <c r="U309" s="676"/>
      <c r="V309"/>
      <c r="W309"/>
      <c r="X309"/>
      <c r="Y309"/>
    </row>
    <row r="310" spans="1:25" ht="15.75">
      <c r="A310" s="684"/>
      <c r="B310" s="688"/>
      <c r="C310" s="380"/>
      <c r="D310" s="381"/>
      <c r="E310" s="381"/>
      <c r="F310" s="381"/>
      <c r="G310" s="381"/>
      <c r="H310" s="382"/>
      <c r="I310" s="382"/>
      <c r="J310" s="381"/>
      <c r="K310" s="381"/>
      <c r="L310" s="381"/>
      <c r="M310" s="382"/>
      <c r="N310" s="382"/>
      <c r="O310" s="381"/>
      <c r="P310" s="381"/>
      <c r="Q310" s="382"/>
      <c r="R310" s="382"/>
      <c r="S310" s="382"/>
      <c r="T310" s="382"/>
      <c r="U310" s="382"/>
      <c r="V310"/>
      <c r="W310"/>
      <c r="X310"/>
      <c r="Y310"/>
    </row>
    <row r="311" spans="1:25" s="386" customFormat="1" ht="15.75">
      <c r="A311" s="684"/>
      <c r="B311" s="689"/>
      <c r="C311" s="383"/>
      <c r="D311" s="384"/>
      <c r="E311" s="384"/>
      <c r="F311" s="384"/>
      <c r="G311" s="384"/>
      <c r="H311" s="385"/>
      <c r="I311" s="385"/>
      <c r="J311" s="384"/>
      <c r="K311" s="384"/>
      <c r="L311" s="384"/>
      <c r="M311" s="385"/>
      <c r="N311" s="385"/>
      <c r="O311" s="384"/>
      <c r="P311" s="384"/>
      <c r="Q311" s="385"/>
      <c r="R311" s="385"/>
      <c r="S311" s="385"/>
      <c r="T311" s="385"/>
      <c r="U311" s="385"/>
      <c r="V311"/>
      <c r="W311"/>
      <c r="X311"/>
      <c r="Y311"/>
    </row>
    <row r="312" spans="1:25" ht="15.75">
      <c r="A312" s="684"/>
      <c r="B312" s="687"/>
      <c r="C312" s="674"/>
      <c r="D312" s="675"/>
      <c r="E312" s="675"/>
      <c r="F312" s="675"/>
      <c r="G312" s="675"/>
      <c r="H312" s="676"/>
      <c r="I312" s="676"/>
      <c r="J312" s="675"/>
      <c r="K312" s="675"/>
      <c r="L312" s="675"/>
      <c r="M312" s="676"/>
      <c r="N312" s="676"/>
      <c r="O312" s="675"/>
      <c r="P312" s="675"/>
      <c r="Q312" s="676"/>
      <c r="R312" s="676"/>
      <c r="S312" s="676"/>
      <c r="T312" s="676"/>
      <c r="U312" s="676"/>
      <c r="V312"/>
      <c r="W312"/>
      <c r="X312"/>
      <c r="Y312"/>
    </row>
    <row r="313" spans="1:25" ht="15.75">
      <c r="A313" s="684"/>
      <c r="B313" s="688"/>
      <c r="C313" s="380"/>
      <c r="D313" s="381"/>
      <c r="E313" s="381"/>
      <c r="F313" s="381"/>
      <c r="G313" s="381"/>
      <c r="H313" s="382"/>
      <c r="I313" s="382"/>
      <c r="J313" s="381"/>
      <c r="K313" s="381"/>
      <c r="L313" s="381"/>
      <c r="M313" s="382"/>
      <c r="N313" s="382"/>
      <c r="O313" s="381"/>
      <c r="P313" s="381"/>
      <c r="Q313" s="382"/>
      <c r="R313" s="382"/>
      <c r="S313" s="382"/>
      <c r="T313" s="382"/>
      <c r="U313" s="382"/>
      <c r="V313"/>
      <c r="W313"/>
      <c r="X313"/>
      <c r="Y313"/>
    </row>
    <row r="314" spans="1:25" s="386" customFormat="1" ht="15.75">
      <c r="A314" s="684"/>
      <c r="B314" s="689"/>
      <c r="C314" s="383"/>
      <c r="D314" s="384"/>
      <c r="E314" s="692"/>
      <c r="F314" s="384"/>
      <c r="G314" s="384"/>
      <c r="H314" s="385"/>
      <c r="I314" s="385"/>
      <c r="J314" s="384"/>
      <c r="K314" s="384"/>
      <c r="L314" s="692"/>
      <c r="M314" s="385"/>
      <c r="N314" s="385"/>
      <c r="O314" s="384"/>
      <c r="P314" s="384"/>
      <c r="Q314" s="385"/>
      <c r="R314" s="385"/>
      <c r="S314" s="385"/>
      <c r="T314" s="385"/>
      <c r="U314" s="385"/>
      <c r="V314"/>
      <c r="W314"/>
      <c r="X314"/>
      <c r="Y314"/>
    </row>
    <row r="315" spans="1:25" ht="15.75">
      <c r="A315" s="684"/>
      <c r="B315" s="687"/>
      <c r="C315" s="674"/>
      <c r="D315" s="675"/>
      <c r="E315" s="675"/>
      <c r="F315" s="675"/>
      <c r="G315" s="675"/>
      <c r="H315" s="676"/>
      <c r="I315" s="676"/>
      <c r="J315" s="675"/>
      <c r="K315" s="675"/>
      <c r="L315" s="675"/>
      <c r="M315" s="676"/>
      <c r="N315" s="676"/>
      <c r="O315" s="675"/>
      <c r="P315" s="675"/>
      <c r="Q315" s="676"/>
      <c r="R315" s="676"/>
      <c r="S315" s="676"/>
      <c r="T315" s="676"/>
      <c r="U315" s="676"/>
      <c r="V315"/>
      <c r="W315"/>
      <c r="X315"/>
      <c r="Y315"/>
    </row>
    <row r="316" spans="1:25" ht="15.75">
      <c r="A316" s="684"/>
      <c r="B316" s="688"/>
      <c r="C316" s="380"/>
      <c r="D316" s="381"/>
      <c r="E316" s="381"/>
      <c r="F316" s="381"/>
      <c r="G316" s="381"/>
      <c r="H316" s="382"/>
      <c r="I316" s="382"/>
      <c r="J316" s="381"/>
      <c r="K316" s="381"/>
      <c r="L316" s="381"/>
      <c r="M316" s="382"/>
      <c r="N316" s="382"/>
      <c r="O316" s="381"/>
      <c r="P316" s="381"/>
      <c r="Q316" s="382"/>
      <c r="R316" s="382"/>
      <c r="S316" s="382"/>
      <c r="T316" s="382"/>
      <c r="U316" s="382"/>
      <c r="V316"/>
      <c r="W316"/>
      <c r="X316"/>
      <c r="Y316"/>
    </row>
    <row r="317" spans="1:25" s="386" customFormat="1" ht="15.75">
      <c r="A317" s="684"/>
      <c r="B317" s="689"/>
      <c r="C317" s="383"/>
      <c r="D317" s="384"/>
      <c r="E317" s="384"/>
      <c r="F317" s="384"/>
      <c r="G317" s="384"/>
      <c r="H317" s="385"/>
      <c r="I317" s="385"/>
      <c r="J317" s="692"/>
      <c r="K317" s="384"/>
      <c r="L317" s="384"/>
      <c r="M317" s="385"/>
      <c r="N317" s="385"/>
      <c r="O317" s="384"/>
      <c r="P317" s="384"/>
      <c r="Q317" s="385"/>
      <c r="R317" s="385"/>
      <c r="S317" s="385"/>
      <c r="T317" s="385"/>
      <c r="U317" s="385"/>
      <c r="V317"/>
      <c r="W317"/>
      <c r="X317"/>
      <c r="Y317"/>
    </row>
    <row r="318" spans="1:25" ht="15.75">
      <c r="A318" s="684"/>
      <c r="B318" s="687"/>
      <c r="C318" s="674"/>
      <c r="D318" s="675"/>
      <c r="E318" s="675"/>
      <c r="F318" s="675"/>
      <c r="G318" s="675"/>
      <c r="H318" s="676"/>
      <c r="I318" s="676"/>
      <c r="J318" s="675"/>
      <c r="K318" s="675"/>
      <c r="L318" s="675"/>
      <c r="M318" s="676"/>
      <c r="N318" s="676"/>
      <c r="O318" s="675"/>
      <c r="P318" s="675"/>
      <c r="Q318" s="676"/>
      <c r="R318" s="676"/>
      <c r="S318" s="676"/>
      <c r="T318" s="676"/>
      <c r="U318" s="676"/>
      <c r="V318"/>
      <c r="W318"/>
      <c r="X318"/>
      <c r="Y318"/>
    </row>
    <row r="319" spans="1:25" ht="15.75">
      <c r="A319" s="684"/>
      <c r="B319" s="688"/>
      <c r="C319" s="380"/>
      <c r="D319" s="381"/>
      <c r="E319" s="381"/>
      <c r="F319" s="381"/>
      <c r="G319" s="381"/>
      <c r="H319" s="382"/>
      <c r="I319" s="382"/>
      <c r="J319" s="381"/>
      <c r="K319" s="381"/>
      <c r="L319" s="381"/>
      <c r="M319" s="382"/>
      <c r="N319" s="382"/>
      <c r="O319" s="381"/>
      <c r="P319" s="381"/>
      <c r="Q319" s="382"/>
      <c r="R319" s="382"/>
      <c r="S319" s="382"/>
      <c r="T319" s="382"/>
      <c r="U319" s="382"/>
      <c r="V319"/>
      <c r="W319"/>
      <c r="X319"/>
      <c r="Y319"/>
    </row>
    <row r="320" spans="1:25" s="386" customFormat="1" ht="15.75">
      <c r="A320" s="684"/>
      <c r="B320" s="689"/>
      <c r="C320" s="383"/>
      <c r="D320" s="384"/>
      <c r="E320" s="384"/>
      <c r="F320" s="384"/>
      <c r="G320" s="384"/>
      <c r="H320" s="385"/>
      <c r="I320" s="385"/>
      <c r="J320" s="384"/>
      <c r="K320" s="384"/>
      <c r="L320" s="384"/>
      <c r="M320" s="385"/>
      <c r="N320" s="385"/>
      <c r="O320" s="384"/>
      <c r="P320" s="384"/>
      <c r="Q320" s="385"/>
      <c r="R320" s="385"/>
      <c r="S320" s="385"/>
      <c r="T320" s="385"/>
      <c r="U320" s="385"/>
      <c r="V320"/>
      <c r="W320"/>
      <c r="X320"/>
      <c r="Y320"/>
    </row>
    <row r="321" spans="1:25" ht="15.75">
      <c r="A321" s="684"/>
      <c r="B321" s="687"/>
      <c r="C321" s="674"/>
      <c r="D321" s="675"/>
      <c r="E321" s="675"/>
      <c r="F321" s="675"/>
      <c r="G321" s="675"/>
      <c r="H321" s="676"/>
      <c r="I321" s="676"/>
      <c r="J321" s="675"/>
      <c r="K321" s="675"/>
      <c r="L321" s="675"/>
      <c r="M321" s="676"/>
      <c r="N321" s="676"/>
      <c r="O321" s="675"/>
      <c r="P321" s="675"/>
      <c r="Q321" s="676"/>
      <c r="R321" s="676"/>
      <c r="S321" s="676"/>
      <c r="T321" s="676"/>
      <c r="U321" s="676"/>
      <c r="V321"/>
      <c r="W321"/>
      <c r="X321"/>
      <c r="Y321"/>
    </row>
    <row r="322" spans="1:25" ht="15.75">
      <c r="A322" s="684"/>
      <c r="B322" s="688"/>
      <c r="C322" s="380"/>
      <c r="D322" s="381"/>
      <c r="E322" s="381"/>
      <c r="F322" s="381"/>
      <c r="G322" s="381"/>
      <c r="H322" s="382"/>
      <c r="I322" s="382"/>
      <c r="J322" s="381"/>
      <c r="K322" s="381"/>
      <c r="L322" s="381"/>
      <c r="M322" s="382"/>
      <c r="N322" s="382"/>
      <c r="O322" s="381"/>
      <c r="P322" s="381"/>
      <c r="Q322" s="382"/>
      <c r="R322" s="382"/>
      <c r="S322" s="382"/>
      <c r="T322" s="382"/>
      <c r="U322" s="382"/>
      <c r="V322"/>
      <c r="W322"/>
      <c r="X322"/>
      <c r="Y322"/>
    </row>
    <row r="323" spans="1:25" s="386" customFormat="1" ht="15.75">
      <c r="A323" s="684"/>
      <c r="B323" s="689"/>
      <c r="C323" s="383"/>
      <c r="D323" s="384"/>
      <c r="E323" s="384"/>
      <c r="F323" s="384"/>
      <c r="G323" s="384"/>
      <c r="H323" s="385"/>
      <c r="I323" s="385"/>
      <c r="J323" s="384"/>
      <c r="K323" s="384"/>
      <c r="L323" s="384"/>
      <c r="M323" s="385"/>
      <c r="N323" s="385"/>
      <c r="O323" s="384"/>
      <c r="P323" s="384"/>
      <c r="Q323" s="385"/>
      <c r="R323" s="385"/>
      <c r="S323" s="385"/>
      <c r="T323" s="692"/>
      <c r="U323" s="385"/>
      <c r="V323"/>
      <c r="W323"/>
      <c r="X323"/>
      <c r="Y323"/>
    </row>
    <row r="324" spans="1:25" ht="15.75">
      <c r="A324" s="684"/>
      <c r="B324" s="687"/>
      <c r="C324" s="674"/>
      <c r="D324" s="675"/>
      <c r="E324" s="675"/>
      <c r="F324" s="675"/>
      <c r="G324" s="675"/>
      <c r="H324" s="676"/>
      <c r="I324" s="676"/>
      <c r="J324" s="675"/>
      <c r="K324" s="675"/>
      <c r="L324" s="675"/>
      <c r="M324" s="676"/>
      <c r="N324" s="676"/>
      <c r="O324" s="675"/>
      <c r="P324" s="675"/>
      <c r="Q324" s="676"/>
      <c r="R324" s="676"/>
      <c r="S324" s="676"/>
      <c r="T324" s="676"/>
      <c r="U324" s="676"/>
      <c r="V324"/>
      <c r="W324"/>
      <c r="X324"/>
      <c r="Y324"/>
    </row>
    <row r="325" spans="1:25" ht="15.75">
      <c r="A325" s="684"/>
      <c r="B325" s="688"/>
      <c r="C325" s="380"/>
      <c r="D325" s="381"/>
      <c r="E325" s="381"/>
      <c r="F325" s="381"/>
      <c r="G325" s="381"/>
      <c r="H325" s="382"/>
      <c r="I325" s="382"/>
      <c r="J325" s="381"/>
      <c r="K325" s="381"/>
      <c r="L325" s="381"/>
      <c r="M325" s="382"/>
      <c r="N325" s="382"/>
      <c r="O325" s="381"/>
      <c r="P325" s="381"/>
      <c r="Q325" s="382"/>
      <c r="R325" s="382"/>
      <c r="S325" s="382"/>
      <c r="T325" s="382"/>
      <c r="U325" s="382"/>
      <c r="V325"/>
      <c r="W325"/>
      <c r="X325"/>
      <c r="Y325"/>
    </row>
    <row r="326" spans="1:25" s="386" customFormat="1" ht="15.75">
      <c r="A326" s="684"/>
      <c r="B326" s="689"/>
      <c r="C326" s="383"/>
      <c r="D326" s="692"/>
      <c r="E326" s="384"/>
      <c r="F326" s="384"/>
      <c r="G326" s="384"/>
      <c r="H326" s="385"/>
      <c r="I326" s="385"/>
      <c r="J326" s="384"/>
      <c r="K326" s="384"/>
      <c r="L326" s="384"/>
      <c r="M326" s="385"/>
      <c r="N326" s="385"/>
      <c r="O326" s="384"/>
      <c r="P326" s="384"/>
      <c r="Q326" s="385"/>
      <c r="R326" s="385"/>
      <c r="S326" s="385"/>
      <c r="T326" s="692"/>
      <c r="U326" s="385"/>
      <c r="V326"/>
      <c r="W326"/>
      <c r="X326"/>
      <c r="Y326"/>
    </row>
    <row r="327" spans="1:25" ht="15.75">
      <c r="A327" s="684"/>
      <c r="B327" s="687"/>
      <c r="C327" s="674"/>
      <c r="D327" s="675"/>
      <c r="E327" s="675"/>
      <c r="F327" s="675"/>
      <c r="G327" s="675"/>
      <c r="H327" s="676"/>
      <c r="I327" s="676"/>
      <c r="J327" s="675"/>
      <c r="K327" s="675"/>
      <c r="L327" s="675"/>
      <c r="M327" s="676"/>
      <c r="N327" s="676"/>
      <c r="O327" s="675"/>
      <c r="P327" s="675"/>
      <c r="Q327" s="676"/>
      <c r="R327" s="676"/>
      <c r="S327" s="676"/>
      <c r="T327" s="676"/>
      <c r="U327" s="676"/>
      <c r="V327"/>
      <c r="W327"/>
      <c r="X327"/>
      <c r="Y327"/>
    </row>
    <row r="328" spans="1:25" ht="15.75">
      <c r="A328" s="684"/>
      <c r="B328" s="688"/>
      <c r="C328" s="380"/>
      <c r="D328" s="381"/>
      <c r="E328" s="381"/>
      <c r="F328" s="381"/>
      <c r="G328" s="381"/>
      <c r="H328" s="382"/>
      <c r="I328" s="382"/>
      <c r="J328" s="381"/>
      <c r="K328" s="381"/>
      <c r="L328" s="381"/>
      <c r="M328" s="382"/>
      <c r="N328" s="382"/>
      <c r="O328" s="381"/>
      <c r="P328" s="381"/>
      <c r="Q328" s="382"/>
      <c r="R328" s="382"/>
      <c r="S328" s="382"/>
      <c r="T328" s="382"/>
      <c r="U328" s="382"/>
      <c r="V328"/>
      <c r="W328"/>
      <c r="X328"/>
      <c r="Y328"/>
    </row>
    <row r="329" spans="1:25" s="386" customFormat="1" ht="15.75">
      <c r="A329" s="684"/>
      <c r="B329" s="689"/>
      <c r="C329" s="383"/>
      <c r="D329" s="384"/>
      <c r="E329" s="384"/>
      <c r="F329" s="384"/>
      <c r="G329" s="384"/>
      <c r="H329" s="385"/>
      <c r="I329" s="385"/>
      <c r="J329" s="384"/>
      <c r="K329" s="384"/>
      <c r="L329" s="384"/>
      <c r="M329" s="385"/>
      <c r="N329" s="385"/>
      <c r="O329" s="384"/>
      <c r="P329" s="384"/>
      <c r="Q329" s="385"/>
      <c r="R329" s="385"/>
      <c r="S329" s="385"/>
      <c r="T329" s="385"/>
      <c r="U329" s="385"/>
      <c r="V329"/>
      <c r="W329"/>
      <c r="X329"/>
      <c r="Y329"/>
    </row>
    <row r="330" spans="1:25" ht="15.75">
      <c r="A330" s="684"/>
      <c r="B330" s="687"/>
      <c r="C330" s="674"/>
      <c r="D330" s="675"/>
      <c r="E330" s="675"/>
      <c r="F330" s="675"/>
      <c r="G330" s="675"/>
      <c r="H330" s="676"/>
      <c r="I330" s="676"/>
      <c r="J330" s="675"/>
      <c r="K330" s="675"/>
      <c r="L330" s="675"/>
      <c r="M330" s="676"/>
      <c r="N330" s="676"/>
      <c r="O330" s="675"/>
      <c r="P330" s="675"/>
      <c r="Q330" s="676"/>
      <c r="R330" s="676"/>
      <c r="S330" s="676"/>
      <c r="T330" s="676"/>
      <c r="U330" s="676"/>
      <c r="V330"/>
      <c r="W330"/>
      <c r="X330"/>
      <c r="Y330"/>
    </row>
    <row r="331" spans="1:25" ht="15.75">
      <c r="A331" s="684"/>
      <c r="B331" s="688"/>
      <c r="C331" s="380"/>
      <c r="D331" s="381"/>
      <c r="E331" s="381"/>
      <c r="F331" s="381"/>
      <c r="G331" s="381"/>
      <c r="H331" s="382"/>
      <c r="I331" s="382"/>
      <c r="J331" s="381"/>
      <c r="K331" s="381"/>
      <c r="L331" s="381"/>
      <c r="M331" s="382"/>
      <c r="N331" s="382"/>
      <c r="O331" s="381"/>
      <c r="P331" s="381"/>
      <c r="Q331" s="382"/>
      <c r="R331" s="382"/>
      <c r="S331" s="382"/>
      <c r="T331" s="382"/>
      <c r="U331" s="382"/>
      <c r="V331"/>
      <c r="W331"/>
      <c r="X331"/>
      <c r="Y331"/>
    </row>
    <row r="332" spans="1:25" s="386" customFormat="1" ht="15.75">
      <c r="A332" s="684"/>
      <c r="B332" s="689"/>
      <c r="C332" s="383"/>
      <c r="D332" s="384"/>
      <c r="E332" s="384"/>
      <c r="F332" s="384"/>
      <c r="G332" s="384"/>
      <c r="H332" s="385"/>
      <c r="I332" s="385"/>
      <c r="J332" s="384"/>
      <c r="K332" s="384"/>
      <c r="L332" s="384"/>
      <c r="M332" s="385"/>
      <c r="N332" s="385"/>
      <c r="O332" s="384"/>
      <c r="P332" s="384"/>
      <c r="Q332" s="385"/>
      <c r="R332" s="385"/>
      <c r="S332" s="385"/>
      <c r="T332" s="385"/>
      <c r="U332" s="385"/>
      <c r="V332"/>
      <c r="W332"/>
      <c r="X332"/>
      <c r="Y332"/>
    </row>
    <row r="333" spans="1:25" ht="15.75">
      <c r="A333" s="684"/>
      <c r="B333" s="687"/>
      <c r="C333" s="674"/>
      <c r="D333" s="675"/>
      <c r="E333" s="675"/>
      <c r="F333" s="675"/>
      <c r="G333" s="675"/>
      <c r="H333" s="676"/>
      <c r="I333" s="676"/>
      <c r="J333" s="675"/>
      <c r="K333" s="675"/>
      <c r="L333" s="675"/>
      <c r="M333" s="676"/>
      <c r="N333" s="676"/>
      <c r="O333" s="675"/>
      <c r="P333" s="675"/>
      <c r="Q333" s="676"/>
      <c r="R333" s="676"/>
      <c r="S333" s="676"/>
      <c r="T333" s="676"/>
      <c r="U333" s="676"/>
      <c r="V333"/>
      <c r="W333"/>
      <c r="X333"/>
      <c r="Y333"/>
    </row>
    <row r="334" spans="1:25" ht="15.75">
      <c r="A334" s="684"/>
      <c r="B334" s="688"/>
      <c r="C334" s="380"/>
      <c r="D334" s="381"/>
      <c r="E334" s="381"/>
      <c r="F334" s="381"/>
      <c r="G334" s="381"/>
      <c r="H334" s="382"/>
      <c r="I334" s="382"/>
      <c r="J334" s="381"/>
      <c r="K334" s="381"/>
      <c r="L334" s="381"/>
      <c r="M334" s="382"/>
      <c r="N334" s="382"/>
      <c r="O334" s="381"/>
      <c r="P334" s="381"/>
      <c r="Q334" s="382"/>
      <c r="R334" s="382"/>
      <c r="S334" s="382"/>
      <c r="T334" s="382"/>
      <c r="U334" s="382"/>
      <c r="V334"/>
      <c r="W334"/>
      <c r="X334"/>
      <c r="Y334"/>
    </row>
    <row r="335" spans="1:25" s="386" customFormat="1" ht="15.75">
      <c r="A335" s="684"/>
      <c r="B335" s="689"/>
      <c r="C335" s="383"/>
      <c r="D335" s="384"/>
      <c r="E335" s="384"/>
      <c r="F335" s="384"/>
      <c r="G335" s="384"/>
      <c r="H335" s="385"/>
      <c r="I335" s="385"/>
      <c r="J335" s="384"/>
      <c r="K335" s="384"/>
      <c r="L335" s="384"/>
      <c r="M335" s="385"/>
      <c r="N335" s="385"/>
      <c r="O335" s="384"/>
      <c r="P335" s="384"/>
      <c r="Q335" s="385"/>
      <c r="R335" s="385"/>
      <c r="S335" s="385"/>
      <c r="T335" s="385"/>
      <c r="U335" s="385"/>
      <c r="V335"/>
      <c r="W335"/>
      <c r="X335"/>
      <c r="Y335"/>
    </row>
    <row r="336" spans="1:25" ht="15.75">
      <c r="A336" s="684"/>
      <c r="B336" s="687"/>
      <c r="C336" s="674"/>
      <c r="D336" s="675"/>
      <c r="E336" s="675"/>
      <c r="F336" s="675"/>
      <c r="G336" s="675"/>
      <c r="H336" s="676"/>
      <c r="I336" s="676"/>
      <c r="J336" s="675"/>
      <c r="K336" s="675"/>
      <c r="L336" s="675"/>
      <c r="M336" s="676"/>
      <c r="N336" s="676"/>
      <c r="O336" s="675"/>
      <c r="P336" s="675"/>
      <c r="Q336" s="676"/>
      <c r="R336" s="676"/>
      <c r="S336" s="676"/>
      <c r="T336" s="676"/>
      <c r="U336" s="676"/>
      <c r="V336"/>
      <c r="W336"/>
      <c r="X336"/>
      <c r="Y336"/>
    </row>
    <row r="337" spans="1:25" ht="15.75">
      <c r="A337" s="684"/>
      <c r="B337" s="688"/>
      <c r="C337" s="380"/>
      <c r="D337" s="381"/>
      <c r="E337" s="381"/>
      <c r="F337" s="381"/>
      <c r="G337" s="381"/>
      <c r="H337" s="382"/>
      <c r="I337" s="382"/>
      <c r="J337" s="381"/>
      <c r="K337" s="381"/>
      <c r="L337" s="381"/>
      <c r="M337" s="382"/>
      <c r="N337" s="382"/>
      <c r="O337" s="381"/>
      <c r="P337" s="381"/>
      <c r="Q337" s="382"/>
      <c r="R337" s="382"/>
      <c r="S337" s="382"/>
      <c r="T337" s="382"/>
      <c r="U337" s="382"/>
      <c r="V337"/>
      <c r="W337"/>
      <c r="X337"/>
      <c r="Y337"/>
    </row>
    <row r="338" spans="1:25" s="386" customFormat="1" ht="15.75">
      <c r="A338" s="684"/>
      <c r="B338" s="689"/>
      <c r="C338" s="383"/>
      <c r="D338" s="384"/>
      <c r="E338" s="384"/>
      <c r="F338" s="384"/>
      <c r="G338" s="384"/>
      <c r="H338" s="385"/>
      <c r="I338" s="385"/>
      <c r="J338" s="384"/>
      <c r="K338" s="384"/>
      <c r="L338" s="384"/>
      <c r="M338" s="385"/>
      <c r="N338" s="385"/>
      <c r="O338" s="384"/>
      <c r="P338" s="384"/>
      <c r="Q338" s="385"/>
      <c r="R338" s="385"/>
      <c r="S338" s="385"/>
      <c r="T338" s="385"/>
      <c r="U338" s="385"/>
      <c r="V338"/>
      <c r="W338"/>
      <c r="X338"/>
      <c r="Y338"/>
    </row>
    <row r="339" spans="1:25" ht="15.75">
      <c r="A339" s="684"/>
      <c r="B339" s="687"/>
      <c r="C339" s="674"/>
      <c r="D339" s="675"/>
      <c r="E339" s="675"/>
      <c r="F339" s="675"/>
      <c r="G339" s="675"/>
      <c r="H339" s="676"/>
      <c r="I339" s="676"/>
      <c r="J339" s="675"/>
      <c r="K339" s="675"/>
      <c r="L339" s="675"/>
      <c r="M339" s="676"/>
      <c r="N339" s="676"/>
      <c r="O339" s="675"/>
      <c r="P339" s="675"/>
      <c r="Q339" s="676"/>
      <c r="R339" s="676"/>
      <c r="S339" s="676"/>
      <c r="T339" s="676"/>
      <c r="U339" s="676"/>
      <c r="V339"/>
      <c r="W339"/>
      <c r="X339"/>
      <c r="Y339"/>
    </row>
    <row r="340" spans="1:25" ht="15.75">
      <c r="A340" s="684"/>
      <c r="B340" s="688"/>
      <c r="C340" s="380"/>
      <c r="D340" s="381"/>
      <c r="E340" s="381"/>
      <c r="F340" s="381"/>
      <c r="G340" s="381"/>
      <c r="H340" s="382"/>
      <c r="I340" s="382"/>
      <c r="J340" s="381"/>
      <c r="K340" s="381"/>
      <c r="L340" s="381"/>
      <c r="M340" s="382"/>
      <c r="N340" s="382"/>
      <c r="O340" s="381"/>
      <c r="P340" s="381"/>
      <c r="Q340" s="382"/>
      <c r="R340" s="382"/>
      <c r="S340" s="382"/>
      <c r="T340" s="382"/>
      <c r="U340" s="382"/>
      <c r="V340"/>
      <c r="W340"/>
      <c r="X340"/>
      <c r="Y340"/>
    </row>
    <row r="341" spans="1:25" s="386" customFormat="1" ht="15.75">
      <c r="A341" s="684"/>
      <c r="B341" s="689"/>
      <c r="C341" s="383"/>
      <c r="D341" s="384"/>
      <c r="E341" s="384"/>
      <c r="F341" s="384"/>
      <c r="G341" s="384"/>
      <c r="H341" s="385"/>
      <c r="I341" s="385"/>
      <c r="J341" s="384"/>
      <c r="K341" s="384"/>
      <c r="L341" s="384"/>
      <c r="M341" s="385"/>
      <c r="N341" s="385"/>
      <c r="O341" s="384"/>
      <c r="P341" s="384"/>
      <c r="Q341" s="385"/>
      <c r="R341" s="385"/>
      <c r="S341" s="385"/>
      <c r="T341" s="385"/>
      <c r="U341" s="385"/>
      <c r="V341"/>
      <c r="W341"/>
      <c r="X341"/>
      <c r="Y341"/>
    </row>
    <row r="342" spans="1:25" ht="15.75">
      <c r="A342" s="684"/>
      <c r="B342" s="687"/>
      <c r="C342" s="674"/>
      <c r="D342" s="675"/>
      <c r="E342" s="675"/>
      <c r="F342" s="675"/>
      <c r="G342" s="675"/>
      <c r="H342" s="676"/>
      <c r="I342" s="676"/>
      <c r="J342" s="675"/>
      <c r="K342" s="675"/>
      <c r="L342" s="675"/>
      <c r="M342" s="676"/>
      <c r="N342" s="676"/>
      <c r="O342" s="675"/>
      <c r="P342" s="675"/>
      <c r="Q342" s="676"/>
      <c r="R342" s="676"/>
      <c r="S342" s="676"/>
      <c r="T342" s="676"/>
      <c r="U342" s="676"/>
      <c r="V342"/>
      <c r="W342"/>
      <c r="X342"/>
      <c r="Y342"/>
    </row>
    <row r="343" spans="1:25" ht="15.75">
      <c r="A343" s="684"/>
      <c r="B343" s="688"/>
      <c r="C343" s="380"/>
      <c r="D343" s="381"/>
      <c r="E343" s="381"/>
      <c r="F343" s="381"/>
      <c r="G343" s="381"/>
      <c r="H343" s="382"/>
      <c r="I343" s="382"/>
      <c r="J343" s="381"/>
      <c r="K343" s="381"/>
      <c r="L343" s="381"/>
      <c r="M343" s="382"/>
      <c r="N343" s="382"/>
      <c r="O343" s="381"/>
      <c r="P343" s="381"/>
      <c r="Q343" s="382"/>
      <c r="R343" s="382"/>
      <c r="S343" s="382"/>
      <c r="T343" s="382"/>
      <c r="U343" s="382"/>
      <c r="V343"/>
      <c r="W343"/>
      <c r="X343"/>
      <c r="Y343"/>
    </row>
    <row r="344" spans="1:25" s="386" customFormat="1" ht="15.75">
      <c r="A344" s="684"/>
      <c r="B344" s="689"/>
      <c r="C344" s="383"/>
      <c r="D344" s="384"/>
      <c r="E344" s="384"/>
      <c r="F344" s="384"/>
      <c r="G344" s="384"/>
      <c r="H344" s="385"/>
      <c r="I344" s="385"/>
      <c r="J344" s="384"/>
      <c r="K344" s="384"/>
      <c r="L344" s="384"/>
      <c r="M344" s="385"/>
      <c r="N344" s="385"/>
      <c r="O344" s="384"/>
      <c r="P344" s="384"/>
      <c r="Q344" s="385"/>
      <c r="R344" s="385"/>
      <c r="S344" s="385"/>
      <c r="T344" s="385"/>
      <c r="U344" s="385"/>
      <c r="V344"/>
      <c r="W344"/>
      <c r="X344"/>
      <c r="Y344"/>
    </row>
    <row r="345" spans="1:25" ht="15.75">
      <c r="A345" s="684"/>
      <c r="B345" s="687"/>
      <c r="C345" s="674"/>
      <c r="D345" s="675"/>
      <c r="E345" s="675"/>
      <c r="F345" s="675"/>
      <c r="G345" s="675"/>
      <c r="H345" s="676"/>
      <c r="I345" s="676"/>
      <c r="J345" s="675"/>
      <c r="K345" s="675"/>
      <c r="L345" s="675"/>
      <c r="M345" s="676"/>
      <c r="N345" s="676"/>
      <c r="O345" s="675"/>
      <c r="P345" s="675"/>
      <c r="Q345" s="676"/>
      <c r="R345" s="676"/>
      <c r="S345" s="676"/>
      <c r="T345" s="676"/>
      <c r="U345" s="676"/>
      <c r="V345"/>
      <c r="W345"/>
      <c r="X345"/>
      <c r="Y345"/>
    </row>
    <row r="346" spans="1:25" ht="15.75">
      <c r="A346" s="684"/>
      <c r="B346" s="688"/>
      <c r="C346" s="380"/>
      <c r="D346" s="381"/>
      <c r="E346" s="381"/>
      <c r="F346" s="381"/>
      <c r="G346" s="381"/>
      <c r="H346" s="382"/>
      <c r="I346" s="382"/>
      <c r="J346" s="381"/>
      <c r="K346" s="381"/>
      <c r="L346" s="381"/>
      <c r="M346" s="382"/>
      <c r="N346" s="382"/>
      <c r="O346" s="381"/>
      <c r="P346" s="381"/>
      <c r="Q346" s="382"/>
      <c r="R346" s="382"/>
      <c r="S346" s="382"/>
      <c r="T346" s="382"/>
      <c r="U346" s="382"/>
      <c r="V346"/>
      <c r="W346"/>
      <c r="X346"/>
      <c r="Y346"/>
    </row>
    <row r="347" spans="1:25" s="386" customFormat="1" ht="15.75">
      <c r="A347" s="684"/>
      <c r="B347" s="689"/>
      <c r="C347" s="383"/>
      <c r="D347" s="384"/>
      <c r="E347" s="384"/>
      <c r="F347" s="384"/>
      <c r="G347" s="384"/>
      <c r="H347" s="385"/>
      <c r="I347" s="385"/>
      <c r="J347" s="384"/>
      <c r="K347" s="384"/>
      <c r="L347" s="384"/>
      <c r="M347" s="385"/>
      <c r="N347" s="385"/>
      <c r="O347" s="384"/>
      <c r="P347" s="384"/>
      <c r="Q347" s="385"/>
      <c r="R347" s="385"/>
      <c r="S347" s="385"/>
      <c r="T347" s="385"/>
      <c r="U347" s="385"/>
      <c r="V347"/>
      <c r="W347"/>
      <c r="X347"/>
      <c r="Y347"/>
    </row>
    <row r="348" spans="1:25" ht="15.75">
      <c r="A348" s="684"/>
      <c r="B348" s="687"/>
      <c r="C348" s="674"/>
      <c r="D348" s="675"/>
      <c r="E348" s="675"/>
      <c r="F348" s="675"/>
      <c r="G348" s="675"/>
      <c r="H348" s="676"/>
      <c r="I348" s="676"/>
      <c r="J348" s="675"/>
      <c r="K348" s="675"/>
      <c r="L348" s="675"/>
      <c r="M348" s="676"/>
      <c r="N348" s="676"/>
      <c r="O348" s="675"/>
      <c r="P348" s="675"/>
      <c r="Q348" s="676"/>
      <c r="R348" s="676"/>
      <c r="S348" s="676"/>
      <c r="T348" s="676"/>
      <c r="U348" s="676"/>
      <c r="V348"/>
      <c r="W348"/>
      <c r="X348"/>
      <c r="Y348"/>
    </row>
    <row r="349" spans="1:25" ht="15.75">
      <c r="A349" s="684"/>
      <c r="B349" s="688"/>
      <c r="C349" s="380"/>
      <c r="D349" s="381"/>
      <c r="E349" s="381"/>
      <c r="F349" s="381"/>
      <c r="G349" s="381"/>
      <c r="H349" s="382"/>
      <c r="I349" s="382"/>
      <c r="J349" s="381"/>
      <c r="K349" s="381"/>
      <c r="L349" s="381"/>
      <c r="M349" s="382"/>
      <c r="N349" s="382"/>
      <c r="O349" s="381"/>
      <c r="P349" s="381"/>
      <c r="Q349" s="382"/>
      <c r="R349" s="382"/>
      <c r="S349" s="382"/>
      <c r="T349" s="382"/>
      <c r="U349" s="382"/>
      <c r="V349"/>
      <c r="W349"/>
      <c r="X349"/>
      <c r="Y349"/>
    </row>
    <row r="350" spans="1:25" s="386" customFormat="1" ht="15.75">
      <c r="A350" s="684"/>
      <c r="B350" s="689"/>
      <c r="C350" s="383"/>
      <c r="D350" s="384"/>
      <c r="E350" s="384"/>
      <c r="F350" s="384"/>
      <c r="G350" s="384"/>
      <c r="H350" s="385"/>
      <c r="I350" s="385"/>
      <c r="J350" s="384"/>
      <c r="K350" s="384"/>
      <c r="L350" s="384"/>
      <c r="M350" s="385"/>
      <c r="N350" s="385"/>
      <c r="O350" s="384"/>
      <c r="P350" s="384"/>
      <c r="Q350" s="385"/>
      <c r="R350" s="385"/>
      <c r="S350" s="385"/>
      <c r="T350" s="385"/>
      <c r="U350" s="385"/>
      <c r="V350"/>
      <c r="W350"/>
      <c r="X350"/>
      <c r="Y350"/>
    </row>
    <row r="351" spans="1:25" ht="15.75">
      <c r="A351" s="684"/>
      <c r="B351" s="687"/>
      <c r="C351" s="674"/>
      <c r="D351" s="675"/>
      <c r="E351" s="675"/>
      <c r="F351" s="675"/>
      <c r="G351" s="675"/>
      <c r="H351" s="676"/>
      <c r="I351" s="676"/>
      <c r="J351" s="675"/>
      <c r="K351" s="675"/>
      <c r="L351" s="675"/>
      <c r="M351" s="676"/>
      <c r="N351" s="676"/>
      <c r="O351" s="675"/>
      <c r="P351" s="675"/>
      <c r="Q351" s="676"/>
      <c r="R351" s="676"/>
      <c r="S351" s="676"/>
      <c r="T351" s="676"/>
      <c r="U351" s="676"/>
      <c r="V351"/>
      <c r="W351"/>
      <c r="X351"/>
      <c r="Y351"/>
    </row>
    <row r="352" spans="1:25" ht="15.75">
      <c r="A352" s="684"/>
      <c r="B352" s="688"/>
      <c r="C352" s="380"/>
      <c r="D352" s="381"/>
      <c r="E352" s="381"/>
      <c r="F352" s="381"/>
      <c r="G352" s="381"/>
      <c r="H352" s="382"/>
      <c r="I352" s="382"/>
      <c r="J352" s="381"/>
      <c r="K352" s="381"/>
      <c r="L352" s="381"/>
      <c r="M352" s="382"/>
      <c r="N352" s="382"/>
      <c r="O352" s="381"/>
      <c r="P352" s="381"/>
      <c r="Q352" s="382"/>
      <c r="R352" s="382"/>
      <c r="S352" s="382"/>
      <c r="T352" s="382"/>
      <c r="U352" s="382"/>
      <c r="V352"/>
      <c r="W352"/>
      <c r="X352"/>
      <c r="Y352"/>
    </row>
    <row r="353" spans="1:25" s="386" customFormat="1" ht="15.75">
      <c r="A353" s="684"/>
      <c r="B353" s="689"/>
      <c r="C353" s="383"/>
      <c r="D353" s="384"/>
      <c r="E353" s="384"/>
      <c r="F353" s="384"/>
      <c r="G353" s="384"/>
      <c r="H353" s="385"/>
      <c r="I353" s="385"/>
      <c r="J353" s="384"/>
      <c r="K353" s="384"/>
      <c r="L353" s="384"/>
      <c r="M353" s="385"/>
      <c r="N353" s="385"/>
      <c r="O353" s="384"/>
      <c r="P353" s="384"/>
      <c r="Q353" s="385"/>
      <c r="R353" s="385"/>
      <c r="S353" s="385"/>
      <c r="T353" s="385"/>
      <c r="U353" s="385"/>
      <c r="V353"/>
      <c r="W353"/>
      <c r="X353"/>
      <c r="Y353"/>
    </row>
    <row r="354" spans="1:25" ht="15.75">
      <c r="A354" s="684"/>
      <c r="B354" s="687"/>
      <c r="C354" s="674"/>
      <c r="D354" s="675"/>
      <c r="E354" s="675"/>
      <c r="F354" s="675"/>
      <c r="G354" s="675"/>
      <c r="H354" s="676"/>
      <c r="I354" s="676"/>
      <c r="J354" s="675"/>
      <c r="K354" s="675"/>
      <c r="L354" s="675"/>
      <c r="M354" s="676"/>
      <c r="N354" s="676"/>
      <c r="O354" s="675"/>
      <c r="P354" s="675"/>
      <c r="Q354" s="676"/>
      <c r="R354" s="676"/>
      <c r="S354" s="676"/>
      <c r="T354" s="676"/>
      <c r="U354" s="676"/>
      <c r="V354"/>
      <c r="W354"/>
      <c r="X354"/>
      <c r="Y354"/>
    </row>
    <row r="355" spans="1:25" ht="15.75">
      <c r="A355" s="685"/>
      <c r="B355" s="690"/>
      <c r="C355" s="576"/>
      <c r="D355" s="577"/>
      <c r="E355" s="577"/>
      <c r="F355" s="577"/>
      <c r="G355" s="577"/>
      <c r="H355" s="578"/>
      <c r="I355" s="578"/>
      <c r="J355" s="577"/>
      <c r="K355" s="577"/>
      <c r="L355" s="577"/>
      <c r="M355" s="578"/>
      <c r="N355" s="578"/>
      <c r="O355" s="577"/>
      <c r="P355" s="577"/>
      <c r="Q355" s="578"/>
      <c r="R355" s="578"/>
      <c r="S355" s="578"/>
      <c r="T355" s="578"/>
      <c r="U355" s="578"/>
      <c r="V355"/>
      <c r="W355"/>
      <c r="X355"/>
      <c r="Y355"/>
    </row>
    <row r="356" spans="1:25" s="386" customFormat="1" ht="15.75">
      <c r="A356" s="683"/>
      <c r="B356" s="687"/>
      <c r="C356" s="674"/>
      <c r="D356" s="675"/>
      <c r="E356" s="675"/>
      <c r="F356" s="675"/>
      <c r="G356" s="675"/>
      <c r="H356" s="676"/>
      <c r="I356" s="676"/>
      <c r="J356" s="675"/>
      <c r="K356" s="675"/>
      <c r="L356" s="675"/>
      <c r="M356" s="676"/>
      <c r="N356" s="676"/>
      <c r="O356" s="675"/>
      <c r="P356" s="675"/>
      <c r="Q356" s="676"/>
      <c r="R356" s="676"/>
      <c r="S356" s="676"/>
      <c r="T356" s="676"/>
      <c r="U356" s="676"/>
      <c r="V356"/>
      <c r="W356"/>
      <c r="X356"/>
      <c r="Y356"/>
    </row>
    <row r="357" spans="1:25" ht="15.75">
      <c r="A357" s="684"/>
      <c r="B357" s="688"/>
      <c r="C357" s="380"/>
      <c r="D357" s="381"/>
      <c r="E357" s="381"/>
      <c r="F357" s="381"/>
      <c r="G357" s="381"/>
      <c r="H357" s="382"/>
      <c r="I357" s="382"/>
      <c r="J357" s="381"/>
      <c r="K357" s="381"/>
      <c r="L357" s="381"/>
      <c r="M357" s="382"/>
      <c r="N357" s="382"/>
      <c r="O357" s="381"/>
      <c r="P357" s="381"/>
      <c r="Q357" s="382"/>
      <c r="R357" s="382"/>
      <c r="S357" s="382"/>
      <c r="T357" s="382"/>
      <c r="U357" s="382"/>
      <c r="V357"/>
      <c r="W357"/>
      <c r="X357"/>
      <c r="Y357"/>
    </row>
    <row r="358" spans="1:25" ht="15.75">
      <c r="A358" s="684"/>
      <c r="B358" s="689"/>
      <c r="C358" s="383"/>
      <c r="D358" s="384"/>
      <c r="E358" s="384"/>
      <c r="F358" s="384"/>
      <c r="G358" s="384"/>
      <c r="H358" s="385"/>
      <c r="I358" s="385"/>
      <c r="J358" s="384"/>
      <c r="K358" s="384"/>
      <c r="L358" s="384"/>
      <c r="M358" s="385"/>
      <c r="N358" s="385"/>
      <c r="O358" s="384"/>
      <c r="P358" s="384"/>
      <c r="Q358" s="385"/>
      <c r="R358" s="385"/>
      <c r="S358" s="385"/>
      <c r="T358" s="385"/>
      <c r="U358" s="385"/>
      <c r="V358"/>
      <c r="W358"/>
      <c r="X358"/>
      <c r="Y358"/>
    </row>
    <row r="359" spans="1:25" s="386" customFormat="1" ht="15.75">
      <c r="A359" s="684"/>
      <c r="B359" s="687"/>
      <c r="C359" s="674"/>
      <c r="D359" s="675"/>
      <c r="E359" s="675"/>
      <c r="F359" s="675"/>
      <c r="G359" s="675"/>
      <c r="H359" s="676"/>
      <c r="I359" s="676"/>
      <c r="J359" s="675"/>
      <c r="K359" s="675"/>
      <c r="L359" s="675"/>
      <c r="M359" s="676"/>
      <c r="N359" s="676"/>
      <c r="O359" s="675"/>
      <c r="P359" s="675"/>
      <c r="Q359" s="676"/>
      <c r="R359" s="676"/>
      <c r="S359" s="676"/>
      <c r="T359" s="676"/>
      <c r="U359" s="676"/>
      <c r="V359"/>
      <c r="W359"/>
      <c r="X359"/>
      <c r="Y359"/>
    </row>
    <row r="360" spans="1:25" ht="15.75">
      <c r="A360" s="684"/>
      <c r="B360" s="688"/>
      <c r="C360" s="380"/>
      <c r="D360" s="381"/>
      <c r="E360" s="381"/>
      <c r="F360" s="381"/>
      <c r="G360" s="381"/>
      <c r="H360" s="382"/>
      <c r="I360" s="382"/>
      <c r="J360" s="381"/>
      <c r="K360" s="381"/>
      <c r="L360" s="381"/>
      <c r="M360" s="382"/>
      <c r="N360" s="382"/>
      <c r="O360" s="381"/>
      <c r="P360" s="381"/>
      <c r="Q360" s="382"/>
      <c r="R360" s="382"/>
      <c r="S360" s="382"/>
      <c r="T360" s="382"/>
      <c r="U360" s="382"/>
      <c r="V360"/>
      <c r="W360"/>
      <c r="X360"/>
      <c r="Y360"/>
    </row>
    <row r="361" spans="1:25" ht="15.75">
      <c r="A361" s="684"/>
      <c r="B361" s="689"/>
      <c r="C361" s="383"/>
      <c r="D361" s="384"/>
      <c r="E361" s="384"/>
      <c r="F361" s="384"/>
      <c r="G361" s="384"/>
      <c r="H361" s="385"/>
      <c r="I361" s="385"/>
      <c r="J361" s="384"/>
      <c r="K361" s="384"/>
      <c r="L361" s="384"/>
      <c r="M361" s="385"/>
      <c r="N361" s="385"/>
      <c r="O361" s="384"/>
      <c r="P361" s="384"/>
      <c r="Q361" s="385"/>
      <c r="R361" s="385"/>
      <c r="S361" s="385"/>
      <c r="T361" s="385"/>
      <c r="U361" s="385"/>
      <c r="V361"/>
      <c r="W361"/>
      <c r="X361"/>
      <c r="Y361"/>
    </row>
    <row r="362" spans="1:25" s="386" customFormat="1" ht="15.75">
      <c r="A362" s="684"/>
      <c r="B362" s="687"/>
      <c r="C362" s="674"/>
      <c r="D362" s="675"/>
      <c r="E362" s="675"/>
      <c r="F362" s="675"/>
      <c r="G362" s="675"/>
      <c r="H362" s="676"/>
      <c r="I362" s="676"/>
      <c r="J362" s="675"/>
      <c r="K362" s="675"/>
      <c r="L362" s="675"/>
      <c r="M362" s="676"/>
      <c r="N362" s="676"/>
      <c r="O362" s="675"/>
      <c r="P362" s="675"/>
      <c r="Q362" s="676"/>
      <c r="R362" s="676"/>
      <c r="S362" s="676"/>
      <c r="T362" s="676"/>
      <c r="U362" s="676"/>
      <c r="V362"/>
      <c r="W362"/>
      <c r="X362"/>
      <c r="Y362"/>
    </row>
    <row r="363" spans="1:25" ht="15.75">
      <c r="A363" s="684"/>
      <c r="B363" s="688"/>
      <c r="C363" s="380"/>
      <c r="D363" s="381"/>
      <c r="E363" s="381"/>
      <c r="F363" s="381"/>
      <c r="G363" s="381"/>
      <c r="H363" s="382"/>
      <c r="I363" s="382"/>
      <c r="J363" s="381"/>
      <c r="K363" s="381"/>
      <c r="L363" s="381"/>
      <c r="M363" s="382"/>
      <c r="N363" s="382"/>
      <c r="O363" s="381"/>
      <c r="P363" s="381"/>
      <c r="Q363" s="382"/>
      <c r="R363" s="382"/>
      <c r="S363" s="382"/>
      <c r="T363" s="382"/>
      <c r="U363" s="382"/>
      <c r="V363"/>
      <c r="W363"/>
      <c r="X363"/>
      <c r="Y363"/>
    </row>
    <row r="364" spans="1:25" ht="15.75">
      <c r="A364" s="684"/>
      <c r="B364" s="689"/>
      <c r="C364" s="383"/>
      <c r="D364" s="384"/>
      <c r="E364" s="384"/>
      <c r="F364" s="384"/>
      <c r="G364" s="384"/>
      <c r="H364" s="385"/>
      <c r="I364" s="385"/>
      <c r="J364" s="384"/>
      <c r="K364" s="384"/>
      <c r="L364" s="384"/>
      <c r="M364" s="385"/>
      <c r="N364" s="385"/>
      <c r="O364" s="384"/>
      <c r="P364" s="384"/>
      <c r="Q364" s="385"/>
      <c r="R364" s="385"/>
      <c r="S364" s="385"/>
      <c r="T364" s="692"/>
      <c r="U364" s="385"/>
      <c r="V364"/>
      <c r="W364"/>
      <c r="X364"/>
      <c r="Y364"/>
    </row>
    <row r="365" spans="1:25" s="386" customFormat="1" ht="15.75">
      <c r="A365" s="684"/>
      <c r="B365" s="687"/>
      <c r="C365" s="674"/>
      <c r="D365" s="675"/>
      <c r="E365" s="675"/>
      <c r="F365" s="675"/>
      <c r="G365" s="675"/>
      <c r="H365" s="676"/>
      <c r="I365" s="676"/>
      <c r="J365" s="675"/>
      <c r="K365" s="675"/>
      <c r="L365" s="675"/>
      <c r="M365" s="676"/>
      <c r="N365" s="676"/>
      <c r="O365" s="675"/>
      <c r="P365" s="675"/>
      <c r="Q365" s="676"/>
      <c r="R365" s="676"/>
      <c r="S365" s="676"/>
      <c r="T365" s="676"/>
      <c r="U365" s="676"/>
      <c r="V365"/>
      <c r="W365"/>
      <c r="X365"/>
      <c r="Y365"/>
    </row>
    <row r="366" spans="1:25" ht="15.75">
      <c r="A366" s="684"/>
      <c r="B366" s="688"/>
      <c r="C366" s="380"/>
      <c r="D366" s="381"/>
      <c r="E366" s="381"/>
      <c r="F366" s="381"/>
      <c r="G366" s="381"/>
      <c r="H366" s="382"/>
      <c r="I366" s="382"/>
      <c r="J366" s="381"/>
      <c r="K366" s="381"/>
      <c r="L366" s="381"/>
      <c r="M366" s="382"/>
      <c r="N366" s="382"/>
      <c r="O366" s="381"/>
      <c r="P366" s="381"/>
      <c r="Q366" s="382"/>
      <c r="R366" s="382"/>
      <c r="S366" s="382"/>
      <c r="T366" s="382"/>
      <c r="U366" s="382"/>
      <c r="V366"/>
      <c r="W366"/>
      <c r="X366"/>
      <c r="Y366"/>
    </row>
    <row r="367" spans="1:25" ht="15.75">
      <c r="A367" s="684"/>
      <c r="B367" s="689"/>
      <c r="C367" s="383"/>
      <c r="D367" s="384"/>
      <c r="E367" s="384"/>
      <c r="F367" s="384"/>
      <c r="G367" s="384"/>
      <c r="H367" s="385"/>
      <c r="I367" s="385"/>
      <c r="J367" s="384"/>
      <c r="K367" s="384"/>
      <c r="L367" s="384"/>
      <c r="M367" s="385"/>
      <c r="N367" s="385"/>
      <c r="O367" s="384"/>
      <c r="P367" s="384"/>
      <c r="Q367" s="385"/>
      <c r="R367" s="385"/>
      <c r="S367" s="385"/>
      <c r="T367" s="385"/>
      <c r="U367" s="385"/>
      <c r="V367"/>
      <c r="W367"/>
      <c r="X367"/>
      <c r="Y367"/>
    </row>
    <row r="368" spans="1:25" s="386" customFormat="1" ht="15.75">
      <c r="A368" s="684"/>
      <c r="B368" s="687"/>
      <c r="C368" s="674"/>
      <c r="D368" s="675"/>
      <c r="E368" s="675"/>
      <c r="F368" s="675"/>
      <c r="G368" s="675"/>
      <c r="H368" s="676"/>
      <c r="I368" s="676"/>
      <c r="J368" s="675"/>
      <c r="K368" s="675"/>
      <c r="L368" s="675"/>
      <c r="M368" s="676"/>
      <c r="N368" s="676"/>
      <c r="O368" s="675"/>
      <c r="P368" s="675"/>
      <c r="Q368" s="676"/>
      <c r="R368" s="676"/>
      <c r="S368" s="676"/>
      <c r="T368" s="676"/>
      <c r="U368" s="676"/>
      <c r="V368"/>
      <c r="W368"/>
      <c r="X368"/>
      <c r="Y368"/>
    </row>
    <row r="369" spans="1:25" ht="15.75">
      <c r="A369" s="684"/>
      <c r="B369" s="688"/>
      <c r="C369" s="380"/>
      <c r="D369" s="381"/>
      <c r="E369" s="381"/>
      <c r="F369" s="381"/>
      <c r="G369" s="381"/>
      <c r="H369" s="382"/>
      <c r="I369" s="382"/>
      <c r="J369" s="381"/>
      <c r="K369" s="381"/>
      <c r="L369" s="381"/>
      <c r="M369" s="382"/>
      <c r="N369" s="382"/>
      <c r="O369" s="381"/>
      <c r="P369" s="381"/>
      <c r="Q369" s="382"/>
      <c r="R369" s="382"/>
      <c r="S369" s="382"/>
      <c r="T369" s="382"/>
      <c r="U369" s="382"/>
      <c r="V369"/>
      <c r="W369"/>
      <c r="X369"/>
      <c r="Y369"/>
    </row>
    <row r="370" spans="1:25" ht="15.75">
      <c r="A370" s="684"/>
      <c r="B370" s="689"/>
      <c r="C370" s="692"/>
      <c r="D370" s="692"/>
      <c r="E370" s="692"/>
      <c r="F370" s="692"/>
      <c r="G370" s="384"/>
      <c r="H370" s="385"/>
      <c r="I370" s="385"/>
      <c r="J370" s="384"/>
      <c r="K370" s="384"/>
      <c r="L370" s="384"/>
      <c r="M370" s="385"/>
      <c r="N370" s="385"/>
      <c r="O370" s="384"/>
      <c r="P370" s="384"/>
      <c r="Q370" s="385"/>
      <c r="R370" s="385"/>
      <c r="S370" s="385"/>
      <c r="T370" s="692"/>
      <c r="U370" s="385"/>
      <c r="V370"/>
      <c r="W370"/>
      <c r="X370"/>
      <c r="Y370"/>
    </row>
    <row r="371" spans="1:25" s="386" customFormat="1" ht="15.75">
      <c r="A371" s="684"/>
      <c r="B371" s="687"/>
      <c r="C371" s="674"/>
      <c r="D371" s="675"/>
      <c r="E371" s="675"/>
      <c r="F371" s="675"/>
      <c r="G371" s="675"/>
      <c r="H371" s="676"/>
      <c r="I371" s="676"/>
      <c r="J371" s="675"/>
      <c r="K371" s="675"/>
      <c r="L371" s="675"/>
      <c r="M371" s="676"/>
      <c r="N371" s="676"/>
      <c r="O371" s="675"/>
      <c r="P371" s="675"/>
      <c r="Q371" s="676"/>
      <c r="R371" s="676"/>
      <c r="S371" s="676"/>
      <c r="T371" s="676"/>
      <c r="U371" s="676"/>
      <c r="V371"/>
      <c r="W371"/>
      <c r="X371"/>
      <c r="Y371"/>
    </row>
    <row r="372" spans="1:25" ht="15.75">
      <c r="A372" s="684"/>
      <c r="B372" s="688"/>
      <c r="C372" s="380"/>
      <c r="D372" s="381"/>
      <c r="E372" s="381"/>
      <c r="F372" s="381"/>
      <c r="G372" s="381"/>
      <c r="H372" s="382"/>
      <c r="I372" s="382"/>
      <c r="J372" s="381"/>
      <c r="K372" s="381"/>
      <c r="L372" s="381"/>
      <c r="M372" s="382"/>
      <c r="N372" s="382"/>
      <c r="O372" s="381"/>
      <c r="P372" s="381"/>
      <c r="Q372" s="382"/>
      <c r="R372" s="382"/>
      <c r="S372" s="382"/>
      <c r="T372" s="382"/>
      <c r="U372" s="382"/>
      <c r="V372"/>
      <c r="W372"/>
      <c r="X372"/>
      <c r="Y372"/>
    </row>
    <row r="373" spans="1:25" ht="15.75">
      <c r="A373" s="684"/>
      <c r="B373" s="689"/>
      <c r="C373" s="383"/>
      <c r="D373" s="384"/>
      <c r="E373" s="384"/>
      <c r="F373" s="384"/>
      <c r="G373" s="384"/>
      <c r="H373" s="385"/>
      <c r="I373" s="385"/>
      <c r="J373" s="384"/>
      <c r="K373" s="384"/>
      <c r="L373" s="384"/>
      <c r="M373" s="385"/>
      <c r="N373" s="385"/>
      <c r="O373" s="384"/>
      <c r="P373" s="384"/>
      <c r="Q373" s="385"/>
      <c r="R373" s="385"/>
      <c r="S373" s="385"/>
      <c r="T373" s="385"/>
      <c r="U373" s="385"/>
      <c r="V373"/>
      <c r="W373"/>
      <c r="X373"/>
      <c r="Y373"/>
    </row>
    <row r="374" spans="1:25" s="386" customFormat="1" ht="15.75">
      <c r="A374" s="684"/>
      <c r="B374" s="687"/>
      <c r="C374" s="674"/>
      <c r="D374" s="675"/>
      <c r="E374" s="675"/>
      <c r="F374" s="675"/>
      <c r="G374" s="675"/>
      <c r="H374" s="676"/>
      <c r="I374" s="676"/>
      <c r="J374" s="675"/>
      <c r="K374" s="675"/>
      <c r="L374" s="675"/>
      <c r="M374" s="676"/>
      <c r="N374" s="676"/>
      <c r="O374" s="675"/>
      <c r="P374" s="675"/>
      <c r="Q374" s="676"/>
      <c r="R374" s="676"/>
      <c r="S374" s="676"/>
      <c r="T374" s="676"/>
      <c r="U374" s="676"/>
      <c r="V374"/>
      <c r="W374"/>
      <c r="X374"/>
      <c r="Y374"/>
    </row>
    <row r="375" spans="1:25" ht="15.75">
      <c r="A375" s="684"/>
      <c r="B375" s="688"/>
      <c r="C375" s="380"/>
      <c r="D375" s="381"/>
      <c r="E375" s="381"/>
      <c r="F375" s="381"/>
      <c r="G375" s="381"/>
      <c r="H375" s="382"/>
      <c r="I375" s="382"/>
      <c r="J375" s="381"/>
      <c r="K375" s="381"/>
      <c r="L375" s="381"/>
      <c r="M375" s="382"/>
      <c r="N375" s="382"/>
      <c r="O375" s="381"/>
      <c r="P375" s="381"/>
      <c r="Q375" s="382"/>
      <c r="R375" s="382"/>
      <c r="S375" s="382"/>
      <c r="T375" s="382"/>
      <c r="U375" s="382"/>
      <c r="V375"/>
      <c r="W375"/>
      <c r="X375"/>
      <c r="Y375"/>
    </row>
    <row r="376" spans="1:25" ht="15.75">
      <c r="A376" s="684"/>
      <c r="B376" s="689"/>
      <c r="C376" s="692"/>
      <c r="D376" s="384"/>
      <c r="E376" s="384"/>
      <c r="F376" s="384"/>
      <c r="G376" s="384"/>
      <c r="H376" s="385"/>
      <c r="I376" s="385"/>
      <c r="J376" s="384"/>
      <c r="K376" s="384"/>
      <c r="L376" s="384"/>
      <c r="M376" s="385"/>
      <c r="N376" s="385"/>
      <c r="O376" s="384"/>
      <c r="P376" s="384"/>
      <c r="Q376" s="385"/>
      <c r="R376" s="385"/>
      <c r="S376" s="385"/>
      <c r="T376" s="692"/>
      <c r="U376" s="385"/>
      <c r="V376"/>
      <c r="W376"/>
      <c r="X376"/>
      <c r="Y376"/>
    </row>
    <row r="377" spans="1:25" s="386" customFormat="1" ht="15.75">
      <c r="A377" s="684"/>
      <c r="B377" s="687"/>
      <c r="C377" s="674"/>
      <c r="D377" s="675"/>
      <c r="E377" s="675"/>
      <c r="F377" s="675"/>
      <c r="G377" s="675"/>
      <c r="H377" s="676"/>
      <c r="I377" s="676"/>
      <c r="J377" s="675"/>
      <c r="K377" s="675"/>
      <c r="L377" s="675"/>
      <c r="M377" s="676"/>
      <c r="N377" s="676"/>
      <c r="O377" s="675"/>
      <c r="P377" s="675"/>
      <c r="Q377" s="676"/>
      <c r="R377" s="676"/>
      <c r="S377" s="676"/>
      <c r="T377" s="676"/>
      <c r="U377" s="676"/>
      <c r="V377"/>
      <c r="W377"/>
      <c r="X377"/>
      <c r="Y377"/>
    </row>
    <row r="378" spans="1:25" ht="15.75">
      <c r="A378" s="684"/>
      <c r="B378" s="688"/>
      <c r="C378" s="380"/>
      <c r="D378" s="381"/>
      <c r="E378" s="381"/>
      <c r="F378" s="381"/>
      <c r="G378" s="381"/>
      <c r="H378" s="382"/>
      <c r="I378" s="382"/>
      <c r="J378" s="381"/>
      <c r="K378" s="381"/>
      <c r="L378" s="381"/>
      <c r="M378" s="382"/>
      <c r="N378" s="382"/>
      <c r="O378" s="381"/>
      <c r="P378" s="381"/>
      <c r="Q378" s="382"/>
      <c r="R378" s="382"/>
      <c r="S378" s="382"/>
      <c r="T378" s="382"/>
      <c r="U378" s="382"/>
      <c r="V378"/>
      <c r="W378"/>
      <c r="X378"/>
      <c r="Y378"/>
    </row>
    <row r="379" spans="1:25" ht="15.75">
      <c r="A379" s="684"/>
      <c r="B379" s="689"/>
      <c r="C379" s="383"/>
      <c r="D379" s="384"/>
      <c r="E379" s="384"/>
      <c r="F379" s="384"/>
      <c r="G379" s="384"/>
      <c r="H379" s="385"/>
      <c r="I379" s="385"/>
      <c r="J379" s="384"/>
      <c r="K379" s="384"/>
      <c r="L379" s="384"/>
      <c r="M379" s="385"/>
      <c r="N379" s="385"/>
      <c r="O379" s="384"/>
      <c r="P379" s="384"/>
      <c r="Q379" s="385"/>
      <c r="R379" s="385"/>
      <c r="S379" s="385"/>
      <c r="T379" s="385"/>
      <c r="U379" s="385"/>
      <c r="V379"/>
      <c r="W379"/>
      <c r="X379"/>
      <c r="Y379"/>
    </row>
    <row r="380" spans="1:25" s="386" customFormat="1" ht="15.75">
      <c r="A380" s="684"/>
      <c r="B380" s="687"/>
      <c r="C380" s="674"/>
      <c r="D380" s="675"/>
      <c r="E380" s="675"/>
      <c r="F380" s="675"/>
      <c r="G380" s="675"/>
      <c r="H380" s="676"/>
      <c r="I380" s="676"/>
      <c r="J380" s="675"/>
      <c r="K380" s="675"/>
      <c r="L380" s="675"/>
      <c r="M380" s="676"/>
      <c r="N380" s="676"/>
      <c r="O380" s="675"/>
      <c r="P380" s="675"/>
      <c r="Q380" s="676"/>
      <c r="R380" s="676"/>
      <c r="S380" s="676"/>
      <c r="T380" s="676"/>
      <c r="U380" s="676"/>
      <c r="V380"/>
      <c r="W380"/>
      <c r="X380"/>
      <c r="Y380"/>
    </row>
    <row r="381" spans="1:25" ht="15.75">
      <c r="A381" s="684"/>
      <c r="B381" s="688"/>
      <c r="C381" s="380"/>
      <c r="D381" s="381"/>
      <c r="E381" s="381"/>
      <c r="F381" s="381"/>
      <c r="G381" s="381"/>
      <c r="H381" s="382"/>
      <c r="I381" s="382"/>
      <c r="J381" s="381"/>
      <c r="K381" s="381"/>
      <c r="L381" s="381"/>
      <c r="M381" s="382"/>
      <c r="N381" s="382"/>
      <c r="O381" s="381"/>
      <c r="P381" s="381"/>
      <c r="Q381" s="382"/>
      <c r="R381" s="382"/>
      <c r="S381" s="382"/>
      <c r="T381" s="382"/>
      <c r="U381" s="382"/>
      <c r="V381"/>
      <c r="W381"/>
      <c r="X381"/>
      <c r="Y381"/>
    </row>
    <row r="382" spans="1:25" ht="15.75">
      <c r="A382" s="684"/>
      <c r="B382" s="689"/>
      <c r="C382" s="383"/>
      <c r="D382" s="384"/>
      <c r="E382" s="384"/>
      <c r="F382" s="384"/>
      <c r="G382" s="384"/>
      <c r="H382" s="385"/>
      <c r="I382" s="385"/>
      <c r="J382" s="384"/>
      <c r="K382" s="384"/>
      <c r="L382" s="384"/>
      <c r="M382" s="385"/>
      <c r="N382" s="385"/>
      <c r="O382" s="384"/>
      <c r="P382" s="384"/>
      <c r="Q382" s="385"/>
      <c r="R382" s="385"/>
      <c r="S382" s="385"/>
      <c r="T382" s="385"/>
      <c r="U382" s="385"/>
      <c r="V382"/>
      <c r="W382"/>
      <c r="X382"/>
      <c r="Y382"/>
    </row>
    <row r="383" spans="1:25" s="386" customFormat="1" ht="15.75">
      <c r="A383" s="684"/>
      <c r="B383" s="687"/>
      <c r="C383" s="674"/>
      <c r="D383" s="675"/>
      <c r="E383" s="675"/>
      <c r="F383" s="675"/>
      <c r="G383" s="675"/>
      <c r="H383" s="676"/>
      <c r="I383" s="676"/>
      <c r="J383" s="675"/>
      <c r="K383" s="675"/>
      <c r="L383" s="675"/>
      <c r="M383" s="676"/>
      <c r="N383" s="676"/>
      <c r="O383" s="675"/>
      <c r="P383" s="675"/>
      <c r="Q383" s="676"/>
      <c r="R383" s="676"/>
      <c r="S383" s="676"/>
      <c r="T383" s="676"/>
      <c r="U383" s="676"/>
      <c r="V383"/>
      <c r="W383"/>
      <c r="X383"/>
      <c r="Y383"/>
    </row>
    <row r="384" spans="1:25" ht="15.75">
      <c r="A384" s="684"/>
      <c r="B384" s="688"/>
      <c r="C384" s="380"/>
      <c r="D384" s="381"/>
      <c r="E384" s="381"/>
      <c r="F384" s="381"/>
      <c r="G384" s="381"/>
      <c r="H384" s="382"/>
      <c r="I384" s="382"/>
      <c r="J384" s="381"/>
      <c r="K384" s="381"/>
      <c r="L384" s="381"/>
      <c r="M384" s="382"/>
      <c r="N384" s="382"/>
      <c r="O384" s="381"/>
      <c r="P384" s="381"/>
      <c r="Q384" s="382"/>
      <c r="R384" s="382"/>
      <c r="S384" s="382"/>
      <c r="T384" s="382"/>
      <c r="U384" s="382"/>
      <c r="V384"/>
      <c r="W384"/>
      <c r="X384"/>
      <c r="Y384"/>
    </row>
    <row r="385" spans="1:25" ht="15.75">
      <c r="A385" s="684"/>
      <c r="B385" s="689"/>
      <c r="C385" s="383"/>
      <c r="D385" s="384"/>
      <c r="E385" s="384"/>
      <c r="F385" s="384"/>
      <c r="G385" s="384"/>
      <c r="H385" s="385"/>
      <c r="I385" s="385"/>
      <c r="J385" s="384"/>
      <c r="K385" s="384"/>
      <c r="L385" s="384"/>
      <c r="M385" s="385"/>
      <c r="N385" s="385"/>
      <c r="O385" s="384"/>
      <c r="P385" s="384"/>
      <c r="Q385" s="385"/>
      <c r="R385" s="385"/>
      <c r="S385" s="385"/>
      <c r="T385" s="385"/>
      <c r="U385" s="385"/>
      <c r="V385"/>
      <c r="W385"/>
      <c r="X385"/>
      <c r="Y385"/>
    </row>
    <row r="386" spans="1:25" s="386" customFormat="1" ht="15.75">
      <c r="A386" s="684"/>
      <c r="B386" s="687"/>
      <c r="C386" s="674"/>
      <c r="D386" s="675"/>
      <c r="E386" s="675"/>
      <c r="F386" s="675"/>
      <c r="G386" s="675"/>
      <c r="H386" s="676"/>
      <c r="I386" s="676"/>
      <c r="J386" s="675"/>
      <c r="K386" s="675"/>
      <c r="L386" s="675"/>
      <c r="M386" s="676"/>
      <c r="N386" s="676"/>
      <c r="O386" s="675"/>
      <c r="P386" s="675"/>
      <c r="Q386" s="676"/>
      <c r="R386" s="676"/>
      <c r="S386" s="676"/>
      <c r="T386" s="676"/>
      <c r="U386" s="676"/>
      <c r="V386"/>
      <c r="W386"/>
      <c r="X386"/>
      <c r="Y386"/>
    </row>
    <row r="387" spans="1:25" ht="15.75">
      <c r="A387" s="684"/>
      <c r="B387" s="688"/>
      <c r="C387" s="380"/>
      <c r="D387" s="381"/>
      <c r="E387" s="381"/>
      <c r="F387" s="381"/>
      <c r="G387" s="381"/>
      <c r="H387" s="382"/>
      <c r="I387" s="382"/>
      <c r="J387" s="381"/>
      <c r="K387" s="381"/>
      <c r="L387" s="381"/>
      <c r="M387" s="382"/>
      <c r="N387" s="382"/>
      <c r="O387" s="381"/>
      <c r="P387" s="381"/>
      <c r="Q387" s="382"/>
      <c r="R387" s="382"/>
      <c r="S387" s="382"/>
      <c r="T387" s="382"/>
      <c r="U387" s="382"/>
      <c r="V387"/>
      <c r="W387"/>
      <c r="X387"/>
      <c r="Y387"/>
    </row>
    <row r="388" spans="1:25" ht="15.75">
      <c r="A388" s="684"/>
      <c r="B388" s="689"/>
      <c r="C388" s="383"/>
      <c r="D388" s="384"/>
      <c r="E388" s="384"/>
      <c r="F388" s="384"/>
      <c r="G388" s="384"/>
      <c r="H388" s="385"/>
      <c r="I388" s="385"/>
      <c r="J388" s="384"/>
      <c r="K388" s="384"/>
      <c r="L388" s="384"/>
      <c r="M388" s="385"/>
      <c r="N388" s="385"/>
      <c r="O388" s="384"/>
      <c r="P388" s="384"/>
      <c r="Q388" s="385"/>
      <c r="R388" s="385"/>
      <c r="S388" s="385"/>
      <c r="T388" s="385"/>
      <c r="U388" s="385"/>
      <c r="V388"/>
      <c r="W388"/>
      <c r="X388"/>
      <c r="Y388"/>
    </row>
    <row r="389" spans="1:25" s="386" customFormat="1" ht="15.75">
      <c r="A389" s="684"/>
      <c r="B389" s="687"/>
      <c r="C389" s="674"/>
      <c r="D389" s="675"/>
      <c r="E389" s="675"/>
      <c r="F389" s="675"/>
      <c r="G389" s="675"/>
      <c r="H389" s="676"/>
      <c r="I389" s="676"/>
      <c r="J389" s="675"/>
      <c r="K389" s="675"/>
      <c r="L389" s="675"/>
      <c r="M389" s="676"/>
      <c r="N389" s="676"/>
      <c r="O389" s="675"/>
      <c r="P389" s="675"/>
      <c r="Q389" s="676"/>
      <c r="R389" s="676"/>
      <c r="S389" s="676"/>
      <c r="T389" s="676"/>
      <c r="U389" s="676"/>
      <c r="V389"/>
      <c r="W389"/>
      <c r="X389"/>
      <c r="Y389"/>
    </row>
    <row r="390" spans="1:25" ht="15.75">
      <c r="A390" s="684"/>
      <c r="B390" s="688"/>
      <c r="C390" s="380"/>
      <c r="D390" s="381"/>
      <c r="E390" s="381"/>
      <c r="F390" s="381"/>
      <c r="G390" s="381"/>
      <c r="H390" s="382"/>
      <c r="I390" s="382"/>
      <c r="J390" s="381"/>
      <c r="K390" s="381"/>
      <c r="L390" s="381"/>
      <c r="M390" s="382"/>
      <c r="N390" s="382"/>
      <c r="O390" s="381"/>
      <c r="P390" s="381"/>
      <c r="Q390" s="382"/>
      <c r="R390" s="382"/>
      <c r="S390" s="382"/>
      <c r="T390" s="382"/>
      <c r="U390" s="382"/>
      <c r="V390"/>
      <c r="W390"/>
      <c r="X390"/>
      <c r="Y390"/>
    </row>
    <row r="391" spans="1:25" ht="15.75">
      <c r="A391" s="684"/>
      <c r="B391" s="689"/>
      <c r="C391" s="383"/>
      <c r="D391" s="384"/>
      <c r="E391" s="384"/>
      <c r="F391" s="384"/>
      <c r="G391" s="384"/>
      <c r="H391" s="385"/>
      <c r="I391" s="385"/>
      <c r="J391" s="384"/>
      <c r="K391" s="384"/>
      <c r="L391" s="384"/>
      <c r="M391" s="385"/>
      <c r="N391" s="385"/>
      <c r="O391" s="384"/>
      <c r="P391" s="384"/>
      <c r="Q391" s="385"/>
      <c r="R391" s="385"/>
      <c r="S391" s="385"/>
      <c r="T391" s="385"/>
      <c r="U391" s="385"/>
      <c r="V391"/>
      <c r="W391"/>
      <c r="X391"/>
      <c r="Y391"/>
    </row>
    <row r="392" spans="1:25" s="386" customFormat="1" ht="15.75">
      <c r="A392" s="684"/>
      <c r="B392" s="687"/>
      <c r="C392" s="674"/>
      <c r="D392" s="675"/>
      <c r="E392" s="675"/>
      <c r="F392" s="675"/>
      <c r="G392" s="675"/>
      <c r="H392" s="676"/>
      <c r="I392" s="676"/>
      <c r="J392" s="675"/>
      <c r="K392" s="675"/>
      <c r="L392" s="675"/>
      <c r="M392" s="676"/>
      <c r="N392" s="676"/>
      <c r="O392" s="675"/>
      <c r="P392" s="675"/>
      <c r="Q392" s="676"/>
      <c r="R392" s="676"/>
      <c r="S392" s="676"/>
      <c r="T392" s="676"/>
      <c r="U392" s="676"/>
      <c r="V392"/>
      <c r="W392"/>
      <c r="X392"/>
      <c r="Y392"/>
    </row>
    <row r="393" spans="1:25" ht="15.75">
      <c r="A393" s="684"/>
      <c r="B393" s="688"/>
      <c r="C393" s="380"/>
      <c r="D393" s="381"/>
      <c r="E393" s="381"/>
      <c r="F393" s="381"/>
      <c r="G393" s="381"/>
      <c r="H393" s="382"/>
      <c r="I393" s="382"/>
      <c r="J393" s="381"/>
      <c r="K393" s="381"/>
      <c r="L393" s="381"/>
      <c r="M393" s="382"/>
      <c r="N393" s="382"/>
      <c r="O393" s="381"/>
      <c r="P393" s="381"/>
      <c r="Q393" s="382"/>
      <c r="R393" s="382"/>
      <c r="S393" s="382"/>
      <c r="T393" s="382"/>
      <c r="U393" s="382"/>
      <c r="V393"/>
      <c r="W393"/>
      <c r="X393"/>
      <c r="Y393"/>
    </row>
    <row r="394" spans="1:25" ht="15.75">
      <c r="A394" s="684"/>
      <c r="B394" s="689"/>
      <c r="C394" s="383"/>
      <c r="D394" s="384"/>
      <c r="E394" s="384"/>
      <c r="F394" s="384"/>
      <c r="G394" s="384"/>
      <c r="H394" s="385"/>
      <c r="I394" s="385"/>
      <c r="J394" s="384"/>
      <c r="K394" s="384"/>
      <c r="L394" s="384"/>
      <c r="M394" s="385"/>
      <c r="N394" s="385"/>
      <c r="O394" s="384"/>
      <c r="P394" s="384"/>
      <c r="Q394" s="385"/>
      <c r="R394" s="385"/>
      <c r="S394" s="385"/>
      <c r="T394" s="385"/>
      <c r="U394" s="385"/>
      <c r="V394"/>
      <c r="W394"/>
      <c r="X394"/>
      <c r="Y394"/>
    </row>
    <row r="395" spans="1:25" s="386" customFormat="1" ht="15.75">
      <c r="A395" s="684"/>
      <c r="B395" s="687"/>
      <c r="C395" s="674"/>
      <c r="D395" s="675"/>
      <c r="E395" s="675"/>
      <c r="F395" s="675"/>
      <c r="G395" s="675"/>
      <c r="H395" s="676"/>
      <c r="I395" s="676"/>
      <c r="J395" s="675"/>
      <c r="K395" s="675"/>
      <c r="L395" s="675"/>
      <c r="M395" s="676"/>
      <c r="N395" s="676"/>
      <c r="O395" s="675"/>
      <c r="P395" s="675"/>
      <c r="Q395" s="676"/>
      <c r="R395" s="676"/>
      <c r="S395" s="676"/>
      <c r="T395" s="676"/>
      <c r="U395" s="676"/>
      <c r="V395"/>
      <c r="W395"/>
      <c r="X395"/>
      <c r="Y395"/>
    </row>
    <row r="396" spans="1:25" ht="15.75">
      <c r="A396" s="684"/>
      <c r="B396" s="688"/>
      <c r="C396" s="380"/>
      <c r="D396" s="381"/>
      <c r="E396" s="381"/>
      <c r="F396" s="381"/>
      <c r="G396" s="381"/>
      <c r="H396" s="382"/>
      <c r="I396" s="382"/>
      <c r="J396" s="381"/>
      <c r="K396" s="381"/>
      <c r="L396" s="381"/>
      <c r="M396" s="382"/>
      <c r="N396" s="382"/>
      <c r="O396" s="381"/>
      <c r="P396" s="381"/>
      <c r="Q396" s="382"/>
      <c r="R396" s="382"/>
      <c r="S396" s="382"/>
      <c r="T396" s="382"/>
      <c r="U396" s="382"/>
      <c r="V396"/>
      <c r="W396"/>
      <c r="X396"/>
      <c r="Y396"/>
    </row>
    <row r="397" spans="1:25" ht="15.75">
      <c r="A397" s="684"/>
      <c r="B397" s="689"/>
      <c r="C397" s="383"/>
      <c r="D397" s="384"/>
      <c r="E397" s="384"/>
      <c r="F397" s="384"/>
      <c r="G397" s="384"/>
      <c r="H397" s="385"/>
      <c r="I397" s="385"/>
      <c r="J397" s="384"/>
      <c r="K397" s="384"/>
      <c r="L397" s="384"/>
      <c r="M397" s="385"/>
      <c r="N397" s="385"/>
      <c r="O397" s="384"/>
      <c r="P397" s="384"/>
      <c r="Q397" s="385"/>
      <c r="R397" s="385"/>
      <c r="S397" s="385"/>
      <c r="T397" s="385"/>
      <c r="U397" s="385"/>
      <c r="V397"/>
      <c r="W397"/>
      <c r="X397"/>
      <c r="Y397"/>
    </row>
    <row r="398" spans="1:25" s="386" customFormat="1" ht="15.75">
      <c r="A398" s="684"/>
      <c r="B398" s="687"/>
      <c r="C398" s="674"/>
      <c r="D398" s="675"/>
      <c r="E398" s="675"/>
      <c r="F398" s="675"/>
      <c r="G398" s="675"/>
      <c r="H398" s="676"/>
      <c r="I398" s="676"/>
      <c r="J398" s="675"/>
      <c r="K398" s="675"/>
      <c r="L398" s="675"/>
      <c r="M398" s="676"/>
      <c r="N398" s="676"/>
      <c r="O398" s="675"/>
      <c r="P398" s="675"/>
      <c r="Q398" s="676"/>
      <c r="R398" s="676"/>
      <c r="S398" s="676"/>
      <c r="T398" s="676"/>
      <c r="U398" s="676"/>
      <c r="V398"/>
      <c r="W398"/>
      <c r="X398"/>
      <c r="Y398"/>
    </row>
    <row r="399" spans="1:25" ht="15.75">
      <c r="A399" s="684"/>
      <c r="B399" s="688"/>
      <c r="C399" s="380"/>
      <c r="D399" s="381"/>
      <c r="E399" s="381"/>
      <c r="F399" s="381"/>
      <c r="G399" s="381"/>
      <c r="H399" s="382"/>
      <c r="I399" s="382"/>
      <c r="J399" s="381"/>
      <c r="K399" s="381"/>
      <c r="L399" s="381"/>
      <c r="M399" s="382"/>
      <c r="N399" s="382"/>
      <c r="O399" s="381"/>
      <c r="P399" s="381"/>
      <c r="Q399" s="382"/>
      <c r="R399" s="382"/>
      <c r="S399" s="382"/>
      <c r="T399" s="382"/>
      <c r="U399" s="382"/>
      <c r="V399"/>
      <c r="W399"/>
      <c r="X399"/>
      <c r="Y399"/>
    </row>
    <row r="400" spans="1:25" ht="15.75">
      <c r="A400" s="684"/>
      <c r="B400" s="689"/>
      <c r="C400" s="383"/>
      <c r="D400" s="384"/>
      <c r="E400" s="384"/>
      <c r="F400" s="384"/>
      <c r="G400" s="384"/>
      <c r="H400" s="385"/>
      <c r="I400" s="385"/>
      <c r="J400" s="384"/>
      <c r="K400" s="384"/>
      <c r="L400" s="384"/>
      <c r="M400" s="385"/>
      <c r="N400" s="385"/>
      <c r="O400" s="384"/>
      <c r="P400" s="384"/>
      <c r="Q400" s="385"/>
      <c r="R400" s="385"/>
      <c r="S400" s="385"/>
      <c r="T400" s="385"/>
      <c r="U400" s="385"/>
      <c r="V400"/>
      <c r="W400"/>
      <c r="X400"/>
      <c r="Y400"/>
    </row>
    <row r="401" spans="1:25" s="386" customFormat="1" ht="15.75">
      <c r="A401" s="684"/>
      <c r="B401" s="687"/>
      <c r="C401" s="674"/>
      <c r="D401" s="675"/>
      <c r="E401" s="675"/>
      <c r="F401" s="675"/>
      <c r="G401" s="675"/>
      <c r="H401" s="676"/>
      <c r="I401" s="676"/>
      <c r="J401" s="675"/>
      <c r="K401" s="675"/>
      <c r="L401" s="675"/>
      <c r="M401" s="676"/>
      <c r="N401" s="676"/>
      <c r="O401" s="675"/>
      <c r="P401" s="675"/>
      <c r="Q401" s="676"/>
      <c r="R401" s="676"/>
      <c r="S401" s="676"/>
      <c r="T401" s="676"/>
      <c r="U401" s="676"/>
      <c r="V401"/>
      <c r="W401"/>
      <c r="X401"/>
      <c r="Y401"/>
    </row>
    <row r="402" spans="1:25" ht="15.75">
      <c r="A402" s="684"/>
      <c r="B402" s="688"/>
      <c r="C402" s="380"/>
      <c r="D402" s="381"/>
      <c r="E402" s="381"/>
      <c r="F402" s="381"/>
      <c r="G402" s="381"/>
      <c r="H402" s="382"/>
      <c r="I402" s="382"/>
      <c r="J402" s="381"/>
      <c r="K402" s="381"/>
      <c r="L402" s="381"/>
      <c r="M402" s="382"/>
      <c r="N402" s="382"/>
      <c r="O402" s="381"/>
      <c r="P402" s="381"/>
      <c r="Q402" s="382"/>
      <c r="R402" s="382"/>
      <c r="S402" s="382"/>
      <c r="T402" s="382"/>
      <c r="U402" s="382"/>
      <c r="V402"/>
      <c r="W402"/>
      <c r="X402"/>
      <c r="Y402"/>
    </row>
    <row r="403" spans="1:25" ht="15.75">
      <c r="A403" s="684"/>
      <c r="B403" s="689"/>
      <c r="C403" s="383"/>
      <c r="D403" s="384"/>
      <c r="E403" s="384"/>
      <c r="F403" s="384"/>
      <c r="G403" s="384"/>
      <c r="H403" s="385"/>
      <c r="I403" s="385"/>
      <c r="J403" s="384"/>
      <c r="K403" s="384"/>
      <c r="L403" s="384"/>
      <c r="M403" s="385"/>
      <c r="N403" s="385"/>
      <c r="O403" s="384"/>
      <c r="P403" s="384"/>
      <c r="Q403" s="385"/>
      <c r="R403" s="385"/>
      <c r="S403" s="385"/>
      <c r="T403" s="385"/>
      <c r="U403" s="385"/>
      <c r="V403"/>
      <c r="W403"/>
      <c r="X403"/>
      <c r="Y403"/>
    </row>
    <row r="404" spans="1:25" s="386" customFormat="1" ht="15.75">
      <c r="A404" s="684"/>
      <c r="B404" s="687"/>
      <c r="C404" s="674"/>
      <c r="D404" s="675"/>
      <c r="E404" s="675"/>
      <c r="F404" s="675"/>
      <c r="G404" s="675"/>
      <c r="H404" s="676"/>
      <c r="I404" s="676"/>
      <c r="J404" s="675"/>
      <c r="K404" s="675"/>
      <c r="L404" s="675"/>
      <c r="M404" s="676"/>
      <c r="N404" s="676"/>
      <c r="O404" s="675"/>
      <c r="P404" s="675"/>
      <c r="Q404" s="676"/>
      <c r="R404" s="676"/>
      <c r="S404" s="676"/>
      <c r="T404" s="676"/>
      <c r="U404" s="676"/>
      <c r="V404"/>
      <c r="W404"/>
      <c r="X404"/>
      <c r="Y404"/>
    </row>
    <row r="405" spans="1:25" ht="15.75">
      <c r="A405" s="685"/>
      <c r="B405" s="690"/>
      <c r="C405" s="576"/>
      <c r="D405" s="577"/>
      <c r="E405" s="577"/>
      <c r="F405" s="577"/>
      <c r="G405" s="577"/>
      <c r="H405" s="578"/>
      <c r="I405" s="578"/>
      <c r="J405" s="577"/>
      <c r="K405" s="577"/>
      <c r="L405" s="577"/>
      <c r="M405" s="578"/>
      <c r="N405" s="578"/>
      <c r="O405" s="577"/>
      <c r="P405" s="577"/>
      <c r="Q405" s="578"/>
      <c r="R405" s="578"/>
      <c r="S405" s="578"/>
      <c r="T405" s="578"/>
      <c r="U405" s="578"/>
      <c r="V405"/>
      <c r="W405"/>
      <c r="X405"/>
      <c r="Y405"/>
    </row>
    <row r="406" spans="1:25" ht="15.75">
      <c r="A406" s="683"/>
      <c r="B406" s="687"/>
      <c r="C406" s="674"/>
      <c r="D406" s="675"/>
      <c r="E406" s="675"/>
      <c r="F406" s="675"/>
      <c r="G406" s="675"/>
      <c r="H406" s="676"/>
      <c r="I406" s="676"/>
      <c r="J406" s="675"/>
      <c r="K406" s="675"/>
      <c r="L406" s="675"/>
      <c r="M406" s="676"/>
      <c r="N406" s="676"/>
      <c r="O406" s="675"/>
      <c r="P406" s="675"/>
      <c r="Q406" s="676"/>
      <c r="R406" s="676"/>
      <c r="S406" s="676"/>
      <c r="T406" s="676"/>
      <c r="U406" s="676"/>
      <c r="V406"/>
      <c r="W406"/>
      <c r="X406"/>
      <c r="Y406"/>
    </row>
    <row r="407" spans="1:25" s="386" customFormat="1" ht="15.75">
      <c r="A407" s="684"/>
      <c r="B407" s="688"/>
      <c r="C407" s="380"/>
      <c r="D407" s="381"/>
      <c r="E407" s="381"/>
      <c r="F407" s="381"/>
      <c r="G407" s="381"/>
      <c r="H407" s="382"/>
      <c r="I407" s="382"/>
      <c r="J407" s="381"/>
      <c r="K407" s="381"/>
      <c r="L407" s="381"/>
      <c r="M407" s="382"/>
      <c r="N407" s="382"/>
      <c r="O407" s="381"/>
      <c r="P407" s="381"/>
      <c r="Q407" s="382"/>
      <c r="R407" s="382"/>
      <c r="S407" s="382"/>
      <c r="T407" s="382"/>
      <c r="U407" s="382"/>
      <c r="V407"/>
      <c r="W407"/>
      <c r="X407"/>
      <c r="Y407"/>
    </row>
    <row r="408" spans="1:25" ht="15.75">
      <c r="A408" s="684"/>
      <c r="B408" s="689"/>
      <c r="C408" s="383"/>
      <c r="D408" s="384"/>
      <c r="E408" s="384"/>
      <c r="F408" s="384"/>
      <c r="G408" s="384"/>
      <c r="H408" s="385"/>
      <c r="I408" s="385"/>
      <c r="J408" s="384"/>
      <c r="K408" s="384"/>
      <c r="L408" s="384"/>
      <c r="M408" s="385"/>
      <c r="N408" s="385"/>
      <c r="O408" s="384"/>
      <c r="P408" s="384"/>
      <c r="Q408" s="385"/>
      <c r="R408" s="385"/>
      <c r="S408" s="385"/>
      <c r="T408" s="385"/>
      <c r="U408" s="385"/>
      <c r="V408"/>
      <c r="W408"/>
      <c r="X408"/>
      <c r="Y408"/>
    </row>
    <row r="409" spans="1:25" ht="15.75">
      <c r="A409" s="684"/>
      <c r="B409" s="687"/>
      <c r="C409" s="674"/>
      <c r="D409" s="675"/>
      <c r="E409" s="675"/>
      <c r="F409" s="675"/>
      <c r="G409" s="675"/>
      <c r="H409" s="676"/>
      <c r="I409" s="676"/>
      <c r="J409" s="675"/>
      <c r="K409" s="675"/>
      <c r="L409" s="675"/>
      <c r="M409" s="676"/>
      <c r="N409" s="676"/>
      <c r="O409" s="675"/>
      <c r="P409" s="675"/>
      <c r="Q409" s="676"/>
      <c r="R409" s="676"/>
      <c r="S409" s="676"/>
      <c r="T409" s="676"/>
      <c r="U409" s="676"/>
      <c r="V409"/>
      <c r="W409"/>
      <c r="X409"/>
      <c r="Y409"/>
    </row>
    <row r="410" spans="1:25" s="386" customFormat="1" ht="15.75">
      <c r="A410" s="684"/>
      <c r="B410" s="688"/>
      <c r="C410" s="380"/>
      <c r="D410" s="381"/>
      <c r="E410" s="381"/>
      <c r="F410" s="381"/>
      <c r="G410" s="381"/>
      <c r="H410" s="382"/>
      <c r="I410" s="382"/>
      <c r="J410" s="381"/>
      <c r="K410" s="381"/>
      <c r="L410" s="381"/>
      <c r="M410" s="382"/>
      <c r="N410" s="382"/>
      <c r="O410" s="381"/>
      <c r="P410" s="381"/>
      <c r="Q410" s="382"/>
      <c r="R410" s="382"/>
      <c r="S410" s="382"/>
      <c r="T410" s="382"/>
      <c r="U410" s="382"/>
      <c r="V410"/>
      <c r="W410"/>
      <c r="X410"/>
      <c r="Y410"/>
    </row>
    <row r="411" spans="1:25" ht="15.75">
      <c r="A411" s="684"/>
      <c r="B411" s="689"/>
      <c r="C411" s="383"/>
      <c r="D411" s="384"/>
      <c r="E411" s="384"/>
      <c r="F411" s="384"/>
      <c r="G411" s="384"/>
      <c r="H411" s="385"/>
      <c r="I411" s="385"/>
      <c r="J411" s="384"/>
      <c r="K411" s="384"/>
      <c r="L411" s="384"/>
      <c r="M411" s="385"/>
      <c r="N411" s="385"/>
      <c r="O411" s="384"/>
      <c r="P411" s="384"/>
      <c r="Q411" s="385"/>
      <c r="R411" s="385"/>
      <c r="S411" s="385"/>
      <c r="T411" s="385"/>
      <c r="U411" s="385"/>
      <c r="V411"/>
      <c r="W411"/>
      <c r="X411"/>
      <c r="Y411"/>
    </row>
    <row r="412" spans="1:25" ht="15.75">
      <c r="A412" s="684"/>
      <c r="B412" s="687"/>
      <c r="C412" s="674"/>
      <c r="D412" s="675"/>
      <c r="E412" s="675"/>
      <c r="F412" s="675"/>
      <c r="G412" s="675"/>
      <c r="H412" s="676"/>
      <c r="I412" s="676"/>
      <c r="J412" s="675"/>
      <c r="K412" s="675"/>
      <c r="L412" s="675"/>
      <c r="M412" s="676"/>
      <c r="N412" s="676"/>
      <c r="O412" s="675"/>
      <c r="P412" s="675"/>
      <c r="Q412" s="676"/>
      <c r="R412" s="676"/>
      <c r="S412" s="676"/>
      <c r="T412" s="676"/>
      <c r="U412" s="676"/>
      <c r="V412"/>
      <c r="W412"/>
      <c r="X412"/>
      <c r="Y412"/>
    </row>
    <row r="413" spans="1:25" s="386" customFormat="1" ht="15.75">
      <c r="A413" s="684"/>
      <c r="B413" s="688"/>
      <c r="C413" s="380"/>
      <c r="D413" s="381"/>
      <c r="E413" s="381"/>
      <c r="F413" s="381"/>
      <c r="G413" s="381"/>
      <c r="H413" s="382"/>
      <c r="I413" s="382"/>
      <c r="J413" s="381"/>
      <c r="K413" s="381"/>
      <c r="L413" s="381"/>
      <c r="M413" s="382"/>
      <c r="N413" s="382"/>
      <c r="O413" s="381"/>
      <c r="P413" s="381"/>
      <c r="Q413" s="382"/>
      <c r="R413" s="382"/>
      <c r="S413" s="382"/>
      <c r="T413" s="382"/>
      <c r="U413" s="382"/>
      <c r="V413"/>
      <c r="W413"/>
      <c r="X413"/>
      <c r="Y413"/>
    </row>
    <row r="414" spans="1:25" ht="15.75">
      <c r="A414" s="684"/>
      <c r="B414" s="689"/>
      <c r="C414" s="383"/>
      <c r="D414" s="384"/>
      <c r="E414" s="384"/>
      <c r="F414" s="384"/>
      <c r="G414" s="384"/>
      <c r="H414" s="385"/>
      <c r="I414" s="385"/>
      <c r="J414" s="384"/>
      <c r="K414" s="384"/>
      <c r="L414" s="384"/>
      <c r="M414" s="385"/>
      <c r="N414" s="385"/>
      <c r="O414" s="384"/>
      <c r="P414" s="384"/>
      <c r="Q414" s="385"/>
      <c r="R414" s="385"/>
      <c r="S414" s="385"/>
      <c r="T414" s="385"/>
      <c r="U414" s="385"/>
      <c r="V414"/>
      <c r="W414"/>
      <c r="X414"/>
      <c r="Y414"/>
    </row>
    <row r="415" spans="1:25" ht="15.75">
      <c r="A415" s="684"/>
      <c r="B415" s="687"/>
      <c r="C415" s="674"/>
      <c r="D415" s="675"/>
      <c r="E415" s="675"/>
      <c r="F415" s="675"/>
      <c r="G415" s="675"/>
      <c r="H415" s="676"/>
      <c r="I415" s="676"/>
      <c r="J415" s="675"/>
      <c r="K415" s="675"/>
      <c r="L415" s="675"/>
      <c r="M415" s="676"/>
      <c r="N415" s="676"/>
      <c r="O415" s="675"/>
      <c r="P415" s="675"/>
      <c r="Q415" s="676"/>
      <c r="R415" s="676"/>
      <c r="S415" s="676"/>
      <c r="T415" s="676"/>
      <c r="U415" s="676"/>
      <c r="V415"/>
      <c r="W415"/>
      <c r="X415"/>
      <c r="Y415"/>
    </row>
    <row r="416" spans="1:25" s="386" customFormat="1" ht="15.75">
      <c r="A416" s="684"/>
      <c r="B416" s="688"/>
      <c r="C416" s="380"/>
      <c r="D416" s="381"/>
      <c r="E416" s="381"/>
      <c r="F416" s="381"/>
      <c r="G416" s="381"/>
      <c r="H416" s="382"/>
      <c r="I416" s="382"/>
      <c r="J416" s="381"/>
      <c r="K416" s="381"/>
      <c r="L416" s="381"/>
      <c r="M416" s="382"/>
      <c r="N416" s="382"/>
      <c r="O416" s="381"/>
      <c r="P416" s="381"/>
      <c r="Q416" s="382"/>
      <c r="R416" s="382"/>
      <c r="S416" s="382"/>
      <c r="T416" s="382"/>
      <c r="U416" s="382"/>
      <c r="V416"/>
      <c r="W416"/>
      <c r="X416"/>
      <c r="Y416"/>
    </row>
    <row r="417" spans="1:25" ht="15.75">
      <c r="A417" s="684"/>
      <c r="B417" s="689"/>
      <c r="C417" s="383"/>
      <c r="D417" s="384"/>
      <c r="E417" s="384"/>
      <c r="F417" s="384"/>
      <c r="G417" s="692"/>
      <c r="H417" s="385"/>
      <c r="I417" s="385"/>
      <c r="J417" s="384"/>
      <c r="K417" s="384"/>
      <c r="L417" s="384"/>
      <c r="M417" s="385"/>
      <c r="N417" s="385"/>
      <c r="O417" s="384"/>
      <c r="P417" s="384"/>
      <c r="Q417" s="385"/>
      <c r="R417" s="385"/>
      <c r="S417" s="385"/>
      <c r="T417" s="385"/>
      <c r="U417" s="385"/>
      <c r="V417"/>
      <c r="W417"/>
      <c r="X417"/>
      <c r="Y417"/>
    </row>
    <row r="418" spans="1:25" ht="15.75">
      <c r="A418" s="684"/>
      <c r="B418" s="687"/>
      <c r="C418" s="674"/>
      <c r="D418" s="675"/>
      <c r="E418" s="675"/>
      <c r="F418" s="675"/>
      <c r="G418" s="675"/>
      <c r="H418" s="676"/>
      <c r="I418" s="676"/>
      <c r="J418" s="675"/>
      <c r="K418" s="675"/>
      <c r="L418" s="675"/>
      <c r="M418" s="676"/>
      <c r="N418" s="676"/>
      <c r="O418" s="675"/>
      <c r="P418" s="675"/>
      <c r="Q418" s="676"/>
      <c r="R418" s="676"/>
      <c r="S418" s="676"/>
      <c r="T418" s="676"/>
      <c r="U418" s="676"/>
      <c r="V418"/>
      <c r="W418"/>
      <c r="X418"/>
      <c r="Y418"/>
    </row>
    <row r="419" spans="1:25" s="386" customFormat="1" ht="15.75">
      <c r="A419" s="684"/>
      <c r="B419" s="688"/>
      <c r="C419" s="380"/>
      <c r="D419" s="381"/>
      <c r="E419" s="381"/>
      <c r="F419" s="381"/>
      <c r="G419" s="381"/>
      <c r="H419" s="382"/>
      <c r="I419" s="382"/>
      <c r="J419" s="381"/>
      <c r="K419" s="381"/>
      <c r="L419" s="381"/>
      <c r="M419" s="382"/>
      <c r="N419" s="382"/>
      <c r="O419" s="381"/>
      <c r="P419" s="381"/>
      <c r="Q419" s="382"/>
      <c r="R419" s="382"/>
      <c r="S419" s="382"/>
      <c r="T419" s="382"/>
      <c r="U419" s="382"/>
      <c r="V419"/>
      <c r="W419"/>
      <c r="X419"/>
      <c r="Y419"/>
    </row>
    <row r="420" spans="1:25" ht="15.75">
      <c r="A420" s="684"/>
      <c r="B420" s="689"/>
      <c r="C420" s="383"/>
      <c r="D420" s="384"/>
      <c r="E420" s="384"/>
      <c r="F420" s="384"/>
      <c r="G420" s="384"/>
      <c r="H420" s="385"/>
      <c r="I420" s="385"/>
      <c r="J420" s="384"/>
      <c r="K420" s="384"/>
      <c r="L420" s="384"/>
      <c r="M420" s="385"/>
      <c r="N420" s="385"/>
      <c r="O420" s="384"/>
      <c r="P420" s="384"/>
      <c r="Q420" s="385"/>
      <c r="R420" s="385"/>
      <c r="S420" s="385"/>
      <c r="T420" s="385"/>
      <c r="U420" s="385"/>
      <c r="V420"/>
      <c r="W420"/>
      <c r="X420"/>
      <c r="Y420"/>
    </row>
    <row r="421" spans="1:25" ht="15.75">
      <c r="A421" s="684"/>
      <c r="B421" s="687"/>
      <c r="C421" s="674"/>
      <c r="D421" s="675"/>
      <c r="E421" s="675"/>
      <c r="F421" s="675"/>
      <c r="G421" s="675"/>
      <c r="H421" s="676"/>
      <c r="I421" s="676"/>
      <c r="J421" s="675"/>
      <c r="K421" s="675"/>
      <c r="L421" s="675"/>
      <c r="M421" s="676"/>
      <c r="N421" s="676"/>
      <c r="O421" s="675"/>
      <c r="P421" s="675"/>
      <c r="Q421" s="676"/>
      <c r="R421" s="676"/>
      <c r="S421" s="676"/>
      <c r="T421" s="676"/>
      <c r="U421" s="676"/>
      <c r="V421"/>
      <c r="W421"/>
      <c r="X421"/>
      <c r="Y421"/>
    </row>
    <row r="422" spans="1:25" s="386" customFormat="1" ht="15.75">
      <c r="A422" s="684"/>
      <c r="B422" s="688"/>
      <c r="C422" s="380"/>
      <c r="D422" s="381"/>
      <c r="E422" s="381"/>
      <c r="F422" s="381"/>
      <c r="G422" s="381"/>
      <c r="H422" s="382"/>
      <c r="I422" s="382"/>
      <c r="J422" s="381"/>
      <c r="K422" s="381"/>
      <c r="L422" s="381"/>
      <c r="M422" s="382"/>
      <c r="N422" s="382"/>
      <c r="O422" s="381"/>
      <c r="P422" s="381"/>
      <c r="Q422" s="382"/>
      <c r="R422" s="382"/>
      <c r="S422" s="382"/>
      <c r="T422" s="382"/>
      <c r="U422" s="382"/>
      <c r="V422"/>
      <c r="W422"/>
      <c r="X422"/>
      <c r="Y422"/>
    </row>
    <row r="423" spans="1:25" ht="15.75">
      <c r="A423" s="684"/>
      <c r="B423" s="689"/>
      <c r="C423" s="383"/>
      <c r="D423" s="692"/>
      <c r="E423" s="384"/>
      <c r="F423" s="692"/>
      <c r="G423" s="384"/>
      <c r="H423" s="385"/>
      <c r="I423" s="385"/>
      <c r="J423" s="384"/>
      <c r="K423" s="384"/>
      <c r="L423" s="384"/>
      <c r="M423" s="385"/>
      <c r="N423" s="385"/>
      <c r="O423" s="384"/>
      <c r="P423" s="384"/>
      <c r="Q423" s="385"/>
      <c r="R423" s="385"/>
      <c r="S423" s="385"/>
      <c r="T423" s="385"/>
      <c r="U423" s="385"/>
      <c r="V423"/>
      <c r="W423"/>
      <c r="X423"/>
      <c r="Y423"/>
    </row>
    <row r="424" spans="1:25" ht="15.75">
      <c r="A424" s="684"/>
      <c r="B424" s="687"/>
      <c r="C424" s="674"/>
      <c r="D424" s="675"/>
      <c r="E424" s="675"/>
      <c r="F424" s="675"/>
      <c r="G424" s="675"/>
      <c r="H424" s="676"/>
      <c r="I424" s="676"/>
      <c r="J424" s="675"/>
      <c r="K424" s="675"/>
      <c r="L424" s="675"/>
      <c r="M424" s="676"/>
      <c r="N424" s="676"/>
      <c r="O424" s="675"/>
      <c r="P424" s="675"/>
      <c r="Q424" s="676"/>
      <c r="R424" s="676"/>
      <c r="S424" s="676"/>
      <c r="T424" s="676"/>
      <c r="U424" s="676"/>
      <c r="V424"/>
      <c r="W424"/>
      <c r="X424"/>
      <c r="Y424"/>
    </row>
    <row r="425" spans="1:25" s="386" customFormat="1" ht="15.75">
      <c r="A425" s="684"/>
      <c r="B425" s="688"/>
      <c r="C425" s="380"/>
      <c r="D425" s="381"/>
      <c r="E425" s="381"/>
      <c r="F425" s="381"/>
      <c r="G425" s="381"/>
      <c r="H425" s="382"/>
      <c r="I425" s="382"/>
      <c r="J425" s="381"/>
      <c r="K425" s="381"/>
      <c r="L425" s="381"/>
      <c r="M425" s="382"/>
      <c r="N425" s="382"/>
      <c r="O425" s="381"/>
      <c r="P425" s="381"/>
      <c r="Q425" s="382"/>
      <c r="R425" s="382"/>
      <c r="S425" s="382"/>
      <c r="T425" s="382"/>
      <c r="U425" s="382"/>
      <c r="V425"/>
      <c r="W425"/>
      <c r="X425"/>
      <c r="Y425"/>
    </row>
    <row r="426" spans="1:25" ht="15.75">
      <c r="A426" s="684"/>
      <c r="B426" s="689"/>
      <c r="C426" s="383"/>
      <c r="D426" s="692"/>
      <c r="E426" s="384"/>
      <c r="F426" s="384"/>
      <c r="G426" s="384"/>
      <c r="H426" s="385"/>
      <c r="I426" s="385"/>
      <c r="J426" s="384"/>
      <c r="K426" s="384"/>
      <c r="L426" s="384"/>
      <c r="M426" s="385"/>
      <c r="N426" s="385"/>
      <c r="O426" s="384"/>
      <c r="P426" s="384"/>
      <c r="Q426" s="385"/>
      <c r="R426" s="385"/>
      <c r="S426" s="385"/>
      <c r="T426" s="385"/>
      <c r="U426" s="385"/>
      <c r="V426"/>
      <c r="W426"/>
      <c r="X426"/>
      <c r="Y426"/>
    </row>
    <row r="427" spans="1:25" ht="15.75">
      <c r="A427" s="684"/>
      <c r="B427" s="687"/>
      <c r="C427" s="674"/>
      <c r="D427" s="675"/>
      <c r="E427" s="675"/>
      <c r="F427" s="675"/>
      <c r="G427" s="675"/>
      <c r="H427" s="676"/>
      <c r="I427" s="676"/>
      <c r="J427" s="675"/>
      <c r="K427" s="675"/>
      <c r="L427" s="675"/>
      <c r="M427" s="676"/>
      <c r="N427" s="676"/>
      <c r="O427" s="675"/>
      <c r="P427" s="675"/>
      <c r="Q427" s="676"/>
      <c r="R427" s="676"/>
      <c r="S427" s="676"/>
      <c r="T427" s="676"/>
      <c r="U427" s="676"/>
      <c r="V427"/>
      <c r="W427"/>
      <c r="X427"/>
      <c r="Y427"/>
    </row>
    <row r="428" spans="1:25" s="386" customFormat="1" ht="15.75">
      <c r="A428" s="684"/>
      <c r="B428" s="688"/>
      <c r="C428" s="380"/>
      <c r="D428" s="381"/>
      <c r="E428" s="381"/>
      <c r="F428" s="381"/>
      <c r="G428" s="381"/>
      <c r="H428" s="382"/>
      <c r="I428" s="382"/>
      <c r="J428" s="381"/>
      <c r="K428" s="381"/>
      <c r="L428" s="381"/>
      <c r="M428" s="382"/>
      <c r="N428" s="382"/>
      <c r="O428" s="381"/>
      <c r="P428" s="381"/>
      <c r="Q428" s="382"/>
      <c r="R428" s="382"/>
      <c r="S428" s="382"/>
      <c r="T428" s="382"/>
      <c r="U428" s="382"/>
      <c r="V428"/>
      <c r="W428"/>
      <c r="X428"/>
      <c r="Y428"/>
    </row>
    <row r="429" spans="1:25" ht="15.75">
      <c r="A429" s="684"/>
      <c r="B429" s="689"/>
      <c r="C429" s="383"/>
      <c r="D429" s="384"/>
      <c r="E429" s="384"/>
      <c r="F429" s="384"/>
      <c r="G429" s="384"/>
      <c r="H429" s="385"/>
      <c r="I429" s="385"/>
      <c r="J429" s="384"/>
      <c r="K429" s="384"/>
      <c r="L429" s="384"/>
      <c r="M429" s="385"/>
      <c r="N429" s="385"/>
      <c r="O429" s="384"/>
      <c r="P429" s="384"/>
      <c r="Q429" s="385"/>
      <c r="R429" s="385"/>
      <c r="S429" s="385"/>
      <c r="T429" s="385"/>
      <c r="U429" s="385"/>
      <c r="V429"/>
      <c r="W429"/>
      <c r="X429"/>
      <c r="Y429"/>
    </row>
    <row r="430" spans="1:25" ht="15.75">
      <c r="A430" s="684"/>
      <c r="B430" s="687"/>
      <c r="C430" s="674"/>
      <c r="D430" s="675"/>
      <c r="E430" s="675"/>
      <c r="F430" s="675"/>
      <c r="G430" s="675"/>
      <c r="H430" s="676"/>
      <c r="I430" s="676"/>
      <c r="J430" s="675"/>
      <c r="K430" s="675"/>
      <c r="L430" s="675"/>
      <c r="M430" s="676"/>
      <c r="N430" s="676"/>
      <c r="O430" s="675"/>
      <c r="P430" s="675"/>
      <c r="Q430" s="676"/>
      <c r="R430" s="676"/>
      <c r="S430" s="676"/>
      <c r="T430" s="676"/>
      <c r="U430" s="676"/>
      <c r="V430"/>
      <c r="W430"/>
      <c r="X430"/>
      <c r="Y430"/>
    </row>
    <row r="431" spans="1:25" s="386" customFormat="1" ht="15.75">
      <c r="A431" s="684"/>
      <c r="B431" s="688"/>
      <c r="C431" s="380"/>
      <c r="D431" s="381"/>
      <c r="E431" s="381"/>
      <c r="F431" s="381"/>
      <c r="G431" s="381"/>
      <c r="H431" s="382"/>
      <c r="I431" s="382"/>
      <c r="J431" s="381"/>
      <c r="K431" s="381"/>
      <c r="L431" s="381"/>
      <c r="M431" s="382"/>
      <c r="N431" s="382"/>
      <c r="O431" s="381"/>
      <c r="P431" s="381"/>
      <c r="Q431" s="382"/>
      <c r="R431" s="382"/>
      <c r="S431" s="382"/>
      <c r="T431" s="382"/>
      <c r="U431" s="382"/>
      <c r="V431"/>
      <c r="W431"/>
      <c r="X431"/>
      <c r="Y431"/>
    </row>
    <row r="432" spans="1:25" ht="15.75">
      <c r="A432" s="684"/>
      <c r="B432" s="689"/>
      <c r="C432" s="383"/>
      <c r="D432" s="384"/>
      <c r="E432" s="384"/>
      <c r="F432" s="384"/>
      <c r="G432" s="384"/>
      <c r="H432" s="385"/>
      <c r="I432" s="385"/>
      <c r="J432" s="384"/>
      <c r="K432" s="384"/>
      <c r="L432" s="384"/>
      <c r="M432" s="385"/>
      <c r="N432" s="385"/>
      <c r="O432" s="384"/>
      <c r="P432" s="384"/>
      <c r="Q432" s="385"/>
      <c r="R432" s="385"/>
      <c r="S432" s="385"/>
      <c r="T432" s="385"/>
      <c r="U432" s="385"/>
      <c r="V432"/>
      <c r="W432"/>
      <c r="X432"/>
      <c r="Y432"/>
    </row>
    <row r="433" spans="1:25" ht="15.75">
      <c r="A433" s="684"/>
      <c r="B433" s="687"/>
      <c r="C433" s="674"/>
      <c r="D433" s="675"/>
      <c r="E433" s="675"/>
      <c r="F433" s="675"/>
      <c r="G433" s="675"/>
      <c r="H433" s="676"/>
      <c r="I433" s="676"/>
      <c r="J433" s="675"/>
      <c r="K433" s="675"/>
      <c r="L433" s="675"/>
      <c r="M433" s="676"/>
      <c r="N433" s="676"/>
      <c r="O433" s="675"/>
      <c r="P433" s="675"/>
      <c r="Q433" s="676"/>
      <c r="R433" s="676"/>
      <c r="S433" s="676"/>
      <c r="T433" s="676"/>
      <c r="U433" s="676"/>
      <c r="V433"/>
      <c r="W433"/>
      <c r="X433"/>
      <c r="Y433"/>
    </row>
    <row r="434" spans="1:25" s="386" customFormat="1" ht="15.75">
      <c r="A434" s="684"/>
      <c r="B434" s="688"/>
      <c r="C434" s="380"/>
      <c r="D434" s="381"/>
      <c r="E434" s="381"/>
      <c r="F434" s="381"/>
      <c r="G434" s="381"/>
      <c r="H434" s="382"/>
      <c r="I434" s="382"/>
      <c r="J434" s="381"/>
      <c r="K434" s="381"/>
      <c r="L434" s="381"/>
      <c r="M434" s="382"/>
      <c r="N434" s="382"/>
      <c r="O434" s="381"/>
      <c r="P434" s="381"/>
      <c r="Q434" s="382"/>
      <c r="R434" s="382"/>
      <c r="S434" s="382"/>
      <c r="T434" s="382"/>
      <c r="U434" s="382"/>
      <c r="V434"/>
      <c r="W434"/>
      <c r="X434"/>
      <c r="Y434"/>
    </row>
    <row r="435" spans="1:25" ht="15.75">
      <c r="A435" s="684"/>
      <c r="B435" s="689"/>
      <c r="C435" s="383"/>
      <c r="D435" s="384"/>
      <c r="E435" s="384"/>
      <c r="F435" s="384"/>
      <c r="G435" s="384"/>
      <c r="H435" s="385"/>
      <c r="I435" s="385"/>
      <c r="J435" s="384"/>
      <c r="K435" s="384"/>
      <c r="L435" s="384"/>
      <c r="M435" s="385"/>
      <c r="N435" s="385"/>
      <c r="O435" s="384"/>
      <c r="P435" s="384"/>
      <c r="Q435" s="385"/>
      <c r="R435" s="385"/>
      <c r="S435" s="385"/>
      <c r="T435" s="385"/>
      <c r="U435" s="385"/>
      <c r="V435"/>
      <c r="W435"/>
      <c r="X435"/>
      <c r="Y435"/>
    </row>
    <row r="436" spans="1:25" ht="15.75">
      <c r="A436" s="684"/>
      <c r="B436" s="687"/>
      <c r="C436" s="674"/>
      <c r="D436" s="675"/>
      <c r="E436" s="675"/>
      <c r="F436" s="675"/>
      <c r="G436" s="675"/>
      <c r="H436" s="676"/>
      <c r="I436" s="676"/>
      <c r="J436" s="675"/>
      <c r="K436" s="675"/>
      <c r="L436" s="675"/>
      <c r="M436" s="676"/>
      <c r="N436" s="676"/>
      <c r="O436" s="675"/>
      <c r="P436" s="675"/>
      <c r="Q436" s="676"/>
      <c r="R436" s="676"/>
      <c r="S436" s="676"/>
      <c r="T436" s="676"/>
      <c r="U436" s="676"/>
      <c r="V436"/>
      <c r="W436"/>
      <c r="X436"/>
      <c r="Y436"/>
    </row>
    <row r="437" spans="1:25" s="386" customFormat="1" ht="15.75">
      <c r="A437" s="684"/>
      <c r="B437" s="688"/>
      <c r="C437" s="380"/>
      <c r="D437" s="381"/>
      <c r="E437" s="381"/>
      <c r="F437" s="381"/>
      <c r="G437" s="381"/>
      <c r="H437" s="382"/>
      <c r="I437" s="382"/>
      <c r="J437" s="381"/>
      <c r="K437" s="381"/>
      <c r="L437" s="381"/>
      <c r="M437" s="382"/>
      <c r="N437" s="382"/>
      <c r="O437" s="381"/>
      <c r="P437" s="381"/>
      <c r="Q437" s="382"/>
      <c r="R437" s="382"/>
      <c r="S437" s="382"/>
      <c r="T437" s="382"/>
      <c r="U437" s="382"/>
      <c r="V437"/>
      <c r="W437"/>
      <c r="X437"/>
      <c r="Y437"/>
    </row>
    <row r="438" spans="1:25" ht="15.75">
      <c r="A438" s="684"/>
      <c r="B438" s="689"/>
      <c r="C438" s="383"/>
      <c r="D438" s="384"/>
      <c r="E438" s="384"/>
      <c r="F438" s="384"/>
      <c r="G438" s="384"/>
      <c r="H438" s="385"/>
      <c r="I438" s="385"/>
      <c r="J438" s="384"/>
      <c r="K438" s="384"/>
      <c r="L438" s="384"/>
      <c r="M438" s="385"/>
      <c r="N438" s="385"/>
      <c r="O438" s="384"/>
      <c r="P438" s="384"/>
      <c r="Q438" s="385"/>
      <c r="R438" s="385"/>
      <c r="S438" s="385"/>
      <c r="T438" s="385"/>
      <c r="U438" s="385"/>
      <c r="V438"/>
      <c r="W438"/>
      <c r="X438"/>
      <c r="Y438"/>
    </row>
    <row r="439" spans="1:25" ht="15.75">
      <c r="A439" s="684"/>
      <c r="B439" s="687"/>
      <c r="C439" s="674"/>
      <c r="D439" s="675"/>
      <c r="E439" s="675"/>
      <c r="F439" s="675"/>
      <c r="G439" s="675"/>
      <c r="H439" s="676"/>
      <c r="I439" s="676"/>
      <c r="J439" s="675"/>
      <c r="K439" s="675"/>
      <c r="L439" s="675"/>
      <c r="M439" s="676"/>
      <c r="N439" s="676"/>
      <c r="O439" s="675"/>
      <c r="P439" s="675"/>
      <c r="Q439" s="676"/>
      <c r="R439" s="676"/>
      <c r="S439" s="676"/>
      <c r="T439" s="676"/>
      <c r="U439" s="676"/>
      <c r="V439"/>
      <c r="W439"/>
      <c r="X439"/>
      <c r="Y439"/>
    </row>
    <row r="440" spans="1:25" s="386" customFormat="1" ht="15.75">
      <c r="A440" s="684"/>
      <c r="B440" s="688"/>
      <c r="C440" s="380"/>
      <c r="D440" s="381"/>
      <c r="E440" s="381"/>
      <c r="F440" s="381"/>
      <c r="G440" s="381"/>
      <c r="H440" s="382"/>
      <c r="I440" s="382"/>
      <c r="J440" s="381"/>
      <c r="K440" s="381"/>
      <c r="L440" s="381"/>
      <c r="M440" s="382"/>
      <c r="N440" s="382"/>
      <c r="O440" s="381"/>
      <c r="P440" s="381"/>
      <c r="Q440" s="382"/>
      <c r="R440" s="382"/>
      <c r="S440" s="382"/>
      <c r="T440" s="382"/>
      <c r="U440" s="382"/>
      <c r="V440"/>
      <c r="W440"/>
      <c r="X440"/>
      <c r="Y440"/>
    </row>
    <row r="441" spans="1:25" ht="15.75">
      <c r="A441" s="684"/>
      <c r="B441" s="689"/>
      <c r="C441" s="383"/>
      <c r="D441" s="384"/>
      <c r="E441" s="384"/>
      <c r="F441" s="384"/>
      <c r="G441" s="384"/>
      <c r="H441" s="385"/>
      <c r="I441" s="385"/>
      <c r="J441" s="384"/>
      <c r="K441" s="384"/>
      <c r="L441" s="384"/>
      <c r="M441" s="385"/>
      <c r="N441" s="385"/>
      <c r="O441" s="384"/>
      <c r="P441" s="384"/>
      <c r="Q441" s="385"/>
      <c r="R441" s="385"/>
      <c r="S441" s="385"/>
      <c r="T441" s="385"/>
      <c r="U441" s="385"/>
      <c r="V441"/>
      <c r="W441"/>
      <c r="X441"/>
      <c r="Y441"/>
    </row>
    <row r="442" spans="1:25" ht="15.75">
      <c r="A442" s="684"/>
      <c r="B442" s="687"/>
      <c r="C442" s="674"/>
      <c r="D442" s="675"/>
      <c r="E442" s="675"/>
      <c r="F442" s="675"/>
      <c r="G442" s="675"/>
      <c r="H442" s="676"/>
      <c r="I442" s="676"/>
      <c r="J442" s="675"/>
      <c r="K442" s="675"/>
      <c r="L442" s="675"/>
      <c r="M442" s="676"/>
      <c r="N442" s="676"/>
      <c r="O442" s="675"/>
      <c r="P442" s="675"/>
      <c r="Q442" s="676"/>
      <c r="R442" s="676"/>
      <c r="S442" s="676"/>
      <c r="T442" s="676"/>
      <c r="U442" s="676"/>
      <c r="V442"/>
      <c r="W442"/>
      <c r="X442"/>
      <c r="Y442"/>
    </row>
    <row r="443" spans="1:25" s="386" customFormat="1" ht="15.75">
      <c r="A443" s="684"/>
      <c r="B443" s="688"/>
      <c r="C443" s="380"/>
      <c r="D443" s="381"/>
      <c r="E443" s="381"/>
      <c r="F443" s="381"/>
      <c r="G443" s="381"/>
      <c r="H443" s="382"/>
      <c r="I443" s="382"/>
      <c r="J443" s="381"/>
      <c r="K443" s="381"/>
      <c r="L443" s="381"/>
      <c r="M443" s="382"/>
      <c r="N443" s="382"/>
      <c r="O443" s="381"/>
      <c r="P443" s="381"/>
      <c r="Q443" s="382"/>
      <c r="R443" s="382"/>
      <c r="S443" s="382"/>
      <c r="T443" s="382"/>
      <c r="U443" s="382"/>
      <c r="V443"/>
      <c r="W443"/>
      <c r="X443"/>
      <c r="Y443"/>
    </row>
    <row r="444" spans="1:25" ht="15.75">
      <c r="A444" s="684"/>
      <c r="B444" s="689"/>
      <c r="C444" s="383"/>
      <c r="D444" s="384"/>
      <c r="E444" s="384"/>
      <c r="F444" s="384"/>
      <c r="G444" s="384"/>
      <c r="H444" s="385"/>
      <c r="I444" s="385"/>
      <c r="J444" s="384"/>
      <c r="K444" s="384"/>
      <c r="L444" s="384"/>
      <c r="M444" s="385"/>
      <c r="N444" s="385"/>
      <c r="O444" s="384"/>
      <c r="P444" s="384"/>
      <c r="Q444" s="385"/>
      <c r="R444" s="385"/>
      <c r="S444" s="385"/>
      <c r="T444" s="385"/>
      <c r="U444" s="385"/>
      <c r="V444"/>
      <c r="W444"/>
      <c r="X444"/>
      <c r="Y444"/>
    </row>
    <row r="445" spans="1:25" ht="15.75">
      <c r="A445" s="684"/>
      <c r="B445" s="687"/>
      <c r="C445" s="674"/>
      <c r="D445" s="675"/>
      <c r="E445" s="675"/>
      <c r="F445" s="675"/>
      <c r="G445" s="675"/>
      <c r="H445" s="676"/>
      <c r="I445" s="676"/>
      <c r="J445" s="675"/>
      <c r="K445" s="675"/>
      <c r="L445" s="675"/>
      <c r="M445" s="676"/>
      <c r="N445" s="676"/>
      <c r="O445" s="675"/>
      <c r="P445" s="675"/>
      <c r="Q445" s="676"/>
      <c r="R445" s="676"/>
      <c r="S445" s="676"/>
      <c r="T445" s="676"/>
      <c r="U445" s="676"/>
      <c r="V445"/>
      <c r="W445"/>
      <c r="X445"/>
      <c r="Y445"/>
    </row>
    <row r="446" spans="1:25" s="386" customFormat="1" ht="15.75">
      <c r="A446" s="684"/>
      <c r="B446" s="688"/>
      <c r="C446" s="380"/>
      <c r="D446" s="381"/>
      <c r="E446" s="381"/>
      <c r="F446" s="381"/>
      <c r="G446" s="381"/>
      <c r="H446" s="382"/>
      <c r="I446" s="382"/>
      <c r="J446" s="381"/>
      <c r="K446" s="381"/>
      <c r="L446" s="381"/>
      <c r="M446" s="382"/>
      <c r="N446" s="382"/>
      <c r="O446" s="381"/>
      <c r="P446" s="381"/>
      <c r="Q446" s="382"/>
      <c r="R446" s="382"/>
      <c r="S446" s="382"/>
      <c r="T446" s="382"/>
      <c r="U446" s="382"/>
      <c r="V446"/>
      <c r="W446"/>
      <c r="X446"/>
      <c r="Y446"/>
    </row>
    <row r="447" spans="1:25" ht="15.75">
      <c r="A447" s="684"/>
      <c r="B447" s="689"/>
      <c r="C447" s="383"/>
      <c r="D447" s="384"/>
      <c r="E447" s="384"/>
      <c r="F447" s="384"/>
      <c r="G447" s="384"/>
      <c r="H447" s="385"/>
      <c r="I447" s="385"/>
      <c r="J447" s="384"/>
      <c r="K447" s="384"/>
      <c r="L447" s="384"/>
      <c r="M447" s="385"/>
      <c r="N447" s="385"/>
      <c r="O447" s="384"/>
      <c r="P447" s="384"/>
      <c r="Q447" s="385"/>
      <c r="R447" s="385"/>
      <c r="S447" s="385"/>
      <c r="T447" s="385"/>
      <c r="U447" s="385"/>
      <c r="V447"/>
      <c r="W447"/>
      <c r="X447"/>
      <c r="Y447"/>
    </row>
    <row r="448" spans="1:25" ht="15.75">
      <c r="A448" s="684"/>
      <c r="B448" s="687"/>
      <c r="C448" s="674"/>
      <c r="D448" s="675"/>
      <c r="E448" s="675"/>
      <c r="F448" s="675"/>
      <c r="G448" s="675"/>
      <c r="H448" s="676"/>
      <c r="I448" s="676"/>
      <c r="J448" s="675"/>
      <c r="K448" s="675"/>
      <c r="L448" s="675"/>
      <c r="M448" s="676"/>
      <c r="N448" s="676"/>
      <c r="O448" s="675"/>
      <c r="P448" s="675"/>
      <c r="Q448" s="676"/>
      <c r="R448" s="676"/>
      <c r="S448" s="676"/>
      <c r="T448" s="676"/>
      <c r="U448" s="676"/>
      <c r="V448"/>
      <c r="W448"/>
      <c r="X448"/>
      <c r="Y448"/>
    </row>
    <row r="449" spans="1:25" s="386" customFormat="1" ht="15.75">
      <c r="A449" s="684"/>
      <c r="B449" s="688"/>
      <c r="C449" s="380"/>
      <c r="D449" s="381"/>
      <c r="E449" s="381"/>
      <c r="F449" s="381"/>
      <c r="G449" s="381"/>
      <c r="H449" s="382"/>
      <c r="I449" s="382"/>
      <c r="J449" s="381"/>
      <c r="K449" s="381"/>
      <c r="L449" s="381"/>
      <c r="M449" s="382"/>
      <c r="N449" s="382"/>
      <c r="O449" s="381"/>
      <c r="P449" s="381"/>
      <c r="Q449" s="382"/>
      <c r="R449" s="382"/>
      <c r="S449" s="382"/>
      <c r="T449" s="382"/>
      <c r="U449" s="382"/>
      <c r="V449"/>
      <c r="W449"/>
      <c r="X449"/>
      <c r="Y449"/>
    </row>
    <row r="450" spans="1:25" ht="15.75">
      <c r="A450" s="684"/>
      <c r="B450" s="689"/>
      <c r="C450" s="383"/>
      <c r="D450" s="384"/>
      <c r="E450" s="384"/>
      <c r="F450" s="384"/>
      <c r="G450" s="384"/>
      <c r="H450" s="385"/>
      <c r="I450" s="385"/>
      <c r="J450" s="384"/>
      <c r="K450" s="384"/>
      <c r="L450" s="384"/>
      <c r="M450" s="385"/>
      <c r="N450" s="385"/>
      <c r="O450" s="384"/>
      <c r="P450" s="384"/>
      <c r="Q450" s="385"/>
      <c r="R450" s="385"/>
      <c r="S450" s="385"/>
      <c r="T450" s="385"/>
      <c r="U450" s="385"/>
      <c r="V450"/>
      <c r="W450"/>
      <c r="X450"/>
      <c r="Y450"/>
    </row>
    <row r="451" spans="1:25" ht="15.75">
      <c r="A451" s="684"/>
      <c r="B451" s="687"/>
      <c r="C451" s="674"/>
      <c r="D451" s="675"/>
      <c r="E451" s="675"/>
      <c r="F451" s="675"/>
      <c r="G451" s="675"/>
      <c r="H451" s="676"/>
      <c r="I451" s="676"/>
      <c r="J451" s="675"/>
      <c r="K451" s="675"/>
      <c r="L451" s="675"/>
      <c r="M451" s="676"/>
      <c r="N451" s="676"/>
      <c r="O451" s="675"/>
      <c r="P451" s="675"/>
      <c r="Q451" s="676"/>
      <c r="R451" s="676"/>
      <c r="S451" s="676"/>
      <c r="T451" s="676"/>
      <c r="U451" s="676"/>
      <c r="V451"/>
      <c r="W451"/>
      <c r="X451"/>
      <c r="Y451"/>
    </row>
    <row r="452" spans="1:25" s="386" customFormat="1" ht="15.75">
      <c r="A452" s="684"/>
      <c r="B452" s="688"/>
      <c r="C452" s="380"/>
      <c r="D452" s="381"/>
      <c r="E452" s="381"/>
      <c r="F452" s="381"/>
      <c r="G452" s="381"/>
      <c r="H452" s="382"/>
      <c r="I452" s="382"/>
      <c r="J452" s="381"/>
      <c r="K452" s="381"/>
      <c r="L452" s="381"/>
      <c r="M452" s="382"/>
      <c r="N452" s="382"/>
      <c r="O452" s="381"/>
      <c r="P452" s="381"/>
      <c r="Q452" s="382"/>
      <c r="R452" s="382"/>
      <c r="S452" s="382"/>
      <c r="T452" s="382"/>
      <c r="U452" s="382"/>
      <c r="V452"/>
      <c r="W452"/>
      <c r="X452"/>
      <c r="Y452"/>
    </row>
    <row r="453" spans="1:25" ht="15.75">
      <c r="A453" s="684"/>
      <c r="B453" s="689"/>
      <c r="C453" s="383"/>
      <c r="D453" s="384"/>
      <c r="E453" s="384"/>
      <c r="F453" s="384"/>
      <c r="G453" s="384"/>
      <c r="H453" s="385"/>
      <c r="I453" s="385"/>
      <c r="J453" s="384"/>
      <c r="K453" s="384"/>
      <c r="L453" s="384"/>
      <c r="M453" s="385"/>
      <c r="N453" s="385"/>
      <c r="O453" s="384"/>
      <c r="P453" s="384"/>
      <c r="Q453" s="385"/>
      <c r="R453" s="385"/>
      <c r="S453" s="385"/>
      <c r="T453" s="385"/>
      <c r="U453" s="385"/>
      <c r="V453"/>
      <c r="W453"/>
      <c r="X453"/>
      <c r="Y453"/>
    </row>
    <row r="454" spans="1:25" ht="15.75">
      <c r="A454" s="684"/>
      <c r="B454" s="687"/>
      <c r="C454" s="674"/>
      <c r="D454" s="675"/>
      <c r="E454" s="675"/>
      <c r="F454" s="675"/>
      <c r="G454" s="675"/>
      <c r="H454" s="676"/>
      <c r="I454" s="676"/>
      <c r="J454" s="675"/>
      <c r="K454" s="675"/>
      <c r="L454" s="675"/>
      <c r="M454" s="676"/>
      <c r="N454" s="676"/>
      <c r="O454" s="675"/>
      <c r="P454" s="675"/>
      <c r="Q454" s="676"/>
      <c r="R454" s="676"/>
      <c r="S454" s="676"/>
      <c r="T454" s="676"/>
      <c r="U454" s="676"/>
      <c r="V454"/>
      <c r="W454"/>
      <c r="X454"/>
      <c r="Y454"/>
    </row>
    <row r="455" spans="1:25" s="386" customFormat="1" ht="15.75">
      <c r="A455" s="685"/>
      <c r="B455" s="690"/>
      <c r="C455" s="576"/>
      <c r="D455" s="577"/>
      <c r="E455" s="577"/>
      <c r="F455" s="577"/>
      <c r="G455" s="577"/>
      <c r="H455" s="578"/>
      <c r="I455" s="578"/>
      <c r="J455" s="577"/>
      <c r="K455" s="577"/>
      <c r="L455" s="577"/>
      <c r="M455" s="578"/>
      <c r="N455" s="578"/>
      <c r="O455" s="577"/>
      <c r="P455" s="577"/>
      <c r="Q455" s="578"/>
      <c r="R455" s="578"/>
      <c r="S455" s="578"/>
      <c r="T455" s="578"/>
      <c r="U455" s="578"/>
      <c r="V455"/>
      <c r="W455"/>
      <c r="X455"/>
      <c r="Y455"/>
    </row>
    <row r="456" spans="1:25" ht="15.75">
      <c r="A456" s="683"/>
      <c r="B456" s="687"/>
      <c r="C456" s="674"/>
      <c r="D456" s="675"/>
      <c r="E456" s="675"/>
      <c r="F456" s="675"/>
      <c r="G456" s="675"/>
      <c r="H456" s="676"/>
      <c r="I456" s="676"/>
      <c r="J456" s="675"/>
      <c r="K456" s="675"/>
      <c r="L456" s="675"/>
      <c r="M456" s="676"/>
      <c r="N456" s="676"/>
      <c r="O456" s="675"/>
      <c r="P456" s="675"/>
      <c r="Q456" s="676"/>
      <c r="R456" s="676"/>
      <c r="S456" s="676"/>
      <c r="T456" s="676"/>
      <c r="U456" s="676"/>
      <c r="V456"/>
      <c r="W456"/>
      <c r="X456"/>
      <c r="Y456"/>
    </row>
    <row r="457" spans="1:25" ht="15.75">
      <c r="A457" s="684"/>
      <c r="B457" s="688"/>
      <c r="C457" s="380"/>
      <c r="D457" s="381"/>
      <c r="E457" s="381"/>
      <c r="F457" s="381"/>
      <c r="G457" s="381"/>
      <c r="H457" s="382"/>
      <c r="I457" s="382"/>
      <c r="J457" s="381"/>
      <c r="K457" s="381"/>
      <c r="L457" s="381"/>
      <c r="M457" s="382"/>
      <c r="N457" s="382"/>
      <c r="O457" s="381"/>
      <c r="P457" s="381"/>
      <c r="Q457" s="382"/>
      <c r="R457" s="382"/>
      <c r="S457" s="382"/>
      <c r="T457" s="382"/>
      <c r="U457" s="382"/>
      <c r="V457"/>
      <c r="W457"/>
      <c r="X457"/>
      <c r="Y457"/>
    </row>
    <row r="458" spans="1:25" s="386" customFormat="1" ht="15.75">
      <c r="A458" s="684"/>
      <c r="B458" s="689"/>
      <c r="C458" s="383"/>
      <c r="D458" s="384"/>
      <c r="E458" s="384"/>
      <c r="F458" s="384"/>
      <c r="G458" s="384"/>
      <c r="H458" s="385"/>
      <c r="I458" s="385"/>
      <c r="J458" s="384"/>
      <c r="K458" s="384"/>
      <c r="L458" s="692"/>
      <c r="M458" s="385"/>
      <c r="N458" s="385"/>
      <c r="O458" s="384"/>
      <c r="P458" s="384"/>
      <c r="Q458" s="385"/>
      <c r="R458" s="385"/>
      <c r="S458" s="385"/>
      <c r="T458" s="385"/>
      <c r="U458" s="385"/>
      <c r="V458"/>
      <c r="W458"/>
      <c r="X458"/>
      <c r="Y458"/>
    </row>
    <row r="459" spans="1:25" ht="15.75">
      <c r="A459" s="684"/>
      <c r="B459" s="687"/>
      <c r="C459" s="674"/>
      <c r="D459" s="675"/>
      <c r="E459" s="675"/>
      <c r="F459" s="675"/>
      <c r="G459" s="675"/>
      <c r="H459" s="676"/>
      <c r="I459" s="676"/>
      <c r="J459" s="675"/>
      <c r="K459" s="675"/>
      <c r="L459" s="675"/>
      <c r="M459" s="676"/>
      <c r="N459" s="676"/>
      <c r="O459" s="675"/>
      <c r="P459" s="675"/>
      <c r="Q459" s="676"/>
      <c r="R459" s="676"/>
      <c r="S459" s="676"/>
      <c r="T459" s="676"/>
      <c r="U459" s="676"/>
      <c r="V459"/>
      <c r="W459"/>
      <c r="X459"/>
      <c r="Y459"/>
    </row>
    <row r="460" spans="1:25" ht="15.75">
      <c r="A460" s="684"/>
      <c r="B460" s="688"/>
      <c r="C460" s="380"/>
      <c r="D460" s="381"/>
      <c r="E460" s="381"/>
      <c r="F460" s="381"/>
      <c r="G460" s="381"/>
      <c r="H460" s="382"/>
      <c r="I460" s="382"/>
      <c r="J460" s="381"/>
      <c r="K460" s="381"/>
      <c r="L460" s="381"/>
      <c r="M460" s="382"/>
      <c r="N460" s="382"/>
      <c r="O460" s="381"/>
      <c r="P460" s="381"/>
      <c r="Q460" s="382"/>
      <c r="R460" s="382"/>
      <c r="S460" s="382"/>
      <c r="T460" s="382"/>
      <c r="U460" s="382"/>
      <c r="V460"/>
      <c r="W460"/>
      <c r="X460"/>
      <c r="Y460"/>
    </row>
    <row r="461" spans="1:25" s="386" customFormat="1" ht="15.75">
      <c r="A461" s="684"/>
      <c r="B461" s="689"/>
      <c r="C461" s="383"/>
      <c r="D461" s="384"/>
      <c r="E461" s="384"/>
      <c r="F461" s="384"/>
      <c r="G461" s="384"/>
      <c r="H461" s="385"/>
      <c r="I461" s="385"/>
      <c r="J461" s="384"/>
      <c r="K461" s="384"/>
      <c r="L461" s="384"/>
      <c r="M461" s="385"/>
      <c r="N461" s="385"/>
      <c r="O461" s="384"/>
      <c r="P461" s="384"/>
      <c r="Q461" s="385"/>
      <c r="R461" s="385"/>
      <c r="S461" s="385"/>
      <c r="T461" s="385"/>
      <c r="U461" s="385"/>
      <c r="V461"/>
      <c r="W461"/>
      <c r="X461"/>
      <c r="Y461"/>
    </row>
    <row r="462" spans="1:25" ht="15.75">
      <c r="A462" s="684"/>
      <c r="B462" s="687"/>
      <c r="C462" s="674"/>
      <c r="D462" s="675"/>
      <c r="E462" s="675"/>
      <c r="F462" s="675"/>
      <c r="G462" s="675"/>
      <c r="H462" s="676"/>
      <c r="I462" s="676"/>
      <c r="J462" s="675"/>
      <c r="K462" s="675"/>
      <c r="L462" s="675"/>
      <c r="M462" s="676"/>
      <c r="N462" s="676"/>
      <c r="O462" s="675"/>
      <c r="P462" s="675"/>
      <c r="Q462" s="676"/>
      <c r="R462" s="676"/>
      <c r="S462" s="676"/>
      <c r="T462" s="676"/>
      <c r="U462" s="676"/>
      <c r="V462"/>
      <c r="W462"/>
      <c r="X462"/>
      <c r="Y462"/>
    </row>
    <row r="463" spans="1:25" ht="15.75">
      <c r="A463" s="684"/>
      <c r="B463" s="688"/>
      <c r="C463" s="380"/>
      <c r="D463" s="381"/>
      <c r="E463" s="381"/>
      <c r="F463" s="381"/>
      <c r="G463" s="381"/>
      <c r="H463" s="382"/>
      <c r="I463" s="382"/>
      <c r="J463" s="381"/>
      <c r="K463" s="381"/>
      <c r="L463" s="381"/>
      <c r="M463" s="382"/>
      <c r="N463" s="382"/>
      <c r="O463" s="381"/>
      <c r="P463" s="381"/>
      <c r="Q463" s="382"/>
      <c r="R463" s="382"/>
      <c r="S463" s="382"/>
      <c r="T463" s="382"/>
      <c r="U463" s="382"/>
      <c r="V463"/>
      <c r="W463"/>
      <c r="X463"/>
      <c r="Y463"/>
    </row>
    <row r="464" spans="1:25" s="386" customFormat="1" ht="15.75">
      <c r="A464" s="684"/>
      <c r="B464" s="689"/>
      <c r="C464" s="383"/>
      <c r="D464" s="384"/>
      <c r="E464" s="384"/>
      <c r="F464" s="384"/>
      <c r="G464" s="384"/>
      <c r="H464" s="385"/>
      <c r="I464" s="385"/>
      <c r="J464" s="384"/>
      <c r="K464" s="384"/>
      <c r="L464" s="384"/>
      <c r="M464" s="385"/>
      <c r="N464" s="385"/>
      <c r="O464" s="384"/>
      <c r="P464" s="384"/>
      <c r="Q464" s="385"/>
      <c r="R464" s="385"/>
      <c r="S464" s="385"/>
      <c r="T464" s="385"/>
      <c r="U464" s="385"/>
      <c r="V464"/>
      <c r="W464"/>
      <c r="X464"/>
      <c r="Y464"/>
    </row>
    <row r="465" spans="1:25" ht="15.75">
      <c r="A465" s="684"/>
      <c r="B465" s="687"/>
      <c r="C465" s="674"/>
      <c r="D465" s="675"/>
      <c r="E465" s="675"/>
      <c r="F465" s="675"/>
      <c r="G465" s="675"/>
      <c r="H465" s="676"/>
      <c r="I465" s="676"/>
      <c r="J465" s="675"/>
      <c r="K465" s="675"/>
      <c r="L465" s="675"/>
      <c r="M465" s="676"/>
      <c r="N465" s="676"/>
      <c r="O465" s="675"/>
      <c r="P465" s="675"/>
      <c r="Q465" s="676"/>
      <c r="R465" s="676"/>
      <c r="S465" s="676"/>
      <c r="T465" s="676"/>
      <c r="U465" s="676"/>
      <c r="V465"/>
      <c r="W465"/>
      <c r="X465"/>
      <c r="Y465"/>
    </row>
    <row r="466" spans="1:25" ht="15.75">
      <c r="A466" s="684"/>
      <c r="B466" s="688"/>
      <c r="C466" s="380"/>
      <c r="D466" s="381"/>
      <c r="E466" s="381"/>
      <c r="F466" s="381"/>
      <c r="G466" s="381"/>
      <c r="H466" s="382"/>
      <c r="I466" s="382"/>
      <c r="J466" s="381"/>
      <c r="K466" s="381"/>
      <c r="L466" s="381"/>
      <c r="M466" s="382"/>
      <c r="N466" s="382"/>
      <c r="O466" s="381"/>
      <c r="P466" s="381"/>
      <c r="Q466" s="382"/>
      <c r="R466" s="382"/>
      <c r="S466" s="382"/>
      <c r="T466" s="382"/>
      <c r="U466" s="382"/>
      <c r="V466"/>
      <c r="W466"/>
      <c r="X466"/>
      <c r="Y466"/>
    </row>
    <row r="467" spans="1:25" s="386" customFormat="1" ht="15.75">
      <c r="A467" s="684"/>
      <c r="B467" s="689"/>
      <c r="C467" s="383"/>
      <c r="D467" s="384"/>
      <c r="E467" s="384"/>
      <c r="F467" s="384"/>
      <c r="G467" s="384"/>
      <c r="H467" s="385"/>
      <c r="I467" s="385"/>
      <c r="J467" s="384"/>
      <c r="K467" s="384"/>
      <c r="L467" s="384"/>
      <c r="M467" s="385"/>
      <c r="N467" s="385"/>
      <c r="O467" s="384"/>
      <c r="P467" s="384"/>
      <c r="Q467" s="385"/>
      <c r="R467" s="385"/>
      <c r="S467" s="385"/>
      <c r="T467" s="385"/>
      <c r="U467" s="385"/>
      <c r="V467"/>
      <c r="W467"/>
      <c r="X467"/>
      <c r="Y467"/>
    </row>
    <row r="468" spans="1:25" ht="15.75">
      <c r="A468" s="684"/>
      <c r="B468" s="687"/>
      <c r="C468" s="674"/>
      <c r="D468" s="675"/>
      <c r="E468" s="675"/>
      <c r="F468" s="675"/>
      <c r="G468" s="675"/>
      <c r="H468" s="676"/>
      <c r="I468" s="676"/>
      <c r="J468" s="675"/>
      <c r="K468" s="675"/>
      <c r="L468" s="675"/>
      <c r="M468" s="676"/>
      <c r="N468" s="676"/>
      <c r="O468" s="675"/>
      <c r="P468" s="675"/>
      <c r="Q468" s="676"/>
      <c r="R468" s="676"/>
      <c r="S468" s="676"/>
      <c r="T468" s="676"/>
      <c r="U468" s="676"/>
      <c r="V468"/>
      <c r="W468"/>
      <c r="X468"/>
      <c r="Y468"/>
    </row>
    <row r="469" spans="1:25" ht="15.75">
      <c r="A469" s="684"/>
      <c r="B469" s="688"/>
      <c r="C469" s="380"/>
      <c r="D469" s="381"/>
      <c r="E469" s="381"/>
      <c r="F469" s="381"/>
      <c r="G469" s="381"/>
      <c r="H469" s="382"/>
      <c r="I469" s="382"/>
      <c r="J469" s="381"/>
      <c r="K469" s="381"/>
      <c r="L469" s="381"/>
      <c r="M469" s="382"/>
      <c r="N469" s="382"/>
      <c r="O469" s="381"/>
      <c r="P469" s="381"/>
      <c r="Q469" s="382"/>
      <c r="R469" s="382"/>
      <c r="S469" s="382"/>
      <c r="T469" s="382"/>
      <c r="U469" s="382"/>
      <c r="V469"/>
      <c r="W469"/>
      <c r="X469"/>
      <c r="Y469"/>
    </row>
    <row r="470" spans="1:25" s="386" customFormat="1" ht="15.75">
      <c r="A470" s="684"/>
      <c r="B470" s="689"/>
      <c r="C470" s="383"/>
      <c r="D470" s="384"/>
      <c r="E470" s="384"/>
      <c r="F470" s="384"/>
      <c r="G470" s="384"/>
      <c r="H470" s="385"/>
      <c r="I470" s="385"/>
      <c r="J470" s="384"/>
      <c r="K470" s="384"/>
      <c r="L470" s="384"/>
      <c r="M470" s="385"/>
      <c r="N470" s="385"/>
      <c r="O470" s="384"/>
      <c r="P470" s="384"/>
      <c r="Q470" s="385"/>
      <c r="R470" s="385"/>
      <c r="S470" s="385"/>
      <c r="T470" s="385"/>
      <c r="U470" s="385"/>
      <c r="V470"/>
      <c r="W470"/>
      <c r="X470"/>
      <c r="Y470"/>
    </row>
    <row r="471" spans="1:25" ht="15.75">
      <c r="A471" s="684"/>
      <c r="B471" s="687"/>
      <c r="C471" s="674"/>
      <c r="D471" s="675"/>
      <c r="E471" s="675"/>
      <c r="F471" s="675"/>
      <c r="G471" s="675"/>
      <c r="H471" s="676"/>
      <c r="I471" s="676"/>
      <c r="J471" s="675"/>
      <c r="K471" s="675"/>
      <c r="L471" s="675"/>
      <c r="M471" s="676"/>
      <c r="N471" s="676"/>
      <c r="O471" s="675"/>
      <c r="P471" s="675"/>
      <c r="Q471" s="676"/>
      <c r="R471" s="676"/>
      <c r="S471" s="676"/>
      <c r="T471" s="676"/>
      <c r="U471" s="676"/>
      <c r="V471"/>
      <c r="W471"/>
      <c r="X471"/>
      <c r="Y471"/>
    </row>
    <row r="472" spans="1:25" ht="15.75">
      <c r="A472" s="684"/>
      <c r="B472" s="688"/>
      <c r="C472" s="380"/>
      <c r="D472" s="381"/>
      <c r="E472" s="381"/>
      <c r="F472" s="381"/>
      <c r="G472" s="381"/>
      <c r="H472" s="382"/>
      <c r="I472" s="382"/>
      <c r="J472" s="381"/>
      <c r="K472" s="381"/>
      <c r="L472" s="381"/>
      <c r="M472" s="382"/>
      <c r="N472" s="382"/>
      <c r="O472" s="381"/>
      <c r="P472" s="381"/>
      <c r="Q472" s="382"/>
      <c r="R472" s="382"/>
      <c r="S472" s="382"/>
      <c r="T472" s="382"/>
      <c r="U472" s="382"/>
      <c r="V472"/>
      <c r="W472"/>
      <c r="X472"/>
      <c r="Y472"/>
    </row>
    <row r="473" spans="1:25" s="386" customFormat="1" ht="15.75">
      <c r="A473" s="684"/>
      <c r="B473" s="689"/>
      <c r="C473" s="383"/>
      <c r="D473" s="384"/>
      <c r="E473" s="384"/>
      <c r="F473" s="384"/>
      <c r="G473" s="384"/>
      <c r="H473" s="385"/>
      <c r="I473" s="385"/>
      <c r="J473" s="384"/>
      <c r="K473" s="384"/>
      <c r="L473" s="384"/>
      <c r="M473" s="385"/>
      <c r="N473" s="385"/>
      <c r="O473" s="384"/>
      <c r="P473" s="384"/>
      <c r="Q473" s="385"/>
      <c r="R473" s="385"/>
      <c r="S473" s="385"/>
      <c r="T473" s="385"/>
      <c r="U473" s="385"/>
      <c r="V473"/>
      <c r="W473"/>
      <c r="X473"/>
      <c r="Y473"/>
    </row>
    <row r="474" spans="1:25" ht="15.75">
      <c r="A474" s="684"/>
      <c r="B474" s="687"/>
      <c r="C474" s="674"/>
      <c r="D474" s="675"/>
      <c r="E474" s="675"/>
      <c r="F474" s="675"/>
      <c r="G474" s="675"/>
      <c r="H474" s="676"/>
      <c r="I474" s="676"/>
      <c r="J474" s="675"/>
      <c r="K474" s="675"/>
      <c r="L474" s="675"/>
      <c r="M474" s="676"/>
      <c r="N474" s="676"/>
      <c r="O474" s="675"/>
      <c r="P474" s="675"/>
      <c r="Q474" s="676"/>
      <c r="R474" s="676"/>
      <c r="S474" s="676"/>
      <c r="T474" s="676"/>
      <c r="U474" s="676"/>
      <c r="V474"/>
      <c r="W474"/>
      <c r="X474"/>
      <c r="Y474"/>
    </row>
    <row r="475" spans="1:25" ht="15.75">
      <c r="A475" s="684"/>
      <c r="B475" s="688"/>
      <c r="C475" s="380"/>
      <c r="D475" s="381"/>
      <c r="E475" s="381"/>
      <c r="F475" s="381"/>
      <c r="G475" s="381"/>
      <c r="H475" s="382"/>
      <c r="I475" s="382"/>
      <c r="J475" s="381"/>
      <c r="K475" s="381"/>
      <c r="L475" s="381"/>
      <c r="M475" s="382"/>
      <c r="N475" s="382"/>
      <c r="O475" s="381"/>
      <c r="P475" s="381"/>
      <c r="Q475" s="382"/>
      <c r="R475" s="382"/>
      <c r="S475" s="382"/>
      <c r="T475" s="382"/>
      <c r="U475" s="382"/>
      <c r="V475"/>
      <c r="W475"/>
      <c r="X475"/>
      <c r="Y475"/>
    </row>
    <row r="476" spans="1:25" s="386" customFormat="1" ht="15.75">
      <c r="A476" s="684"/>
      <c r="B476" s="689"/>
      <c r="C476" s="383"/>
      <c r="D476" s="692"/>
      <c r="E476" s="384"/>
      <c r="F476" s="384"/>
      <c r="G476" s="384"/>
      <c r="H476" s="385"/>
      <c r="I476" s="385"/>
      <c r="J476" s="384"/>
      <c r="K476" s="384"/>
      <c r="L476" s="384"/>
      <c r="M476" s="385"/>
      <c r="N476" s="385"/>
      <c r="O476" s="384"/>
      <c r="P476" s="384"/>
      <c r="Q476" s="385"/>
      <c r="R476" s="385"/>
      <c r="S476" s="385"/>
      <c r="T476" s="385"/>
      <c r="U476" s="385"/>
      <c r="V476"/>
      <c r="W476"/>
      <c r="X476"/>
      <c r="Y476"/>
    </row>
    <row r="477" spans="1:25" ht="15.75">
      <c r="A477" s="684"/>
      <c r="B477" s="687"/>
      <c r="C477" s="674"/>
      <c r="D477" s="675"/>
      <c r="E477" s="675"/>
      <c r="F477" s="675"/>
      <c r="G477" s="675"/>
      <c r="H477" s="676"/>
      <c r="I477" s="676"/>
      <c r="J477" s="675"/>
      <c r="K477" s="675"/>
      <c r="L477" s="675"/>
      <c r="M477" s="676"/>
      <c r="N477" s="676"/>
      <c r="O477" s="675"/>
      <c r="P477" s="675"/>
      <c r="Q477" s="676"/>
      <c r="R477" s="676"/>
      <c r="S477" s="676"/>
      <c r="T477" s="676"/>
      <c r="U477" s="676"/>
      <c r="V477"/>
      <c r="W477"/>
      <c r="X477"/>
      <c r="Y477"/>
    </row>
    <row r="478" spans="1:25" ht="15.75">
      <c r="A478" s="684"/>
      <c r="B478" s="688"/>
      <c r="C478" s="380"/>
      <c r="D478" s="381"/>
      <c r="E478" s="381"/>
      <c r="F478" s="381"/>
      <c r="G478" s="381"/>
      <c r="H478" s="382"/>
      <c r="I478" s="382"/>
      <c r="J478" s="381"/>
      <c r="K478" s="381"/>
      <c r="L478" s="381"/>
      <c r="M478" s="382"/>
      <c r="N478" s="382"/>
      <c r="O478" s="381"/>
      <c r="P478" s="381"/>
      <c r="Q478" s="382"/>
      <c r="R478" s="382"/>
      <c r="S478" s="382"/>
      <c r="T478" s="382"/>
      <c r="U478" s="382"/>
      <c r="V478"/>
      <c r="W478"/>
      <c r="X478"/>
      <c r="Y478"/>
    </row>
    <row r="479" spans="1:25" s="386" customFormat="1" ht="15.75">
      <c r="A479" s="684"/>
      <c r="B479" s="689"/>
      <c r="C479" s="383"/>
      <c r="D479" s="384"/>
      <c r="E479" s="692"/>
      <c r="F479" s="384"/>
      <c r="G479" s="384"/>
      <c r="H479" s="385"/>
      <c r="I479" s="385"/>
      <c r="J479" s="384"/>
      <c r="K479" s="384"/>
      <c r="L479" s="384"/>
      <c r="M479" s="385"/>
      <c r="N479" s="385"/>
      <c r="O479" s="384"/>
      <c r="P479" s="384"/>
      <c r="Q479" s="385"/>
      <c r="R479" s="385"/>
      <c r="S479" s="385"/>
      <c r="T479" s="385"/>
      <c r="U479" s="385"/>
      <c r="V479"/>
      <c r="W479"/>
      <c r="X479"/>
      <c r="Y479"/>
    </row>
    <row r="480" spans="1:25" ht="15.75">
      <c r="A480" s="684"/>
      <c r="B480" s="687"/>
      <c r="C480" s="674"/>
      <c r="D480" s="675"/>
      <c r="E480" s="675"/>
      <c r="F480" s="675"/>
      <c r="G480" s="675"/>
      <c r="H480" s="676"/>
      <c r="I480" s="676"/>
      <c r="J480" s="675"/>
      <c r="K480" s="675"/>
      <c r="L480" s="675"/>
      <c r="M480" s="676"/>
      <c r="N480" s="676"/>
      <c r="O480" s="675"/>
      <c r="P480" s="675"/>
      <c r="Q480" s="676"/>
      <c r="R480" s="676"/>
      <c r="S480" s="676"/>
      <c r="T480" s="676"/>
      <c r="U480" s="676"/>
      <c r="V480"/>
      <c r="W480"/>
      <c r="X480"/>
      <c r="Y480"/>
    </row>
    <row r="481" spans="1:25" ht="15.75">
      <c r="A481" s="684"/>
      <c r="B481" s="688"/>
      <c r="C481" s="380"/>
      <c r="D481" s="381"/>
      <c r="E481" s="381"/>
      <c r="F481" s="381"/>
      <c r="G481" s="381"/>
      <c r="H481" s="382"/>
      <c r="I481" s="382"/>
      <c r="J481" s="381"/>
      <c r="K481" s="381"/>
      <c r="L481" s="381"/>
      <c r="M481" s="382"/>
      <c r="N481" s="382"/>
      <c r="O481" s="381"/>
      <c r="P481" s="381"/>
      <c r="Q481" s="382"/>
      <c r="R481" s="382"/>
      <c r="S481" s="382"/>
      <c r="T481" s="382"/>
      <c r="U481" s="382"/>
      <c r="V481"/>
      <c r="W481"/>
      <c r="X481"/>
      <c r="Y481"/>
    </row>
    <row r="482" spans="1:25" s="386" customFormat="1" ht="15.75">
      <c r="A482" s="684"/>
      <c r="B482" s="689"/>
      <c r="C482" s="383"/>
      <c r="D482" s="384"/>
      <c r="E482" s="384"/>
      <c r="F482" s="384"/>
      <c r="G482" s="384"/>
      <c r="H482" s="385"/>
      <c r="I482" s="385"/>
      <c r="J482" s="384"/>
      <c r="K482" s="384"/>
      <c r="L482" s="384"/>
      <c r="M482" s="385"/>
      <c r="N482" s="385"/>
      <c r="O482" s="384"/>
      <c r="P482" s="384"/>
      <c r="Q482" s="385"/>
      <c r="R482" s="385"/>
      <c r="S482" s="385"/>
      <c r="T482" s="385"/>
      <c r="U482" s="385"/>
      <c r="V482"/>
      <c r="W482"/>
      <c r="X482"/>
      <c r="Y482"/>
    </row>
    <row r="483" spans="1:25" ht="15.75">
      <c r="A483" s="684"/>
      <c r="B483" s="687"/>
      <c r="C483" s="674"/>
      <c r="D483" s="675"/>
      <c r="E483" s="675"/>
      <c r="F483" s="675"/>
      <c r="G483" s="675"/>
      <c r="H483" s="676"/>
      <c r="I483" s="676"/>
      <c r="J483" s="675"/>
      <c r="K483" s="675"/>
      <c r="L483" s="675"/>
      <c r="M483" s="676"/>
      <c r="N483" s="676"/>
      <c r="O483" s="675"/>
      <c r="P483" s="675"/>
      <c r="Q483" s="676"/>
      <c r="R483" s="676"/>
      <c r="S483" s="676"/>
      <c r="T483" s="676"/>
      <c r="U483" s="676"/>
      <c r="V483"/>
      <c r="W483"/>
      <c r="X483"/>
      <c r="Y483"/>
    </row>
    <row r="484" spans="1:25" ht="15.75">
      <c r="A484" s="684"/>
      <c r="B484" s="688"/>
      <c r="C484" s="380"/>
      <c r="D484" s="381"/>
      <c r="E484" s="381"/>
      <c r="F484" s="381"/>
      <c r="G484" s="381"/>
      <c r="H484" s="382"/>
      <c r="I484" s="382"/>
      <c r="J484" s="381"/>
      <c r="K484" s="381"/>
      <c r="L484" s="381"/>
      <c r="M484" s="382"/>
      <c r="N484" s="382"/>
      <c r="O484" s="381"/>
      <c r="P484" s="381"/>
      <c r="Q484" s="382"/>
      <c r="R484" s="382"/>
      <c r="S484" s="382"/>
      <c r="T484" s="382"/>
      <c r="U484" s="382"/>
      <c r="V484"/>
      <c r="W484"/>
      <c r="X484"/>
      <c r="Y484"/>
    </row>
    <row r="485" spans="1:25" s="386" customFormat="1" ht="15.75">
      <c r="A485" s="684"/>
      <c r="B485" s="689"/>
      <c r="C485" s="383"/>
      <c r="D485" s="384"/>
      <c r="E485" s="384"/>
      <c r="F485" s="384"/>
      <c r="G485" s="384"/>
      <c r="H485" s="385"/>
      <c r="I485" s="385"/>
      <c r="J485" s="384"/>
      <c r="K485" s="384"/>
      <c r="L485" s="384"/>
      <c r="M485" s="385"/>
      <c r="N485" s="385"/>
      <c r="O485" s="384"/>
      <c r="P485" s="384"/>
      <c r="Q485" s="385"/>
      <c r="R485" s="385"/>
      <c r="S485" s="385"/>
      <c r="T485" s="385"/>
      <c r="U485" s="385"/>
      <c r="V485"/>
      <c r="W485"/>
      <c r="X485"/>
      <c r="Y485"/>
    </row>
    <row r="486" spans="1:25" ht="15.75">
      <c r="A486" s="684"/>
      <c r="B486" s="687"/>
      <c r="C486" s="674"/>
      <c r="D486" s="675"/>
      <c r="E486" s="675"/>
      <c r="F486" s="675"/>
      <c r="G486" s="675"/>
      <c r="H486" s="676"/>
      <c r="I486" s="676"/>
      <c r="J486" s="675"/>
      <c r="K486" s="675"/>
      <c r="L486" s="675"/>
      <c r="M486" s="676"/>
      <c r="N486" s="676"/>
      <c r="O486" s="675"/>
      <c r="P486" s="675"/>
      <c r="Q486" s="676"/>
      <c r="R486" s="676"/>
      <c r="S486" s="676"/>
      <c r="T486" s="676"/>
      <c r="U486" s="676"/>
      <c r="V486"/>
      <c r="W486"/>
      <c r="X486"/>
      <c r="Y486"/>
    </row>
    <row r="487" spans="1:25" ht="15.75">
      <c r="A487" s="684"/>
      <c r="B487" s="688"/>
      <c r="C487" s="380"/>
      <c r="D487" s="381"/>
      <c r="E487" s="381"/>
      <c r="F487" s="381"/>
      <c r="G487" s="381"/>
      <c r="H487" s="382"/>
      <c r="I487" s="382"/>
      <c r="J487" s="381"/>
      <c r="K487" s="381"/>
      <c r="L487" s="381"/>
      <c r="M487" s="382"/>
      <c r="N487" s="382"/>
      <c r="O487" s="381"/>
      <c r="P487" s="381"/>
      <c r="Q487" s="382"/>
      <c r="R487" s="382"/>
      <c r="S487" s="382"/>
      <c r="T487" s="382"/>
      <c r="U487" s="382"/>
      <c r="V487"/>
      <c r="W487"/>
      <c r="X487"/>
      <c r="Y487"/>
    </row>
    <row r="488" spans="1:25" s="386" customFormat="1" ht="15.75">
      <c r="A488" s="684"/>
      <c r="B488" s="689"/>
      <c r="C488" s="383"/>
      <c r="D488" s="384"/>
      <c r="E488" s="384"/>
      <c r="F488" s="384"/>
      <c r="G488" s="384"/>
      <c r="H488" s="385"/>
      <c r="I488" s="385"/>
      <c r="J488" s="384"/>
      <c r="K488" s="384"/>
      <c r="L488" s="384"/>
      <c r="M488" s="385"/>
      <c r="N488" s="385"/>
      <c r="O488" s="384"/>
      <c r="P488" s="384"/>
      <c r="Q488" s="385"/>
      <c r="R488" s="385"/>
      <c r="S488" s="385"/>
      <c r="T488" s="385"/>
      <c r="U488" s="385"/>
      <c r="V488"/>
      <c r="W488"/>
      <c r="X488"/>
      <c r="Y488"/>
    </row>
    <row r="489" spans="1:25" ht="15.75">
      <c r="A489" s="684"/>
      <c r="B489" s="687"/>
      <c r="C489" s="674"/>
      <c r="D489" s="675"/>
      <c r="E489" s="675"/>
      <c r="F489" s="675"/>
      <c r="G489" s="675"/>
      <c r="H489" s="676"/>
      <c r="I489" s="676"/>
      <c r="J489" s="675"/>
      <c r="K489" s="675"/>
      <c r="L489" s="675"/>
      <c r="M489" s="676"/>
      <c r="N489" s="676"/>
      <c r="O489" s="675"/>
      <c r="P489" s="675"/>
      <c r="Q489" s="676"/>
      <c r="R489" s="676"/>
      <c r="S489" s="676"/>
      <c r="T489" s="676"/>
      <c r="U489" s="676"/>
      <c r="V489"/>
      <c r="W489"/>
      <c r="X489"/>
      <c r="Y489"/>
    </row>
    <row r="490" spans="1:25" ht="15.75">
      <c r="A490" s="684"/>
      <c r="B490" s="688"/>
      <c r="C490" s="380"/>
      <c r="D490" s="381"/>
      <c r="E490" s="381"/>
      <c r="F490" s="381"/>
      <c r="G490" s="381"/>
      <c r="H490" s="382"/>
      <c r="I490" s="382"/>
      <c r="J490" s="381"/>
      <c r="K490" s="381"/>
      <c r="L490" s="381"/>
      <c r="M490" s="382"/>
      <c r="N490" s="382"/>
      <c r="O490" s="381"/>
      <c r="P490" s="381"/>
      <c r="Q490" s="382"/>
      <c r="R490" s="382"/>
      <c r="S490" s="382"/>
      <c r="T490" s="382"/>
      <c r="U490" s="382"/>
      <c r="V490"/>
      <c r="W490"/>
      <c r="X490"/>
      <c r="Y490"/>
    </row>
    <row r="491" spans="1:25" s="386" customFormat="1" ht="15.75">
      <c r="A491" s="684"/>
      <c r="B491" s="689"/>
      <c r="C491" s="383"/>
      <c r="D491" s="384"/>
      <c r="E491" s="384"/>
      <c r="F491" s="384"/>
      <c r="G491" s="384"/>
      <c r="H491" s="385"/>
      <c r="I491" s="385"/>
      <c r="J491" s="384"/>
      <c r="K491" s="384"/>
      <c r="L491" s="384"/>
      <c r="M491" s="385"/>
      <c r="N491" s="385"/>
      <c r="O491" s="384"/>
      <c r="P491" s="384"/>
      <c r="Q491" s="385"/>
      <c r="R491" s="385"/>
      <c r="S491" s="385"/>
      <c r="T491" s="385"/>
      <c r="U491" s="385"/>
      <c r="V491"/>
      <c r="W491"/>
      <c r="X491"/>
      <c r="Y491"/>
    </row>
    <row r="492" spans="1:25" ht="15.75">
      <c r="A492" s="684"/>
      <c r="B492" s="687"/>
      <c r="C492" s="674"/>
      <c r="D492" s="675"/>
      <c r="E492" s="675"/>
      <c r="F492" s="675"/>
      <c r="G492" s="675"/>
      <c r="H492" s="676"/>
      <c r="I492" s="676"/>
      <c r="J492" s="675"/>
      <c r="K492" s="675"/>
      <c r="L492" s="675"/>
      <c r="M492" s="676"/>
      <c r="N492" s="676"/>
      <c r="O492" s="675"/>
      <c r="P492" s="675"/>
      <c r="Q492" s="676"/>
      <c r="R492" s="676"/>
      <c r="S492" s="676"/>
      <c r="T492" s="676"/>
      <c r="U492" s="676"/>
      <c r="V492"/>
      <c r="W492"/>
      <c r="X492"/>
      <c r="Y492"/>
    </row>
    <row r="493" spans="1:25" ht="15.75">
      <c r="A493" s="684"/>
      <c r="B493" s="688"/>
      <c r="C493" s="380"/>
      <c r="D493" s="381"/>
      <c r="E493" s="381"/>
      <c r="F493" s="381"/>
      <c r="G493" s="381"/>
      <c r="H493" s="382"/>
      <c r="I493" s="382"/>
      <c r="J493" s="381"/>
      <c r="K493" s="381"/>
      <c r="L493" s="381"/>
      <c r="M493" s="382"/>
      <c r="N493" s="382"/>
      <c r="O493" s="381"/>
      <c r="P493" s="381"/>
      <c r="Q493" s="382"/>
      <c r="R493" s="382"/>
      <c r="S493" s="382"/>
      <c r="T493" s="382"/>
      <c r="U493" s="382"/>
      <c r="V493"/>
      <c r="W493"/>
      <c r="X493"/>
      <c r="Y493"/>
    </row>
    <row r="494" spans="1:25" s="386" customFormat="1" ht="15.75">
      <c r="A494" s="684"/>
      <c r="B494" s="689"/>
      <c r="C494" s="383"/>
      <c r="D494" s="384"/>
      <c r="E494" s="384"/>
      <c r="F494" s="384"/>
      <c r="G494" s="384"/>
      <c r="H494" s="385"/>
      <c r="I494" s="385"/>
      <c r="J494" s="384"/>
      <c r="K494" s="384"/>
      <c r="L494" s="384"/>
      <c r="M494" s="385"/>
      <c r="N494" s="385"/>
      <c r="O494" s="384"/>
      <c r="P494" s="384"/>
      <c r="Q494" s="385"/>
      <c r="R494" s="385"/>
      <c r="S494" s="385"/>
      <c r="T494" s="385"/>
      <c r="U494" s="385"/>
      <c r="V494"/>
      <c r="W494"/>
      <c r="X494"/>
      <c r="Y494"/>
    </row>
    <row r="495" spans="1:25" ht="15.75">
      <c r="A495" s="684"/>
      <c r="B495" s="687"/>
      <c r="C495" s="674"/>
      <c r="D495" s="675"/>
      <c r="E495" s="675"/>
      <c r="F495" s="675"/>
      <c r="G495" s="675"/>
      <c r="H495" s="676"/>
      <c r="I495" s="676"/>
      <c r="J495" s="675"/>
      <c r="K495" s="675"/>
      <c r="L495" s="675"/>
      <c r="M495" s="676"/>
      <c r="N495" s="676"/>
      <c r="O495" s="675"/>
      <c r="P495" s="675"/>
      <c r="Q495" s="676"/>
      <c r="R495" s="676"/>
      <c r="S495" s="676"/>
      <c r="T495" s="676"/>
      <c r="U495" s="676"/>
      <c r="V495"/>
      <c r="W495"/>
      <c r="X495"/>
      <c r="Y495"/>
    </row>
    <row r="496" spans="1:25" ht="15.75">
      <c r="A496" s="684"/>
      <c r="B496" s="688"/>
      <c r="C496" s="380"/>
      <c r="D496" s="381"/>
      <c r="E496" s="381"/>
      <c r="F496" s="381"/>
      <c r="G496" s="381"/>
      <c r="H496" s="382"/>
      <c r="I496" s="382"/>
      <c r="J496" s="381"/>
      <c r="K496" s="381"/>
      <c r="L496" s="381"/>
      <c r="M496" s="382"/>
      <c r="N496" s="382"/>
      <c r="O496" s="381"/>
      <c r="P496" s="381"/>
      <c r="Q496" s="382"/>
      <c r="R496" s="382"/>
      <c r="S496" s="382"/>
      <c r="T496" s="382"/>
      <c r="U496" s="382"/>
      <c r="V496"/>
      <c r="W496"/>
      <c r="X496"/>
      <c r="Y496"/>
    </row>
    <row r="497" spans="1:25" s="386" customFormat="1" ht="15.75">
      <c r="A497" s="684"/>
      <c r="B497" s="689"/>
      <c r="C497" s="383"/>
      <c r="D497" s="384"/>
      <c r="E497" s="384"/>
      <c r="F497" s="384"/>
      <c r="G497" s="384"/>
      <c r="H497" s="385"/>
      <c r="I497" s="385"/>
      <c r="J497" s="384"/>
      <c r="K497" s="384"/>
      <c r="L497" s="384"/>
      <c r="M497" s="385"/>
      <c r="N497" s="385"/>
      <c r="O497" s="384"/>
      <c r="P497" s="384"/>
      <c r="Q497" s="385"/>
      <c r="R497" s="385"/>
      <c r="S497" s="385"/>
      <c r="T497" s="385"/>
      <c r="U497" s="385"/>
      <c r="V497"/>
      <c r="W497"/>
      <c r="X497"/>
      <c r="Y497"/>
    </row>
    <row r="498" spans="1:25" ht="15.75">
      <c r="A498" s="684"/>
      <c r="B498" s="687"/>
      <c r="C498" s="674"/>
      <c r="D498" s="675"/>
      <c r="E498" s="675"/>
      <c r="F498" s="675"/>
      <c r="G498" s="675"/>
      <c r="H498" s="676"/>
      <c r="I498" s="676"/>
      <c r="J498" s="675"/>
      <c r="K498" s="675"/>
      <c r="L498" s="675"/>
      <c r="M498" s="676"/>
      <c r="N498" s="676"/>
      <c r="O498" s="675"/>
      <c r="P498" s="675"/>
      <c r="Q498" s="676"/>
      <c r="R498" s="676"/>
      <c r="S498" s="676"/>
      <c r="T498" s="676"/>
      <c r="U498" s="676"/>
      <c r="V498"/>
      <c r="W498"/>
      <c r="X498"/>
      <c r="Y498"/>
    </row>
    <row r="499" spans="1:25" ht="15.75">
      <c r="A499" s="684"/>
      <c r="B499" s="688"/>
      <c r="C499" s="380"/>
      <c r="D499" s="381"/>
      <c r="E499" s="381"/>
      <c r="F499" s="381"/>
      <c r="G499" s="381"/>
      <c r="H499" s="382"/>
      <c r="I499" s="382"/>
      <c r="J499" s="381"/>
      <c r="K499" s="381"/>
      <c r="L499" s="381"/>
      <c r="M499" s="382"/>
      <c r="N499" s="382"/>
      <c r="O499" s="381"/>
      <c r="P499" s="381"/>
      <c r="Q499" s="382"/>
      <c r="R499" s="382"/>
      <c r="S499" s="382"/>
      <c r="T499" s="382"/>
      <c r="U499" s="382"/>
      <c r="V499"/>
      <c r="W499"/>
      <c r="X499"/>
      <c r="Y499"/>
    </row>
    <row r="500" spans="1:25" s="386" customFormat="1" ht="15.75">
      <c r="A500" s="684"/>
      <c r="B500" s="689"/>
      <c r="C500" s="383"/>
      <c r="D500" s="384"/>
      <c r="E500" s="384"/>
      <c r="F500" s="384"/>
      <c r="G500" s="384"/>
      <c r="H500" s="385"/>
      <c r="I500" s="385"/>
      <c r="J500" s="384"/>
      <c r="K500" s="384"/>
      <c r="L500" s="384"/>
      <c r="M500" s="385"/>
      <c r="N500" s="385"/>
      <c r="O500" s="384"/>
      <c r="P500" s="384"/>
      <c r="Q500" s="385"/>
      <c r="R500" s="385"/>
      <c r="S500" s="385"/>
      <c r="T500" s="385"/>
      <c r="U500" s="385"/>
      <c r="V500"/>
      <c r="W500"/>
      <c r="X500"/>
      <c r="Y500"/>
    </row>
    <row r="501" spans="1:25" ht="15.75">
      <c r="A501" s="684"/>
      <c r="B501" s="687"/>
      <c r="C501" s="674"/>
      <c r="D501" s="675"/>
      <c r="E501" s="675"/>
      <c r="F501" s="675"/>
      <c r="G501" s="675"/>
      <c r="H501" s="676"/>
      <c r="I501" s="676"/>
      <c r="J501" s="675"/>
      <c r="K501" s="675"/>
      <c r="L501" s="675"/>
      <c r="M501" s="676"/>
      <c r="N501" s="676"/>
      <c r="O501" s="675"/>
      <c r="P501" s="675"/>
      <c r="Q501" s="676"/>
      <c r="R501" s="676"/>
      <c r="S501" s="676"/>
      <c r="T501" s="676"/>
      <c r="U501" s="676"/>
      <c r="V501"/>
      <c r="W501"/>
      <c r="X501"/>
      <c r="Y501"/>
    </row>
    <row r="502" spans="1:25" ht="15.75">
      <c r="A502" s="684"/>
      <c r="B502" s="688"/>
      <c r="C502" s="380"/>
      <c r="D502" s="381"/>
      <c r="E502" s="381"/>
      <c r="F502" s="381"/>
      <c r="G502" s="381"/>
      <c r="H502" s="382"/>
      <c r="I502" s="382"/>
      <c r="J502" s="381"/>
      <c r="K502" s="381"/>
      <c r="L502" s="381"/>
      <c r="M502" s="382"/>
      <c r="N502" s="382"/>
      <c r="O502" s="381"/>
      <c r="P502" s="381"/>
      <c r="Q502" s="382"/>
      <c r="R502" s="382"/>
      <c r="S502" s="382"/>
      <c r="T502" s="382"/>
      <c r="U502" s="382"/>
      <c r="V502"/>
      <c r="W502"/>
      <c r="X502"/>
      <c r="Y502"/>
    </row>
    <row r="503" spans="1:25" s="386" customFormat="1" ht="15.75">
      <c r="A503" s="684"/>
      <c r="B503" s="689"/>
      <c r="C503" s="383"/>
      <c r="D503" s="384"/>
      <c r="E503" s="384"/>
      <c r="F503" s="384"/>
      <c r="G503" s="384"/>
      <c r="H503" s="385"/>
      <c r="I503" s="385"/>
      <c r="J503" s="384"/>
      <c r="K503" s="384"/>
      <c r="L503" s="384"/>
      <c r="M503" s="385"/>
      <c r="N503" s="385"/>
      <c r="O503" s="384"/>
      <c r="P503" s="384"/>
      <c r="Q503" s="385"/>
      <c r="R503" s="385"/>
      <c r="S503" s="385"/>
      <c r="T503" s="385"/>
      <c r="U503" s="385"/>
      <c r="V503"/>
      <c r="W503"/>
      <c r="X503"/>
      <c r="Y503"/>
    </row>
    <row r="504" spans="1:25" ht="15.75">
      <c r="A504" s="684"/>
      <c r="B504" s="687"/>
      <c r="C504" s="674"/>
      <c r="D504" s="675"/>
      <c r="E504" s="675"/>
      <c r="F504" s="675"/>
      <c r="G504" s="675"/>
      <c r="H504" s="676"/>
      <c r="I504" s="676"/>
      <c r="J504" s="675"/>
      <c r="K504" s="675"/>
      <c r="L504" s="675"/>
      <c r="M504" s="676"/>
      <c r="N504" s="676"/>
      <c r="O504" s="675"/>
      <c r="P504" s="675"/>
      <c r="Q504" s="676"/>
      <c r="R504" s="676"/>
      <c r="S504" s="676"/>
      <c r="T504" s="676"/>
      <c r="U504" s="676"/>
      <c r="V504"/>
      <c r="W504"/>
      <c r="X504"/>
      <c r="Y504"/>
    </row>
    <row r="505" spans="1:25" ht="15.75">
      <c r="A505" s="685"/>
      <c r="B505" s="690"/>
      <c r="C505" s="576"/>
      <c r="D505" s="577"/>
      <c r="E505" s="577"/>
      <c r="F505" s="577"/>
      <c r="G505" s="577"/>
      <c r="H505" s="578"/>
      <c r="I505" s="578"/>
      <c r="J505" s="577"/>
      <c r="K505" s="577"/>
      <c r="L505" s="577"/>
      <c r="M505" s="578"/>
      <c r="N505" s="578"/>
      <c r="O505" s="577"/>
      <c r="P505" s="577"/>
      <c r="Q505" s="578"/>
      <c r="R505" s="578"/>
      <c r="S505" s="578"/>
      <c r="T505" s="578"/>
      <c r="U505" s="578"/>
      <c r="V505"/>
      <c r="W505"/>
      <c r="X505"/>
      <c r="Y505"/>
    </row>
    <row r="506" spans="1:25" s="386" customFormat="1" ht="15.75">
      <c r="A506" s="683"/>
      <c r="B506" s="687"/>
      <c r="C506" s="674"/>
      <c r="D506" s="675"/>
      <c r="E506" s="675"/>
      <c r="F506" s="675"/>
      <c r="G506" s="675"/>
      <c r="H506" s="676"/>
      <c r="I506" s="676"/>
      <c r="J506" s="675"/>
      <c r="K506" s="675"/>
      <c r="L506" s="675"/>
      <c r="M506" s="676"/>
      <c r="N506" s="676"/>
      <c r="O506" s="675"/>
      <c r="P506" s="675"/>
      <c r="Q506" s="676"/>
      <c r="R506" s="676"/>
      <c r="S506" s="676"/>
      <c r="T506" s="676"/>
      <c r="U506" s="676"/>
      <c r="V506"/>
      <c r="W506"/>
      <c r="X506"/>
      <c r="Y506"/>
    </row>
    <row r="507" spans="1:25" ht="15.75">
      <c r="A507" s="684"/>
      <c r="B507" s="688"/>
      <c r="C507" s="380"/>
      <c r="D507" s="381"/>
      <c r="E507" s="381"/>
      <c r="F507" s="381"/>
      <c r="G507" s="381"/>
      <c r="H507" s="382"/>
      <c r="I507" s="382"/>
      <c r="J507" s="381"/>
      <c r="K507" s="381"/>
      <c r="L507" s="381"/>
      <c r="M507" s="382"/>
      <c r="N507" s="382"/>
      <c r="O507" s="381"/>
      <c r="P507" s="381"/>
      <c r="Q507" s="382"/>
      <c r="R507" s="382"/>
      <c r="S507" s="382"/>
      <c r="T507" s="382"/>
      <c r="U507" s="382"/>
      <c r="V507"/>
      <c r="W507"/>
      <c r="X507"/>
      <c r="Y507"/>
    </row>
    <row r="508" spans="1:25" ht="15.75">
      <c r="A508" s="684"/>
      <c r="B508" s="689"/>
      <c r="C508" s="383"/>
      <c r="D508" s="384"/>
      <c r="E508" s="384"/>
      <c r="F508" s="384"/>
      <c r="G508" s="384"/>
      <c r="H508" s="385"/>
      <c r="I508" s="385"/>
      <c r="J508" s="384"/>
      <c r="K508" s="384"/>
      <c r="L508" s="384"/>
      <c r="M508" s="385"/>
      <c r="N508" s="385"/>
      <c r="O508" s="692"/>
      <c r="P508" s="692"/>
      <c r="Q508" s="385"/>
      <c r="R508" s="385"/>
      <c r="S508" s="385"/>
      <c r="T508" s="385"/>
      <c r="U508" s="385"/>
      <c r="V508"/>
      <c r="W508"/>
      <c r="X508"/>
      <c r="Y508"/>
    </row>
    <row r="509" spans="1:25" s="386" customFormat="1" ht="15.75">
      <c r="A509" s="684"/>
      <c r="B509" s="687"/>
      <c r="C509" s="674"/>
      <c r="D509" s="675"/>
      <c r="E509" s="675"/>
      <c r="F509" s="675"/>
      <c r="G509" s="675"/>
      <c r="H509" s="676"/>
      <c r="I509" s="676"/>
      <c r="J509" s="675"/>
      <c r="K509" s="675"/>
      <c r="L509" s="675"/>
      <c r="M509" s="676"/>
      <c r="N509" s="676"/>
      <c r="O509" s="675"/>
      <c r="P509" s="675"/>
      <c r="Q509" s="676"/>
      <c r="R509" s="676"/>
      <c r="S509" s="676"/>
      <c r="T509" s="676"/>
      <c r="U509" s="676"/>
      <c r="V509"/>
      <c r="W509"/>
      <c r="X509"/>
      <c r="Y509"/>
    </row>
    <row r="510" spans="1:25" ht="15.75">
      <c r="A510" s="684"/>
      <c r="B510" s="688"/>
      <c r="C510" s="380"/>
      <c r="D510" s="381"/>
      <c r="E510" s="381"/>
      <c r="F510" s="381"/>
      <c r="G510" s="381"/>
      <c r="H510" s="382"/>
      <c r="I510" s="382"/>
      <c r="J510" s="381"/>
      <c r="K510" s="381"/>
      <c r="L510" s="381"/>
      <c r="M510" s="382"/>
      <c r="N510" s="382"/>
      <c r="O510" s="381"/>
      <c r="P510" s="381"/>
      <c r="Q510" s="382"/>
      <c r="R510" s="382"/>
      <c r="S510" s="382"/>
      <c r="T510" s="382"/>
      <c r="U510" s="382"/>
      <c r="V510"/>
      <c r="W510"/>
      <c r="X510"/>
      <c r="Y510"/>
    </row>
    <row r="511" spans="1:25" ht="15.75">
      <c r="A511" s="684"/>
      <c r="B511" s="689"/>
      <c r="C511" s="383"/>
      <c r="D511" s="384"/>
      <c r="E511" s="384"/>
      <c r="F511" s="384"/>
      <c r="G511" s="384"/>
      <c r="H511" s="385"/>
      <c r="I511" s="385"/>
      <c r="J511" s="384"/>
      <c r="K511" s="384"/>
      <c r="L511" s="384"/>
      <c r="M511" s="385"/>
      <c r="N511" s="385"/>
      <c r="O511" s="384"/>
      <c r="P511" s="384"/>
      <c r="Q511" s="385"/>
      <c r="R511" s="385"/>
      <c r="S511" s="385"/>
      <c r="T511" s="385"/>
      <c r="U511" s="385"/>
      <c r="V511"/>
      <c r="W511"/>
      <c r="X511"/>
      <c r="Y511"/>
    </row>
    <row r="512" spans="1:25" s="386" customFormat="1" ht="15.75">
      <c r="A512" s="684"/>
      <c r="B512" s="687"/>
      <c r="C512" s="674"/>
      <c r="D512" s="675"/>
      <c r="E512" s="675"/>
      <c r="F512" s="675"/>
      <c r="G512" s="675"/>
      <c r="H512" s="676"/>
      <c r="I512" s="676"/>
      <c r="J512" s="675"/>
      <c r="K512" s="675"/>
      <c r="L512" s="675"/>
      <c r="M512" s="676"/>
      <c r="N512" s="676"/>
      <c r="O512" s="675"/>
      <c r="P512" s="675"/>
      <c r="Q512" s="676"/>
      <c r="R512" s="676"/>
      <c r="S512" s="676"/>
      <c r="T512" s="676"/>
      <c r="U512" s="676"/>
      <c r="V512"/>
      <c r="W512"/>
      <c r="X512"/>
      <c r="Y512"/>
    </row>
    <row r="513" spans="1:25" ht="15.75">
      <c r="A513" s="684"/>
      <c r="B513" s="688"/>
      <c r="C513" s="380"/>
      <c r="D513" s="381"/>
      <c r="E513" s="381"/>
      <c r="F513" s="381"/>
      <c r="G513" s="381"/>
      <c r="H513" s="382"/>
      <c r="I513" s="382"/>
      <c r="J513" s="381"/>
      <c r="K513" s="381"/>
      <c r="L513" s="381"/>
      <c r="M513" s="382"/>
      <c r="N513" s="382"/>
      <c r="O513" s="381"/>
      <c r="P513" s="381"/>
      <c r="Q513" s="382"/>
      <c r="R513" s="382"/>
      <c r="S513" s="382"/>
      <c r="T513" s="382"/>
      <c r="U513" s="382"/>
      <c r="V513"/>
      <c r="W513"/>
      <c r="X513"/>
      <c r="Y513"/>
    </row>
    <row r="514" spans="1:25" ht="15.75">
      <c r="A514" s="684"/>
      <c r="B514" s="689"/>
      <c r="C514" s="383"/>
      <c r="D514" s="384"/>
      <c r="E514" s="384"/>
      <c r="F514" s="384"/>
      <c r="G514" s="384"/>
      <c r="H514" s="385"/>
      <c r="I514" s="385"/>
      <c r="J514" s="384"/>
      <c r="K514" s="384"/>
      <c r="L514" s="384"/>
      <c r="M514" s="385"/>
      <c r="N514" s="385"/>
      <c r="O514" s="384"/>
      <c r="P514" s="384"/>
      <c r="Q514" s="385"/>
      <c r="R514" s="385"/>
      <c r="S514" s="385"/>
      <c r="T514" s="385"/>
      <c r="U514" s="385"/>
      <c r="V514"/>
      <c r="W514"/>
      <c r="X514"/>
      <c r="Y514"/>
    </row>
    <row r="515" spans="1:25" s="386" customFormat="1" ht="15.75">
      <c r="A515" s="684"/>
      <c r="B515" s="687"/>
      <c r="C515" s="674"/>
      <c r="D515" s="675"/>
      <c r="E515" s="675"/>
      <c r="F515" s="675"/>
      <c r="G515" s="675"/>
      <c r="H515" s="676"/>
      <c r="I515" s="676"/>
      <c r="J515" s="675"/>
      <c r="K515" s="675"/>
      <c r="L515" s="675"/>
      <c r="M515" s="676"/>
      <c r="N515" s="676"/>
      <c r="O515" s="675"/>
      <c r="P515" s="675"/>
      <c r="Q515" s="676"/>
      <c r="R515" s="676"/>
      <c r="S515" s="676"/>
      <c r="T515" s="676"/>
      <c r="U515" s="676"/>
      <c r="V515"/>
      <c r="W515"/>
      <c r="X515"/>
      <c r="Y515"/>
    </row>
    <row r="516" spans="1:25" ht="15.75">
      <c r="A516" s="684"/>
      <c r="B516" s="688"/>
      <c r="C516" s="380"/>
      <c r="D516" s="381"/>
      <c r="E516" s="381"/>
      <c r="F516" s="381"/>
      <c r="G516" s="381"/>
      <c r="H516" s="382"/>
      <c r="I516" s="382"/>
      <c r="J516" s="381"/>
      <c r="K516" s="381"/>
      <c r="L516" s="381"/>
      <c r="M516" s="382"/>
      <c r="N516" s="382"/>
      <c r="O516" s="381"/>
      <c r="P516" s="381"/>
      <c r="Q516" s="382"/>
      <c r="R516" s="382"/>
      <c r="S516" s="382"/>
      <c r="T516" s="382"/>
      <c r="U516" s="382"/>
      <c r="V516"/>
      <c r="W516"/>
      <c r="X516"/>
      <c r="Y516"/>
    </row>
    <row r="517" spans="1:25" ht="15.75">
      <c r="A517" s="684"/>
      <c r="B517" s="689"/>
      <c r="C517" s="383"/>
      <c r="D517" s="384"/>
      <c r="E517" s="384"/>
      <c r="F517" s="384"/>
      <c r="G517" s="384"/>
      <c r="H517" s="385"/>
      <c r="I517" s="385"/>
      <c r="J517" s="384"/>
      <c r="K517" s="384"/>
      <c r="L517" s="384"/>
      <c r="M517" s="385"/>
      <c r="N517" s="385"/>
      <c r="O517" s="384"/>
      <c r="P517" s="384"/>
      <c r="Q517" s="385"/>
      <c r="R517" s="385"/>
      <c r="S517" s="385"/>
      <c r="T517" s="385"/>
      <c r="U517" s="385"/>
      <c r="V517"/>
      <c r="W517"/>
      <c r="X517"/>
      <c r="Y517"/>
    </row>
    <row r="518" spans="1:25" s="386" customFormat="1" ht="15.75">
      <c r="A518" s="684"/>
      <c r="B518" s="687"/>
      <c r="C518" s="674"/>
      <c r="D518" s="675"/>
      <c r="E518" s="675"/>
      <c r="F518" s="675"/>
      <c r="G518" s="675"/>
      <c r="H518" s="676"/>
      <c r="I518" s="676"/>
      <c r="J518" s="675"/>
      <c r="K518" s="675"/>
      <c r="L518" s="675"/>
      <c r="M518" s="676"/>
      <c r="N518" s="676"/>
      <c r="O518" s="675"/>
      <c r="P518" s="675"/>
      <c r="Q518" s="676"/>
      <c r="R518" s="676"/>
      <c r="S518" s="676"/>
      <c r="T518" s="676"/>
      <c r="U518" s="676"/>
      <c r="V518"/>
      <c r="W518"/>
      <c r="X518"/>
      <c r="Y518"/>
    </row>
    <row r="519" spans="1:25" ht="15.75">
      <c r="A519" s="684"/>
      <c r="B519" s="688"/>
      <c r="C519" s="380"/>
      <c r="D519" s="381"/>
      <c r="E519" s="381"/>
      <c r="F519" s="381"/>
      <c r="G519" s="381"/>
      <c r="H519" s="382"/>
      <c r="I519" s="382"/>
      <c r="J519" s="381"/>
      <c r="K519" s="381"/>
      <c r="L519" s="381"/>
      <c r="M519" s="382"/>
      <c r="N519" s="382"/>
      <c r="O519" s="381"/>
      <c r="P519" s="381"/>
      <c r="Q519" s="382"/>
      <c r="R519" s="382"/>
      <c r="S519" s="382"/>
      <c r="T519" s="382"/>
      <c r="U519" s="382"/>
      <c r="V519"/>
      <c r="W519"/>
      <c r="X519"/>
      <c r="Y519"/>
    </row>
    <row r="520" spans="1:25" ht="15.75">
      <c r="A520" s="684"/>
      <c r="B520" s="689"/>
      <c r="C520" s="692"/>
      <c r="D520" s="384"/>
      <c r="E520" s="384"/>
      <c r="F520" s="384"/>
      <c r="G520" s="384"/>
      <c r="H520" s="385"/>
      <c r="I520" s="385"/>
      <c r="J520" s="384"/>
      <c r="K520" s="384"/>
      <c r="L520" s="384"/>
      <c r="M520" s="385"/>
      <c r="N520" s="385"/>
      <c r="O520" s="384"/>
      <c r="P520" s="384"/>
      <c r="Q520" s="385"/>
      <c r="R520" s="385"/>
      <c r="S520" s="385"/>
      <c r="T520" s="385"/>
      <c r="U520" s="385"/>
      <c r="V520"/>
      <c r="W520"/>
      <c r="X520"/>
      <c r="Y520"/>
    </row>
    <row r="521" spans="1:25" s="386" customFormat="1" ht="15.75">
      <c r="A521" s="684"/>
      <c r="B521" s="687"/>
      <c r="C521" s="674"/>
      <c r="D521" s="675"/>
      <c r="E521" s="675"/>
      <c r="F521" s="675"/>
      <c r="G521" s="675"/>
      <c r="H521" s="676"/>
      <c r="I521" s="676"/>
      <c r="J521" s="675"/>
      <c r="K521" s="675"/>
      <c r="L521" s="675"/>
      <c r="M521" s="676"/>
      <c r="N521" s="676"/>
      <c r="O521" s="675"/>
      <c r="P521" s="675"/>
      <c r="Q521" s="676"/>
      <c r="R521" s="676"/>
      <c r="S521" s="676"/>
      <c r="T521" s="676"/>
      <c r="U521" s="676"/>
      <c r="V521"/>
      <c r="W521"/>
      <c r="X521"/>
      <c r="Y521"/>
    </row>
    <row r="522" spans="1:25" ht="15.75">
      <c r="A522" s="684"/>
      <c r="B522" s="688"/>
      <c r="C522" s="380"/>
      <c r="D522" s="381"/>
      <c r="E522" s="381"/>
      <c r="F522" s="381"/>
      <c r="G522" s="381"/>
      <c r="H522" s="382"/>
      <c r="I522" s="382"/>
      <c r="J522" s="381"/>
      <c r="K522" s="381"/>
      <c r="L522" s="381"/>
      <c r="M522" s="382"/>
      <c r="N522" s="382"/>
      <c r="O522" s="381"/>
      <c r="P522" s="381"/>
      <c r="Q522" s="382"/>
      <c r="R522" s="382"/>
      <c r="S522" s="382"/>
      <c r="T522" s="382"/>
      <c r="U522" s="382"/>
      <c r="V522"/>
      <c r="W522"/>
      <c r="X522"/>
      <c r="Y522"/>
    </row>
    <row r="523" spans="1:25" ht="15.75">
      <c r="A523" s="684"/>
      <c r="B523" s="689"/>
      <c r="C523" s="692"/>
      <c r="D523" s="384"/>
      <c r="E523" s="384"/>
      <c r="F523" s="384"/>
      <c r="G523" s="384"/>
      <c r="H523" s="385"/>
      <c r="I523" s="385"/>
      <c r="J523" s="384"/>
      <c r="K523" s="384"/>
      <c r="L523" s="384"/>
      <c r="M523" s="385"/>
      <c r="N523" s="385"/>
      <c r="O523" s="384"/>
      <c r="P523" s="384"/>
      <c r="Q523" s="385"/>
      <c r="R523" s="385"/>
      <c r="S523" s="385"/>
      <c r="T523" s="385"/>
      <c r="U523" s="385"/>
      <c r="V523"/>
      <c r="W523"/>
      <c r="X523"/>
      <c r="Y523"/>
    </row>
    <row r="524" spans="1:25" s="386" customFormat="1" ht="15.75">
      <c r="A524" s="684"/>
      <c r="B524" s="687"/>
      <c r="C524" s="674"/>
      <c r="D524" s="675"/>
      <c r="E524" s="675"/>
      <c r="F524" s="675"/>
      <c r="G524" s="675"/>
      <c r="H524" s="676"/>
      <c r="I524" s="676"/>
      <c r="J524" s="675"/>
      <c r="K524" s="675"/>
      <c r="L524" s="675"/>
      <c r="M524" s="676"/>
      <c r="N524" s="676"/>
      <c r="O524" s="675"/>
      <c r="P524" s="675"/>
      <c r="Q524" s="676"/>
      <c r="R524" s="676"/>
      <c r="S524" s="676"/>
      <c r="T524" s="676"/>
      <c r="U524" s="676"/>
      <c r="V524"/>
      <c r="W524"/>
      <c r="X524"/>
      <c r="Y524"/>
    </row>
    <row r="525" spans="1:25" ht="15.75">
      <c r="A525" s="684"/>
      <c r="B525" s="688"/>
      <c r="C525" s="380"/>
      <c r="D525" s="381"/>
      <c r="E525" s="381"/>
      <c r="F525" s="381"/>
      <c r="G525" s="381"/>
      <c r="H525" s="382"/>
      <c r="I525" s="382"/>
      <c r="J525" s="381"/>
      <c r="K525" s="381"/>
      <c r="L525" s="381"/>
      <c r="M525" s="382"/>
      <c r="N525" s="382"/>
      <c r="O525" s="381"/>
      <c r="P525" s="381"/>
      <c r="Q525" s="382"/>
      <c r="R525" s="382"/>
      <c r="S525" s="382"/>
      <c r="T525" s="382"/>
      <c r="U525" s="382"/>
      <c r="V525"/>
      <c r="W525"/>
      <c r="X525"/>
      <c r="Y525"/>
    </row>
    <row r="526" spans="1:25" ht="15.75">
      <c r="A526" s="684"/>
      <c r="B526" s="689"/>
      <c r="C526" s="383"/>
      <c r="D526" s="384"/>
      <c r="E526" s="384"/>
      <c r="F526" s="384"/>
      <c r="G526" s="384"/>
      <c r="H526" s="385"/>
      <c r="I526" s="385"/>
      <c r="J526" s="384"/>
      <c r="K526" s="384"/>
      <c r="L526" s="384"/>
      <c r="M526" s="385"/>
      <c r="N526" s="385"/>
      <c r="O526" s="384"/>
      <c r="P526" s="384"/>
      <c r="Q526" s="385"/>
      <c r="R526" s="385"/>
      <c r="S526" s="385"/>
      <c r="T526" s="385"/>
      <c r="U526" s="385"/>
      <c r="V526"/>
      <c r="W526"/>
      <c r="X526"/>
      <c r="Y526"/>
    </row>
    <row r="527" spans="1:25" s="386" customFormat="1" ht="15.75">
      <c r="A527" s="684"/>
      <c r="B527" s="687"/>
      <c r="C527" s="674"/>
      <c r="D527" s="675"/>
      <c r="E527" s="675"/>
      <c r="F527" s="675"/>
      <c r="G527" s="675"/>
      <c r="H527" s="676"/>
      <c r="I527" s="676"/>
      <c r="J527" s="675"/>
      <c r="K527" s="675"/>
      <c r="L527" s="675"/>
      <c r="M527" s="676"/>
      <c r="N527" s="676"/>
      <c r="O527" s="675"/>
      <c r="P527" s="675"/>
      <c r="Q527" s="676"/>
      <c r="R527" s="676"/>
      <c r="S527" s="676"/>
      <c r="T527" s="676"/>
      <c r="U527" s="676"/>
      <c r="V527"/>
      <c r="W527"/>
      <c r="X527"/>
      <c r="Y527"/>
    </row>
    <row r="528" spans="1:25" ht="15.75">
      <c r="A528" s="684"/>
      <c r="B528" s="688"/>
      <c r="C528" s="380"/>
      <c r="D528" s="381"/>
      <c r="E528" s="381"/>
      <c r="F528" s="381"/>
      <c r="G528" s="381"/>
      <c r="H528" s="382"/>
      <c r="I528" s="382"/>
      <c r="J528" s="381"/>
      <c r="K528" s="381"/>
      <c r="L528" s="381"/>
      <c r="M528" s="382"/>
      <c r="N528" s="382"/>
      <c r="O528" s="381"/>
      <c r="P528" s="381"/>
      <c r="Q528" s="382"/>
      <c r="R528" s="382"/>
      <c r="S528" s="382"/>
      <c r="T528" s="382"/>
      <c r="U528" s="382"/>
      <c r="V528"/>
      <c r="W528"/>
      <c r="X528"/>
      <c r="Y528"/>
    </row>
    <row r="529" spans="1:25" ht="15.75">
      <c r="A529" s="684"/>
      <c r="B529" s="689"/>
      <c r="C529" s="383"/>
      <c r="D529" s="384"/>
      <c r="E529" s="384"/>
      <c r="F529" s="384"/>
      <c r="G529" s="384"/>
      <c r="H529" s="385"/>
      <c r="I529" s="385"/>
      <c r="J529" s="384"/>
      <c r="K529" s="384"/>
      <c r="L529" s="384"/>
      <c r="M529" s="385"/>
      <c r="N529" s="385"/>
      <c r="O529" s="384"/>
      <c r="P529" s="384"/>
      <c r="Q529" s="385"/>
      <c r="R529" s="385"/>
      <c r="S529" s="385"/>
      <c r="T529" s="385"/>
      <c r="U529" s="385"/>
      <c r="V529"/>
      <c r="W529"/>
      <c r="X529"/>
      <c r="Y529"/>
    </row>
    <row r="530" spans="1:25" s="386" customFormat="1" ht="15.75">
      <c r="A530" s="684"/>
      <c r="B530" s="687"/>
      <c r="C530" s="674"/>
      <c r="D530" s="675"/>
      <c r="E530" s="675"/>
      <c r="F530" s="675"/>
      <c r="G530" s="675"/>
      <c r="H530" s="676"/>
      <c r="I530" s="676"/>
      <c r="J530" s="675"/>
      <c r="K530" s="675"/>
      <c r="L530" s="675"/>
      <c r="M530" s="676"/>
      <c r="N530" s="676"/>
      <c r="O530" s="675"/>
      <c r="P530" s="675"/>
      <c r="Q530" s="676"/>
      <c r="R530" s="676"/>
      <c r="S530" s="676"/>
      <c r="T530" s="676"/>
      <c r="U530" s="676"/>
      <c r="V530"/>
      <c r="W530"/>
      <c r="X530"/>
      <c r="Y530"/>
    </row>
    <row r="531" spans="1:25" ht="15.75">
      <c r="A531" s="684"/>
      <c r="B531" s="688"/>
      <c r="C531" s="380"/>
      <c r="D531" s="381"/>
      <c r="E531" s="381"/>
      <c r="F531" s="381"/>
      <c r="G531" s="381"/>
      <c r="H531" s="382"/>
      <c r="I531" s="382"/>
      <c r="J531" s="381"/>
      <c r="K531" s="381"/>
      <c r="L531" s="381"/>
      <c r="M531" s="382"/>
      <c r="N531" s="382"/>
      <c r="O531" s="381"/>
      <c r="P531" s="381"/>
      <c r="Q531" s="382"/>
      <c r="R531" s="382"/>
      <c r="S531" s="382"/>
      <c r="T531" s="382"/>
      <c r="U531" s="382"/>
      <c r="V531"/>
      <c r="W531"/>
      <c r="X531"/>
      <c r="Y531"/>
    </row>
    <row r="532" spans="1:25" ht="15.75">
      <c r="A532" s="684"/>
      <c r="B532" s="689"/>
      <c r="C532" s="383"/>
      <c r="D532" s="384"/>
      <c r="E532" s="384"/>
      <c r="F532" s="384"/>
      <c r="G532" s="384"/>
      <c r="H532" s="385"/>
      <c r="I532" s="385"/>
      <c r="J532" s="384"/>
      <c r="K532" s="384"/>
      <c r="L532" s="384"/>
      <c r="M532" s="385"/>
      <c r="N532" s="385"/>
      <c r="O532" s="384"/>
      <c r="P532" s="384"/>
      <c r="Q532" s="385"/>
      <c r="R532" s="385"/>
      <c r="S532" s="385"/>
      <c r="T532" s="385"/>
      <c r="U532" s="385"/>
      <c r="V532"/>
      <c r="W532"/>
      <c r="X532"/>
      <c r="Y532"/>
    </row>
    <row r="533" spans="1:25" s="386" customFormat="1" ht="15.75">
      <c r="A533" s="684"/>
      <c r="B533" s="687"/>
      <c r="C533" s="674"/>
      <c r="D533" s="675"/>
      <c r="E533" s="675"/>
      <c r="F533" s="675"/>
      <c r="G533" s="675"/>
      <c r="H533" s="676"/>
      <c r="I533" s="676"/>
      <c r="J533" s="675"/>
      <c r="K533" s="675"/>
      <c r="L533" s="675"/>
      <c r="M533" s="676"/>
      <c r="N533" s="676"/>
      <c r="O533" s="675"/>
      <c r="P533" s="675"/>
      <c r="Q533" s="676"/>
      <c r="R533" s="676"/>
      <c r="S533" s="676"/>
      <c r="T533" s="676"/>
      <c r="U533" s="676"/>
      <c r="V533"/>
      <c r="W533"/>
      <c r="X533"/>
      <c r="Y533"/>
    </row>
    <row r="534" spans="1:25" ht="15.75">
      <c r="A534" s="684"/>
      <c r="B534" s="688"/>
      <c r="C534" s="380"/>
      <c r="D534" s="381"/>
      <c r="E534" s="381"/>
      <c r="F534" s="381"/>
      <c r="G534" s="381"/>
      <c r="H534" s="382"/>
      <c r="I534" s="382"/>
      <c r="J534" s="381"/>
      <c r="K534" s="381"/>
      <c r="L534" s="381"/>
      <c r="M534" s="382"/>
      <c r="N534" s="382"/>
      <c r="O534" s="381"/>
      <c r="P534" s="381"/>
      <c r="Q534" s="382"/>
      <c r="R534" s="382"/>
      <c r="S534" s="382"/>
      <c r="T534" s="382"/>
      <c r="U534" s="382"/>
      <c r="V534"/>
      <c r="W534"/>
      <c r="X534"/>
      <c r="Y534"/>
    </row>
    <row r="535" spans="1:25" ht="15.75">
      <c r="A535" s="684"/>
      <c r="B535" s="689"/>
      <c r="C535" s="383"/>
      <c r="D535" s="384"/>
      <c r="E535" s="384"/>
      <c r="F535" s="384"/>
      <c r="G535" s="384"/>
      <c r="H535" s="385"/>
      <c r="I535" s="385"/>
      <c r="J535" s="384"/>
      <c r="K535" s="384"/>
      <c r="L535" s="384"/>
      <c r="M535" s="385"/>
      <c r="N535" s="385"/>
      <c r="O535" s="384"/>
      <c r="P535" s="384"/>
      <c r="Q535" s="385"/>
      <c r="R535" s="385"/>
      <c r="S535" s="385"/>
      <c r="T535" s="385"/>
      <c r="U535" s="385"/>
      <c r="V535"/>
      <c r="W535"/>
      <c r="X535"/>
      <c r="Y535"/>
    </row>
    <row r="536" spans="1:25" s="386" customFormat="1" ht="15.75">
      <c r="A536" s="684"/>
      <c r="B536" s="687"/>
      <c r="C536" s="674"/>
      <c r="D536" s="675"/>
      <c r="E536" s="675"/>
      <c r="F536" s="675"/>
      <c r="G536" s="675"/>
      <c r="H536" s="676"/>
      <c r="I536" s="676"/>
      <c r="J536" s="675"/>
      <c r="K536" s="675"/>
      <c r="L536" s="675"/>
      <c r="M536" s="676"/>
      <c r="N536" s="676"/>
      <c r="O536" s="675"/>
      <c r="P536" s="675"/>
      <c r="Q536" s="676"/>
      <c r="R536" s="676"/>
      <c r="S536" s="676"/>
      <c r="T536" s="676"/>
      <c r="U536" s="676"/>
      <c r="V536"/>
      <c r="W536"/>
      <c r="X536"/>
      <c r="Y536"/>
    </row>
    <row r="537" spans="1:25" ht="15.75">
      <c r="A537" s="684"/>
      <c r="B537" s="688"/>
      <c r="C537" s="380"/>
      <c r="D537" s="381"/>
      <c r="E537" s="381"/>
      <c r="F537" s="381"/>
      <c r="G537" s="381"/>
      <c r="H537" s="382"/>
      <c r="I537" s="382"/>
      <c r="J537" s="381"/>
      <c r="K537" s="381"/>
      <c r="L537" s="381"/>
      <c r="M537" s="382"/>
      <c r="N537" s="382"/>
      <c r="O537" s="381"/>
      <c r="P537" s="381"/>
      <c r="Q537" s="382"/>
      <c r="R537" s="382"/>
      <c r="S537" s="382"/>
      <c r="T537" s="382"/>
      <c r="U537" s="382"/>
      <c r="V537"/>
      <c r="W537"/>
      <c r="X537"/>
      <c r="Y537"/>
    </row>
    <row r="538" spans="1:25" ht="15.75">
      <c r="A538" s="684"/>
      <c r="B538" s="689"/>
      <c r="C538" s="383"/>
      <c r="D538" s="384"/>
      <c r="E538" s="384"/>
      <c r="F538" s="384"/>
      <c r="G538" s="384"/>
      <c r="H538" s="385"/>
      <c r="I538" s="385"/>
      <c r="J538" s="384"/>
      <c r="K538" s="384"/>
      <c r="L538" s="384"/>
      <c r="M538" s="385"/>
      <c r="N538" s="385"/>
      <c r="O538" s="384"/>
      <c r="P538" s="384"/>
      <c r="Q538" s="385"/>
      <c r="R538" s="385"/>
      <c r="S538" s="385"/>
      <c r="T538" s="385"/>
      <c r="U538" s="385"/>
      <c r="V538"/>
      <c r="W538"/>
      <c r="X538"/>
      <c r="Y538"/>
    </row>
    <row r="539" spans="1:25" s="386" customFormat="1" ht="15.75">
      <c r="A539" s="684"/>
      <c r="B539" s="687"/>
      <c r="C539" s="674"/>
      <c r="D539" s="675"/>
      <c r="E539" s="675"/>
      <c r="F539" s="675"/>
      <c r="G539" s="675"/>
      <c r="H539" s="676"/>
      <c r="I539" s="676"/>
      <c r="J539" s="675"/>
      <c r="K539" s="675"/>
      <c r="L539" s="675"/>
      <c r="M539" s="676"/>
      <c r="N539" s="676"/>
      <c r="O539" s="675"/>
      <c r="P539" s="675"/>
      <c r="Q539" s="676"/>
      <c r="R539" s="676"/>
      <c r="S539" s="676"/>
      <c r="T539" s="676"/>
      <c r="U539" s="676"/>
      <c r="V539"/>
      <c r="W539"/>
      <c r="X539"/>
      <c r="Y539"/>
    </row>
    <row r="540" spans="1:25" ht="15.75">
      <c r="A540" s="684"/>
      <c r="B540" s="688"/>
      <c r="C540" s="380"/>
      <c r="D540" s="381"/>
      <c r="E540" s="381"/>
      <c r="F540" s="381"/>
      <c r="G540" s="381"/>
      <c r="H540" s="382"/>
      <c r="I540" s="382"/>
      <c r="J540" s="381"/>
      <c r="K540" s="381"/>
      <c r="L540" s="381"/>
      <c r="M540" s="382"/>
      <c r="N540" s="382"/>
      <c r="O540" s="381"/>
      <c r="P540" s="381"/>
      <c r="Q540" s="382"/>
      <c r="R540" s="382"/>
      <c r="S540" s="382"/>
      <c r="T540" s="382"/>
      <c r="U540" s="382"/>
      <c r="V540"/>
      <c r="W540"/>
      <c r="X540"/>
      <c r="Y540"/>
    </row>
    <row r="541" spans="1:25" ht="15.75">
      <c r="A541" s="684"/>
      <c r="B541" s="689"/>
      <c r="C541" s="383"/>
      <c r="D541" s="384"/>
      <c r="E541" s="384"/>
      <c r="F541" s="384"/>
      <c r="G541" s="384"/>
      <c r="H541" s="385"/>
      <c r="I541" s="385"/>
      <c r="J541" s="384"/>
      <c r="K541" s="384"/>
      <c r="L541" s="384"/>
      <c r="M541" s="385"/>
      <c r="N541" s="385"/>
      <c r="O541" s="384"/>
      <c r="P541" s="384"/>
      <c r="Q541" s="385"/>
      <c r="R541" s="385"/>
      <c r="S541" s="385"/>
      <c r="T541" s="385"/>
      <c r="U541" s="385"/>
      <c r="V541"/>
      <c r="W541"/>
      <c r="X541"/>
      <c r="Y541"/>
    </row>
    <row r="542" spans="1:25" s="386" customFormat="1" ht="15.75">
      <c r="A542" s="684"/>
      <c r="B542" s="687"/>
      <c r="C542" s="674"/>
      <c r="D542" s="675"/>
      <c r="E542" s="675"/>
      <c r="F542" s="675"/>
      <c r="G542" s="675"/>
      <c r="H542" s="676"/>
      <c r="I542" s="676"/>
      <c r="J542" s="675"/>
      <c r="K542" s="675"/>
      <c r="L542" s="675"/>
      <c r="M542" s="676"/>
      <c r="N542" s="676"/>
      <c r="O542" s="675"/>
      <c r="P542" s="675"/>
      <c r="Q542" s="676"/>
      <c r="R542" s="676"/>
      <c r="S542" s="676"/>
      <c r="T542" s="676"/>
      <c r="U542" s="676"/>
      <c r="V542"/>
      <c r="W542"/>
      <c r="X542"/>
      <c r="Y542"/>
    </row>
    <row r="543" spans="1:25" ht="15.75">
      <c r="A543" s="684"/>
      <c r="B543" s="688"/>
      <c r="C543" s="380"/>
      <c r="D543" s="381"/>
      <c r="E543" s="381"/>
      <c r="F543" s="381"/>
      <c r="G543" s="381"/>
      <c r="H543" s="382"/>
      <c r="I543" s="382"/>
      <c r="J543" s="381"/>
      <c r="K543" s="381"/>
      <c r="L543" s="381"/>
      <c r="M543" s="382"/>
      <c r="N543" s="382"/>
      <c r="O543" s="381"/>
      <c r="P543" s="381"/>
      <c r="Q543" s="382"/>
      <c r="R543" s="382"/>
      <c r="S543" s="382"/>
      <c r="T543" s="382"/>
      <c r="U543" s="382"/>
      <c r="V543"/>
      <c r="W543"/>
      <c r="X543"/>
      <c r="Y543"/>
    </row>
    <row r="544" spans="1:25" ht="15.75">
      <c r="A544" s="684"/>
      <c r="B544" s="689"/>
      <c r="C544" s="383"/>
      <c r="D544" s="384"/>
      <c r="E544" s="384"/>
      <c r="F544" s="384"/>
      <c r="G544" s="384"/>
      <c r="H544" s="385"/>
      <c r="I544" s="385"/>
      <c r="J544" s="384"/>
      <c r="K544" s="384"/>
      <c r="L544" s="384"/>
      <c r="M544" s="385"/>
      <c r="N544" s="385"/>
      <c r="O544" s="384"/>
      <c r="P544" s="384"/>
      <c r="Q544" s="385"/>
      <c r="R544" s="385"/>
      <c r="S544" s="385"/>
      <c r="T544" s="385"/>
      <c r="U544" s="385"/>
      <c r="V544"/>
      <c r="W544"/>
      <c r="X544"/>
      <c r="Y544"/>
    </row>
    <row r="545" spans="1:25" s="386" customFormat="1" ht="15.75">
      <c r="A545" s="684"/>
      <c r="B545" s="687"/>
      <c r="C545" s="674"/>
      <c r="D545" s="675"/>
      <c r="E545" s="675"/>
      <c r="F545" s="675"/>
      <c r="G545" s="675"/>
      <c r="H545" s="676"/>
      <c r="I545" s="676"/>
      <c r="J545" s="675"/>
      <c r="K545" s="675"/>
      <c r="L545" s="675"/>
      <c r="M545" s="676"/>
      <c r="N545" s="676"/>
      <c r="O545" s="675"/>
      <c r="P545" s="675"/>
      <c r="Q545" s="676"/>
      <c r="R545" s="676"/>
      <c r="S545" s="676"/>
      <c r="T545" s="676"/>
      <c r="U545" s="676"/>
      <c r="V545"/>
      <c r="W545"/>
      <c r="X545"/>
      <c r="Y545"/>
    </row>
    <row r="546" spans="1:25" ht="15.75">
      <c r="A546" s="684"/>
      <c r="B546" s="688"/>
      <c r="C546" s="380"/>
      <c r="D546" s="381"/>
      <c r="E546" s="381"/>
      <c r="F546" s="381"/>
      <c r="G546" s="381"/>
      <c r="H546" s="382"/>
      <c r="I546" s="382"/>
      <c r="J546" s="381"/>
      <c r="K546" s="381"/>
      <c r="L546" s="381"/>
      <c r="M546" s="382"/>
      <c r="N546" s="382"/>
      <c r="O546" s="381"/>
      <c r="P546" s="381"/>
      <c r="Q546" s="382"/>
      <c r="R546" s="382"/>
      <c r="S546" s="382"/>
      <c r="T546" s="382"/>
      <c r="U546" s="382"/>
      <c r="V546"/>
      <c r="W546"/>
      <c r="X546"/>
      <c r="Y546"/>
    </row>
    <row r="547" spans="1:25" ht="15.75">
      <c r="A547" s="684"/>
      <c r="B547" s="689"/>
      <c r="C547" s="383"/>
      <c r="D547" s="384"/>
      <c r="E547" s="384"/>
      <c r="F547" s="384"/>
      <c r="G547" s="384"/>
      <c r="H547" s="385"/>
      <c r="I547" s="385"/>
      <c r="J547" s="384"/>
      <c r="K547" s="384"/>
      <c r="L547" s="384"/>
      <c r="M547" s="385"/>
      <c r="N547" s="385"/>
      <c r="O547" s="384"/>
      <c r="P547" s="384"/>
      <c r="Q547" s="385"/>
      <c r="R547" s="385"/>
      <c r="S547" s="385"/>
      <c r="T547" s="385"/>
      <c r="U547" s="385"/>
      <c r="V547"/>
      <c r="W547"/>
      <c r="X547"/>
      <c r="Y547"/>
    </row>
    <row r="548" spans="1:25" s="386" customFormat="1" ht="15.75">
      <c r="A548" s="684"/>
      <c r="B548" s="687"/>
      <c r="C548" s="674"/>
      <c r="D548" s="675"/>
      <c r="E548" s="675"/>
      <c r="F548" s="675"/>
      <c r="G548" s="675"/>
      <c r="H548" s="676"/>
      <c r="I548" s="676"/>
      <c r="J548" s="675"/>
      <c r="K548" s="675"/>
      <c r="L548" s="675"/>
      <c r="M548" s="676"/>
      <c r="N548" s="676"/>
      <c r="O548" s="675"/>
      <c r="P548" s="675"/>
      <c r="Q548" s="676"/>
      <c r="R548" s="676"/>
      <c r="S548" s="676"/>
      <c r="T548" s="676"/>
      <c r="U548" s="676"/>
      <c r="V548"/>
      <c r="W548"/>
      <c r="X548"/>
      <c r="Y548"/>
    </row>
    <row r="549" spans="1:25" ht="15.75">
      <c r="A549" s="684"/>
      <c r="B549" s="688"/>
      <c r="C549" s="380"/>
      <c r="D549" s="381"/>
      <c r="E549" s="381"/>
      <c r="F549" s="381"/>
      <c r="G549" s="381"/>
      <c r="H549" s="382"/>
      <c r="I549" s="382"/>
      <c r="J549" s="381"/>
      <c r="K549" s="381"/>
      <c r="L549" s="381"/>
      <c r="M549" s="382"/>
      <c r="N549" s="382"/>
      <c r="O549" s="381"/>
      <c r="P549" s="381"/>
      <c r="Q549" s="382"/>
      <c r="R549" s="382"/>
      <c r="S549" s="382"/>
      <c r="T549" s="382"/>
      <c r="U549" s="382"/>
      <c r="V549"/>
      <c r="W549"/>
      <c r="X549"/>
      <c r="Y549"/>
    </row>
    <row r="550" spans="1:25" ht="15.75">
      <c r="A550" s="684"/>
      <c r="B550" s="689"/>
      <c r="C550" s="383"/>
      <c r="D550" s="384"/>
      <c r="E550" s="384"/>
      <c r="F550" s="384"/>
      <c r="G550" s="384"/>
      <c r="H550" s="385"/>
      <c r="I550" s="385"/>
      <c r="J550" s="384"/>
      <c r="K550" s="384"/>
      <c r="L550" s="384"/>
      <c r="M550" s="385"/>
      <c r="N550" s="385"/>
      <c r="O550" s="384"/>
      <c r="P550" s="384"/>
      <c r="Q550" s="385"/>
      <c r="R550" s="385"/>
      <c r="S550" s="385"/>
      <c r="T550" s="385"/>
      <c r="U550" s="385"/>
      <c r="V550"/>
      <c r="W550"/>
      <c r="X550"/>
      <c r="Y550"/>
    </row>
    <row r="551" spans="1:25" s="386" customFormat="1" ht="15.75">
      <c r="A551" s="684"/>
      <c r="B551" s="687"/>
      <c r="C551" s="674"/>
      <c r="D551" s="675"/>
      <c r="E551" s="675"/>
      <c r="F551" s="675"/>
      <c r="G551" s="675"/>
      <c r="H551" s="676"/>
      <c r="I551" s="676"/>
      <c r="J551" s="675"/>
      <c r="K551" s="675"/>
      <c r="L551" s="675"/>
      <c r="M551" s="676"/>
      <c r="N551" s="676"/>
      <c r="O551" s="675"/>
      <c r="P551" s="675"/>
      <c r="Q551" s="676"/>
      <c r="R551" s="676"/>
      <c r="S551" s="676"/>
      <c r="T551" s="676"/>
      <c r="U551" s="676"/>
      <c r="V551"/>
      <c r="W551"/>
      <c r="X551"/>
      <c r="Y551"/>
    </row>
    <row r="552" spans="1:25" ht="15.75">
      <c r="A552" s="684"/>
      <c r="B552" s="688"/>
      <c r="C552" s="380"/>
      <c r="D552" s="381"/>
      <c r="E552" s="381"/>
      <c r="F552" s="381"/>
      <c r="G552" s="381"/>
      <c r="H552" s="382"/>
      <c r="I552" s="382"/>
      <c r="J552" s="381"/>
      <c r="K552" s="381"/>
      <c r="L552" s="381"/>
      <c r="M552" s="382"/>
      <c r="N552" s="382"/>
      <c r="O552" s="381"/>
      <c r="P552" s="381"/>
      <c r="Q552" s="382"/>
      <c r="R552" s="382"/>
      <c r="S552" s="382"/>
      <c r="T552" s="382"/>
      <c r="U552" s="382"/>
      <c r="V552"/>
      <c r="W552"/>
      <c r="X552"/>
      <c r="Y552"/>
    </row>
    <row r="553" spans="1:25" ht="15.75">
      <c r="A553" s="684"/>
      <c r="B553" s="689"/>
      <c r="C553" s="383"/>
      <c r="D553" s="384"/>
      <c r="E553" s="384"/>
      <c r="F553" s="384"/>
      <c r="G553" s="384"/>
      <c r="H553" s="385"/>
      <c r="I553" s="385"/>
      <c r="J553" s="384"/>
      <c r="K553" s="384"/>
      <c r="L553" s="384"/>
      <c r="M553" s="385"/>
      <c r="N553" s="385"/>
      <c r="O553" s="384"/>
      <c r="P553" s="384"/>
      <c r="Q553" s="385"/>
      <c r="R553" s="385"/>
      <c r="S553" s="385"/>
      <c r="T553" s="385"/>
      <c r="U553" s="385"/>
      <c r="V553"/>
      <c r="W553"/>
      <c r="X553"/>
      <c r="Y553"/>
    </row>
    <row r="554" spans="1:25" s="386" customFormat="1" ht="15.75">
      <c r="A554" s="684"/>
      <c r="B554" s="687"/>
      <c r="C554" s="674"/>
      <c r="D554" s="675"/>
      <c r="E554" s="675"/>
      <c r="F554" s="675"/>
      <c r="G554" s="675"/>
      <c r="H554" s="676"/>
      <c r="I554" s="676"/>
      <c r="J554" s="675"/>
      <c r="K554" s="675"/>
      <c r="L554" s="675"/>
      <c r="M554" s="676"/>
      <c r="N554" s="676"/>
      <c r="O554" s="675"/>
      <c r="P554" s="675"/>
      <c r="Q554" s="676"/>
      <c r="R554" s="676"/>
      <c r="S554" s="676"/>
      <c r="T554" s="676"/>
      <c r="U554" s="676"/>
      <c r="V554"/>
      <c r="W554"/>
      <c r="X554"/>
      <c r="Y554"/>
    </row>
    <row r="555" spans="1:25" ht="15.75">
      <c r="A555" s="685"/>
      <c r="B555" s="690"/>
      <c r="C555" s="576"/>
      <c r="D555" s="577"/>
      <c r="E555" s="577"/>
      <c r="F555" s="577"/>
      <c r="G555" s="577"/>
      <c r="H555" s="578"/>
      <c r="I555" s="578"/>
      <c r="J555" s="577"/>
      <c r="K555" s="577"/>
      <c r="L555" s="577"/>
      <c r="M555" s="578"/>
      <c r="N555" s="578"/>
      <c r="O555" s="577"/>
      <c r="P555" s="577"/>
      <c r="Q555" s="578"/>
      <c r="R555" s="578"/>
      <c r="S555" s="578"/>
      <c r="T555" s="578"/>
      <c r="U555" s="578"/>
      <c r="V555"/>
      <c r="W555"/>
      <c r="X555"/>
      <c r="Y555"/>
    </row>
    <row r="556" spans="1:25" ht="15.75">
      <c r="A556" s="683"/>
      <c r="B556" s="687"/>
      <c r="C556" s="674"/>
      <c r="D556" s="675"/>
      <c r="E556" s="675"/>
      <c r="F556" s="675"/>
      <c r="G556" s="675"/>
      <c r="H556" s="676"/>
      <c r="I556" s="676"/>
      <c r="J556" s="675"/>
      <c r="K556" s="675"/>
      <c r="L556" s="675"/>
      <c r="M556" s="676"/>
      <c r="N556" s="676"/>
      <c r="O556" s="675"/>
      <c r="P556" s="675"/>
      <c r="Q556" s="676"/>
      <c r="R556" s="676"/>
      <c r="S556" s="676"/>
      <c r="T556" s="676"/>
      <c r="U556" s="676"/>
      <c r="V556"/>
      <c r="W556"/>
      <c r="X556"/>
      <c r="Y556"/>
    </row>
    <row r="557" spans="1:25" s="386" customFormat="1" ht="15.75">
      <c r="A557" s="684"/>
      <c r="B557" s="688"/>
      <c r="C557" s="380"/>
      <c r="D557" s="381"/>
      <c r="E557" s="381"/>
      <c r="F557" s="381"/>
      <c r="G557" s="381"/>
      <c r="H557" s="382"/>
      <c r="I557" s="382"/>
      <c r="J557" s="381"/>
      <c r="K557" s="381"/>
      <c r="L557" s="381"/>
      <c r="M557" s="382"/>
      <c r="N557" s="382"/>
      <c r="O557" s="381"/>
      <c r="P557" s="381"/>
      <c r="Q557" s="382"/>
      <c r="R557" s="382"/>
      <c r="S557" s="382"/>
      <c r="T557" s="382"/>
      <c r="U557" s="382"/>
      <c r="V557"/>
      <c r="W557"/>
      <c r="X557"/>
      <c r="Y557"/>
    </row>
    <row r="558" spans="1:25" ht="15.75">
      <c r="A558" s="684"/>
      <c r="B558" s="689"/>
      <c r="C558" s="383"/>
      <c r="D558" s="384"/>
      <c r="E558" s="384"/>
      <c r="F558" s="384"/>
      <c r="G558" s="384"/>
      <c r="H558" s="385"/>
      <c r="I558" s="385"/>
      <c r="J558" s="384"/>
      <c r="K558" s="384"/>
      <c r="L558" s="384"/>
      <c r="M558" s="385"/>
      <c r="N558" s="385"/>
      <c r="O558" s="384"/>
      <c r="P558" s="384"/>
      <c r="Q558" s="385"/>
      <c r="R558" s="385"/>
      <c r="S558" s="385"/>
      <c r="T558" s="385"/>
      <c r="U558" s="385"/>
      <c r="V558"/>
      <c r="W558"/>
      <c r="X558"/>
      <c r="Y558"/>
    </row>
    <row r="559" spans="1:25" ht="15.75">
      <c r="A559" s="684"/>
      <c r="B559" s="687"/>
      <c r="C559" s="674"/>
      <c r="D559" s="675"/>
      <c r="E559" s="675"/>
      <c r="F559" s="675"/>
      <c r="G559" s="675"/>
      <c r="H559" s="676"/>
      <c r="I559" s="676"/>
      <c r="J559" s="675"/>
      <c r="K559" s="675"/>
      <c r="L559" s="675"/>
      <c r="M559" s="676"/>
      <c r="N559" s="676"/>
      <c r="O559" s="675"/>
      <c r="P559" s="675"/>
      <c r="Q559" s="676"/>
      <c r="R559" s="676"/>
      <c r="S559" s="676"/>
      <c r="T559" s="676"/>
      <c r="U559" s="676"/>
      <c r="V559"/>
      <c r="W559"/>
      <c r="X559"/>
      <c r="Y559"/>
    </row>
    <row r="560" spans="1:25" s="386" customFormat="1" ht="15.75">
      <c r="A560" s="684"/>
      <c r="B560" s="688"/>
      <c r="C560" s="380"/>
      <c r="D560" s="381"/>
      <c r="E560" s="381"/>
      <c r="F560" s="381"/>
      <c r="G560" s="381"/>
      <c r="H560" s="382"/>
      <c r="I560" s="382"/>
      <c r="J560" s="381"/>
      <c r="K560" s="381"/>
      <c r="L560" s="381"/>
      <c r="M560" s="382"/>
      <c r="N560" s="382"/>
      <c r="O560" s="381"/>
      <c r="P560" s="381"/>
      <c r="Q560" s="382"/>
      <c r="R560" s="382"/>
      <c r="S560" s="382"/>
      <c r="T560" s="382"/>
      <c r="U560" s="382"/>
      <c r="V560"/>
      <c r="W560"/>
      <c r="X560"/>
      <c r="Y560"/>
    </row>
    <row r="561" spans="1:25" ht="15.75">
      <c r="A561" s="684"/>
      <c r="B561" s="689"/>
      <c r="C561" s="383"/>
      <c r="D561" s="384"/>
      <c r="E561" s="384"/>
      <c r="F561" s="384"/>
      <c r="G561" s="384"/>
      <c r="H561" s="385"/>
      <c r="I561" s="385"/>
      <c r="J561" s="384"/>
      <c r="K561" s="384"/>
      <c r="L561" s="384"/>
      <c r="M561" s="385"/>
      <c r="N561" s="385"/>
      <c r="O561" s="384"/>
      <c r="P561" s="384"/>
      <c r="Q561" s="385"/>
      <c r="R561" s="385"/>
      <c r="S561" s="385"/>
      <c r="T561" s="385"/>
      <c r="U561" s="385"/>
      <c r="V561"/>
      <c r="W561"/>
      <c r="X561"/>
      <c r="Y561"/>
    </row>
    <row r="562" spans="1:25" ht="15.75">
      <c r="A562" s="684"/>
      <c r="B562" s="687"/>
      <c r="C562" s="674"/>
      <c r="D562" s="675"/>
      <c r="E562" s="675"/>
      <c r="F562" s="675"/>
      <c r="G562" s="675"/>
      <c r="H562" s="676"/>
      <c r="I562" s="676"/>
      <c r="J562" s="675"/>
      <c r="K562" s="675"/>
      <c r="L562" s="675"/>
      <c r="M562" s="676"/>
      <c r="N562" s="676"/>
      <c r="O562" s="675"/>
      <c r="P562" s="675"/>
      <c r="Q562" s="676"/>
      <c r="R562" s="676"/>
      <c r="S562" s="676"/>
      <c r="T562" s="676"/>
      <c r="U562" s="676"/>
      <c r="V562"/>
      <c r="W562"/>
      <c r="X562"/>
      <c r="Y562"/>
    </row>
    <row r="563" spans="1:25" s="386" customFormat="1" ht="15.75">
      <c r="A563" s="684"/>
      <c r="B563" s="688"/>
      <c r="C563" s="380"/>
      <c r="D563" s="381"/>
      <c r="E563" s="381"/>
      <c r="F563" s="381"/>
      <c r="G563" s="381"/>
      <c r="H563" s="382"/>
      <c r="I563" s="382"/>
      <c r="J563" s="381"/>
      <c r="K563" s="381"/>
      <c r="L563" s="381"/>
      <c r="M563" s="382"/>
      <c r="N563" s="382"/>
      <c r="O563" s="381"/>
      <c r="P563" s="381"/>
      <c r="Q563" s="382"/>
      <c r="R563" s="382"/>
      <c r="S563" s="382"/>
      <c r="T563" s="382"/>
      <c r="U563" s="382"/>
      <c r="V563"/>
      <c r="W563"/>
      <c r="X563"/>
      <c r="Y563"/>
    </row>
    <row r="564" spans="1:25" ht="15.75">
      <c r="A564" s="684"/>
      <c r="B564" s="689"/>
      <c r="C564" s="383"/>
      <c r="D564" s="384"/>
      <c r="E564" s="384"/>
      <c r="F564" s="384"/>
      <c r="G564" s="384"/>
      <c r="H564" s="385"/>
      <c r="I564" s="385"/>
      <c r="J564" s="384"/>
      <c r="K564" s="384"/>
      <c r="L564" s="384"/>
      <c r="M564" s="385"/>
      <c r="N564" s="385"/>
      <c r="O564" s="384"/>
      <c r="P564" s="384"/>
      <c r="Q564" s="385"/>
      <c r="R564" s="385"/>
      <c r="S564" s="385"/>
      <c r="T564" s="385"/>
      <c r="U564" s="385"/>
      <c r="V564"/>
      <c r="W564"/>
      <c r="X564"/>
      <c r="Y564"/>
    </row>
    <row r="565" spans="1:25" ht="15.75">
      <c r="A565" s="684"/>
      <c r="B565" s="687"/>
      <c r="C565" s="674"/>
      <c r="D565" s="675"/>
      <c r="E565" s="675"/>
      <c r="F565" s="675"/>
      <c r="G565" s="675"/>
      <c r="H565" s="676"/>
      <c r="I565" s="676"/>
      <c r="J565" s="675"/>
      <c r="K565" s="675"/>
      <c r="L565" s="675"/>
      <c r="M565" s="676"/>
      <c r="N565" s="676"/>
      <c r="O565" s="675"/>
      <c r="P565" s="675"/>
      <c r="Q565" s="676"/>
      <c r="R565" s="676"/>
      <c r="S565" s="676"/>
      <c r="T565" s="676"/>
      <c r="U565" s="676"/>
      <c r="V565"/>
      <c r="W565"/>
      <c r="X565"/>
      <c r="Y565"/>
    </row>
    <row r="566" spans="1:25" s="386" customFormat="1" ht="15.75">
      <c r="A566" s="684"/>
      <c r="B566" s="688"/>
      <c r="C566" s="380"/>
      <c r="D566" s="381"/>
      <c r="E566" s="381"/>
      <c r="F566" s="381"/>
      <c r="G566" s="381"/>
      <c r="H566" s="382"/>
      <c r="I566" s="382"/>
      <c r="J566" s="381"/>
      <c r="K566" s="381"/>
      <c r="L566" s="381"/>
      <c r="M566" s="382"/>
      <c r="N566" s="382"/>
      <c r="O566" s="381"/>
      <c r="P566" s="381"/>
      <c r="Q566" s="382"/>
      <c r="R566" s="382"/>
      <c r="S566" s="382"/>
      <c r="T566" s="382"/>
      <c r="U566" s="382"/>
      <c r="V566"/>
      <c r="W566"/>
      <c r="X566"/>
      <c r="Y566"/>
    </row>
    <row r="567" spans="1:25" ht="15.75">
      <c r="A567" s="684"/>
      <c r="B567" s="689"/>
      <c r="C567" s="383"/>
      <c r="D567" s="384"/>
      <c r="E567" s="384"/>
      <c r="F567" s="384"/>
      <c r="G567" s="384"/>
      <c r="H567" s="385"/>
      <c r="I567" s="385"/>
      <c r="J567" s="384"/>
      <c r="K567" s="384"/>
      <c r="L567" s="384"/>
      <c r="M567" s="385"/>
      <c r="N567" s="385"/>
      <c r="O567" s="384"/>
      <c r="P567" s="384"/>
      <c r="Q567" s="385"/>
      <c r="R567" s="385"/>
      <c r="S567" s="385"/>
      <c r="T567" s="385"/>
      <c r="U567" s="385"/>
      <c r="V567"/>
      <c r="W567"/>
      <c r="X567"/>
      <c r="Y567"/>
    </row>
    <row r="568" spans="1:25" ht="15.75">
      <c r="A568" s="684"/>
      <c r="B568" s="687"/>
      <c r="C568" s="674"/>
      <c r="D568" s="675"/>
      <c r="E568" s="675"/>
      <c r="F568" s="675"/>
      <c r="G568" s="675"/>
      <c r="H568" s="676"/>
      <c r="I568" s="676"/>
      <c r="J568" s="675"/>
      <c r="K568" s="675"/>
      <c r="L568" s="675"/>
      <c r="M568" s="676"/>
      <c r="N568" s="676"/>
      <c r="O568" s="675"/>
      <c r="P568" s="675"/>
      <c r="Q568" s="676"/>
      <c r="R568" s="676"/>
      <c r="S568" s="676"/>
      <c r="T568" s="676"/>
      <c r="U568" s="676"/>
      <c r="V568"/>
      <c r="W568"/>
      <c r="X568"/>
      <c r="Y568"/>
    </row>
    <row r="569" spans="1:25" s="386" customFormat="1" ht="15.75">
      <c r="A569" s="684"/>
      <c r="B569" s="688"/>
      <c r="C569" s="380"/>
      <c r="D569" s="381"/>
      <c r="E569" s="381"/>
      <c r="F569" s="381"/>
      <c r="G569" s="381"/>
      <c r="H569" s="382"/>
      <c r="I569" s="382"/>
      <c r="J569" s="381"/>
      <c r="K569" s="381"/>
      <c r="L569" s="381"/>
      <c r="M569" s="382"/>
      <c r="N569" s="382"/>
      <c r="O569" s="381"/>
      <c r="P569" s="381"/>
      <c r="Q569" s="382"/>
      <c r="R569" s="382"/>
      <c r="S569" s="382"/>
      <c r="T569" s="382"/>
      <c r="U569" s="382"/>
      <c r="V569"/>
      <c r="W569"/>
      <c r="X569"/>
      <c r="Y569"/>
    </row>
    <row r="570" spans="1:25" ht="15.75">
      <c r="A570" s="684"/>
      <c r="B570" s="689"/>
      <c r="C570" s="383"/>
      <c r="D570" s="384"/>
      <c r="E570" s="384"/>
      <c r="F570" s="384"/>
      <c r="G570" s="384"/>
      <c r="H570" s="385"/>
      <c r="I570" s="385"/>
      <c r="J570" s="384"/>
      <c r="K570" s="384"/>
      <c r="L570" s="384"/>
      <c r="M570" s="385"/>
      <c r="N570" s="385"/>
      <c r="O570" s="384"/>
      <c r="P570" s="384"/>
      <c r="Q570" s="385"/>
      <c r="R570" s="385"/>
      <c r="S570" s="385"/>
      <c r="T570" s="385"/>
      <c r="U570" s="385"/>
      <c r="V570"/>
      <c r="W570"/>
      <c r="X570"/>
      <c r="Y570"/>
    </row>
    <row r="571" spans="1:25" ht="15.75">
      <c r="A571" s="684"/>
      <c r="B571" s="687"/>
      <c r="C571" s="674"/>
      <c r="D571" s="675"/>
      <c r="E571" s="675"/>
      <c r="F571" s="675"/>
      <c r="G571" s="675"/>
      <c r="H571" s="676"/>
      <c r="I571" s="676"/>
      <c r="J571" s="675"/>
      <c r="K571" s="675"/>
      <c r="L571" s="675"/>
      <c r="M571" s="676"/>
      <c r="N571" s="676"/>
      <c r="O571" s="675"/>
      <c r="P571" s="675"/>
      <c r="Q571" s="676"/>
      <c r="R571" s="676"/>
      <c r="S571" s="676"/>
      <c r="T571" s="676"/>
      <c r="U571" s="676"/>
      <c r="V571"/>
      <c r="W571"/>
      <c r="X571"/>
      <c r="Y571"/>
    </row>
    <row r="572" spans="1:25" s="386" customFormat="1" ht="15.75">
      <c r="A572" s="684"/>
      <c r="B572" s="688"/>
      <c r="C572" s="380"/>
      <c r="D572" s="381"/>
      <c r="E572" s="381"/>
      <c r="F572" s="381"/>
      <c r="G572" s="381"/>
      <c r="H572" s="382"/>
      <c r="I572" s="382"/>
      <c r="J572" s="381"/>
      <c r="K572" s="381"/>
      <c r="L572" s="381"/>
      <c r="M572" s="382"/>
      <c r="N572" s="382"/>
      <c r="O572" s="381"/>
      <c r="P572" s="381"/>
      <c r="Q572" s="382"/>
      <c r="R572" s="382"/>
      <c r="S572" s="382"/>
      <c r="T572" s="382"/>
      <c r="U572" s="382"/>
      <c r="V572"/>
      <c r="W572"/>
      <c r="X572"/>
      <c r="Y572"/>
    </row>
    <row r="573" spans="1:25" ht="15.75">
      <c r="A573" s="684"/>
      <c r="B573" s="689"/>
      <c r="C573" s="383"/>
      <c r="D573" s="384"/>
      <c r="E573" s="384"/>
      <c r="F573" s="384"/>
      <c r="G573" s="384"/>
      <c r="H573" s="385"/>
      <c r="I573" s="385"/>
      <c r="J573" s="384"/>
      <c r="K573" s="384"/>
      <c r="L573" s="384"/>
      <c r="M573" s="385"/>
      <c r="N573" s="385"/>
      <c r="O573" s="384"/>
      <c r="P573" s="384"/>
      <c r="Q573" s="385"/>
      <c r="R573" s="385"/>
      <c r="S573" s="385"/>
      <c r="T573" s="385"/>
      <c r="U573" s="385"/>
      <c r="V573"/>
      <c r="W573"/>
      <c r="X573"/>
      <c r="Y573"/>
    </row>
    <row r="574" spans="1:25" ht="15.75">
      <c r="A574" s="684"/>
      <c r="B574" s="687"/>
      <c r="C574" s="674"/>
      <c r="D574" s="675"/>
      <c r="E574" s="675"/>
      <c r="F574" s="675"/>
      <c r="G574" s="675"/>
      <c r="H574" s="676"/>
      <c r="I574" s="676"/>
      <c r="J574" s="675"/>
      <c r="K574" s="675"/>
      <c r="L574" s="675"/>
      <c r="M574" s="676"/>
      <c r="N574" s="676"/>
      <c r="O574" s="675"/>
      <c r="P574" s="675"/>
      <c r="Q574" s="676"/>
      <c r="R574" s="676"/>
      <c r="S574" s="676"/>
      <c r="T574" s="676"/>
      <c r="U574" s="676"/>
      <c r="V574"/>
      <c r="W574"/>
      <c r="X574"/>
      <c r="Y574"/>
    </row>
    <row r="575" spans="1:25" s="386" customFormat="1" ht="15.75">
      <c r="A575" s="684"/>
      <c r="B575" s="688"/>
      <c r="C575" s="380"/>
      <c r="D575" s="381"/>
      <c r="E575" s="381"/>
      <c r="F575" s="381"/>
      <c r="G575" s="381"/>
      <c r="H575" s="382"/>
      <c r="I575" s="382"/>
      <c r="J575" s="381"/>
      <c r="K575" s="381"/>
      <c r="L575" s="381"/>
      <c r="M575" s="382"/>
      <c r="N575" s="382"/>
      <c r="O575" s="381"/>
      <c r="P575" s="381"/>
      <c r="Q575" s="382"/>
      <c r="R575" s="382"/>
      <c r="S575" s="382"/>
      <c r="T575" s="382"/>
      <c r="U575" s="382"/>
      <c r="V575"/>
      <c r="W575"/>
      <c r="X575"/>
      <c r="Y575"/>
    </row>
    <row r="576" spans="1:25" ht="15.75">
      <c r="A576" s="684"/>
      <c r="B576" s="689"/>
      <c r="C576" s="383"/>
      <c r="D576" s="384"/>
      <c r="E576" s="384"/>
      <c r="F576" s="384"/>
      <c r="G576" s="692"/>
      <c r="H576" s="385"/>
      <c r="I576" s="385"/>
      <c r="J576" s="384"/>
      <c r="K576" s="384"/>
      <c r="L576" s="384"/>
      <c r="M576" s="385"/>
      <c r="N576" s="385"/>
      <c r="O576" s="384"/>
      <c r="P576" s="384"/>
      <c r="Q576" s="385"/>
      <c r="R576" s="385"/>
      <c r="S576" s="385"/>
      <c r="T576" s="692"/>
      <c r="U576" s="385"/>
      <c r="V576"/>
      <c r="W576"/>
      <c r="X576"/>
      <c r="Y576"/>
    </row>
    <row r="577" spans="1:25" ht="15.75">
      <c r="A577" s="684"/>
      <c r="B577" s="687"/>
      <c r="C577" s="674"/>
      <c r="D577" s="675"/>
      <c r="E577" s="675"/>
      <c r="F577" s="675"/>
      <c r="G577" s="675"/>
      <c r="H577" s="676"/>
      <c r="I577" s="676"/>
      <c r="J577" s="675"/>
      <c r="K577" s="675"/>
      <c r="L577" s="675"/>
      <c r="M577" s="676"/>
      <c r="N577" s="676"/>
      <c r="O577" s="675"/>
      <c r="P577" s="675"/>
      <c r="Q577" s="676"/>
      <c r="R577" s="676"/>
      <c r="S577" s="676"/>
      <c r="T577" s="676"/>
      <c r="U577" s="676"/>
      <c r="V577"/>
      <c r="W577"/>
      <c r="X577"/>
      <c r="Y577"/>
    </row>
    <row r="578" spans="1:25" s="386" customFormat="1" ht="15.75">
      <c r="A578" s="684"/>
      <c r="B578" s="688"/>
      <c r="C578" s="380"/>
      <c r="D578" s="381"/>
      <c r="E578" s="381"/>
      <c r="F578" s="381"/>
      <c r="G578" s="381"/>
      <c r="H578" s="382"/>
      <c r="I578" s="382"/>
      <c r="J578" s="381"/>
      <c r="K578" s="381"/>
      <c r="L578" s="381"/>
      <c r="M578" s="382"/>
      <c r="N578" s="382"/>
      <c r="O578" s="381"/>
      <c r="P578" s="381"/>
      <c r="Q578" s="382"/>
      <c r="R578" s="382"/>
      <c r="S578" s="382"/>
      <c r="T578" s="382"/>
      <c r="U578" s="382"/>
      <c r="V578"/>
      <c r="W578"/>
      <c r="X578"/>
      <c r="Y578"/>
    </row>
    <row r="579" spans="1:25" ht="15.75">
      <c r="A579" s="684"/>
      <c r="B579" s="689"/>
      <c r="C579" s="383"/>
      <c r="D579" s="384"/>
      <c r="E579" s="384"/>
      <c r="F579" s="384"/>
      <c r="G579" s="384"/>
      <c r="H579" s="385"/>
      <c r="I579" s="385"/>
      <c r="J579" s="384"/>
      <c r="K579" s="384"/>
      <c r="L579" s="384"/>
      <c r="M579" s="385"/>
      <c r="N579" s="385"/>
      <c r="O579" s="384"/>
      <c r="P579" s="384"/>
      <c r="Q579" s="385"/>
      <c r="R579" s="385"/>
      <c r="S579" s="385"/>
      <c r="T579" s="385"/>
      <c r="U579" s="385"/>
      <c r="V579"/>
      <c r="W579"/>
      <c r="X579"/>
      <c r="Y579"/>
    </row>
    <row r="580" spans="1:25" ht="15.75">
      <c r="A580" s="684"/>
      <c r="B580" s="687"/>
      <c r="C580" s="674"/>
      <c r="D580" s="675"/>
      <c r="E580" s="675"/>
      <c r="F580" s="675"/>
      <c r="G580" s="675"/>
      <c r="H580" s="676"/>
      <c r="I580" s="676"/>
      <c r="J580" s="675"/>
      <c r="K580" s="675"/>
      <c r="L580" s="675"/>
      <c r="M580" s="676"/>
      <c r="N580" s="676"/>
      <c r="O580" s="675"/>
      <c r="P580" s="675"/>
      <c r="Q580" s="676"/>
      <c r="R580" s="676"/>
      <c r="S580" s="676"/>
      <c r="T580" s="676"/>
      <c r="U580" s="676"/>
      <c r="V580"/>
      <c r="W580"/>
      <c r="X580"/>
      <c r="Y580"/>
    </row>
    <row r="581" spans="1:25" s="386" customFormat="1" ht="15.75">
      <c r="A581" s="684"/>
      <c r="B581" s="688"/>
      <c r="C581" s="380"/>
      <c r="D581" s="381"/>
      <c r="E581" s="381"/>
      <c r="F581" s="381"/>
      <c r="G581" s="381"/>
      <c r="H581" s="382"/>
      <c r="I581" s="382"/>
      <c r="J581" s="381"/>
      <c r="K581" s="381"/>
      <c r="L581" s="381"/>
      <c r="M581" s="382"/>
      <c r="N581" s="382"/>
      <c r="O581" s="381"/>
      <c r="P581" s="381"/>
      <c r="Q581" s="382"/>
      <c r="R581" s="382"/>
      <c r="S581" s="382"/>
      <c r="T581" s="382"/>
      <c r="U581" s="382"/>
      <c r="V581"/>
      <c r="W581"/>
      <c r="X581"/>
      <c r="Y581"/>
    </row>
    <row r="582" spans="1:25" ht="15.75">
      <c r="A582" s="684"/>
      <c r="B582" s="689"/>
      <c r="C582" s="383"/>
      <c r="D582" s="384"/>
      <c r="E582" s="384"/>
      <c r="F582" s="384"/>
      <c r="G582" s="384"/>
      <c r="H582" s="385"/>
      <c r="I582" s="385"/>
      <c r="J582" s="384"/>
      <c r="K582" s="384"/>
      <c r="L582" s="384"/>
      <c r="M582" s="385"/>
      <c r="N582" s="385"/>
      <c r="O582" s="384"/>
      <c r="P582" s="384"/>
      <c r="Q582" s="385"/>
      <c r="R582" s="385"/>
      <c r="S582" s="385"/>
      <c r="T582" s="385"/>
      <c r="U582" s="385"/>
      <c r="V582"/>
      <c r="W582"/>
      <c r="X582"/>
      <c r="Y582"/>
    </row>
    <row r="583" spans="1:25" ht="15.75">
      <c r="A583" s="684"/>
      <c r="B583" s="687"/>
      <c r="C583" s="674"/>
      <c r="D583" s="675"/>
      <c r="E583" s="675"/>
      <c r="F583" s="675"/>
      <c r="G583" s="675"/>
      <c r="H583" s="676"/>
      <c r="I583" s="676"/>
      <c r="J583" s="675"/>
      <c r="K583" s="675"/>
      <c r="L583" s="675"/>
      <c r="M583" s="676"/>
      <c r="N583" s="676"/>
      <c r="O583" s="675"/>
      <c r="P583" s="675"/>
      <c r="Q583" s="676"/>
      <c r="R583" s="676"/>
      <c r="S583" s="676"/>
      <c r="T583" s="676"/>
      <c r="U583" s="676"/>
      <c r="V583"/>
      <c r="W583"/>
      <c r="X583"/>
      <c r="Y583"/>
    </row>
    <row r="584" spans="1:25" s="386" customFormat="1" ht="15.75">
      <c r="A584" s="684"/>
      <c r="B584" s="688"/>
      <c r="C584" s="380"/>
      <c r="D584" s="381"/>
      <c r="E584" s="381"/>
      <c r="F584" s="381"/>
      <c r="G584" s="381"/>
      <c r="H584" s="382"/>
      <c r="I584" s="382"/>
      <c r="J584" s="381"/>
      <c r="K584" s="381"/>
      <c r="L584" s="381"/>
      <c r="M584" s="382"/>
      <c r="N584" s="382"/>
      <c r="O584" s="381"/>
      <c r="P584" s="381"/>
      <c r="Q584" s="382"/>
      <c r="R584" s="382"/>
      <c r="S584" s="382"/>
      <c r="T584" s="382"/>
      <c r="U584" s="382"/>
      <c r="V584"/>
      <c r="W584"/>
      <c r="X584"/>
      <c r="Y584"/>
    </row>
    <row r="585" spans="1:25" ht="15.75">
      <c r="A585" s="684"/>
      <c r="B585" s="689"/>
      <c r="C585" s="383"/>
      <c r="D585" s="384"/>
      <c r="E585" s="384"/>
      <c r="F585" s="384"/>
      <c r="G585" s="384"/>
      <c r="H585" s="385"/>
      <c r="I585" s="385"/>
      <c r="J585" s="384"/>
      <c r="K585" s="384"/>
      <c r="L585" s="384"/>
      <c r="M585" s="385"/>
      <c r="N585" s="385"/>
      <c r="O585" s="384"/>
      <c r="P585" s="384"/>
      <c r="Q585" s="385"/>
      <c r="R585" s="385"/>
      <c r="S585" s="385"/>
      <c r="T585" s="385"/>
      <c r="U585" s="385"/>
      <c r="V585"/>
      <c r="W585"/>
      <c r="X585"/>
      <c r="Y585"/>
    </row>
    <row r="586" spans="1:25" ht="15.75">
      <c r="A586" s="684"/>
      <c r="B586" s="687"/>
      <c r="C586" s="674"/>
      <c r="D586" s="675"/>
      <c r="E586" s="675"/>
      <c r="F586" s="675"/>
      <c r="G586" s="675"/>
      <c r="H586" s="676"/>
      <c r="I586" s="676"/>
      <c r="J586" s="675"/>
      <c r="K586" s="675"/>
      <c r="L586" s="675"/>
      <c r="M586" s="676"/>
      <c r="N586" s="676"/>
      <c r="O586" s="675"/>
      <c r="P586" s="675"/>
      <c r="Q586" s="676"/>
      <c r="R586" s="676"/>
      <c r="S586" s="676"/>
      <c r="T586" s="676"/>
      <c r="U586" s="676"/>
      <c r="V586"/>
      <c r="W586"/>
      <c r="X586"/>
      <c r="Y586"/>
    </row>
    <row r="587" spans="1:25" s="386" customFormat="1" ht="15.75">
      <c r="A587" s="684"/>
      <c r="B587" s="688"/>
      <c r="C587" s="380"/>
      <c r="D587" s="381"/>
      <c r="E587" s="381"/>
      <c r="F587" s="381"/>
      <c r="G587" s="381"/>
      <c r="H587" s="382"/>
      <c r="I587" s="382"/>
      <c r="J587" s="381"/>
      <c r="K587" s="381"/>
      <c r="L587" s="381"/>
      <c r="M587" s="382"/>
      <c r="N587" s="382"/>
      <c r="O587" s="381"/>
      <c r="P587" s="381"/>
      <c r="Q587" s="382"/>
      <c r="R587" s="382"/>
      <c r="S587" s="382"/>
      <c r="T587" s="382"/>
      <c r="U587" s="382"/>
      <c r="V587"/>
      <c r="W587"/>
      <c r="X587"/>
      <c r="Y587"/>
    </row>
    <row r="588" spans="1:25" ht="15.75">
      <c r="A588" s="684"/>
      <c r="B588" s="689"/>
      <c r="C588" s="383"/>
      <c r="D588" s="384"/>
      <c r="E588" s="384"/>
      <c r="F588" s="384"/>
      <c r="G588" s="384"/>
      <c r="H588" s="385"/>
      <c r="I588" s="385"/>
      <c r="J588" s="384"/>
      <c r="K588" s="384"/>
      <c r="L588" s="384"/>
      <c r="M588" s="385"/>
      <c r="N588" s="385"/>
      <c r="O588" s="384"/>
      <c r="P588" s="384"/>
      <c r="Q588" s="385"/>
      <c r="R588" s="385"/>
      <c r="S588" s="385"/>
      <c r="T588" s="385"/>
      <c r="U588" s="385"/>
      <c r="V588"/>
      <c r="W588"/>
      <c r="X588"/>
      <c r="Y588"/>
    </row>
    <row r="589" spans="1:25" ht="15.75">
      <c r="A589" s="684"/>
      <c r="B589" s="687"/>
      <c r="C589" s="674"/>
      <c r="D589" s="675"/>
      <c r="E589" s="675"/>
      <c r="F589" s="675"/>
      <c r="G589" s="675"/>
      <c r="H589" s="676"/>
      <c r="I589" s="676"/>
      <c r="J589" s="675"/>
      <c r="K589" s="675"/>
      <c r="L589" s="675"/>
      <c r="M589" s="676"/>
      <c r="N589" s="676"/>
      <c r="O589" s="675"/>
      <c r="P589" s="675"/>
      <c r="Q589" s="676"/>
      <c r="R589" s="676"/>
      <c r="S589" s="676"/>
      <c r="T589" s="676"/>
      <c r="U589" s="676"/>
      <c r="V589"/>
      <c r="W589"/>
      <c r="X589"/>
      <c r="Y589"/>
    </row>
    <row r="590" spans="1:25" s="386" customFormat="1" ht="15.75">
      <c r="A590" s="684"/>
      <c r="B590" s="688"/>
      <c r="C590" s="380"/>
      <c r="D590" s="381"/>
      <c r="E590" s="381"/>
      <c r="F590" s="381"/>
      <c r="G590" s="381"/>
      <c r="H590" s="382"/>
      <c r="I590" s="382"/>
      <c r="J590" s="381"/>
      <c r="K590" s="381"/>
      <c r="L590" s="381"/>
      <c r="M590" s="382"/>
      <c r="N590" s="382"/>
      <c r="O590" s="381"/>
      <c r="P590" s="381"/>
      <c r="Q590" s="382"/>
      <c r="R590" s="382"/>
      <c r="S590" s="382"/>
      <c r="T590" s="382"/>
      <c r="U590" s="382"/>
      <c r="V590"/>
      <c r="W590"/>
      <c r="X590"/>
      <c r="Y590"/>
    </row>
    <row r="591" spans="1:25" ht="15.75">
      <c r="A591" s="684"/>
      <c r="B591" s="689"/>
      <c r="C591" s="383"/>
      <c r="D591" s="384"/>
      <c r="E591" s="384"/>
      <c r="F591" s="384"/>
      <c r="G591" s="384"/>
      <c r="H591" s="385"/>
      <c r="I591" s="385"/>
      <c r="J591" s="384"/>
      <c r="K591" s="384"/>
      <c r="L591" s="384"/>
      <c r="M591" s="385"/>
      <c r="N591" s="385"/>
      <c r="O591" s="384"/>
      <c r="P591" s="384"/>
      <c r="Q591" s="385"/>
      <c r="R591" s="385"/>
      <c r="S591" s="385"/>
      <c r="T591" s="385"/>
      <c r="U591" s="385"/>
      <c r="V591"/>
      <c r="W591"/>
      <c r="X591"/>
      <c r="Y591"/>
    </row>
    <row r="592" spans="1:25" ht="15.75">
      <c r="A592" s="684"/>
      <c r="B592" s="687"/>
      <c r="C592" s="674"/>
      <c r="D592" s="675"/>
      <c r="E592" s="675"/>
      <c r="F592" s="675"/>
      <c r="G592" s="675"/>
      <c r="H592" s="676"/>
      <c r="I592" s="676"/>
      <c r="J592" s="675"/>
      <c r="K592" s="675"/>
      <c r="L592" s="675"/>
      <c r="M592" s="676"/>
      <c r="N592" s="676"/>
      <c r="O592" s="675"/>
      <c r="P592" s="675"/>
      <c r="Q592" s="676"/>
      <c r="R592" s="676"/>
      <c r="S592" s="676"/>
      <c r="T592" s="676"/>
      <c r="U592" s="676"/>
      <c r="V592"/>
      <c r="W592"/>
      <c r="X592"/>
      <c r="Y592"/>
    </row>
    <row r="593" spans="1:25" s="386" customFormat="1" ht="15.75">
      <c r="A593" s="684"/>
      <c r="B593" s="688"/>
      <c r="C593" s="380"/>
      <c r="D593" s="381"/>
      <c r="E593" s="381"/>
      <c r="F593" s="381"/>
      <c r="G593" s="381"/>
      <c r="H593" s="382"/>
      <c r="I593" s="382"/>
      <c r="J593" s="381"/>
      <c r="K593" s="381"/>
      <c r="L593" s="381"/>
      <c r="M593" s="382"/>
      <c r="N593" s="382"/>
      <c r="O593" s="381"/>
      <c r="P593" s="381"/>
      <c r="Q593" s="382"/>
      <c r="R593" s="382"/>
      <c r="S593" s="382"/>
      <c r="T593" s="382"/>
      <c r="U593" s="382"/>
      <c r="V593"/>
      <c r="W593"/>
      <c r="X593"/>
      <c r="Y593"/>
    </row>
    <row r="594" spans="1:25" ht="15.75">
      <c r="A594" s="684"/>
      <c r="B594" s="689"/>
      <c r="C594" s="383"/>
      <c r="D594" s="384"/>
      <c r="E594" s="384"/>
      <c r="F594" s="384"/>
      <c r="G594" s="384"/>
      <c r="H594" s="385"/>
      <c r="I594" s="385"/>
      <c r="J594" s="384"/>
      <c r="K594" s="384"/>
      <c r="L594" s="384"/>
      <c r="M594" s="385"/>
      <c r="N594" s="385"/>
      <c r="O594" s="384"/>
      <c r="P594" s="384"/>
      <c r="Q594" s="385"/>
      <c r="R594" s="385"/>
      <c r="S594" s="385"/>
      <c r="T594" s="385"/>
      <c r="U594" s="385"/>
      <c r="V594"/>
      <c r="W594"/>
      <c r="X594"/>
      <c r="Y594"/>
    </row>
    <row r="595" spans="1:25" ht="15.75">
      <c r="A595" s="684"/>
      <c r="B595" s="687"/>
      <c r="C595" s="674"/>
      <c r="D595" s="675"/>
      <c r="E595" s="675"/>
      <c r="F595" s="675"/>
      <c r="G595" s="675"/>
      <c r="H595" s="676"/>
      <c r="I595" s="676"/>
      <c r="J595" s="675"/>
      <c r="K595" s="675"/>
      <c r="L595" s="675"/>
      <c r="M595" s="676"/>
      <c r="N595" s="676"/>
      <c r="O595" s="675"/>
      <c r="P595" s="675"/>
      <c r="Q595" s="676"/>
      <c r="R595" s="676"/>
      <c r="S595" s="676"/>
      <c r="T595" s="676"/>
      <c r="U595" s="676"/>
      <c r="V595"/>
      <c r="W595"/>
      <c r="X595"/>
      <c r="Y595"/>
    </row>
    <row r="596" spans="1:25" s="386" customFormat="1" ht="15.75">
      <c r="A596" s="684"/>
      <c r="B596" s="688"/>
      <c r="C596" s="380"/>
      <c r="D596" s="381"/>
      <c r="E596" s="381"/>
      <c r="F596" s="381"/>
      <c r="G596" s="381"/>
      <c r="H596" s="382"/>
      <c r="I596" s="382"/>
      <c r="J596" s="381"/>
      <c r="K596" s="381"/>
      <c r="L596" s="381"/>
      <c r="M596" s="382"/>
      <c r="N596" s="382"/>
      <c r="O596" s="381"/>
      <c r="P596" s="381"/>
      <c r="Q596" s="382"/>
      <c r="R596" s="382"/>
      <c r="S596" s="382"/>
      <c r="T596" s="382"/>
      <c r="U596" s="382"/>
      <c r="V596"/>
      <c r="W596"/>
      <c r="X596"/>
      <c r="Y596"/>
    </row>
    <row r="597" spans="1:25" ht="15.75">
      <c r="A597" s="684"/>
      <c r="B597" s="689"/>
      <c r="C597" s="383"/>
      <c r="D597" s="384"/>
      <c r="E597" s="384"/>
      <c r="F597" s="384"/>
      <c r="G597" s="384"/>
      <c r="H597" s="385"/>
      <c r="I597" s="385"/>
      <c r="J597" s="384"/>
      <c r="K597" s="384"/>
      <c r="L597" s="384"/>
      <c r="M597" s="385"/>
      <c r="N597" s="385"/>
      <c r="O597" s="384"/>
      <c r="P597" s="384"/>
      <c r="Q597" s="385"/>
      <c r="R597" s="385"/>
      <c r="S597" s="385"/>
      <c r="T597" s="385"/>
      <c r="U597" s="385"/>
      <c r="V597"/>
      <c r="W597"/>
      <c r="X597"/>
      <c r="Y597"/>
    </row>
    <row r="598" spans="1:25" ht="15.75">
      <c r="A598" s="684"/>
      <c r="B598" s="687"/>
      <c r="C598" s="674"/>
      <c r="D598" s="675"/>
      <c r="E598" s="675"/>
      <c r="F598" s="675"/>
      <c r="G598" s="675"/>
      <c r="H598" s="676"/>
      <c r="I598" s="676"/>
      <c r="J598" s="675"/>
      <c r="K598" s="675"/>
      <c r="L598" s="675"/>
      <c r="M598" s="676"/>
      <c r="N598" s="676"/>
      <c r="O598" s="675"/>
      <c r="P598" s="675"/>
      <c r="Q598" s="676"/>
      <c r="R598" s="676"/>
      <c r="S598" s="676"/>
      <c r="T598" s="676"/>
      <c r="U598" s="676"/>
      <c r="V598"/>
      <c r="W598"/>
      <c r="X598"/>
      <c r="Y598"/>
    </row>
    <row r="599" spans="1:25" s="386" customFormat="1" ht="15.75">
      <c r="A599" s="684"/>
      <c r="B599" s="688"/>
      <c r="C599" s="380"/>
      <c r="D599" s="381"/>
      <c r="E599" s="381"/>
      <c r="F599" s="381"/>
      <c r="G599" s="381"/>
      <c r="H599" s="382"/>
      <c r="I599" s="382"/>
      <c r="J599" s="381"/>
      <c r="K599" s="381"/>
      <c r="L599" s="381"/>
      <c r="M599" s="382"/>
      <c r="N599" s="382"/>
      <c r="O599" s="381"/>
      <c r="P599" s="381"/>
      <c r="Q599" s="382"/>
      <c r="R599" s="382"/>
      <c r="S599" s="382"/>
      <c r="T599" s="382"/>
      <c r="U599" s="382"/>
      <c r="V599"/>
      <c r="W599"/>
      <c r="X599"/>
      <c r="Y599"/>
    </row>
    <row r="600" spans="1:25" ht="15.75">
      <c r="A600" s="684"/>
      <c r="B600" s="689"/>
      <c r="C600" s="383"/>
      <c r="D600" s="384"/>
      <c r="E600" s="384"/>
      <c r="F600" s="384"/>
      <c r="G600" s="384"/>
      <c r="H600" s="385"/>
      <c r="I600" s="385"/>
      <c r="J600" s="384"/>
      <c r="K600" s="384"/>
      <c r="L600" s="384"/>
      <c r="M600" s="385"/>
      <c r="N600" s="385"/>
      <c r="O600" s="384"/>
      <c r="P600" s="384"/>
      <c r="Q600" s="385"/>
      <c r="R600" s="385"/>
      <c r="S600" s="385"/>
      <c r="T600" s="385"/>
      <c r="U600" s="385"/>
      <c r="V600"/>
      <c r="W600"/>
      <c r="X600"/>
      <c r="Y600"/>
    </row>
    <row r="601" spans="1:25" ht="15.75">
      <c r="A601" s="684"/>
      <c r="B601" s="687"/>
      <c r="C601" s="674"/>
      <c r="D601" s="675"/>
      <c r="E601" s="675"/>
      <c r="F601" s="675"/>
      <c r="G601" s="675"/>
      <c r="H601" s="676"/>
      <c r="I601" s="676"/>
      <c r="J601" s="675"/>
      <c r="K601" s="675"/>
      <c r="L601" s="675"/>
      <c r="M601" s="676"/>
      <c r="N601" s="676"/>
      <c r="O601" s="675"/>
      <c r="P601" s="675"/>
      <c r="Q601" s="676"/>
      <c r="R601" s="676"/>
      <c r="S601" s="676"/>
      <c r="T601" s="676"/>
      <c r="U601" s="676"/>
      <c r="V601"/>
      <c r="W601"/>
      <c r="X601"/>
      <c r="Y601"/>
    </row>
    <row r="602" spans="1:25" s="386" customFormat="1" ht="15.75">
      <c r="A602" s="684"/>
      <c r="B602" s="688"/>
      <c r="C602" s="380"/>
      <c r="D602" s="381"/>
      <c r="E602" s="381"/>
      <c r="F602" s="381"/>
      <c r="G602" s="381"/>
      <c r="H602" s="382"/>
      <c r="I602" s="382"/>
      <c r="J602" s="381"/>
      <c r="K602" s="381"/>
      <c r="L602" s="381"/>
      <c r="M602" s="382"/>
      <c r="N602" s="382"/>
      <c r="O602" s="381"/>
      <c r="P602" s="381"/>
      <c r="Q602" s="382"/>
      <c r="R602" s="382"/>
      <c r="S602" s="382"/>
      <c r="T602" s="382"/>
      <c r="U602" s="382"/>
      <c r="V602"/>
      <c r="W602"/>
      <c r="X602"/>
      <c r="Y602"/>
    </row>
    <row r="603" spans="1:25" ht="15.75">
      <c r="A603" s="684"/>
      <c r="B603" s="689"/>
      <c r="C603" s="383"/>
      <c r="D603" s="384"/>
      <c r="E603" s="384"/>
      <c r="F603" s="384"/>
      <c r="G603" s="384"/>
      <c r="H603" s="385"/>
      <c r="I603" s="385"/>
      <c r="J603" s="384"/>
      <c r="K603" s="384"/>
      <c r="L603" s="384"/>
      <c r="M603" s="385"/>
      <c r="N603" s="385"/>
      <c r="O603" s="384"/>
      <c r="P603" s="384"/>
      <c r="Q603" s="385"/>
      <c r="R603" s="385"/>
      <c r="S603" s="385"/>
      <c r="T603" s="385"/>
      <c r="U603" s="385"/>
      <c r="V603"/>
      <c r="W603"/>
      <c r="X603"/>
      <c r="Y603"/>
    </row>
    <row r="604" spans="1:25" ht="15.75">
      <c r="A604" s="684"/>
      <c r="B604" s="687"/>
      <c r="C604" s="674"/>
      <c r="D604" s="675"/>
      <c r="E604" s="675"/>
      <c r="F604" s="675"/>
      <c r="G604" s="675"/>
      <c r="H604" s="676"/>
      <c r="I604" s="676"/>
      <c r="J604" s="675"/>
      <c r="K604" s="675"/>
      <c r="L604" s="675"/>
      <c r="M604" s="676"/>
      <c r="N604" s="676"/>
      <c r="O604" s="675"/>
      <c r="P604" s="675"/>
      <c r="Q604" s="676"/>
      <c r="R604" s="676"/>
      <c r="S604" s="676"/>
      <c r="T604" s="676"/>
      <c r="U604" s="676"/>
      <c r="V604"/>
      <c r="W604"/>
      <c r="X604"/>
      <c r="Y604"/>
    </row>
    <row r="605" spans="1:25" s="386" customFormat="1" ht="15.75">
      <c r="A605" s="685"/>
      <c r="B605" s="690"/>
      <c r="C605" s="576"/>
      <c r="D605" s="577"/>
      <c r="E605" s="577"/>
      <c r="F605" s="577"/>
      <c r="G605" s="577"/>
      <c r="H605" s="578"/>
      <c r="I605" s="578"/>
      <c r="J605" s="577"/>
      <c r="K605" s="577"/>
      <c r="L605" s="577"/>
      <c r="M605" s="578"/>
      <c r="N605" s="578"/>
      <c r="O605" s="577"/>
      <c r="P605" s="577"/>
      <c r="Q605" s="578"/>
      <c r="R605" s="578"/>
      <c r="S605" s="578"/>
      <c r="T605" s="578"/>
      <c r="U605" s="578"/>
      <c r="V605"/>
      <c r="W605"/>
      <c r="X605"/>
      <c r="Y605"/>
    </row>
    <row r="606" spans="1:25" ht="15.75">
      <c r="A606" s="683"/>
      <c r="B606" s="687"/>
      <c r="C606" s="674"/>
      <c r="D606" s="675"/>
      <c r="E606" s="675"/>
      <c r="F606" s="675"/>
      <c r="G606" s="675"/>
      <c r="H606" s="676"/>
      <c r="I606" s="676"/>
      <c r="J606" s="675"/>
      <c r="K606" s="675"/>
      <c r="L606" s="675"/>
      <c r="M606" s="676"/>
      <c r="N606" s="676"/>
      <c r="O606" s="675"/>
      <c r="P606" s="675"/>
      <c r="Q606" s="676"/>
      <c r="R606" s="676"/>
      <c r="S606" s="676"/>
      <c r="T606" s="676"/>
      <c r="U606" s="676"/>
      <c r="V606"/>
      <c r="W606"/>
      <c r="X606"/>
      <c r="Y606"/>
    </row>
    <row r="607" spans="1:25" ht="15.75">
      <c r="A607" s="684"/>
      <c r="B607" s="688"/>
      <c r="C607" s="380"/>
      <c r="D607" s="381"/>
      <c r="E607" s="381"/>
      <c r="F607" s="381"/>
      <c r="G607" s="381"/>
      <c r="H607" s="382"/>
      <c r="I607" s="382"/>
      <c r="J607" s="381"/>
      <c r="K607" s="381"/>
      <c r="L607" s="381"/>
      <c r="M607" s="382"/>
      <c r="N607" s="382"/>
      <c r="O607" s="381"/>
      <c r="P607" s="381"/>
      <c r="Q607" s="382"/>
      <c r="R607" s="382"/>
      <c r="S607" s="382"/>
      <c r="T607" s="382"/>
      <c r="U607" s="382"/>
      <c r="V607"/>
      <c r="W607"/>
      <c r="X607"/>
      <c r="Y607"/>
    </row>
    <row r="608" spans="1:25" s="386" customFormat="1" ht="15.75">
      <c r="A608" s="684"/>
      <c r="B608" s="689"/>
      <c r="C608" s="383"/>
      <c r="D608" s="384"/>
      <c r="E608" s="384"/>
      <c r="F608" s="384"/>
      <c r="G608" s="384"/>
      <c r="H608" s="385"/>
      <c r="I608" s="385"/>
      <c r="J608" s="384"/>
      <c r="K608" s="692"/>
      <c r="L608" s="692"/>
      <c r="M608" s="692"/>
      <c r="N608" s="385"/>
      <c r="O608" s="384"/>
      <c r="P608" s="384"/>
      <c r="Q608" s="385"/>
      <c r="R608" s="385"/>
      <c r="S608" s="385"/>
      <c r="T608" s="385"/>
      <c r="U608" s="385"/>
      <c r="V608"/>
      <c r="W608"/>
      <c r="X608"/>
      <c r="Y608"/>
    </row>
    <row r="609" spans="1:25" ht="15.75">
      <c r="A609" s="684"/>
      <c r="B609" s="687"/>
      <c r="C609" s="674"/>
      <c r="D609" s="675"/>
      <c r="E609" s="675"/>
      <c r="F609" s="675"/>
      <c r="G609" s="675"/>
      <c r="H609" s="676"/>
      <c r="I609" s="676"/>
      <c r="J609" s="675"/>
      <c r="K609" s="675"/>
      <c r="L609" s="675"/>
      <c r="M609" s="676"/>
      <c r="N609" s="676"/>
      <c r="O609" s="675"/>
      <c r="P609" s="675"/>
      <c r="Q609" s="676"/>
      <c r="R609" s="676"/>
      <c r="S609" s="676"/>
      <c r="T609" s="676"/>
      <c r="U609" s="676"/>
      <c r="V609"/>
      <c r="W609"/>
      <c r="X609"/>
      <c r="Y609"/>
    </row>
    <row r="610" spans="1:25" ht="15.75">
      <c r="A610" s="684"/>
      <c r="B610" s="688"/>
      <c r="C610" s="380"/>
      <c r="D610" s="381"/>
      <c r="E610" s="381"/>
      <c r="F610" s="381"/>
      <c r="G610" s="381"/>
      <c r="H610" s="382"/>
      <c r="I610" s="382"/>
      <c r="J610" s="381"/>
      <c r="K610" s="381"/>
      <c r="L610" s="381"/>
      <c r="M610" s="382"/>
      <c r="N610" s="382"/>
      <c r="O610" s="381"/>
      <c r="P610" s="381"/>
      <c r="Q610" s="382"/>
      <c r="R610" s="382"/>
      <c r="S610" s="382"/>
      <c r="T610" s="382"/>
      <c r="U610" s="382"/>
      <c r="V610"/>
      <c r="W610"/>
      <c r="X610"/>
      <c r="Y610"/>
    </row>
    <row r="611" spans="1:25" s="386" customFormat="1" ht="15.75">
      <c r="A611" s="684"/>
      <c r="B611" s="689"/>
      <c r="C611" s="383"/>
      <c r="D611" s="384"/>
      <c r="E611" s="384"/>
      <c r="F611" s="384"/>
      <c r="G611" s="384"/>
      <c r="H611" s="385"/>
      <c r="I611" s="385"/>
      <c r="J611" s="384"/>
      <c r="K611" s="384"/>
      <c r="L611" s="384"/>
      <c r="M611" s="385"/>
      <c r="N611" s="385"/>
      <c r="O611" s="384"/>
      <c r="P611" s="384"/>
      <c r="Q611" s="385"/>
      <c r="R611" s="385"/>
      <c r="S611" s="385"/>
      <c r="T611" s="385"/>
      <c r="U611" s="385"/>
      <c r="V611"/>
      <c r="W611"/>
      <c r="X611"/>
      <c r="Y611"/>
    </row>
    <row r="612" spans="1:25" ht="15.75">
      <c r="A612" s="684"/>
      <c r="B612" s="687"/>
      <c r="C612" s="674"/>
      <c r="D612" s="675"/>
      <c r="E612" s="675"/>
      <c r="F612" s="675"/>
      <c r="G612" s="675"/>
      <c r="H612" s="676"/>
      <c r="I612" s="676"/>
      <c r="J612" s="675"/>
      <c r="K612" s="675"/>
      <c r="L612" s="675"/>
      <c r="M612" s="676"/>
      <c r="N612" s="676"/>
      <c r="O612" s="675"/>
      <c r="P612" s="675"/>
      <c r="Q612" s="676"/>
      <c r="R612" s="676"/>
      <c r="S612" s="676"/>
      <c r="T612" s="676"/>
      <c r="U612" s="676"/>
      <c r="V612"/>
      <c r="W612"/>
      <c r="X612"/>
      <c r="Y612"/>
    </row>
    <row r="613" spans="1:25" ht="15.75">
      <c r="A613" s="684"/>
      <c r="B613" s="688"/>
      <c r="C613" s="380"/>
      <c r="D613" s="381"/>
      <c r="E613" s="381"/>
      <c r="F613" s="381"/>
      <c r="G613" s="381"/>
      <c r="H613" s="382"/>
      <c r="I613" s="382"/>
      <c r="J613" s="381"/>
      <c r="K613" s="381"/>
      <c r="L613" s="381"/>
      <c r="M613" s="382"/>
      <c r="N613" s="382"/>
      <c r="O613" s="381"/>
      <c r="P613" s="381"/>
      <c r="Q613" s="382"/>
      <c r="R613" s="382"/>
      <c r="S613" s="382"/>
      <c r="T613" s="382"/>
      <c r="U613" s="382"/>
      <c r="V613"/>
      <c r="W613"/>
      <c r="X613"/>
      <c r="Y613"/>
    </row>
    <row r="614" spans="1:25" s="386" customFormat="1" ht="15.75">
      <c r="A614" s="684"/>
      <c r="B614" s="689"/>
      <c r="C614" s="383"/>
      <c r="D614" s="384"/>
      <c r="E614" s="692"/>
      <c r="F614" s="692"/>
      <c r="G614" s="384"/>
      <c r="H614" s="385"/>
      <c r="I614" s="385"/>
      <c r="J614" s="384"/>
      <c r="K614" s="384"/>
      <c r="L614" s="384"/>
      <c r="M614" s="692"/>
      <c r="N614" s="385"/>
      <c r="O614" s="384"/>
      <c r="P614" s="384"/>
      <c r="Q614" s="385"/>
      <c r="R614" s="385"/>
      <c r="S614" s="385"/>
      <c r="T614" s="385"/>
      <c r="U614" s="385"/>
      <c r="V614"/>
      <c r="W614"/>
      <c r="X614"/>
      <c r="Y614"/>
    </row>
    <row r="615" spans="1:25" ht="15.75">
      <c r="A615" s="684"/>
      <c r="B615" s="687"/>
      <c r="C615" s="674"/>
      <c r="D615" s="675"/>
      <c r="E615" s="675"/>
      <c r="F615" s="675"/>
      <c r="G615" s="675"/>
      <c r="H615" s="676"/>
      <c r="I615" s="676"/>
      <c r="J615" s="675"/>
      <c r="K615" s="675"/>
      <c r="L615" s="675"/>
      <c r="M615" s="676"/>
      <c r="N615" s="676"/>
      <c r="O615" s="675"/>
      <c r="P615" s="675"/>
      <c r="Q615" s="676"/>
      <c r="R615" s="676"/>
      <c r="S615" s="676"/>
      <c r="T615" s="676"/>
      <c r="U615" s="676"/>
      <c r="V615"/>
      <c r="W615"/>
      <c r="X615"/>
      <c r="Y615"/>
    </row>
    <row r="616" spans="1:25" ht="15.75">
      <c r="A616" s="684"/>
      <c r="B616" s="688"/>
      <c r="C616" s="380"/>
      <c r="D616" s="381"/>
      <c r="E616" s="381"/>
      <c r="F616" s="381"/>
      <c r="G616" s="381"/>
      <c r="H616" s="382"/>
      <c r="I616" s="382"/>
      <c r="J616" s="381"/>
      <c r="K616" s="381"/>
      <c r="L616" s="381"/>
      <c r="M616" s="382"/>
      <c r="N616" s="382"/>
      <c r="O616" s="381"/>
      <c r="P616" s="381"/>
      <c r="Q616" s="382"/>
      <c r="R616" s="382"/>
      <c r="S616" s="382"/>
      <c r="T616" s="382"/>
      <c r="U616" s="382"/>
      <c r="V616"/>
      <c r="W616"/>
      <c r="X616"/>
      <c r="Y616"/>
    </row>
    <row r="617" spans="1:25" s="386" customFormat="1" ht="15.75">
      <c r="A617" s="684"/>
      <c r="B617" s="689"/>
      <c r="C617" s="383"/>
      <c r="D617" s="384"/>
      <c r="E617" s="384"/>
      <c r="F617" s="384"/>
      <c r="G617" s="384"/>
      <c r="H617" s="385"/>
      <c r="I617" s="385"/>
      <c r="J617" s="384"/>
      <c r="K617" s="384"/>
      <c r="L617" s="384"/>
      <c r="M617" s="385"/>
      <c r="N617" s="385"/>
      <c r="O617" s="384"/>
      <c r="P617" s="384"/>
      <c r="Q617" s="385"/>
      <c r="R617" s="385"/>
      <c r="S617" s="385"/>
      <c r="T617" s="692"/>
      <c r="U617" s="385"/>
      <c r="V617"/>
      <c r="W617"/>
      <c r="X617"/>
      <c r="Y617"/>
    </row>
    <row r="618" spans="1:25" ht="15.75">
      <c r="A618" s="684"/>
      <c r="B618" s="687"/>
      <c r="C618" s="674"/>
      <c r="D618" s="675"/>
      <c r="E618" s="675"/>
      <c r="F618" s="675"/>
      <c r="G618" s="675"/>
      <c r="H618" s="676"/>
      <c r="I618" s="676"/>
      <c r="J618" s="675"/>
      <c r="K618" s="675"/>
      <c r="L618" s="675"/>
      <c r="M618" s="676"/>
      <c r="N618" s="676"/>
      <c r="O618" s="675"/>
      <c r="P618" s="675"/>
      <c r="Q618" s="676"/>
      <c r="R618" s="676"/>
      <c r="S618" s="676"/>
      <c r="T618" s="676"/>
      <c r="U618" s="676"/>
      <c r="V618"/>
      <c r="W618"/>
      <c r="X618"/>
      <c r="Y618"/>
    </row>
    <row r="619" spans="1:25" ht="15.75">
      <c r="A619" s="684"/>
      <c r="B619" s="688"/>
      <c r="C619" s="380"/>
      <c r="D619" s="381"/>
      <c r="E619" s="381"/>
      <c r="F619" s="381"/>
      <c r="G619" s="381"/>
      <c r="H619" s="382"/>
      <c r="I619" s="382"/>
      <c r="J619" s="381"/>
      <c r="K619" s="381"/>
      <c r="L619" s="381"/>
      <c r="M619" s="382"/>
      <c r="N619" s="382"/>
      <c r="O619" s="381"/>
      <c r="P619" s="381"/>
      <c r="Q619" s="382"/>
      <c r="R619" s="382"/>
      <c r="S619" s="382"/>
      <c r="T619" s="382"/>
      <c r="U619" s="382"/>
      <c r="V619"/>
      <c r="W619"/>
      <c r="X619"/>
      <c r="Y619"/>
    </row>
    <row r="620" spans="1:25" s="386" customFormat="1" ht="15.75">
      <c r="A620" s="684"/>
      <c r="B620" s="689"/>
      <c r="C620" s="383"/>
      <c r="D620" s="384"/>
      <c r="E620" s="384"/>
      <c r="F620" s="384"/>
      <c r="G620" s="384"/>
      <c r="H620" s="385"/>
      <c r="I620" s="385"/>
      <c r="J620" s="384"/>
      <c r="K620" s="384"/>
      <c r="L620" s="384"/>
      <c r="M620" s="385"/>
      <c r="N620" s="385"/>
      <c r="O620" s="384"/>
      <c r="P620" s="384"/>
      <c r="Q620" s="385"/>
      <c r="R620" s="385"/>
      <c r="S620" s="385"/>
      <c r="T620" s="385"/>
      <c r="U620" s="385"/>
      <c r="V620"/>
      <c r="W620"/>
      <c r="X620"/>
      <c r="Y620"/>
    </row>
    <row r="621" spans="1:25" ht="15.75">
      <c r="A621" s="684"/>
      <c r="B621" s="687"/>
      <c r="C621" s="674"/>
      <c r="D621" s="675"/>
      <c r="E621" s="675"/>
      <c r="F621" s="675"/>
      <c r="G621" s="675"/>
      <c r="H621" s="676"/>
      <c r="I621" s="676"/>
      <c r="J621" s="675"/>
      <c r="K621" s="675"/>
      <c r="L621" s="675"/>
      <c r="M621" s="676"/>
      <c r="N621" s="676"/>
      <c r="O621" s="675"/>
      <c r="P621" s="675"/>
      <c r="Q621" s="676"/>
      <c r="R621" s="676"/>
      <c r="S621" s="676"/>
      <c r="T621" s="676"/>
      <c r="U621" s="676"/>
      <c r="V621"/>
      <c r="W621"/>
      <c r="X621"/>
      <c r="Y621"/>
    </row>
    <row r="622" spans="1:25" ht="15.75">
      <c r="A622" s="684"/>
      <c r="B622" s="688"/>
      <c r="C622" s="380"/>
      <c r="D622" s="381"/>
      <c r="E622" s="381"/>
      <c r="F622" s="381"/>
      <c r="G622" s="381"/>
      <c r="H622" s="382"/>
      <c r="I622" s="382"/>
      <c r="J622" s="381"/>
      <c r="K622" s="381"/>
      <c r="L622" s="381"/>
      <c r="M622" s="382"/>
      <c r="N622" s="382"/>
      <c r="O622" s="381"/>
      <c r="P622" s="381"/>
      <c r="Q622" s="382"/>
      <c r="R622" s="382"/>
      <c r="S622" s="382"/>
      <c r="T622" s="382"/>
      <c r="U622" s="382"/>
      <c r="V622"/>
      <c r="W622"/>
      <c r="X622"/>
      <c r="Y622"/>
    </row>
    <row r="623" spans="1:25" s="386" customFormat="1" ht="15.75">
      <c r="A623" s="684"/>
      <c r="B623" s="689"/>
      <c r="C623" s="383"/>
      <c r="D623" s="384"/>
      <c r="E623" s="384"/>
      <c r="F623" s="384"/>
      <c r="G623" s="692"/>
      <c r="H623" s="385"/>
      <c r="I623" s="385"/>
      <c r="J623" s="384"/>
      <c r="K623" s="384"/>
      <c r="L623" s="384"/>
      <c r="M623" s="385"/>
      <c r="N623" s="385"/>
      <c r="O623" s="384"/>
      <c r="P623" s="384"/>
      <c r="Q623" s="385"/>
      <c r="R623" s="385"/>
      <c r="S623" s="385"/>
      <c r="T623" s="692"/>
      <c r="U623" s="385"/>
      <c r="V623"/>
      <c r="W623"/>
      <c r="X623"/>
      <c r="Y623"/>
    </row>
    <row r="624" spans="1:25" ht="15.75">
      <c r="A624" s="684"/>
      <c r="B624" s="687"/>
      <c r="C624" s="674"/>
      <c r="D624" s="675"/>
      <c r="E624" s="675"/>
      <c r="F624" s="675"/>
      <c r="G624" s="675"/>
      <c r="H624" s="676"/>
      <c r="I624" s="676"/>
      <c r="J624" s="675"/>
      <c r="K624" s="675"/>
      <c r="L624" s="675"/>
      <c r="M624" s="676"/>
      <c r="N624" s="676"/>
      <c r="O624" s="675"/>
      <c r="P624" s="675"/>
      <c r="Q624" s="676"/>
      <c r="R624" s="676"/>
      <c r="S624" s="676"/>
      <c r="T624" s="676"/>
      <c r="U624" s="676"/>
      <c r="V624"/>
      <c r="W624"/>
      <c r="X624"/>
      <c r="Y624"/>
    </row>
    <row r="625" spans="1:25" ht="15.75">
      <c r="A625" s="684"/>
      <c r="B625" s="688"/>
      <c r="C625" s="380"/>
      <c r="D625" s="381"/>
      <c r="E625" s="381"/>
      <c r="F625" s="381"/>
      <c r="G625" s="381"/>
      <c r="H625" s="382"/>
      <c r="I625" s="382"/>
      <c r="J625" s="381"/>
      <c r="K625" s="381"/>
      <c r="L625" s="381"/>
      <c r="M625" s="382"/>
      <c r="N625" s="382"/>
      <c r="O625" s="381"/>
      <c r="P625" s="381"/>
      <c r="Q625" s="382"/>
      <c r="R625" s="382"/>
      <c r="S625" s="382"/>
      <c r="T625" s="382"/>
      <c r="U625" s="382"/>
      <c r="V625"/>
      <c r="W625"/>
      <c r="X625"/>
      <c r="Y625"/>
    </row>
    <row r="626" spans="1:25" s="386" customFormat="1" ht="15.75">
      <c r="A626" s="684"/>
      <c r="B626" s="689"/>
      <c r="C626" s="383"/>
      <c r="D626" s="384"/>
      <c r="E626" s="384"/>
      <c r="F626" s="384"/>
      <c r="G626" s="384"/>
      <c r="H626" s="385"/>
      <c r="I626" s="385"/>
      <c r="J626" s="384"/>
      <c r="K626" s="384"/>
      <c r="L626" s="384"/>
      <c r="M626" s="385"/>
      <c r="N626" s="385"/>
      <c r="O626" s="384"/>
      <c r="P626" s="384"/>
      <c r="Q626" s="385"/>
      <c r="R626" s="385"/>
      <c r="S626" s="385"/>
      <c r="T626" s="692"/>
      <c r="U626" s="385"/>
      <c r="V626"/>
      <c r="W626"/>
      <c r="X626"/>
      <c r="Y626"/>
    </row>
    <row r="627" spans="1:25" ht="15.75">
      <c r="A627" s="684"/>
      <c r="B627" s="687"/>
      <c r="C627" s="674"/>
      <c r="D627" s="675"/>
      <c r="E627" s="675"/>
      <c r="F627" s="675"/>
      <c r="G627" s="675"/>
      <c r="H627" s="676"/>
      <c r="I627" s="676"/>
      <c r="J627" s="675"/>
      <c r="K627" s="675"/>
      <c r="L627" s="675"/>
      <c r="M627" s="676"/>
      <c r="N627" s="676"/>
      <c r="O627" s="675"/>
      <c r="P627" s="675"/>
      <c r="Q627" s="676"/>
      <c r="R627" s="676"/>
      <c r="S627" s="676"/>
      <c r="T627" s="676"/>
      <c r="U627" s="676"/>
      <c r="V627"/>
      <c r="W627"/>
      <c r="X627"/>
      <c r="Y627"/>
    </row>
    <row r="628" spans="1:25" ht="15.75">
      <c r="A628" s="684"/>
      <c r="B628" s="688"/>
      <c r="C628" s="380"/>
      <c r="D628" s="381"/>
      <c r="E628" s="381"/>
      <c r="F628" s="381"/>
      <c r="G628" s="381"/>
      <c r="H628" s="382"/>
      <c r="I628" s="382"/>
      <c r="J628" s="381"/>
      <c r="K628" s="381"/>
      <c r="L628" s="381"/>
      <c r="M628" s="382"/>
      <c r="N628" s="382"/>
      <c r="O628" s="381"/>
      <c r="P628" s="381"/>
      <c r="Q628" s="382"/>
      <c r="R628" s="382"/>
      <c r="S628" s="382"/>
      <c r="T628" s="382"/>
      <c r="U628" s="382"/>
      <c r="V628"/>
      <c r="W628"/>
      <c r="X628"/>
      <c r="Y628"/>
    </row>
    <row r="629" spans="1:25" s="386" customFormat="1" ht="15.75">
      <c r="A629" s="684"/>
      <c r="B629" s="689"/>
      <c r="C629" s="383"/>
      <c r="D629" s="384"/>
      <c r="E629" s="384"/>
      <c r="F629" s="384"/>
      <c r="G629" s="384"/>
      <c r="H629" s="385"/>
      <c r="I629" s="385"/>
      <c r="J629" s="384"/>
      <c r="K629" s="384"/>
      <c r="L629" s="384"/>
      <c r="M629" s="385"/>
      <c r="N629" s="385"/>
      <c r="O629" s="384"/>
      <c r="P629" s="384"/>
      <c r="Q629" s="385"/>
      <c r="R629" s="385"/>
      <c r="S629" s="385"/>
      <c r="T629" s="385"/>
      <c r="U629" s="385"/>
      <c r="V629"/>
      <c r="W629"/>
      <c r="X629"/>
      <c r="Y629"/>
    </row>
    <row r="630" spans="1:25" ht="15.75">
      <c r="A630" s="684"/>
      <c r="B630" s="687"/>
      <c r="C630" s="674"/>
      <c r="D630" s="675"/>
      <c r="E630" s="675"/>
      <c r="F630" s="675"/>
      <c r="G630" s="675"/>
      <c r="H630" s="676"/>
      <c r="I630" s="676"/>
      <c r="J630" s="675"/>
      <c r="K630" s="675"/>
      <c r="L630" s="675"/>
      <c r="M630" s="676"/>
      <c r="N630" s="676"/>
      <c r="O630" s="675"/>
      <c r="P630" s="675"/>
      <c r="Q630" s="676"/>
      <c r="R630" s="676"/>
      <c r="S630" s="676"/>
      <c r="T630" s="676"/>
      <c r="U630" s="676"/>
      <c r="V630"/>
      <c r="W630"/>
      <c r="X630"/>
      <c r="Y630"/>
    </row>
    <row r="631" spans="1:25" ht="15.75">
      <c r="A631" s="684"/>
      <c r="B631" s="688"/>
      <c r="C631" s="380"/>
      <c r="D631" s="381"/>
      <c r="E631" s="381"/>
      <c r="F631" s="381"/>
      <c r="G631" s="381"/>
      <c r="H631" s="382"/>
      <c r="I631" s="382"/>
      <c r="J631" s="381"/>
      <c r="K631" s="381"/>
      <c r="L631" s="381"/>
      <c r="M631" s="382"/>
      <c r="N631" s="382"/>
      <c r="O631" s="381"/>
      <c r="P631" s="381"/>
      <c r="Q631" s="382"/>
      <c r="R631" s="382"/>
      <c r="S631" s="382"/>
      <c r="T631" s="382"/>
      <c r="U631" s="382"/>
      <c r="V631"/>
      <c r="W631"/>
      <c r="X631"/>
      <c r="Y631"/>
    </row>
    <row r="632" spans="1:25" s="386" customFormat="1" ht="15.75">
      <c r="A632" s="684"/>
      <c r="B632" s="689"/>
      <c r="C632" s="383"/>
      <c r="D632" s="384"/>
      <c r="E632" s="384"/>
      <c r="F632" s="384"/>
      <c r="G632" s="384"/>
      <c r="H632" s="385"/>
      <c r="I632" s="385"/>
      <c r="J632" s="384"/>
      <c r="K632" s="384"/>
      <c r="L632" s="384"/>
      <c r="M632" s="385"/>
      <c r="N632" s="385"/>
      <c r="O632" s="384"/>
      <c r="P632" s="384"/>
      <c r="Q632" s="385"/>
      <c r="R632" s="385"/>
      <c r="S632" s="385"/>
      <c r="T632" s="385"/>
      <c r="U632" s="385"/>
      <c r="V632"/>
      <c r="W632"/>
      <c r="X632"/>
      <c r="Y632"/>
    </row>
    <row r="633" spans="1:25" ht="15.75">
      <c r="A633" s="684"/>
      <c r="B633" s="687"/>
      <c r="C633" s="674"/>
      <c r="D633" s="675"/>
      <c r="E633" s="675"/>
      <c r="F633" s="675"/>
      <c r="G633" s="675"/>
      <c r="H633" s="676"/>
      <c r="I633" s="676"/>
      <c r="J633" s="675"/>
      <c r="K633" s="675"/>
      <c r="L633" s="675"/>
      <c r="M633" s="676"/>
      <c r="N633" s="676"/>
      <c r="O633" s="675"/>
      <c r="P633" s="675"/>
      <c r="Q633" s="676"/>
      <c r="R633" s="676"/>
      <c r="S633" s="676"/>
      <c r="T633" s="676"/>
      <c r="U633" s="676"/>
      <c r="V633"/>
      <c r="W633"/>
      <c r="X633"/>
      <c r="Y633"/>
    </row>
    <row r="634" spans="1:25" ht="15.75">
      <c r="A634" s="684"/>
      <c r="B634" s="688"/>
      <c r="C634" s="380"/>
      <c r="D634" s="381"/>
      <c r="E634" s="381"/>
      <c r="F634" s="381"/>
      <c r="G634" s="381"/>
      <c r="H634" s="382"/>
      <c r="I634" s="382"/>
      <c r="J634" s="381"/>
      <c r="K634" s="381"/>
      <c r="L634" s="381"/>
      <c r="M634" s="382"/>
      <c r="N634" s="382"/>
      <c r="O634" s="381"/>
      <c r="P634" s="381"/>
      <c r="Q634" s="382"/>
      <c r="R634" s="382"/>
      <c r="S634" s="382"/>
      <c r="T634" s="382"/>
      <c r="U634" s="382"/>
      <c r="V634"/>
      <c r="W634"/>
      <c r="X634"/>
      <c r="Y634"/>
    </row>
    <row r="635" spans="1:25" s="386" customFormat="1" ht="15.75">
      <c r="A635" s="684"/>
      <c r="B635" s="689"/>
      <c r="C635" s="383"/>
      <c r="D635" s="384"/>
      <c r="E635" s="384"/>
      <c r="F635" s="384"/>
      <c r="G635" s="384"/>
      <c r="H635" s="385"/>
      <c r="I635" s="385"/>
      <c r="J635" s="384"/>
      <c r="K635" s="384"/>
      <c r="L635" s="384"/>
      <c r="M635" s="385"/>
      <c r="N635" s="385"/>
      <c r="O635" s="384"/>
      <c r="P635" s="384"/>
      <c r="Q635" s="385"/>
      <c r="R635" s="385"/>
      <c r="S635" s="385"/>
      <c r="T635" s="385"/>
      <c r="U635" s="385"/>
      <c r="V635"/>
      <c r="W635"/>
      <c r="X635"/>
      <c r="Y635"/>
    </row>
    <row r="636" spans="1:25" ht="15.75">
      <c r="A636" s="684"/>
      <c r="B636" s="687"/>
      <c r="C636" s="674"/>
      <c r="D636" s="675"/>
      <c r="E636" s="675"/>
      <c r="F636" s="675"/>
      <c r="G636" s="675"/>
      <c r="H636" s="676"/>
      <c r="I636" s="676"/>
      <c r="J636" s="675"/>
      <c r="K636" s="675"/>
      <c r="L636" s="675"/>
      <c r="M636" s="676"/>
      <c r="N636" s="676"/>
      <c r="O636" s="675"/>
      <c r="P636" s="675"/>
      <c r="Q636" s="676"/>
      <c r="R636" s="676"/>
      <c r="S636" s="676"/>
      <c r="T636" s="676"/>
      <c r="U636" s="676"/>
      <c r="V636"/>
      <c r="W636"/>
      <c r="X636"/>
      <c r="Y636"/>
    </row>
    <row r="637" spans="1:25" ht="15.75">
      <c r="A637" s="684"/>
      <c r="B637" s="688"/>
      <c r="C637" s="380"/>
      <c r="D637" s="381"/>
      <c r="E637" s="381"/>
      <c r="F637" s="381"/>
      <c r="G637" s="381"/>
      <c r="H637" s="382"/>
      <c r="I637" s="382"/>
      <c r="J637" s="381"/>
      <c r="K637" s="381"/>
      <c r="L637" s="381"/>
      <c r="M637" s="382"/>
      <c r="N637" s="382"/>
      <c r="O637" s="381"/>
      <c r="P637" s="381"/>
      <c r="Q637" s="382"/>
      <c r="R637" s="382"/>
      <c r="S637" s="382"/>
      <c r="T637" s="382"/>
      <c r="U637" s="382"/>
      <c r="V637"/>
      <c r="W637"/>
      <c r="X637"/>
      <c r="Y637"/>
    </row>
    <row r="638" spans="1:25" s="386" customFormat="1" ht="15.75">
      <c r="A638" s="684"/>
      <c r="B638" s="689"/>
      <c r="C638" s="383"/>
      <c r="D638" s="384"/>
      <c r="E638" s="384"/>
      <c r="F638" s="384"/>
      <c r="G638" s="384"/>
      <c r="H638" s="385"/>
      <c r="I638" s="385"/>
      <c r="J638" s="384"/>
      <c r="K638" s="384"/>
      <c r="L638" s="384"/>
      <c r="M638" s="385"/>
      <c r="N638" s="385"/>
      <c r="O638" s="384"/>
      <c r="P638" s="384"/>
      <c r="Q638" s="385"/>
      <c r="R638" s="385"/>
      <c r="S638" s="385"/>
      <c r="T638" s="692"/>
      <c r="U638" s="385"/>
      <c r="V638"/>
      <c r="W638"/>
      <c r="X638"/>
      <c r="Y638"/>
    </row>
    <row r="639" spans="1:25" ht="15.75">
      <c r="A639" s="684"/>
      <c r="B639" s="687"/>
      <c r="C639" s="674"/>
      <c r="D639" s="675"/>
      <c r="E639" s="675"/>
      <c r="F639" s="675"/>
      <c r="G639" s="675"/>
      <c r="H639" s="676"/>
      <c r="I639" s="676"/>
      <c r="J639" s="675"/>
      <c r="K639" s="675"/>
      <c r="L639" s="675"/>
      <c r="M639" s="676"/>
      <c r="N639" s="676"/>
      <c r="O639" s="675"/>
      <c r="P639" s="675"/>
      <c r="Q639" s="676"/>
      <c r="R639" s="676"/>
      <c r="S639" s="676"/>
      <c r="T639" s="676"/>
      <c r="U639" s="676"/>
      <c r="V639"/>
      <c r="W639"/>
      <c r="X639"/>
      <c r="Y639"/>
    </row>
    <row r="640" spans="1:25" ht="15.75">
      <c r="A640" s="684"/>
      <c r="B640" s="688"/>
      <c r="C640" s="380"/>
      <c r="D640" s="381"/>
      <c r="E640" s="381"/>
      <c r="F640" s="381"/>
      <c r="G640" s="381"/>
      <c r="H640" s="382"/>
      <c r="I640" s="382"/>
      <c r="J640" s="381"/>
      <c r="K640" s="381"/>
      <c r="L640" s="381"/>
      <c r="M640" s="382"/>
      <c r="N640" s="382"/>
      <c r="O640" s="381"/>
      <c r="P640" s="381"/>
      <c r="Q640" s="382"/>
      <c r="R640" s="382"/>
      <c r="S640" s="382"/>
      <c r="T640" s="382"/>
      <c r="U640" s="382"/>
      <c r="V640"/>
      <c r="W640"/>
      <c r="X640"/>
      <c r="Y640"/>
    </row>
    <row r="641" spans="1:25" s="386" customFormat="1" ht="15.75">
      <c r="A641" s="684"/>
      <c r="B641" s="689"/>
      <c r="C641" s="383"/>
      <c r="D641" s="384"/>
      <c r="E641" s="384"/>
      <c r="F641" s="384"/>
      <c r="G641" s="384"/>
      <c r="H641" s="385"/>
      <c r="I641" s="385"/>
      <c r="J641" s="384"/>
      <c r="K641" s="384"/>
      <c r="L641" s="384"/>
      <c r="M641" s="385"/>
      <c r="N641" s="385"/>
      <c r="O641" s="384"/>
      <c r="P641" s="384"/>
      <c r="Q641" s="385"/>
      <c r="R641" s="385"/>
      <c r="S641" s="385"/>
      <c r="T641" s="385"/>
      <c r="U641" s="385"/>
      <c r="V641"/>
      <c r="W641"/>
      <c r="X641"/>
      <c r="Y641"/>
    </row>
    <row r="642" spans="1:25" ht="15.75">
      <c r="A642" s="684"/>
      <c r="B642" s="687"/>
      <c r="C642" s="674"/>
      <c r="D642" s="675"/>
      <c r="E642" s="675"/>
      <c r="F642" s="675"/>
      <c r="G642" s="675"/>
      <c r="H642" s="676"/>
      <c r="I642" s="676"/>
      <c r="J642" s="675"/>
      <c r="K642" s="675"/>
      <c r="L642" s="675"/>
      <c r="M642" s="676"/>
      <c r="N642" s="676"/>
      <c r="O642" s="675"/>
      <c r="P642" s="675"/>
      <c r="Q642" s="676"/>
      <c r="R642" s="676"/>
      <c r="S642" s="676"/>
      <c r="T642" s="676"/>
      <c r="U642" s="676"/>
      <c r="V642"/>
      <c r="W642"/>
      <c r="X642"/>
      <c r="Y642"/>
    </row>
    <row r="643" spans="1:25" ht="15.75">
      <c r="A643" s="684"/>
      <c r="B643" s="688"/>
      <c r="C643" s="380"/>
      <c r="D643" s="381"/>
      <c r="E643" s="381"/>
      <c r="F643" s="381"/>
      <c r="G643" s="381"/>
      <c r="H643" s="382"/>
      <c r="I643" s="382"/>
      <c r="J643" s="381"/>
      <c r="K643" s="381"/>
      <c r="L643" s="381"/>
      <c r="M643" s="382"/>
      <c r="N643" s="382"/>
      <c r="O643" s="381"/>
      <c r="P643" s="381"/>
      <c r="Q643" s="382"/>
      <c r="R643" s="382"/>
      <c r="S643" s="382"/>
      <c r="T643" s="382"/>
      <c r="U643" s="382"/>
      <c r="V643"/>
      <c r="W643"/>
      <c r="X643"/>
      <c r="Y643"/>
    </row>
    <row r="644" spans="1:25" s="386" customFormat="1" ht="15.75">
      <c r="A644" s="684"/>
      <c r="B644" s="689"/>
      <c r="C644" s="383"/>
      <c r="D644" s="384"/>
      <c r="E644" s="384"/>
      <c r="F644" s="384"/>
      <c r="G644" s="384"/>
      <c r="H644" s="385"/>
      <c r="I644" s="385"/>
      <c r="J644" s="384"/>
      <c r="K644" s="384"/>
      <c r="L644" s="384"/>
      <c r="M644" s="385"/>
      <c r="N644" s="385"/>
      <c r="O644" s="384"/>
      <c r="P644" s="384"/>
      <c r="Q644" s="385"/>
      <c r="R644" s="385"/>
      <c r="S644" s="385"/>
      <c r="T644" s="385"/>
      <c r="U644" s="385"/>
      <c r="V644"/>
      <c r="W644"/>
      <c r="X644"/>
      <c r="Y644"/>
    </row>
    <row r="645" spans="1:25" ht="15.75">
      <c r="A645" s="684"/>
      <c r="B645" s="687"/>
      <c r="C645" s="674"/>
      <c r="D645" s="675"/>
      <c r="E645" s="675"/>
      <c r="F645" s="675"/>
      <c r="G645" s="675"/>
      <c r="H645" s="676"/>
      <c r="I645" s="676"/>
      <c r="J645" s="675"/>
      <c r="K645" s="675"/>
      <c r="L645" s="675"/>
      <c r="M645" s="676"/>
      <c r="N645" s="676"/>
      <c r="O645" s="675"/>
      <c r="P645" s="675"/>
      <c r="Q645" s="676"/>
      <c r="R645" s="676"/>
      <c r="S645" s="676"/>
      <c r="T645" s="676"/>
      <c r="U645" s="676"/>
      <c r="V645"/>
      <c r="W645"/>
      <c r="X645"/>
      <c r="Y645"/>
    </row>
    <row r="646" spans="1:25" ht="15.75">
      <c r="A646" s="684"/>
      <c r="B646" s="688"/>
      <c r="C646" s="380"/>
      <c r="D646" s="381"/>
      <c r="E646" s="381"/>
      <c r="F646" s="381"/>
      <c r="G646" s="381"/>
      <c r="H646" s="382"/>
      <c r="I646" s="382"/>
      <c r="J646" s="381"/>
      <c r="K646" s="381"/>
      <c r="L646" s="381"/>
      <c r="M646" s="382"/>
      <c r="N646" s="382"/>
      <c r="O646" s="381"/>
      <c r="P646" s="381"/>
      <c r="Q646" s="382"/>
      <c r="R646" s="382"/>
      <c r="S646" s="382"/>
      <c r="T646" s="382"/>
      <c r="U646" s="382"/>
      <c r="V646"/>
      <c r="W646"/>
      <c r="X646"/>
      <c r="Y646"/>
    </row>
    <row r="647" spans="1:25" s="386" customFormat="1" ht="15.75">
      <c r="A647" s="684"/>
      <c r="B647" s="689"/>
      <c r="C647" s="383"/>
      <c r="D647" s="384"/>
      <c r="E647" s="384"/>
      <c r="F647" s="384"/>
      <c r="G647" s="384"/>
      <c r="H647" s="385"/>
      <c r="I647" s="385"/>
      <c r="J647" s="384"/>
      <c r="K647" s="384"/>
      <c r="L647" s="384"/>
      <c r="M647" s="385"/>
      <c r="N647" s="385"/>
      <c r="O647" s="384"/>
      <c r="P647" s="384"/>
      <c r="Q647" s="385"/>
      <c r="R647" s="385"/>
      <c r="S647" s="385"/>
      <c r="T647" s="385"/>
      <c r="U647" s="385"/>
      <c r="V647"/>
      <c r="W647"/>
      <c r="X647"/>
      <c r="Y647"/>
    </row>
    <row r="648" spans="1:25" ht="15.75">
      <c r="A648" s="684"/>
      <c r="B648" s="687"/>
      <c r="C648" s="674"/>
      <c r="D648" s="675"/>
      <c r="E648" s="675"/>
      <c r="F648" s="675"/>
      <c r="G648" s="675"/>
      <c r="H648" s="676"/>
      <c r="I648" s="676"/>
      <c r="J648" s="675"/>
      <c r="K648" s="675"/>
      <c r="L648" s="675"/>
      <c r="M648" s="676"/>
      <c r="N648" s="676"/>
      <c r="O648" s="675"/>
      <c r="P648" s="675"/>
      <c r="Q648" s="676"/>
      <c r="R648" s="676"/>
      <c r="S648" s="676"/>
      <c r="T648" s="676"/>
      <c r="U648" s="676"/>
      <c r="V648"/>
      <c r="W648"/>
      <c r="X648"/>
      <c r="Y648"/>
    </row>
    <row r="649" spans="1:25" ht="15.75">
      <c r="A649" s="684"/>
      <c r="B649" s="688"/>
      <c r="C649" s="380"/>
      <c r="D649" s="381"/>
      <c r="E649" s="381"/>
      <c r="F649" s="381"/>
      <c r="G649" s="381"/>
      <c r="H649" s="382"/>
      <c r="I649" s="382"/>
      <c r="J649" s="381"/>
      <c r="K649" s="381"/>
      <c r="L649" s="381"/>
      <c r="M649" s="382"/>
      <c r="N649" s="382"/>
      <c r="O649" s="381"/>
      <c r="P649" s="381"/>
      <c r="Q649" s="382"/>
      <c r="R649" s="382"/>
      <c r="S649" s="382"/>
      <c r="T649" s="382"/>
      <c r="U649" s="382"/>
      <c r="V649"/>
      <c r="W649"/>
      <c r="X649"/>
      <c r="Y649"/>
    </row>
    <row r="650" spans="1:25" s="386" customFormat="1" ht="15.75">
      <c r="A650" s="684"/>
      <c r="B650" s="689"/>
      <c r="C650" s="383"/>
      <c r="D650" s="384"/>
      <c r="E650" s="384"/>
      <c r="F650" s="384"/>
      <c r="G650" s="384"/>
      <c r="H650" s="385"/>
      <c r="I650" s="385"/>
      <c r="J650" s="384"/>
      <c r="K650" s="384"/>
      <c r="L650" s="384"/>
      <c r="M650" s="385"/>
      <c r="N650" s="385"/>
      <c r="O650" s="384"/>
      <c r="P650" s="384"/>
      <c r="Q650" s="385"/>
      <c r="R650" s="385"/>
      <c r="S650" s="385"/>
      <c r="T650" s="385"/>
      <c r="U650" s="385"/>
      <c r="V650"/>
      <c r="W650"/>
      <c r="X650"/>
      <c r="Y650"/>
    </row>
    <row r="651" spans="1:25" ht="15.75">
      <c r="A651" s="684"/>
      <c r="B651" s="687"/>
      <c r="C651" s="674"/>
      <c r="D651" s="675"/>
      <c r="E651" s="675"/>
      <c r="F651" s="675"/>
      <c r="G651" s="675"/>
      <c r="H651" s="676"/>
      <c r="I651" s="676"/>
      <c r="J651" s="675"/>
      <c r="K651" s="675"/>
      <c r="L651" s="675"/>
      <c r="M651" s="676"/>
      <c r="N651" s="676"/>
      <c r="O651" s="675"/>
      <c r="P651" s="675"/>
      <c r="Q651" s="676"/>
      <c r="R651" s="676"/>
      <c r="S651" s="676"/>
      <c r="T651" s="676"/>
      <c r="U651" s="676"/>
      <c r="V651"/>
      <c r="W651"/>
      <c r="X651"/>
      <c r="Y651"/>
    </row>
    <row r="652" spans="1:25" ht="15.75">
      <c r="A652" s="684"/>
      <c r="B652" s="688"/>
      <c r="C652" s="380"/>
      <c r="D652" s="381"/>
      <c r="E652" s="381"/>
      <c r="F652" s="381"/>
      <c r="G652" s="381"/>
      <c r="H652" s="382"/>
      <c r="I652" s="382"/>
      <c r="J652" s="381"/>
      <c r="K652" s="381"/>
      <c r="L652" s="381"/>
      <c r="M652" s="382"/>
      <c r="N652" s="382"/>
      <c r="O652" s="381"/>
      <c r="P652" s="381"/>
      <c r="Q652" s="382"/>
      <c r="R652" s="382"/>
      <c r="S652" s="382"/>
      <c r="T652" s="382"/>
      <c r="U652" s="382"/>
      <c r="V652"/>
      <c r="W652"/>
      <c r="X652"/>
      <c r="Y652"/>
    </row>
    <row r="653" spans="1:25" s="386" customFormat="1" ht="15.75">
      <c r="A653" s="684"/>
      <c r="B653" s="689"/>
      <c r="C653" s="383"/>
      <c r="D653" s="384"/>
      <c r="E653" s="384"/>
      <c r="F653" s="384"/>
      <c r="G653" s="384"/>
      <c r="H653" s="385"/>
      <c r="I653" s="385"/>
      <c r="J653" s="384"/>
      <c r="K653" s="384"/>
      <c r="L653" s="384"/>
      <c r="M653" s="385"/>
      <c r="N653" s="385"/>
      <c r="O653" s="384"/>
      <c r="P653" s="384"/>
      <c r="Q653" s="385"/>
      <c r="R653" s="385"/>
      <c r="S653" s="385"/>
      <c r="T653" s="385"/>
      <c r="U653" s="385"/>
      <c r="V653"/>
      <c r="W653"/>
      <c r="X653"/>
      <c r="Y653"/>
    </row>
    <row r="654" spans="1:25" ht="15.75">
      <c r="A654" s="684"/>
      <c r="B654" s="687"/>
      <c r="C654" s="674"/>
      <c r="D654" s="675"/>
      <c r="E654" s="675"/>
      <c r="F654" s="675"/>
      <c r="G654" s="675"/>
      <c r="H654" s="676"/>
      <c r="I654" s="676"/>
      <c r="J654" s="675"/>
      <c r="K654" s="675"/>
      <c r="L654" s="675"/>
      <c r="M654" s="676"/>
      <c r="N654" s="676"/>
      <c r="O654" s="675"/>
      <c r="P654" s="675"/>
      <c r="Q654" s="676"/>
      <c r="R654" s="676"/>
      <c r="S654" s="676"/>
      <c r="T654" s="676"/>
      <c r="U654" s="676"/>
      <c r="V654"/>
      <c r="W654"/>
      <c r="X654"/>
      <c r="Y654"/>
    </row>
    <row r="655" spans="1:25" ht="15.75">
      <c r="A655" s="685"/>
      <c r="B655" s="690"/>
      <c r="C655" s="576"/>
      <c r="D655" s="577"/>
      <c r="E655" s="577"/>
      <c r="F655" s="577"/>
      <c r="G655" s="577"/>
      <c r="H655" s="578"/>
      <c r="I655" s="578"/>
      <c r="J655" s="577"/>
      <c r="K655" s="577"/>
      <c r="L655" s="577"/>
      <c r="M655" s="578"/>
      <c r="N655" s="578"/>
      <c r="O655" s="577"/>
      <c r="P655" s="577"/>
      <c r="Q655" s="578"/>
      <c r="R655" s="578"/>
      <c r="S655" s="578"/>
      <c r="T655" s="578"/>
      <c r="U655" s="578"/>
      <c r="V655"/>
      <c r="W655"/>
      <c r="X655"/>
      <c r="Y655"/>
    </row>
    <row r="656" spans="1:25" s="386" customFormat="1" ht="15.75">
      <c r="A656" s="683"/>
      <c r="B656" s="687"/>
      <c r="C656" s="674"/>
      <c r="D656" s="675"/>
      <c r="E656" s="675"/>
      <c r="F656" s="675"/>
      <c r="G656" s="675"/>
      <c r="H656" s="676"/>
      <c r="I656" s="676"/>
      <c r="J656" s="675"/>
      <c r="K656" s="675"/>
      <c r="L656" s="675"/>
      <c r="M656" s="676"/>
      <c r="N656" s="676"/>
      <c r="O656" s="675"/>
      <c r="P656" s="675"/>
      <c r="Q656" s="676"/>
      <c r="R656" s="676"/>
      <c r="S656" s="676"/>
      <c r="T656" s="676"/>
      <c r="U656" s="676"/>
      <c r="V656"/>
      <c r="W656"/>
      <c r="X656"/>
      <c r="Y656"/>
    </row>
    <row r="657" spans="1:25" ht="15.75">
      <c r="A657" s="684"/>
      <c r="B657" s="688"/>
      <c r="C657" s="380"/>
      <c r="D657" s="381"/>
      <c r="E657" s="381"/>
      <c r="F657" s="381"/>
      <c r="G657" s="381"/>
      <c r="H657" s="382"/>
      <c r="I657" s="382"/>
      <c r="J657" s="381"/>
      <c r="K657" s="381"/>
      <c r="L657" s="381"/>
      <c r="M657" s="382"/>
      <c r="N657" s="382"/>
      <c r="O657" s="381"/>
      <c r="P657" s="381"/>
      <c r="Q657" s="382"/>
      <c r="R657" s="382"/>
      <c r="S657" s="382"/>
      <c r="T657" s="382"/>
      <c r="U657" s="382"/>
      <c r="V657"/>
      <c r="W657"/>
      <c r="X657"/>
      <c r="Y657"/>
    </row>
    <row r="658" spans="1:25" ht="15.75">
      <c r="A658" s="684"/>
      <c r="B658" s="689"/>
      <c r="C658" s="383"/>
      <c r="D658" s="384"/>
      <c r="E658" s="384"/>
      <c r="F658" s="384"/>
      <c r="G658" s="384"/>
      <c r="H658" s="385"/>
      <c r="I658" s="385"/>
      <c r="J658" s="384"/>
      <c r="K658" s="384"/>
      <c r="L658" s="384"/>
      <c r="M658" s="385"/>
      <c r="N658" s="385"/>
      <c r="O658" s="384"/>
      <c r="P658" s="384"/>
      <c r="Q658" s="385"/>
      <c r="R658" s="385"/>
      <c r="S658" s="385"/>
      <c r="T658" s="385"/>
      <c r="U658" s="385"/>
      <c r="V658"/>
      <c r="W658"/>
      <c r="X658"/>
      <c r="Y658"/>
    </row>
    <row r="659" spans="1:25" s="386" customFormat="1" ht="15.75">
      <c r="A659" s="684"/>
      <c r="B659" s="687"/>
      <c r="C659" s="674"/>
      <c r="D659" s="675"/>
      <c r="E659" s="675"/>
      <c r="F659" s="675"/>
      <c r="G659" s="675"/>
      <c r="H659" s="676"/>
      <c r="I659" s="676"/>
      <c r="J659" s="675"/>
      <c r="K659" s="675"/>
      <c r="L659" s="675"/>
      <c r="M659" s="676"/>
      <c r="N659" s="676"/>
      <c r="O659" s="675"/>
      <c r="P659" s="675"/>
      <c r="Q659" s="676"/>
      <c r="R659" s="676"/>
      <c r="S659" s="676"/>
      <c r="T659" s="676"/>
      <c r="U659" s="676"/>
      <c r="V659"/>
      <c r="W659"/>
      <c r="X659"/>
      <c r="Y659"/>
    </row>
    <row r="660" spans="1:25" ht="15.75">
      <c r="A660" s="684"/>
      <c r="B660" s="688"/>
      <c r="C660" s="380"/>
      <c r="D660" s="381"/>
      <c r="E660" s="381"/>
      <c r="F660" s="381"/>
      <c r="G660" s="381"/>
      <c r="H660" s="382"/>
      <c r="I660" s="382"/>
      <c r="J660" s="381"/>
      <c r="K660" s="381"/>
      <c r="L660" s="381"/>
      <c r="M660" s="382"/>
      <c r="N660" s="382"/>
      <c r="O660" s="381"/>
      <c r="P660" s="381"/>
      <c r="Q660" s="382"/>
      <c r="R660" s="382"/>
      <c r="S660" s="382"/>
      <c r="T660" s="382"/>
      <c r="U660" s="382"/>
      <c r="V660"/>
      <c r="W660"/>
      <c r="X660"/>
      <c r="Y660"/>
    </row>
    <row r="661" spans="1:25" ht="15.75">
      <c r="A661" s="684"/>
      <c r="B661" s="689"/>
      <c r="C661" s="383"/>
      <c r="D661" s="384"/>
      <c r="E661" s="384"/>
      <c r="F661" s="384"/>
      <c r="G661" s="384"/>
      <c r="H661" s="385"/>
      <c r="I661" s="385"/>
      <c r="J661" s="384"/>
      <c r="K661" s="384"/>
      <c r="L661" s="384"/>
      <c r="M661" s="385"/>
      <c r="N661" s="385"/>
      <c r="O661" s="384"/>
      <c r="P661" s="384"/>
      <c r="Q661" s="385"/>
      <c r="R661" s="385"/>
      <c r="S661" s="385"/>
      <c r="T661" s="385"/>
      <c r="U661" s="385"/>
      <c r="V661"/>
      <c r="W661"/>
      <c r="X661"/>
      <c r="Y661"/>
    </row>
    <row r="662" spans="1:25" s="386" customFormat="1" ht="15.75">
      <c r="A662" s="684"/>
      <c r="B662" s="687"/>
      <c r="C662" s="674"/>
      <c r="D662" s="675"/>
      <c r="E662" s="675"/>
      <c r="F662" s="675"/>
      <c r="G662" s="675"/>
      <c r="H662" s="676"/>
      <c r="I662" s="676"/>
      <c r="J662" s="675"/>
      <c r="K662" s="675"/>
      <c r="L662" s="675"/>
      <c r="M662" s="676"/>
      <c r="N662" s="676"/>
      <c r="O662" s="675"/>
      <c r="P662" s="675"/>
      <c r="Q662" s="676"/>
      <c r="R662" s="676"/>
      <c r="S662" s="676"/>
      <c r="T662" s="676"/>
      <c r="U662" s="676"/>
      <c r="V662"/>
      <c r="W662"/>
      <c r="X662"/>
      <c r="Y662"/>
    </row>
    <row r="663" spans="1:25" ht="15.75">
      <c r="A663" s="684"/>
      <c r="B663" s="688"/>
      <c r="C663" s="380"/>
      <c r="D663" s="381"/>
      <c r="E663" s="381"/>
      <c r="F663" s="381"/>
      <c r="G663" s="381"/>
      <c r="H663" s="382"/>
      <c r="I663" s="382"/>
      <c r="J663" s="381"/>
      <c r="K663" s="381"/>
      <c r="L663" s="381"/>
      <c r="M663" s="382"/>
      <c r="N663" s="382"/>
      <c r="O663" s="381"/>
      <c r="P663" s="381"/>
      <c r="Q663" s="382"/>
      <c r="R663" s="382"/>
      <c r="S663" s="382"/>
      <c r="T663" s="382"/>
      <c r="U663" s="382"/>
      <c r="V663"/>
      <c r="W663"/>
      <c r="X663"/>
      <c r="Y663"/>
    </row>
    <row r="664" spans="1:25" ht="15.75">
      <c r="A664" s="684"/>
      <c r="B664" s="689"/>
      <c r="C664" s="383"/>
      <c r="D664" s="384"/>
      <c r="E664" s="692"/>
      <c r="F664" s="384"/>
      <c r="G664" s="384"/>
      <c r="H664" s="385"/>
      <c r="I664" s="385"/>
      <c r="J664" s="384"/>
      <c r="K664" s="384"/>
      <c r="L664" s="384"/>
      <c r="M664" s="385"/>
      <c r="N664" s="385"/>
      <c r="O664" s="384"/>
      <c r="P664" s="384"/>
      <c r="Q664" s="385"/>
      <c r="R664" s="385"/>
      <c r="S664" s="385"/>
      <c r="T664" s="385"/>
      <c r="U664" s="385"/>
      <c r="V664"/>
      <c r="W664"/>
      <c r="X664"/>
      <c r="Y664"/>
    </row>
    <row r="665" spans="1:25" s="386" customFormat="1" ht="15.75">
      <c r="A665" s="684"/>
      <c r="B665" s="687"/>
      <c r="C665" s="674"/>
      <c r="D665" s="675"/>
      <c r="E665" s="675"/>
      <c r="F665" s="675"/>
      <c r="G665" s="675"/>
      <c r="H665" s="676"/>
      <c r="I665" s="676"/>
      <c r="J665" s="675"/>
      <c r="K665" s="675"/>
      <c r="L665" s="675"/>
      <c r="M665" s="676"/>
      <c r="N665" s="676"/>
      <c r="O665" s="675"/>
      <c r="P665" s="675"/>
      <c r="Q665" s="676"/>
      <c r="R665" s="676"/>
      <c r="S665" s="676"/>
      <c r="T665" s="676"/>
      <c r="U665" s="676"/>
      <c r="V665"/>
      <c r="W665"/>
      <c r="X665"/>
      <c r="Y665"/>
    </row>
    <row r="666" spans="1:25" ht="15.75">
      <c r="A666" s="684"/>
      <c r="B666" s="688"/>
      <c r="C666" s="380"/>
      <c r="D666" s="381"/>
      <c r="E666" s="381"/>
      <c r="F666" s="381"/>
      <c r="G666" s="381"/>
      <c r="H666" s="382"/>
      <c r="I666" s="382"/>
      <c r="J666" s="381"/>
      <c r="K666" s="381"/>
      <c r="L666" s="381"/>
      <c r="M666" s="382"/>
      <c r="N666" s="382"/>
      <c r="O666" s="381"/>
      <c r="P666" s="381"/>
      <c r="Q666" s="382"/>
      <c r="R666" s="382"/>
      <c r="S666" s="382"/>
      <c r="T666" s="382"/>
      <c r="U666" s="382"/>
      <c r="V666"/>
      <c r="W666"/>
      <c r="X666"/>
      <c r="Y666"/>
    </row>
    <row r="667" spans="1:25" ht="15.75">
      <c r="A667" s="684"/>
      <c r="B667" s="689"/>
      <c r="C667" s="383"/>
      <c r="D667" s="384"/>
      <c r="E667" s="384"/>
      <c r="F667" s="384"/>
      <c r="G667" s="384"/>
      <c r="H667" s="385"/>
      <c r="I667" s="385"/>
      <c r="J667" s="692"/>
      <c r="K667" s="384"/>
      <c r="L667" s="384"/>
      <c r="M667" s="385"/>
      <c r="N667" s="385"/>
      <c r="O667" s="384"/>
      <c r="P667" s="384"/>
      <c r="Q667" s="385"/>
      <c r="R667" s="385"/>
      <c r="S667" s="385"/>
      <c r="T667" s="385"/>
      <c r="U667" s="385"/>
      <c r="V667"/>
      <c r="W667"/>
      <c r="X667"/>
      <c r="Y667"/>
    </row>
    <row r="668" spans="1:25" s="386" customFormat="1" ht="15.75">
      <c r="A668" s="684"/>
      <c r="B668" s="687"/>
      <c r="C668" s="674"/>
      <c r="D668" s="675"/>
      <c r="E668" s="675"/>
      <c r="F668" s="675"/>
      <c r="G668" s="675"/>
      <c r="H668" s="676"/>
      <c r="I668" s="676"/>
      <c r="J668" s="675"/>
      <c r="K668" s="675"/>
      <c r="L668" s="675"/>
      <c r="M668" s="676"/>
      <c r="N668" s="676"/>
      <c r="O668" s="675"/>
      <c r="P668" s="675"/>
      <c r="Q668" s="676"/>
      <c r="R668" s="676"/>
      <c r="S668" s="676"/>
      <c r="T668" s="676"/>
      <c r="U668" s="676"/>
      <c r="V668"/>
      <c r="W668"/>
      <c r="X668"/>
      <c r="Y668"/>
    </row>
    <row r="669" spans="1:25" ht="15.75">
      <c r="A669" s="684"/>
      <c r="B669" s="688"/>
      <c r="C669" s="380"/>
      <c r="D669" s="381"/>
      <c r="E669" s="381"/>
      <c r="F669" s="381"/>
      <c r="G669" s="381"/>
      <c r="H669" s="382"/>
      <c r="I669" s="382"/>
      <c r="J669" s="381"/>
      <c r="K669" s="381"/>
      <c r="L669" s="381"/>
      <c r="M669" s="382"/>
      <c r="N669" s="382"/>
      <c r="O669" s="381"/>
      <c r="P669" s="381"/>
      <c r="Q669" s="382"/>
      <c r="R669" s="382"/>
      <c r="S669" s="382"/>
      <c r="T669" s="382"/>
      <c r="U669" s="382"/>
      <c r="V669"/>
      <c r="W669"/>
      <c r="X669"/>
      <c r="Y669"/>
    </row>
    <row r="670" spans="1:25" ht="15.75">
      <c r="A670" s="684"/>
      <c r="B670" s="689"/>
      <c r="C670" s="383"/>
      <c r="D670" s="384"/>
      <c r="E670" s="384"/>
      <c r="F670" s="384"/>
      <c r="G670" s="384"/>
      <c r="H670" s="385"/>
      <c r="I670" s="385"/>
      <c r="J670" s="384"/>
      <c r="K670" s="384"/>
      <c r="L670" s="384"/>
      <c r="M670" s="385"/>
      <c r="N670" s="385"/>
      <c r="O670" s="384"/>
      <c r="P670" s="384"/>
      <c r="Q670" s="385"/>
      <c r="R670" s="385"/>
      <c r="S670" s="385"/>
      <c r="T670" s="385"/>
      <c r="U670" s="385"/>
      <c r="V670"/>
      <c r="W670"/>
      <c r="X670"/>
      <c r="Y670"/>
    </row>
    <row r="671" spans="1:25" s="386" customFormat="1" ht="15.75">
      <c r="A671" s="684"/>
      <c r="B671" s="687"/>
      <c r="C671" s="674"/>
      <c r="D671" s="675"/>
      <c r="E671" s="675"/>
      <c r="F671" s="675"/>
      <c r="G671" s="675"/>
      <c r="H671" s="676"/>
      <c r="I671" s="676"/>
      <c r="J671" s="675"/>
      <c r="K671" s="675"/>
      <c r="L671" s="675"/>
      <c r="M671" s="676"/>
      <c r="N671" s="676"/>
      <c r="O671" s="675"/>
      <c r="P671" s="675"/>
      <c r="Q671" s="676"/>
      <c r="R671" s="676"/>
      <c r="S671" s="676"/>
      <c r="T671" s="676"/>
      <c r="U671" s="676"/>
      <c r="V671"/>
      <c r="W671"/>
      <c r="X671"/>
      <c r="Y671"/>
    </row>
    <row r="672" spans="1:25" ht="15.75">
      <c r="A672" s="684"/>
      <c r="B672" s="688"/>
      <c r="C672" s="380"/>
      <c r="D672" s="381"/>
      <c r="E672" s="381"/>
      <c r="F672" s="381"/>
      <c r="G672" s="381"/>
      <c r="H672" s="382"/>
      <c r="I672" s="382"/>
      <c r="J672" s="381"/>
      <c r="K672" s="381"/>
      <c r="L672" s="381"/>
      <c r="M672" s="382"/>
      <c r="N672" s="382"/>
      <c r="O672" s="381"/>
      <c r="P672" s="381"/>
      <c r="Q672" s="382"/>
      <c r="R672" s="382"/>
      <c r="S672" s="382"/>
      <c r="T672" s="382"/>
      <c r="U672" s="382"/>
      <c r="V672"/>
      <c r="W672"/>
      <c r="X672"/>
      <c r="Y672"/>
    </row>
    <row r="673" spans="1:25" ht="15.75">
      <c r="A673" s="684"/>
      <c r="B673" s="689"/>
      <c r="C673" s="383"/>
      <c r="D673" s="384"/>
      <c r="E673" s="692"/>
      <c r="F673" s="384"/>
      <c r="G673" s="384"/>
      <c r="H673" s="385"/>
      <c r="I673" s="385"/>
      <c r="J673" s="384"/>
      <c r="K673" s="384"/>
      <c r="L673" s="384"/>
      <c r="M673" s="385"/>
      <c r="N673" s="385"/>
      <c r="O673" s="384"/>
      <c r="P673" s="384"/>
      <c r="Q673" s="385"/>
      <c r="R673" s="385"/>
      <c r="S673" s="385"/>
      <c r="T673" s="385"/>
      <c r="U673" s="385"/>
      <c r="V673"/>
      <c r="W673"/>
      <c r="X673"/>
      <c r="Y673"/>
    </row>
    <row r="674" spans="1:25" s="386" customFormat="1" ht="15.75">
      <c r="A674" s="684"/>
      <c r="B674" s="687"/>
      <c r="C674" s="674"/>
      <c r="D674" s="675"/>
      <c r="E674" s="675"/>
      <c r="F674" s="675"/>
      <c r="G674" s="675"/>
      <c r="H674" s="676"/>
      <c r="I674" s="676"/>
      <c r="J674" s="675"/>
      <c r="K674" s="675"/>
      <c r="L674" s="675"/>
      <c r="M674" s="676"/>
      <c r="N674" s="676"/>
      <c r="O674" s="675"/>
      <c r="P674" s="675"/>
      <c r="Q674" s="676"/>
      <c r="R674" s="676"/>
      <c r="S674" s="676"/>
      <c r="T674" s="676"/>
      <c r="U674" s="676"/>
      <c r="V674"/>
      <c r="W674"/>
      <c r="X674"/>
      <c r="Y674"/>
    </row>
    <row r="675" spans="1:25" ht="15.75">
      <c r="A675" s="684"/>
      <c r="B675" s="688"/>
      <c r="C675" s="380"/>
      <c r="D675" s="381"/>
      <c r="E675" s="381"/>
      <c r="F675" s="381"/>
      <c r="G675" s="381"/>
      <c r="H675" s="382"/>
      <c r="I675" s="382"/>
      <c r="J675" s="381"/>
      <c r="K675" s="381"/>
      <c r="L675" s="381"/>
      <c r="M675" s="382"/>
      <c r="N675" s="382"/>
      <c r="O675" s="381"/>
      <c r="P675" s="381"/>
      <c r="Q675" s="382"/>
      <c r="R675" s="382"/>
      <c r="S675" s="382"/>
      <c r="T675" s="382"/>
      <c r="U675" s="382"/>
      <c r="V675"/>
      <c r="W675"/>
      <c r="X675"/>
      <c r="Y675"/>
    </row>
    <row r="676" spans="1:25" ht="15.75">
      <c r="A676" s="684"/>
      <c r="B676" s="689"/>
      <c r="C676" s="383"/>
      <c r="D676" s="384"/>
      <c r="E676" s="384"/>
      <c r="F676" s="384"/>
      <c r="G676" s="384"/>
      <c r="H676" s="385"/>
      <c r="I676" s="385"/>
      <c r="J676" s="384"/>
      <c r="K676" s="384"/>
      <c r="L676" s="384"/>
      <c r="M676" s="385"/>
      <c r="N676" s="385"/>
      <c r="O676" s="384"/>
      <c r="P676" s="384"/>
      <c r="Q676" s="385"/>
      <c r="R676" s="385"/>
      <c r="S676" s="385"/>
      <c r="T676" s="385"/>
      <c r="U676" s="385"/>
      <c r="V676"/>
      <c r="W676"/>
      <c r="X676"/>
      <c r="Y676"/>
    </row>
    <row r="677" spans="1:25" s="386" customFormat="1" ht="15.75">
      <c r="A677" s="684"/>
      <c r="B677" s="687"/>
      <c r="C677" s="674"/>
      <c r="D677" s="675"/>
      <c r="E677" s="675"/>
      <c r="F677" s="675"/>
      <c r="G677" s="675"/>
      <c r="H677" s="676"/>
      <c r="I677" s="676"/>
      <c r="J677" s="675"/>
      <c r="K677" s="675"/>
      <c r="L677" s="675"/>
      <c r="M677" s="676"/>
      <c r="N677" s="676"/>
      <c r="O677" s="675"/>
      <c r="P677" s="675"/>
      <c r="Q677" s="676"/>
      <c r="R677" s="676"/>
      <c r="S677" s="676"/>
      <c r="T677" s="676"/>
      <c r="U677" s="676"/>
      <c r="V677"/>
      <c r="W677"/>
      <c r="X677"/>
      <c r="Y677"/>
    </row>
    <row r="678" spans="1:25" ht="15.75">
      <c r="A678" s="684"/>
      <c r="B678" s="688"/>
      <c r="C678" s="380"/>
      <c r="D678" s="381"/>
      <c r="E678" s="381"/>
      <c r="F678" s="381"/>
      <c r="G678" s="381"/>
      <c r="H678" s="382"/>
      <c r="I678" s="382"/>
      <c r="J678" s="381"/>
      <c r="K678" s="381"/>
      <c r="L678" s="381"/>
      <c r="M678" s="382"/>
      <c r="N678" s="382"/>
      <c r="O678" s="381"/>
      <c r="P678" s="381"/>
      <c r="Q678" s="382"/>
      <c r="R678" s="382"/>
      <c r="S678" s="382"/>
      <c r="T678" s="382"/>
      <c r="U678" s="382"/>
      <c r="V678"/>
      <c r="W678"/>
      <c r="X678"/>
      <c r="Y678"/>
    </row>
    <row r="679" spans="1:25" ht="15.75">
      <c r="A679" s="684"/>
      <c r="B679" s="689"/>
      <c r="C679" s="383"/>
      <c r="D679" s="384"/>
      <c r="E679" s="384"/>
      <c r="F679" s="384"/>
      <c r="G679" s="384"/>
      <c r="H679" s="385"/>
      <c r="I679" s="385"/>
      <c r="J679" s="384"/>
      <c r="K679" s="384"/>
      <c r="L679" s="384"/>
      <c r="M679" s="385"/>
      <c r="N679" s="385"/>
      <c r="O679" s="384"/>
      <c r="P679" s="384"/>
      <c r="Q679" s="385"/>
      <c r="R679" s="385"/>
      <c r="S679" s="385"/>
      <c r="T679" s="385"/>
      <c r="U679" s="385"/>
      <c r="V679"/>
      <c r="W679"/>
      <c r="X679"/>
      <c r="Y679"/>
    </row>
    <row r="680" spans="1:25" s="386" customFormat="1" ht="15.75">
      <c r="A680" s="684"/>
      <c r="B680" s="687"/>
      <c r="C680" s="674"/>
      <c r="D680" s="675"/>
      <c r="E680" s="675"/>
      <c r="F680" s="675"/>
      <c r="G680" s="675"/>
      <c r="H680" s="676"/>
      <c r="I680" s="676"/>
      <c r="J680" s="675"/>
      <c r="K680" s="675"/>
      <c r="L680" s="675"/>
      <c r="M680" s="676"/>
      <c r="N680" s="676"/>
      <c r="O680" s="675"/>
      <c r="P680" s="675"/>
      <c r="Q680" s="676"/>
      <c r="R680" s="676"/>
      <c r="S680" s="676"/>
      <c r="T680" s="676"/>
      <c r="U680" s="676"/>
      <c r="V680"/>
      <c r="W680"/>
      <c r="X680"/>
      <c r="Y680"/>
    </row>
    <row r="681" spans="1:25" ht="15.75">
      <c r="A681" s="684"/>
      <c r="B681" s="688"/>
      <c r="C681" s="380"/>
      <c r="D681" s="381"/>
      <c r="E681" s="381"/>
      <c r="F681" s="381"/>
      <c r="G681" s="381"/>
      <c r="H681" s="382"/>
      <c r="I681" s="382"/>
      <c r="J681" s="381"/>
      <c r="K681" s="381"/>
      <c r="L681" s="381"/>
      <c r="M681" s="382"/>
      <c r="N681" s="382"/>
      <c r="O681" s="381"/>
      <c r="P681" s="381"/>
      <c r="Q681" s="382"/>
      <c r="R681" s="382"/>
      <c r="S681" s="382"/>
      <c r="T681" s="382"/>
      <c r="U681" s="382"/>
      <c r="V681"/>
      <c r="W681"/>
      <c r="X681"/>
      <c r="Y681"/>
    </row>
    <row r="682" spans="1:25" ht="15.75">
      <c r="A682" s="684"/>
      <c r="B682" s="689"/>
      <c r="C682" s="383"/>
      <c r="D682" s="384"/>
      <c r="E682" s="384"/>
      <c r="F682" s="384"/>
      <c r="G682" s="384"/>
      <c r="H682" s="385"/>
      <c r="I682" s="385"/>
      <c r="J682" s="384"/>
      <c r="K682" s="384"/>
      <c r="L682" s="384"/>
      <c r="M682" s="385"/>
      <c r="N682" s="385"/>
      <c r="O682" s="384"/>
      <c r="P682" s="384"/>
      <c r="Q682" s="385"/>
      <c r="R682" s="385"/>
      <c r="S682" s="385"/>
      <c r="T682" s="385"/>
      <c r="U682" s="385"/>
      <c r="V682"/>
      <c r="W682"/>
      <c r="X682"/>
      <c r="Y682"/>
    </row>
    <row r="683" spans="1:25" s="386" customFormat="1" ht="15.75">
      <c r="A683" s="684"/>
      <c r="B683" s="687"/>
      <c r="C683" s="674"/>
      <c r="D683" s="675"/>
      <c r="E683" s="675"/>
      <c r="F683" s="675"/>
      <c r="G683" s="675"/>
      <c r="H683" s="676"/>
      <c r="I683" s="676"/>
      <c r="J683" s="675"/>
      <c r="K683" s="675"/>
      <c r="L683" s="675"/>
      <c r="M683" s="676"/>
      <c r="N683" s="676"/>
      <c r="O683" s="675"/>
      <c r="P683" s="675"/>
      <c r="Q683" s="676"/>
      <c r="R683" s="676"/>
      <c r="S683" s="676"/>
      <c r="T683" s="676"/>
      <c r="U683" s="676"/>
      <c r="V683"/>
      <c r="W683"/>
      <c r="X683"/>
      <c r="Y683"/>
    </row>
    <row r="684" spans="1:25" ht="15.75">
      <c r="A684" s="684"/>
      <c r="B684" s="688"/>
      <c r="C684" s="380"/>
      <c r="D684" s="381"/>
      <c r="E684" s="381"/>
      <c r="F684" s="381"/>
      <c r="G684" s="381"/>
      <c r="H684" s="382"/>
      <c r="I684" s="382"/>
      <c r="J684" s="381"/>
      <c r="K684" s="381"/>
      <c r="L684" s="381"/>
      <c r="M684" s="382"/>
      <c r="N684" s="382"/>
      <c r="O684" s="381"/>
      <c r="P684" s="381"/>
      <c r="Q684" s="382"/>
      <c r="R684" s="382"/>
      <c r="S684" s="382"/>
      <c r="T684" s="382"/>
      <c r="U684" s="382"/>
      <c r="V684"/>
      <c r="W684"/>
      <c r="X684"/>
      <c r="Y684"/>
    </row>
    <row r="685" spans="1:25" ht="15.75">
      <c r="A685" s="684"/>
      <c r="B685" s="689"/>
      <c r="C685" s="383"/>
      <c r="D685" s="384"/>
      <c r="E685" s="384"/>
      <c r="F685" s="384"/>
      <c r="G685" s="384"/>
      <c r="H685" s="385"/>
      <c r="I685" s="385"/>
      <c r="J685" s="384"/>
      <c r="K685" s="384"/>
      <c r="L685" s="384"/>
      <c r="M685" s="385"/>
      <c r="N685" s="385"/>
      <c r="O685" s="384"/>
      <c r="P685" s="384"/>
      <c r="Q685" s="385"/>
      <c r="R685" s="385"/>
      <c r="S685" s="385"/>
      <c r="T685" s="385"/>
      <c r="U685" s="385"/>
      <c r="V685"/>
      <c r="W685"/>
      <c r="X685"/>
      <c r="Y685"/>
    </row>
    <row r="686" spans="1:25" s="386" customFormat="1" ht="15.75">
      <c r="A686" s="684"/>
      <c r="B686" s="687"/>
      <c r="C686" s="674"/>
      <c r="D686" s="675"/>
      <c r="E686" s="675"/>
      <c r="F686" s="675"/>
      <c r="G686" s="675"/>
      <c r="H686" s="676"/>
      <c r="I686" s="676"/>
      <c r="J686" s="675"/>
      <c r="K686" s="675"/>
      <c r="L686" s="675"/>
      <c r="M686" s="676"/>
      <c r="N686" s="676"/>
      <c r="O686" s="675"/>
      <c r="P686" s="675"/>
      <c r="Q686" s="676"/>
      <c r="R686" s="676"/>
      <c r="S686" s="676"/>
      <c r="T686" s="676"/>
      <c r="U686" s="676"/>
      <c r="V686"/>
      <c r="W686"/>
      <c r="X686"/>
      <c r="Y686"/>
    </row>
    <row r="687" spans="1:25" ht="15.75">
      <c r="A687" s="684"/>
      <c r="B687" s="688"/>
      <c r="C687" s="380"/>
      <c r="D687" s="381"/>
      <c r="E687" s="381"/>
      <c r="F687" s="381"/>
      <c r="G687" s="381"/>
      <c r="H687" s="382"/>
      <c r="I687" s="382"/>
      <c r="J687" s="381"/>
      <c r="K687" s="381"/>
      <c r="L687" s="381"/>
      <c r="M687" s="382"/>
      <c r="N687" s="382"/>
      <c r="O687" s="381"/>
      <c r="P687" s="381"/>
      <c r="Q687" s="382"/>
      <c r="R687" s="382"/>
      <c r="S687" s="382"/>
      <c r="T687" s="382"/>
      <c r="U687" s="382"/>
      <c r="V687"/>
      <c r="W687"/>
      <c r="X687"/>
      <c r="Y687"/>
    </row>
    <row r="688" spans="1:25" ht="15.75">
      <c r="A688" s="684"/>
      <c r="B688" s="689"/>
      <c r="C688" s="383"/>
      <c r="D688" s="384"/>
      <c r="E688" s="384"/>
      <c r="F688" s="384"/>
      <c r="G688" s="384"/>
      <c r="H688" s="385"/>
      <c r="I688" s="385"/>
      <c r="J688" s="384"/>
      <c r="K688" s="384"/>
      <c r="L688" s="384"/>
      <c r="M688" s="385"/>
      <c r="N688" s="385"/>
      <c r="O688" s="384"/>
      <c r="P688" s="384"/>
      <c r="Q688" s="385"/>
      <c r="R688" s="385"/>
      <c r="S688" s="385"/>
      <c r="T688" s="385"/>
      <c r="U688" s="385"/>
      <c r="V688"/>
      <c r="W688"/>
      <c r="X688"/>
      <c r="Y688"/>
    </row>
    <row r="689" spans="1:25" s="386" customFormat="1" ht="15.75">
      <c r="A689" s="684"/>
      <c r="B689" s="687"/>
      <c r="C689" s="674"/>
      <c r="D689" s="675"/>
      <c r="E689" s="675"/>
      <c r="F689" s="675"/>
      <c r="G689" s="675"/>
      <c r="H689" s="676"/>
      <c r="I689" s="676"/>
      <c r="J689" s="675"/>
      <c r="K689" s="675"/>
      <c r="L689" s="675"/>
      <c r="M689" s="676"/>
      <c r="N689" s="676"/>
      <c r="O689" s="675"/>
      <c r="P689" s="675"/>
      <c r="Q689" s="676"/>
      <c r="R689" s="676"/>
      <c r="S689" s="676"/>
      <c r="T689" s="676"/>
      <c r="U689" s="676"/>
      <c r="V689"/>
      <c r="W689"/>
      <c r="X689"/>
      <c r="Y689"/>
    </row>
    <row r="690" spans="1:25" ht="15.75">
      <c r="A690" s="684"/>
      <c r="B690" s="688"/>
      <c r="C690" s="380"/>
      <c r="D690" s="381"/>
      <c r="E690" s="381"/>
      <c r="F690" s="381"/>
      <c r="G690" s="381"/>
      <c r="H690" s="382"/>
      <c r="I690" s="382"/>
      <c r="J690" s="381"/>
      <c r="K690" s="381"/>
      <c r="L690" s="381"/>
      <c r="M690" s="382"/>
      <c r="N690" s="382"/>
      <c r="O690" s="381"/>
      <c r="P690" s="381"/>
      <c r="Q690" s="382"/>
      <c r="R690" s="382"/>
      <c r="S690" s="382"/>
      <c r="T690" s="382"/>
      <c r="U690" s="382"/>
      <c r="V690"/>
      <c r="W690"/>
      <c r="X690"/>
      <c r="Y690"/>
    </row>
    <row r="691" spans="1:25" ht="15.75">
      <c r="A691" s="684"/>
      <c r="B691" s="689"/>
      <c r="C691" s="383"/>
      <c r="D691" s="384"/>
      <c r="E691" s="384"/>
      <c r="F691" s="384"/>
      <c r="G691" s="384"/>
      <c r="H691" s="385"/>
      <c r="I691" s="385"/>
      <c r="J691" s="384"/>
      <c r="K691" s="384"/>
      <c r="L691" s="384"/>
      <c r="M691" s="385"/>
      <c r="N691" s="385"/>
      <c r="O691" s="384"/>
      <c r="P691" s="384"/>
      <c r="Q691" s="385"/>
      <c r="R691" s="385"/>
      <c r="S691" s="385"/>
      <c r="T691" s="385"/>
      <c r="U691" s="385"/>
      <c r="V691"/>
      <c r="W691"/>
      <c r="X691"/>
      <c r="Y691"/>
    </row>
    <row r="692" spans="1:25" s="386" customFormat="1" ht="15.75">
      <c r="A692" s="684"/>
      <c r="B692" s="687"/>
      <c r="C692" s="674"/>
      <c r="D692" s="675"/>
      <c r="E692" s="675"/>
      <c r="F692" s="675"/>
      <c r="G692" s="675"/>
      <c r="H692" s="676"/>
      <c r="I692" s="676"/>
      <c r="J692" s="675"/>
      <c r="K692" s="675"/>
      <c r="L692" s="675"/>
      <c r="M692" s="676"/>
      <c r="N692" s="676"/>
      <c r="O692" s="675"/>
      <c r="P692" s="675"/>
      <c r="Q692" s="676"/>
      <c r="R692" s="676"/>
      <c r="S692" s="676"/>
      <c r="T692" s="676"/>
      <c r="U692" s="676"/>
      <c r="V692"/>
      <c r="W692"/>
      <c r="X692"/>
      <c r="Y692"/>
    </row>
    <row r="693" spans="1:25" ht="15.75">
      <c r="A693" s="684"/>
      <c r="B693" s="688"/>
      <c r="C693" s="380"/>
      <c r="D693" s="381"/>
      <c r="E693" s="381"/>
      <c r="F693" s="381"/>
      <c r="G693" s="381"/>
      <c r="H693" s="382"/>
      <c r="I693" s="382"/>
      <c r="J693" s="381"/>
      <c r="K693" s="381"/>
      <c r="L693" s="381"/>
      <c r="M693" s="382"/>
      <c r="N693" s="382"/>
      <c r="O693" s="381"/>
      <c r="P693" s="381"/>
      <c r="Q693" s="382"/>
      <c r="R693" s="382"/>
      <c r="S693" s="382"/>
      <c r="T693" s="382"/>
      <c r="U693" s="382"/>
      <c r="V693"/>
      <c r="W693"/>
      <c r="X693"/>
      <c r="Y693"/>
    </row>
    <row r="694" spans="1:25" ht="15.75">
      <c r="A694" s="684"/>
      <c r="B694" s="689"/>
      <c r="C694" s="383"/>
      <c r="D694" s="384"/>
      <c r="E694" s="384"/>
      <c r="F694" s="384"/>
      <c r="G694" s="384"/>
      <c r="H694" s="385"/>
      <c r="I694" s="385"/>
      <c r="J694" s="384"/>
      <c r="K694" s="384"/>
      <c r="L694" s="384"/>
      <c r="M694" s="385"/>
      <c r="N694" s="385"/>
      <c r="O694" s="384"/>
      <c r="P694" s="384"/>
      <c r="Q694" s="385"/>
      <c r="R694" s="385"/>
      <c r="S694" s="385"/>
      <c r="T694" s="385"/>
      <c r="U694" s="385"/>
      <c r="V694"/>
      <c r="W694"/>
      <c r="X694"/>
      <c r="Y694"/>
    </row>
    <row r="695" spans="1:25" s="386" customFormat="1" ht="15.75">
      <c r="A695" s="684"/>
      <c r="B695" s="687"/>
      <c r="C695" s="674"/>
      <c r="D695" s="675"/>
      <c r="E695" s="675"/>
      <c r="F695" s="675"/>
      <c r="G695" s="675"/>
      <c r="H695" s="676"/>
      <c r="I695" s="676"/>
      <c r="J695" s="675"/>
      <c r="K695" s="675"/>
      <c r="L695" s="675"/>
      <c r="M695" s="676"/>
      <c r="N695" s="676"/>
      <c r="O695" s="675"/>
      <c r="P695" s="675"/>
      <c r="Q695" s="676"/>
      <c r="R695" s="676"/>
      <c r="S695" s="676"/>
      <c r="T695" s="676"/>
      <c r="U695" s="676"/>
      <c r="V695"/>
      <c r="W695"/>
      <c r="X695"/>
      <c r="Y695"/>
    </row>
    <row r="696" spans="1:25" ht="15.75">
      <c r="A696" s="684"/>
      <c r="B696" s="688"/>
      <c r="C696" s="380"/>
      <c r="D696" s="381"/>
      <c r="E696" s="381"/>
      <c r="F696" s="381"/>
      <c r="G696" s="381"/>
      <c r="H696" s="382"/>
      <c r="I696" s="382"/>
      <c r="J696" s="381"/>
      <c r="K696" s="381"/>
      <c r="L696" s="381"/>
      <c r="M696" s="382"/>
      <c r="N696" s="382"/>
      <c r="O696" s="381"/>
      <c r="P696" s="381"/>
      <c r="Q696" s="382"/>
      <c r="R696" s="382"/>
      <c r="S696" s="382"/>
      <c r="T696" s="382"/>
      <c r="U696" s="382"/>
      <c r="V696"/>
      <c r="W696"/>
      <c r="X696"/>
      <c r="Y696"/>
    </row>
    <row r="697" spans="1:25" ht="15.75">
      <c r="A697" s="684"/>
      <c r="B697" s="689"/>
      <c r="C697" s="383"/>
      <c r="D697" s="384"/>
      <c r="E697" s="384"/>
      <c r="F697" s="384"/>
      <c r="G697" s="384"/>
      <c r="H697" s="385"/>
      <c r="I697" s="385"/>
      <c r="J697" s="384"/>
      <c r="K697" s="384"/>
      <c r="L697" s="384"/>
      <c r="M697" s="385"/>
      <c r="N697" s="385"/>
      <c r="O697" s="384"/>
      <c r="P697" s="384"/>
      <c r="Q697" s="385"/>
      <c r="R697" s="385"/>
      <c r="S697" s="385"/>
      <c r="T697" s="385"/>
      <c r="U697" s="385"/>
      <c r="V697"/>
      <c r="W697"/>
      <c r="X697"/>
      <c r="Y697"/>
    </row>
    <row r="698" spans="1:25" s="386" customFormat="1" ht="15.75">
      <c r="A698" s="684"/>
      <c r="B698" s="687"/>
      <c r="C698" s="674"/>
      <c r="D698" s="675"/>
      <c r="E698" s="675"/>
      <c r="F698" s="675"/>
      <c r="G698" s="675"/>
      <c r="H698" s="676"/>
      <c r="I698" s="676"/>
      <c r="J698" s="675"/>
      <c r="K698" s="675"/>
      <c r="L698" s="675"/>
      <c r="M698" s="676"/>
      <c r="N698" s="676"/>
      <c r="O698" s="675"/>
      <c r="P698" s="675"/>
      <c r="Q698" s="676"/>
      <c r="R698" s="676"/>
      <c r="S698" s="676"/>
      <c r="T698" s="676"/>
      <c r="U698" s="676"/>
      <c r="V698"/>
      <c r="W698"/>
      <c r="X698"/>
      <c r="Y698"/>
    </row>
    <row r="699" spans="1:25" ht="15.75">
      <c r="A699" s="684"/>
      <c r="B699" s="688"/>
      <c r="C699" s="380"/>
      <c r="D699" s="381"/>
      <c r="E699" s="381"/>
      <c r="F699" s="381"/>
      <c r="G699" s="381"/>
      <c r="H699" s="382"/>
      <c r="I699" s="382"/>
      <c r="J699" s="381"/>
      <c r="K699" s="381"/>
      <c r="L699" s="381"/>
      <c r="M699" s="382"/>
      <c r="N699" s="382"/>
      <c r="O699" s="381"/>
      <c r="P699" s="381"/>
      <c r="Q699" s="382"/>
      <c r="R699" s="382"/>
      <c r="S699" s="382"/>
      <c r="T699" s="382"/>
      <c r="U699" s="382"/>
      <c r="V699"/>
      <c r="W699"/>
      <c r="X699"/>
      <c r="Y699"/>
    </row>
    <row r="700" spans="1:25" ht="15.75">
      <c r="A700" s="684"/>
      <c r="B700" s="689"/>
      <c r="C700" s="383"/>
      <c r="D700" s="384"/>
      <c r="E700" s="384"/>
      <c r="F700" s="384"/>
      <c r="G700" s="384"/>
      <c r="H700" s="385"/>
      <c r="I700" s="385"/>
      <c r="J700" s="384"/>
      <c r="K700" s="384"/>
      <c r="L700" s="384"/>
      <c r="M700" s="385"/>
      <c r="N700" s="385"/>
      <c r="O700" s="384"/>
      <c r="P700" s="384"/>
      <c r="Q700" s="385"/>
      <c r="R700" s="385"/>
      <c r="S700" s="385"/>
      <c r="T700" s="385"/>
      <c r="U700" s="385"/>
      <c r="V700"/>
      <c r="W700"/>
      <c r="X700"/>
      <c r="Y700"/>
    </row>
    <row r="701" spans="1:25" s="386" customFormat="1" ht="15.75">
      <c r="A701" s="684"/>
      <c r="B701" s="687"/>
      <c r="C701" s="674"/>
      <c r="D701" s="675"/>
      <c r="E701" s="675"/>
      <c r="F701" s="675"/>
      <c r="G701" s="675"/>
      <c r="H701" s="676"/>
      <c r="I701" s="676"/>
      <c r="J701" s="675"/>
      <c r="K701" s="675"/>
      <c r="L701" s="675"/>
      <c r="M701" s="676"/>
      <c r="N701" s="676"/>
      <c r="O701" s="675"/>
      <c r="P701" s="675"/>
      <c r="Q701" s="676"/>
      <c r="R701" s="676"/>
      <c r="S701" s="676"/>
      <c r="T701" s="676"/>
      <c r="U701" s="676"/>
      <c r="V701"/>
      <c r="W701"/>
      <c r="X701"/>
      <c r="Y701"/>
    </row>
    <row r="702" spans="1:25" ht="15.75">
      <c r="A702" s="684"/>
      <c r="B702" s="688"/>
      <c r="C702" s="380"/>
      <c r="D702" s="381"/>
      <c r="E702" s="381"/>
      <c r="F702" s="381"/>
      <c r="G702" s="381"/>
      <c r="H702" s="382"/>
      <c r="I702" s="382"/>
      <c r="J702" s="381"/>
      <c r="K702" s="381"/>
      <c r="L702" s="381"/>
      <c r="M702" s="382"/>
      <c r="N702" s="382"/>
      <c r="O702" s="381"/>
      <c r="P702" s="381"/>
      <c r="Q702" s="382"/>
      <c r="R702" s="382"/>
      <c r="S702" s="382"/>
      <c r="T702" s="382"/>
      <c r="U702" s="382"/>
      <c r="V702"/>
      <c r="W702"/>
      <c r="X702"/>
      <c r="Y702"/>
    </row>
    <row r="703" spans="1:25" ht="15.75">
      <c r="A703" s="684"/>
      <c r="B703" s="689"/>
      <c r="C703" s="383"/>
      <c r="D703" s="384"/>
      <c r="E703" s="384"/>
      <c r="F703" s="384"/>
      <c r="G703" s="384"/>
      <c r="H703" s="385"/>
      <c r="I703" s="385"/>
      <c r="J703" s="384"/>
      <c r="K703" s="384"/>
      <c r="L703" s="384"/>
      <c r="M703" s="385"/>
      <c r="N703" s="385"/>
      <c r="O703" s="384"/>
      <c r="P703" s="384"/>
      <c r="Q703" s="385"/>
      <c r="R703" s="385"/>
      <c r="S703" s="385"/>
      <c r="T703" s="385"/>
      <c r="U703" s="385"/>
      <c r="V703"/>
      <c r="W703"/>
      <c r="X703"/>
      <c r="Y703"/>
    </row>
    <row r="704" spans="1:25" s="386" customFormat="1" ht="15.75">
      <c r="A704" s="684"/>
      <c r="B704" s="687"/>
      <c r="C704" s="674"/>
      <c r="D704" s="675"/>
      <c r="E704" s="675"/>
      <c r="F704" s="675"/>
      <c r="G704" s="675"/>
      <c r="H704" s="676"/>
      <c r="I704" s="676"/>
      <c r="J704" s="675"/>
      <c r="K704" s="675"/>
      <c r="L704" s="675"/>
      <c r="M704" s="676"/>
      <c r="N704" s="676"/>
      <c r="O704" s="675"/>
      <c r="P704" s="675"/>
      <c r="Q704" s="676"/>
      <c r="R704" s="676"/>
      <c r="S704" s="676"/>
      <c r="T704" s="676"/>
      <c r="U704" s="676"/>
      <c r="V704"/>
      <c r="W704"/>
      <c r="X704"/>
      <c r="Y704"/>
    </row>
    <row r="705" spans="1:25" ht="15.75">
      <c r="A705" s="685"/>
      <c r="B705" s="690"/>
      <c r="C705" s="576"/>
      <c r="D705" s="577"/>
      <c r="E705" s="577"/>
      <c r="F705" s="577"/>
      <c r="G705" s="577"/>
      <c r="H705" s="578"/>
      <c r="I705" s="578"/>
      <c r="J705" s="577"/>
      <c r="K705" s="577"/>
      <c r="L705" s="577"/>
      <c r="M705" s="578"/>
      <c r="N705" s="578"/>
      <c r="O705" s="577"/>
      <c r="P705" s="577"/>
      <c r="Q705" s="578"/>
      <c r="R705" s="578"/>
      <c r="S705" s="578"/>
      <c r="T705" s="578"/>
      <c r="U705" s="578"/>
      <c r="V705"/>
      <c r="W705"/>
      <c r="X705"/>
      <c r="Y705"/>
    </row>
    <row r="706" spans="1:25" ht="15.75">
      <c r="A706" s="683"/>
      <c r="B706" s="687"/>
      <c r="C706" s="674"/>
      <c r="D706" s="675"/>
      <c r="E706" s="675"/>
      <c r="F706" s="675"/>
      <c r="G706" s="675"/>
      <c r="H706" s="676"/>
      <c r="I706" s="676"/>
      <c r="J706" s="675"/>
      <c r="K706" s="675"/>
      <c r="L706" s="675"/>
      <c r="M706" s="676"/>
      <c r="N706" s="676"/>
      <c r="O706" s="675"/>
      <c r="P706" s="675"/>
      <c r="Q706" s="676"/>
      <c r="R706" s="676"/>
      <c r="S706" s="676"/>
      <c r="T706" s="676"/>
      <c r="U706" s="676"/>
      <c r="V706"/>
      <c r="W706"/>
      <c r="X706"/>
      <c r="Y706"/>
    </row>
    <row r="707" spans="1:25" s="386" customFormat="1" ht="15.75">
      <c r="A707" s="684"/>
      <c r="B707" s="688"/>
      <c r="C707" s="380"/>
      <c r="D707" s="381"/>
      <c r="E707" s="381"/>
      <c r="F707" s="381"/>
      <c r="G707" s="381"/>
      <c r="H707" s="382"/>
      <c r="I707" s="382"/>
      <c r="J707" s="381"/>
      <c r="K707" s="381"/>
      <c r="L707" s="381"/>
      <c r="M707" s="382"/>
      <c r="N707" s="382"/>
      <c r="O707" s="381"/>
      <c r="P707" s="381"/>
      <c r="Q707" s="382"/>
      <c r="R707" s="382"/>
      <c r="S707" s="382"/>
      <c r="T707" s="382"/>
      <c r="U707" s="382"/>
      <c r="V707"/>
      <c r="W707"/>
      <c r="X707"/>
      <c r="Y707"/>
    </row>
    <row r="708" spans="1:25" ht="15.75">
      <c r="A708" s="684"/>
      <c r="B708" s="689"/>
      <c r="C708" s="383"/>
      <c r="D708" s="384"/>
      <c r="E708" s="384"/>
      <c r="F708" s="384"/>
      <c r="G708" s="384"/>
      <c r="H708" s="385"/>
      <c r="I708" s="385"/>
      <c r="J708" s="384"/>
      <c r="K708" s="384"/>
      <c r="L708" s="384"/>
      <c r="M708" s="385"/>
      <c r="N708" s="385"/>
      <c r="O708" s="384"/>
      <c r="P708" s="384"/>
      <c r="Q708" s="385"/>
      <c r="R708" s="385"/>
      <c r="S708" s="385"/>
      <c r="T708" s="385"/>
      <c r="U708" s="385"/>
      <c r="V708"/>
      <c r="W708"/>
      <c r="X708"/>
      <c r="Y708"/>
    </row>
    <row r="709" spans="1:25" ht="15.75">
      <c r="A709" s="684"/>
      <c r="B709" s="687"/>
      <c r="C709" s="674"/>
      <c r="D709" s="675"/>
      <c r="E709" s="675"/>
      <c r="F709" s="675"/>
      <c r="G709" s="675"/>
      <c r="H709" s="676"/>
      <c r="I709" s="676"/>
      <c r="J709" s="675"/>
      <c r="K709" s="675"/>
      <c r="L709" s="675"/>
      <c r="M709" s="676"/>
      <c r="N709" s="676"/>
      <c r="O709" s="675"/>
      <c r="P709" s="675"/>
      <c r="Q709" s="676"/>
      <c r="R709" s="676"/>
      <c r="S709" s="676"/>
      <c r="T709" s="676"/>
      <c r="U709" s="676"/>
      <c r="V709"/>
      <c r="W709"/>
      <c r="X709"/>
      <c r="Y709"/>
    </row>
    <row r="710" spans="1:25" s="386" customFormat="1" ht="15.75">
      <c r="A710" s="684"/>
      <c r="B710" s="688"/>
      <c r="C710" s="380"/>
      <c r="D710" s="381"/>
      <c r="E710" s="381"/>
      <c r="F710" s="381"/>
      <c r="G710" s="381"/>
      <c r="H710" s="382"/>
      <c r="I710" s="382"/>
      <c r="J710" s="381"/>
      <c r="K710" s="381"/>
      <c r="L710" s="381"/>
      <c r="M710" s="382"/>
      <c r="N710" s="382"/>
      <c r="O710" s="381"/>
      <c r="P710" s="381"/>
      <c r="Q710" s="382"/>
      <c r="R710" s="382"/>
      <c r="S710" s="382"/>
      <c r="T710" s="382"/>
      <c r="U710" s="382"/>
      <c r="V710"/>
      <c r="W710"/>
      <c r="X710"/>
      <c r="Y710"/>
    </row>
    <row r="711" spans="1:25" ht="15.75">
      <c r="A711" s="684"/>
      <c r="B711" s="689"/>
      <c r="C711" s="383"/>
      <c r="D711" s="384"/>
      <c r="E711" s="384"/>
      <c r="F711" s="384"/>
      <c r="G711" s="384"/>
      <c r="H711" s="385"/>
      <c r="I711" s="385"/>
      <c r="J711" s="384"/>
      <c r="K711" s="384"/>
      <c r="L711" s="384"/>
      <c r="M711" s="385"/>
      <c r="N711" s="385"/>
      <c r="O711" s="384"/>
      <c r="P711" s="384"/>
      <c r="Q711" s="385"/>
      <c r="R711" s="385"/>
      <c r="S711" s="385"/>
      <c r="T711" s="385"/>
      <c r="U711" s="385"/>
      <c r="V711"/>
      <c r="W711"/>
      <c r="X711"/>
      <c r="Y711"/>
    </row>
    <row r="712" spans="1:25" ht="15.75">
      <c r="A712" s="684"/>
      <c r="B712" s="687"/>
      <c r="C712" s="674"/>
      <c r="D712" s="675"/>
      <c r="E712" s="675"/>
      <c r="F712" s="675"/>
      <c r="G712" s="675"/>
      <c r="H712" s="676"/>
      <c r="I712" s="676"/>
      <c r="J712" s="675"/>
      <c r="K712" s="675"/>
      <c r="L712" s="675"/>
      <c r="M712" s="676"/>
      <c r="N712" s="676"/>
      <c r="O712" s="675"/>
      <c r="P712" s="675"/>
      <c r="Q712" s="676"/>
      <c r="R712" s="676"/>
      <c r="S712" s="676"/>
      <c r="T712" s="676"/>
      <c r="U712" s="676"/>
      <c r="V712"/>
      <c r="W712"/>
      <c r="X712"/>
      <c r="Y712"/>
    </row>
    <row r="713" spans="1:25" s="386" customFormat="1" ht="15.75">
      <c r="A713" s="684"/>
      <c r="B713" s="688"/>
      <c r="C713" s="380"/>
      <c r="D713" s="381"/>
      <c r="E713" s="381"/>
      <c r="F713" s="381"/>
      <c r="G713" s="381"/>
      <c r="H713" s="382"/>
      <c r="I713" s="382"/>
      <c r="J713" s="381"/>
      <c r="K713" s="381"/>
      <c r="L713" s="381"/>
      <c r="M713" s="382"/>
      <c r="N713" s="382"/>
      <c r="O713" s="381"/>
      <c r="P713" s="381"/>
      <c r="Q713" s="382"/>
      <c r="R713" s="382"/>
      <c r="S713" s="382"/>
      <c r="T713" s="382"/>
      <c r="U713" s="382"/>
      <c r="V713"/>
      <c r="W713"/>
      <c r="X713"/>
      <c r="Y713"/>
    </row>
    <row r="714" spans="1:25" ht="15.75">
      <c r="A714" s="684"/>
      <c r="B714" s="689"/>
      <c r="C714" s="383"/>
      <c r="D714" s="384"/>
      <c r="E714" s="384"/>
      <c r="F714" s="384"/>
      <c r="G714" s="384"/>
      <c r="H714" s="385"/>
      <c r="I714" s="385"/>
      <c r="J714" s="384"/>
      <c r="K714" s="384"/>
      <c r="L714" s="384"/>
      <c r="M714" s="385"/>
      <c r="N714" s="385"/>
      <c r="O714" s="384"/>
      <c r="P714" s="384"/>
      <c r="Q714" s="385"/>
      <c r="R714" s="385"/>
      <c r="S714" s="385"/>
      <c r="T714" s="385"/>
      <c r="U714" s="385"/>
      <c r="V714"/>
      <c r="W714"/>
      <c r="X714"/>
      <c r="Y714"/>
    </row>
    <row r="715" spans="1:25" ht="15.75">
      <c r="A715" s="684"/>
      <c r="B715" s="687"/>
      <c r="C715" s="674"/>
      <c r="D715" s="675"/>
      <c r="E715" s="675"/>
      <c r="F715" s="675"/>
      <c r="G715" s="675"/>
      <c r="H715" s="676"/>
      <c r="I715" s="676"/>
      <c r="J715" s="675"/>
      <c r="K715" s="675"/>
      <c r="L715" s="675"/>
      <c r="M715" s="676"/>
      <c r="N715" s="676"/>
      <c r="O715" s="675"/>
      <c r="P715" s="675"/>
      <c r="Q715" s="676"/>
      <c r="R715" s="676"/>
      <c r="S715" s="676"/>
      <c r="T715" s="676"/>
      <c r="U715" s="676"/>
      <c r="V715"/>
      <c r="W715"/>
      <c r="X715"/>
      <c r="Y715"/>
    </row>
    <row r="716" spans="1:25" s="386" customFormat="1" ht="15.75">
      <c r="A716" s="684"/>
      <c r="B716" s="688"/>
      <c r="C716" s="380"/>
      <c r="D716" s="381"/>
      <c r="E716" s="381"/>
      <c r="F716" s="381"/>
      <c r="G716" s="381"/>
      <c r="H716" s="382"/>
      <c r="I716" s="382"/>
      <c r="J716" s="381"/>
      <c r="K716" s="381"/>
      <c r="L716" s="381"/>
      <c r="M716" s="382"/>
      <c r="N716" s="382"/>
      <c r="O716" s="381"/>
      <c r="P716" s="381"/>
      <c r="Q716" s="382"/>
      <c r="R716" s="382"/>
      <c r="S716" s="382"/>
      <c r="T716" s="382"/>
      <c r="U716" s="382"/>
      <c r="V716"/>
      <c r="W716"/>
      <c r="X716"/>
      <c r="Y716"/>
    </row>
    <row r="717" spans="1:25" ht="15.75">
      <c r="A717" s="684"/>
      <c r="B717" s="689"/>
      <c r="C717" s="383"/>
      <c r="D717" s="384"/>
      <c r="E717" s="384"/>
      <c r="F717" s="384"/>
      <c r="G717" s="384"/>
      <c r="H717" s="385"/>
      <c r="I717" s="385"/>
      <c r="J717" s="384"/>
      <c r="K717" s="384"/>
      <c r="L717" s="384"/>
      <c r="M717" s="385"/>
      <c r="N717" s="385"/>
      <c r="O717" s="384"/>
      <c r="P717" s="384"/>
      <c r="Q717" s="385"/>
      <c r="R717" s="385"/>
      <c r="S717" s="385"/>
      <c r="T717" s="385"/>
      <c r="U717" s="385"/>
      <c r="V717"/>
      <c r="W717"/>
      <c r="X717"/>
      <c r="Y717"/>
    </row>
    <row r="718" spans="1:25" ht="15.75">
      <c r="A718" s="684"/>
      <c r="B718" s="687"/>
      <c r="C718" s="674"/>
      <c r="D718" s="675"/>
      <c r="E718" s="675"/>
      <c r="F718" s="675"/>
      <c r="G718" s="675"/>
      <c r="H718" s="676"/>
      <c r="I718" s="676"/>
      <c r="J718" s="675"/>
      <c r="K718" s="675"/>
      <c r="L718" s="675"/>
      <c r="M718" s="676"/>
      <c r="N718" s="676"/>
      <c r="O718" s="675"/>
      <c r="P718" s="675"/>
      <c r="Q718" s="676"/>
      <c r="R718" s="676"/>
      <c r="S718" s="676"/>
      <c r="T718" s="676"/>
      <c r="U718" s="676"/>
      <c r="V718"/>
      <c r="W718"/>
      <c r="X718"/>
      <c r="Y718"/>
    </row>
    <row r="719" spans="1:25" s="386" customFormat="1" ht="15.75">
      <c r="A719" s="684"/>
      <c r="B719" s="688"/>
      <c r="C719" s="380"/>
      <c r="D719" s="381"/>
      <c r="E719" s="381"/>
      <c r="F719" s="381"/>
      <c r="G719" s="381"/>
      <c r="H719" s="382"/>
      <c r="I719" s="382"/>
      <c r="J719" s="381"/>
      <c r="K719" s="381"/>
      <c r="L719" s="381"/>
      <c r="M719" s="382"/>
      <c r="N719" s="382"/>
      <c r="O719" s="381"/>
      <c r="P719" s="381"/>
      <c r="Q719" s="382"/>
      <c r="R719" s="382"/>
      <c r="S719" s="382"/>
      <c r="T719" s="382"/>
      <c r="U719" s="382"/>
      <c r="V719"/>
      <c r="W719"/>
      <c r="X719"/>
      <c r="Y719"/>
    </row>
    <row r="720" spans="1:25" ht="15.75">
      <c r="A720" s="684"/>
      <c r="B720" s="689"/>
      <c r="C720" s="383"/>
      <c r="D720" s="384"/>
      <c r="E720" s="384"/>
      <c r="F720" s="384"/>
      <c r="G720" s="384"/>
      <c r="H720" s="385"/>
      <c r="I720" s="385"/>
      <c r="J720" s="384"/>
      <c r="K720" s="384"/>
      <c r="L720" s="384"/>
      <c r="M720" s="385"/>
      <c r="N720" s="385"/>
      <c r="O720" s="384"/>
      <c r="P720" s="384"/>
      <c r="Q720" s="385"/>
      <c r="R720" s="385"/>
      <c r="S720" s="385"/>
      <c r="T720" s="385"/>
      <c r="U720" s="385"/>
      <c r="V720"/>
      <c r="W720"/>
      <c r="X720"/>
      <c r="Y720"/>
    </row>
    <row r="721" spans="1:25" ht="15.75">
      <c r="A721" s="684"/>
      <c r="B721" s="687"/>
      <c r="C721" s="674"/>
      <c r="D721" s="675"/>
      <c r="E721" s="675"/>
      <c r="F721" s="675"/>
      <c r="G721" s="675"/>
      <c r="H721" s="676"/>
      <c r="I721" s="676"/>
      <c r="J721" s="675"/>
      <c r="K721" s="675"/>
      <c r="L721" s="675"/>
      <c r="M721" s="676"/>
      <c r="N721" s="676"/>
      <c r="O721" s="675"/>
      <c r="P721" s="675"/>
      <c r="Q721" s="676"/>
      <c r="R721" s="676"/>
      <c r="S721" s="676"/>
      <c r="T721" s="676"/>
      <c r="U721" s="676"/>
      <c r="V721"/>
      <c r="W721"/>
      <c r="X721"/>
      <c r="Y721"/>
    </row>
    <row r="722" spans="1:25" s="386" customFormat="1" ht="15.75">
      <c r="A722" s="684"/>
      <c r="B722" s="688"/>
      <c r="C722" s="380"/>
      <c r="D722" s="381"/>
      <c r="E722" s="381"/>
      <c r="F722" s="381"/>
      <c r="G722" s="381"/>
      <c r="H722" s="382"/>
      <c r="I722" s="382"/>
      <c r="J722" s="381"/>
      <c r="K722" s="381"/>
      <c r="L722" s="381"/>
      <c r="M722" s="382"/>
      <c r="N722" s="382"/>
      <c r="O722" s="381"/>
      <c r="P722" s="381"/>
      <c r="Q722" s="382"/>
      <c r="R722" s="382"/>
      <c r="S722" s="382"/>
      <c r="T722" s="382"/>
      <c r="U722" s="382"/>
      <c r="V722"/>
      <c r="W722"/>
      <c r="X722"/>
      <c r="Y722"/>
    </row>
    <row r="723" spans="1:25" ht="15.75">
      <c r="A723" s="684"/>
      <c r="B723" s="689"/>
      <c r="C723" s="383"/>
      <c r="D723" s="692"/>
      <c r="E723" s="384"/>
      <c r="F723" s="384"/>
      <c r="G723" s="384"/>
      <c r="H723" s="385"/>
      <c r="I723" s="385"/>
      <c r="J723" s="384"/>
      <c r="K723" s="384"/>
      <c r="L723" s="384"/>
      <c r="M723" s="385"/>
      <c r="N723" s="385"/>
      <c r="O723" s="384"/>
      <c r="P723" s="384"/>
      <c r="Q723" s="385"/>
      <c r="R723" s="385"/>
      <c r="S723" s="385"/>
      <c r="T723" s="385"/>
      <c r="U723" s="385"/>
      <c r="V723"/>
      <c r="W723"/>
      <c r="X723"/>
      <c r="Y723"/>
    </row>
    <row r="724" spans="1:25" ht="15.75">
      <c r="A724" s="684"/>
      <c r="B724" s="687"/>
      <c r="C724" s="674"/>
      <c r="D724" s="675"/>
      <c r="E724" s="675"/>
      <c r="F724" s="675"/>
      <c r="G724" s="675"/>
      <c r="H724" s="676"/>
      <c r="I724" s="676"/>
      <c r="J724" s="675"/>
      <c r="K724" s="675"/>
      <c r="L724" s="675"/>
      <c r="M724" s="676"/>
      <c r="N724" s="676"/>
      <c r="O724" s="675"/>
      <c r="P724" s="675"/>
      <c r="Q724" s="676"/>
      <c r="R724" s="676"/>
      <c r="S724" s="676"/>
      <c r="T724" s="676"/>
      <c r="U724" s="676"/>
      <c r="V724"/>
      <c r="W724"/>
      <c r="X724"/>
      <c r="Y724"/>
    </row>
    <row r="725" spans="1:25" s="386" customFormat="1" ht="15.75">
      <c r="A725" s="684"/>
      <c r="B725" s="688"/>
      <c r="C725" s="380"/>
      <c r="D725" s="381"/>
      <c r="E725" s="381"/>
      <c r="F725" s="381"/>
      <c r="G725" s="381"/>
      <c r="H725" s="382"/>
      <c r="I725" s="382"/>
      <c r="J725" s="381"/>
      <c r="K725" s="381"/>
      <c r="L725" s="381"/>
      <c r="M725" s="382"/>
      <c r="N725" s="382"/>
      <c r="O725" s="381"/>
      <c r="P725" s="381"/>
      <c r="Q725" s="382"/>
      <c r="R725" s="382"/>
      <c r="S725" s="382"/>
      <c r="T725" s="382"/>
      <c r="U725" s="382"/>
      <c r="V725"/>
      <c r="W725"/>
      <c r="X725"/>
      <c r="Y725"/>
    </row>
    <row r="726" spans="1:25" ht="15.75">
      <c r="A726" s="684"/>
      <c r="B726" s="689"/>
      <c r="C726" s="383"/>
      <c r="D726" s="692"/>
      <c r="E726" s="384"/>
      <c r="F726" s="384"/>
      <c r="G726" s="384"/>
      <c r="H726" s="385"/>
      <c r="I726" s="385"/>
      <c r="J726" s="384"/>
      <c r="K726" s="384"/>
      <c r="L726" s="384"/>
      <c r="M726" s="385"/>
      <c r="N726" s="385"/>
      <c r="O726" s="384"/>
      <c r="P726" s="384"/>
      <c r="Q726" s="385"/>
      <c r="R726" s="385"/>
      <c r="S726" s="385"/>
      <c r="T726" s="385"/>
      <c r="U726" s="385"/>
      <c r="V726"/>
      <c r="W726"/>
      <c r="X726"/>
      <c r="Y726"/>
    </row>
    <row r="727" spans="1:25" ht="15.75">
      <c r="A727" s="684"/>
      <c r="B727" s="687"/>
      <c r="C727" s="674"/>
      <c r="D727" s="675"/>
      <c r="E727" s="675"/>
      <c r="F727" s="675"/>
      <c r="G727" s="675"/>
      <c r="H727" s="676"/>
      <c r="I727" s="676"/>
      <c r="J727" s="675"/>
      <c r="K727" s="675"/>
      <c r="L727" s="675"/>
      <c r="M727" s="676"/>
      <c r="N727" s="676"/>
      <c r="O727" s="675"/>
      <c r="P727" s="675"/>
      <c r="Q727" s="676"/>
      <c r="R727" s="676"/>
      <c r="S727" s="676"/>
      <c r="T727" s="676"/>
      <c r="U727" s="676"/>
      <c r="V727"/>
      <c r="W727"/>
      <c r="X727"/>
      <c r="Y727"/>
    </row>
    <row r="728" spans="1:25" s="386" customFormat="1" ht="15.75">
      <c r="A728" s="684"/>
      <c r="B728" s="688"/>
      <c r="C728" s="380"/>
      <c r="D728" s="381"/>
      <c r="E728" s="381"/>
      <c r="F728" s="381"/>
      <c r="G728" s="381"/>
      <c r="H728" s="382"/>
      <c r="I728" s="382"/>
      <c r="J728" s="381"/>
      <c r="K728" s="381"/>
      <c r="L728" s="381"/>
      <c r="M728" s="382"/>
      <c r="N728" s="382"/>
      <c r="O728" s="381"/>
      <c r="P728" s="381"/>
      <c r="Q728" s="382"/>
      <c r="R728" s="382"/>
      <c r="S728" s="382"/>
      <c r="T728" s="382"/>
      <c r="U728" s="382"/>
      <c r="V728"/>
      <c r="W728"/>
      <c r="X728"/>
      <c r="Y728"/>
    </row>
    <row r="729" spans="1:25" ht="15.75">
      <c r="A729" s="684"/>
      <c r="B729" s="689"/>
      <c r="C729" s="383"/>
      <c r="D729" s="384"/>
      <c r="E729" s="384"/>
      <c r="F729" s="384"/>
      <c r="G729" s="384"/>
      <c r="H729" s="385"/>
      <c r="I729" s="385"/>
      <c r="J729" s="384"/>
      <c r="K729" s="384"/>
      <c r="L729" s="384"/>
      <c r="M729" s="385"/>
      <c r="N729" s="385"/>
      <c r="O729" s="384"/>
      <c r="P729" s="384"/>
      <c r="Q729" s="385"/>
      <c r="R729" s="385"/>
      <c r="S729" s="385"/>
      <c r="T729" s="385"/>
      <c r="U729" s="385"/>
      <c r="V729"/>
      <c r="W729"/>
      <c r="X729"/>
      <c r="Y729"/>
    </row>
    <row r="730" spans="1:25" ht="15.75">
      <c r="A730" s="684"/>
      <c r="B730" s="687"/>
      <c r="C730" s="674"/>
      <c r="D730" s="675"/>
      <c r="E730" s="675"/>
      <c r="F730" s="675"/>
      <c r="G730" s="675"/>
      <c r="H730" s="676"/>
      <c r="I730" s="676"/>
      <c r="J730" s="675"/>
      <c r="K730" s="675"/>
      <c r="L730" s="675"/>
      <c r="M730" s="676"/>
      <c r="N730" s="676"/>
      <c r="O730" s="675"/>
      <c r="P730" s="675"/>
      <c r="Q730" s="676"/>
      <c r="R730" s="676"/>
      <c r="S730" s="676"/>
      <c r="T730" s="676"/>
      <c r="U730" s="676"/>
      <c r="V730"/>
      <c r="W730"/>
      <c r="X730"/>
      <c r="Y730"/>
    </row>
    <row r="731" spans="1:25" s="386" customFormat="1" ht="15.75">
      <c r="A731" s="684"/>
      <c r="B731" s="688"/>
      <c r="C731" s="380"/>
      <c r="D731" s="381"/>
      <c r="E731" s="381"/>
      <c r="F731" s="381"/>
      <c r="G731" s="381"/>
      <c r="H731" s="382"/>
      <c r="I731" s="382"/>
      <c r="J731" s="381"/>
      <c r="K731" s="381"/>
      <c r="L731" s="381"/>
      <c r="M731" s="382"/>
      <c r="N731" s="382"/>
      <c r="O731" s="381"/>
      <c r="P731" s="381"/>
      <c r="Q731" s="382"/>
      <c r="R731" s="382"/>
      <c r="S731" s="382"/>
      <c r="T731" s="382"/>
      <c r="U731" s="382"/>
      <c r="V731"/>
      <c r="W731"/>
      <c r="X731"/>
      <c r="Y731"/>
    </row>
    <row r="732" spans="1:25" ht="15.75">
      <c r="A732" s="684"/>
      <c r="B732" s="689"/>
      <c r="C732" s="383"/>
      <c r="D732" s="384"/>
      <c r="E732" s="384"/>
      <c r="F732" s="384"/>
      <c r="G732" s="384"/>
      <c r="H732" s="385"/>
      <c r="I732" s="385"/>
      <c r="J732" s="384"/>
      <c r="K732" s="384"/>
      <c r="L732" s="384"/>
      <c r="M732" s="385"/>
      <c r="N732" s="385"/>
      <c r="O732" s="384"/>
      <c r="P732" s="384"/>
      <c r="Q732" s="385"/>
      <c r="R732" s="385"/>
      <c r="S732" s="385"/>
      <c r="T732" s="385"/>
      <c r="U732" s="385"/>
      <c r="V732"/>
      <c r="W732"/>
      <c r="X732"/>
      <c r="Y732"/>
    </row>
    <row r="733" spans="1:25" ht="15.75">
      <c r="A733" s="684"/>
      <c r="B733" s="687"/>
      <c r="C733" s="674"/>
      <c r="D733" s="675"/>
      <c r="E733" s="675"/>
      <c r="F733" s="675"/>
      <c r="G733" s="675"/>
      <c r="H733" s="676"/>
      <c r="I733" s="676"/>
      <c r="J733" s="675"/>
      <c r="K733" s="675"/>
      <c r="L733" s="675"/>
      <c r="M733" s="676"/>
      <c r="N733" s="676"/>
      <c r="O733" s="675"/>
      <c r="P733" s="675"/>
      <c r="Q733" s="676"/>
      <c r="R733" s="676"/>
      <c r="S733" s="676"/>
      <c r="T733" s="676"/>
      <c r="U733" s="676"/>
      <c r="V733"/>
      <c r="W733"/>
      <c r="X733"/>
      <c r="Y733"/>
    </row>
    <row r="734" spans="1:25" s="386" customFormat="1" ht="15.75">
      <c r="A734" s="684"/>
      <c r="B734" s="688"/>
      <c r="C734" s="380"/>
      <c r="D734" s="381"/>
      <c r="E734" s="381"/>
      <c r="F734" s="381"/>
      <c r="G734" s="381"/>
      <c r="H734" s="382"/>
      <c r="I734" s="382"/>
      <c r="J734" s="381"/>
      <c r="K734" s="381"/>
      <c r="L734" s="381"/>
      <c r="M734" s="382"/>
      <c r="N734" s="382"/>
      <c r="O734" s="381"/>
      <c r="P734" s="381"/>
      <c r="Q734" s="382"/>
      <c r="R734" s="382"/>
      <c r="S734" s="382"/>
      <c r="T734" s="382"/>
      <c r="U734" s="382"/>
      <c r="V734"/>
      <c r="W734"/>
      <c r="X734"/>
      <c r="Y734"/>
    </row>
    <row r="735" spans="1:25" ht="15.75">
      <c r="A735" s="684"/>
      <c r="B735" s="689"/>
      <c r="C735" s="383"/>
      <c r="D735" s="384"/>
      <c r="E735" s="384"/>
      <c r="F735" s="384"/>
      <c r="G735" s="384"/>
      <c r="H735" s="385"/>
      <c r="I735" s="385"/>
      <c r="J735" s="384"/>
      <c r="K735" s="384"/>
      <c r="L735" s="384"/>
      <c r="M735" s="385"/>
      <c r="N735" s="385"/>
      <c r="O735" s="384"/>
      <c r="P735" s="384"/>
      <c r="Q735" s="385"/>
      <c r="R735" s="385"/>
      <c r="S735" s="385"/>
      <c r="T735" s="385"/>
      <c r="U735" s="385"/>
      <c r="V735"/>
      <c r="W735"/>
      <c r="X735"/>
      <c r="Y735"/>
    </row>
    <row r="736" spans="1:25" ht="15.75">
      <c r="A736" s="684"/>
      <c r="B736" s="687"/>
      <c r="C736" s="674"/>
      <c r="D736" s="675"/>
      <c r="E736" s="675"/>
      <c r="F736" s="675"/>
      <c r="G736" s="675"/>
      <c r="H736" s="676"/>
      <c r="I736" s="676"/>
      <c r="J736" s="675"/>
      <c r="K736" s="675"/>
      <c r="L736" s="675"/>
      <c r="M736" s="676"/>
      <c r="N736" s="676"/>
      <c r="O736" s="675"/>
      <c r="P736" s="675"/>
      <c r="Q736" s="676"/>
      <c r="R736" s="676"/>
      <c r="S736" s="676"/>
      <c r="T736" s="676"/>
      <c r="U736" s="676"/>
      <c r="V736"/>
      <c r="W736"/>
      <c r="X736"/>
      <c r="Y736"/>
    </row>
    <row r="737" spans="1:25" s="386" customFormat="1" ht="15.75">
      <c r="A737" s="684"/>
      <c r="B737" s="688"/>
      <c r="C737" s="380"/>
      <c r="D737" s="381"/>
      <c r="E737" s="381"/>
      <c r="F737" s="381"/>
      <c r="G737" s="381"/>
      <c r="H737" s="382"/>
      <c r="I737" s="382"/>
      <c r="J737" s="381"/>
      <c r="K737" s="381"/>
      <c r="L737" s="381"/>
      <c r="M737" s="382"/>
      <c r="N737" s="382"/>
      <c r="O737" s="381"/>
      <c r="P737" s="381"/>
      <c r="Q737" s="382"/>
      <c r="R737" s="382"/>
      <c r="S737" s="382"/>
      <c r="T737" s="382"/>
      <c r="U737" s="382"/>
      <c r="V737"/>
      <c r="W737"/>
      <c r="X737"/>
      <c r="Y737"/>
    </row>
    <row r="738" spans="1:25" ht="15.75">
      <c r="A738" s="684"/>
      <c r="B738" s="689"/>
      <c r="C738" s="383"/>
      <c r="D738" s="384"/>
      <c r="E738" s="384"/>
      <c r="F738" s="384"/>
      <c r="G738" s="384"/>
      <c r="H738" s="385"/>
      <c r="I738" s="385"/>
      <c r="J738" s="384"/>
      <c r="K738" s="384"/>
      <c r="L738" s="384"/>
      <c r="M738" s="385"/>
      <c r="N738" s="385"/>
      <c r="O738" s="384"/>
      <c r="P738" s="384"/>
      <c r="Q738" s="385"/>
      <c r="R738" s="385"/>
      <c r="S738" s="385"/>
      <c r="T738" s="385"/>
      <c r="U738" s="385"/>
      <c r="V738"/>
      <c r="W738"/>
      <c r="X738"/>
      <c r="Y738"/>
    </row>
    <row r="739" spans="1:25" ht="15.75">
      <c r="A739" s="684"/>
      <c r="B739" s="687"/>
      <c r="C739" s="674"/>
      <c r="D739" s="675"/>
      <c r="E739" s="675"/>
      <c r="F739" s="675"/>
      <c r="G739" s="675"/>
      <c r="H739" s="676"/>
      <c r="I739" s="676"/>
      <c r="J739" s="675"/>
      <c r="K739" s="675"/>
      <c r="L739" s="675"/>
      <c r="M739" s="676"/>
      <c r="N739" s="676"/>
      <c r="O739" s="675"/>
      <c r="P739" s="675"/>
      <c r="Q739" s="676"/>
      <c r="R739" s="676"/>
      <c r="S739" s="676"/>
      <c r="T739" s="676"/>
      <c r="U739" s="676"/>
      <c r="V739"/>
      <c r="W739"/>
      <c r="X739"/>
      <c r="Y739"/>
    </row>
    <row r="740" spans="1:25" s="386" customFormat="1" ht="15.75">
      <c r="A740" s="684"/>
      <c r="B740" s="688"/>
      <c r="C740" s="380"/>
      <c r="D740" s="381"/>
      <c r="E740" s="381"/>
      <c r="F740" s="381"/>
      <c r="G740" s="381"/>
      <c r="H740" s="382"/>
      <c r="I740" s="382"/>
      <c r="J740" s="381"/>
      <c r="K740" s="381"/>
      <c r="L740" s="381"/>
      <c r="M740" s="382"/>
      <c r="N740" s="382"/>
      <c r="O740" s="381"/>
      <c r="P740" s="381"/>
      <c r="Q740" s="382"/>
      <c r="R740" s="382"/>
      <c r="S740" s="382"/>
      <c r="T740" s="382"/>
      <c r="U740" s="382"/>
      <c r="V740"/>
      <c r="W740"/>
      <c r="X740"/>
      <c r="Y740"/>
    </row>
    <row r="741" spans="1:25" ht="15.75">
      <c r="A741" s="684"/>
      <c r="B741" s="689"/>
      <c r="C741" s="383"/>
      <c r="D741" s="384"/>
      <c r="E741" s="384"/>
      <c r="F741" s="384"/>
      <c r="G741" s="384"/>
      <c r="H741" s="385"/>
      <c r="I741" s="385"/>
      <c r="J741" s="384"/>
      <c r="K741" s="384"/>
      <c r="L741" s="384"/>
      <c r="M741" s="385"/>
      <c r="N741" s="385"/>
      <c r="O741" s="384"/>
      <c r="P741" s="384"/>
      <c r="Q741" s="385"/>
      <c r="R741" s="385"/>
      <c r="S741" s="385"/>
      <c r="T741" s="385"/>
      <c r="U741" s="385"/>
      <c r="V741"/>
      <c r="W741"/>
      <c r="X741"/>
      <c r="Y741"/>
    </row>
    <row r="742" spans="1:25" ht="15.75">
      <c r="A742" s="684"/>
      <c r="B742" s="687"/>
      <c r="C742" s="674"/>
      <c r="D742" s="675"/>
      <c r="E742" s="675"/>
      <c r="F742" s="675"/>
      <c r="G742" s="675"/>
      <c r="H742" s="676"/>
      <c r="I742" s="676"/>
      <c r="J742" s="675"/>
      <c r="K742" s="675"/>
      <c r="L742" s="675"/>
      <c r="M742" s="676"/>
      <c r="N742" s="676"/>
      <c r="O742" s="675"/>
      <c r="P742" s="675"/>
      <c r="Q742" s="676"/>
      <c r="R742" s="676"/>
      <c r="S742" s="676"/>
      <c r="T742" s="676"/>
      <c r="U742" s="676"/>
      <c r="V742"/>
      <c r="W742"/>
      <c r="X742"/>
      <c r="Y742"/>
    </row>
    <row r="743" spans="1:25" s="386" customFormat="1" ht="15.75">
      <c r="A743" s="684"/>
      <c r="B743" s="688"/>
      <c r="C743" s="380"/>
      <c r="D743" s="381"/>
      <c r="E743" s="381"/>
      <c r="F743" s="381"/>
      <c r="G743" s="381"/>
      <c r="H743" s="382"/>
      <c r="I743" s="382"/>
      <c r="J743" s="381"/>
      <c r="K743" s="381"/>
      <c r="L743" s="381"/>
      <c r="M743" s="382"/>
      <c r="N743" s="382"/>
      <c r="O743" s="381"/>
      <c r="P743" s="381"/>
      <c r="Q743" s="382"/>
      <c r="R743" s="382"/>
      <c r="S743" s="382"/>
      <c r="T743" s="382"/>
      <c r="U743" s="382"/>
      <c r="V743"/>
      <c r="W743"/>
      <c r="X743"/>
      <c r="Y743"/>
    </row>
    <row r="744" spans="1:25" ht="15.75">
      <c r="A744" s="684"/>
      <c r="B744" s="689"/>
      <c r="C744" s="383"/>
      <c r="D744" s="384"/>
      <c r="E744" s="384"/>
      <c r="F744" s="384"/>
      <c r="G744" s="384"/>
      <c r="H744" s="385"/>
      <c r="I744" s="385"/>
      <c r="J744" s="384"/>
      <c r="K744" s="384"/>
      <c r="L744" s="384"/>
      <c r="M744" s="385"/>
      <c r="N744" s="385"/>
      <c r="O744" s="384"/>
      <c r="P744" s="384"/>
      <c r="Q744" s="385"/>
      <c r="R744" s="385"/>
      <c r="S744" s="385"/>
      <c r="T744" s="385"/>
      <c r="U744" s="385"/>
      <c r="V744"/>
      <c r="W744"/>
      <c r="X744"/>
      <c r="Y744"/>
    </row>
    <row r="745" spans="1:25" ht="15.75">
      <c r="A745" s="684"/>
      <c r="B745" s="687"/>
      <c r="C745" s="674"/>
      <c r="D745" s="675"/>
      <c r="E745" s="675"/>
      <c r="F745" s="675"/>
      <c r="G745" s="675"/>
      <c r="H745" s="676"/>
      <c r="I745" s="676"/>
      <c r="J745" s="675"/>
      <c r="K745" s="675"/>
      <c r="L745" s="675"/>
      <c r="M745" s="676"/>
      <c r="N745" s="676"/>
      <c r="O745" s="675"/>
      <c r="P745" s="675"/>
      <c r="Q745" s="676"/>
      <c r="R745" s="676"/>
      <c r="S745" s="676"/>
      <c r="T745" s="676"/>
      <c r="U745" s="676"/>
      <c r="V745"/>
      <c r="W745"/>
      <c r="X745"/>
      <c r="Y745"/>
    </row>
    <row r="746" spans="1:25" s="386" customFormat="1" ht="15.75">
      <c r="A746" s="684"/>
      <c r="B746" s="688"/>
      <c r="C746" s="380"/>
      <c r="D746" s="381"/>
      <c r="E746" s="381"/>
      <c r="F746" s="381"/>
      <c r="G746" s="381"/>
      <c r="H746" s="382"/>
      <c r="I746" s="382"/>
      <c r="J746" s="381"/>
      <c r="K746" s="381"/>
      <c r="L746" s="381"/>
      <c r="M746" s="382"/>
      <c r="N746" s="382"/>
      <c r="O746" s="381"/>
      <c r="P746" s="381"/>
      <c r="Q746" s="382"/>
      <c r="R746" s="382"/>
      <c r="S746" s="382"/>
      <c r="T746" s="382"/>
      <c r="U746" s="382"/>
      <c r="V746"/>
      <c r="W746"/>
      <c r="X746"/>
      <c r="Y746"/>
    </row>
    <row r="747" spans="1:25" ht="15.75">
      <c r="A747" s="684"/>
      <c r="B747" s="689"/>
      <c r="C747" s="383"/>
      <c r="D747" s="384"/>
      <c r="E747" s="384"/>
      <c r="F747" s="384"/>
      <c r="G747" s="384"/>
      <c r="H747" s="385"/>
      <c r="I747" s="385"/>
      <c r="J747" s="384"/>
      <c r="K747" s="384"/>
      <c r="L747" s="384"/>
      <c r="M747" s="385"/>
      <c r="N747" s="385"/>
      <c r="O747" s="384"/>
      <c r="P747" s="384"/>
      <c r="Q747" s="385"/>
      <c r="R747" s="385"/>
      <c r="S747" s="385"/>
      <c r="T747" s="385"/>
      <c r="U747" s="385"/>
      <c r="V747"/>
      <c r="W747"/>
      <c r="X747"/>
      <c r="Y747"/>
    </row>
    <row r="748" spans="1:25" ht="15.75">
      <c r="A748" s="684"/>
      <c r="B748" s="687"/>
      <c r="C748" s="674"/>
      <c r="D748" s="675"/>
      <c r="E748" s="675"/>
      <c r="F748" s="675"/>
      <c r="G748" s="675"/>
      <c r="H748" s="676"/>
      <c r="I748" s="676"/>
      <c r="J748" s="675"/>
      <c r="K748" s="675"/>
      <c r="L748" s="675"/>
      <c r="M748" s="676"/>
      <c r="N748" s="676"/>
      <c r="O748" s="675"/>
      <c r="P748" s="675"/>
      <c r="Q748" s="676"/>
      <c r="R748" s="676"/>
      <c r="S748" s="676"/>
      <c r="T748" s="676"/>
      <c r="U748" s="676"/>
      <c r="V748"/>
      <c r="W748"/>
      <c r="X748"/>
      <c r="Y748"/>
    </row>
    <row r="749" spans="1:25" s="386" customFormat="1" ht="15.75">
      <c r="A749" s="684"/>
      <c r="B749" s="688"/>
      <c r="C749" s="380"/>
      <c r="D749" s="381"/>
      <c r="E749" s="381"/>
      <c r="F749" s="381"/>
      <c r="G749" s="381"/>
      <c r="H749" s="382"/>
      <c r="I749" s="382"/>
      <c r="J749" s="381"/>
      <c r="K749" s="381"/>
      <c r="L749" s="381"/>
      <c r="M749" s="382"/>
      <c r="N749" s="382"/>
      <c r="O749" s="381"/>
      <c r="P749" s="381"/>
      <c r="Q749" s="382"/>
      <c r="R749" s="382"/>
      <c r="S749" s="382"/>
      <c r="T749" s="382"/>
      <c r="U749" s="382"/>
      <c r="V749"/>
      <c r="W749"/>
      <c r="X749"/>
      <c r="Y749"/>
    </row>
    <row r="750" spans="1:25" ht="15.75">
      <c r="A750" s="684"/>
      <c r="B750" s="689"/>
      <c r="C750" s="383"/>
      <c r="D750" s="384"/>
      <c r="E750" s="384"/>
      <c r="F750" s="384"/>
      <c r="G750" s="384"/>
      <c r="H750" s="385"/>
      <c r="I750" s="385"/>
      <c r="J750" s="384"/>
      <c r="K750" s="384"/>
      <c r="L750" s="384"/>
      <c r="M750" s="385"/>
      <c r="N750" s="385"/>
      <c r="O750" s="384"/>
      <c r="P750" s="384"/>
      <c r="Q750" s="385"/>
      <c r="R750" s="385"/>
      <c r="S750" s="385"/>
      <c r="T750" s="385"/>
      <c r="U750" s="385"/>
      <c r="V750"/>
      <c r="W750"/>
      <c r="X750"/>
      <c r="Y750"/>
    </row>
    <row r="751" spans="1:25" ht="15.75">
      <c r="A751" s="684"/>
      <c r="B751" s="687"/>
      <c r="C751" s="674"/>
      <c r="D751" s="675"/>
      <c r="E751" s="675"/>
      <c r="F751" s="675"/>
      <c r="G751" s="675"/>
      <c r="H751" s="676"/>
      <c r="I751" s="676"/>
      <c r="J751" s="675"/>
      <c r="K751" s="675"/>
      <c r="L751" s="675"/>
      <c r="M751" s="676"/>
      <c r="N751" s="676"/>
      <c r="O751" s="675"/>
      <c r="P751" s="675"/>
      <c r="Q751" s="676"/>
      <c r="R751" s="676"/>
      <c r="S751" s="676"/>
      <c r="T751" s="676"/>
      <c r="U751" s="676"/>
      <c r="V751"/>
      <c r="W751"/>
      <c r="X751"/>
      <c r="Y751"/>
    </row>
    <row r="752" spans="1:25" s="386" customFormat="1" ht="15.75">
      <c r="A752" s="684"/>
      <c r="B752" s="688"/>
      <c r="C752" s="380"/>
      <c r="D752" s="381"/>
      <c r="E752" s="381"/>
      <c r="F752" s="381"/>
      <c r="G752" s="381"/>
      <c r="H752" s="382"/>
      <c r="I752" s="382"/>
      <c r="J752" s="381"/>
      <c r="K752" s="381"/>
      <c r="L752" s="381"/>
      <c r="M752" s="382"/>
      <c r="N752" s="382"/>
      <c r="O752" s="381"/>
      <c r="P752" s="381"/>
      <c r="Q752" s="382"/>
      <c r="R752" s="382"/>
      <c r="S752" s="382"/>
      <c r="T752" s="382"/>
      <c r="U752" s="382"/>
      <c r="V752"/>
      <c r="W752"/>
      <c r="X752"/>
      <c r="Y752"/>
    </row>
    <row r="753" spans="1:25" ht="15.75">
      <c r="A753" s="684"/>
      <c r="B753" s="689"/>
      <c r="C753" s="383"/>
      <c r="D753" s="384"/>
      <c r="E753" s="384"/>
      <c r="F753" s="384"/>
      <c r="G753" s="384"/>
      <c r="H753" s="385"/>
      <c r="I753" s="385"/>
      <c r="J753" s="384"/>
      <c r="K753" s="384"/>
      <c r="L753" s="384"/>
      <c r="M753" s="385"/>
      <c r="N753" s="385"/>
      <c r="O753" s="384"/>
      <c r="P753" s="384"/>
      <c r="Q753" s="385"/>
      <c r="R753" s="385"/>
      <c r="S753" s="385"/>
      <c r="T753" s="385"/>
      <c r="U753" s="385"/>
      <c r="V753"/>
      <c r="W753"/>
      <c r="X753"/>
      <c r="Y753"/>
    </row>
    <row r="754" spans="1:25" ht="15.75">
      <c r="A754" s="684"/>
      <c r="B754" s="687"/>
      <c r="C754" s="674"/>
      <c r="D754" s="675"/>
      <c r="E754" s="675"/>
      <c r="F754" s="675"/>
      <c r="G754" s="675"/>
      <c r="H754" s="676"/>
      <c r="I754" s="676"/>
      <c r="J754" s="675"/>
      <c r="K754" s="675"/>
      <c r="L754" s="675"/>
      <c r="M754" s="676"/>
      <c r="N754" s="676"/>
      <c r="O754" s="675"/>
      <c r="P754" s="675"/>
      <c r="Q754" s="676"/>
      <c r="R754" s="676"/>
      <c r="S754" s="676"/>
      <c r="T754" s="676"/>
      <c r="U754" s="676"/>
      <c r="V754"/>
      <c r="W754"/>
      <c r="X754"/>
      <c r="Y754"/>
    </row>
    <row r="755" spans="1:25" s="386" customFormat="1" ht="15.75">
      <c r="A755" s="685"/>
      <c r="B755" s="690"/>
      <c r="C755" s="576"/>
      <c r="D755" s="577"/>
      <c r="E755" s="577"/>
      <c r="F755" s="577"/>
      <c r="G755" s="577"/>
      <c r="H755" s="578"/>
      <c r="I755" s="578"/>
      <c r="J755" s="577"/>
      <c r="K755" s="577"/>
      <c r="L755" s="577"/>
      <c r="M755" s="578"/>
      <c r="N755" s="578"/>
      <c r="O755" s="577"/>
      <c r="P755" s="577"/>
      <c r="Q755" s="578"/>
      <c r="R755" s="578"/>
      <c r="S755" s="578"/>
      <c r="T755" s="578"/>
      <c r="U755" s="578"/>
      <c r="V755"/>
      <c r="W755"/>
      <c r="X755"/>
      <c r="Y755"/>
    </row>
    <row r="756" spans="1:25" ht="15.75">
      <c r="A756" s="683"/>
      <c r="B756" s="687"/>
      <c r="C756" s="674"/>
      <c r="D756" s="675"/>
      <c r="E756" s="675"/>
      <c r="F756" s="675"/>
      <c r="G756" s="675"/>
      <c r="H756" s="676"/>
      <c r="I756" s="676"/>
      <c r="J756" s="675"/>
      <c r="K756" s="675"/>
      <c r="L756" s="675"/>
      <c r="M756" s="676"/>
      <c r="N756" s="676"/>
      <c r="O756" s="675"/>
      <c r="P756" s="675"/>
      <c r="Q756" s="676"/>
      <c r="R756" s="676"/>
      <c r="S756" s="676"/>
      <c r="T756" s="676"/>
      <c r="U756" s="676"/>
      <c r="V756"/>
      <c r="W756"/>
      <c r="X756"/>
      <c r="Y756"/>
    </row>
    <row r="757" spans="1:25" ht="15.75">
      <c r="A757" s="684"/>
      <c r="B757" s="688"/>
      <c r="C757" s="380"/>
      <c r="D757" s="381"/>
      <c r="E757" s="381"/>
      <c r="F757" s="381"/>
      <c r="G757" s="381"/>
      <c r="H757" s="382"/>
      <c r="I757" s="382"/>
      <c r="J757" s="381"/>
      <c r="K757" s="381"/>
      <c r="L757" s="381"/>
      <c r="M757" s="382"/>
      <c r="N757" s="382"/>
      <c r="O757" s="381"/>
      <c r="P757" s="381"/>
      <c r="Q757" s="382"/>
      <c r="R757" s="382"/>
      <c r="S757" s="382"/>
      <c r="T757" s="382"/>
      <c r="U757" s="382"/>
      <c r="V757"/>
      <c r="W757"/>
      <c r="X757"/>
      <c r="Y757"/>
    </row>
    <row r="758" spans="1:25" s="386" customFormat="1" ht="15.75">
      <c r="A758" s="684"/>
      <c r="B758" s="689"/>
      <c r="C758" s="383"/>
      <c r="D758" s="384"/>
      <c r="E758" s="384"/>
      <c r="F758" s="384"/>
      <c r="G758" s="384"/>
      <c r="H758" s="385"/>
      <c r="I758" s="385"/>
      <c r="J758" s="384"/>
      <c r="K758" s="384"/>
      <c r="L758" s="384"/>
      <c r="M758" s="385"/>
      <c r="N758" s="385"/>
      <c r="O758" s="384"/>
      <c r="P758" s="384"/>
      <c r="Q758" s="385"/>
      <c r="R758" s="385"/>
      <c r="S758" s="385"/>
      <c r="T758" s="385"/>
      <c r="U758" s="385"/>
      <c r="V758"/>
      <c r="W758"/>
      <c r="X758"/>
      <c r="Y758"/>
    </row>
    <row r="759" spans="1:25" ht="15.75">
      <c r="A759" s="684"/>
      <c r="B759" s="687"/>
      <c r="C759" s="674"/>
      <c r="D759" s="675"/>
      <c r="E759" s="675"/>
      <c r="F759" s="675"/>
      <c r="G759" s="675"/>
      <c r="H759" s="676"/>
      <c r="I759" s="676"/>
      <c r="J759" s="675"/>
      <c r="K759" s="675"/>
      <c r="L759" s="675"/>
      <c r="M759" s="676"/>
      <c r="N759" s="676"/>
      <c r="O759" s="675"/>
      <c r="P759" s="675"/>
      <c r="Q759" s="676"/>
      <c r="R759" s="676"/>
      <c r="S759" s="676"/>
      <c r="T759" s="676"/>
      <c r="U759" s="676"/>
      <c r="V759"/>
      <c r="W759"/>
      <c r="X759"/>
      <c r="Y759"/>
    </row>
    <row r="760" spans="1:25" ht="15.75">
      <c r="A760" s="684"/>
      <c r="B760" s="688"/>
      <c r="C760" s="380"/>
      <c r="D760" s="381"/>
      <c r="E760" s="381"/>
      <c r="F760" s="381"/>
      <c r="G760" s="381"/>
      <c r="H760" s="382"/>
      <c r="I760" s="382"/>
      <c r="J760" s="381"/>
      <c r="K760" s="381"/>
      <c r="L760" s="381"/>
      <c r="M760" s="382"/>
      <c r="N760" s="382"/>
      <c r="O760" s="381"/>
      <c r="P760" s="381"/>
      <c r="Q760" s="382"/>
      <c r="R760" s="382"/>
      <c r="S760" s="382"/>
      <c r="T760" s="382"/>
      <c r="U760" s="382"/>
      <c r="V760"/>
      <c r="W760"/>
      <c r="X760"/>
      <c r="Y760"/>
    </row>
    <row r="761" spans="1:25" s="386" customFormat="1" ht="15.75">
      <c r="A761" s="684"/>
      <c r="B761" s="689"/>
      <c r="C761" s="383"/>
      <c r="D761" s="384"/>
      <c r="E761" s="384"/>
      <c r="F761" s="384"/>
      <c r="G761" s="384"/>
      <c r="H761" s="385"/>
      <c r="I761" s="385"/>
      <c r="J761" s="384"/>
      <c r="K761" s="384"/>
      <c r="L761" s="384"/>
      <c r="M761" s="385"/>
      <c r="N761" s="385"/>
      <c r="O761" s="384"/>
      <c r="P761" s="384"/>
      <c r="Q761" s="385"/>
      <c r="R761" s="385"/>
      <c r="S761" s="385"/>
      <c r="T761" s="385"/>
      <c r="U761" s="385"/>
      <c r="V761"/>
      <c r="W761"/>
      <c r="X761"/>
      <c r="Y761"/>
    </row>
    <row r="762" spans="1:25" ht="15.75">
      <c r="A762" s="684"/>
      <c r="B762" s="687"/>
      <c r="C762" s="674"/>
      <c r="D762" s="675"/>
      <c r="E762" s="675"/>
      <c r="F762" s="675"/>
      <c r="G762" s="675"/>
      <c r="H762" s="676"/>
      <c r="I762" s="676"/>
      <c r="J762" s="675"/>
      <c r="K762" s="675"/>
      <c r="L762" s="675"/>
      <c r="M762" s="676"/>
      <c r="N762" s="676"/>
      <c r="O762" s="675"/>
      <c r="P762" s="675"/>
      <c r="Q762" s="676"/>
      <c r="R762" s="676"/>
      <c r="S762" s="676"/>
      <c r="T762" s="676"/>
      <c r="U762" s="676"/>
      <c r="V762"/>
      <c r="W762"/>
      <c r="X762"/>
      <c r="Y762"/>
    </row>
    <row r="763" spans="1:25" ht="15.75">
      <c r="A763" s="684"/>
      <c r="B763" s="688"/>
      <c r="C763" s="380"/>
      <c r="D763" s="381"/>
      <c r="E763" s="381"/>
      <c r="F763" s="381"/>
      <c r="G763" s="381"/>
      <c r="H763" s="382"/>
      <c r="I763" s="382"/>
      <c r="J763" s="381"/>
      <c r="K763" s="381"/>
      <c r="L763" s="381"/>
      <c r="M763" s="382"/>
      <c r="N763" s="382"/>
      <c r="O763" s="381"/>
      <c r="P763" s="381"/>
      <c r="Q763" s="382"/>
      <c r="R763" s="382"/>
      <c r="S763" s="382"/>
      <c r="T763" s="382"/>
      <c r="U763" s="382"/>
      <c r="V763"/>
      <c r="W763"/>
      <c r="X763"/>
      <c r="Y763"/>
    </row>
    <row r="764" spans="1:25" s="386" customFormat="1" ht="15.75">
      <c r="A764" s="684"/>
      <c r="B764" s="689"/>
      <c r="C764" s="383"/>
      <c r="D764" s="384"/>
      <c r="E764" s="384"/>
      <c r="F764" s="384"/>
      <c r="G764" s="384"/>
      <c r="H764" s="692"/>
      <c r="I764" s="385"/>
      <c r="J764" s="384"/>
      <c r="K764" s="384"/>
      <c r="L764" s="384"/>
      <c r="M764" s="385"/>
      <c r="N764" s="385"/>
      <c r="O764" s="384"/>
      <c r="P764" s="384"/>
      <c r="Q764" s="385"/>
      <c r="R764" s="385"/>
      <c r="S764" s="385"/>
      <c r="T764" s="385"/>
      <c r="U764" s="385"/>
      <c r="V764"/>
      <c r="W764"/>
      <c r="X764"/>
      <c r="Y764"/>
    </row>
    <row r="765" spans="1:25" ht="15.75">
      <c r="A765" s="684"/>
      <c r="B765" s="687"/>
      <c r="C765" s="674"/>
      <c r="D765" s="675"/>
      <c r="E765" s="675"/>
      <c r="F765" s="675"/>
      <c r="G765" s="675"/>
      <c r="H765" s="676"/>
      <c r="I765" s="676"/>
      <c r="J765" s="675"/>
      <c r="K765" s="675"/>
      <c r="L765" s="675"/>
      <c r="M765" s="676"/>
      <c r="N765" s="676"/>
      <c r="O765" s="675"/>
      <c r="P765" s="675"/>
      <c r="Q765" s="676"/>
      <c r="R765" s="676"/>
      <c r="S765" s="676"/>
      <c r="T765" s="676"/>
      <c r="U765" s="676"/>
      <c r="V765"/>
      <c r="W765"/>
      <c r="X765"/>
      <c r="Y765"/>
    </row>
    <row r="766" spans="1:25" ht="15.75">
      <c r="A766" s="684"/>
      <c r="B766" s="688"/>
      <c r="C766" s="380"/>
      <c r="D766" s="381"/>
      <c r="E766" s="381"/>
      <c r="F766" s="381"/>
      <c r="G766" s="381"/>
      <c r="H766" s="382"/>
      <c r="I766" s="382"/>
      <c r="J766" s="381"/>
      <c r="K766" s="381"/>
      <c r="L766" s="381"/>
      <c r="M766" s="382"/>
      <c r="N766" s="382"/>
      <c r="O766" s="381"/>
      <c r="P766" s="381"/>
      <c r="Q766" s="382"/>
      <c r="R766" s="382"/>
      <c r="S766" s="382"/>
      <c r="T766" s="382"/>
      <c r="U766" s="382"/>
      <c r="V766"/>
      <c r="W766"/>
      <c r="X766"/>
      <c r="Y766"/>
    </row>
    <row r="767" spans="1:25" s="386" customFormat="1" ht="15.75">
      <c r="A767" s="684"/>
      <c r="B767" s="689"/>
      <c r="C767" s="383"/>
      <c r="D767" s="384"/>
      <c r="E767" s="384"/>
      <c r="F767" s="384"/>
      <c r="G767" s="384"/>
      <c r="H767" s="385"/>
      <c r="I767" s="385"/>
      <c r="J767" s="384"/>
      <c r="K767" s="384"/>
      <c r="L767" s="384"/>
      <c r="M767" s="385"/>
      <c r="N767" s="385"/>
      <c r="O767" s="384"/>
      <c r="P767" s="384"/>
      <c r="Q767" s="385"/>
      <c r="R767" s="385"/>
      <c r="S767" s="385"/>
      <c r="T767" s="385"/>
      <c r="U767" s="385"/>
      <c r="V767"/>
      <c r="W767"/>
      <c r="X767"/>
      <c r="Y767"/>
    </row>
    <row r="768" spans="1:25" ht="15.75">
      <c r="A768" s="684"/>
      <c r="B768" s="687"/>
      <c r="C768" s="674"/>
      <c r="D768" s="675"/>
      <c r="E768" s="675"/>
      <c r="F768" s="675"/>
      <c r="G768" s="675"/>
      <c r="H768" s="676"/>
      <c r="I768" s="676"/>
      <c r="J768" s="675"/>
      <c r="K768" s="675"/>
      <c r="L768" s="675"/>
      <c r="M768" s="676"/>
      <c r="N768" s="676"/>
      <c r="O768" s="675"/>
      <c r="P768" s="675"/>
      <c r="Q768" s="676"/>
      <c r="R768" s="676"/>
      <c r="S768" s="676"/>
      <c r="T768" s="676"/>
      <c r="U768" s="676"/>
      <c r="V768"/>
      <c r="W768"/>
      <c r="X768"/>
      <c r="Y768"/>
    </row>
    <row r="769" spans="1:25" ht="15.75">
      <c r="A769" s="684"/>
      <c r="B769" s="688"/>
      <c r="C769" s="380"/>
      <c r="D769" s="381"/>
      <c r="E769" s="381"/>
      <c r="F769" s="381"/>
      <c r="G769" s="381"/>
      <c r="H769" s="382"/>
      <c r="I769" s="382"/>
      <c r="J769" s="381"/>
      <c r="K769" s="381"/>
      <c r="L769" s="381"/>
      <c r="M769" s="382"/>
      <c r="N769" s="382"/>
      <c r="O769" s="381"/>
      <c r="P769" s="381"/>
      <c r="Q769" s="382"/>
      <c r="R769" s="382"/>
      <c r="S769" s="382"/>
      <c r="T769" s="382"/>
      <c r="U769" s="382"/>
      <c r="V769"/>
      <c r="W769"/>
      <c r="X769"/>
      <c r="Y769"/>
    </row>
    <row r="770" spans="1:25" s="386" customFormat="1" ht="15.75">
      <c r="A770" s="684"/>
      <c r="B770" s="689"/>
      <c r="C770" s="383"/>
      <c r="D770" s="384"/>
      <c r="E770" s="384"/>
      <c r="F770" s="384"/>
      <c r="G770" s="384"/>
      <c r="H770" s="385"/>
      <c r="I770" s="385"/>
      <c r="J770" s="384"/>
      <c r="K770" s="384"/>
      <c r="L770" s="384"/>
      <c r="M770" s="385"/>
      <c r="N770" s="385"/>
      <c r="O770" s="384"/>
      <c r="P770" s="384"/>
      <c r="Q770" s="385"/>
      <c r="R770" s="385"/>
      <c r="S770" s="385"/>
      <c r="T770" s="385"/>
      <c r="U770" s="385"/>
      <c r="V770"/>
      <c r="W770"/>
      <c r="X770"/>
      <c r="Y770"/>
    </row>
    <row r="771" spans="1:25" ht="15.75">
      <c r="A771" s="684"/>
      <c r="B771" s="687"/>
      <c r="C771" s="674"/>
      <c r="D771" s="675"/>
      <c r="E771" s="675"/>
      <c r="F771" s="675"/>
      <c r="G771" s="675"/>
      <c r="H771" s="676"/>
      <c r="I771" s="676"/>
      <c r="J771" s="675"/>
      <c r="K771" s="675"/>
      <c r="L771" s="675"/>
      <c r="M771" s="676"/>
      <c r="N771" s="676"/>
      <c r="O771" s="675"/>
      <c r="P771" s="675"/>
      <c r="Q771" s="676"/>
      <c r="R771" s="676"/>
      <c r="S771" s="676"/>
      <c r="T771" s="676"/>
      <c r="U771" s="676"/>
      <c r="V771"/>
      <c r="W771"/>
      <c r="X771"/>
      <c r="Y771"/>
    </row>
    <row r="772" spans="1:25" ht="15.75">
      <c r="A772" s="684"/>
      <c r="B772" s="688"/>
      <c r="C772" s="380"/>
      <c r="D772" s="381"/>
      <c r="E772" s="381"/>
      <c r="F772" s="381"/>
      <c r="G772" s="381"/>
      <c r="H772" s="382"/>
      <c r="I772" s="382"/>
      <c r="J772" s="381"/>
      <c r="K772" s="381"/>
      <c r="L772" s="381"/>
      <c r="M772" s="382"/>
      <c r="N772" s="382"/>
      <c r="O772" s="381"/>
      <c r="P772" s="381"/>
      <c r="Q772" s="382"/>
      <c r="R772" s="382"/>
      <c r="S772" s="382"/>
      <c r="T772" s="382"/>
      <c r="U772" s="382"/>
      <c r="V772"/>
      <c r="W772"/>
      <c r="X772"/>
      <c r="Y772"/>
    </row>
    <row r="773" spans="1:25" s="386" customFormat="1" ht="15.75">
      <c r="A773" s="684"/>
      <c r="B773" s="689"/>
      <c r="C773" s="383"/>
      <c r="D773" s="384"/>
      <c r="E773" s="384"/>
      <c r="F773" s="384"/>
      <c r="G773" s="384"/>
      <c r="H773" s="385"/>
      <c r="I773" s="385"/>
      <c r="J773" s="384"/>
      <c r="K773" s="384"/>
      <c r="L773" s="384"/>
      <c r="M773" s="385"/>
      <c r="N773" s="385"/>
      <c r="O773" s="384"/>
      <c r="P773" s="384"/>
      <c r="Q773" s="385"/>
      <c r="R773" s="385"/>
      <c r="S773" s="385"/>
      <c r="T773" s="385"/>
      <c r="U773" s="385"/>
      <c r="V773"/>
      <c r="W773"/>
      <c r="X773"/>
      <c r="Y773"/>
    </row>
    <row r="774" spans="1:25" ht="15.75">
      <c r="A774" s="684"/>
      <c r="B774" s="687"/>
      <c r="C774" s="674"/>
      <c r="D774" s="675"/>
      <c r="E774" s="675"/>
      <c r="F774" s="675"/>
      <c r="G774" s="675"/>
      <c r="H774" s="676"/>
      <c r="I774" s="676"/>
      <c r="J774" s="675"/>
      <c r="K774" s="675"/>
      <c r="L774" s="675"/>
      <c r="M774" s="676"/>
      <c r="N774" s="676"/>
      <c r="O774" s="675"/>
      <c r="P774" s="675"/>
      <c r="Q774" s="676"/>
      <c r="R774" s="676"/>
      <c r="S774" s="676"/>
      <c r="T774" s="676"/>
      <c r="U774" s="676"/>
      <c r="V774"/>
      <c r="W774"/>
      <c r="X774"/>
      <c r="Y774"/>
    </row>
    <row r="775" spans="1:25" ht="15.75">
      <c r="A775" s="684"/>
      <c r="B775" s="688"/>
      <c r="C775" s="380"/>
      <c r="D775" s="381"/>
      <c r="E775" s="381"/>
      <c r="F775" s="381"/>
      <c r="G775" s="381"/>
      <c r="H775" s="382"/>
      <c r="I775" s="382"/>
      <c r="J775" s="381"/>
      <c r="K775" s="381"/>
      <c r="L775" s="381"/>
      <c r="M775" s="382"/>
      <c r="N775" s="382"/>
      <c r="O775" s="381"/>
      <c r="P775" s="381"/>
      <c r="Q775" s="382"/>
      <c r="R775" s="382"/>
      <c r="S775" s="382"/>
      <c r="T775" s="382"/>
      <c r="U775" s="382"/>
      <c r="V775"/>
      <c r="W775"/>
      <c r="X775"/>
      <c r="Y775"/>
    </row>
    <row r="776" spans="1:25" s="386" customFormat="1" ht="15.75">
      <c r="A776" s="684"/>
      <c r="B776" s="689"/>
      <c r="C776" s="383"/>
      <c r="D776" s="384"/>
      <c r="E776" s="384"/>
      <c r="F776" s="384"/>
      <c r="G776" s="384"/>
      <c r="H776" s="385"/>
      <c r="I776" s="385"/>
      <c r="J776" s="384"/>
      <c r="K776" s="384"/>
      <c r="L776" s="384"/>
      <c r="M776" s="385"/>
      <c r="N776" s="385"/>
      <c r="O776" s="384"/>
      <c r="P776" s="384"/>
      <c r="Q776" s="385"/>
      <c r="R776" s="385"/>
      <c r="S776" s="385"/>
      <c r="T776" s="385"/>
      <c r="U776" s="385"/>
      <c r="V776"/>
      <c r="W776"/>
      <c r="X776"/>
      <c r="Y776"/>
    </row>
    <row r="777" spans="1:25" ht="15.75">
      <c r="A777" s="684"/>
      <c r="B777" s="687"/>
      <c r="C777" s="674"/>
      <c r="D777" s="675"/>
      <c r="E777" s="675"/>
      <c r="F777" s="675"/>
      <c r="G777" s="675"/>
      <c r="H777" s="676"/>
      <c r="I777" s="676"/>
      <c r="J777" s="675"/>
      <c r="K777" s="675"/>
      <c r="L777" s="675"/>
      <c r="M777" s="676"/>
      <c r="N777" s="676"/>
      <c r="O777" s="675"/>
      <c r="P777" s="675"/>
      <c r="Q777" s="676"/>
      <c r="R777" s="676"/>
      <c r="S777" s="676"/>
      <c r="T777" s="676"/>
      <c r="U777" s="676"/>
      <c r="V777"/>
      <c r="W777"/>
      <c r="X777"/>
      <c r="Y777"/>
    </row>
    <row r="778" spans="1:25" ht="15.75">
      <c r="A778" s="684"/>
      <c r="B778" s="688"/>
      <c r="C778" s="380"/>
      <c r="D778" s="381"/>
      <c r="E778" s="381"/>
      <c r="F778" s="381"/>
      <c r="G778" s="381"/>
      <c r="H778" s="382"/>
      <c r="I778" s="382"/>
      <c r="J778" s="381"/>
      <c r="K778" s="381"/>
      <c r="L778" s="381"/>
      <c r="M778" s="382"/>
      <c r="N778" s="382"/>
      <c r="O778" s="381"/>
      <c r="P778" s="381"/>
      <c r="Q778" s="382"/>
      <c r="R778" s="382"/>
      <c r="S778" s="382"/>
      <c r="T778" s="382"/>
      <c r="U778" s="382"/>
      <c r="V778"/>
      <c r="W778"/>
      <c r="X778"/>
      <c r="Y778"/>
    </row>
    <row r="779" spans="1:25" s="386" customFormat="1" ht="15.75">
      <c r="A779" s="684"/>
      <c r="B779" s="689"/>
      <c r="C779" s="383"/>
      <c r="D779" s="384"/>
      <c r="E779" s="384"/>
      <c r="F779" s="384"/>
      <c r="G779" s="384"/>
      <c r="H779" s="385"/>
      <c r="I779" s="385"/>
      <c r="J779" s="384"/>
      <c r="K779" s="384"/>
      <c r="L779" s="384"/>
      <c r="M779" s="385"/>
      <c r="N779" s="385"/>
      <c r="O779" s="384"/>
      <c r="P779" s="384"/>
      <c r="Q779" s="385"/>
      <c r="R779" s="385"/>
      <c r="S779" s="385"/>
      <c r="T779" s="385"/>
      <c r="U779" s="385"/>
      <c r="V779"/>
      <c r="W779"/>
      <c r="X779"/>
      <c r="Y779"/>
    </row>
    <row r="780" spans="1:25" ht="15.75">
      <c r="A780" s="684"/>
      <c r="B780" s="687"/>
      <c r="C780" s="674"/>
      <c r="D780" s="675"/>
      <c r="E780" s="675"/>
      <c r="F780" s="675"/>
      <c r="G780" s="675"/>
      <c r="H780" s="676"/>
      <c r="I780" s="676"/>
      <c r="J780" s="675"/>
      <c r="K780" s="675"/>
      <c r="L780" s="675"/>
      <c r="M780" s="676"/>
      <c r="N780" s="676"/>
      <c r="O780" s="675"/>
      <c r="P780" s="675"/>
      <c r="Q780" s="676"/>
      <c r="R780" s="676"/>
      <c r="S780" s="676"/>
      <c r="T780" s="676"/>
      <c r="U780" s="676"/>
      <c r="V780"/>
      <c r="W780"/>
      <c r="X780"/>
      <c r="Y780"/>
    </row>
    <row r="781" spans="1:25" ht="15.75">
      <c r="A781" s="684"/>
      <c r="B781" s="688"/>
      <c r="C781" s="380"/>
      <c r="D781" s="381"/>
      <c r="E781" s="381"/>
      <c r="F781" s="381"/>
      <c r="G781" s="381"/>
      <c r="H781" s="382"/>
      <c r="I781" s="382"/>
      <c r="J781" s="381"/>
      <c r="K781" s="381"/>
      <c r="L781" s="381"/>
      <c r="M781" s="382"/>
      <c r="N781" s="382"/>
      <c r="O781" s="381"/>
      <c r="P781" s="381"/>
      <c r="Q781" s="382"/>
      <c r="R781" s="382"/>
      <c r="S781" s="382"/>
      <c r="T781" s="382"/>
      <c r="U781" s="382"/>
      <c r="V781"/>
      <c r="W781"/>
      <c r="X781"/>
      <c r="Y781"/>
    </row>
    <row r="782" spans="1:25" s="386" customFormat="1" ht="15.75">
      <c r="A782" s="684"/>
      <c r="B782" s="689"/>
      <c r="C782" s="383"/>
      <c r="D782" s="384"/>
      <c r="E782" s="384"/>
      <c r="F782" s="384"/>
      <c r="G782" s="384"/>
      <c r="H782" s="385"/>
      <c r="I782" s="385"/>
      <c r="J782" s="384"/>
      <c r="K782" s="384"/>
      <c r="L782" s="384"/>
      <c r="M782" s="385"/>
      <c r="N782" s="385"/>
      <c r="O782" s="384"/>
      <c r="P782" s="384"/>
      <c r="Q782" s="385"/>
      <c r="R782" s="385"/>
      <c r="S782" s="385"/>
      <c r="T782" s="385"/>
      <c r="U782" s="385"/>
      <c r="V782"/>
      <c r="W782"/>
      <c r="X782"/>
      <c r="Y782"/>
    </row>
    <row r="783" spans="1:25" ht="15.75">
      <c r="A783" s="684"/>
      <c r="B783" s="687"/>
      <c r="C783" s="674"/>
      <c r="D783" s="675"/>
      <c r="E783" s="675"/>
      <c r="F783" s="675"/>
      <c r="G783" s="675"/>
      <c r="H783" s="676"/>
      <c r="I783" s="676"/>
      <c r="J783" s="675"/>
      <c r="K783" s="675"/>
      <c r="L783" s="675"/>
      <c r="M783" s="676"/>
      <c r="N783" s="676"/>
      <c r="O783" s="675"/>
      <c r="P783" s="675"/>
      <c r="Q783" s="676"/>
      <c r="R783" s="676"/>
      <c r="S783" s="676"/>
      <c r="T783" s="676"/>
      <c r="U783" s="676"/>
      <c r="V783"/>
      <c r="W783"/>
      <c r="X783"/>
      <c r="Y783"/>
    </row>
    <row r="784" spans="1:25" ht="15.75">
      <c r="A784" s="684"/>
      <c r="B784" s="688"/>
      <c r="C784" s="380"/>
      <c r="D784" s="381"/>
      <c r="E784" s="381"/>
      <c r="F784" s="381"/>
      <c r="G784" s="381"/>
      <c r="H784" s="382"/>
      <c r="I784" s="382"/>
      <c r="J784" s="381"/>
      <c r="K784" s="381"/>
      <c r="L784" s="381"/>
      <c r="M784" s="382"/>
      <c r="N784" s="382"/>
      <c r="O784" s="381"/>
      <c r="P784" s="381"/>
      <c r="Q784" s="382"/>
      <c r="R784" s="382"/>
      <c r="S784" s="382"/>
      <c r="T784" s="382"/>
      <c r="U784" s="382"/>
      <c r="V784"/>
      <c r="W784"/>
      <c r="X784"/>
      <c r="Y784"/>
    </row>
    <row r="785" spans="1:25" s="386" customFormat="1" ht="15.75">
      <c r="A785" s="684"/>
      <c r="B785" s="689"/>
      <c r="C785" s="383"/>
      <c r="D785" s="384"/>
      <c r="E785" s="384"/>
      <c r="F785" s="384"/>
      <c r="G785" s="384"/>
      <c r="H785" s="385"/>
      <c r="I785" s="385"/>
      <c r="J785" s="384"/>
      <c r="K785" s="384"/>
      <c r="L785" s="384"/>
      <c r="M785" s="385"/>
      <c r="N785" s="385"/>
      <c r="O785" s="384"/>
      <c r="P785" s="384"/>
      <c r="Q785" s="385"/>
      <c r="R785" s="385"/>
      <c r="S785" s="385"/>
      <c r="T785" s="385"/>
      <c r="U785" s="385"/>
      <c r="V785"/>
      <c r="W785"/>
      <c r="X785"/>
      <c r="Y785"/>
    </row>
    <row r="786" spans="1:25" ht="15.75">
      <c r="A786" s="684"/>
      <c r="B786" s="687"/>
      <c r="C786" s="674"/>
      <c r="D786" s="675"/>
      <c r="E786" s="675"/>
      <c r="F786" s="675"/>
      <c r="G786" s="675"/>
      <c r="H786" s="676"/>
      <c r="I786" s="676"/>
      <c r="J786" s="675"/>
      <c r="K786" s="675"/>
      <c r="L786" s="675"/>
      <c r="M786" s="676"/>
      <c r="N786" s="676"/>
      <c r="O786" s="675"/>
      <c r="P786" s="675"/>
      <c r="Q786" s="676"/>
      <c r="R786" s="676"/>
      <c r="S786" s="676"/>
      <c r="T786" s="676"/>
      <c r="U786" s="676"/>
      <c r="V786"/>
      <c r="W786"/>
      <c r="X786"/>
      <c r="Y786"/>
    </row>
    <row r="787" spans="1:25" ht="15.75">
      <c r="A787" s="684"/>
      <c r="B787" s="688"/>
      <c r="C787" s="380"/>
      <c r="D787" s="381"/>
      <c r="E787" s="381"/>
      <c r="F787" s="381"/>
      <c r="G787" s="381"/>
      <c r="H787" s="382"/>
      <c r="I787" s="382"/>
      <c r="J787" s="381"/>
      <c r="K787" s="381"/>
      <c r="L787" s="381"/>
      <c r="M787" s="382"/>
      <c r="N787" s="382"/>
      <c r="O787" s="381"/>
      <c r="P787" s="381"/>
      <c r="Q787" s="382"/>
      <c r="R787" s="382"/>
      <c r="S787" s="382"/>
      <c r="T787" s="382"/>
      <c r="U787" s="382"/>
      <c r="V787"/>
      <c r="W787"/>
      <c r="X787"/>
      <c r="Y787"/>
    </row>
    <row r="788" spans="1:25" s="386" customFormat="1" ht="15.75">
      <c r="A788" s="684"/>
      <c r="B788" s="689"/>
      <c r="C788" s="383"/>
      <c r="D788" s="384"/>
      <c r="E788" s="384"/>
      <c r="F788" s="384"/>
      <c r="G788" s="384"/>
      <c r="H788" s="385"/>
      <c r="I788" s="385"/>
      <c r="J788" s="384"/>
      <c r="K788" s="384"/>
      <c r="L788" s="384"/>
      <c r="M788" s="385"/>
      <c r="N788" s="385"/>
      <c r="O788" s="384"/>
      <c r="P788" s="384"/>
      <c r="Q788" s="385"/>
      <c r="R788" s="385"/>
      <c r="S788" s="385"/>
      <c r="T788" s="385"/>
      <c r="U788" s="385"/>
      <c r="V788"/>
      <c r="W788"/>
      <c r="X788"/>
      <c r="Y788"/>
    </row>
    <row r="789" spans="1:25" ht="15.75">
      <c r="A789" s="684"/>
      <c r="B789" s="687"/>
      <c r="C789" s="674"/>
      <c r="D789" s="675"/>
      <c r="E789" s="675"/>
      <c r="F789" s="675"/>
      <c r="G789" s="675"/>
      <c r="H789" s="676"/>
      <c r="I789" s="676"/>
      <c r="J789" s="675"/>
      <c r="K789" s="675"/>
      <c r="L789" s="675"/>
      <c r="M789" s="676"/>
      <c r="N789" s="676"/>
      <c r="O789" s="675"/>
      <c r="P789" s="675"/>
      <c r="Q789" s="676"/>
      <c r="R789" s="676"/>
      <c r="S789" s="676"/>
      <c r="T789" s="676"/>
      <c r="U789" s="676"/>
      <c r="V789"/>
      <c r="W789"/>
      <c r="X789"/>
      <c r="Y789"/>
    </row>
    <row r="790" spans="1:25" ht="15.75">
      <c r="A790" s="684"/>
      <c r="B790" s="688"/>
      <c r="C790" s="380"/>
      <c r="D790" s="381"/>
      <c r="E790" s="381"/>
      <c r="F790" s="381"/>
      <c r="G790" s="381"/>
      <c r="H790" s="382"/>
      <c r="I790" s="382"/>
      <c r="J790" s="381"/>
      <c r="K790" s="381"/>
      <c r="L790" s="381"/>
      <c r="M790" s="382"/>
      <c r="N790" s="382"/>
      <c r="O790" s="381"/>
      <c r="P790" s="381"/>
      <c r="Q790" s="382"/>
      <c r="R790" s="382"/>
      <c r="S790" s="382"/>
      <c r="T790" s="382"/>
      <c r="U790" s="382"/>
      <c r="V790"/>
      <c r="W790"/>
      <c r="X790"/>
      <c r="Y790"/>
    </row>
    <row r="791" spans="1:25" s="386" customFormat="1" ht="15.75">
      <c r="A791" s="684"/>
      <c r="B791" s="689"/>
      <c r="C791" s="383"/>
      <c r="D791" s="384"/>
      <c r="E791" s="384"/>
      <c r="F791" s="384"/>
      <c r="G791" s="384"/>
      <c r="H791" s="385"/>
      <c r="I791" s="385"/>
      <c r="J791" s="384"/>
      <c r="K791" s="384"/>
      <c r="L791" s="384"/>
      <c r="M791" s="385"/>
      <c r="N791" s="385"/>
      <c r="O791" s="384"/>
      <c r="P791" s="384"/>
      <c r="Q791" s="385"/>
      <c r="R791" s="385"/>
      <c r="S791" s="385"/>
      <c r="T791" s="385"/>
      <c r="U791" s="385"/>
      <c r="V791"/>
      <c r="W791"/>
      <c r="X791"/>
      <c r="Y791"/>
    </row>
    <row r="792" spans="1:25" ht="15.75">
      <c r="A792" s="684"/>
      <c r="B792" s="687"/>
      <c r="C792" s="674"/>
      <c r="D792" s="675"/>
      <c r="E792" s="675"/>
      <c r="F792" s="675"/>
      <c r="G792" s="675"/>
      <c r="H792" s="676"/>
      <c r="I792" s="676"/>
      <c r="J792" s="675"/>
      <c r="K792" s="675"/>
      <c r="L792" s="675"/>
      <c r="M792" s="676"/>
      <c r="N792" s="676"/>
      <c r="O792" s="675"/>
      <c r="P792" s="675"/>
      <c r="Q792" s="676"/>
      <c r="R792" s="676"/>
      <c r="S792" s="676"/>
      <c r="T792" s="676"/>
      <c r="U792" s="676"/>
      <c r="V792"/>
      <c r="W792"/>
      <c r="X792"/>
      <c r="Y792"/>
    </row>
    <row r="793" spans="1:25" ht="15.75">
      <c r="A793" s="684"/>
      <c r="B793" s="688"/>
      <c r="C793" s="380"/>
      <c r="D793" s="381"/>
      <c r="E793" s="381"/>
      <c r="F793" s="381"/>
      <c r="G793" s="381"/>
      <c r="H793" s="382"/>
      <c r="I793" s="382"/>
      <c r="J793" s="381"/>
      <c r="K793" s="381"/>
      <c r="L793" s="381"/>
      <c r="M793" s="382"/>
      <c r="N793" s="382"/>
      <c r="O793" s="381"/>
      <c r="P793" s="381"/>
      <c r="Q793" s="382"/>
      <c r="R793" s="382"/>
      <c r="S793" s="382"/>
      <c r="T793" s="382"/>
      <c r="U793" s="382"/>
      <c r="V793"/>
      <c r="W793"/>
      <c r="X793"/>
      <c r="Y793"/>
    </row>
    <row r="794" spans="1:25" s="386" customFormat="1" ht="15.75">
      <c r="A794" s="684"/>
      <c r="B794" s="689"/>
      <c r="C794" s="383"/>
      <c r="D794" s="384"/>
      <c r="E794" s="384"/>
      <c r="F794" s="384"/>
      <c r="G794" s="384"/>
      <c r="H794" s="385"/>
      <c r="I794" s="385"/>
      <c r="J794" s="384"/>
      <c r="K794" s="384"/>
      <c r="L794" s="384"/>
      <c r="M794" s="385"/>
      <c r="N794" s="385"/>
      <c r="O794" s="384"/>
      <c r="P794" s="384"/>
      <c r="Q794" s="385"/>
      <c r="R794" s="385"/>
      <c r="S794" s="385"/>
      <c r="T794" s="385"/>
      <c r="U794" s="385"/>
      <c r="V794"/>
      <c r="W794"/>
      <c r="X794"/>
      <c r="Y794"/>
    </row>
    <row r="795" spans="1:25" ht="15.75">
      <c r="A795" s="684"/>
      <c r="B795" s="687"/>
      <c r="C795" s="674"/>
      <c r="D795" s="675"/>
      <c r="E795" s="675"/>
      <c r="F795" s="675"/>
      <c r="G795" s="675"/>
      <c r="H795" s="676"/>
      <c r="I795" s="676"/>
      <c r="J795" s="675"/>
      <c r="K795" s="675"/>
      <c r="L795" s="675"/>
      <c r="M795" s="676"/>
      <c r="N795" s="676"/>
      <c r="O795" s="675"/>
      <c r="P795" s="675"/>
      <c r="Q795" s="676"/>
      <c r="R795" s="676"/>
      <c r="S795" s="676"/>
      <c r="T795" s="676"/>
      <c r="U795" s="676"/>
      <c r="V795"/>
      <c r="W795"/>
      <c r="X795"/>
      <c r="Y795"/>
    </row>
    <row r="796" spans="1:25" ht="15.75">
      <c r="A796" s="684"/>
      <c r="B796" s="688"/>
      <c r="C796" s="380"/>
      <c r="D796" s="381"/>
      <c r="E796" s="381"/>
      <c r="F796" s="381"/>
      <c r="G796" s="381"/>
      <c r="H796" s="382"/>
      <c r="I796" s="382"/>
      <c r="J796" s="381"/>
      <c r="K796" s="381"/>
      <c r="L796" s="381"/>
      <c r="M796" s="382"/>
      <c r="N796" s="382"/>
      <c r="O796" s="381"/>
      <c r="P796" s="381"/>
      <c r="Q796" s="382"/>
      <c r="R796" s="382"/>
      <c r="S796" s="382"/>
      <c r="T796" s="382"/>
      <c r="U796" s="382"/>
      <c r="V796"/>
      <c r="W796"/>
      <c r="X796"/>
      <c r="Y796"/>
    </row>
    <row r="797" spans="1:25" s="386" customFormat="1" ht="15.75">
      <c r="A797" s="684"/>
      <c r="B797" s="689"/>
      <c r="C797" s="383"/>
      <c r="D797" s="384"/>
      <c r="E797" s="384"/>
      <c r="F797" s="384"/>
      <c r="G797" s="384"/>
      <c r="H797" s="385"/>
      <c r="I797" s="385"/>
      <c r="J797" s="384"/>
      <c r="K797" s="384"/>
      <c r="L797" s="384"/>
      <c r="M797" s="385"/>
      <c r="N797" s="385"/>
      <c r="O797" s="384"/>
      <c r="P797" s="384"/>
      <c r="Q797" s="385"/>
      <c r="R797" s="385"/>
      <c r="S797" s="385"/>
      <c r="T797" s="385"/>
      <c r="U797" s="385"/>
      <c r="V797"/>
      <c r="W797"/>
      <c r="X797"/>
      <c r="Y797"/>
    </row>
    <row r="798" spans="1:25" ht="15.75">
      <c r="A798" s="684"/>
      <c r="B798" s="687"/>
      <c r="C798" s="674"/>
      <c r="D798" s="675"/>
      <c r="E798" s="675"/>
      <c r="F798" s="675"/>
      <c r="G798" s="675"/>
      <c r="H798" s="676"/>
      <c r="I798" s="676"/>
      <c r="J798" s="675"/>
      <c r="K798" s="675"/>
      <c r="L798" s="675"/>
      <c r="M798" s="676"/>
      <c r="N798" s="676"/>
      <c r="O798" s="675"/>
      <c r="P798" s="675"/>
      <c r="Q798" s="676"/>
      <c r="R798" s="676"/>
      <c r="S798" s="676"/>
      <c r="T798" s="676"/>
      <c r="U798" s="676"/>
      <c r="V798"/>
      <c r="W798"/>
      <c r="X798"/>
      <c r="Y798"/>
    </row>
    <row r="799" spans="1:25" ht="15.75">
      <c r="A799" s="684"/>
      <c r="B799" s="688"/>
      <c r="C799" s="380"/>
      <c r="D799" s="381"/>
      <c r="E799" s="381"/>
      <c r="F799" s="381"/>
      <c r="G799" s="381"/>
      <c r="H799" s="382"/>
      <c r="I799" s="382"/>
      <c r="J799" s="381"/>
      <c r="K799" s="381"/>
      <c r="L799" s="381"/>
      <c r="M799" s="382"/>
      <c r="N799" s="382"/>
      <c r="O799" s="381"/>
      <c r="P799" s="381"/>
      <c r="Q799" s="382"/>
      <c r="R799" s="382"/>
      <c r="S799" s="382"/>
      <c r="T799" s="382"/>
      <c r="U799" s="382"/>
      <c r="V799"/>
      <c r="W799"/>
      <c r="X799"/>
      <c r="Y799"/>
    </row>
    <row r="800" spans="1:25" s="386" customFormat="1" ht="15.75">
      <c r="A800" s="684"/>
      <c r="B800" s="689"/>
      <c r="C800" s="383"/>
      <c r="D800" s="384"/>
      <c r="E800" s="384"/>
      <c r="F800" s="384"/>
      <c r="G800" s="384"/>
      <c r="H800" s="385"/>
      <c r="I800" s="385"/>
      <c r="J800" s="384"/>
      <c r="K800" s="384"/>
      <c r="L800" s="384"/>
      <c r="M800" s="385"/>
      <c r="N800" s="385"/>
      <c r="O800" s="384"/>
      <c r="P800" s="384"/>
      <c r="Q800" s="385"/>
      <c r="R800" s="385"/>
      <c r="S800" s="385"/>
      <c r="T800" s="385"/>
      <c r="U800" s="385"/>
      <c r="V800"/>
      <c r="W800"/>
      <c r="X800"/>
      <c r="Y800"/>
    </row>
    <row r="801" spans="1:25" ht="15.75">
      <c r="A801" s="684"/>
      <c r="B801" s="687"/>
      <c r="C801" s="674"/>
      <c r="D801" s="675"/>
      <c r="E801" s="675"/>
      <c r="F801" s="675"/>
      <c r="G801" s="675"/>
      <c r="H801" s="676"/>
      <c r="I801" s="676"/>
      <c r="J801" s="675"/>
      <c r="K801" s="675"/>
      <c r="L801" s="675"/>
      <c r="M801" s="676"/>
      <c r="N801" s="676"/>
      <c r="O801" s="675"/>
      <c r="P801" s="675"/>
      <c r="Q801" s="676"/>
      <c r="R801" s="676"/>
      <c r="S801" s="676"/>
      <c r="T801" s="676"/>
      <c r="U801" s="676"/>
      <c r="V801"/>
      <c r="W801"/>
      <c r="X801"/>
      <c r="Y801"/>
    </row>
    <row r="802" spans="1:25" ht="15.75">
      <c r="A802" s="684"/>
      <c r="B802" s="688"/>
      <c r="C802" s="380"/>
      <c r="D802" s="381"/>
      <c r="E802" s="381"/>
      <c r="F802" s="381"/>
      <c r="G802" s="381"/>
      <c r="H802" s="382"/>
      <c r="I802" s="382"/>
      <c r="J802" s="381"/>
      <c r="K802" s="381"/>
      <c r="L802" s="381"/>
      <c r="M802" s="382"/>
      <c r="N802" s="382"/>
      <c r="O802" s="381"/>
      <c r="P802" s="381"/>
      <c r="Q802" s="382"/>
      <c r="R802" s="382"/>
      <c r="S802" s="382"/>
      <c r="T802" s="382"/>
      <c r="U802" s="382"/>
      <c r="V802"/>
      <c r="W802"/>
      <c r="X802"/>
      <c r="Y802"/>
    </row>
    <row r="803" spans="1:25" s="386" customFormat="1" ht="15.75">
      <c r="A803" s="684"/>
      <c r="B803" s="689"/>
      <c r="C803" s="383"/>
      <c r="D803" s="384"/>
      <c r="E803" s="384"/>
      <c r="F803" s="384"/>
      <c r="G803" s="384"/>
      <c r="H803" s="385"/>
      <c r="I803" s="385"/>
      <c r="J803" s="384"/>
      <c r="K803" s="384"/>
      <c r="L803" s="384"/>
      <c r="M803" s="385"/>
      <c r="N803" s="385"/>
      <c r="O803" s="384"/>
      <c r="P803" s="384"/>
      <c r="Q803" s="385"/>
      <c r="R803" s="385"/>
      <c r="S803" s="385"/>
      <c r="T803" s="385"/>
      <c r="U803" s="385"/>
      <c r="V803"/>
      <c r="W803"/>
      <c r="X803"/>
      <c r="Y803"/>
    </row>
    <row r="804" spans="1:25" ht="15.75">
      <c r="A804" s="684"/>
      <c r="B804" s="687"/>
      <c r="C804" s="674"/>
      <c r="D804" s="675"/>
      <c r="E804" s="675"/>
      <c r="F804" s="675"/>
      <c r="G804" s="675"/>
      <c r="H804" s="676"/>
      <c r="I804" s="676"/>
      <c r="J804" s="675"/>
      <c r="K804" s="675"/>
      <c r="L804" s="675"/>
      <c r="M804" s="676"/>
      <c r="N804" s="676"/>
      <c r="O804" s="675"/>
      <c r="P804" s="675"/>
      <c r="Q804" s="676"/>
      <c r="R804" s="676"/>
      <c r="S804" s="676"/>
      <c r="T804" s="676"/>
      <c r="U804" s="676"/>
      <c r="V804"/>
      <c r="W804"/>
      <c r="X804"/>
      <c r="Y804"/>
    </row>
    <row r="805" spans="1:25" ht="15.75">
      <c r="A805" s="685"/>
      <c r="B805" s="690"/>
      <c r="C805" s="576"/>
      <c r="D805" s="577"/>
      <c r="E805" s="577"/>
      <c r="F805" s="577"/>
      <c r="G805" s="577"/>
      <c r="H805" s="578"/>
      <c r="I805" s="578"/>
      <c r="J805" s="577"/>
      <c r="K805" s="577"/>
      <c r="L805" s="577"/>
      <c r="M805" s="578"/>
      <c r="N805" s="578"/>
      <c r="O805" s="577"/>
      <c r="P805" s="577"/>
      <c r="Q805" s="578"/>
      <c r="R805" s="578"/>
      <c r="S805" s="578"/>
      <c r="T805" s="578"/>
      <c r="U805" s="578"/>
      <c r="V805"/>
      <c r="W805"/>
      <c r="X805"/>
      <c r="Y805"/>
    </row>
    <row r="806" spans="1:25" s="386" customFormat="1" ht="15.75">
      <c r="A806" s="683"/>
      <c r="B806" s="687"/>
      <c r="C806" s="674"/>
      <c r="D806" s="675"/>
      <c r="E806" s="675"/>
      <c r="F806" s="675"/>
      <c r="G806" s="675"/>
      <c r="H806" s="676"/>
      <c r="I806" s="676"/>
      <c r="J806" s="675"/>
      <c r="K806" s="675"/>
      <c r="L806" s="675"/>
      <c r="M806" s="676"/>
      <c r="N806" s="676"/>
      <c r="O806" s="675"/>
      <c r="P806" s="675"/>
      <c r="Q806" s="676"/>
      <c r="R806" s="676"/>
      <c r="S806" s="676"/>
      <c r="T806" s="676"/>
      <c r="U806" s="676"/>
      <c r="V806"/>
      <c r="W806"/>
      <c r="X806"/>
      <c r="Y806"/>
    </row>
    <row r="807" spans="1:25" ht="15.75">
      <c r="A807" s="684"/>
      <c r="B807" s="688"/>
      <c r="C807" s="380"/>
      <c r="D807" s="381"/>
      <c r="E807" s="381"/>
      <c r="F807" s="381"/>
      <c r="G807" s="381"/>
      <c r="H807" s="382"/>
      <c r="I807" s="382"/>
      <c r="J807" s="381"/>
      <c r="K807" s="381"/>
      <c r="L807" s="381"/>
      <c r="M807" s="382"/>
      <c r="N807" s="382"/>
      <c r="O807" s="381"/>
      <c r="P807" s="381"/>
      <c r="Q807" s="382"/>
      <c r="R807" s="382"/>
      <c r="S807" s="382"/>
      <c r="T807" s="382"/>
      <c r="U807" s="382"/>
      <c r="V807"/>
      <c r="W807"/>
      <c r="X807"/>
      <c r="Y807"/>
    </row>
    <row r="808" spans="1:25" ht="15.75">
      <c r="A808" s="684"/>
      <c r="B808" s="689"/>
      <c r="C808" s="383"/>
      <c r="D808" s="384"/>
      <c r="E808" s="384"/>
      <c r="F808" s="384"/>
      <c r="G808" s="384"/>
      <c r="H808" s="385"/>
      <c r="I808" s="385"/>
      <c r="J808" s="384"/>
      <c r="K808" s="384"/>
      <c r="L808" s="384"/>
      <c r="M808" s="385"/>
      <c r="N808" s="385"/>
      <c r="O808" s="384"/>
      <c r="P808" s="384"/>
      <c r="Q808" s="385"/>
      <c r="R808" s="385"/>
      <c r="S808" s="385"/>
      <c r="T808" s="385"/>
      <c r="U808" s="385"/>
      <c r="V808"/>
      <c r="W808"/>
      <c r="X808"/>
      <c r="Y808"/>
    </row>
    <row r="809" spans="1:25" s="386" customFormat="1" ht="15.75">
      <c r="A809" s="684"/>
      <c r="B809" s="687"/>
      <c r="C809" s="674"/>
      <c r="D809" s="675"/>
      <c r="E809" s="675"/>
      <c r="F809" s="675"/>
      <c r="G809" s="675"/>
      <c r="H809" s="676"/>
      <c r="I809" s="676"/>
      <c r="J809" s="675"/>
      <c r="K809" s="675"/>
      <c r="L809" s="675"/>
      <c r="M809" s="676"/>
      <c r="N809" s="676"/>
      <c r="O809" s="675"/>
      <c r="P809" s="675"/>
      <c r="Q809" s="676"/>
      <c r="R809" s="676"/>
      <c r="S809" s="676"/>
      <c r="T809" s="676"/>
      <c r="U809" s="676"/>
      <c r="V809"/>
      <c r="W809"/>
      <c r="X809"/>
      <c r="Y809"/>
    </row>
    <row r="810" spans="1:25" ht="15.75">
      <c r="A810" s="684"/>
      <c r="B810" s="688"/>
      <c r="C810" s="380"/>
      <c r="D810" s="381"/>
      <c r="E810" s="381"/>
      <c r="F810" s="381"/>
      <c r="G810" s="381"/>
      <c r="H810" s="382"/>
      <c r="I810" s="382"/>
      <c r="J810" s="381"/>
      <c r="K810" s="381"/>
      <c r="L810" s="381"/>
      <c r="M810" s="382"/>
      <c r="N810" s="382"/>
      <c r="O810" s="381"/>
      <c r="P810" s="381"/>
      <c r="Q810" s="382"/>
      <c r="R810" s="382"/>
      <c r="S810" s="382"/>
      <c r="T810" s="382"/>
      <c r="U810" s="382"/>
      <c r="V810"/>
      <c r="W810"/>
      <c r="X810"/>
      <c r="Y810"/>
    </row>
    <row r="811" spans="1:25" ht="15.75">
      <c r="A811" s="684"/>
      <c r="B811" s="689"/>
      <c r="C811" s="383"/>
      <c r="D811" s="384"/>
      <c r="E811" s="384"/>
      <c r="F811" s="384"/>
      <c r="G811" s="384"/>
      <c r="H811" s="385"/>
      <c r="I811" s="385"/>
      <c r="J811" s="384"/>
      <c r="K811" s="384"/>
      <c r="L811" s="384"/>
      <c r="M811" s="385"/>
      <c r="N811" s="385"/>
      <c r="O811" s="384"/>
      <c r="P811" s="384"/>
      <c r="Q811" s="385"/>
      <c r="R811" s="385"/>
      <c r="S811" s="385"/>
      <c r="T811" s="385"/>
      <c r="U811" s="385"/>
      <c r="V811"/>
      <c r="W811"/>
      <c r="X811"/>
      <c r="Y811"/>
    </row>
    <row r="812" spans="1:25" s="386" customFormat="1" ht="15.75">
      <c r="A812" s="684"/>
      <c r="B812" s="687"/>
      <c r="C812" s="674"/>
      <c r="D812" s="675"/>
      <c r="E812" s="675"/>
      <c r="F812" s="675"/>
      <c r="G812" s="675"/>
      <c r="H812" s="676"/>
      <c r="I812" s="676"/>
      <c r="J812" s="675"/>
      <c r="K812" s="675"/>
      <c r="L812" s="675"/>
      <c r="M812" s="676"/>
      <c r="N812" s="676"/>
      <c r="O812" s="675"/>
      <c r="P812" s="675"/>
      <c r="Q812" s="676"/>
      <c r="R812" s="676"/>
      <c r="S812" s="676"/>
      <c r="T812" s="676"/>
      <c r="U812" s="676"/>
      <c r="V812"/>
      <c r="W812"/>
      <c r="X812"/>
      <c r="Y812"/>
    </row>
    <row r="813" spans="1:25" ht="15.75">
      <c r="A813" s="684"/>
      <c r="B813" s="688"/>
      <c r="C813" s="380"/>
      <c r="D813" s="381"/>
      <c r="E813" s="381"/>
      <c r="F813" s="381"/>
      <c r="G813" s="381"/>
      <c r="H813" s="382"/>
      <c r="I813" s="382"/>
      <c r="J813" s="381"/>
      <c r="K813" s="381"/>
      <c r="L813" s="381"/>
      <c r="M813" s="382"/>
      <c r="N813" s="382"/>
      <c r="O813" s="381"/>
      <c r="P813" s="381"/>
      <c r="Q813" s="382"/>
      <c r="R813" s="382"/>
      <c r="S813" s="382"/>
      <c r="T813" s="382"/>
      <c r="U813" s="382"/>
      <c r="V813"/>
      <c r="W813"/>
      <c r="X813"/>
      <c r="Y813"/>
    </row>
    <row r="814" spans="1:25" ht="15.75">
      <c r="A814" s="684"/>
      <c r="B814" s="689"/>
      <c r="C814" s="383"/>
      <c r="D814" s="384"/>
      <c r="E814" s="384"/>
      <c r="F814" s="384"/>
      <c r="G814" s="384"/>
      <c r="H814" s="385"/>
      <c r="I814" s="385"/>
      <c r="J814" s="384"/>
      <c r="K814" s="384"/>
      <c r="L814" s="384"/>
      <c r="M814" s="385"/>
      <c r="N814" s="385"/>
      <c r="O814" s="384"/>
      <c r="P814" s="384"/>
      <c r="Q814" s="385"/>
      <c r="R814" s="385"/>
      <c r="S814" s="385"/>
      <c r="T814" s="385"/>
      <c r="U814" s="385"/>
      <c r="V814"/>
      <c r="W814"/>
      <c r="X814"/>
      <c r="Y814"/>
    </row>
    <row r="815" spans="1:25" s="386" customFormat="1" ht="15.75">
      <c r="A815" s="684"/>
      <c r="B815" s="687"/>
      <c r="C815" s="674"/>
      <c r="D815" s="675"/>
      <c r="E815" s="675"/>
      <c r="F815" s="675"/>
      <c r="G815" s="675"/>
      <c r="H815" s="676"/>
      <c r="I815" s="676"/>
      <c r="J815" s="675"/>
      <c r="K815" s="675"/>
      <c r="L815" s="675"/>
      <c r="M815" s="676"/>
      <c r="N815" s="676"/>
      <c r="O815" s="675"/>
      <c r="P815" s="675"/>
      <c r="Q815" s="676"/>
      <c r="R815" s="676"/>
      <c r="S815" s="676"/>
      <c r="T815" s="676"/>
      <c r="U815" s="676"/>
      <c r="V815"/>
      <c r="W815"/>
      <c r="X815"/>
      <c r="Y815"/>
    </row>
    <row r="816" spans="1:25" ht="15.75">
      <c r="A816" s="684"/>
      <c r="B816" s="688"/>
      <c r="C816" s="380"/>
      <c r="D816" s="381"/>
      <c r="E816" s="381"/>
      <c r="F816" s="381"/>
      <c r="G816" s="381"/>
      <c r="H816" s="382"/>
      <c r="I816" s="382"/>
      <c r="J816" s="381"/>
      <c r="K816" s="381"/>
      <c r="L816" s="381"/>
      <c r="M816" s="382"/>
      <c r="N816" s="382"/>
      <c r="O816" s="381"/>
      <c r="P816" s="381"/>
      <c r="Q816" s="382"/>
      <c r="R816" s="382"/>
      <c r="S816" s="382"/>
      <c r="T816" s="382"/>
      <c r="U816" s="382"/>
      <c r="V816"/>
      <c r="W816"/>
      <c r="X816"/>
      <c r="Y816"/>
    </row>
    <row r="817" spans="1:25" ht="15.75">
      <c r="A817" s="684"/>
      <c r="B817" s="689"/>
      <c r="C817" s="383"/>
      <c r="D817" s="384"/>
      <c r="E817" s="384"/>
      <c r="F817" s="384"/>
      <c r="G817" s="384"/>
      <c r="H817" s="385"/>
      <c r="I817" s="385"/>
      <c r="J817" s="384"/>
      <c r="K817" s="384"/>
      <c r="L817" s="384"/>
      <c r="M817" s="385"/>
      <c r="N817" s="385"/>
      <c r="O817" s="384"/>
      <c r="P817" s="384"/>
      <c r="Q817" s="385"/>
      <c r="R817" s="385"/>
      <c r="S817" s="385"/>
      <c r="T817" s="385"/>
      <c r="U817" s="385"/>
      <c r="V817"/>
      <c r="W817"/>
      <c r="X817"/>
      <c r="Y817"/>
    </row>
    <row r="818" spans="1:25" s="386" customFormat="1" ht="15.75">
      <c r="A818" s="684"/>
      <c r="B818" s="687"/>
      <c r="C818" s="674"/>
      <c r="D818" s="675"/>
      <c r="E818" s="675"/>
      <c r="F818" s="675"/>
      <c r="G818" s="675"/>
      <c r="H818" s="676"/>
      <c r="I818" s="676"/>
      <c r="J818" s="675"/>
      <c r="K818" s="675"/>
      <c r="L818" s="675"/>
      <c r="M818" s="676"/>
      <c r="N818" s="676"/>
      <c r="O818" s="675"/>
      <c r="P818" s="675"/>
      <c r="Q818" s="676"/>
      <c r="R818" s="676"/>
      <c r="S818" s="676"/>
      <c r="T818" s="676"/>
      <c r="U818" s="676"/>
      <c r="V818"/>
      <c r="W818"/>
      <c r="X818"/>
      <c r="Y818"/>
    </row>
    <row r="819" spans="1:25" ht="15.75">
      <c r="A819" s="684"/>
      <c r="B819" s="688"/>
      <c r="C819" s="380"/>
      <c r="D819" s="381"/>
      <c r="E819" s="381"/>
      <c r="F819" s="381"/>
      <c r="G819" s="381"/>
      <c r="H819" s="382"/>
      <c r="I819" s="382"/>
      <c r="J819" s="381"/>
      <c r="K819" s="381"/>
      <c r="L819" s="381"/>
      <c r="M819" s="382"/>
      <c r="N819" s="382"/>
      <c r="O819" s="381"/>
      <c r="P819" s="381"/>
      <c r="Q819" s="382"/>
      <c r="R819" s="382"/>
      <c r="S819" s="382"/>
      <c r="T819" s="382"/>
      <c r="U819" s="382"/>
      <c r="V819"/>
      <c r="W819"/>
      <c r="X819"/>
      <c r="Y819"/>
    </row>
    <row r="820" spans="1:25" ht="15.75">
      <c r="A820" s="684"/>
      <c r="B820" s="689"/>
      <c r="C820" s="383"/>
      <c r="D820" s="384"/>
      <c r="E820" s="384"/>
      <c r="F820" s="384"/>
      <c r="G820" s="384"/>
      <c r="H820" s="385"/>
      <c r="I820" s="385"/>
      <c r="J820" s="384"/>
      <c r="K820" s="384"/>
      <c r="L820" s="384"/>
      <c r="M820" s="385"/>
      <c r="N820" s="385"/>
      <c r="O820" s="384"/>
      <c r="P820" s="384"/>
      <c r="Q820" s="385"/>
      <c r="R820" s="385"/>
      <c r="S820" s="385"/>
      <c r="T820" s="385"/>
      <c r="U820" s="385"/>
      <c r="V820"/>
      <c r="W820"/>
      <c r="X820"/>
      <c r="Y820"/>
    </row>
    <row r="821" spans="1:25" s="386" customFormat="1" ht="15.75">
      <c r="A821" s="684"/>
      <c r="B821" s="687"/>
      <c r="C821" s="674"/>
      <c r="D821" s="675"/>
      <c r="E821" s="675"/>
      <c r="F821" s="675"/>
      <c r="G821" s="675"/>
      <c r="H821" s="676"/>
      <c r="I821" s="676"/>
      <c r="J821" s="675"/>
      <c r="K821" s="675"/>
      <c r="L821" s="675"/>
      <c r="M821" s="676"/>
      <c r="N821" s="676"/>
      <c r="O821" s="675"/>
      <c r="P821" s="675"/>
      <c r="Q821" s="676"/>
      <c r="R821" s="676"/>
      <c r="S821" s="676"/>
      <c r="T821" s="676"/>
      <c r="U821" s="676"/>
      <c r="V821"/>
      <c r="W821"/>
      <c r="X821"/>
      <c r="Y821"/>
    </row>
    <row r="822" spans="1:25" ht="15.75">
      <c r="A822" s="684"/>
      <c r="B822" s="688"/>
      <c r="C822" s="380"/>
      <c r="D822" s="381"/>
      <c r="E822" s="381"/>
      <c r="F822" s="381"/>
      <c r="G822" s="381"/>
      <c r="H822" s="382"/>
      <c r="I822" s="382"/>
      <c r="J822" s="381"/>
      <c r="K822" s="381"/>
      <c r="L822" s="381"/>
      <c r="M822" s="382"/>
      <c r="N822" s="382"/>
      <c r="O822" s="381"/>
      <c r="P822" s="381"/>
      <c r="Q822" s="382"/>
      <c r="R822" s="382"/>
      <c r="S822" s="382"/>
      <c r="T822" s="382"/>
      <c r="U822" s="382"/>
      <c r="V822"/>
      <c r="W822"/>
      <c r="X822"/>
      <c r="Y822"/>
    </row>
    <row r="823" spans="1:25" ht="15.75">
      <c r="A823" s="684"/>
      <c r="B823" s="689"/>
      <c r="C823" s="383"/>
      <c r="D823" s="384"/>
      <c r="E823" s="384"/>
      <c r="F823" s="384"/>
      <c r="G823" s="384"/>
      <c r="H823" s="385"/>
      <c r="I823" s="385"/>
      <c r="J823" s="384"/>
      <c r="K823" s="384"/>
      <c r="L823" s="384"/>
      <c r="M823" s="385"/>
      <c r="N823" s="385"/>
      <c r="O823" s="384"/>
      <c r="P823" s="384"/>
      <c r="Q823" s="385"/>
      <c r="R823" s="385"/>
      <c r="S823" s="385"/>
      <c r="T823" s="385"/>
      <c r="U823" s="385"/>
      <c r="V823"/>
      <c r="W823"/>
      <c r="X823"/>
      <c r="Y823"/>
    </row>
    <row r="824" spans="1:25" s="386" customFormat="1" ht="15.75">
      <c r="A824" s="684"/>
      <c r="B824" s="687"/>
      <c r="C824" s="674"/>
      <c r="D824" s="675"/>
      <c r="E824" s="675"/>
      <c r="F824" s="675"/>
      <c r="G824" s="675"/>
      <c r="H824" s="676"/>
      <c r="I824" s="676"/>
      <c r="J824" s="675"/>
      <c r="K824" s="675"/>
      <c r="L824" s="675"/>
      <c r="M824" s="676"/>
      <c r="N824" s="676"/>
      <c r="O824" s="675"/>
      <c r="P824" s="675"/>
      <c r="Q824" s="676"/>
      <c r="R824" s="676"/>
      <c r="S824" s="676"/>
      <c r="T824" s="676"/>
      <c r="U824" s="676"/>
      <c r="V824"/>
      <c r="W824"/>
      <c r="X824"/>
      <c r="Y824"/>
    </row>
    <row r="825" spans="1:25" ht="15.75">
      <c r="A825" s="684"/>
      <c r="B825" s="688"/>
      <c r="C825" s="380"/>
      <c r="D825" s="381"/>
      <c r="E825" s="381"/>
      <c r="F825" s="381"/>
      <c r="G825" s="381"/>
      <c r="H825" s="382"/>
      <c r="I825" s="382"/>
      <c r="J825" s="381"/>
      <c r="K825" s="381"/>
      <c r="L825" s="381"/>
      <c r="M825" s="382"/>
      <c r="N825" s="382"/>
      <c r="O825" s="381"/>
      <c r="P825" s="381"/>
      <c r="Q825" s="382"/>
      <c r="R825" s="382"/>
      <c r="S825" s="382"/>
      <c r="T825" s="382"/>
      <c r="U825" s="382"/>
      <c r="V825"/>
      <c r="W825"/>
      <c r="X825"/>
      <c r="Y825"/>
    </row>
    <row r="826" spans="1:25" ht="15.75">
      <c r="A826" s="684"/>
      <c r="B826" s="689"/>
      <c r="C826" s="383"/>
      <c r="D826" s="384"/>
      <c r="E826" s="384"/>
      <c r="F826" s="384"/>
      <c r="G826" s="384"/>
      <c r="H826" s="385"/>
      <c r="I826" s="385"/>
      <c r="J826" s="384"/>
      <c r="K826" s="384"/>
      <c r="L826" s="384"/>
      <c r="M826" s="385"/>
      <c r="N826" s="385"/>
      <c r="O826" s="384"/>
      <c r="P826" s="384"/>
      <c r="Q826" s="385"/>
      <c r="R826" s="385"/>
      <c r="S826" s="385"/>
      <c r="T826" s="385"/>
      <c r="U826" s="385"/>
      <c r="V826"/>
      <c r="W826"/>
      <c r="X826"/>
      <c r="Y826"/>
    </row>
    <row r="827" spans="1:25" s="386" customFormat="1" ht="15.75">
      <c r="A827" s="684"/>
      <c r="B827" s="687"/>
      <c r="C827" s="674"/>
      <c r="D827" s="675"/>
      <c r="E827" s="675"/>
      <c r="F827" s="675"/>
      <c r="G827" s="675"/>
      <c r="H827" s="676"/>
      <c r="I827" s="676"/>
      <c r="J827" s="675"/>
      <c r="K827" s="675"/>
      <c r="L827" s="675"/>
      <c r="M827" s="676"/>
      <c r="N827" s="676"/>
      <c r="O827" s="675"/>
      <c r="P827" s="675"/>
      <c r="Q827" s="676"/>
      <c r="R827" s="676"/>
      <c r="S827" s="676"/>
      <c r="T827" s="676"/>
      <c r="U827" s="676"/>
      <c r="V827"/>
      <c r="W827"/>
      <c r="X827"/>
      <c r="Y827"/>
    </row>
    <row r="828" spans="1:25" ht="15.75">
      <c r="A828" s="684"/>
      <c r="B828" s="688"/>
      <c r="C828" s="380"/>
      <c r="D828" s="381"/>
      <c r="E828" s="381"/>
      <c r="F828" s="381"/>
      <c r="G828" s="381"/>
      <c r="H828" s="382"/>
      <c r="I828" s="382"/>
      <c r="J828" s="381"/>
      <c r="K828" s="381"/>
      <c r="L828" s="381"/>
      <c r="M828" s="382"/>
      <c r="N828" s="382"/>
      <c r="O828" s="381"/>
      <c r="P828" s="381"/>
      <c r="Q828" s="382"/>
      <c r="R828" s="382"/>
      <c r="S828" s="382"/>
      <c r="T828" s="382"/>
      <c r="U828" s="382"/>
      <c r="V828"/>
      <c r="W828"/>
      <c r="X828"/>
      <c r="Y828"/>
    </row>
    <row r="829" spans="1:25" ht="15.75">
      <c r="A829" s="684"/>
      <c r="B829" s="689"/>
      <c r="C829" s="383"/>
      <c r="D829" s="384"/>
      <c r="E829" s="384"/>
      <c r="F829" s="384"/>
      <c r="G829" s="384"/>
      <c r="H829" s="385"/>
      <c r="I829" s="385"/>
      <c r="J829" s="384"/>
      <c r="K829" s="384"/>
      <c r="L829" s="384"/>
      <c r="M829" s="385"/>
      <c r="N829" s="385"/>
      <c r="O829" s="384"/>
      <c r="P829" s="384"/>
      <c r="Q829" s="385"/>
      <c r="R829" s="385"/>
      <c r="S829" s="385"/>
      <c r="T829" s="385"/>
      <c r="U829" s="385"/>
      <c r="V829"/>
      <c r="W829"/>
      <c r="X829"/>
      <c r="Y829"/>
    </row>
    <row r="830" spans="1:25" s="386" customFormat="1" ht="15.75">
      <c r="A830" s="684"/>
      <c r="B830" s="687"/>
      <c r="C830" s="674"/>
      <c r="D830" s="675"/>
      <c r="E830" s="675"/>
      <c r="F830" s="675"/>
      <c r="G830" s="675"/>
      <c r="H830" s="676"/>
      <c r="I830" s="676"/>
      <c r="J830" s="675"/>
      <c r="K830" s="675"/>
      <c r="L830" s="675"/>
      <c r="M830" s="676"/>
      <c r="N830" s="676"/>
      <c r="O830" s="675"/>
      <c r="P830" s="675"/>
      <c r="Q830" s="676"/>
      <c r="R830" s="676"/>
      <c r="S830" s="676"/>
      <c r="T830" s="676"/>
      <c r="U830" s="676"/>
      <c r="V830"/>
      <c r="W830"/>
      <c r="X830"/>
      <c r="Y830"/>
    </row>
    <row r="831" spans="1:25" ht="15.75">
      <c r="A831" s="684"/>
      <c r="B831" s="688"/>
      <c r="C831" s="380"/>
      <c r="D831" s="381"/>
      <c r="E831" s="381"/>
      <c r="F831" s="381"/>
      <c r="G831" s="381"/>
      <c r="H831" s="382"/>
      <c r="I831" s="382"/>
      <c r="J831" s="381"/>
      <c r="K831" s="381"/>
      <c r="L831" s="381"/>
      <c r="M831" s="382"/>
      <c r="N831" s="382"/>
      <c r="O831" s="381"/>
      <c r="P831" s="381"/>
      <c r="Q831" s="382"/>
      <c r="R831" s="382"/>
      <c r="S831" s="382"/>
      <c r="T831" s="382"/>
      <c r="U831" s="382"/>
      <c r="V831"/>
      <c r="W831"/>
      <c r="X831"/>
      <c r="Y831"/>
    </row>
    <row r="832" spans="1:25" ht="15.75">
      <c r="A832" s="684"/>
      <c r="B832" s="689"/>
      <c r="C832" s="383"/>
      <c r="D832" s="384"/>
      <c r="E832" s="384"/>
      <c r="F832" s="384"/>
      <c r="G832" s="384"/>
      <c r="H832" s="385"/>
      <c r="I832" s="385"/>
      <c r="J832" s="384"/>
      <c r="K832" s="384"/>
      <c r="L832" s="384"/>
      <c r="M832" s="385"/>
      <c r="N832" s="385"/>
      <c r="O832" s="384"/>
      <c r="P832" s="384"/>
      <c r="Q832" s="385"/>
      <c r="R832" s="385"/>
      <c r="S832" s="385"/>
      <c r="T832" s="385"/>
      <c r="U832" s="385"/>
      <c r="V832"/>
      <c r="W832"/>
      <c r="X832"/>
      <c r="Y832"/>
    </row>
    <row r="833" spans="1:25" s="386" customFormat="1" ht="15.75">
      <c r="A833" s="684"/>
      <c r="B833" s="687"/>
      <c r="C833" s="674"/>
      <c r="D833" s="675"/>
      <c r="E833" s="675"/>
      <c r="F833" s="675"/>
      <c r="G833" s="675"/>
      <c r="H833" s="676"/>
      <c r="I833" s="676"/>
      <c r="J833" s="675"/>
      <c r="K833" s="675"/>
      <c r="L833" s="675"/>
      <c r="M833" s="676"/>
      <c r="N833" s="676"/>
      <c r="O833" s="675"/>
      <c r="P833" s="675"/>
      <c r="Q833" s="676"/>
      <c r="R833" s="676"/>
      <c r="S833" s="676"/>
      <c r="T833" s="676"/>
      <c r="U833" s="676"/>
      <c r="V833"/>
      <c r="W833"/>
      <c r="X833"/>
      <c r="Y833"/>
    </row>
    <row r="834" spans="1:25" ht="15.75">
      <c r="A834" s="684"/>
      <c r="B834" s="688"/>
      <c r="C834" s="380"/>
      <c r="D834" s="381"/>
      <c r="E834" s="381"/>
      <c r="F834" s="381"/>
      <c r="G834" s="381"/>
      <c r="H834" s="382"/>
      <c r="I834" s="382"/>
      <c r="J834" s="381"/>
      <c r="K834" s="381"/>
      <c r="L834" s="381"/>
      <c r="M834" s="382"/>
      <c r="N834" s="382"/>
      <c r="O834" s="381"/>
      <c r="P834" s="381"/>
      <c r="Q834" s="382"/>
      <c r="R834" s="382"/>
      <c r="S834" s="382"/>
      <c r="T834" s="382"/>
      <c r="U834" s="382"/>
      <c r="V834"/>
      <c r="W834"/>
      <c r="X834"/>
      <c r="Y834"/>
    </row>
    <row r="835" spans="1:25" ht="15.75">
      <c r="A835" s="684"/>
      <c r="B835" s="689"/>
      <c r="C835" s="383"/>
      <c r="D835" s="384"/>
      <c r="E835" s="384"/>
      <c r="F835" s="384"/>
      <c r="G835" s="384"/>
      <c r="H835" s="385"/>
      <c r="I835" s="385"/>
      <c r="J835" s="384"/>
      <c r="K835" s="384"/>
      <c r="L835" s="384"/>
      <c r="M835" s="385"/>
      <c r="N835" s="385"/>
      <c r="O835" s="384"/>
      <c r="P835" s="384"/>
      <c r="Q835" s="385"/>
      <c r="R835" s="385"/>
      <c r="S835" s="385"/>
      <c r="T835" s="385"/>
      <c r="U835" s="385"/>
      <c r="V835"/>
      <c r="W835"/>
      <c r="X835"/>
      <c r="Y835"/>
    </row>
    <row r="836" spans="1:25" s="386" customFormat="1" ht="15.75">
      <c r="A836" s="684"/>
      <c r="B836" s="687"/>
      <c r="C836" s="674"/>
      <c r="D836" s="675"/>
      <c r="E836" s="675"/>
      <c r="F836" s="675"/>
      <c r="G836" s="675"/>
      <c r="H836" s="676"/>
      <c r="I836" s="676"/>
      <c r="J836" s="675"/>
      <c r="K836" s="675"/>
      <c r="L836" s="675"/>
      <c r="M836" s="676"/>
      <c r="N836" s="676"/>
      <c r="O836" s="675"/>
      <c r="P836" s="675"/>
      <c r="Q836" s="676"/>
      <c r="R836" s="676"/>
      <c r="S836" s="676"/>
      <c r="T836" s="676"/>
      <c r="U836" s="676"/>
      <c r="V836"/>
      <c r="W836"/>
      <c r="X836"/>
      <c r="Y836"/>
    </row>
    <row r="837" spans="1:25" ht="15.75">
      <c r="A837" s="684"/>
      <c r="B837" s="688"/>
      <c r="C837" s="380"/>
      <c r="D837" s="381"/>
      <c r="E837" s="381"/>
      <c r="F837" s="381"/>
      <c r="G837" s="381"/>
      <c r="H837" s="382"/>
      <c r="I837" s="382"/>
      <c r="J837" s="381"/>
      <c r="K837" s="381"/>
      <c r="L837" s="381"/>
      <c r="M837" s="382"/>
      <c r="N837" s="382"/>
      <c r="O837" s="381"/>
      <c r="P837" s="381"/>
      <c r="Q837" s="382"/>
      <c r="R837" s="382"/>
      <c r="S837" s="382"/>
      <c r="T837" s="382"/>
      <c r="U837" s="382"/>
      <c r="V837"/>
      <c r="W837"/>
      <c r="X837"/>
      <c r="Y837"/>
    </row>
    <row r="838" spans="1:25" ht="15.75">
      <c r="A838" s="684"/>
      <c r="B838" s="689"/>
      <c r="C838" s="383"/>
      <c r="D838" s="384"/>
      <c r="E838" s="384"/>
      <c r="F838" s="384"/>
      <c r="G838" s="384"/>
      <c r="H838" s="385"/>
      <c r="I838" s="385"/>
      <c r="J838" s="384"/>
      <c r="K838" s="384"/>
      <c r="L838" s="384"/>
      <c r="M838" s="385"/>
      <c r="N838" s="385"/>
      <c r="O838" s="384"/>
      <c r="P838" s="384"/>
      <c r="Q838" s="385"/>
      <c r="R838" s="385"/>
      <c r="S838" s="385"/>
      <c r="T838" s="385"/>
      <c r="U838" s="385"/>
      <c r="V838"/>
      <c r="W838"/>
      <c r="X838"/>
      <c r="Y838"/>
    </row>
    <row r="839" spans="1:25" s="386" customFormat="1" ht="15.75">
      <c r="A839" s="684"/>
      <c r="B839" s="687"/>
      <c r="C839" s="674"/>
      <c r="D839" s="675"/>
      <c r="E839" s="675"/>
      <c r="F839" s="675"/>
      <c r="G839" s="675"/>
      <c r="H839" s="676"/>
      <c r="I839" s="676"/>
      <c r="J839" s="675"/>
      <c r="K839" s="675"/>
      <c r="L839" s="675"/>
      <c r="M839" s="676"/>
      <c r="N839" s="676"/>
      <c r="O839" s="675"/>
      <c r="P839" s="675"/>
      <c r="Q839" s="676"/>
      <c r="R839" s="676"/>
      <c r="S839" s="676"/>
      <c r="T839" s="676"/>
      <c r="U839" s="676"/>
      <c r="V839"/>
      <c r="W839"/>
      <c r="X839"/>
      <c r="Y839"/>
    </row>
    <row r="840" spans="1:25" ht="15.75">
      <c r="A840" s="684"/>
      <c r="B840" s="688"/>
      <c r="C840" s="380"/>
      <c r="D840" s="381"/>
      <c r="E840" s="381"/>
      <c r="F840" s="381"/>
      <c r="G840" s="381"/>
      <c r="H840" s="382"/>
      <c r="I840" s="382"/>
      <c r="J840" s="381"/>
      <c r="K840" s="381"/>
      <c r="L840" s="381"/>
      <c r="M840" s="382"/>
      <c r="N840" s="382"/>
      <c r="O840" s="381"/>
      <c r="P840" s="381"/>
      <c r="Q840" s="382"/>
      <c r="R840" s="382"/>
      <c r="S840" s="382"/>
      <c r="T840" s="382"/>
      <c r="U840" s="382"/>
      <c r="V840"/>
      <c r="W840"/>
      <c r="X840"/>
      <c r="Y840"/>
    </row>
    <row r="841" spans="1:25" ht="15.75">
      <c r="A841" s="684"/>
      <c r="B841" s="689"/>
      <c r="C841" s="383"/>
      <c r="D841" s="384"/>
      <c r="E841" s="384"/>
      <c r="F841" s="384"/>
      <c r="G841" s="384"/>
      <c r="H841" s="385"/>
      <c r="I841" s="385"/>
      <c r="J841" s="384"/>
      <c r="K841" s="384"/>
      <c r="L841" s="384"/>
      <c r="M841" s="385"/>
      <c r="N841" s="385"/>
      <c r="O841" s="384"/>
      <c r="P841" s="384"/>
      <c r="Q841" s="385"/>
      <c r="R841" s="385"/>
      <c r="S841" s="385"/>
      <c r="T841" s="385"/>
      <c r="U841" s="385"/>
      <c r="V841"/>
      <c r="W841"/>
      <c r="X841"/>
      <c r="Y841"/>
    </row>
    <row r="842" spans="1:25" s="386" customFormat="1" ht="15.75">
      <c r="A842" s="684"/>
      <c r="B842" s="687"/>
      <c r="C842" s="674"/>
      <c r="D842" s="675"/>
      <c r="E842" s="675"/>
      <c r="F842" s="675"/>
      <c r="G842" s="675"/>
      <c r="H842" s="676"/>
      <c r="I842" s="676"/>
      <c r="J842" s="675"/>
      <c r="K842" s="675"/>
      <c r="L842" s="675"/>
      <c r="M842" s="676"/>
      <c r="N842" s="676"/>
      <c r="O842" s="675"/>
      <c r="P842" s="675"/>
      <c r="Q842" s="676"/>
      <c r="R842" s="676"/>
      <c r="S842" s="676"/>
      <c r="T842" s="676"/>
      <c r="U842" s="676"/>
      <c r="V842"/>
      <c r="W842"/>
      <c r="X842"/>
      <c r="Y842"/>
    </row>
    <row r="843" spans="1:25" ht="15.75">
      <c r="A843" s="684"/>
      <c r="B843" s="688"/>
      <c r="C843" s="380"/>
      <c r="D843" s="381"/>
      <c r="E843" s="381"/>
      <c r="F843" s="381"/>
      <c r="G843" s="381"/>
      <c r="H843" s="382"/>
      <c r="I843" s="382"/>
      <c r="J843" s="381"/>
      <c r="K843" s="381"/>
      <c r="L843" s="381"/>
      <c r="M843" s="382"/>
      <c r="N843" s="382"/>
      <c r="O843" s="381"/>
      <c r="P843" s="381"/>
      <c r="Q843" s="382"/>
      <c r="R843" s="382"/>
      <c r="S843" s="382"/>
      <c r="T843" s="382"/>
      <c r="U843" s="382"/>
      <c r="V843"/>
      <c r="W843"/>
      <c r="X843"/>
      <c r="Y843"/>
    </row>
    <row r="844" spans="1:25" ht="15.75">
      <c r="A844" s="684"/>
      <c r="B844" s="689"/>
      <c r="C844" s="383"/>
      <c r="D844" s="384"/>
      <c r="E844" s="384"/>
      <c r="F844" s="384"/>
      <c r="G844" s="384"/>
      <c r="H844" s="385"/>
      <c r="I844" s="385"/>
      <c r="J844" s="384"/>
      <c r="K844" s="384"/>
      <c r="L844" s="384"/>
      <c r="M844" s="385"/>
      <c r="N844" s="385"/>
      <c r="O844" s="384"/>
      <c r="P844" s="384"/>
      <c r="Q844" s="385"/>
      <c r="R844" s="385"/>
      <c r="S844" s="385"/>
      <c r="T844" s="385"/>
      <c r="U844" s="385"/>
      <c r="V844"/>
      <c r="W844"/>
      <c r="X844"/>
      <c r="Y844"/>
    </row>
    <row r="845" spans="1:25" s="386" customFormat="1" ht="15.75">
      <c r="A845" s="684"/>
      <c r="B845" s="687"/>
      <c r="C845" s="674"/>
      <c r="D845" s="675"/>
      <c r="E845" s="675"/>
      <c r="F845" s="675"/>
      <c r="G845" s="675"/>
      <c r="H845" s="676"/>
      <c r="I845" s="676"/>
      <c r="J845" s="675"/>
      <c r="K845" s="675"/>
      <c r="L845" s="675"/>
      <c r="M845" s="676"/>
      <c r="N845" s="676"/>
      <c r="O845" s="675"/>
      <c r="P845" s="675"/>
      <c r="Q845" s="676"/>
      <c r="R845" s="676"/>
      <c r="S845" s="676"/>
      <c r="T845" s="676"/>
      <c r="U845" s="676"/>
      <c r="V845"/>
      <c r="W845"/>
      <c r="X845"/>
      <c r="Y845"/>
    </row>
    <row r="846" spans="1:25" ht="15.75">
      <c r="A846" s="684"/>
      <c r="B846" s="688"/>
      <c r="C846" s="380"/>
      <c r="D846" s="381"/>
      <c r="E846" s="381"/>
      <c r="F846" s="381"/>
      <c r="G846" s="381"/>
      <c r="H846" s="382"/>
      <c r="I846" s="382"/>
      <c r="J846" s="381"/>
      <c r="K846" s="381"/>
      <c r="L846" s="381"/>
      <c r="M846" s="382"/>
      <c r="N846" s="382"/>
      <c r="O846" s="381"/>
      <c r="P846" s="381"/>
      <c r="Q846" s="382"/>
      <c r="R846" s="382"/>
      <c r="S846" s="382"/>
      <c r="T846" s="382"/>
      <c r="U846" s="382"/>
      <c r="V846"/>
      <c r="W846"/>
      <c r="X846"/>
      <c r="Y846"/>
    </row>
    <row r="847" spans="1:25" ht="15.75">
      <c r="A847" s="684"/>
      <c r="B847" s="689"/>
      <c r="C847" s="383"/>
      <c r="D847" s="384"/>
      <c r="E847" s="384"/>
      <c r="F847" s="384"/>
      <c r="G847" s="384"/>
      <c r="H847" s="385"/>
      <c r="I847" s="385"/>
      <c r="J847" s="384"/>
      <c r="K847" s="384"/>
      <c r="L847" s="384"/>
      <c r="M847" s="385"/>
      <c r="N847" s="385"/>
      <c r="O847" s="384"/>
      <c r="P847" s="384"/>
      <c r="Q847" s="385"/>
      <c r="R847" s="385"/>
      <c r="S847" s="385"/>
      <c r="T847" s="385"/>
      <c r="U847" s="385"/>
      <c r="V847"/>
      <c r="W847"/>
      <c r="X847"/>
      <c r="Y847"/>
    </row>
    <row r="848" spans="1:25" s="386" customFormat="1" ht="15.75">
      <c r="A848" s="684"/>
      <c r="B848" s="687"/>
      <c r="C848" s="674"/>
      <c r="D848" s="675"/>
      <c r="E848" s="675"/>
      <c r="F848" s="675"/>
      <c r="G848" s="675"/>
      <c r="H848" s="676"/>
      <c r="I848" s="676"/>
      <c r="J848" s="675"/>
      <c r="K848" s="675"/>
      <c r="L848" s="675"/>
      <c r="M848" s="676"/>
      <c r="N848" s="676"/>
      <c r="O848" s="675"/>
      <c r="P848" s="675"/>
      <c r="Q848" s="676"/>
      <c r="R848" s="676"/>
      <c r="S848" s="676"/>
      <c r="T848" s="676"/>
      <c r="U848" s="676"/>
      <c r="V848"/>
      <c r="W848"/>
      <c r="X848"/>
      <c r="Y848"/>
    </row>
    <row r="849" spans="1:25" ht="15.75">
      <c r="A849" s="684"/>
      <c r="B849" s="688"/>
      <c r="C849" s="380"/>
      <c r="D849" s="381"/>
      <c r="E849" s="381"/>
      <c r="F849" s="381"/>
      <c r="G849" s="381"/>
      <c r="H849" s="382"/>
      <c r="I849" s="382"/>
      <c r="J849" s="381"/>
      <c r="K849" s="381"/>
      <c r="L849" s="381"/>
      <c r="M849" s="382"/>
      <c r="N849" s="382"/>
      <c r="O849" s="381"/>
      <c r="P849" s="381"/>
      <c r="Q849" s="382"/>
      <c r="R849" s="382"/>
      <c r="S849" s="382"/>
      <c r="T849" s="382"/>
      <c r="U849" s="382"/>
      <c r="V849"/>
      <c r="W849"/>
      <c r="X849"/>
      <c r="Y849"/>
    </row>
    <row r="850" spans="1:25" ht="15.75">
      <c r="A850" s="684"/>
      <c r="B850" s="689"/>
      <c r="C850" s="383"/>
      <c r="D850" s="384"/>
      <c r="E850" s="384"/>
      <c r="F850" s="384"/>
      <c r="G850" s="384"/>
      <c r="H850" s="385"/>
      <c r="I850" s="385"/>
      <c r="J850" s="384"/>
      <c r="K850" s="384"/>
      <c r="L850" s="384"/>
      <c r="M850" s="385"/>
      <c r="N850" s="385"/>
      <c r="O850" s="384"/>
      <c r="P850" s="384"/>
      <c r="Q850" s="385"/>
      <c r="R850" s="385"/>
      <c r="S850" s="385"/>
      <c r="T850" s="385"/>
      <c r="U850" s="385"/>
      <c r="V850"/>
      <c r="W850"/>
      <c r="X850"/>
      <c r="Y850"/>
    </row>
    <row r="851" spans="1:25" s="386" customFormat="1" ht="15.75">
      <c r="A851" s="684"/>
      <c r="B851" s="687"/>
      <c r="C851" s="674"/>
      <c r="D851" s="675"/>
      <c r="E851" s="675"/>
      <c r="F851" s="675"/>
      <c r="G851" s="675"/>
      <c r="H851" s="676"/>
      <c r="I851" s="676"/>
      <c r="J851" s="675"/>
      <c r="K851" s="675"/>
      <c r="L851" s="675"/>
      <c r="M851" s="676"/>
      <c r="N851" s="676"/>
      <c r="O851" s="675"/>
      <c r="P851" s="675"/>
      <c r="Q851" s="676"/>
      <c r="R851" s="676"/>
      <c r="S851" s="676"/>
      <c r="T851" s="676"/>
      <c r="U851" s="676"/>
      <c r="V851"/>
      <c r="W851"/>
      <c r="X851"/>
      <c r="Y851"/>
    </row>
    <row r="852" spans="1:25" ht="15.75">
      <c r="A852" s="684"/>
      <c r="B852" s="688"/>
      <c r="C852" s="380"/>
      <c r="D852" s="381"/>
      <c r="E852" s="381"/>
      <c r="F852" s="381"/>
      <c r="G852" s="381"/>
      <c r="H852" s="382"/>
      <c r="I852" s="382"/>
      <c r="J852" s="381"/>
      <c r="K852" s="381"/>
      <c r="L852" s="381"/>
      <c r="M852" s="382"/>
      <c r="N852" s="382"/>
      <c r="O852" s="381"/>
      <c r="P852" s="381"/>
      <c r="Q852" s="382"/>
      <c r="R852" s="382"/>
      <c r="S852" s="382"/>
      <c r="T852" s="382"/>
      <c r="U852" s="382"/>
      <c r="V852"/>
      <c r="W852"/>
      <c r="X852"/>
      <c r="Y852"/>
    </row>
    <row r="853" spans="1:25" ht="15.75">
      <c r="A853" s="684"/>
      <c r="B853" s="689"/>
      <c r="C853" s="383"/>
      <c r="D853" s="384"/>
      <c r="E853" s="384"/>
      <c r="F853" s="384"/>
      <c r="G853" s="384"/>
      <c r="H853" s="385"/>
      <c r="I853" s="385"/>
      <c r="J853" s="384"/>
      <c r="K853" s="384"/>
      <c r="L853" s="384"/>
      <c r="M853" s="385"/>
      <c r="N853" s="385"/>
      <c r="O853" s="384"/>
      <c r="P853" s="384"/>
      <c r="Q853" s="385"/>
      <c r="R853" s="385"/>
      <c r="S853" s="385"/>
      <c r="T853" s="385"/>
      <c r="U853" s="385"/>
      <c r="V853"/>
      <c r="W853"/>
      <c r="X853"/>
      <c r="Y853"/>
    </row>
    <row r="854" spans="1:25" s="386" customFormat="1" ht="15.75">
      <c r="A854" s="684"/>
      <c r="B854" s="687"/>
      <c r="C854" s="674"/>
      <c r="D854" s="675"/>
      <c r="E854" s="675"/>
      <c r="F854" s="675"/>
      <c r="G854" s="675"/>
      <c r="H854" s="676"/>
      <c r="I854" s="676"/>
      <c r="J854" s="675"/>
      <c r="K854" s="675"/>
      <c r="L854" s="675"/>
      <c r="M854" s="676"/>
      <c r="N854" s="676"/>
      <c r="O854" s="675"/>
      <c r="P854" s="675"/>
      <c r="Q854" s="676"/>
      <c r="R854" s="676"/>
      <c r="S854" s="676"/>
      <c r="T854" s="676"/>
      <c r="U854" s="676"/>
      <c r="V854"/>
      <c r="W854"/>
      <c r="X854"/>
      <c r="Y854"/>
    </row>
    <row r="855" spans="1:25" ht="15.75">
      <c r="A855" s="685"/>
      <c r="B855" s="690"/>
      <c r="C855" s="576"/>
      <c r="D855" s="577"/>
      <c r="E855" s="577"/>
      <c r="F855" s="577"/>
      <c r="G855" s="577"/>
      <c r="H855" s="578"/>
      <c r="I855" s="578"/>
      <c r="J855" s="577"/>
      <c r="K855" s="577"/>
      <c r="L855" s="577"/>
      <c r="M855" s="578"/>
      <c r="N855" s="578"/>
      <c r="O855" s="577"/>
      <c r="P855" s="577"/>
      <c r="Q855" s="578"/>
      <c r="R855" s="578"/>
      <c r="S855" s="578"/>
      <c r="T855" s="578"/>
      <c r="U855" s="578"/>
      <c r="V855"/>
      <c r="W855"/>
      <c r="X855"/>
      <c r="Y855"/>
    </row>
    <row r="856" spans="1:25" ht="15.75">
      <c r="A856" s="686"/>
      <c r="B856" s="672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Y17011"/>
  <sheetViews>
    <sheetView workbookViewId="0">
      <selection sqref="A1:XFD1048576"/>
    </sheetView>
  </sheetViews>
  <sheetFormatPr defaultColWidth="9" defaultRowHeight="12.75"/>
  <cols>
    <col min="1" max="1" width="6.875" style="10" customWidth="1"/>
    <col min="2" max="2" width="30.25" style="3" customWidth="1"/>
    <col min="3" max="3" width="9.375" style="3" customWidth="1"/>
    <col min="4" max="4" width="9.375" style="167" customWidth="1"/>
    <col min="5" max="19" width="9.375" style="3" customWidth="1"/>
    <col min="20" max="20" width="15.5" style="3" customWidth="1"/>
    <col min="21" max="21" width="10.875" style="3" customWidth="1"/>
    <col min="22" max="22" width="11.5" style="3" customWidth="1"/>
    <col min="23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 ht="15.75">
      <c r="B3" s="10"/>
      <c r="D3" s="3"/>
      <c r="U3"/>
      <c r="V3"/>
      <c r="W3"/>
    </row>
    <row r="4" spans="1:25" ht="15.75">
      <c r="B4" s="10"/>
      <c r="D4" s="3"/>
      <c r="U4"/>
      <c r="V4"/>
      <c r="W4"/>
    </row>
    <row r="5" spans="1:25" ht="15.75">
      <c r="D5" s="3"/>
      <c r="U5"/>
      <c r="V5"/>
      <c r="W5"/>
    </row>
    <row r="6" spans="1:25" ht="15.75">
      <c r="A6" s="673"/>
      <c r="B6" s="677"/>
      <c r="C6" s="678"/>
      <c r="D6" s="679"/>
      <c r="E6" s="679"/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79"/>
      <c r="Q6" s="679"/>
      <c r="R6" s="679"/>
      <c r="S6" s="679"/>
      <c r="T6" s="680"/>
      <c r="U6"/>
      <c r="V6"/>
      <c r="W6"/>
    </row>
    <row r="7" spans="1:25" ht="15.75">
      <c r="A7" s="379"/>
      <c r="B7" s="579"/>
      <c r="C7" s="580"/>
      <c r="D7" s="581"/>
      <c r="E7" s="581"/>
      <c r="F7" s="581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2"/>
      <c r="U7"/>
      <c r="V7"/>
      <c r="W7"/>
    </row>
    <row r="8" spans="1:25" s="386" customFormat="1" ht="15.75">
      <c r="A8" s="379"/>
      <c r="B8" s="681"/>
      <c r="C8" s="383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5"/>
      <c r="U8"/>
      <c r="V8"/>
      <c r="W8"/>
      <c r="X8" s="3"/>
      <c r="Y8" s="3"/>
    </row>
    <row r="9" spans="1:25" ht="15.75">
      <c r="A9" s="379"/>
      <c r="B9" s="677"/>
      <c r="C9" s="678"/>
      <c r="D9" s="679"/>
      <c r="E9" s="679"/>
      <c r="F9" s="679"/>
      <c r="G9" s="679"/>
      <c r="H9" s="679"/>
      <c r="I9" s="679"/>
      <c r="J9" s="679"/>
      <c r="K9" s="679"/>
      <c r="L9" s="679"/>
      <c r="M9" s="679"/>
      <c r="N9" s="679"/>
      <c r="O9" s="679"/>
      <c r="P9" s="679"/>
      <c r="Q9" s="679"/>
      <c r="R9" s="679"/>
      <c r="S9" s="679"/>
      <c r="T9" s="680"/>
      <c r="U9"/>
      <c r="V9"/>
      <c r="W9"/>
    </row>
    <row r="10" spans="1:25" ht="15.75">
      <c r="A10" s="379"/>
      <c r="B10" s="579"/>
      <c r="C10" s="580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2"/>
      <c r="U10"/>
      <c r="V10"/>
      <c r="W10"/>
    </row>
    <row r="11" spans="1:25" s="386" customFormat="1" ht="15.75">
      <c r="A11" s="379"/>
      <c r="B11" s="681"/>
      <c r="C11" s="383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5"/>
      <c r="U11"/>
      <c r="V11"/>
      <c r="W11"/>
      <c r="X11" s="3"/>
      <c r="Y11" s="3"/>
    </row>
    <row r="12" spans="1:25" ht="15.75">
      <c r="A12" s="379"/>
      <c r="B12" s="677"/>
      <c r="C12" s="678"/>
      <c r="D12" s="679"/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80"/>
      <c r="U12"/>
      <c r="V12"/>
      <c r="W12"/>
    </row>
    <row r="13" spans="1:25" ht="15.75">
      <c r="A13" s="379"/>
      <c r="B13" s="579"/>
      <c r="C13" s="580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2"/>
      <c r="U13"/>
      <c r="V13"/>
      <c r="W13"/>
    </row>
    <row r="14" spans="1:25" s="386" customFormat="1" ht="15.75">
      <c r="A14" s="379"/>
      <c r="B14" s="681"/>
      <c r="C14" s="383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385"/>
      <c r="U14"/>
      <c r="V14"/>
      <c r="W14"/>
      <c r="X14" s="3"/>
      <c r="Y14" s="3"/>
    </row>
    <row r="15" spans="1:25" ht="15.75">
      <c r="A15" s="379"/>
      <c r="B15" s="677"/>
      <c r="C15" s="678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80"/>
      <c r="U15"/>
      <c r="V15"/>
      <c r="W15"/>
    </row>
    <row r="16" spans="1:25" ht="15.75">
      <c r="A16" s="379"/>
      <c r="B16" s="579"/>
      <c r="C16" s="580"/>
      <c r="D16" s="581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  <c r="T16" s="582"/>
      <c r="U16"/>
      <c r="V16"/>
      <c r="W16"/>
    </row>
    <row r="17" spans="1:25" s="386" customFormat="1" ht="15.75">
      <c r="A17" s="379"/>
      <c r="B17" s="681"/>
      <c r="C17" s="383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5"/>
      <c r="U17"/>
      <c r="V17"/>
      <c r="W17"/>
      <c r="X17" s="3"/>
      <c r="Y17" s="3"/>
    </row>
    <row r="18" spans="1:25" ht="15.75">
      <c r="A18" s="379"/>
      <c r="B18" s="677"/>
      <c r="C18" s="678"/>
      <c r="D18" s="679"/>
      <c r="E18" s="679"/>
      <c r="F18" s="679"/>
      <c r="G18" s="679"/>
      <c r="H18" s="679"/>
      <c r="I18" s="679"/>
      <c r="J18" s="679"/>
      <c r="K18" s="679"/>
      <c r="L18" s="679"/>
      <c r="M18" s="679"/>
      <c r="N18" s="679"/>
      <c r="O18" s="679"/>
      <c r="P18" s="679"/>
      <c r="Q18" s="679"/>
      <c r="R18" s="679"/>
      <c r="S18" s="679"/>
      <c r="T18" s="680"/>
      <c r="U18"/>
      <c r="V18"/>
      <c r="W18"/>
    </row>
    <row r="19" spans="1:25" ht="15.75">
      <c r="A19" s="379"/>
      <c r="B19" s="579"/>
      <c r="C19" s="580"/>
      <c r="D19" s="581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2"/>
      <c r="U19"/>
      <c r="V19"/>
      <c r="W19"/>
    </row>
    <row r="20" spans="1:25" s="386" customFormat="1" ht="15.75">
      <c r="A20" s="387"/>
      <c r="B20" s="681"/>
      <c r="C20" s="383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5"/>
      <c r="U20"/>
      <c r="V20"/>
      <c r="W20"/>
      <c r="X20" s="3"/>
      <c r="Y20" s="3"/>
    </row>
    <row r="21" spans="1:25" ht="15.75">
      <c r="A21" s="673"/>
      <c r="B21" s="677"/>
      <c r="C21" s="678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80"/>
      <c r="U21"/>
      <c r="V21"/>
      <c r="W21"/>
    </row>
    <row r="22" spans="1:25" ht="15.75">
      <c r="A22" s="379"/>
      <c r="B22" s="579"/>
      <c r="C22" s="580"/>
      <c r="D22" s="581"/>
      <c r="E22" s="581"/>
      <c r="F22" s="581"/>
      <c r="G22" s="581"/>
      <c r="H22" s="581"/>
      <c r="I22" s="581"/>
      <c r="J22" s="581"/>
      <c r="K22" s="581"/>
      <c r="L22" s="581"/>
      <c r="M22" s="581"/>
      <c r="N22" s="581"/>
      <c r="O22" s="581"/>
      <c r="P22" s="581"/>
      <c r="Q22" s="581"/>
      <c r="R22" s="581"/>
      <c r="S22" s="581"/>
      <c r="T22" s="582"/>
      <c r="U22"/>
      <c r="V22"/>
      <c r="W22"/>
    </row>
    <row r="23" spans="1:25" s="386" customFormat="1" ht="15.75">
      <c r="A23" s="379"/>
      <c r="B23" s="681"/>
      <c r="C23" s="383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5"/>
      <c r="U23"/>
      <c r="V23"/>
      <c r="W23"/>
      <c r="X23" s="3"/>
      <c r="Y23" s="3"/>
    </row>
    <row r="24" spans="1:25" ht="15.75">
      <c r="A24" s="379"/>
      <c r="B24" s="677"/>
      <c r="C24" s="678"/>
      <c r="D24" s="679"/>
      <c r="E24" s="679"/>
      <c r="F24" s="679"/>
      <c r="G24" s="679"/>
      <c r="H24" s="679"/>
      <c r="I24" s="679"/>
      <c r="J24" s="679"/>
      <c r="K24" s="679"/>
      <c r="L24" s="679"/>
      <c r="M24" s="679"/>
      <c r="N24" s="679"/>
      <c r="O24" s="679"/>
      <c r="P24" s="679"/>
      <c r="Q24" s="679"/>
      <c r="R24" s="679"/>
      <c r="S24" s="679"/>
      <c r="T24" s="680"/>
      <c r="U24"/>
      <c r="V24"/>
      <c r="W24"/>
    </row>
    <row r="25" spans="1:25" ht="15.75">
      <c r="A25" s="379"/>
      <c r="B25" s="579"/>
      <c r="C25" s="580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2"/>
      <c r="U25"/>
      <c r="V25"/>
      <c r="W25"/>
    </row>
    <row r="26" spans="1:25" s="386" customFormat="1" ht="15.75">
      <c r="A26" s="379"/>
      <c r="B26" s="681"/>
      <c r="C26" s="383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5"/>
      <c r="U26"/>
      <c r="V26"/>
      <c r="W26"/>
      <c r="X26" s="3"/>
      <c r="Y26" s="3"/>
    </row>
    <row r="27" spans="1:25" ht="15.75">
      <c r="A27" s="379"/>
      <c r="B27" s="677"/>
      <c r="C27" s="678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80"/>
      <c r="U27"/>
      <c r="V27"/>
      <c r="W27"/>
    </row>
    <row r="28" spans="1:25" ht="15.75">
      <c r="A28" s="379"/>
      <c r="B28" s="579"/>
      <c r="C28" s="580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2"/>
      <c r="U28"/>
      <c r="V28"/>
      <c r="W28"/>
    </row>
    <row r="29" spans="1:25" s="386" customFormat="1" ht="15.75">
      <c r="A29" s="379"/>
      <c r="B29" s="681"/>
      <c r="C29" s="383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5"/>
      <c r="U29"/>
      <c r="V29"/>
      <c r="W29"/>
      <c r="X29" s="3"/>
      <c r="Y29" s="3"/>
    </row>
    <row r="30" spans="1:25" ht="15.75">
      <c r="A30" s="379"/>
      <c r="B30" s="677"/>
      <c r="C30" s="678"/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80"/>
      <c r="U30"/>
      <c r="V30"/>
      <c r="W30"/>
    </row>
    <row r="31" spans="1:25" ht="15.75">
      <c r="A31" s="379"/>
      <c r="B31" s="579"/>
      <c r="C31" s="580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  <c r="Q31" s="581"/>
      <c r="R31" s="581"/>
      <c r="S31" s="581"/>
      <c r="T31" s="582"/>
      <c r="U31"/>
      <c r="V31"/>
      <c r="W31"/>
    </row>
    <row r="32" spans="1:25" s="386" customFormat="1" ht="15.75">
      <c r="A32" s="379"/>
      <c r="B32" s="681"/>
      <c r="C32" s="383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5"/>
      <c r="U32"/>
      <c r="V32"/>
      <c r="W32"/>
      <c r="X32" s="3"/>
      <c r="Y32" s="3"/>
    </row>
    <row r="33" spans="1:25" ht="15.75">
      <c r="A33" s="379"/>
      <c r="B33" s="677"/>
      <c r="C33" s="678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80"/>
      <c r="U33"/>
      <c r="V33"/>
      <c r="W33"/>
    </row>
    <row r="34" spans="1:25" ht="15.75">
      <c r="A34" s="379"/>
      <c r="B34" s="579"/>
      <c r="C34" s="580"/>
      <c r="D34" s="581"/>
      <c r="E34" s="581"/>
      <c r="F34" s="581"/>
      <c r="G34" s="581"/>
      <c r="H34" s="581"/>
      <c r="I34" s="581"/>
      <c r="J34" s="581"/>
      <c r="K34" s="581"/>
      <c r="L34" s="581"/>
      <c r="M34" s="581"/>
      <c r="N34" s="581"/>
      <c r="O34" s="581"/>
      <c r="P34" s="581"/>
      <c r="Q34" s="581"/>
      <c r="R34" s="581"/>
      <c r="S34" s="581"/>
      <c r="T34" s="582"/>
      <c r="U34"/>
      <c r="V34"/>
      <c r="W34"/>
    </row>
    <row r="35" spans="1:25" s="386" customFormat="1" ht="15.75">
      <c r="A35" s="387"/>
      <c r="B35" s="681"/>
      <c r="C35" s="383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5"/>
      <c r="U35"/>
      <c r="V35"/>
      <c r="W35"/>
      <c r="X35" s="3"/>
      <c r="Y35" s="3"/>
    </row>
    <row r="36" spans="1:25" ht="15.75">
      <c r="A36" s="673"/>
      <c r="B36" s="677"/>
      <c r="C36" s="678"/>
      <c r="D36" s="679"/>
      <c r="E36" s="679"/>
      <c r="F36" s="679"/>
      <c r="G36" s="679"/>
      <c r="H36" s="679"/>
      <c r="I36" s="679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80"/>
      <c r="U36"/>
      <c r="V36"/>
      <c r="W36"/>
    </row>
    <row r="37" spans="1:25" ht="15.75">
      <c r="A37" s="379"/>
      <c r="B37" s="579"/>
      <c r="C37" s="580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S37" s="581"/>
      <c r="T37" s="582"/>
      <c r="U37"/>
      <c r="V37"/>
      <c r="W37"/>
    </row>
    <row r="38" spans="1:25" s="386" customFormat="1" ht="15.75">
      <c r="A38" s="379"/>
      <c r="B38" s="681"/>
      <c r="C38" s="383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5"/>
      <c r="U38"/>
      <c r="V38"/>
      <c r="W38"/>
      <c r="X38" s="3"/>
      <c r="Y38" s="3"/>
    </row>
    <row r="39" spans="1:25" ht="15.75">
      <c r="A39" s="379"/>
      <c r="B39" s="677"/>
      <c r="C39" s="678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80"/>
      <c r="U39"/>
      <c r="V39"/>
      <c r="W39"/>
    </row>
    <row r="40" spans="1:25" ht="15.75">
      <c r="A40" s="379"/>
      <c r="B40" s="579"/>
      <c r="C40" s="580"/>
      <c r="D40" s="581"/>
      <c r="E40" s="581"/>
      <c r="F40" s="581"/>
      <c r="G40" s="581"/>
      <c r="H40" s="581"/>
      <c r="I40" s="581"/>
      <c r="J40" s="581"/>
      <c r="K40" s="581"/>
      <c r="L40" s="581"/>
      <c r="M40" s="581"/>
      <c r="N40" s="581"/>
      <c r="O40" s="581"/>
      <c r="P40" s="581"/>
      <c r="Q40" s="581"/>
      <c r="R40" s="581"/>
      <c r="S40" s="581"/>
      <c r="T40" s="582"/>
      <c r="U40"/>
      <c r="V40"/>
      <c r="W40"/>
    </row>
    <row r="41" spans="1:25" s="386" customFormat="1" ht="15.75">
      <c r="A41" s="379"/>
      <c r="B41" s="681"/>
      <c r="C41" s="383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5"/>
      <c r="U41"/>
      <c r="V41"/>
      <c r="W41"/>
      <c r="X41" s="3"/>
      <c r="Y41" s="3"/>
    </row>
    <row r="42" spans="1:25" ht="15.75">
      <c r="A42" s="379"/>
      <c r="B42" s="677"/>
      <c r="C42" s="678"/>
      <c r="D42" s="679"/>
      <c r="E42" s="679"/>
      <c r="F42" s="679"/>
      <c r="G42" s="679"/>
      <c r="H42" s="679"/>
      <c r="I42" s="679"/>
      <c r="J42" s="679"/>
      <c r="K42" s="679"/>
      <c r="L42" s="679"/>
      <c r="M42" s="679"/>
      <c r="N42" s="679"/>
      <c r="O42" s="679"/>
      <c r="P42" s="679"/>
      <c r="Q42" s="679"/>
      <c r="R42" s="679"/>
      <c r="S42" s="679"/>
      <c r="T42" s="680"/>
      <c r="U42"/>
      <c r="V42"/>
      <c r="W42"/>
    </row>
    <row r="43" spans="1:25" ht="15.75">
      <c r="A43" s="379"/>
      <c r="B43" s="579"/>
      <c r="C43" s="580"/>
      <c r="D43" s="581"/>
      <c r="E43" s="581"/>
      <c r="F43" s="581"/>
      <c r="G43" s="581"/>
      <c r="H43" s="581"/>
      <c r="I43" s="581"/>
      <c r="J43" s="581"/>
      <c r="K43" s="581"/>
      <c r="L43" s="581"/>
      <c r="M43" s="581"/>
      <c r="N43" s="581"/>
      <c r="O43" s="581"/>
      <c r="P43" s="581"/>
      <c r="Q43" s="581"/>
      <c r="R43" s="581"/>
      <c r="S43" s="581"/>
      <c r="T43" s="582"/>
      <c r="U43"/>
      <c r="V43"/>
      <c r="W43"/>
    </row>
    <row r="44" spans="1:25" s="386" customFormat="1" ht="15.75">
      <c r="A44" s="379"/>
      <c r="B44" s="681"/>
      <c r="C44" s="383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5"/>
      <c r="U44"/>
      <c r="V44"/>
      <c r="W44"/>
      <c r="X44" s="3"/>
      <c r="Y44" s="3"/>
    </row>
    <row r="45" spans="1:25" ht="15.75">
      <c r="A45" s="379"/>
      <c r="B45" s="677"/>
      <c r="C45" s="678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80"/>
      <c r="U45"/>
      <c r="V45"/>
      <c r="W45"/>
    </row>
    <row r="46" spans="1:25" ht="15.75">
      <c r="A46" s="379"/>
      <c r="B46" s="579"/>
      <c r="C46" s="580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1"/>
      <c r="Q46" s="581"/>
      <c r="R46" s="581"/>
      <c r="S46" s="581"/>
      <c r="T46" s="582"/>
      <c r="U46"/>
      <c r="V46"/>
      <c r="W46"/>
    </row>
    <row r="47" spans="1:25" s="386" customFormat="1" ht="15.75">
      <c r="A47" s="379"/>
      <c r="B47" s="681"/>
      <c r="C47" s="383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5"/>
      <c r="U47"/>
      <c r="V47"/>
      <c r="W47"/>
      <c r="X47" s="3"/>
      <c r="Y47" s="3"/>
    </row>
    <row r="48" spans="1:25" ht="15.75">
      <c r="A48" s="379"/>
      <c r="B48" s="677"/>
      <c r="C48" s="678"/>
      <c r="D48" s="679"/>
      <c r="E48" s="679"/>
      <c r="F48" s="679"/>
      <c r="G48" s="679"/>
      <c r="H48" s="679"/>
      <c r="I48" s="679"/>
      <c r="J48" s="679"/>
      <c r="K48" s="679"/>
      <c r="L48" s="679"/>
      <c r="M48" s="679"/>
      <c r="N48" s="679"/>
      <c r="O48" s="679"/>
      <c r="P48" s="679"/>
      <c r="Q48" s="679"/>
      <c r="R48" s="679"/>
      <c r="S48" s="679"/>
      <c r="T48" s="680"/>
      <c r="U48"/>
      <c r="V48"/>
      <c r="W48"/>
    </row>
    <row r="49" spans="1:25" ht="15.75">
      <c r="A49" s="379"/>
      <c r="B49" s="579"/>
      <c r="C49" s="580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1"/>
      <c r="P49" s="581"/>
      <c r="Q49" s="581"/>
      <c r="R49" s="581"/>
      <c r="S49" s="581"/>
      <c r="T49" s="582"/>
      <c r="U49"/>
      <c r="V49"/>
      <c r="W49"/>
    </row>
    <row r="50" spans="1:25" s="386" customFormat="1" ht="15.75">
      <c r="A50" s="387"/>
      <c r="B50" s="681"/>
      <c r="C50" s="383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5"/>
      <c r="U50"/>
      <c r="V50"/>
      <c r="W50"/>
      <c r="X50" s="3"/>
      <c r="Y50" s="3"/>
    </row>
    <row r="51" spans="1:25" ht="15.75">
      <c r="A51" s="673"/>
      <c r="B51" s="677"/>
      <c r="C51" s="678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80"/>
      <c r="U51"/>
      <c r="V51"/>
      <c r="W51"/>
    </row>
    <row r="52" spans="1:25" ht="15.75">
      <c r="A52" s="379"/>
      <c r="B52" s="579"/>
      <c r="C52" s="580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  <c r="Q52" s="581"/>
      <c r="R52" s="581"/>
      <c r="S52" s="581"/>
      <c r="T52" s="582"/>
      <c r="U52"/>
      <c r="V52"/>
      <c r="W52"/>
    </row>
    <row r="53" spans="1:25" s="386" customFormat="1" ht="15.75">
      <c r="A53" s="379"/>
      <c r="B53" s="681"/>
      <c r="C53" s="383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5"/>
      <c r="U53"/>
      <c r="V53"/>
      <c r="W53"/>
      <c r="X53" s="3"/>
      <c r="Y53" s="3"/>
    </row>
    <row r="54" spans="1:25" ht="15.75">
      <c r="A54" s="379"/>
      <c r="B54" s="677"/>
      <c r="C54" s="678"/>
      <c r="D54" s="679"/>
      <c r="E54" s="679"/>
      <c r="F54" s="679"/>
      <c r="G54" s="679"/>
      <c r="H54" s="679"/>
      <c r="I54" s="679"/>
      <c r="J54" s="679"/>
      <c r="K54" s="679"/>
      <c r="L54" s="679"/>
      <c r="M54" s="679"/>
      <c r="N54" s="679"/>
      <c r="O54" s="679"/>
      <c r="P54" s="679"/>
      <c r="Q54" s="679"/>
      <c r="R54" s="679"/>
      <c r="S54" s="679"/>
      <c r="T54" s="680"/>
      <c r="U54"/>
      <c r="V54"/>
      <c r="W54"/>
    </row>
    <row r="55" spans="1:25" ht="15.75">
      <c r="A55" s="379"/>
      <c r="B55" s="579"/>
      <c r="C55" s="580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2"/>
      <c r="U55"/>
      <c r="V55"/>
      <c r="W55"/>
    </row>
    <row r="56" spans="1:25" s="386" customFormat="1" ht="15.75">
      <c r="A56" s="379"/>
      <c r="B56" s="681"/>
      <c r="C56" s="383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5"/>
      <c r="U56"/>
      <c r="V56"/>
      <c r="W56"/>
      <c r="X56" s="3"/>
      <c r="Y56" s="3"/>
    </row>
    <row r="57" spans="1:25" ht="15.75">
      <c r="A57" s="379"/>
      <c r="B57" s="677"/>
      <c r="C57" s="678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80"/>
      <c r="U57"/>
      <c r="V57"/>
      <c r="W57"/>
    </row>
    <row r="58" spans="1:25" ht="15.75">
      <c r="A58" s="379"/>
      <c r="B58" s="579"/>
      <c r="C58" s="580"/>
      <c r="D58" s="581"/>
      <c r="E58" s="581"/>
      <c r="F58" s="581"/>
      <c r="G58" s="581"/>
      <c r="H58" s="581"/>
      <c r="I58" s="581"/>
      <c r="J58" s="581"/>
      <c r="K58" s="581"/>
      <c r="L58" s="581"/>
      <c r="M58" s="581"/>
      <c r="N58" s="581"/>
      <c r="O58" s="581"/>
      <c r="P58" s="581"/>
      <c r="Q58" s="581"/>
      <c r="R58" s="581"/>
      <c r="S58" s="581"/>
      <c r="T58" s="582"/>
      <c r="U58"/>
      <c r="V58"/>
      <c r="W58"/>
    </row>
    <row r="59" spans="1:25" s="386" customFormat="1" ht="15.75">
      <c r="A59" s="379"/>
      <c r="B59" s="681"/>
      <c r="C59" s="383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5"/>
      <c r="U59"/>
      <c r="V59"/>
      <c r="W59"/>
      <c r="X59" s="3"/>
      <c r="Y59" s="3"/>
    </row>
    <row r="60" spans="1:25" ht="15.75">
      <c r="A60" s="379"/>
      <c r="B60" s="677"/>
      <c r="C60" s="678"/>
      <c r="D60" s="679"/>
      <c r="E60" s="679"/>
      <c r="F60" s="679"/>
      <c r="G60" s="679"/>
      <c r="H60" s="679"/>
      <c r="I60" s="679"/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80"/>
      <c r="U60"/>
      <c r="V60"/>
      <c r="W60"/>
    </row>
    <row r="61" spans="1:25" ht="15.75">
      <c r="A61" s="379"/>
      <c r="B61" s="579"/>
      <c r="C61" s="580"/>
      <c r="D61" s="581"/>
      <c r="E61" s="581"/>
      <c r="F61" s="581"/>
      <c r="G61" s="581"/>
      <c r="H61" s="581"/>
      <c r="I61" s="581"/>
      <c r="J61" s="581"/>
      <c r="K61" s="581"/>
      <c r="L61" s="581"/>
      <c r="M61" s="581"/>
      <c r="N61" s="581"/>
      <c r="O61" s="581"/>
      <c r="P61" s="581"/>
      <c r="Q61" s="581"/>
      <c r="R61" s="581"/>
      <c r="S61" s="581"/>
      <c r="T61" s="582"/>
      <c r="U61"/>
      <c r="V61"/>
      <c r="W61"/>
    </row>
    <row r="62" spans="1:25" s="386" customFormat="1" ht="15.75">
      <c r="A62" s="379"/>
      <c r="B62" s="681"/>
      <c r="C62" s="383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5"/>
      <c r="U62"/>
      <c r="V62"/>
      <c r="W62"/>
      <c r="X62" s="3"/>
      <c r="Y62" s="3"/>
    </row>
    <row r="63" spans="1:25" ht="15.75">
      <c r="A63" s="379"/>
      <c r="B63" s="677"/>
      <c r="C63" s="678"/>
      <c r="D63" s="679"/>
      <c r="E63" s="679"/>
      <c r="F63" s="679"/>
      <c r="G63" s="679"/>
      <c r="H63" s="679"/>
      <c r="I63" s="679"/>
      <c r="J63" s="679"/>
      <c r="K63" s="679"/>
      <c r="L63" s="679"/>
      <c r="M63" s="679"/>
      <c r="N63" s="679"/>
      <c r="O63" s="679"/>
      <c r="P63" s="679"/>
      <c r="Q63" s="679"/>
      <c r="R63" s="679"/>
      <c r="S63" s="679"/>
      <c r="T63" s="680"/>
      <c r="U63"/>
      <c r="V63"/>
      <c r="W63"/>
    </row>
    <row r="64" spans="1:25" ht="15.75">
      <c r="A64" s="379"/>
      <c r="B64" s="579"/>
      <c r="C64" s="580"/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2"/>
      <c r="U64"/>
      <c r="V64"/>
      <c r="W64"/>
    </row>
    <row r="65" spans="1:25" s="386" customFormat="1" ht="15.75">
      <c r="A65" s="387"/>
      <c r="B65" s="681"/>
      <c r="C65" s="383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5"/>
      <c r="U65"/>
      <c r="V65"/>
      <c r="W65"/>
      <c r="X65" s="3"/>
      <c r="Y65" s="3"/>
    </row>
    <row r="66" spans="1:25" ht="15.75">
      <c r="A66" s="673"/>
      <c r="B66" s="677"/>
      <c r="C66" s="678"/>
      <c r="D66" s="679"/>
      <c r="E66" s="679"/>
      <c r="F66" s="679"/>
      <c r="G66" s="679"/>
      <c r="H66" s="679"/>
      <c r="I66" s="679"/>
      <c r="J66" s="679"/>
      <c r="K66" s="679"/>
      <c r="L66" s="679"/>
      <c r="M66" s="679"/>
      <c r="N66" s="679"/>
      <c r="O66" s="679"/>
      <c r="P66" s="679"/>
      <c r="Q66" s="679"/>
      <c r="R66" s="679"/>
      <c r="S66" s="679"/>
      <c r="T66" s="680"/>
      <c r="U66"/>
      <c r="V66"/>
      <c r="W66"/>
    </row>
    <row r="67" spans="1:25" ht="15.75">
      <c r="A67" s="379"/>
      <c r="B67" s="579"/>
      <c r="C67" s="580"/>
      <c r="D67" s="581"/>
      <c r="E67" s="581"/>
      <c r="F67" s="581"/>
      <c r="G67" s="581"/>
      <c r="H67" s="581"/>
      <c r="I67" s="581"/>
      <c r="J67" s="581"/>
      <c r="K67" s="581"/>
      <c r="L67" s="581"/>
      <c r="M67" s="581"/>
      <c r="N67" s="581"/>
      <c r="O67" s="581"/>
      <c r="P67" s="581"/>
      <c r="Q67" s="581"/>
      <c r="R67" s="581"/>
      <c r="S67" s="581"/>
      <c r="T67" s="582"/>
      <c r="U67"/>
      <c r="V67"/>
      <c r="W67"/>
    </row>
    <row r="68" spans="1:25" s="386" customFormat="1" ht="15.75">
      <c r="A68" s="379"/>
      <c r="B68" s="681"/>
      <c r="C68" s="383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5"/>
      <c r="U68"/>
      <c r="V68"/>
      <c r="W68"/>
      <c r="X68" s="3"/>
      <c r="Y68" s="3"/>
    </row>
    <row r="69" spans="1:25" ht="15.75">
      <c r="A69" s="379"/>
      <c r="B69" s="677"/>
      <c r="C69" s="678"/>
      <c r="D69" s="679"/>
      <c r="E69" s="679"/>
      <c r="F69" s="679"/>
      <c r="G69" s="679"/>
      <c r="H69" s="679"/>
      <c r="I69" s="679"/>
      <c r="J69" s="679"/>
      <c r="K69" s="679"/>
      <c r="L69" s="679"/>
      <c r="M69" s="679"/>
      <c r="N69" s="679"/>
      <c r="O69" s="679"/>
      <c r="P69" s="679"/>
      <c r="Q69" s="679"/>
      <c r="R69" s="679"/>
      <c r="S69" s="679"/>
      <c r="T69" s="680"/>
      <c r="U69"/>
      <c r="V69"/>
      <c r="W69"/>
    </row>
    <row r="70" spans="1:25" ht="15.75">
      <c r="A70" s="379"/>
      <c r="B70" s="579"/>
      <c r="C70" s="580"/>
      <c r="D70" s="581"/>
      <c r="E70" s="581"/>
      <c r="F70" s="581"/>
      <c r="G70" s="581"/>
      <c r="H70" s="581"/>
      <c r="I70" s="581"/>
      <c r="J70" s="581"/>
      <c r="K70" s="581"/>
      <c r="L70" s="581"/>
      <c r="M70" s="581"/>
      <c r="N70" s="581"/>
      <c r="O70" s="581"/>
      <c r="P70" s="581"/>
      <c r="Q70" s="581"/>
      <c r="R70" s="581"/>
      <c r="S70" s="581"/>
      <c r="T70" s="582"/>
      <c r="U70"/>
      <c r="V70"/>
      <c r="W70"/>
    </row>
    <row r="71" spans="1:25" s="386" customFormat="1" ht="15.75">
      <c r="A71" s="379"/>
      <c r="B71" s="681"/>
      <c r="C71" s="383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5"/>
      <c r="U71"/>
      <c r="V71"/>
      <c r="W71"/>
      <c r="X71" s="3"/>
      <c r="Y71" s="3"/>
    </row>
    <row r="72" spans="1:25" ht="15.75">
      <c r="A72" s="379"/>
      <c r="B72" s="677"/>
      <c r="C72" s="678"/>
      <c r="D72" s="679"/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79"/>
      <c r="P72" s="679"/>
      <c r="Q72" s="679"/>
      <c r="R72" s="679"/>
      <c r="S72" s="679"/>
      <c r="T72" s="680"/>
      <c r="U72"/>
      <c r="V72"/>
      <c r="W72"/>
    </row>
    <row r="73" spans="1:25" ht="15.75">
      <c r="A73" s="379"/>
      <c r="B73" s="579"/>
      <c r="C73" s="580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  <c r="T73" s="582"/>
      <c r="U73"/>
      <c r="V73"/>
      <c r="W73"/>
    </row>
    <row r="74" spans="1:25" s="386" customFormat="1" ht="15.75">
      <c r="A74" s="379"/>
      <c r="B74" s="681"/>
      <c r="C74" s="383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5"/>
      <c r="U74"/>
      <c r="V74"/>
      <c r="W74"/>
      <c r="X74" s="3"/>
      <c r="Y74" s="3"/>
    </row>
    <row r="75" spans="1:25" ht="15.75">
      <c r="A75" s="379"/>
      <c r="B75" s="677"/>
      <c r="C75" s="678"/>
      <c r="D75" s="679"/>
      <c r="E75" s="679"/>
      <c r="F75" s="679"/>
      <c r="G75" s="679"/>
      <c r="H75" s="679"/>
      <c r="I75" s="679"/>
      <c r="J75" s="679"/>
      <c r="K75" s="679"/>
      <c r="L75" s="679"/>
      <c r="M75" s="679"/>
      <c r="N75" s="679"/>
      <c r="O75" s="679"/>
      <c r="P75" s="679"/>
      <c r="Q75" s="679"/>
      <c r="R75" s="679"/>
      <c r="S75" s="679"/>
      <c r="T75" s="680"/>
      <c r="U75"/>
      <c r="V75"/>
      <c r="W75"/>
    </row>
    <row r="76" spans="1:25" ht="15.75">
      <c r="A76" s="379"/>
      <c r="B76" s="579"/>
      <c r="C76" s="580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2"/>
      <c r="U76"/>
      <c r="V76"/>
      <c r="W76"/>
    </row>
    <row r="77" spans="1:25" s="386" customFormat="1" ht="15.75">
      <c r="A77" s="379"/>
      <c r="B77" s="681"/>
      <c r="C77" s="383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5"/>
      <c r="U77"/>
      <c r="V77"/>
      <c r="W77"/>
      <c r="X77" s="3"/>
      <c r="Y77" s="3"/>
    </row>
    <row r="78" spans="1:25" ht="15.75">
      <c r="A78" s="379"/>
      <c r="B78" s="677"/>
      <c r="C78" s="678"/>
      <c r="D78" s="679"/>
      <c r="E78" s="679"/>
      <c r="F78" s="679"/>
      <c r="G78" s="679"/>
      <c r="H78" s="679"/>
      <c r="I78" s="679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80"/>
      <c r="U78"/>
      <c r="V78"/>
      <c r="W78"/>
    </row>
    <row r="79" spans="1:25" ht="15.75">
      <c r="A79" s="379"/>
      <c r="B79" s="579"/>
      <c r="C79" s="580"/>
      <c r="D79" s="581"/>
      <c r="E79" s="581"/>
      <c r="F79" s="581"/>
      <c r="G79" s="581"/>
      <c r="H79" s="581"/>
      <c r="I79" s="581"/>
      <c r="J79" s="581"/>
      <c r="K79" s="581"/>
      <c r="L79" s="581"/>
      <c r="M79" s="581"/>
      <c r="N79" s="581"/>
      <c r="O79" s="581"/>
      <c r="P79" s="581"/>
      <c r="Q79" s="581"/>
      <c r="R79" s="581"/>
      <c r="S79" s="581"/>
      <c r="T79" s="582"/>
      <c r="U79"/>
      <c r="V79"/>
      <c r="W79"/>
    </row>
    <row r="80" spans="1:25" s="386" customFormat="1" ht="15.75">
      <c r="A80" s="387"/>
      <c r="B80" s="681"/>
      <c r="C80" s="383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5"/>
      <c r="U80"/>
      <c r="V80"/>
      <c r="W80"/>
      <c r="X80" s="3"/>
      <c r="Y80" s="3"/>
    </row>
    <row r="81" spans="1:25" ht="15.75">
      <c r="A81" s="673"/>
      <c r="B81" s="677"/>
      <c r="C81" s="678"/>
      <c r="D81" s="679"/>
      <c r="E81" s="679"/>
      <c r="F81" s="679"/>
      <c r="G81" s="679"/>
      <c r="H81" s="679"/>
      <c r="I81" s="679"/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80"/>
      <c r="U81"/>
      <c r="V81"/>
      <c r="W81"/>
    </row>
    <row r="82" spans="1:25" ht="15.75">
      <c r="A82" s="379"/>
      <c r="B82" s="579"/>
      <c r="C82" s="580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2"/>
      <c r="U82"/>
      <c r="V82"/>
      <c r="W82"/>
    </row>
    <row r="83" spans="1:25" s="386" customFormat="1" ht="15.75">
      <c r="A83" s="379"/>
      <c r="B83" s="681"/>
      <c r="C83" s="383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5"/>
      <c r="U83"/>
      <c r="V83"/>
      <c r="W83"/>
      <c r="X83" s="3"/>
      <c r="Y83" s="3"/>
    </row>
    <row r="84" spans="1:25" ht="15.75">
      <c r="A84" s="379"/>
      <c r="B84" s="677"/>
      <c r="C84" s="678"/>
      <c r="D84" s="679"/>
      <c r="E84" s="679"/>
      <c r="F84" s="679"/>
      <c r="G84" s="679"/>
      <c r="H84" s="679"/>
      <c r="I84" s="679"/>
      <c r="J84" s="679"/>
      <c r="K84" s="679"/>
      <c r="L84" s="679"/>
      <c r="M84" s="679"/>
      <c r="N84" s="679"/>
      <c r="O84" s="679"/>
      <c r="P84" s="679"/>
      <c r="Q84" s="679"/>
      <c r="R84" s="679"/>
      <c r="S84" s="679"/>
      <c r="T84" s="680"/>
      <c r="U84"/>
      <c r="V84"/>
      <c r="W84"/>
    </row>
    <row r="85" spans="1:25" ht="15.75">
      <c r="A85" s="379"/>
      <c r="B85" s="579"/>
      <c r="C85" s="580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  <c r="T85" s="582"/>
      <c r="U85"/>
      <c r="V85"/>
      <c r="W85"/>
    </row>
    <row r="86" spans="1:25" s="386" customFormat="1" ht="15.75">
      <c r="A86" s="379"/>
      <c r="B86" s="681"/>
      <c r="C86" s="383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5"/>
      <c r="U86"/>
      <c r="V86"/>
      <c r="W86"/>
      <c r="X86" s="3"/>
      <c r="Y86" s="3"/>
    </row>
    <row r="87" spans="1:25" ht="15.75">
      <c r="A87" s="379"/>
      <c r="B87" s="677"/>
      <c r="C87" s="678"/>
      <c r="D87" s="679"/>
      <c r="E87" s="679"/>
      <c r="F87" s="679"/>
      <c r="G87" s="679"/>
      <c r="H87" s="679"/>
      <c r="I87" s="679"/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680"/>
      <c r="U87"/>
      <c r="V87"/>
      <c r="W87"/>
    </row>
    <row r="88" spans="1:25" ht="15.75">
      <c r="A88" s="379"/>
      <c r="B88" s="579"/>
      <c r="C88" s="580"/>
      <c r="D88" s="581"/>
      <c r="E88" s="581"/>
      <c r="F88" s="581"/>
      <c r="G88" s="581"/>
      <c r="H88" s="581"/>
      <c r="I88" s="581"/>
      <c r="J88" s="581"/>
      <c r="K88" s="581"/>
      <c r="L88" s="581"/>
      <c r="M88" s="581"/>
      <c r="N88" s="581"/>
      <c r="O88" s="581"/>
      <c r="P88" s="581"/>
      <c r="Q88" s="581"/>
      <c r="R88" s="581"/>
      <c r="S88" s="581"/>
      <c r="T88" s="582"/>
      <c r="U88"/>
      <c r="V88"/>
      <c r="W88"/>
    </row>
    <row r="89" spans="1:25" s="386" customFormat="1" ht="15.75">
      <c r="A89" s="379"/>
      <c r="B89" s="681"/>
      <c r="C89" s="383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5"/>
      <c r="U89"/>
      <c r="V89"/>
      <c r="W89"/>
      <c r="X89" s="3"/>
      <c r="Y89" s="3"/>
    </row>
    <row r="90" spans="1:25" ht="15.75">
      <c r="A90" s="379"/>
      <c r="B90" s="677"/>
      <c r="C90" s="678"/>
      <c r="D90" s="679"/>
      <c r="E90" s="679"/>
      <c r="F90" s="679"/>
      <c r="G90" s="679"/>
      <c r="H90" s="679"/>
      <c r="I90" s="679"/>
      <c r="J90" s="679"/>
      <c r="K90" s="679"/>
      <c r="L90" s="679"/>
      <c r="M90" s="679"/>
      <c r="N90" s="679"/>
      <c r="O90" s="679"/>
      <c r="P90" s="679"/>
      <c r="Q90" s="679"/>
      <c r="R90" s="679"/>
      <c r="S90" s="679"/>
      <c r="T90" s="680"/>
      <c r="U90"/>
      <c r="V90"/>
      <c r="W90"/>
    </row>
    <row r="91" spans="1:25" ht="15.75">
      <c r="A91" s="379"/>
      <c r="B91" s="579"/>
      <c r="C91" s="580"/>
      <c r="D91" s="581"/>
      <c r="E91" s="581"/>
      <c r="F91" s="581"/>
      <c r="G91" s="581"/>
      <c r="H91" s="581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  <c r="T91" s="582"/>
      <c r="U91"/>
      <c r="V91"/>
      <c r="W91"/>
    </row>
    <row r="92" spans="1:25" s="386" customFormat="1" ht="15.75">
      <c r="A92" s="379"/>
      <c r="B92" s="681"/>
      <c r="C92" s="383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5"/>
      <c r="U92"/>
      <c r="V92"/>
      <c r="W92"/>
      <c r="X92" s="3"/>
      <c r="Y92" s="3"/>
    </row>
    <row r="93" spans="1:25" ht="15.75">
      <c r="A93" s="379"/>
      <c r="B93" s="677"/>
      <c r="C93" s="678"/>
      <c r="D93" s="679"/>
      <c r="E93" s="679"/>
      <c r="F93" s="679"/>
      <c r="G93" s="679"/>
      <c r="H93" s="679"/>
      <c r="I93" s="679"/>
      <c r="J93" s="679"/>
      <c r="K93" s="679"/>
      <c r="L93" s="679"/>
      <c r="M93" s="679"/>
      <c r="N93" s="679"/>
      <c r="O93" s="679"/>
      <c r="P93" s="679"/>
      <c r="Q93" s="679"/>
      <c r="R93" s="679"/>
      <c r="S93" s="679"/>
      <c r="T93" s="680"/>
      <c r="U93"/>
      <c r="V93"/>
      <c r="W93"/>
    </row>
    <row r="94" spans="1:25" ht="15.75">
      <c r="A94" s="379"/>
      <c r="B94" s="579"/>
      <c r="C94" s="580"/>
      <c r="D94" s="581"/>
      <c r="E94" s="581"/>
      <c r="F94" s="581"/>
      <c r="G94" s="581"/>
      <c r="H94" s="581"/>
      <c r="I94" s="581"/>
      <c r="J94" s="581"/>
      <c r="K94" s="581"/>
      <c r="L94" s="581"/>
      <c r="M94" s="581"/>
      <c r="N94" s="581"/>
      <c r="O94" s="581"/>
      <c r="P94" s="581"/>
      <c r="Q94" s="581"/>
      <c r="R94" s="581"/>
      <c r="S94" s="581"/>
      <c r="T94" s="582"/>
      <c r="U94"/>
      <c r="V94"/>
      <c r="W94"/>
    </row>
    <row r="95" spans="1:25" s="386" customFormat="1" ht="15.75">
      <c r="A95" s="387"/>
      <c r="B95" s="681"/>
      <c r="C95" s="383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5"/>
      <c r="U95"/>
      <c r="V95"/>
      <c r="W95"/>
      <c r="X95" s="3"/>
      <c r="Y95" s="3"/>
    </row>
    <row r="96" spans="1:25" ht="15.75">
      <c r="A96" s="673"/>
      <c r="B96" s="677"/>
      <c r="C96" s="678"/>
      <c r="D96" s="679"/>
      <c r="E96" s="679"/>
      <c r="F96" s="679"/>
      <c r="G96" s="679"/>
      <c r="H96" s="679"/>
      <c r="I96" s="679"/>
      <c r="J96" s="679"/>
      <c r="K96" s="679"/>
      <c r="L96" s="679"/>
      <c r="M96" s="679"/>
      <c r="N96" s="679"/>
      <c r="O96" s="679"/>
      <c r="P96" s="679"/>
      <c r="Q96" s="679"/>
      <c r="R96" s="679"/>
      <c r="S96" s="679"/>
      <c r="T96" s="680"/>
      <c r="U96"/>
      <c r="V96"/>
      <c r="W96"/>
    </row>
    <row r="97" spans="1:25" ht="15.75">
      <c r="A97" s="379"/>
      <c r="B97" s="579"/>
      <c r="C97" s="580"/>
      <c r="D97" s="581"/>
      <c r="E97" s="581"/>
      <c r="F97" s="581"/>
      <c r="G97" s="581"/>
      <c r="H97" s="581"/>
      <c r="I97" s="581"/>
      <c r="J97" s="581"/>
      <c r="K97" s="581"/>
      <c r="L97" s="581"/>
      <c r="M97" s="581"/>
      <c r="N97" s="581"/>
      <c r="O97" s="581"/>
      <c r="P97" s="581"/>
      <c r="Q97" s="581"/>
      <c r="R97" s="581"/>
      <c r="S97" s="581"/>
      <c r="T97" s="582"/>
      <c r="U97"/>
      <c r="V97"/>
      <c r="W97"/>
    </row>
    <row r="98" spans="1:25" s="386" customFormat="1" ht="15.75">
      <c r="A98" s="379"/>
      <c r="B98" s="681"/>
      <c r="C98" s="383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5"/>
      <c r="U98"/>
      <c r="V98"/>
      <c r="W98"/>
      <c r="X98" s="3"/>
      <c r="Y98" s="3"/>
    </row>
    <row r="99" spans="1:25" ht="15.75">
      <c r="A99" s="379"/>
      <c r="B99" s="677"/>
      <c r="C99" s="678"/>
      <c r="D99" s="679"/>
      <c r="E99" s="679"/>
      <c r="F99" s="679"/>
      <c r="G99" s="679"/>
      <c r="H99" s="679"/>
      <c r="I99" s="679"/>
      <c r="J99" s="679"/>
      <c r="K99" s="679"/>
      <c r="L99" s="679"/>
      <c r="M99" s="679"/>
      <c r="N99" s="679"/>
      <c r="O99" s="679"/>
      <c r="P99" s="679"/>
      <c r="Q99" s="679"/>
      <c r="R99" s="679"/>
      <c r="S99" s="679"/>
      <c r="T99" s="680"/>
      <c r="U99"/>
      <c r="V99"/>
      <c r="W99"/>
    </row>
    <row r="100" spans="1:25" ht="15.75">
      <c r="A100" s="379"/>
      <c r="B100" s="579"/>
      <c r="C100" s="580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  <c r="R100" s="581"/>
      <c r="S100" s="581"/>
      <c r="T100" s="582"/>
      <c r="U100"/>
      <c r="V100"/>
      <c r="W100"/>
    </row>
    <row r="101" spans="1:25" s="386" customFormat="1" ht="15.75">
      <c r="A101" s="379"/>
      <c r="B101" s="681"/>
      <c r="C101" s="383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5"/>
      <c r="U101"/>
      <c r="V101"/>
      <c r="W101"/>
      <c r="X101" s="3"/>
      <c r="Y101" s="3"/>
    </row>
    <row r="102" spans="1:25" ht="15.75">
      <c r="A102" s="379"/>
      <c r="B102" s="677"/>
      <c r="C102" s="678"/>
      <c r="D102" s="679"/>
      <c r="E102" s="679"/>
      <c r="F102" s="679"/>
      <c r="G102" s="679"/>
      <c r="H102" s="679"/>
      <c r="I102" s="679"/>
      <c r="J102" s="679"/>
      <c r="K102" s="679"/>
      <c r="L102" s="679"/>
      <c r="M102" s="679"/>
      <c r="N102" s="679"/>
      <c r="O102" s="679"/>
      <c r="P102" s="679"/>
      <c r="Q102" s="679"/>
      <c r="R102" s="679"/>
      <c r="S102" s="679"/>
      <c r="T102" s="680"/>
      <c r="U102"/>
      <c r="V102"/>
      <c r="W102"/>
    </row>
    <row r="103" spans="1:25" ht="15.75">
      <c r="A103" s="379"/>
      <c r="B103" s="579"/>
      <c r="C103" s="580"/>
      <c r="D103" s="581"/>
      <c r="E103" s="581"/>
      <c r="F103" s="581"/>
      <c r="G103" s="581"/>
      <c r="H103" s="581"/>
      <c r="I103" s="581"/>
      <c r="J103" s="581"/>
      <c r="K103" s="581"/>
      <c r="L103" s="581"/>
      <c r="M103" s="581"/>
      <c r="N103" s="581"/>
      <c r="O103" s="581"/>
      <c r="P103" s="581"/>
      <c r="Q103" s="581"/>
      <c r="R103" s="581"/>
      <c r="S103" s="581"/>
      <c r="T103" s="582"/>
      <c r="U103"/>
      <c r="V103"/>
      <c r="W103"/>
    </row>
    <row r="104" spans="1:25" s="386" customFormat="1" ht="15.75">
      <c r="A104" s="379"/>
      <c r="B104" s="681"/>
      <c r="C104" s="383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5"/>
      <c r="U104"/>
      <c r="V104"/>
      <c r="W104"/>
      <c r="X104" s="3"/>
      <c r="Y104" s="3"/>
    </row>
    <row r="105" spans="1:25" ht="15.75">
      <c r="A105" s="379"/>
      <c r="B105" s="677"/>
      <c r="C105" s="678"/>
      <c r="D105" s="679"/>
      <c r="E105" s="679"/>
      <c r="F105" s="679"/>
      <c r="G105" s="679"/>
      <c r="H105" s="679"/>
      <c r="I105" s="679"/>
      <c r="J105" s="679"/>
      <c r="K105" s="679"/>
      <c r="L105" s="679"/>
      <c r="M105" s="679"/>
      <c r="N105" s="679"/>
      <c r="O105" s="679"/>
      <c r="P105" s="679"/>
      <c r="Q105" s="679"/>
      <c r="R105" s="679"/>
      <c r="S105" s="679"/>
      <c r="T105" s="680"/>
      <c r="U105"/>
      <c r="V105"/>
      <c r="W105"/>
    </row>
    <row r="106" spans="1:25" ht="15.75">
      <c r="A106" s="379"/>
      <c r="B106" s="579"/>
      <c r="C106" s="580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  <c r="Q106" s="581"/>
      <c r="R106" s="581"/>
      <c r="S106" s="581"/>
      <c r="T106" s="582"/>
      <c r="U106"/>
      <c r="V106"/>
      <c r="W106"/>
    </row>
    <row r="107" spans="1:25" s="386" customFormat="1" ht="15.75">
      <c r="A107" s="379"/>
      <c r="B107" s="681"/>
      <c r="C107" s="383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5"/>
      <c r="U107"/>
      <c r="V107"/>
      <c r="W107"/>
      <c r="X107" s="3"/>
      <c r="Y107" s="3"/>
    </row>
    <row r="108" spans="1:25" ht="15.75">
      <c r="A108" s="379"/>
      <c r="B108" s="677"/>
      <c r="C108" s="678"/>
      <c r="D108" s="679"/>
      <c r="E108" s="679"/>
      <c r="F108" s="679"/>
      <c r="G108" s="679"/>
      <c r="H108" s="679"/>
      <c r="I108" s="679"/>
      <c r="J108" s="679"/>
      <c r="K108" s="679"/>
      <c r="L108" s="679"/>
      <c r="M108" s="679"/>
      <c r="N108" s="679"/>
      <c r="O108" s="679"/>
      <c r="P108" s="679"/>
      <c r="Q108" s="679"/>
      <c r="R108" s="679"/>
      <c r="S108" s="679"/>
      <c r="T108" s="680"/>
      <c r="U108"/>
      <c r="V108"/>
      <c r="W108"/>
    </row>
    <row r="109" spans="1:25" ht="15.75">
      <c r="A109" s="379"/>
      <c r="B109" s="579"/>
      <c r="C109" s="580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  <c r="Q109" s="581"/>
      <c r="R109" s="581"/>
      <c r="S109" s="581"/>
      <c r="T109" s="582"/>
      <c r="U109"/>
      <c r="V109"/>
      <c r="W109"/>
    </row>
    <row r="110" spans="1:25" s="386" customFormat="1" ht="15.75">
      <c r="A110" s="387"/>
      <c r="B110" s="681"/>
      <c r="C110" s="383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5"/>
      <c r="U110"/>
      <c r="V110"/>
      <c r="W110"/>
      <c r="X110" s="3"/>
      <c r="Y110" s="3"/>
    </row>
    <row r="111" spans="1:25" ht="15.75">
      <c r="A111" s="673"/>
      <c r="B111" s="677"/>
      <c r="C111" s="678"/>
      <c r="D111" s="679"/>
      <c r="E111" s="679"/>
      <c r="F111" s="679"/>
      <c r="G111" s="679"/>
      <c r="H111" s="679"/>
      <c r="I111" s="679"/>
      <c r="J111" s="679"/>
      <c r="K111" s="679"/>
      <c r="L111" s="679"/>
      <c r="M111" s="679"/>
      <c r="N111" s="679"/>
      <c r="O111" s="679"/>
      <c r="P111" s="679"/>
      <c r="Q111" s="679"/>
      <c r="R111" s="679"/>
      <c r="S111" s="679"/>
      <c r="T111" s="680"/>
      <c r="U111"/>
      <c r="V111"/>
      <c r="W111"/>
    </row>
    <row r="112" spans="1:25" ht="15.75">
      <c r="A112" s="379"/>
      <c r="B112" s="579"/>
      <c r="C112" s="580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  <c r="Q112" s="581"/>
      <c r="R112" s="581"/>
      <c r="S112" s="581"/>
      <c r="T112" s="582"/>
      <c r="U112"/>
      <c r="V112"/>
      <c r="W112"/>
    </row>
    <row r="113" spans="1:25" s="386" customFormat="1" ht="15.75">
      <c r="A113" s="379"/>
      <c r="B113" s="681"/>
      <c r="C113" s="383"/>
      <c r="D113" s="384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84"/>
      <c r="S113" s="384"/>
      <c r="T113" s="385"/>
      <c r="U113"/>
      <c r="V113"/>
      <c r="W113"/>
      <c r="X113" s="3"/>
      <c r="Y113" s="3"/>
    </row>
    <row r="114" spans="1:25" ht="15.75">
      <c r="A114" s="379"/>
      <c r="B114" s="677"/>
      <c r="C114" s="678"/>
      <c r="D114" s="679"/>
      <c r="E114" s="679"/>
      <c r="F114" s="679"/>
      <c r="G114" s="679"/>
      <c r="H114" s="679"/>
      <c r="I114" s="679"/>
      <c r="J114" s="679"/>
      <c r="K114" s="679"/>
      <c r="L114" s="679"/>
      <c r="M114" s="679"/>
      <c r="N114" s="679"/>
      <c r="O114" s="679"/>
      <c r="P114" s="679"/>
      <c r="Q114" s="679"/>
      <c r="R114" s="679"/>
      <c r="S114" s="679"/>
      <c r="T114" s="680"/>
      <c r="U114"/>
      <c r="V114"/>
      <c r="W114"/>
    </row>
    <row r="115" spans="1:25" ht="15.75">
      <c r="A115" s="379"/>
      <c r="B115" s="579"/>
      <c r="C115" s="580"/>
      <c r="D115" s="581"/>
      <c r="E115" s="581"/>
      <c r="F115" s="581"/>
      <c r="G115" s="581"/>
      <c r="H115" s="581"/>
      <c r="I115" s="581"/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  <c r="T115" s="582"/>
      <c r="U115"/>
      <c r="V115"/>
      <c r="W115"/>
    </row>
    <row r="116" spans="1:25" s="386" customFormat="1" ht="15.75">
      <c r="A116" s="379"/>
      <c r="B116" s="681"/>
      <c r="C116" s="383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84"/>
      <c r="S116" s="384"/>
      <c r="T116" s="385"/>
      <c r="U116"/>
      <c r="V116"/>
      <c r="W116"/>
      <c r="X116" s="3"/>
      <c r="Y116" s="3"/>
    </row>
    <row r="117" spans="1:25" ht="15.75">
      <c r="A117" s="379"/>
      <c r="B117" s="677"/>
      <c r="C117" s="678"/>
      <c r="D117" s="679"/>
      <c r="E117" s="679"/>
      <c r="F117" s="679"/>
      <c r="G117" s="679"/>
      <c r="H117" s="679"/>
      <c r="I117" s="679"/>
      <c r="J117" s="679"/>
      <c r="K117" s="679"/>
      <c r="L117" s="679"/>
      <c r="M117" s="679"/>
      <c r="N117" s="679"/>
      <c r="O117" s="679"/>
      <c r="P117" s="679"/>
      <c r="Q117" s="679"/>
      <c r="R117" s="679"/>
      <c r="S117" s="679"/>
      <c r="T117" s="680"/>
      <c r="U117"/>
      <c r="V117"/>
      <c r="W117"/>
    </row>
    <row r="118" spans="1:25" ht="15.75">
      <c r="A118" s="379"/>
      <c r="B118" s="579"/>
      <c r="C118" s="580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  <c r="Q118" s="581"/>
      <c r="R118" s="581"/>
      <c r="S118" s="581"/>
      <c r="T118" s="582"/>
      <c r="U118"/>
      <c r="V118"/>
      <c r="W118"/>
    </row>
    <row r="119" spans="1:25" s="386" customFormat="1" ht="15.75">
      <c r="A119" s="379"/>
      <c r="B119" s="681"/>
      <c r="C119" s="383"/>
      <c r="D119" s="384"/>
      <c r="E119" s="384"/>
      <c r="F119" s="384"/>
      <c r="G119" s="384"/>
      <c r="H119" s="384"/>
      <c r="I119" s="384"/>
      <c r="J119" s="384"/>
      <c r="K119" s="384"/>
      <c r="L119" s="384"/>
      <c r="M119" s="384"/>
      <c r="N119" s="384"/>
      <c r="O119" s="384"/>
      <c r="P119" s="384"/>
      <c r="Q119" s="384"/>
      <c r="R119" s="384"/>
      <c r="S119" s="384"/>
      <c r="T119" s="385"/>
      <c r="U119"/>
      <c r="V119"/>
      <c r="W119"/>
      <c r="X119" s="3"/>
      <c r="Y119" s="3"/>
    </row>
    <row r="120" spans="1:25" ht="15.75">
      <c r="A120" s="379"/>
      <c r="B120" s="677"/>
      <c r="C120" s="678"/>
      <c r="D120" s="679"/>
      <c r="E120" s="679"/>
      <c r="F120" s="679"/>
      <c r="G120" s="679"/>
      <c r="H120" s="679"/>
      <c r="I120" s="679"/>
      <c r="J120" s="679"/>
      <c r="K120" s="679"/>
      <c r="L120" s="679"/>
      <c r="M120" s="679"/>
      <c r="N120" s="679"/>
      <c r="O120" s="679"/>
      <c r="P120" s="679"/>
      <c r="Q120" s="679"/>
      <c r="R120" s="679"/>
      <c r="S120" s="679"/>
      <c r="T120" s="680"/>
      <c r="U120"/>
      <c r="V120"/>
      <c r="W120"/>
    </row>
    <row r="121" spans="1:25" ht="15.75">
      <c r="A121" s="379"/>
      <c r="B121" s="579"/>
      <c r="C121" s="580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  <c r="Q121" s="581"/>
      <c r="R121" s="581"/>
      <c r="S121" s="581"/>
      <c r="T121" s="582"/>
      <c r="U121"/>
      <c r="V121"/>
      <c r="W121"/>
    </row>
    <row r="122" spans="1:25" s="386" customFormat="1" ht="15.75">
      <c r="A122" s="379"/>
      <c r="B122" s="681"/>
      <c r="C122" s="383"/>
      <c r="D122" s="384"/>
      <c r="E122" s="384"/>
      <c r="F122" s="384"/>
      <c r="G122" s="384"/>
      <c r="H122" s="384"/>
      <c r="I122" s="384"/>
      <c r="J122" s="384"/>
      <c r="K122" s="384"/>
      <c r="L122" s="384"/>
      <c r="M122" s="384"/>
      <c r="N122" s="384"/>
      <c r="O122" s="384"/>
      <c r="P122" s="384"/>
      <c r="Q122" s="384"/>
      <c r="R122" s="384"/>
      <c r="S122" s="384"/>
      <c r="T122" s="385"/>
      <c r="U122"/>
      <c r="V122"/>
      <c r="W122"/>
      <c r="X122" s="3"/>
      <c r="Y122" s="3"/>
    </row>
    <row r="123" spans="1:25" ht="15.75">
      <c r="A123" s="379"/>
      <c r="B123" s="677"/>
      <c r="C123" s="678"/>
      <c r="D123" s="679"/>
      <c r="E123" s="679"/>
      <c r="F123" s="679"/>
      <c r="G123" s="679"/>
      <c r="H123" s="679"/>
      <c r="I123" s="679"/>
      <c r="J123" s="679"/>
      <c r="K123" s="679"/>
      <c r="L123" s="679"/>
      <c r="M123" s="679"/>
      <c r="N123" s="679"/>
      <c r="O123" s="679"/>
      <c r="P123" s="679"/>
      <c r="Q123" s="679"/>
      <c r="R123" s="679"/>
      <c r="S123" s="679"/>
      <c r="T123" s="680"/>
      <c r="U123"/>
      <c r="V123"/>
      <c r="W123"/>
    </row>
    <row r="124" spans="1:25" ht="15.75">
      <c r="A124" s="379"/>
      <c r="B124" s="579"/>
      <c r="C124" s="580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  <c r="Q124" s="581"/>
      <c r="R124" s="581"/>
      <c r="S124" s="581"/>
      <c r="T124" s="582"/>
      <c r="U124"/>
      <c r="V124"/>
      <c r="W124"/>
    </row>
    <row r="125" spans="1:25" s="386" customFormat="1" ht="15.75">
      <c r="A125" s="387"/>
      <c r="B125" s="681"/>
      <c r="C125" s="383"/>
      <c r="D125" s="384"/>
      <c r="E125" s="384"/>
      <c r="F125" s="384"/>
      <c r="G125" s="384"/>
      <c r="H125" s="384"/>
      <c r="I125" s="384"/>
      <c r="J125" s="384"/>
      <c r="K125" s="384"/>
      <c r="L125" s="384"/>
      <c r="M125" s="384"/>
      <c r="N125" s="384"/>
      <c r="O125" s="384"/>
      <c r="P125" s="384"/>
      <c r="Q125" s="384"/>
      <c r="R125" s="384"/>
      <c r="S125" s="384"/>
      <c r="T125" s="385"/>
      <c r="U125"/>
      <c r="V125"/>
      <c r="W125"/>
      <c r="X125" s="3"/>
      <c r="Y125" s="3"/>
    </row>
    <row r="126" spans="1:25" ht="15.75">
      <c r="A126" s="673"/>
      <c r="B126" s="677"/>
      <c r="C126" s="678"/>
      <c r="D126" s="679"/>
      <c r="E126" s="679"/>
      <c r="F126" s="679"/>
      <c r="G126" s="679"/>
      <c r="H126" s="679"/>
      <c r="I126" s="679"/>
      <c r="J126" s="679"/>
      <c r="K126" s="679"/>
      <c r="L126" s="679"/>
      <c r="M126" s="679"/>
      <c r="N126" s="679"/>
      <c r="O126" s="679"/>
      <c r="P126" s="679"/>
      <c r="Q126" s="679"/>
      <c r="R126" s="679"/>
      <c r="S126" s="679"/>
      <c r="T126" s="680"/>
      <c r="U126"/>
      <c r="V126"/>
      <c r="W126"/>
    </row>
    <row r="127" spans="1:25" ht="15.75">
      <c r="A127" s="379"/>
      <c r="B127" s="579"/>
      <c r="C127" s="580"/>
      <c r="D127" s="581"/>
      <c r="E127" s="581"/>
      <c r="F127" s="581"/>
      <c r="G127" s="581"/>
      <c r="H127" s="581"/>
      <c r="I127" s="581"/>
      <c r="J127" s="581"/>
      <c r="K127" s="581"/>
      <c r="L127" s="581"/>
      <c r="M127" s="581"/>
      <c r="N127" s="581"/>
      <c r="O127" s="581"/>
      <c r="P127" s="581"/>
      <c r="Q127" s="581"/>
      <c r="R127" s="581"/>
      <c r="S127" s="581"/>
      <c r="T127" s="582"/>
      <c r="U127"/>
      <c r="V127"/>
      <c r="W127"/>
    </row>
    <row r="128" spans="1:25" s="386" customFormat="1" ht="15.75">
      <c r="A128" s="379"/>
      <c r="B128" s="681"/>
      <c r="C128" s="383"/>
      <c r="D128" s="384"/>
      <c r="E128" s="384"/>
      <c r="F128" s="384"/>
      <c r="G128" s="384"/>
      <c r="H128" s="384"/>
      <c r="I128" s="384"/>
      <c r="J128" s="384"/>
      <c r="K128" s="384"/>
      <c r="L128" s="384"/>
      <c r="M128" s="384"/>
      <c r="N128" s="384"/>
      <c r="O128" s="384"/>
      <c r="P128" s="384"/>
      <c r="Q128" s="384"/>
      <c r="R128" s="384"/>
      <c r="S128" s="384"/>
      <c r="T128" s="385"/>
      <c r="U128"/>
      <c r="V128"/>
      <c r="W128"/>
      <c r="X128" s="3"/>
      <c r="Y128" s="3"/>
    </row>
    <row r="129" spans="1:25" ht="15.75">
      <c r="A129" s="379"/>
      <c r="B129" s="677"/>
      <c r="C129" s="678"/>
      <c r="D129" s="679"/>
      <c r="E129" s="679"/>
      <c r="F129" s="679"/>
      <c r="G129" s="679"/>
      <c r="H129" s="679"/>
      <c r="I129" s="679"/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80"/>
      <c r="U129"/>
      <c r="V129"/>
      <c r="W129"/>
    </row>
    <row r="130" spans="1:25" ht="15.75">
      <c r="A130" s="379"/>
      <c r="B130" s="579"/>
      <c r="C130" s="580"/>
      <c r="D130" s="581"/>
      <c r="E130" s="581"/>
      <c r="F130" s="581"/>
      <c r="G130" s="581"/>
      <c r="H130" s="581"/>
      <c r="I130" s="581"/>
      <c r="J130" s="581"/>
      <c r="K130" s="581"/>
      <c r="L130" s="581"/>
      <c r="M130" s="581"/>
      <c r="N130" s="581"/>
      <c r="O130" s="581"/>
      <c r="P130" s="581"/>
      <c r="Q130" s="581"/>
      <c r="R130" s="581"/>
      <c r="S130" s="581"/>
      <c r="T130" s="582"/>
      <c r="U130"/>
      <c r="V130"/>
      <c r="W130"/>
    </row>
    <row r="131" spans="1:25" s="386" customFormat="1" ht="15.75">
      <c r="A131" s="379"/>
      <c r="B131" s="681"/>
      <c r="C131" s="383"/>
      <c r="D131" s="384"/>
      <c r="E131" s="384"/>
      <c r="F131" s="384"/>
      <c r="G131" s="384"/>
      <c r="H131" s="384"/>
      <c r="I131" s="384"/>
      <c r="J131" s="384"/>
      <c r="K131" s="384"/>
      <c r="L131" s="384"/>
      <c r="M131" s="384"/>
      <c r="N131" s="384"/>
      <c r="O131" s="384"/>
      <c r="P131" s="384"/>
      <c r="Q131" s="384"/>
      <c r="R131" s="384"/>
      <c r="S131" s="384"/>
      <c r="T131" s="385"/>
      <c r="U131"/>
      <c r="V131"/>
      <c r="W131"/>
      <c r="X131" s="3"/>
      <c r="Y131" s="3"/>
    </row>
    <row r="132" spans="1:25" ht="15.75">
      <c r="A132" s="379"/>
      <c r="B132" s="677"/>
      <c r="C132" s="678"/>
      <c r="D132" s="679"/>
      <c r="E132" s="679"/>
      <c r="F132" s="679"/>
      <c r="G132" s="679"/>
      <c r="H132" s="679"/>
      <c r="I132" s="679"/>
      <c r="J132" s="679"/>
      <c r="K132" s="679"/>
      <c r="L132" s="679"/>
      <c r="M132" s="679"/>
      <c r="N132" s="679"/>
      <c r="O132" s="679"/>
      <c r="P132" s="679"/>
      <c r="Q132" s="679"/>
      <c r="R132" s="679"/>
      <c r="S132" s="679"/>
      <c r="T132" s="680"/>
      <c r="U132"/>
      <c r="V132"/>
      <c r="W132"/>
    </row>
    <row r="133" spans="1:25" ht="15.75">
      <c r="A133" s="379"/>
      <c r="B133" s="579"/>
      <c r="C133" s="580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  <c r="Q133" s="581"/>
      <c r="R133" s="581"/>
      <c r="S133" s="581"/>
      <c r="T133" s="582"/>
      <c r="U133"/>
      <c r="V133"/>
      <c r="W133"/>
    </row>
    <row r="134" spans="1:25" s="386" customFormat="1" ht="15.75">
      <c r="A134" s="379"/>
      <c r="B134" s="681"/>
      <c r="C134" s="383"/>
      <c r="D134" s="384"/>
      <c r="E134" s="384"/>
      <c r="F134" s="384"/>
      <c r="G134" s="384"/>
      <c r="H134" s="384"/>
      <c r="I134" s="384"/>
      <c r="J134" s="384"/>
      <c r="K134" s="384"/>
      <c r="L134" s="384"/>
      <c r="M134" s="384"/>
      <c r="N134" s="384"/>
      <c r="O134" s="384"/>
      <c r="P134" s="384"/>
      <c r="Q134" s="384"/>
      <c r="R134" s="384"/>
      <c r="S134" s="384"/>
      <c r="T134" s="385"/>
      <c r="U134"/>
      <c r="V134"/>
      <c r="W134"/>
      <c r="X134" s="3"/>
      <c r="Y134" s="3"/>
    </row>
    <row r="135" spans="1:25" ht="15.75">
      <c r="A135" s="379"/>
      <c r="B135" s="677"/>
      <c r="C135" s="678"/>
      <c r="D135" s="679"/>
      <c r="E135" s="679"/>
      <c r="F135" s="679"/>
      <c r="G135" s="679"/>
      <c r="H135" s="679"/>
      <c r="I135" s="679"/>
      <c r="J135" s="679"/>
      <c r="K135" s="679"/>
      <c r="L135" s="679"/>
      <c r="M135" s="679"/>
      <c r="N135" s="679"/>
      <c r="O135" s="679"/>
      <c r="P135" s="679"/>
      <c r="Q135" s="679"/>
      <c r="R135" s="679"/>
      <c r="S135" s="679"/>
      <c r="T135" s="680"/>
      <c r="U135"/>
      <c r="V135"/>
      <c r="W135"/>
    </row>
    <row r="136" spans="1:25" ht="15.75">
      <c r="A136" s="379"/>
      <c r="B136" s="579"/>
      <c r="C136" s="580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  <c r="Q136" s="581"/>
      <c r="R136" s="581"/>
      <c r="S136" s="581"/>
      <c r="T136" s="582"/>
      <c r="U136"/>
      <c r="V136"/>
      <c r="W136"/>
    </row>
    <row r="137" spans="1:25" s="386" customFormat="1" ht="15.75">
      <c r="A137" s="379"/>
      <c r="B137" s="681"/>
      <c r="C137" s="383"/>
      <c r="D137" s="384"/>
      <c r="E137" s="384"/>
      <c r="F137" s="384"/>
      <c r="G137" s="384"/>
      <c r="H137" s="384"/>
      <c r="I137" s="384"/>
      <c r="J137" s="384"/>
      <c r="K137" s="384"/>
      <c r="L137" s="384"/>
      <c r="M137" s="384"/>
      <c r="N137" s="384"/>
      <c r="O137" s="384"/>
      <c r="P137" s="384"/>
      <c r="Q137" s="384"/>
      <c r="R137" s="384"/>
      <c r="S137" s="384"/>
      <c r="T137" s="385"/>
      <c r="U137"/>
      <c r="V137"/>
      <c r="W137"/>
      <c r="X137" s="3"/>
      <c r="Y137" s="3"/>
    </row>
    <row r="138" spans="1:25" ht="15.75">
      <c r="A138" s="379"/>
      <c r="B138" s="677"/>
      <c r="C138" s="678"/>
      <c r="D138" s="679"/>
      <c r="E138" s="679"/>
      <c r="F138" s="679"/>
      <c r="G138" s="679"/>
      <c r="H138" s="679"/>
      <c r="I138" s="679"/>
      <c r="J138" s="679"/>
      <c r="K138" s="679"/>
      <c r="L138" s="679"/>
      <c r="M138" s="679"/>
      <c r="N138" s="679"/>
      <c r="O138" s="679"/>
      <c r="P138" s="679"/>
      <c r="Q138" s="679"/>
      <c r="R138" s="679"/>
      <c r="S138" s="679"/>
      <c r="T138" s="680"/>
      <c r="U138"/>
      <c r="V138"/>
      <c r="W138"/>
    </row>
    <row r="139" spans="1:25" ht="15.75">
      <c r="A139" s="379"/>
      <c r="B139" s="579"/>
      <c r="C139" s="580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  <c r="Q139" s="581"/>
      <c r="R139" s="581"/>
      <c r="S139" s="581"/>
      <c r="T139" s="582"/>
      <c r="U139"/>
      <c r="V139"/>
      <c r="W139"/>
    </row>
    <row r="140" spans="1:25" s="386" customFormat="1" ht="15.75">
      <c r="A140" s="387"/>
      <c r="B140" s="681"/>
      <c r="C140" s="383"/>
      <c r="D140" s="384"/>
      <c r="E140" s="384"/>
      <c r="F140" s="384"/>
      <c r="G140" s="384"/>
      <c r="H140" s="384"/>
      <c r="I140" s="384"/>
      <c r="J140" s="384"/>
      <c r="K140" s="384"/>
      <c r="L140" s="384"/>
      <c r="M140" s="384"/>
      <c r="N140" s="384"/>
      <c r="O140" s="384"/>
      <c r="P140" s="384"/>
      <c r="Q140" s="384"/>
      <c r="R140" s="384"/>
      <c r="S140" s="384"/>
      <c r="T140" s="385"/>
      <c r="U140"/>
      <c r="V140"/>
      <c r="W140"/>
      <c r="X140" s="3"/>
      <c r="Y140" s="3"/>
    </row>
    <row r="141" spans="1:25" ht="15.75">
      <c r="A141" s="673"/>
      <c r="B141" s="677"/>
      <c r="C141" s="678"/>
      <c r="D141" s="679"/>
      <c r="E141" s="679"/>
      <c r="F141" s="679"/>
      <c r="G141" s="679"/>
      <c r="H141" s="679"/>
      <c r="I141" s="679"/>
      <c r="J141" s="679"/>
      <c r="K141" s="679"/>
      <c r="L141" s="679"/>
      <c r="M141" s="679"/>
      <c r="N141" s="679"/>
      <c r="O141" s="679"/>
      <c r="P141" s="679"/>
      <c r="Q141" s="679"/>
      <c r="R141" s="679"/>
      <c r="S141" s="679"/>
      <c r="T141" s="680"/>
      <c r="U141"/>
      <c r="V141"/>
      <c r="W141"/>
    </row>
    <row r="142" spans="1:25" ht="15.75">
      <c r="A142" s="379"/>
      <c r="B142" s="579"/>
      <c r="C142" s="580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  <c r="Q142" s="581"/>
      <c r="R142" s="581"/>
      <c r="S142" s="581"/>
      <c r="T142" s="582"/>
      <c r="U142"/>
      <c r="V142"/>
      <c r="W142"/>
    </row>
    <row r="143" spans="1:25" s="386" customFormat="1" ht="15.75">
      <c r="A143" s="379"/>
      <c r="B143" s="681"/>
      <c r="C143" s="383"/>
      <c r="D143" s="384"/>
      <c r="E143" s="384"/>
      <c r="F143" s="384"/>
      <c r="G143" s="384"/>
      <c r="H143" s="384"/>
      <c r="I143" s="384"/>
      <c r="J143" s="384"/>
      <c r="K143" s="384"/>
      <c r="L143" s="384"/>
      <c r="M143" s="384"/>
      <c r="N143" s="384"/>
      <c r="O143" s="384"/>
      <c r="P143" s="384"/>
      <c r="Q143" s="384"/>
      <c r="R143" s="384"/>
      <c r="S143" s="384"/>
      <c r="T143" s="385"/>
      <c r="U143"/>
      <c r="V143"/>
      <c r="W143"/>
      <c r="X143" s="3"/>
      <c r="Y143" s="3"/>
    </row>
    <row r="144" spans="1:25" ht="15.75">
      <c r="A144" s="379"/>
      <c r="B144" s="677"/>
      <c r="C144" s="678"/>
      <c r="D144" s="679"/>
      <c r="E144" s="679"/>
      <c r="F144" s="679"/>
      <c r="G144" s="679"/>
      <c r="H144" s="679"/>
      <c r="I144" s="679"/>
      <c r="J144" s="679"/>
      <c r="K144" s="679"/>
      <c r="L144" s="679"/>
      <c r="M144" s="679"/>
      <c r="N144" s="679"/>
      <c r="O144" s="679"/>
      <c r="P144" s="679"/>
      <c r="Q144" s="679"/>
      <c r="R144" s="679"/>
      <c r="S144" s="679"/>
      <c r="T144" s="680"/>
      <c r="U144"/>
      <c r="V144"/>
      <c r="W144"/>
    </row>
    <row r="145" spans="1:25" ht="15.75">
      <c r="A145" s="379"/>
      <c r="B145" s="579"/>
      <c r="C145" s="580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  <c r="Q145" s="581"/>
      <c r="R145" s="581"/>
      <c r="S145" s="581"/>
      <c r="T145" s="582"/>
      <c r="U145"/>
      <c r="V145"/>
      <c r="W145"/>
    </row>
    <row r="146" spans="1:25" s="386" customFormat="1" ht="15.75">
      <c r="A146" s="379"/>
      <c r="B146" s="681"/>
      <c r="C146" s="383"/>
      <c r="D146" s="384"/>
      <c r="E146" s="384"/>
      <c r="F146" s="384"/>
      <c r="G146" s="384"/>
      <c r="H146" s="384"/>
      <c r="I146" s="384"/>
      <c r="J146" s="384"/>
      <c r="K146" s="384"/>
      <c r="L146" s="384"/>
      <c r="M146" s="384"/>
      <c r="N146" s="384"/>
      <c r="O146" s="384"/>
      <c r="P146" s="384"/>
      <c r="Q146" s="384"/>
      <c r="R146" s="384"/>
      <c r="S146" s="384"/>
      <c r="T146" s="385"/>
      <c r="U146"/>
      <c r="V146"/>
      <c r="W146"/>
      <c r="X146" s="3"/>
      <c r="Y146" s="3"/>
    </row>
    <row r="147" spans="1:25" ht="15.75">
      <c r="A147" s="379"/>
      <c r="B147" s="677"/>
      <c r="C147" s="678"/>
      <c r="D147" s="679"/>
      <c r="E147" s="679"/>
      <c r="F147" s="679"/>
      <c r="G147" s="679"/>
      <c r="H147" s="679"/>
      <c r="I147" s="679"/>
      <c r="J147" s="679"/>
      <c r="K147" s="679"/>
      <c r="L147" s="679"/>
      <c r="M147" s="679"/>
      <c r="N147" s="679"/>
      <c r="O147" s="679"/>
      <c r="P147" s="679"/>
      <c r="Q147" s="679"/>
      <c r="R147" s="679"/>
      <c r="S147" s="679"/>
      <c r="T147" s="680"/>
      <c r="U147"/>
      <c r="V147"/>
      <c r="W147"/>
    </row>
    <row r="148" spans="1:25" ht="15.75">
      <c r="A148" s="379"/>
      <c r="B148" s="579"/>
      <c r="C148" s="580"/>
      <c r="D148" s="581"/>
      <c r="E148" s="581"/>
      <c r="F148" s="581"/>
      <c r="G148" s="581"/>
      <c r="H148" s="581"/>
      <c r="I148" s="581"/>
      <c r="J148" s="581"/>
      <c r="K148" s="581"/>
      <c r="L148" s="581"/>
      <c r="M148" s="581"/>
      <c r="N148" s="581"/>
      <c r="O148" s="581"/>
      <c r="P148" s="581"/>
      <c r="Q148" s="581"/>
      <c r="R148" s="581"/>
      <c r="S148" s="581"/>
      <c r="T148" s="582"/>
      <c r="U148"/>
      <c r="V148"/>
      <c r="W148"/>
    </row>
    <row r="149" spans="1:25" s="386" customFormat="1" ht="15.75">
      <c r="A149" s="379"/>
      <c r="B149" s="681"/>
      <c r="C149" s="383"/>
      <c r="D149" s="384"/>
      <c r="E149" s="384"/>
      <c r="F149" s="384"/>
      <c r="G149" s="384"/>
      <c r="H149" s="384"/>
      <c r="I149" s="384"/>
      <c r="J149" s="384"/>
      <c r="K149" s="384"/>
      <c r="L149" s="384"/>
      <c r="M149" s="384"/>
      <c r="N149" s="384"/>
      <c r="O149" s="384"/>
      <c r="P149" s="384"/>
      <c r="Q149" s="384"/>
      <c r="R149" s="384"/>
      <c r="S149" s="384"/>
      <c r="T149" s="385"/>
      <c r="U149"/>
      <c r="V149"/>
      <c r="W149"/>
      <c r="X149" s="3"/>
      <c r="Y149" s="3"/>
    </row>
    <row r="150" spans="1:25" ht="15.75">
      <c r="A150" s="379"/>
      <c r="B150" s="677"/>
      <c r="C150" s="678"/>
      <c r="D150" s="679"/>
      <c r="E150" s="679"/>
      <c r="F150" s="679"/>
      <c r="G150" s="679"/>
      <c r="H150" s="679"/>
      <c r="I150" s="679"/>
      <c r="J150" s="679"/>
      <c r="K150" s="679"/>
      <c r="L150" s="679"/>
      <c r="M150" s="679"/>
      <c r="N150" s="679"/>
      <c r="O150" s="679"/>
      <c r="P150" s="679"/>
      <c r="Q150" s="679"/>
      <c r="R150" s="679"/>
      <c r="S150" s="679"/>
      <c r="T150" s="680"/>
      <c r="U150"/>
      <c r="V150"/>
      <c r="W150"/>
    </row>
    <row r="151" spans="1:25" ht="15.75">
      <c r="A151" s="379"/>
      <c r="B151" s="579"/>
      <c r="C151" s="580"/>
      <c r="D151" s="581"/>
      <c r="E151" s="581"/>
      <c r="F151" s="581"/>
      <c r="G151" s="581"/>
      <c r="H151" s="581"/>
      <c r="I151" s="581"/>
      <c r="J151" s="581"/>
      <c r="K151" s="581"/>
      <c r="L151" s="581"/>
      <c r="M151" s="581"/>
      <c r="N151" s="581"/>
      <c r="O151" s="581"/>
      <c r="P151" s="581"/>
      <c r="Q151" s="581"/>
      <c r="R151" s="581"/>
      <c r="S151" s="581"/>
      <c r="T151" s="582"/>
      <c r="U151"/>
      <c r="V151"/>
      <c r="W151"/>
    </row>
    <row r="152" spans="1:25" s="386" customFormat="1" ht="15.75">
      <c r="A152" s="379"/>
      <c r="B152" s="681"/>
      <c r="C152" s="383"/>
      <c r="D152" s="384"/>
      <c r="E152" s="384"/>
      <c r="F152" s="384"/>
      <c r="G152" s="384"/>
      <c r="H152" s="384"/>
      <c r="I152" s="384"/>
      <c r="J152" s="384"/>
      <c r="K152" s="384"/>
      <c r="L152" s="384"/>
      <c r="M152" s="384"/>
      <c r="N152" s="384"/>
      <c r="O152" s="384"/>
      <c r="P152" s="384"/>
      <c r="Q152" s="384"/>
      <c r="R152" s="384"/>
      <c r="S152" s="384"/>
      <c r="T152" s="385"/>
      <c r="U152"/>
      <c r="V152"/>
      <c r="W152"/>
      <c r="X152" s="3"/>
      <c r="Y152" s="3"/>
    </row>
    <row r="153" spans="1:25" ht="15.75">
      <c r="A153" s="379"/>
      <c r="B153" s="677"/>
      <c r="C153" s="678"/>
      <c r="D153" s="679"/>
      <c r="E153" s="679"/>
      <c r="F153" s="679"/>
      <c r="G153" s="679"/>
      <c r="H153" s="679"/>
      <c r="I153" s="679"/>
      <c r="J153" s="679"/>
      <c r="K153" s="679"/>
      <c r="L153" s="679"/>
      <c r="M153" s="679"/>
      <c r="N153" s="679"/>
      <c r="O153" s="679"/>
      <c r="P153" s="679"/>
      <c r="Q153" s="679"/>
      <c r="R153" s="679"/>
      <c r="S153" s="679"/>
      <c r="T153" s="680"/>
      <c r="U153"/>
      <c r="V153"/>
      <c r="W153"/>
    </row>
    <row r="154" spans="1:25" ht="15.75">
      <c r="A154" s="379"/>
      <c r="B154" s="579"/>
      <c r="C154" s="580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  <c r="Q154" s="581"/>
      <c r="R154" s="581"/>
      <c r="S154" s="581"/>
      <c r="T154" s="582"/>
      <c r="U154"/>
      <c r="V154"/>
      <c r="W154"/>
    </row>
    <row r="155" spans="1:25" s="386" customFormat="1" ht="15.75">
      <c r="A155" s="387"/>
      <c r="B155" s="681"/>
      <c r="C155" s="383"/>
      <c r="D155" s="384"/>
      <c r="E155" s="384"/>
      <c r="F155" s="384"/>
      <c r="G155" s="384"/>
      <c r="H155" s="384"/>
      <c r="I155" s="384"/>
      <c r="J155" s="384"/>
      <c r="K155" s="384"/>
      <c r="L155" s="384"/>
      <c r="M155" s="384"/>
      <c r="N155" s="384"/>
      <c r="O155" s="384"/>
      <c r="P155" s="384"/>
      <c r="Q155" s="384"/>
      <c r="R155" s="384"/>
      <c r="S155" s="384"/>
      <c r="T155" s="385"/>
      <c r="U155"/>
      <c r="V155"/>
      <c r="W155"/>
      <c r="X155" s="3"/>
      <c r="Y155" s="3"/>
    </row>
    <row r="156" spans="1:25" ht="15.75">
      <c r="A156" s="673"/>
      <c r="B156" s="677"/>
      <c r="C156" s="678"/>
      <c r="D156" s="679"/>
      <c r="E156" s="679"/>
      <c r="F156" s="679"/>
      <c r="G156" s="679"/>
      <c r="H156" s="679"/>
      <c r="I156" s="679"/>
      <c r="J156" s="679"/>
      <c r="K156" s="679"/>
      <c r="L156" s="679"/>
      <c r="M156" s="679"/>
      <c r="N156" s="679"/>
      <c r="O156" s="679"/>
      <c r="P156" s="679"/>
      <c r="Q156" s="679"/>
      <c r="R156" s="679"/>
      <c r="S156" s="679"/>
      <c r="T156" s="680"/>
      <c r="U156"/>
      <c r="V156"/>
      <c r="W156"/>
    </row>
    <row r="157" spans="1:25" ht="15.75">
      <c r="A157" s="379"/>
      <c r="B157" s="579"/>
      <c r="C157" s="580"/>
      <c r="D157" s="581"/>
      <c r="E157" s="581"/>
      <c r="F157" s="581"/>
      <c r="G157" s="581"/>
      <c r="H157" s="581"/>
      <c r="I157" s="581"/>
      <c r="J157" s="581"/>
      <c r="K157" s="581"/>
      <c r="L157" s="581"/>
      <c r="M157" s="581"/>
      <c r="N157" s="581"/>
      <c r="O157" s="581"/>
      <c r="P157" s="581"/>
      <c r="Q157" s="581"/>
      <c r="R157" s="581"/>
      <c r="S157" s="581"/>
      <c r="T157" s="582"/>
      <c r="U157"/>
      <c r="V157"/>
      <c r="W157"/>
    </row>
    <row r="158" spans="1:25" s="386" customFormat="1" ht="15.75">
      <c r="A158" s="379"/>
      <c r="B158" s="681"/>
      <c r="C158" s="383"/>
      <c r="D158" s="384"/>
      <c r="E158" s="384"/>
      <c r="F158" s="384"/>
      <c r="G158" s="384"/>
      <c r="H158" s="384"/>
      <c r="I158" s="384"/>
      <c r="J158" s="384"/>
      <c r="K158" s="384"/>
      <c r="L158" s="384"/>
      <c r="M158" s="384"/>
      <c r="N158" s="384"/>
      <c r="O158" s="384"/>
      <c r="P158" s="384"/>
      <c r="Q158" s="384"/>
      <c r="R158" s="384"/>
      <c r="S158" s="384"/>
      <c r="T158" s="385"/>
      <c r="U158"/>
      <c r="V158"/>
      <c r="W158"/>
      <c r="X158" s="3"/>
      <c r="Y158" s="3"/>
    </row>
    <row r="159" spans="1:25" ht="15.75">
      <c r="A159" s="379"/>
      <c r="B159" s="677"/>
      <c r="C159" s="678"/>
      <c r="D159" s="679"/>
      <c r="E159" s="679"/>
      <c r="F159" s="679"/>
      <c r="G159" s="679"/>
      <c r="H159" s="679"/>
      <c r="I159" s="679"/>
      <c r="J159" s="679"/>
      <c r="K159" s="679"/>
      <c r="L159" s="679"/>
      <c r="M159" s="679"/>
      <c r="N159" s="679"/>
      <c r="O159" s="679"/>
      <c r="P159" s="679"/>
      <c r="Q159" s="679"/>
      <c r="R159" s="679"/>
      <c r="S159" s="679"/>
      <c r="T159" s="680"/>
      <c r="U159"/>
      <c r="V159"/>
      <c r="W159"/>
    </row>
    <row r="160" spans="1:25" ht="15.75">
      <c r="A160" s="379"/>
      <c r="B160" s="579"/>
      <c r="C160" s="580"/>
      <c r="D160" s="581"/>
      <c r="E160" s="581"/>
      <c r="F160" s="581"/>
      <c r="G160" s="581"/>
      <c r="H160" s="581"/>
      <c r="I160" s="581"/>
      <c r="J160" s="581"/>
      <c r="K160" s="581"/>
      <c r="L160" s="581"/>
      <c r="M160" s="581"/>
      <c r="N160" s="581"/>
      <c r="O160" s="581"/>
      <c r="P160" s="581"/>
      <c r="Q160" s="581"/>
      <c r="R160" s="581"/>
      <c r="S160" s="581"/>
      <c r="T160" s="582"/>
      <c r="U160"/>
      <c r="V160"/>
      <c r="W160"/>
    </row>
    <row r="161" spans="1:25" s="386" customFormat="1" ht="15.75">
      <c r="A161" s="379"/>
      <c r="B161" s="681"/>
      <c r="C161" s="383"/>
      <c r="D161" s="384"/>
      <c r="E161" s="384"/>
      <c r="F161" s="384"/>
      <c r="G161" s="384"/>
      <c r="H161" s="384"/>
      <c r="I161" s="384"/>
      <c r="J161" s="384"/>
      <c r="K161" s="384"/>
      <c r="L161" s="384"/>
      <c r="M161" s="384"/>
      <c r="N161" s="384"/>
      <c r="O161" s="384"/>
      <c r="P161" s="384"/>
      <c r="Q161" s="384"/>
      <c r="R161" s="384"/>
      <c r="S161" s="384"/>
      <c r="T161" s="385"/>
      <c r="U161"/>
      <c r="V161"/>
      <c r="W161"/>
      <c r="X161" s="3"/>
      <c r="Y161" s="3"/>
    </row>
    <row r="162" spans="1:25" ht="15.75">
      <c r="A162" s="379"/>
      <c r="B162" s="677"/>
      <c r="C162" s="678"/>
      <c r="D162" s="679"/>
      <c r="E162" s="679"/>
      <c r="F162" s="679"/>
      <c r="G162" s="679"/>
      <c r="H162" s="679"/>
      <c r="I162" s="679"/>
      <c r="J162" s="679"/>
      <c r="K162" s="679"/>
      <c r="L162" s="679"/>
      <c r="M162" s="679"/>
      <c r="N162" s="679"/>
      <c r="O162" s="679"/>
      <c r="P162" s="679"/>
      <c r="Q162" s="679"/>
      <c r="R162" s="679"/>
      <c r="S162" s="679"/>
      <c r="T162" s="680"/>
      <c r="U162"/>
      <c r="V162"/>
      <c r="W162"/>
    </row>
    <row r="163" spans="1:25" ht="15.75">
      <c r="A163" s="379"/>
      <c r="B163" s="579"/>
      <c r="C163" s="580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  <c r="Q163" s="581"/>
      <c r="R163" s="581"/>
      <c r="S163" s="581"/>
      <c r="T163" s="582"/>
      <c r="U163"/>
      <c r="V163"/>
      <c r="W163"/>
    </row>
    <row r="164" spans="1:25" s="386" customFormat="1" ht="15.75">
      <c r="A164" s="379"/>
      <c r="B164" s="681"/>
      <c r="C164" s="383"/>
      <c r="D164" s="384"/>
      <c r="E164" s="384"/>
      <c r="F164" s="384"/>
      <c r="G164" s="384"/>
      <c r="H164" s="384"/>
      <c r="I164" s="384"/>
      <c r="J164" s="384"/>
      <c r="K164" s="384"/>
      <c r="L164" s="384"/>
      <c r="M164" s="384"/>
      <c r="N164" s="384"/>
      <c r="O164" s="384"/>
      <c r="P164" s="384"/>
      <c r="Q164" s="384"/>
      <c r="R164" s="384"/>
      <c r="S164" s="384"/>
      <c r="T164" s="385"/>
      <c r="U164"/>
      <c r="V164"/>
      <c r="W164"/>
      <c r="X164" s="3"/>
      <c r="Y164" s="3"/>
    </row>
    <row r="165" spans="1:25" ht="15.75">
      <c r="A165" s="379"/>
      <c r="B165" s="677"/>
      <c r="C165" s="678"/>
      <c r="D165" s="679"/>
      <c r="E165" s="679"/>
      <c r="F165" s="679"/>
      <c r="G165" s="679"/>
      <c r="H165" s="679"/>
      <c r="I165" s="679"/>
      <c r="J165" s="679"/>
      <c r="K165" s="679"/>
      <c r="L165" s="679"/>
      <c r="M165" s="679"/>
      <c r="N165" s="679"/>
      <c r="O165" s="679"/>
      <c r="P165" s="679"/>
      <c r="Q165" s="679"/>
      <c r="R165" s="679"/>
      <c r="S165" s="679"/>
      <c r="T165" s="680"/>
      <c r="U165"/>
      <c r="V165"/>
      <c r="W165"/>
    </row>
    <row r="166" spans="1:25" ht="15.75">
      <c r="A166" s="379"/>
      <c r="B166" s="579"/>
      <c r="C166" s="580"/>
      <c r="D166" s="581"/>
      <c r="E166" s="581"/>
      <c r="F166" s="581"/>
      <c r="G166" s="581"/>
      <c r="H166" s="581"/>
      <c r="I166" s="581"/>
      <c r="J166" s="581"/>
      <c r="K166" s="581"/>
      <c r="L166" s="581"/>
      <c r="M166" s="581"/>
      <c r="N166" s="581"/>
      <c r="O166" s="581"/>
      <c r="P166" s="581"/>
      <c r="Q166" s="581"/>
      <c r="R166" s="581"/>
      <c r="S166" s="581"/>
      <c r="T166" s="582"/>
      <c r="U166"/>
      <c r="V166"/>
      <c r="W166"/>
    </row>
    <row r="167" spans="1:25" s="386" customFormat="1" ht="15.75">
      <c r="A167" s="379"/>
      <c r="B167" s="681"/>
      <c r="C167" s="383"/>
      <c r="D167" s="384"/>
      <c r="E167" s="384"/>
      <c r="F167" s="384"/>
      <c r="G167" s="384"/>
      <c r="H167" s="384"/>
      <c r="I167" s="384"/>
      <c r="J167" s="384"/>
      <c r="K167" s="384"/>
      <c r="L167" s="384"/>
      <c r="M167" s="384"/>
      <c r="N167" s="384"/>
      <c r="O167" s="384"/>
      <c r="P167" s="384"/>
      <c r="Q167" s="384"/>
      <c r="R167" s="384"/>
      <c r="S167" s="384"/>
      <c r="T167" s="385"/>
      <c r="U167"/>
      <c r="V167"/>
      <c r="W167"/>
      <c r="X167" s="3"/>
      <c r="Y167" s="3"/>
    </row>
    <row r="168" spans="1:25" ht="15.75">
      <c r="A168" s="379"/>
      <c r="B168" s="677"/>
      <c r="C168" s="678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  <c r="O168" s="679"/>
      <c r="P168" s="679"/>
      <c r="Q168" s="679"/>
      <c r="R168" s="679"/>
      <c r="S168" s="679"/>
      <c r="T168" s="680"/>
      <c r="U168"/>
      <c r="V168"/>
      <c r="W168"/>
    </row>
    <row r="169" spans="1:25" ht="15.75">
      <c r="A169" s="379"/>
      <c r="B169" s="579"/>
      <c r="C169" s="580"/>
      <c r="D169" s="581"/>
      <c r="E169" s="581"/>
      <c r="F169" s="581"/>
      <c r="G169" s="581"/>
      <c r="H169" s="581"/>
      <c r="I169" s="581"/>
      <c r="J169" s="581"/>
      <c r="K169" s="581"/>
      <c r="L169" s="581"/>
      <c r="M169" s="581"/>
      <c r="N169" s="581"/>
      <c r="O169" s="581"/>
      <c r="P169" s="581"/>
      <c r="Q169" s="581"/>
      <c r="R169" s="581"/>
      <c r="S169" s="581"/>
      <c r="T169" s="582"/>
      <c r="U169"/>
      <c r="V169"/>
      <c r="W169"/>
    </row>
    <row r="170" spans="1:25" s="386" customFormat="1" ht="15.75">
      <c r="A170" s="387"/>
      <c r="B170" s="681"/>
      <c r="C170" s="383"/>
      <c r="D170" s="384"/>
      <c r="E170" s="384"/>
      <c r="F170" s="384"/>
      <c r="G170" s="384"/>
      <c r="H170" s="384"/>
      <c r="I170" s="384"/>
      <c r="J170" s="384"/>
      <c r="K170" s="384"/>
      <c r="L170" s="384"/>
      <c r="M170" s="384"/>
      <c r="N170" s="384"/>
      <c r="O170" s="384"/>
      <c r="P170" s="384"/>
      <c r="Q170" s="384"/>
      <c r="R170" s="384"/>
      <c r="S170" s="384"/>
      <c r="T170" s="385"/>
      <c r="U170"/>
      <c r="V170"/>
      <c r="W170"/>
      <c r="X170" s="3"/>
      <c r="Y170" s="3"/>
    </row>
    <row r="171" spans="1:25" ht="15.75">
      <c r="A171" s="673"/>
      <c r="B171" s="677"/>
      <c r="C171" s="678"/>
      <c r="D171" s="679"/>
      <c r="E171" s="679"/>
      <c r="F171" s="679"/>
      <c r="G171" s="679"/>
      <c r="H171" s="679"/>
      <c r="I171" s="679"/>
      <c r="J171" s="679"/>
      <c r="K171" s="679"/>
      <c r="L171" s="679"/>
      <c r="M171" s="679"/>
      <c r="N171" s="679"/>
      <c r="O171" s="679"/>
      <c r="P171" s="679"/>
      <c r="Q171" s="679"/>
      <c r="R171" s="679"/>
      <c r="S171" s="679"/>
      <c r="T171" s="680"/>
      <c r="U171"/>
      <c r="V171"/>
      <c r="W171"/>
    </row>
    <row r="172" spans="1:25" ht="15.75">
      <c r="A172" s="379"/>
      <c r="B172" s="579"/>
      <c r="C172" s="580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  <c r="Q172" s="581"/>
      <c r="R172" s="581"/>
      <c r="S172" s="581"/>
      <c r="T172" s="582"/>
      <c r="U172"/>
      <c r="V172"/>
      <c r="W172"/>
    </row>
    <row r="173" spans="1:25" s="386" customFormat="1" ht="15.75">
      <c r="A173" s="379"/>
      <c r="B173" s="681"/>
      <c r="C173" s="383"/>
      <c r="D173" s="384"/>
      <c r="E173" s="384"/>
      <c r="F173" s="384"/>
      <c r="G173" s="384"/>
      <c r="H173" s="384"/>
      <c r="I173" s="384"/>
      <c r="J173" s="384"/>
      <c r="K173" s="384"/>
      <c r="L173" s="384"/>
      <c r="M173" s="384"/>
      <c r="N173" s="384"/>
      <c r="O173" s="384"/>
      <c r="P173" s="384"/>
      <c r="Q173" s="384"/>
      <c r="R173" s="384"/>
      <c r="S173" s="384"/>
      <c r="T173" s="385"/>
      <c r="U173"/>
      <c r="V173"/>
      <c r="W173"/>
      <c r="X173" s="3"/>
      <c r="Y173" s="3"/>
    </row>
    <row r="174" spans="1:25" ht="15.75">
      <c r="A174" s="379"/>
      <c r="B174" s="677"/>
      <c r="C174" s="678"/>
      <c r="D174" s="679"/>
      <c r="E174" s="679"/>
      <c r="F174" s="679"/>
      <c r="G174" s="679"/>
      <c r="H174" s="679"/>
      <c r="I174" s="679"/>
      <c r="J174" s="679"/>
      <c r="K174" s="679"/>
      <c r="L174" s="679"/>
      <c r="M174" s="679"/>
      <c r="N174" s="679"/>
      <c r="O174" s="679"/>
      <c r="P174" s="679"/>
      <c r="Q174" s="679"/>
      <c r="R174" s="679"/>
      <c r="S174" s="679"/>
      <c r="T174" s="680"/>
      <c r="U174"/>
      <c r="V174"/>
      <c r="W174"/>
    </row>
    <row r="175" spans="1:25" ht="15.75">
      <c r="A175" s="379"/>
      <c r="B175" s="579"/>
      <c r="C175" s="580"/>
      <c r="D175" s="581"/>
      <c r="E175" s="581"/>
      <c r="F175" s="581"/>
      <c r="G175" s="581"/>
      <c r="H175" s="581"/>
      <c r="I175" s="581"/>
      <c r="J175" s="581"/>
      <c r="K175" s="581"/>
      <c r="L175" s="581"/>
      <c r="M175" s="581"/>
      <c r="N175" s="581"/>
      <c r="O175" s="581"/>
      <c r="P175" s="581"/>
      <c r="Q175" s="581"/>
      <c r="R175" s="581"/>
      <c r="S175" s="581"/>
      <c r="T175" s="582"/>
      <c r="U175"/>
      <c r="V175"/>
      <c r="W175"/>
    </row>
    <row r="176" spans="1:25" s="386" customFormat="1" ht="15.75">
      <c r="A176" s="379"/>
      <c r="B176" s="681"/>
      <c r="C176" s="383"/>
      <c r="D176" s="384"/>
      <c r="E176" s="384"/>
      <c r="F176" s="384"/>
      <c r="G176" s="384"/>
      <c r="H176" s="384"/>
      <c r="I176" s="384"/>
      <c r="J176" s="384"/>
      <c r="K176" s="384"/>
      <c r="L176" s="384"/>
      <c r="M176" s="384"/>
      <c r="N176" s="384"/>
      <c r="O176" s="384"/>
      <c r="P176" s="384"/>
      <c r="Q176" s="384"/>
      <c r="R176" s="384"/>
      <c r="S176" s="384"/>
      <c r="T176" s="385"/>
      <c r="U176"/>
      <c r="V176"/>
      <c r="W176"/>
      <c r="X176" s="3"/>
      <c r="Y176" s="3"/>
    </row>
    <row r="177" spans="1:25" ht="15.75">
      <c r="A177" s="379"/>
      <c r="B177" s="677"/>
      <c r="C177" s="678"/>
      <c r="D177" s="679"/>
      <c r="E177" s="679"/>
      <c r="F177" s="679"/>
      <c r="G177" s="679"/>
      <c r="H177" s="679"/>
      <c r="I177" s="679"/>
      <c r="J177" s="679"/>
      <c r="K177" s="679"/>
      <c r="L177" s="679"/>
      <c r="M177" s="679"/>
      <c r="N177" s="679"/>
      <c r="O177" s="679"/>
      <c r="P177" s="679"/>
      <c r="Q177" s="679"/>
      <c r="R177" s="679"/>
      <c r="S177" s="679"/>
      <c r="T177" s="680"/>
      <c r="U177"/>
      <c r="V177"/>
      <c r="W177"/>
    </row>
    <row r="178" spans="1:25" ht="15.75">
      <c r="A178" s="379"/>
      <c r="B178" s="579"/>
      <c r="C178" s="580"/>
      <c r="D178" s="581"/>
      <c r="E178" s="581"/>
      <c r="F178" s="581"/>
      <c r="G178" s="581"/>
      <c r="H178" s="581"/>
      <c r="I178" s="581"/>
      <c r="J178" s="581"/>
      <c r="K178" s="581"/>
      <c r="L178" s="581"/>
      <c r="M178" s="581"/>
      <c r="N178" s="581"/>
      <c r="O178" s="581"/>
      <c r="P178" s="581"/>
      <c r="Q178" s="581"/>
      <c r="R178" s="581"/>
      <c r="S178" s="581"/>
      <c r="T178" s="582"/>
      <c r="U178"/>
      <c r="V178"/>
      <c r="W178"/>
    </row>
    <row r="179" spans="1:25" s="386" customFormat="1" ht="15.75">
      <c r="A179" s="379"/>
      <c r="B179" s="681"/>
      <c r="C179" s="383"/>
      <c r="D179" s="384"/>
      <c r="E179" s="384"/>
      <c r="F179" s="384"/>
      <c r="G179" s="384"/>
      <c r="H179" s="384"/>
      <c r="I179" s="384"/>
      <c r="J179" s="384"/>
      <c r="K179" s="384"/>
      <c r="L179" s="384"/>
      <c r="M179" s="384"/>
      <c r="N179" s="384"/>
      <c r="O179" s="384"/>
      <c r="P179" s="384"/>
      <c r="Q179" s="384"/>
      <c r="R179" s="384"/>
      <c r="S179" s="384"/>
      <c r="T179" s="385"/>
      <c r="U179"/>
      <c r="V179"/>
      <c r="W179"/>
      <c r="X179" s="3"/>
      <c r="Y179" s="3"/>
    </row>
    <row r="180" spans="1:25" ht="15.75">
      <c r="A180" s="379"/>
      <c r="B180" s="677"/>
      <c r="C180" s="678"/>
      <c r="D180" s="679"/>
      <c r="E180" s="679"/>
      <c r="F180" s="679"/>
      <c r="G180" s="679"/>
      <c r="H180" s="679"/>
      <c r="I180" s="679"/>
      <c r="J180" s="679"/>
      <c r="K180" s="679"/>
      <c r="L180" s="679"/>
      <c r="M180" s="679"/>
      <c r="N180" s="679"/>
      <c r="O180" s="679"/>
      <c r="P180" s="679"/>
      <c r="Q180" s="679"/>
      <c r="R180" s="679"/>
      <c r="S180" s="679"/>
      <c r="T180" s="680"/>
      <c r="U180"/>
      <c r="V180"/>
      <c r="W180"/>
    </row>
    <row r="181" spans="1:25" ht="15.75">
      <c r="A181" s="379"/>
      <c r="B181" s="579"/>
      <c r="C181" s="580"/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  <c r="Q181" s="581"/>
      <c r="R181" s="581"/>
      <c r="S181" s="581"/>
      <c r="T181" s="582"/>
      <c r="U181"/>
      <c r="V181"/>
      <c r="W181"/>
    </row>
    <row r="182" spans="1:25" s="386" customFormat="1" ht="15.75">
      <c r="A182" s="379"/>
      <c r="B182" s="681"/>
      <c r="C182" s="383"/>
      <c r="D182" s="384"/>
      <c r="E182" s="384"/>
      <c r="F182" s="384"/>
      <c r="G182" s="384"/>
      <c r="H182" s="384"/>
      <c r="I182" s="384"/>
      <c r="J182" s="384"/>
      <c r="K182" s="384"/>
      <c r="L182" s="384"/>
      <c r="M182" s="384"/>
      <c r="N182" s="384"/>
      <c r="O182" s="384"/>
      <c r="P182" s="384"/>
      <c r="Q182" s="384"/>
      <c r="R182" s="384"/>
      <c r="S182" s="384"/>
      <c r="T182" s="385"/>
      <c r="U182"/>
      <c r="V182"/>
      <c r="W182"/>
      <c r="X182" s="3"/>
      <c r="Y182" s="3"/>
    </row>
    <row r="183" spans="1:25" ht="15.75">
      <c r="A183" s="379"/>
      <c r="B183" s="677"/>
      <c r="C183" s="678"/>
      <c r="D183" s="679"/>
      <c r="E183" s="679"/>
      <c r="F183" s="679"/>
      <c r="G183" s="679"/>
      <c r="H183" s="679"/>
      <c r="I183" s="679"/>
      <c r="J183" s="679"/>
      <c r="K183" s="679"/>
      <c r="L183" s="679"/>
      <c r="M183" s="679"/>
      <c r="N183" s="679"/>
      <c r="O183" s="679"/>
      <c r="P183" s="679"/>
      <c r="Q183" s="679"/>
      <c r="R183" s="679"/>
      <c r="S183" s="679"/>
      <c r="T183" s="680"/>
      <c r="U183"/>
      <c r="V183"/>
      <c r="W183"/>
    </row>
    <row r="184" spans="1:25" ht="15.75">
      <c r="A184" s="379"/>
      <c r="B184" s="579"/>
      <c r="C184" s="580"/>
      <c r="D184" s="581"/>
      <c r="E184" s="581"/>
      <c r="F184" s="581"/>
      <c r="G184" s="581"/>
      <c r="H184" s="581"/>
      <c r="I184" s="581"/>
      <c r="J184" s="581"/>
      <c r="K184" s="581"/>
      <c r="L184" s="581"/>
      <c r="M184" s="581"/>
      <c r="N184" s="581"/>
      <c r="O184" s="581"/>
      <c r="P184" s="581"/>
      <c r="Q184" s="581"/>
      <c r="R184" s="581"/>
      <c r="S184" s="581"/>
      <c r="T184" s="582"/>
      <c r="U184"/>
      <c r="V184"/>
      <c r="W184"/>
    </row>
    <row r="185" spans="1:25" s="386" customFormat="1" ht="15.75">
      <c r="A185" s="387"/>
      <c r="B185" s="681"/>
      <c r="C185" s="383"/>
      <c r="D185" s="384"/>
      <c r="E185" s="384"/>
      <c r="F185" s="384"/>
      <c r="G185" s="384"/>
      <c r="H185" s="384"/>
      <c r="I185" s="384"/>
      <c r="J185" s="384"/>
      <c r="K185" s="384"/>
      <c r="L185" s="384"/>
      <c r="M185" s="384"/>
      <c r="N185" s="384"/>
      <c r="O185" s="384"/>
      <c r="P185" s="384"/>
      <c r="Q185" s="384"/>
      <c r="R185" s="384"/>
      <c r="S185" s="384"/>
      <c r="T185" s="385"/>
      <c r="U185"/>
      <c r="V185"/>
      <c r="W185"/>
      <c r="X185" s="3"/>
      <c r="Y185" s="3"/>
    </row>
    <row r="186" spans="1:25" ht="15.75">
      <c r="A186" s="673"/>
      <c r="B186" s="677"/>
      <c r="C186" s="678"/>
      <c r="D186" s="679"/>
      <c r="E186" s="679"/>
      <c r="F186" s="679"/>
      <c r="G186" s="679"/>
      <c r="H186" s="679"/>
      <c r="I186" s="679"/>
      <c r="J186" s="679"/>
      <c r="K186" s="679"/>
      <c r="L186" s="679"/>
      <c r="M186" s="679"/>
      <c r="N186" s="679"/>
      <c r="O186" s="679"/>
      <c r="P186" s="679"/>
      <c r="Q186" s="679"/>
      <c r="R186" s="679"/>
      <c r="S186" s="679"/>
      <c r="T186" s="680"/>
      <c r="U186"/>
      <c r="V186"/>
      <c r="W186"/>
    </row>
    <row r="187" spans="1:25" ht="15.75">
      <c r="A187" s="379"/>
      <c r="B187" s="579"/>
      <c r="C187" s="580"/>
      <c r="D187" s="581"/>
      <c r="E187" s="581"/>
      <c r="F187" s="581"/>
      <c r="G187" s="581"/>
      <c r="H187" s="581"/>
      <c r="I187" s="581"/>
      <c r="J187" s="581"/>
      <c r="K187" s="581"/>
      <c r="L187" s="581"/>
      <c r="M187" s="581"/>
      <c r="N187" s="581"/>
      <c r="O187" s="581"/>
      <c r="P187" s="581"/>
      <c r="Q187" s="581"/>
      <c r="R187" s="581"/>
      <c r="S187" s="581"/>
      <c r="T187" s="582"/>
      <c r="U187"/>
      <c r="V187"/>
      <c r="W187"/>
    </row>
    <row r="188" spans="1:25" s="386" customFormat="1" ht="15.75">
      <c r="A188" s="379"/>
      <c r="B188" s="681"/>
      <c r="C188" s="383"/>
      <c r="D188" s="384"/>
      <c r="E188" s="384"/>
      <c r="F188" s="384"/>
      <c r="G188" s="384"/>
      <c r="H188" s="384"/>
      <c r="I188" s="384"/>
      <c r="J188" s="384"/>
      <c r="K188" s="384"/>
      <c r="L188" s="384"/>
      <c r="M188" s="384"/>
      <c r="N188" s="384"/>
      <c r="O188" s="384"/>
      <c r="P188" s="384"/>
      <c r="Q188" s="384"/>
      <c r="R188" s="384"/>
      <c r="S188" s="384"/>
      <c r="T188" s="385"/>
      <c r="U188"/>
      <c r="V188"/>
      <c r="W188"/>
      <c r="X188" s="3"/>
      <c r="Y188" s="3"/>
    </row>
    <row r="189" spans="1:25" ht="15.75">
      <c r="A189" s="379"/>
      <c r="B189" s="677"/>
      <c r="C189" s="678"/>
      <c r="D189" s="679"/>
      <c r="E189" s="679"/>
      <c r="F189" s="679"/>
      <c r="G189" s="679"/>
      <c r="H189" s="679"/>
      <c r="I189" s="679"/>
      <c r="J189" s="679"/>
      <c r="K189" s="679"/>
      <c r="L189" s="679"/>
      <c r="M189" s="679"/>
      <c r="N189" s="679"/>
      <c r="O189" s="679"/>
      <c r="P189" s="679"/>
      <c r="Q189" s="679"/>
      <c r="R189" s="679"/>
      <c r="S189" s="679"/>
      <c r="T189" s="680"/>
      <c r="U189"/>
      <c r="V189"/>
      <c r="W189"/>
    </row>
    <row r="190" spans="1:25" ht="15.75">
      <c r="A190" s="379"/>
      <c r="B190" s="579"/>
      <c r="C190" s="580"/>
      <c r="D190" s="581"/>
      <c r="E190" s="581"/>
      <c r="F190" s="581"/>
      <c r="G190" s="581"/>
      <c r="H190" s="581"/>
      <c r="I190" s="581"/>
      <c r="J190" s="581"/>
      <c r="K190" s="581"/>
      <c r="L190" s="581"/>
      <c r="M190" s="581"/>
      <c r="N190" s="581"/>
      <c r="O190" s="581"/>
      <c r="P190" s="581"/>
      <c r="Q190" s="581"/>
      <c r="R190" s="581"/>
      <c r="S190" s="581"/>
      <c r="T190" s="582"/>
      <c r="U190"/>
      <c r="V190"/>
      <c r="W190"/>
    </row>
    <row r="191" spans="1:25" s="386" customFormat="1" ht="15.75">
      <c r="A191" s="379"/>
      <c r="B191" s="681"/>
      <c r="C191" s="383"/>
      <c r="D191" s="384"/>
      <c r="E191" s="384"/>
      <c r="F191" s="384"/>
      <c r="G191" s="384"/>
      <c r="H191" s="384"/>
      <c r="I191" s="384"/>
      <c r="J191" s="384"/>
      <c r="K191" s="384"/>
      <c r="L191" s="384"/>
      <c r="M191" s="384"/>
      <c r="N191" s="384"/>
      <c r="O191" s="384"/>
      <c r="P191" s="384"/>
      <c r="Q191" s="384"/>
      <c r="R191" s="384"/>
      <c r="S191" s="384"/>
      <c r="T191" s="385"/>
      <c r="U191"/>
      <c r="V191"/>
      <c r="W191"/>
      <c r="X191" s="3"/>
      <c r="Y191" s="3"/>
    </row>
    <row r="192" spans="1:25" ht="15.75">
      <c r="A192" s="379"/>
      <c r="B192" s="677"/>
      <c r="C192" s="678"/>
      <c r="D192" s="679"/>
      <c r="E192" s="679"/>
      <c r="F192" s="679"/>
      <c r="G192" s="679"/>
      <c r="H192" s="679"/>
      <c r="I192" s="679"/>
      <c r="J192" s="679"/>
      <c r="K192" s="679"/>
      <c r="L192" s="679"/>
      <c r="M192" s="679"/>
      <c r="N192" s="679"/>
      <c r="O192" s="679"/>
      <c r="P192" s="679"/>
      <c r="Q192" s="679"/>
      <c r="R192" s="679"/>
      <c r="S192" s="679"/>
      <c r="T192" s="680"/>
      <c r="U192"/>
      <c r="V192"/>
      <c r="W192"/>
    </row>
    <row r="193" spans="1:25" ht="15.75">
      <c r="A193" s="379"/>
      <c r="B193" s="579"/>
      <c r="C193" s="580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  <c r="Q193" s="581"/>
      <c r="R193" s="581"/>
      <c r="S193" s="581"/>
      <c r="T193" s="582"/>
      <c r="U193"/>
      <c r="V193"/>
      <c r="W193"/>
    </row>
    <row r="194" spans="1:25" s="386" customFormat="1" ht="15.75">
      <c r="A194" s="379"/>
      <c r="B194" s="681"/>
      <c r="C194" s="383"/>
      <c r="D194" s="384"/>
      <c r="E194" s="384"/>
      <c r="F194" s="384"/>
      <c r="G194" s="384"/>
      <c r="H194" s="384"/>
      <c r="I194" s="384"/>
      <c r="J194" s="384"/>
      <c r="K194" s="384"/>
      <c r="L194" s="384"/>
      <c r="M194" s="384"/>
      <c r="N194" s="384"/>
      <c r="O194" s="384"/>
      <c r="P194" s="384"/>
      <c r="Q194" s="384"/>
      <c r="R194" s="384"/>
      <c r="S194" s="384"/>
      <c r="T194" s="385"/>
      <c r="U194"/>
      <c r="V194"/>
      <c r="W194"/>
      <c r="X194" s="3"/>
      <c r="Y194" s="3"/>
    </row>
    <row r="195" spans="1:25" ht="15.75">
      <c r="A195" s="379"/>
      <c r="B195" s="677"/>
      <c r="C195" s="678"/>
      <c r="D195" s="679"/>
      <c r="E195" s="679"/>
      <c r="F195" s="679"/>
      <c r="G195" s="679"/>
      <c r="H195" s="679"/>
      <c r="I195" s="679"/>
      <c r="J195" s="679"/>
      <c r="K195" s="679"/>
      <c r="L195" s="679"/>
      <c r="M195" s="679"/>
      <c r="N195" s="679"/>
      <c r="O195" s="679"/>
      <c r="P195" s="679"/>
      <c r="Q195" s="679"/>
      <c r="R195" s="679"/>
      <c r="S195" s="679"/>
      <c r="T195" s="680"/>
      <c r="U195"/>
      <c r="V195"/>
      <c r="W195"/>
    </row>
    <row r="196" spans="1:25" ht="15.75">
      <c r="A196" s="379"/>
      <c r="B196" s="579"/>
      <c r="C196" s="580"/>
      <c r="D196" s="581"/>
      <c r="E196" s="581"/>
      <c r="F196" s="581"/>
      <c r="G196" s="581"/>
      <c r="H196" s="581"/>
      <c r="I196" s="581"/>
      <c r="J196" s="581"/>
      <c r="K196" s="581"/>
      <c r="L196" s="581"/>
      <c r="M196" s="581"/>
      <c r="N196" s="581"/>
      <c r="O196" s="581"/>
      <c r="P196" s="581"/>
      <c r="Q196" s="581"/>
      <c r="R196" s="581"/>
      <c r="S196" s="581"/>
      <c r="T196" s="582"/>
      <c r="U196"/>
      <c r="V196"/>
      <c r="W196"/>
    </row>
    <row r="197" spans="1:25" s="386" customFormat="1" ht="15.75">
      <c r="A197" s="379"/>
      <c r="B197" s="681"/>
      <c r="C197" s="383"/>
      <c r="D197" s="384"/>
      <c r="E197" s="384"/>
      <c r="F197" s="384"/>
      <c r="G197" s="384"/>
      <c r="H197" s="384"/>
      <c r="I197" s="384"/>
      <c r="J197" s="384"/>
      <c r="K197" s="384"/>
      <c r="L197" s="384"/>
      <c r="M197" s="384"/>
      <c r="N197" s="384"/>
      <c r="O197" s="384"/>
      <c r="P197" s="384"/>
      <c r="Q197" s="384"/>
      <c r="R197" s="384"/>
      <c r="S197" s="384"/>
      <c r="T197" s="385"/>
      <c r="U197"/>
      <c r="V197"/>
      <c r="W197"/>
      <c r="X197" s="3"/>
      <c r="Y197" s="3"/>
    </row>
    <row r="198" spans="1:25" ht="15.75">
      <c r="A198" s="379"/>
      <c r="B198" s="677"/>
      <c r="C198" s="678"/>
      <c r="D198" s="679"/>
      <c r="E198" s="679"/>
      <c r="F198" s="679"/>
      <c r="G198" s="679"/>
      <c r="H198" s="679"/>
      <c r="I198" s="679"/>
      <c r="J198" s="679"/>
      <c r="K198" s="679"/>
      <c r="L198" s="679"/>
      <c r="M198" s="679"/>
      <c r="N198" s="679"/>
      <c r="O198" s="679"/>
      <c r="P198" s="679"/>
      <c r="Q198" s="679"/>
      <c r="R198" s="679"/>
      <c r="S198" s="679"/>
      <c r="T198" s="680"/>
      <c r="U198"/>
      <c r="V198"/>
      <c r="W198"/>
    </row>
    <row r="199" spans="1:25" ht="15.75">
      <c r="A199" s="379"/>
      <c r="B199" s="579"/>
      <c r="C199" s="580"/>
      <c r="D199" s="581"/>
      <c r="E199" s="581"/>
      <c r="F199" s="581"/>
      <c r="G199" s="581"/>
      <c r="H199" s="581"/>
      <c r="I199" s="581"/>
      <c r="J199" s="581"/>
      <c r="K199" s="581"/>
      <c r="L199" s="581"/>
      <c r="M199" s="581"/>
      <c r="N199" s="581"/>
      <c r="O199" s="581"/>
      <c r="P199" s="581"/>
      <c r="Q199" s="581"/>
      <c r="R199" s="581"/>
      <c r="S199" s="581"/>
      <c r="T199" s="582"/>
      <c r="U199"/>
      <c r="V199"/>
      <c r="W199"/>
    </row>
    <row r="200" spans="1:25" s="386" customFormat="1" ht="15.75">
      <c r="A200" s="387"/>
      <c r="B200" s="681"/>
      <c r="C200" s="383"/>
      <c r="D200" s="384"/>
      <c r="E200" s="384"/>
      <c r="F200" s="384"/>
      <c r="G200" s="384"/>
      <c r="H200" s="384"/>
      <c r="I200" s="384"/>
      <c r="J200" s="384"/>
      <c r="K200" s="384"/>
      <c r="L200" s="384"/>
      <c r="M200" s="384"/>
      <c r="N200" s="384"/>
      <c r="O200" s="384"/>
      <c r="P200" s="384"/>
      <c r="Q200" s="384"/>
      <c r="R200" s="384"/>
      <c r="S200" s="384"/>
      <c r="T200" s="385"/>
      <c r="U200"/>
      <c r="V200"/>
      <c r="W200"/>
      <c r="X200" s="3"/>
      <c r="Y200" s="3"/>
    </row>
    <row r="201" spans="1:25" ht="15.75">
      <c r="A201" s="673"/>
      <c r="B201" s="677"/>
      <c r="C201" s="678"/>
      <c r="D201" s="679"/>
      <c r="E201" s="679"/>
      <c r="F201" s="679"/>
      <c r="G201" s="679"/>
      <c r="H201" s="679"/>
      <c r="I201" s="679"/>
      <c r="J201" s="679"/>
      <c r="K201" s="679"/>
      <c r="L201" s="679"/>
      <c r="M201" s="679"/>
      <c r="N201" s="679"/>
      <c r="O201" s="679"/>
      <c r="P201" s="679"/>
      <c r="Q201" s="679"/>
      <c r="R201" s="679"/>
      <c r="S201" s="679"/>
      <c r="T201" s="680"/>
      <c r="U201"/>
      <c r="V201"/>
      <c r="W201"/>
    </row>
    <row r="202" spans="1:25" ht="15.75">
      <c r="A202" s="379"/>
      <c r="B202" s="579"/>
      <c r="C202" s="580"/>
      <c r="D202" s="581"/>
      <c r="E202" s="581"/>
      <c r="F202" s="581"/>
      <c r="G202" s="581"/>
      <c r="H202" s="581"/>
      <c r="I202" s="581"/>
      <c r="J202" s="581"/>
      <c r="K202" s="581"/>
      <c r="L202" s="581"/>
      <c r="M202" s="581"/>
      <c r="N202" s="581"/>
      <c r="O202" s="581"/>
      <c r="P202" s="581"/>
      <c r="Q202" s="581"/>
      <c r="R202" s="581"/>
      <c r="S202" s="581"/>
      <c r="T202" s="582"/>
      <c r="U202"/>
      <c r="V202"/>
      <c r="W202"/>
    </row>
    <row r="203" spans="1:25" s="386" customFormat="1" ht="15.75">
      <c r="A203" s="379"/>
      <c r="B203" s="681"/>
      <c r="C203" s="383"/>
      <c r="D203" s="384"/>
      <c r="E203" s="384"/>
      <c r="F203" s="384"/>
      <c r="G203" s="384"/>
      <c r="H203" s="384"/>
      <c r="I203" s="384"/>
      <c r="J203" s="384"/>
      <c r="K203" s="384"/>
      <c r="L203" s="384"/>
      <c r="M203" s="384"/>
      <c r="N203" s="384"/>
      <c r="O203" s="384"/>
      <c r="P203" s="384"/>
      <c r="Q203" s="384"/>
      <c r="R203" s="384"/>
      <c r="S203" s="384"/>
      <c r="T203" s="385"/>
      <c r="U203"/>
      <c r="V203"/>
      <c r="W203"/>
      <c r="X203" s="3"/>
      <c r="Y203" s="3"/>
    </row>
    <row r="204" spans="1:25" ht="15.75">
      <c r="A204" s="379"/>
      <c r="B204" s="677"/>
      <c r="C204" s="678"/>
      <c r="D204" s="679"/>
      <c r="E204" s="679"/>
      <c r="F204" s="679"/>
      <c r="G204" s="679"/>
      <c r="H204" s="679"/>
      <c r="I204" s="679"/>
      <c r="J204" s="679"/>
      <c r="K204" s="679"/>
      <c r="L204" s="679"/>
      <c r="M204" s="679"/>
      <c r="N204" s="679"/>
      <c r="O204" s="679"/>
      <c r="P204" s="679"/>
      <c r="Q204" s="679"/>
      <c r="R204" s="679"/>
      <c r="S204" s="679"/>
      <c r="T204" s="680"/>
      <c r="U204"/>
      <c r="V204"/>
      <c r="W204"/>
    </row>
    <row r="205" spans="1:25" ht="15.75">
      <c r="A205" s="379"/>
      <c r="B205" s="579"/>
      <c r="C205" s="580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  <c r="Q205" s="581"/>
      <c r="R205" s="581"/>
      <c r="S205" s="581"/>
      <c r="T205" s="582"/>
      <c r="U205"/>
      <c r="V205"/>
      <c r="W205"/>
    </row>
    <row r="206" spans="1:25" s="386" customFormat="1" ht="15.75">
      <c r="A206" s="379"/>
      <c r="B206" s="681"/>
      <c r="C206" s="383"/>
      <c r="D206" s="384"/>
      <c r="E206" s="384"/>
      <c r="F206" s="384"/>
      <c r="G206" s="384"/>
      <c r="H206" s="384"/>
      <c r="I206" s="384"/>
      <c r="J206" s="384"/>
      <c r="K206" s="384"/>
      <c r="L206" s="384"/>
      <c r="M206" s="384"/>
      <c r="N206" s="384"/>
      <c r="O206" s="384"/>
      <c r="P206" s="384"/>
      <c r="Q206" s="384"/>
      <c r="R206" s="384"/>
      <c r="S206" s="384"/>
      <c r="T206" s="385"/>
      <c r="U206"/>
      <c r="V206"/>
      <c r="W206"/>
      <c r="X206" s="3"/>
      <c r="Y206" s="3"/>
    </row>
    <row r="207" spans="1:25" ht="15.75">
      <c r="A207" s="379"/>
      <c r="B207" s="677"/>
      <c r="C207" s="678"/>
      <c r="D207" s="679"/>
      <c r="E207" s="679"/>
      <c r="F207" s="679"/>
      <c r="G207" s="679"/>
      <c r="H207" s="679"/>
      <c r="I207" s="679"/>
      <c r="J207" s="679"/>
      <c r="K207" s="679"/>
      <c r="L207" s="679"/>
      <c r="M207" s="679"/>
      <c r="N207" s="679"/>
      <c r="O207" s="679"/>
      <c r="P207" s="679"/>
      <c r="Q207" s="679"/>
      <c r="R207" s="679"/>
      <c r="S207" s="679"/>
      <c r="T207" s="680"/>
      <c r="U207"/>
      <c r="V207"/>
      <c r="W207"/>
    </row>
    <row r="208" spans="1:25" ht="15.75">
      <c r="A208" s="379"/>
      <c r="B208" s="579"/>
      <c r="C208" s="580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  <c r="Q208" s="581"/>
      <c r="R208" s="581"/>
      <c r="S208" s="581"/>
      <c r="T208" s="582"/>
      <c r="U208"/>
      <c r="V208"/>
      <c r="W208"/>
    </row>
    <row r="209" spans="1:25" s="386" customFormat="1" ht="15.75">
      <c r="A209" s="379"/>
      <c r="B209" s="681"/>
      <c r="C209" s="383"/>
      <c r="D209" s="384"/>
      <c r="E209" s="384"/>
      <c r="F209" s="384"/>
      <c r="G209" s="384"/>
      <c r="H209" s="384"/>
      <c r="I209" s="384"/>
      <c r="J209" s="384"/>
      <c r="K209" s="384"/>
      <c r="L209" s="384"/>
      <c r="M209" s="384"/>
      <c r="N209" s="384"/>
      <c r="O209" s="384"/>
      <c r="P209" s="384"/>
      <c r="Q209" s="384"/>
      <c r="R209" s="384"/>
      <c r="S209" s="384"/>
      <c r="T209" s="385"/>
      <c r="U209"/>
      <c r="V209"/>
      <c r="W209"/>
      <c r="X209" s="3"/>
      <c r="Y209" s="3"/>
    </row>
    <row r="210" spans="1:25" ht="15.75">
      <c r="A210" s="379"/>
      <c r="B210" s="677"/>
      <c r="C210" s="678"/>
      <c r="D210" s="679"/>
      <c r="E210" s="679"/>
      <c r="F210" s="679"/>
      <c r="G210" s="679"/>
      <c r="H210" s="679"/>
      <c r="I210" s="679"/>
      <c r="J210" s="679"/>
      <c r="K210" s="679"/>
      <c r="L210" s="679"/>
      <c r="M210" s="679"/>
      <c r="N210" s="679"/>
      <c r="O210" s="679"/>
      <c r="P210" s="679"/>
      <c r="Q210" s="679"/>
      <c r="R210" s="679"/>
      <c r="S210" s="679"/>
      <c r="T210" s="680"/>
      <c r="U210"/>
      <c r="V210"/>
      <c r="W210"/>
    </row>
    <row r="211" spans="1:25" ht="15.75">
      <c r="A211" s="379"/>
      <c r="B211" s="579"/>
      <c r="C211" s="580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  <c r="Q211" s="581"/>
      <c r="R211" s="581"/>
      <c r="S211" s="581"/>
      <c r="T211" s="582"/>
      <c r="U211"/>
      <c r="V211"/>
      <c r="W211"/>
    </row>
    <row r="212" spans="1:25" s="386" customFormat="1" ht="15.75">
      <c r="A212" s="379"/>
      <c r="B212" s="681"/>
      <c r="C212" s="383"/>
      <c r="D212" s="384"/>
      <c r="E212" s="384"/>
      <c r="F212" s="384"/>
      <c r="G212" s="384"/>
      <c r="H212" s="384"/>
      <c r="I212" s="384"/>
      <c r="J212" s="384"/>
      <c r="K212" s="384"/>
      <c r="L212" s="384"/>
      <c r="M212" s="384"/>
      <c r="N212" s="384"/>
      <c r="O212" s="384"/>
      <c r="P212" s="384"/>
      <c r="Q212" s="384"/>
      <c r="R212" s="384"/>
      <c r="S212" s="384"/>
      <c r="T212" s="385"/>
      <c r="U212"/>
      <c r="V212"/>
      <c r="W212"/>
      <c r="X212" s="3"/>
      <c r="Y212" s="3"/>
    </row>
    <row r="213" spans="1:25" ht="15.75">
      <c r="A213" s="379"/>
      <c r="B213" s="677"/>
      <c r="C213" s="678"/>
      <c r="D213" s="679"/>
      <c r="E213" s="679"/>
      <c r="F213" s="679"/>
      <c r="G213" s="679"/>
      <c r="H213" s="679"/>
      <c r="I213" s="679"/>
      <c r="J213" s="679"/>
      <c r="K213" s="679"/>
      <c r="L213" s="679"/>
      <c r="M213" s="679"/>
      <c r="N213" s="679"/>
      <c r="O213" s="679"/>
      <c r="P213" s="679"/>
      <c r="Q213" s="679"/>
      <c r="R213" s="679"/>
      <c r="S213" s="679"/>
      <c r="T213" s="680"/>
      <c r="U213"/>
      <c r="V213"/>
      <c r="W213"/>
    </row>
    <row r="214" spans="1:25" ht="15.75">
      <c r="A214" s="379"/>
      <c r="B214" s="579"/>
      <c r="C214" s="580"/>
      <c r="D214" s="581"/>
      <c r="E214" s="581"/>
      <c r="F214" s="581"/>
      <c r="G214" s="581"/>
      <c r="H214" s="581"/>
      <c r="I214" s="581"/>
      <c r="J214" s="581"/>
      <c r="K214" s="581"/>
      <c r="L214" s="581"/>
      <c r="M214" s="581"/>
      <c r="N214" s="581"/>
      <c r="O214" s="581"/>
      <c r="P214" s="581"/>
      <c r="Q214" s="581"/>
      <c r="R214" s="581"/>
      <c r="S214" s="581"/>
      <c r="T214" s="582"/>
      <c r="U214"/>
      <c r="V214"/>
      <c r="W214"/>
    </row>
    <row r="215" spans="1:25" s="386" customFormat="1" ht="15.75">
      <c r="A215" s="387"/>
      <c r="B215" s="681"/>
      <c r="C215" s="383"/>
      <c r="D215" s="384"/>
      <c r="E215" s="384"/>
      <c r="F215" s="384"/>
      <c r="G215" s="384"/>
      <c r="H215" s="384"/>
      <c r="I215" s="384"/>
      <c r="J215" s="384"/>
      <c r="K215" s="384"/>
      <c r="L215" s="384"/>
      <c r="M215" s="384"/>
      <c r="N215" s="384"/>
      <c r="O215" s="384"/>
      <c r="P215" s="384"/>
      <c r="Q215" s="384"/>
      <c r="R215" s="384"/>
      <c r="S215" s="384"/>
      <c r="T215" s="385"/>
      <c r="U215"/>
      <c r="V215"/>
      <c r="W215"/>
      <c r="X215" s="3"/>
      <c r="Y215" s="3"/>
    </row>
    <row r="216" spans="1:25" ht="15.75">
      <c r="A216" s="673"/>
      <c r="B216" s="677"/>
      <c r="C216" s="678"/>
      <c r="D216" s="679"/>
      <c r="E216" s="679"/>
      <c r="F216" s="679"/>
      <c r="G216" s="679"/>
      <c r="H216" s="679"/>
      <c r="I216" s="679"/>
      <c r="J216" s="679"/>
      <c r="K216" s="679"/>
      <c r="L216" s="679"/>
      <c r="M216" s="679"/>
      <c r="N216" s="679"/>
      <c r="O216" s="679"/>
      <c r="P216" s="679"/>
      <c r="Q216" s="679"/>
      <c r="R216" s="679"/>
      <c r="S216" s="679"/>
      <c r="T216" s="680"/>
      <c r="U216"/>
      <c r="V216"/>
      <c r="W216"/>
    </row>
    <row r="217" spans="1:25" ht="15.75">
      <c r="A217" s="379"/>
      <c r="B217" s="579"/>
      <c r="C217" s="580"/>
      <c r="D217" s="581"/>
      <c r="E217" s="581"/>
      <c r="F217" s="581"/>
      <c r="G217" s="581"/>
      <c r="H217" s="581"/>
      <c r="I217" s="581"/>
      <c r="J217" s="581"/>
      <c r="K217" s="581"/>
      <c r="L217" s="581"/>
      <c r="M217" s="581"/>
      <c r="N217" s="581"/>
      <c r="O217" s="581"/>
      <c r="P217" s="581"/>
      <c r="Q217" s="581"/>
      <c r="R217" s="581"/>
      <c r="S217" s="581"/>
      <c r="T217" s="582"/>
      <c r="U217"/>
      <c r="V217"/>
      <c r="W217"/>
    </row>
    <row r="218" spans="1:25" s="386" customFormat="1" ht="15.75">
      <c r="A218" s="379"/>
      <c r="B218" s="681"/>
      <c r="C218" s="383"/>
      <c r="D218" s="384"/>
      <c r="E218" s="384"/>
      <c r="F218" s="384"/>
      <c r="G218" s="384"/>
      <c r="H218" s="384"/>
      <c r="I218" s="384"/>
      <c r="J218" s="384"/>
      <c r="K218" s="384"/>
      <c r="L218" s="384"/>
      <c r="M218" s="384"/>
      <c r="N218" s="384"/>
      <c r="O218" s="384"/>
      <c r="P218" s="384"/>
      <c r="Q218" s="384"/>
      <c r="R218" s="384"/>
      <c r="S218" s="384"/>
      <c r="T218" s="385"/>
      <c r="U218"/>
      <c r="V218"/>
      <c r="W218"/>
      <c r="X218" s="3"/>
      <c r="Y218" s="3"/>
    </row>
    <row r="219" spans="1:25" ht="15.75">
      <c r="A219" s="379"/>
      <c r="B219" s="677"/>
      <c r="C219" s="678"/>
      <c r="D219" s="679"/>
      <c r="E219" s="679"/>
      <c r="F219" s="679"/>
      <c r="G219" s="679"/>
      <c r="H219" s="679"/>
      <c r="I219" s="679"/>
      <c r="J219" s="679"/>
      <c r="K219" s="679"/>
      <c r="L219" s="679"/>
      <c r="M219" s="679"/>
      <c r="N219" s="679"/>
      <c r="O219" s="679"/>
      <c r="P219" s="679"/>
      <c r="Q219" s="679"/>
      <c r="R219" s="679"/>
      <c r="S219" s="679"/>
      <c r="T219" s="680"/>
      <c r="U219"/>
      <c r="V219"/>
      <c r="W219"/>
    </row>
    <row r="220" spans="1:25" ht="15.75">
      <c r="A220" s="379"/>
      <c r="B220" s="579"/>
      <c r="C220" s="580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  <c r="Q220" s="581"/>
      <c r="R220" s="581"/>
      <c r="S220" s="581"/>
      <c r="T220" s="582"/>
      <c r="U220"/>
      <c r="V220"/>
      <c r="W220"/>
    </row>
    <row r="221" spans="1:25" s="386" customFormat="1" ht="15.75">
      <c r="A221" s="379"/>
      <c r="B221" s="681"/>
      <c r="C221" s="383"/>
      <c r="D221" s="384"/>
      <c r="E221" s="384"/>
      <c r="F221" s="384"/>
      <c r="G221" s="384"/>
      <c r="H221" s="384"/>
      <c r="I221" s="384"/>
      <c r="J221" s="384"/>
      <c r="K221" s="384"/>
      <c r="L221" s="384"/>
      <c r="M221" s="384"/>
      <c r="N221" s="384"/>
      <c r="O221" s="384"/>
      <c r="P221" s="384"/>
      <c r="Q221" s="384"/>
      <c r="R221" s="384"/>
      <c r="S221" s="384"/>
      <c r="T221" s="385"/>
      <c r="U221"/>
      <c r="V221"/>
      <c r="W221"/>
      <c r="X221" s="3"/>
      <c r="Y221" s="3"/>
    </row>
    <row r="222" spans="1:25" ht="15.75">
      <c r="A222" s="379"/>
      <c r="B222" s="677"/>
      <c r="C222" s="678"/>
      <c r="D222" s="679"/>
      <c r="E222" s="679"/>
      <c r="F222" s="679"/>
      <c r="G222" s="679"/>
      <c r="H222" s="679"/>
      <c r="I222" s="679"/>
      <c r="J222" s="679"/>
      <c r="K222" s="679"/>
      <c r="L222" s="679"/>
      <c r="M222" s="679"/>
      <c r="N222" s="679"/>
      <c r="O222" s="679"/>
      <c r="P222" s="679"/>
      <c r="Q222" s="679"/>
      <c r="R222" s="679"/>
      <c r="S222" s="679"/>
      <c r="T222" s="680"/>
      <c r="U222"/>
      <c r="V222"/>
      <c r="W222"/>
    </row>
    <row r="223" spans="1:25" ht="15.75">
      <c r="A223" s="379"/>
      <c r="B223" s="579"/>
      <c r="C223" s="580"/>
      <c r="D223" s="581"/>
      <c r="E223" s="581"/>
      <c r="F223" s="581"/>
      <c r="G223" s="581"/>
      <c r="H223" s="581"/>
      <c r="I223" s="581"/>
      <c r="J223" s="581"/>
      <c r="K223" s="581"/>
      <c r="L223" s="581"/>
      <c r="M223" s="581"/>
      <c r="N223" s="581"/>
      <c r="O223" s="581"/>
      <c r="P223" s="581"/>
      <c r="Q223" s="581"/>
      <c r="R223" s="581"/>
      <c r="S223" s="581"/>
      <c r="T223" s="582"/>
      <c r="U223"/>
      <c r="V223"/>
      <c r="W223"/>
    </row>
    <row r="224" spans="1:25" s="386" customFormat="1" ht="15.75">
      <c r="A224" s="379"/>
      <c r="B224" s="681"/>
      <c r="C224" s="383"/>
      <c r="D224" s="384"/>
      <c r="E224" s="384"/>
      <c r="F224" s="384"/>
      <c r="G224" s="384"/>
      <c r="H224" s="384"/>
      <c r="I224" s="384"/>
      <c r="J224" s="384"/>
      <c r="K224" s="384"/>
      <c r="L224" s="384"/>
      <c r="M224" s="384"/>
      <c r="N224" s="384"/>
      <c r="O224" s="384"/>
      <c r="P224" s="384"/>
      <c r="Q224" s="384"/>
      <c r="R224" s="384"/>
      <c r="S224" s="384"/>
      <c r="T224" s="385"/>
      <c r="U224"/>
      <c r="V224"/>
      <c r="W224"/>
      <c r="X224" s="3"/>
      <c r="Y224" s="3"/>
    </row>
    <row r="225" spans="1:25" ht="15.75">
      <c r="A225" s="379"/>
      <c r="B225" s="677"/>
      <c r="C225" s="678"/>
      <c r="D225" s="679"/>
      <c r="E225" s="679"/>
      <c r="F225" s="679"/>
      <c r="G225" s="679"/>
      <c r="H225" s="679"/>
      <c r="I225" s="679"/>
      <c r="J225" s="679"/>
      <c r="K225" s="679"/>
      <c r="L225" s="679"/>
      <c r="M225" s="679"/>
      <c r="N225" s="679"/>
      <c r="O225" s="679"/>
      <c r="P225" s="679"/>
      <c r="Q225" s="679"/>
      <c r="R225" s="679"/>
      <c r="S225" s="679"/>
      <c r="T225" s="680"/>
      <c r="U225"/>
      <c r="V225"/>
      <c r="W225"/>
    </row>
    <row r="226" spans="1:25" ht="15.75">
      <c r="A226" s="379"/>
      <c r="B226" s="579"/>
      <c r="C226" s="580"/>
      <c r="D226" s="581"/>
      <c r="E226" s="581"/>
      <c r="F226" s="581"/>
      <c r="G226" s="581"/>
      <c r="H226" s="581"/>
      <c r="I226" s="581"/>
      <c r="J226" s="581"/>
      <c r="K226" s="581"/>
      <c r="L226" s="581"/>
      <c r="M226" s="581"/>
      <c r="N226" s="581"/>
      <c r="O226" s="581"/>
      <c r="P226" s="581"/>
      <c r="Q226" s="581"/>
      <c r="R226" s="581"/>
      <c r="S226" s="581"/>
      <c r="T226" s="582"/>
      <c r="U226"/>
      <c r="V226"/>
      <c r="W226"/>
    </row>
    <row r="227" spans="1:25" s="386" customFormat="1" ht="15.75">
      <c r="A227" s="379"/>
      <c r="B227" s="681"/>
      <c r="C227" s="383"/>
      <c r="D227" s="384"/>
      <c r="E227" s="384"/>
      <c r="F227" s="384"/>
      <c r="G227" s="384"/>
      <c r="H227" s="384"/>
      <c r="I227" s="384"/>
      <c r="J227" s="384"/>
      <c r="K227" s="384"/>
      <c r="L227" s="384"/>
      <c r="M227" s="384"/>
      <c r="N227" s="384"/>
      <c r="O227" s="384"/>
      <c r="P227" s="384"/>
      <c r="Q227" s="384"/>
      <c r="R227" s="384"/>
      <c r="S227" s="384"/>
      <c r="T227" s="385"/>
      <c r="U227"/>
      <c r="V227"/>
      <c r="W227"/>
      <c r="X227" s="3"/>
      <c r="Y227" s="3"/>
    </row>
    <row r="228" spans="1:25" ht="15.75">
      <c r="A228" s="379"/>
      <c r="B228" s="677"/>
      <c r="C228" s="678"/>
      <c r="D228" s="679"/>
      <c r="E228" s="679"/>
      <c r="F228" s="679"/>
      <c r="G228" s="679"/>
      <c r="H228" s="679"/>
      <c r="I228" s="679"/>
      <c r="J228" s="679"/>
      <c r="K228" s="679"/>
      <c r="L228" s="679"/>
      <c r="M228" s="679"/>
      <c r="N228" s="679"/>
      <c r="O228" s="679"/>
      <c r="P228" s="679"/>
      <c r="Q228" s="679"/>
      <c r="R228" s="679"/>
      <c r="S228" s="679"/>
      <c r="T228" s="680"/>
      <c r="U228"/>
      <c r="V228"/>
      <c r="W228"/>
    </row>
    <row r="229" spans="1:25" ht="15.75">
      <c r="A229" s="379"/>
      <c r="B229" s="579"/>
      <c r="C229" s="580"/>
      <c r="D229" s="581"/>
      <c r="E229" s="581"/>
      <c r="F229" s="581"/>
      <c r="G229" s="581"/>
      <c r="H229" s="581"/>
      <c r="I229" s="581"/>
      <c r="J229" s="581"/>
      <c r="K229" s="581"/>
      <c r="L229" s="581"/>
      <c r="M229" s="581"/>
      <c r="N229" s="581"/>
      <c r="O229" s="581"/>
      <c r="P229" s="581"/>
      <c r="Q229" s="581"/>
      <c r="R229" s="581"/>
      <c r="S229" s="581"/>
      <c r="T229" s="582"/>
      <c r="U229"/>
      <c r="V229"/>
      <c r="W229"/>
    </row>
    <row r="230" spans="1:25" s="386" customFormat="1" ht="15.75">
      <c r="A230" s="387"/>
      <c r="B230" s="681"/>
      <c r="C230" s="383"/>
      <c r="D230" s="384"/>
      <c r="E230" s="384"/>
      <c r="F230" s="384"/>
      <c r="G230" s="384"/>
      <c r="H230" s="384"/>
      <c r="I230" s="384"/>
      <c r="J230" s="384"/>
      <c r="K230" s="384"/>
      <c r="L230" s="384"/>
      <c r="M230" s="384"/>
      <c r="N230" s="384"/>
      <c r="O230" s="384"/>
      <c r="P230" s="384"/>
      <c r="Q230" s="384"/>
      <c r="R230" s="384"/>
      <c r="S230" s="384"/>
      <c r="T230" s="385"/>
      <c r="U230"/>
      <c r="V230"/>
      <c r="W230"/>
      <c r="X230" s="3"/>
      <c r="Y230" s="3"/>
    </row>
    <row r="231" spans="1:25" ht="15.75">
      <c r="A231" s="673"/>
      <c r="B231" s="677"/>
      <c r="C231" s="678"/>
      <c r="D231" s="679"/>
      <c r="E231" s="679"/>
      <c r="F231" s="679"/>
      <c r="G231" s="679"/>
      <c r="H231" s="679"/>
      <c r="I231" s="679"/>
      <c r="J231" s="679"/>
      <c r="K231" s="679"/>
      <c r="L231" s="679"/>
      <c r="M231" s="679"/>
      <c r="N231" s="679"/>
      <c r="O231" s="679"/>
      <c r="P231" s="679"/>
      <c r="Q231" s="679"/>
      <c r="R231" s="679"/>
      <c r="S231" s="679"/>
      <c r="T231" s="680"/>
      <c r="U231"/>
      <c r="V231"/>
      <c r="W231"/>
    </row>
    <row r="232" spans="1:25" ht="15.75">
      <c r="A232" s="379"/>
      <c r="B232" s="579"/>
      <c r="C232" s="580"/>
      <c r="D232" s="581"/>
      <c r="E232" s="581"/>
      <c r="F232" s="581"/>
      <c r="G232" s="581"/>
      <c r="H232" s="581"/>
      <c r="I232" s="581"/>
      <c r="J232" s="581"/>
      <c r="K232" s="581"/>
      <c r="L232" s="581"/>
      <c r="M232" s="581"/>
      <c r="N232" s="581"/>
      <c r="O232" s="581"/>
      <c r="P232" s="581"/>
      <c r="Q232" s="581"/>
      <c r="R232" s="581"/>
      <c r="S232" s="581"/>
      <c r="T232" s="582"/>
      <c r="U232"/>
      <c r="V232"/>
      <c r="W232"/>
    </row>
    <row r="233" spans="1:25" s="386" customFormat="1" ht="15.75">
      <c r="A233" s="379"/>
      <c r="B233" s="681"/>
      <c r="C233" s="383"/>
      <c r="D233" s="384"/>
      <c r="E233" s="384"/>
      <c r="F233" s="384"/>
      <c r="G233" s="384"/>
      <c r="H233" s="384"/>
      <c r="I233" s="384"/>
      <c r="J233" s="384"/>
      <c r="K233" s="384"/>
      <c r="L233" s="384"/>
      <c r="M233" s="384"/>
      <c r="N233" s="384"/>
      <c r="O233" s="384"/>
      <c r="P233" s="384"/>
      <c r="Q233" s="384"/>
      <c r="R233" s="384"/>
      <c r="S233" s="384"/>
      <c r="T233" s="385"/>
      <c r="U233"/>
      <c r="V233"/>
      <c r="W233"/>
      <c r="X233" s="3"/>
      <c r="Y233" s="3"/>
    </row>
    <row r="234" spans="1:25" ht="15.75">
      <c r="A234" s="379"/>
      <c r="B234" s="677"/>
      <c r="C234" s="678"/>
      <c r="D234" s="679"/>
      <c r="E234" s="679"/>
      <c r="F234" s="679"/>
      <c r="G234" s="679"/>
      <c r="H234" s="679"/>
      <c r="I234" s="679"/>
      <c r="J234" s="679"/>
      <c r="K234" s="679"/>
      <c r="L234" s="679"/>
      <c r="M234" s="679"/>
      <c r="N234" s="679"/>
      <c r="O234" s="679"/>
      <c r="P234" s="679"/>
      <c r="Q234" s="679"/>
      <c r="R234" s="679"/>
      <c r="S234" s="679"/>
      <c r="T234" s="680"/>
      <c r="U234"/>
      <c r="V234"/>
      <c r="W234"/>
    </row>
    <row r="235" spans="1:25" ht="15.75">
      <c r="A235" s="379"/>
      <c r="B235" s="579"/>
      <c r="C235" s="580"/>
      <c r="D235" s="581"/>
      <c r="E235" s="581"/>
      <c r="F235" s="581"/>
      <c r="G235" s="581"/>
      <c r="H235" s="581"/>
      <c r="I235" s="581"/>
      <c r="J235" s="581"/>
      <c r="K235" s="581"/>
      <c r="L235" s="581"/>
      <c r="M235" s="581"/>
      <c r="N235" s="581"/>
      <c r="O235" s="581"/>
      <c r="P235" s="581"/>
      <c r="Q235" s="581"/>
      <c r="R235" s="581"/>
      <c r="S235" s="581"/>
      <c r="T235" s="582"/>
      <c r="U235"/>
      <c r="V235"/>
      <c r="W235"/>
    </row>
    <row r="236" spans="1:25" s="386" customFormat="1" ht="15.75">
      <c r="A236" s="379"/>
      <c r="B236" s="681"/>
      <c r="C236" s="383"/>
      <c r="D236" s="384"/>
      <c r="E236" s="384"/>
      <c r="F236" s="384"/>
      <c r="G236" s="384"/>
      <c r="H236" s="384"/>
      <c r="I236" s="384"/>
      <c r="J236" s="384"/>
      <c r="K236" s="384"/>
      <c r="L236" s="384"/>
      <c r="M236" s="384"/>
      <c r="N236" s="384"/>
      <c r="O236" s="384"/>
      <c r="P236" s="384"/>
      <c r="Q236" s="384"/>
      <c r="R236" s="384"/>
      <c r="S236" s="384"/>
      <c r="T236" s="385"/>
      <c r="U236"/>
      <c r="V236"/>
      <c r="W236"/>
      <c r="X236" s="3"/>
      <c r="Y236" s="3"/>
    </row>
    <row r="237" spans="1:25" ht="15.75">
      <c r="A237" s="379"/>
      <c r="B237" s="677"/>
      <c r="C237" s="678"/>
      <c r="D237" s="679"/>
      <c r="E237" s="679"/>
      <c r="F237" s="679"/>
      <c r="G237" s="679"/>
      <c r="H237" s="679"/>
      <c r="I237" s="679"/>
      <c r="J237" s="679"/>
      <c r="K237" s="679"/>
      <c r="L237" s="679"/>
      <c r="M237" s="679"/>
      <c r="N237" s="679"/>
      <c r="O237" s="679"/>
      <c r="P237" s="679"/>
      <c r="Q237" s="679"/>
      <c r="R237" s="679"/>
      <c r="S237" s="679"/>
      <c r="T237" s="680"/>
      <c r="U237"/>
      <c r="V237"/>
      <c r="W237"/>
    </row>
    <row r="238" spans="1:25" ht="15.75">
      <c r="A238" s="379"/>
      <c r="B238" s="579"/>
      <c r="C238" s="580"/>
      <c r="D238" s="581"/>
      <c r="E238" s="581"/>
      <c r="F238" s="581"/>
      <c r="G238" s="581"/>
      <c r="H238" s="581"/>
      <c r="I238" s="581"/>
      <c r="J238" s="581"/>
      <c r="K238" s="581"/>
      <c r="L238" s="581"/>
      <c r="M238" s="581"/>
      <c r="N238" s="581"/>
      <c r="O238" s="581"/>
      <c r="P238" s="581"/>
      <c r="Q238" s="581"/>
      <c r="R238" s="581"/>
      <c r="S238" s="581"/>
      <c r="T238" s="582"/>
      <c r="U238"/>
      <c r="V238"/>
      <c r="W238"/>
    </row>
    <row r="239" spans="1:25" s="386" customFormat="1" ht="15.75">
      <c r="A239" s="379"/>
      <c r="B239" s="681"/>
      <c r="C239" s="383"/>
      <c r="D239" s="384"/>
      <c r="E239" s="384"/>
      <c r="F239" s="384"/>
      <c r="G239" s="384"/>
      <c r="H239" s="384"/>
      <c r="I239" s="384"/>
      <c r="J239" s="384"/>
      <c r="K239" s="384"/>
      <c r="L239" s="384"/>
      <c r="M239" s="384"/>
      <c r="N239" s="384"/>
      <c r="O239" s="384"/>
      <c r="P239" s="384"/>
      <c r="Q239" s="384"/>
      <c r="R239" s="384"/>
      <c r="S239" s="384"/>
      <c r="T239" s="385"/>
      <c r="U239"/>
      <c r="V239"/>
      <c r="W239"/>
      <c r="X239" s="3"/>
      <c r="Y239" s="3"/>
    </row>
    <row r="240" spans="1:25" ht="15.75">
      <c r="A240" s="379"/>
      <c r="B240" s="677"/>
      <c r="C240" s="678"/>
      <c r="D240" s="679"/>
      <c r="E240" s="679"/>
      <c r="F240" s="679"/>
      <c r="G240" s="679"/>
      <c r="H240" s="679"/>
      <c r="I240" s="679"/>
      <c r="J240" s="679"/>
      <c r="K240" s="679"/>
      <c r="L240" s="679"/>
      <c r="M240" s="679"/>
      <c r="N240" s="679"/>
      <c r="O240" s="679"/>
      <c r="P240" s="679"/>
      <c r="Q240" s="679"/>
      <c r="R240" s="679"/>
      <c r="S240" s="679"/>
      <c r="T240" s="680"/>
      <c r="U240"/>
      <c r="V240"/>
      <c r="W240"/>
    </row>
    <row r="241" spans="1:25" ht="15.75">
      <c r="A241" s="379"/>
      <c r="B241" s="579"/>
      <c r="C241" s="580"/>
      <c r="D241" s="581"/>
      <c r="E241" s="581"/>
      <c r="F241" s="581"/>
      <c r="G241" s="581"/>
      <c r="H241" s="581"/>
      <c r="I241" s="581"/>
      <c r="J241" s="581"/>
      <c r="K241" s="581"/>
      <c r="L241" s="581"/>
      <c r="M241" s="581"/>
      <c r="N241" s="581"/>
      <c r="O241" s="581"/>
      <c r="P241" s="581"/>
      <c r="Q241" s="581"/>
      <c r="R241" s="581"/>
      <c r="S241" s="581"/>
      <c r="T241" s="582"/>
      <c r="U241"/>
      <c r="V241"/>
      <c r="W241"/>
    </row>
    <row r="242" spans="1:25" s="386" customFormat="1" ht="15.75">
      <c r="A242" s="379"/>
      <c r="B242" s="681"/>
      <c r="C242" s="383"/>
      <c r="D242" s="384"/>
      <c r="E242" s="384"/>
      <c r="F242" s="384"/>
      <c r="G242" s="384"/>
      <c r="H242" s="384"/>
      <c r="I242" s="384"/>
      <c r="J242" s="384"/>
      <c r="K242" s="384"/>
      <c r="L242" s="384"/>
      <c r="M242" s="384"/>
      <c r="N242" s="384"/>
      <c r="O242" s="384"/>
      <c r="P242" s="384"/>
      <c r="Q242" s="384"/>
      <c r="R242" s="384"/>
      <c r="S242" s="384"/>
      <c r="T242" s="385"/>
      <c r="U242"/>
      <c r="V242"/>
      <c r="W242"/>
      <c r="X242" s="3"/>
      <c r="Y242" s="3"/>
    </row>
    <row r="243" spans="1:25" ht="15.75">
      <c r="A243" s="379"/>
      <c r="B243" s="677"/>
      <c r="C243" s="678"/>
      <c r="D243" s="679"/>
      <c r="E243" s="679"/>
      <c r="F243" s="679"/>
      <c r="G243" s="679"/>
      <c r="H243" s="679"/>
      <c r="I243" s="679"/>
      <c r="J243" s="679"/>
      <c r="K243" s="679"/>
      <c r="L243" s="679"/>
      <c r="M243" s="679"/>
      <c r="N243" s="679"/>
      <c r="O243" s="679"/>
      <c r="P243" s="679"/>
      <c r="Q243" s="679"/>
      <c r="R243" s="679"/>
      <c r="S243" s="679"/>
      <c r="T243" s="680"/>
      <c r="U243"/>
      <c r="V243"/>
      <c r="W243"/>
    </row>
    <row r="244" spans="1:25" ht="15.75">
      <c r="A244" s="379"/>
      <c r="B244" s="579"/>
      <c r="C244" s="580"/>
      <c r="D244" s="581"/>
      <c r="E244" s="581"/>
      <c r="F244" s="581"/>
      <c r="G244" s="581"/>
      <c r="H244" s="581"/>
      <c r="I244" s="581"/>
      <c r="J244" s="581"/>
      <c r="K244" s="581"/>
      <c r="L244" s="581"/>
      <c r="M244" s="581"/>
      <c r="N244" s="581"/>
      <c r="O244" s="581"/>
      <c r="P244" s="581"/>
      <c r="Q244" s="581"/>
      <c r="R244" s="581"/>
      <c r="S244" s="581"/>
      <c r="T244" s="582"/>
      <c r="U244"/>
      <c r="V244"/>
      <c r="W244"/>
    </row>
    <row r="245" spans="1:25" s="386" customFormat="1" ht="15.75">
      <c r="A245" s="387"/>
      <c r="B245" s="681"/>
      <c r="C245" s="383"/>
      <c r="D245" s="384"/>
      <c r="E245" s="384"/>
      <c r="F245" s="384"/>
      <c r="G245" s="384"/>
      <c r="H245" s="384"/>
      <c r="I245" s="384"/>
      <c r="J245" s="384"/>
      <c r="K245" s="384"/>
      <c r="L245" s="384"/>
      <c r="M245" s="384"/>
      <c r="N245" s="384"/>
      <c r="O245" s="384"/>
      <c r="P245" s="384"/>
      <c r="Q245" s="384"/>
      <c r="R245" s="384"/>
      <c r="S245" s="384"/>
      <c r="T245" s="385"/>
      <c r="U245"/>
      <c r="V245"/>
      <c r="W245"/>
      <c r="X245" s="3"/>
      <c r="Y245" s="3"/>
    </row>
    <row r="246" spans="1:25" ht="15.75">
      <c r="A246" s="673"/>
      <c r="B246" s="677"/>
      <c r="C246" s="678"/>
      <c r="D246" s="679"/>
      <c r="E246" s="679"/>
      <c r="F246" s="679"/>
      <c r="G246" s="679"/>
      <c r="H246" s="679"/>
      <c r="I246" s="679"/>
      <c r="J246" s="679"/>
      <c r="K246" s="679"/>
      <c r="L246" s="679"/>
      <c r="M246" s="679"/>
      <c r="N246" s="679"/>
      <c r="O246" s="679"/>
      <c r="P246" s="679"/>
      <c r="Q246" s="679"/>
      <c r="R246" s="679"/>
      <c r="S246" s="679"/>
      <c r="T246" s="680"/>
      <c r="U246"/>
      <c r="V246"/>
      <c r="W246"/>
    </row>
    <row r="247" spans="1:25" ht="15.75">
      <c r="A247" s="379"/>
      <c r="B247" s="579"/>
      <c r="C247" s="580"/>
      <c r="D247" s="581"/>
      <c r="E247" s="581"/>
      <c r="F247" s="581"/>
      <c r="G247" s="581"/>
      <c r="H247" s="581"/>
      <c r="I247" s="581"/>
      <c r="J247" s="581"/>
      <c r="K247" s="581"/>
      <c r="L247" s="581"/>
      <c r="M247" s="581"/>
      <c r="N247" s="581"/>
      <c r="O247" s="581"/>
      <c r="P247" s="581"/>
      <c r="Q247" s="581"/>
      <c r="R247" s="581"/>
      <c r="S247" s="581"/>
      <c r="T247" s="582"/>
      <c r="U247"/>
      <c r="V247"/>
      <c r="W247"/>
    </row>
    <row r="248" spans="1:25" s="386" customFormat="1" ht="15.75">
      <c r="A248" s="379"/>
      <c r="B248" s="681"/>
      <c r="C248" s="383"/>
      <c r="D248" s="384"/>
      <c r="E248" s="384"/>
      <c r="F248" s="384"/>
      <c r="G248" s="384"/>
      <c r="H248" s="384"/>
      <c r="I248" s="384"/>
      <c r="J248" s="384"/>
      <c r="K248" s="384"/>
      <c r="L248" s="384"/>
      <c r="M248" s="384"/>
      <c r="N248" s="384"/>
      <c r="O248" s="384"/>
      <c r="P248" s="384"/>
      <c r="Q248" s="384"/>
      <c r="R248" s="384"/>
      <c r="S248" s="384"/>
      <c r="T248" s="385"/>
      <c r="U248"/>
      <c r="V248"/>
      <c r="W248"/>
      <c r="X248" s="3"/>
      <c r="Y248" s="3"/>
    </row>
    <row r="249" spans="1:25" ht="15.75">
      <c r="A249" s="379"/>
      <c r="B249" s="677"/>
      <c r="C249" s="678"/>
      <c r="D249" s="679"/>
      <c r="E249" s="679"/>
      <c r="F249" s="679"/>
      <c r="G249" s="679"/>
      <c r="H249" s="679"/>
      <c r="I249" s="679"/>
      <c r="J249" s="679"/>
      <c r="K249" s="679"/>
      <c r="L249" s="679"/>
      <c r="M249" s="679"/>
      <c r="N249" s="679"/>
      <c r="O249" s="679"/>
      <c r="P249" s="679"/>
      <c r="Q249" s="679"/>
      <c r="R249" s="679"/>
      <c r="S249" s="679"/>
      <c r="T249" s="680"/>
      <c r="U249"/>
      <c r="V249"/>
      <c r="W249"/>
    </row>
    <row r="250" spans="1:25" ht="15.75">
      <c r="A250" s="379"/>
      <c r="B250" s="579"/>
      <c r="C250" s="580"/>
      <c r="D250" s="581"/>
      <c r="E250" s="581"/>
      <c r="F250" s="581"/>
      <c r="G250" s="581"/>
      <c r="H250" s="581"/>
      <c r="I250" s="581"/>
      <c r="J250" s="581"/>
      <c r="K250" s="581"/>
      <c r="L250" s="581"/>
      <c r="M250" s="581"/>
      <c r="N250" s="581"/>
      <c r="O250" s="581"/>
      <c r="P250" s="581"/>
      <c r="Q250" s="581"/>
      <c r="R250" s="581"/>
      <c r="S250" s="581"/>
      <c r="T250" s="582"/>
      <c r="U250"/>
      <c r="V250"/>
      <c r="W250"/>
    </row>
    <row r="251" spans="1:25" s="386" customFormat="1" ht="15.75">
      <c r="A251" s="379"/>
      <c r="B251" s="681"/>
      <c r="C251" s="383"/>
      <c r="D251" s="384"/>
      <c r="E251" s="384"/>
      <c r="F251" s="384"/>
      <c r="G251" s="384"/>
      <c r="H251" s="384"/>
      <c r="I251" s="384"/>
      <c r="J251" s="384"/>
      <c r="K251" s="384"/>
      <c r="L251" s="384"/>
      <c r="M251" s="384"/>
      <c r="N251" s="384"/>
      <c r="O251" s="384"/>
      <c r="P251" s="384"/>
      <c r="Q251" s="384"/>
      <c r="R251" s="384"/>
      <c r="S251" s="384"/>
      <c r="T251" s="385"/>
      <c r="U251"/>
      <c r="V251"/>
      <c r="W251"/>
      <c r="X251" s="3"/>
      <c r="Y251" s="3"/>
    </row>
    <row r="252" spans="1:25" ht="15.75">
      <c r="A252" s="379"/>
      <c r="B252" s="677"/>
      <c r="C252" s="678"/>
      <c r="D252" s="679"/>
      <c r="E252" s="679"/>
      <c r="F252" s="679"/>
      <c r="G252" s="679"/>
      <c r="H252" s="679"/>
      <c r="I252" s="679"/>
      <c r="J252" s="679"/>
      <c r="K252" s="679"/>
      <c r="L252" s="679"/>
      <c r="M252" s="679"/>
      <c r="N252" s="679"/>
      <c r="O252" s="679"/>
      <c r="P252" s="679"/>
      <c r="Q252" s="679"/>
      <c r="R252" s="679"/>
      <c r="S252" s="679"/>
      <c r="T252" s="680"/>
      <c r="U252"/>
      <c r="V252"/>
      <c r="W252"/>
    </row>
    <row r="253" spans="1:25" ht="15.75">
      <c r="A253" s="379"/>
      <c r="B253" s="579"/>
      <c r="C253" s="580"/>
      <c r="D253" s="581"/>
      <c r="E253" s="581"/>
      <c r="F253" s="581"/>
      <c r="G253" s="581"/>
      <c r="H253" s="581"/>
      <c r="I253" s="581"/>
      <c r="J253" s="581"/>
      <c r="K253" s="581"/>
      <c r="L253" s="581"/>
      <c r="M253" s="581"/>
      <c r="N253" s="581"/>
      <c r="O253" s="581"/>
      <c r="P253" s="581"/>
      <c r="Q253" s="581"/>
      <c r="R253" s="581"/>
      <c r="S253" s="581"/>
      <c r="T253" s="582"/>
      <c r="U253"/>
      <c r="V253"/>
      <c r="W253"/>
    </row>
    <row r="254" spans="1:25" s="386" customFormat="1" ht="15.75">
      <c r="A254" s="379"/>
      <c r="B254" s="681"/>
      <c r="C254" s="383"/>
      <c r="D254" s="384"/>
      <c r="E254" s="384"/>
      <c r="F254" s="384"/>
      <c r="G254" s="384"/>
      <c r="H254" s="384"/>
      <c r="I254" s="384"/>
      <c r="J254" s="384"/>
      <c r="K254" s="384"/>
      <c r="L254" s="384"/>
      <c r="M254" s="384"/>
      <c r="N254" s="384"/>
      <c r="O254" s="384"/>
      <c r="P254" s="384"/>
      <c r="Q254" s="384"/>
      <c r="R254" s="384"/>
      <c r="S254" s="384"/>
      <c r="T254" s="385"/>
      <c r="U254"/>
      <c r="V254"/>
      <c r="W254"/>
      <c r="X254" s="3"/>
      <c r="Y254" s="3"/>
    </row>
    <row r="255" spans="1:25" ht="15.75">
      <c r="A255" s="379"/>
      <c r="B255" s="677"/>
      <c r="C255" s="678"/>
      <c r="D255" s="679"/>
      <c r="E255" s="679"/>
      <c r="F255" s="679"/>
      <c r="G255" s="679"/>
      <c r="H255" s="679"/>
      <c r="I255" s="679"/>
      <c r="J255" s="679"/>
      <c r="K255" s="679"/>
      <c r="L255" s="679"/>
      <c r="M255" s="679"/>
      <c r="N255" s="679"/>
      <c r="O255" s="679"/>
      <c r="P255" s="679"/>
      <c r="Q255" s="679"/>
      <c r="R255" s="679"/>
      <c r="S255" s="679"/>
      <c r="T255" s="680"/>
      <c r="U255"/>
      <c r="V255"/>
      <c r="W255"/>
    </row>
    <row r="256" spans="1:25" ht="15.75">
      <c r="A256" s="379"/>
      <c r="B256" s="579"/>
      <c r="C256" s="580"/>
      <c r="D256" s="581"/>
      <c r="E256" s="581"/>
      <c r="F256" s="581"/>
      <c r="G256" s="581"/>
      <c r="H256" s="581"/>
      <c r="I256" s="581"/>
      <c r="J256" s="581"/>
      <c r="K256" s="581"/>
      <c r="L256" s="581"/>
      <c r="M256" s="581"/>
      <c r="N256" s="581"/>
      <c r="O256" s="581"/>
      <c r="P256" s="581"/>
      <c r="Q256" s="581"/>
      <c r="R256" s="581"/>
      <c r="S256" s="581"/>
      <c r="T256" s="582"/>
      <c r="U256"/>
      <c r="V256"/>
      <c r="W256"/>
    </row>
    <row r="257" spans="1:25" s="386" customFormat="1" ht="15.75">
      <c r="A257" s="379"/>
      <c r="B257" s="681"/>
      <c r="C257" s="383"/>
      <c r="D257" s="384"/>
      <c r="E257" s="384"/>
      <c r="F257" s="384"/>
      <c r="G257" s="384"/>
      <c r="H257" s="384"/>
      <c r="I257" s="384"/>
      <c r="J257" s="384"/>
      <c r="K257" s="384"/>
      <c r="L257" s="384"/>
      <c r="M257" s="384"/>
      <c r="N257" s="384"/>
      <c r="O257" s="384"/>
      <c r="P257" s="384"/>
      <c r="Q257" s="384"/>
      <c r="R257" s="384"/>
      <c r="S257" s="384"/>
      <c r="T257" s="385"/>
      <c r="U257"/>
      <c r="V257"/>
      <c r="W257"/>
      <c r="X257" s="3"/>
      <c r="Y257" s="3"/>
    </row>
    <row r="258" spans="1:25" ht="15.75">
      <c r="A258" s="379"/>
      <c r="B258" s="677"/>
      <c r="C258" s="678"/>
      <c r="D258" s="679"/>
      <c r="E258" s="679"/>
      <c r="F258" s="679"/>
      <c r="G258" s="679"/>
      <c r="H258" s="679"/>
      <c r="I258" s="679"/>
      <c r="J258" s="679"/>
      <c r="K258" s="679"/>
      <c r="L258" s="679"/>
      <c r="M258" s="679"/>
      <c r="N258" s="679"/>
      <c r="O258" s="679"/>
      <c r="P258" s="679"/>
      <c r="Q258" s="679"/>
      <c r="R258" s="679"/>
      <c r="S258" s="679"/>
      <c r="T258" s="680"/>
      <c r="U258"/>
      <c r="V258"/>
      <c r="W258"/>
    </row>
    <row r="259" spans="1:25" ht="15.75">
      <c r="A259" s="379"/>
      <c r="B259" s="579"/>
      <c r="C259" s="580"/>
      <c r="D259" s="581"/>
      <c r="E259" s="581"/>
      <c r="F259" s="581"/>
      <c r="G259" s="581"/>
      <c r="H259" s="581"/>
      <c r="I259" s="581"/>
      <c r="J259" s="581"/>
      <c r="K259" s="581"/>
      <c r="L259" s="581"/>
      <c r="M259" s="581"/>
      <c r="N259" s="581"/>
      <c r="O259" s="581"/>
      <c r="P259" s="581"/>
      <c r="Q259" s="581"/>
      <c r="R259" s="581"/>
      <c r="S259" s="581"/>
      <c r="T259" s="582"/>
      <c r="U259"/>
      <c r="V259"/>
      <c r="W259"/>
    </row>
    <row r="260" spans="1:25" s="386" customFormat="1" ht="15.75">
      <c r="A260" s="387"/>
      <c r="B260" s="681"/>
      <c r="C260" s="383"/>
      <c r="D260" s="384"/>
      <c r="E260" s="384"/>
      <c r="F260" s="384"/>
      <c r="G260" s="384"/>
      <c r="H260" s="384"/>
      <c r="I260" s="384"/>
      <c r="J260" s="384"/>
      <c r="K260" s="384"/>
      <c r="L260" s="384"/>
      <c r="M260" s="384"/>
      <c r="N260" s="384"/>
      <c r="O260" s="384"/>
      <c r="P260" s="384"/>
      <c r="Q260" s="384"/>
      <c r="R260" s="384"/>
      <c r="S260" s="384"/>
      <c r="T260" s="385"/>
      <c r="U260"/>
      <c r="V260"/>
      <c r="W260"/>
      <c r="X260" s="3"/>
      <c r="Y260" s="3"/>
    </row>
    <row r="261" spans="1:25">
      <c r="A261" s="3"/>
      <c r="D261" s="3"/>
    </row>
    <row r="262" spans="1:25">
      <c r="A262" s="3"/>
      <c r="D262" s="3"/>
    </row>
    <row r="263" spans="1:25" s="386" customForma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3"/>
      <c r="D264" s="3"/>
    </row>
    <row r="265" spans="1:25">
      <c r="A265" s="3"/>
      <c r="D265" s="3"/>
    </row>
    <row r="266" spans="1:25" s="386" customForma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3"/>
      <c r="D267" s="3"/>
    </row>
    <row r="268" spans="1:25">
      <c r="A268" s="3"/>
      <c r="D268" s="3"/>
    </row>
    <row r="269" spans="1:25" s="386" customForma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3"/>
      <c r="D270" s="3"/>
    </row>
    <row r="271" spans="1:25">
      <c r="A271" s="3"/>
      <c r="D271" s="3"/>
    </row>
    <row r="272" spans="1:25" s="386" customForma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3"/>
      <c r="D273" s="3"/>
    </row>
    <row r="274" spans="1:25">
      <c r="A274" s="3"/>
      <c r="D274" s="3"/>
    </row>
    <row r="275" spans="1:25" s="386" customForma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3"/>
      <c r="D276" s="3"/>
    </row>
    <row r="277" spans="1:25">
      <c r="A277" s="3"/>
      <c r="D277" s="3"/>
    </row>
    <row r="278" spans="1:25" s="386" customForma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3"/>
      <c r="D279" s="3"/>
    </row>
    <row r="280" spans="1:25">
      <c r="A280" s="3"/>
      <c r="D280" s="3"/>
    </row>
    <row r="281" spans="1:25" s="386" customForma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3"/>
      <c r="D282" s="3"/>
    </row>
    <row r="283" spans="1:25">
      <c r="A283" s="3"/>
      <c r="D283" s="3"/>
    </row>
    <row r="284" spans="1:25" s="386" customForma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3"/>
      <c r="D285" s="3"/>
    </row>
    <row r="286" spans="1:25">
      <c r="A286" s="3"/>
      <c r="D286" s="3"/>
    </row>
    <row r="287" spans="1:25" s="386" customForma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3"/>
      <c r="D288" s="3"/>
    </row>
    <row r="289" spans="1:25">
      <c r="A289" s="3"/>
      <c r="D289" s="3"/>
    </row>
    <row r="290" spans="1:25" s="386" customForma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3"/>
      <c r="D291" s="3"/>
    </row>
    <row r="292" spans="1:25">
      <c r="A292" s="3"/>
      <c r="D292" s="3"/>
    </row>
    <row r="293" spans="1:25" s="386" customForma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3"/>
      <c r="D294" s="3"/>
    </row>
    <row r="295" spans="1:25">
      <c r="A295" s="3"/>
      <c r="D295" s="3"/>
    </row>
    <row r="296" spans="1:25" s="386" customForma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3"/>
      <c r="D297" s="3"/>
    </row>
    <row r="298" spans="1:25">
      <c r="A298" s="3"/>
      <c r="D298" s="3"/>
    </row>
    <row r="299" spans="1:25" s="386" customForma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3"/>
      <c r="D300" s="3"/>
    </row>
    <row r="301" spans="1:25">
      <c r="A301" s="3"/>
      <c r="D301" s="3"/>
    </row>
    <row r="302" spans="1:25" s="386" customForma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3"/>
      <c r="D303" s="3"/>
    </row>
    <row r="304" spans="1:25">
      <c r="A304" s="3"/>
      <c r="D304" s="3"/>
    </row>
    <row r="305" spans="1:25" s="386" customForma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3"/>
      <c r="D306" s="3"/>
    </row>
    <row r="307" spans="1:25">
      <c r="A307" s="3"/>
      <c r="D307" s="3"/>
    </row>
    <row r="308" spans="1:25" s="386" customForma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3"/>
      <c r="D309" s="3"/>
    </row>
    <row r="310" spans="1:25">
      <c r="A310" s="3"/>
      <c r="D310" s="3"/>
    </row>
    <row r="311" spans="1:25" s="386" customForma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3"/>
      <c r="D312" s="3"/>
    </row>
    <row r="313" spans="1:25">
      <c r="A313" s="3"/>
      <c r="D313" s="3"/>
    </row>
    <row r="314" spans="1:25" s="386" customForma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3"/>
      <c r="D315" s="3"/>
    </row>
    <row r="316" spans="1:25">
      <c r="A316" s="3"/>
      <c r="D316" s="3"/>
    </row>
    <row r="317" spans="1:25" s="386" customForma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3"/>
      <c r="D318" s="3"/>
    </row>
    <row r="319" spans="1:25">
      <c r="A319" s="3"/>
      <c r="D319" s="3"/>
    </row>
    <row r="320" spans="1:25" s="386" customForma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3"/>
      <c r="D321" s="3"/>
    </row>
    <row r="322" spans="1:25">
      <c r="A322" s="3"/>
      <c r="D322" s="3"/>
    </row>
    <row r="323" spans="1:25" s="386" customForma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3"/>
      <c r="D324" s="3"/>
    </row>
    <row r="325" spans="1:25">
      <c r="A325" s="3"/>
      <c r="D325" s="3"/>
    </row>
    <row r="326" spans="1:25" s="386" customForma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3"/>
      <c r="D327" s="3"/>
    </row>
    <row r="328" spans="1:25">
      <c r="A328" s="3"/>
      <c r="D328" s="3"/>
    </row>
    <row r="329" spans="1:25" s="386" customForma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3"/>
      <c r="D330" s="3"/>
    </row>
    <row r="331" spans="1:25">
      <c r="A331" s="3"/>
      <c r="D331" s="3"/>
    </row>
    <row r="332" spans="1:25" s="386" customForma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3"/>
      <c r="D333" s="3"/>
    </row>
    <row r="334" spans="1:25">
      <c r="A334" s="3"/>
      <c r="D334" s="3"/>
    </row>
    <row r="335" spans="1:25" s="386" customForma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3"/>
      <c r="D336" s="3"/>
    </row>
    <row r="337" spans="1:25">
      <c r="A337" s="3"/>
      <c r="D337" s="3"/>
    </row>
    <row r="338" spans="1:25" s="386" customForma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3"/>
      <c r="D339" s="3"/>
    </row>
    <row r="340" spans="1:25">
      <c r="A340" s="3"/>
      <c r="D340" s="3"/>
    </row>
    <row r="341" spans="1:25" s="386" customForma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3"/>
      <c r="D342" s="3"/>
    </row>
    <row r="343" spans="1:25">
      <c r="A343" s="3"/>
      <c r="D343" s="3"/>
    </row>
    <row r="344" spans="1:25" s="386" customForma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3"/>
      <c r="D345" s="3"/>
    </row>
    <row r="346" spans="1:25">
      <c r="A346" s="3"/>
      <c r="D346" s="3"/>
    </row>
    <row r="347" spans="1:25" s="386" customForma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3"/>
      <c r="D348" s="3"/>
    </row>
    <row r="349" spans="1:25">
      <c r="A349" s="3"/>
      <c r="D349" s="3"/>
    </row>
    <row r="350" spans="1:25" s="386" customForma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3"/>
      <c r="D351" s="3"/>
    </row>
    <row r="352" spans="1:25">
      <c r="A352" s="3"/>
      <c r="D352" s="3"/>
    </row>
    <row r="353" spans="1:25" s="386" customForma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3"/>
      <c r="D354" s="3"/>
    </row>
    <row r="355" spans="1:25">
      <c r="A355" s="3"/>
      <c r="D355" s="3"/>
    </row>
    <row r="356" spans="1:25" s="386" customForma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3"/>
      <c r="D357" s="3"/>
    </row>
    <row r="358" spans="1:25">
      <c r="A358" s="3"/>
      <c r="D358" s="3"/>
    </row>
    <row r="359" spans="1:25" s="386" customForma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3"/>
      <c r="D360" s="3"/>
    </row>
    <row r="361" spans="1:25">
      <c r="A361" s="3"/>
      <c r="D361" s="3"/>
    </row>
    <row r="362" spans="1:25" s="386" customForma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3"/>
      <c r="D363" s="3"/>
    </row>
    <row r="364" spans="1:25">
      <c r="A364" s="3"/>
      <c r="D364" s="3"/>
    </row>
    <row r="365" spans="1:25" s="386" customForma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3"/>
      <c r="D366" s="3"/>
    </row>
    <row r="367" spans="1:25">
      <c r="A367" s="3"/>
      <c r="D367" s="3"/>
    </row>
    <row r="368" spans="1:25" s="386" customForma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3"/>
      <c r="D369" s="3"/>
    </row>
    <row r="370" spans="1:25">
      <c r="A370" s="3"/>
      <c r="D370" s="3"/>
    </row>
    <row r="371" spans="1:25" s="386" customForma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3"/>
      <c r="D372" s="3"/>
    </row>
    <row r="373" spans="1:25">
      <c r="A373" s="3"/>
      <c r="D373" s="3"/>
    </row>
    <row r="374" spans="1:25" s="386" customForma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3"/>
      <c r="D375" s="3"/>
    </row>
    <row r="376" spans="1:25">
      <c r="A376" s="3"/>
      <c r="D376" s="3"/>
    </row>
    <row r="377" spans="1:25" s="386" customForma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3"/>
      <c r="D378" s="3"/>
    </row>
    <row r="379" spans="1:25">
      <c r="A379" s="3"/>
      <c r="D379" s="3"/>
    </row>
    <row r="380" spans="1:25" s="386" customForma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3"/>
      <c r="D381" s="3"/>
    </row>
    <row r="382" spans="1:25">
      <c r="A382" s="3"/>
      <c r="D382" s="3"/>
    </row>
    <row r="383" spans="1:25" s="386" customForma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3"/>
      <c r="D384" s="3"/>
    </row>
    <row r="385" spans="1:25">
      <c r="A385" s="3"/>
      <c r="D385" s="3"/>
    </row>
    <row r="386" spans="1:25" s="386" customForma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3"/>
      <c r="D387" s="3"/>
    </row>
    <row r="388" spans="1:25">
      <c r="A388" s="3"/>
      <c r="D388" s="3"/>
    </row>
    <row r="389" spans="1:25" s="386" customForma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3"/>
      <c r="D390" s="3"/>
    </row>
    <row r="391" spans="1:25">
      <c r="A391" s="3"/>
      <c r="D391" s="3"/>
    </row>
    <row r="392" spans="1:25" s="386" customForma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3"/>
      <c r="D393" s="3"/>
    </row>
    <row r="394" spans="1:25">
      <c r="A394" s="3"/>
      <c r="D394" s="3"/>
    </row>
    <row r="395" spans="1:25" s="386" customForma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3"/>
      <c r="D396" s="3"/>
    </row>
    <row r="397" spans="1:25">
      <c r="A397" s="3"/>
      <c r="D397" s="3"/>
    </row>
    <row r="398" spans="1:25" s="386" customForma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3"/>
      <c r="D399" s="3"/>
    </row>
    <row r="400" spans="1:25">
      <c r="A400" s="3"/>
      <c r="D400" s="3"/>
    </row>
    <row r="401" spans="1:25" s="386" customForma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3"/>
      <c r="D402" s="3"/>
    </row>
    <row r="403" spans="1:25">
      <c r="A403" s="3"/>
      <c r="D403" s="3"/>
    </row>
    <row r="404" spans="1:25" s="386" customForma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3"/>
      <c r="D405" s="3"/>
    </row>
    <row r="406" spans="1:25">
      <c r="A406" s="3"/>
      <c r="D406" s="3"/>
    </row>
    <row r="407" spans="1:25" s="386" customForma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3"/>
      <c r="D408" s="3"/>
    </row>
    <row r="409" spans="1:25">
      <c r="A409" s="3"/>
      <c r="D409" s="3"/>
    </row>
    <row r="410" spans="1:25" s="386" customForma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3"/>
      <c r="D411" s="3"/>
    </row>
    <row r="412" spans="1:25">
      <c r="A412" s="3"/>
      <c r="D412" s="3"/>
    </row>
    <row r="413" spans="1:25" s="386" customForma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3"/>
      <c r="D414" s="3"/>
    </row>
    <row r="415" spans="1:25">
      <c r="A415" s="3"/>
      <c r="D415" s="3"/>
    </row>
    <row r="416" spans="1:25" s="386" customForma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3"/>
      <c r="D417" s="3"/>
    </row>
    <row r="418" spans="1:25">
      <c r="A418" s="3"/>
      <c r="D418" s="3"/>
    </row>
    <row r="419" spans="1:25" s="386" customForma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3"/>
      <c r="D420" s="3"/>
    </row>
    <row r="421" spans="1:25">
      <c r="A421" s="3"/>
      <c r="D421" s="3"/>
    </row>
    <row r="422" spans="1:25" s="386" customForma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3"/>
      <c r="D423" s="3"/>
    </row>
    <row r="424" spans="1:25">
      <c r="A424" s="3"/>
      <c r="D424" s="3"/>
    </row>
    <row r="425" spans="1:25" s="386" customForma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3"/>
      <c r="D426" s="3"/>
    </row>
    <row r="427" spans="1:25">
      <c r="A427" s="3"/>
      <c r="D427" s="3"/>
    </row>
    <row r="428" spans="1:25" s="386" customForma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3"/>
      <c r="D429" s="3"/>
    </row>
    <row r="430" spans="1:25">
      <c r="A430" s="3"/>
      <c r="D430" s="3"/>
    </row>
    <row r="431" spans="1:25" s="386" customForma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3"/>
      <c r="D432" s="3"/>
    </row>
    <row r="433" spans="1:25">
      <c r="A433" s="3"/>
      <c r="D433" s="3"/>
    </row>
    <row r="434" spans="1:25" s="386" customForma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3"/>
      <c r="D435" s="3"/>
    </row>
    <row r="436" spans="1:25">
      <c r="A436" s="3"/>
      <c r="D436" s="3"/>
    </row>
    <row r="437" spans="1:25" s="386" customForma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3"/>
      <c r="D438" s="3"/>
    </row>
    <row r="439" spans="1:25">
      <c r="A439" s="3"/>
      <c r="D439" s="3"/>
    </row>
    <row r="440" spans="1:25" s="386" customForma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3"/>
      <c r="D441" s="3"/>
    </row>
    <row r="442" spans="1:25">
      <c r="A442" s="3"/>
      <c r="D442" s="3"/>
    </row>
    <row r="443" spans="1:25" s="386" customForma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3"/>
      <c r="D444" s="3"/>
    </row>
    <row r="445" spans="1:25">
      <c r="A445" s="3"/>
      <c r="D445" s="3"/>
    </row>
    <row r="446" spans="1:25" s="386" customForma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3"/>
      <c r="D447" s="3"/>
    </row>
    <row r="448" spans="1:25">
      <c r="A448" s="3"/>
      <c r="D448" s="3"/>
    </row>
    <row r="449" spans="1:25" s="386" customForma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3"/>
      <c r="D450" s="3"/>
    </row>
    <row r="451" spans="1:25">
      <c r="A451" s="3"/>
      <c r="D451" s="3"/>
    </row>
    <row r="452" spans="1:25" s="386" customForma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3"/>
      <c r="D453" s="3"/>
    </row>
    <row r="454" spans="1:25">
      <c r="A454" s="3"/>
      <c r="D454" s="3"/>
    </row>
    <row r="455" spans="1:25" s="386" customForma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3"/>
      <c r="D456" s="3"/>
    </row>
    <row r="457" spans="1:25">
      <c r="A457" s="3"/>
      <c r="D457" s="3"/>
    </row>
    <row r="458" spans="1:25" s="386" customForma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3"/>
      <c r="D459" s="3"/>
    </row>
    <row r="460" spans="1:25">
      <c r="A460" s="3"/>
      <c r="D460" s="3"/>
    </row>
    <row r="461" spans="1:25" s="386" customForma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3"/>
      <c r="D462" s="3"/>
    </row>
    <row r="463" spans="1:25">
      <c r="A463" s="3"/>
      <c r="D463" s="3"/>
    </row>
    <row r="464" spans="1:25" s="386" customForma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3"/>
      <c r="D465" s="3"/>
    </row>
    <row r="466" spans="1:25">
      <c r="A466" s="3"/>
      <c r="D466" s="3"/>
    </row>
    <row r="467" spans="1:25" s="386" customForma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3"/>
      <c r="D468" s="3"/>
    </row>
    <row r="469" spans="1:25">
      <c r="A469" s="3"/>
      <c r="D469" s="3"/>
    </row>
    <row r="470" spans="1:25" s="386" customForma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3"/>
      <c r="D471" s="3"/>
    </row>
    <row r="472" spans="1:25">
      <c r="A472" s="3"/>
      <c r="D472" s="3"/>
    </row>
    <row r="473" spans="1:25" s="386" customForma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3"/>
      <c r="D474" s="3"/>
    </row>
    <row r="475" spans="1:25">
      <c r="A475" s="3"/>
      <c r="D475" s="3"/>
    </row>
    <row r="476" spans="1:25" s="386" customForma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3"/>
      <c r="D477" s="3"/>
    </row>
    <row r="478" spans="1:25">
      <c r="A478" s="3"/>
      <c r="D478" s="3"/>
    </row>
    <row r="479" spans="1:25" s="386" customForma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3"/>
      <c r="D480" s="3"/>
    </row>
    <row r="481" spans="1:25">
      <c r="A481" s="3"/>
      <c r="D481" s="3"/>
    </row>
    <row r="482" spans="1:25" s="386" customForma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3"/>
      <c r="D483" s="3"/>
    </row>
    <row r="484" spans="1:25">
      <c r="A484" s="3"/>
      <c r="D484" s="3"/>
    </row>
    <row r="485" spans="1:25" s="386" customForma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3"/>
      <c r="D486" s="3"/>
    </row>
    <row r="487" spans="1:25">
      <c r="A487" s="3"/>
      <c r="D487" s="3"/>
    </row>
    <row r="488" spans="1:25" s="386" customForma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3"/>
      <c r="D489" s="3"/>
    </row>
    <row r="490" spans="1:25">
      <c r="A490" s="3"/>
      <c r="D490" s="3"/>
    </row>
    <row r="491" spans="1:25" s="386" customForma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3"/>
      <c r="D492" s="3"/>
    </row>
    <row r="493" spans="1:25">
      <c r="A493" s="3"/>
      <c r="D493" s="3"/>
    </row>
    <row r="494" spans="1:25" s="386" customForma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3"/>
      <c r="D495" s="3"/>
    </row>
    <row r="496" spans="1:25">
      <c r="A496" s="3"/>
      <c r="D496" s="3"/>
    </row>
    <row r="497" spans="1:25" s="386" customForma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3"/>
      <c r="D498" s="3"/>
    </row>
    <row r="499" spans="1:25">
      <c r="A499" s="3"/>
      <c r="D499" s="3"/>
    </row>
    <row r="500" spans="1:25" s="386" customForma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3"/>
      <c r="D501" s="3"/>
    </row>
    <row r="502" spans="1:25">
      <c r="A502" s="3"/>
      <c r="D502" s="3"/>
    </row>
    <row r="503" spans="1:25" s="386" customForma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3"/>
      <c r="D504" s="3"/>
    </row>
    <row r="505" spans="1:25">
      <c r="A505" s="3"/>
      <c r="D505" s="3"/>
    </row>
    <row r="506" spans="1:25" s="386" customForma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3"/>
      <c r="D507" s="3"/>
    </row>
    <row r="508" spans="1:25">
      <c r="A508" s="3"/>
      <c r="D508" s="3"/>
    </row>
    <row r="509" spans="1:25" s="386" customForma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3"/>
      <c r="D510" s="3"/>
    </row>
    <row r="511" spans="1:25">
      <c r="A511" s="3"/>
      <c r="D511" s="3"/>
    </row>
    <row r="512" spans="1:25" s="386" customForma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3"/>
      <c r="D513" s="3"/>
    </row>
    <row r="514" spans="1:25">
      <c r="A514" s="3"/>
      <c r="D514" s="3"/>
    </row>
    <row r="515" spans="1:25" s="386" customForma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3"/>
      <c r="D516" s="3"/>
    </row>
    <row r="517" spans="1:25">
      <c r="A517" s="3"/>
      <c r="D517" s="3"/>
    </row>
    <row r="518" spans="1:25" s="386" customForma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3"/>
      <c r="D519" s="3"/>
    </row>
    <row r="520" spans="1:25">
      <c r="A520" s="3"/>
      <c r="D520" s="3"/>
    </row>
    <row r="521" spans="1:25" s="386" customForma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3"/>
      <c r="D522" s="3"/>
    </row>
    <row r="523" spans="1:25">
      <c r="A523" s="3"/>
      <c r="D523" s="3"/>
    </row>
    <row r="524" spans="1:25" s="386" customForma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3"/>
      <c r="D525" s="3"/>
    </row>
    <row r="526" spans="1:25">
      <c r="A526" s="3"/>
      <c r="D526" s="3"/>
    </row>
    <row r="527" spans="1:25" s="386" customForma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3"/>
      <c r="D528" s="3"/>
    </row>
    <row r="529" spans="1:25">
      <c r="A529" s="3"/>
      <c r="D529" s="3"/>
    </row>
    <row r="530" spans="1:25" s="386" customForma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3"/>
      <c r="D531" s="3"/>
    </row>
    <row r="532" spans="1:25">
      <c r="A532" s="3"/>
      <c r="D532" s="3"/>
    </row>
    <row r="533" spans="1:25" s="386" customForma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3"/>
      <c r="D534" s="3"/>
    </row>
    <row r="535" spans="1:25">
      <c r="A535" s="3"/>
      <c r="D535" s="3"/>
    </row>
    <row r="536" spans="1:25" s="386" customForma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3"/>
      <c r="D537" s="3"/>
    </row>
    <row r="538" spans="1:25">
      <c r="A538" s="3"/>
      <c r="D538" s="3"/>
    </row>
    <row r="539" spans="1:25" s="386" customForma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3"/>
      <c r="D540" s="3"/>
    </row>
    <row r="541" spans="1:25">
      <c r="A541" s="3"/>
      <c r="D541" s="3"/>
    </row>
    <row r="542" spans="1:25" s="386" customForma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3"/>
      <c r="D543" s="3"/>
    </row>
    <row r="544" spans="1:25">
      <c r="A544" s="3"/>
      <c r="D544" s="3"/>
    </row>
    <row r="545" spans="1:25" s="386" customForma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3"/>
      <c r="D546" s="3"/>
    </row>
    <row r="547" spans="1:25">
      <c r="A547" s="3"/>
      <c r="D547" s="3"/>
    </row>
    <row r="548" spans="1:25" s="386" customForma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3"/>
      <c r="D549" s="3"/>
    </row>
    <row r="550" spans="1:25">
      <c r="A550" s="3"/>
      <c r="D550" s="3"/>
    </row>
    <row r="551" spans="1:25" s="386" customForma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3"/>
      <c r="D552" s="3"/>
    </row>
    <row r="553" spans="1:25">
      <c r="A553" s="3"/>
      <c r="D553" s="3"/>
    </row>
    <row r="554" spans="1:25" s="386" customForma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3"/>
      <c r="D555" s="3"/>
    </row>
    <row r="556" spans="1:25">
      <c r="A556" s="3"/>
      <c r="D556" s="3"/>
    </row>
    <row r="557" spans="1:25" s="386" customForma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3"/>
      <c r="D558" s="3"/>
    </row>
    <row r="559" spans="1:25">
      <c r="A559" s="3"/>
      <c r="D559" s="3"/>
    </row>
    <row r="560" spans="1:25" s="386" customForma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3"/>
      <c r="D561" s="3"/>
    </row>
    <row r="562" spans="1:25">
      <c r="A562" s="3"/>
      <c r="D562" s="3"/>
    </row>
    <row r="563" spans="1:25" s="386" customForma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3"/>
      <c r="D564" s="3"/>
    </row>
    <row r="565" spans="1:25">
      <c r="A565" s="3"/>
      <c r="D565" s="3"/>
    </row>
    <row r="566" spans="1:25" s="386" customForma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3"/>
      <c r="D567" s="3"/>
    </row>
    <row r="568" spans="1:25">
      <c r="A568" s="3"/>
      <c r="D568" s="3"/>
    </row>
    <row r="569" spans="1:25" s="386" customForma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3"/>
      <c r="D570" s="3"/>
    </row>
    <row r="571" spans="1:25">
      <c r="A571" s="3"/>
      <c r="D571" s="3"/>
    </row>
    <row r="572" spans="1:25" s="386" customForma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3"/>
      <c r="D573" s="3"/>
    </row>
    <row r="574" spans="1:25">
      <c r="A574" s="3"/>
      <c r="D574" s="3"/>
    </row>
    <row r="575" spans="1:25" s="386" customForma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3"/>
      <c r="D576" s="3"/>
    </row>
    <row r="577" spans="1:25">
      <c r="A577" s="3"/>
      <c r="D577" s="3"/>
    </row>
    <row r="578" spans="1:25" s="386" customForma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3"/>
      <c r="D579" s="3"/>
    </row>
    <row r="580" spans="1:25">
      <c r="A580" s="3"/>
      <c r="D580" s="3"/>
    </row>
    <row r="581" spans="1:25" s="386" customForma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3"/>
      <c r="D582" s="3"/>
    </row>
    <row r="583" spans="1:25">
      <c r="A583" s="3"/>
      <c r="D583" s="3"/>
    </row>
    <row r="584" spans="1:25" s="386" customForma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3"/>
      <c r="D585" s="3"/>
    </row>
    <row r="586" spans="1:25">
      <c r="A586" s="3"/>
      <c r="D586" s="3"/>
    </row>
    <row r="587" spans="1:25" s="386" customForma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3"/>
      <c r="D588" s="3"/>
    </row>
    <row r="589" spans="1:25">
      <c r="A589" s="3"/>
      <c r="D589" s="3"/>
    </row>
    <row r="590" spans="1:25" s="386" customForma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3"/>
      <c r="D591" s="3"/>
    </row>
    <row r="592" spans="1:25">
      <c r="A592" s="3"/>
      <c r="D592" s="3"/>
    </row>
    <row r="593" spans="1:25" s="386" customForma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3"/>
      <c r="D594" s="3"/>
    </row>
    <row r="595" spans="1:25">
      <c r="A595" s="3"/>
      <c r="D595" s="3"/>
    </row>
    <row r="596" spans="1:25" s="386" customForma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3"/>
      <c r="D597" s="3"/>
    </row>
    <row r="598" spans="1:25">
      <c r="A598" s="3"/>
      <c r="D598" s="3"/>
    </row>
    <row r="599" spans="1:25" s="386" customForma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3"/>
      <c r="D600" s="3"/>
    </row>
    <row r="601" spans="1:25">
      <c r="A601" s="3"/>
      <c r="D601" s="3"/>
    </row>
    <row r="602" spans="1:25" s="386" customForma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3"/>
      <c r="D603" s="3"/>
    </row>
    <row r="604" spans="1:25">
      <c r="A604" s="3"/>
      <c r="D604" s="3"/>
    </row>
    <row r="605" spans="1:25" s="386" customForma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3"/>
      <c r="D606" s="3"/>
    </row>
    <row r="607" spans="1:25">
      <c r="A607" s="3"/>
      <c r="D607" s="3"/>
    </row>
    <row r="608" spans="1:25" s="386" customForma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3"/>
      <c r="D609" s="3"/>
    </row>
    <row r="610" spans="1:25">
      <c r="A610" s="3"/>
      <c r="D610" s="3"/>
    </row>
    <row r="611" spans="1:25" s="386" customForma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3"/>
      <c r="D612" s="3"/>
    </row>
    <row r="613" spans="1:25">
      <c r="A613" s="3"/>
      <c r="D613" s="3"/>
    </row>
    <row r="614" spans="1:25" s="386" customForma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3"/>
      <c r="D615" s="3"/>
    </row>
    <row r="616" spans="1:25">
      <c r="A616" s="3"/>
      <c r="D616" s="3"/>
    </row>
    <row r="617" spans="1:25" s="386" customForma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3"/>
      <c r="D618" s="3"/>
    </row>
    <row r="619" spans="1:25">
      <c r="A619" s="3"/>
      <c r="D619" s="3"/>
    </row>
    <row r="620" spans="1:25" s="386" customForma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3"/>
      <c r="D621" s="3"/>
    </row>
    <row r="622" spans="1:25">
      <c r="A622" s="3"/>
      <c r="D622" s="3"/>
    </row>
    <row r="623" spans="1:25" s="386" customForma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3"/>
      <c r="D624" s="3"/>
    </row>
    <row r="625" spans="1:25">
      <c r="A625" s="3"/>
      <c r="D625" s="3"/>
    </row>
    <row r="626" spans="1:25" s="386" customForma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3"/>
      <c r="D627" s="3"/>
    </row>
    <row r="628" spans="1:25">
      <c r="A628" s="3"/>
      <c r="D628" s="3"/>
    </row>
    <row r="629" spans="1:25" s="386" customForma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3"/>
      <c r="D630" s="3"/>
    </row>
    <row r="631" spans="1:25">
      <c r="A631" s="3"/>
      <c r="D631" s="3"/>
    </row>
    <row r="632" spans="1:25" s="386" customForma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3"/>
      <c r="D633" s="3"/>
    </row>
    <row r="634" spans="1:25">
      <c r="A634" s="3"/>
      <c r="D634" s="3"/>
    </row>
    <row r="635" spans="1:25" s="386" customForma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3"/>
      <c r="D636" s="3"/>
    </row>
    <row r="637" spans="1:25">
      <c r="A637" s="3"/>
      <c r="D637" s="3"/>
    </row>
    <row r="638" spans="1:25" s="386" customForma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3"/>
      <c r="D639" s="3"/>
    </row>
    <row r="640" spans="1:25">
      <c r="A640" s="3"/>
      <c r="D640" s="3"/>
    </row>
    <row r="641" spans="1:25" s="386" customForma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3"/>
      <c r="D642" s="3"/>
    </row>
    <row r="643" spans="1:25">
      <c r="A643" s="3"/>
      <c r="D643" s="3"/>
    </row>
    <row r="644" spans="1:25" s="386" customForma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3"/>
      <c r="D645" s="3"/>
    </row>
    <row r="646" spans="1:25">
      <c r="A646" s="3"/>
      <c r="D646" s="3"/>
    </row>
    <row r="647" spans="1:25" s="386" customForma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3"/>
      <c r="D648" s="3"/>
    </row>
    <row r="649" spans="1:25">
      <c r="A649" s="3"/>
      <c r="D649" s="3"/>
    </row>
    <row r="650" spans="1:25" s="386" customForma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3"/>
      <c r="D651" s="3"/>
    </row>
    <row r="652" spans="1:25">
      <c r="A652" s="3"/>
      <c r="D652" s="3"/>
    </row>
    <row r="653" spans="1:25" s="386" customForma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3"/>
      <c r="D654" s="3"/>
    </row>
    <row r="655" spans="1:25">
      <c r="A655" s="3"/>
      <c r="D655" s="3"/>
    </row>
    <row r="656" spans="1:25" s="386" customForma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3"/>
      <c r="D657" s="3"/>
    </row>
    <row r="658" spans="1:25">
      <c r="A658" s="3"/>
      <c r="D658" s="3"/>
    </row>
    <row r="659" spans="1:25" s="386" customForma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3"/>
      <c r="D660" s="3"/>
    </row>
    <row r="661" spans="1:25">
      <c r="A661" s="3"/>
      <c r="D661" s="3"/>
    </row>
    <row r="662" spans="1:25" s="386" customForma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3"/>
      <c r="D663" s="3"/>
    </row>
    <row r="664" spans="1:25">
      <c r="A664" s="3"/>
      <c r="D664" s="3"/>
    </row>
    <row r="665" spans="1:25" s="386" customForma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3"/>
      <c r="D666" s="3"/>
    </row>
    <row r="667" spans="1:25">
      <c r="A667" s="3"/>
      <c r="D667" s="3"/>
    </row>
    <row r="668" spans="1:25" s="386" customForma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3"/>
      <c r="D669" s="3"/>
    </row>
    <row r="670" spans="1:25">
      <c r="A670" s="3"/>
      <c r="D670" s="3"/>
    </row>
    <row r="671" spans="1:25" s="386" customForma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3"/>
      <c r="D672" s="3"/>
    </row>
    <row r="673" spans="1:25">
      <c r="A673" s="3"/>
      <c r="D673" s="3"/>
    </row>
    <row r="674" spans="1:25" s="386" customForma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3"/>
      <c r="D675" s="3"/>
    </row>
    <row r="676" spans="1:25">
      <c r="A676" s="3"/>
      <c r="D676" s="3"/>
    </row>
    <row r="677" spans="1:25" s="386" customForma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3"/>
      <c r="D678" s="3"/>
    </row>
    <row r="679" spans="1:25">
      <c r="A679" s="3"/>
      <c r="D679" s="3"/>
    </row>
    <row r="680" spans="1:25" s="386" customForma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3"/>
      <c r="D681" s="3"/>
    </row>
    <row r="682" spans="1:25">
      <c r="A682" s="3"/>
      <c r="D682" s="3"/>
    </row>
    <row r="683" spans="1:25" s="386" customForma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3"/>
      <c r="D684" s="3"/>
    </row>
    <row r="685" spans="1:25">
      <c r="A685" s="3"/>
      <c r="D685" s="3"/>
    </row>
    <row r="686" spans="1:25" s="386" customForma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3"/>
      <c r="D687" s="3"/>
    </row>
    <row r="688" spans="1:25">
      <c r="A688" s="3"/>
      <c r="D688" s="3"/>
    </row>
    <row r="689" spans="1:25" s="386" customForma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3"/>
      <c r="D690" s="3"/>
    </row>
    <row r="691" spans="1:25">
      <c r="A691" s="3"/>
      <c r="D691" s="3"/>
    </row>
    <row r="692" spans="1:25" s="386" customForma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3"/>
      <c r="D693" s="3"/>
    </row>
    <row r="694" spans="1:25">
      <c r="A694" s="3"/>
      <c r="D694" s="3"/>
    </row>
    <row r="695" spans="1:25" s="386" customForma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3"/>
      <c r="D696" s="3"/>
    </row>
    <row r="697" spans="1:25">
      <c r="A697" s="3"/>
      <c r="D697" s="3"/>
    </row>
    <row r="698" spans="1:25" s="386" customForma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3"/>
      <c r="D699" s="3"/>
    </row>
    <row r="700" spans="1:25">
      <c r="A700" s="3"/>
      <c r="D700" s="3"/>
    </row>
    <row r="701" spans="1:25" s="386" customForma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3"/>
      <c r="D702" s="3"/>
    </row>
    <row r="703" spans="1:25">
      <c r="A703" s="3"/>
      <c r="D703" s="3"/>
    </row>
    <row r="704" spans="1:25" s="386" customForma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3"/>
      <c r="D705" s="3"/>
    </row>
    <row r="706" spans="1:25">
      <c r="A706" s="3"/>
      <c r="D706" s="3"/>
    </row>
    <row r="707" spans="1:25" s="386" customForma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3"/>
      <c r="D708" s="3"/>
    </row>
    <row r="709" spans="1:25">
      <c r="A709" s="3"/>
      <c r="D709" s="3"/>
    </row>
    <row r="710" spans="1:25" s="386" customForma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3"/>
      <c r="D711" s="3"/>
    </row>
    <row r="712" spans="1:25">
      <c r="A712" s="3"/>
      <c r="D712" s="3"/>
    </row>
    <row r="713" spans="1:25" s="386" customForma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3"/>
      <c r="D714" s="3"/>
    </row>
    <row r="715" spans="1:25">
      <c r="A715" s="3"/>
      <c r="D715" s="3"/>
    </row>
    <row r="716" spans="1:25" s="386" customForma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3"/>
      <c r="D717" s="3"/>
    </row>
    <row r="718" spans="1:25">
      <c r="A718" s="3"/>
      <c r="D718" s="3"/>
    </row>
    <row r="719" spans="1:25" s="386" customForma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3"/>
      <c r="D720" s="3"/>
    </row>
    <row r="721" spans="1:25">
      <c r="A721" s="3"/>
      <c r="D721" s="3"/>
    </row>
    <row r="722" spans="1:25" s="386" customForma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3"/>
      <c r="D723" s="3"/>
    </row>
    <row r="724" spans="1:25">
      <c r="A724" s="3"/>
      <c r="D724" s="3"/>
    </row>
    <row r="725" spans="1:25" s="386" customForma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3"/>
      <c r="D726" s="3"/>
    </row>
    <row r="727" spans="1:25">
      <c r="A727" s="3"/>
      <c r="D727" s="3"/>
    </row>
    <row r="728" spans="1:25" s="386" customForma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3"/>
      <c r="D729" s="3"/>
    </row>
    <row r="730" spans="1:25">
      <c r="A730" s="3"/>
      <c r="D730" s="3"/>
    </row>
    <row r="731" spans="1:25" s="386" customForma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3"/>
      <c r="D732" s="3"/>
    </row>
    <row r="733" spans="1:25">
      <c r="A733" s="3"/>
      <c r="D733" s="3"/>
    </row>
    <row r="734" spans="1:25" s="386" customForma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3"/>
      <c r="D735" s="3"/>
    </row>
    <row r="736" spans="1:25">
      <c r="A736" s="3"/>
      <c r="D736" s="3"/>
    </row>
    <row r="737" spans="1:25" s="386" customForma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3"/>
      <c r="D738" s="3"/>
    </row>
    <row r="739" spans="1:25">
      <c r="A739" s="3"/>
      <c r="D739" s="3"/>
    </row>
    <row r="740" spans="1:25" s="386" customForma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3"/>
      <c r="D741" s="3"/>
    </row>
    <row r="742" spans="1:25">
      <c r="A742" s="3"/>
      <c r="D742" s="3"/>
    </row>
    <row r="743" spans="1:25" s="386" customForma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3"/>
      <c r="D744" s="3"/>
    </row>
    <row r="745" spans="1:25">
      <c r="A745" s="3"/>
      <c r="D745" s="3"/>
    </row>
    <row r="746" spans="1:25" s="386" customForma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3"/>
      <c r="D747" s="3"/>
    </row>
    <row r="748" spans="1:25">
      <c r="A748" s="3"/>
      <c r="D748" s="3"/>
    </row>
    <row r="749" spans="1:25" s="386" customForma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3"/>
      <c r="D750" s="3"/>
    </row>
    <row r="751" spans="1:25">
      <c r="A751" s="3"/>
      <c r="D751" s="3"/>
    </row>
    <row r="752" spans="1:25" s="386" customForma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3"/>
      <c r="D753" s="3"/>
    </row>
    <row r="754" spans="1:25">
      <c r="A754" s="3"/>
      <c r="D754" s="3"/>
    </row>
    <row r="755" spans="1:25" s="386" customForma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3"/>
      <c r="D756" s="3"/>
    </row>
    <row r="757" spans="1:25">
      <c r="A757" s="3"/>
      <c r="D757" s="3"/>
    </row>
    <row r="758" spans="1:25" s="386" customForma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3"/>
      <c r="D759" s="3"/>
    </row>
    <row r="760" spans="1:25">
      <c r="A760" s="3"/>
      <c r="D760" s="3"/>
    </row>
    <row r="761" spans="1:25" s="386" customForma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3"/>
      <c r="D762" s="3"/>
    </row>
    <row r="763" spans="1:25">
      <c r="A763" s="3"/>
      <c r="D763" s="3"/>
    </row>
    <row r="764" spans="1:25" s="386" customForma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3"/>
      <c r="D765" s="3"/>
    </row>
    <row r="766" spans="1:25">
      <c r="A766" s="3"/>
      <c r="D766" s="3"/>
    </row>
    <row r="767" spans="1:25" s="386" customForma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3"/>
      <c r="D768" s="3"/>
    </row>
    <row r="769" spans="1:25">
      <c r="A769" s="3"/>
      <c r="D769" s="3"/>
    </row>
    <row r="770" spans="1:25" s="386" customForma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3"/>
      <c r="D771" s="3"/>
    </row>
    <row r="772" spans="1:25">
      <c r="A772" s="3"/>
      <c r="D772" s="3"/>
    </row>
    <row r="773" spans="1:25" s="386" customForma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3"/>
      <c r="D774" s="3"/>
    </row>
    <row r="775" spans="1:25">
      <c r="A775" s="3"/>
      <c r="D775" s="3"/>
    </row>
    <row r="776" spans="1:25" s="386" customForma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3"/>
      <c r="D777" s="3"/>
    </row>
    <row r="778" spans="1:25">
      <c r="A778" s="3"/>
      <c r="D778" s="3"/>
    </row>
    <row r="779" spans="1:25" s="386" customForma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3"/>
      <c r="D780" s="3"/>
    </row>
    <row r="781" spans="1:25">
      <c r="A781" s="3"/>
      <c r="D781" s="3"/>
    </row>
    <row r="782" spans="1:25" s="386" customForma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3"/>
      <c r="D783" s="3"/>
    </row>
    <row r="784" spans="1:25">
      <c r="A784" s="3"/>
      <c r="D784" s="3"/>
    </row>
    <row r="785" spans="1:25" s="386" customForma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3"/>
      <c r="D786" s="3"/>
    </row>
    <row r="787" spans="1:25">
      <c r="A787" s="3"/>
      <c r="D787" s="3"/>
    </row>
    <row r="788" spans="1:25" s="386" customForma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3"/>
      <c r="D789" s="3"/>
    </row>
    <row r="790" spans="1:25">
      <c r="A790" s="3"/>
      <c r="D790" s="3"/>
    </row>
    <row r="791" spans="1:25" s="386" customForma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3"/>
      <c r="D792" s="3"/>
    </row>
    <row r="793" spans="1:25">
      <c r="A793" s="3"/>
      <c r="D793" s="3"/>
    </row>
    <row r="794" spans="1:25" s="386" customForma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3"/>
      <c r="D795" s="3"/>
    </row>
    <row r="796" spans="1:25">
      <c r="A796" s="3"/>
      <c r="D796" s="3"/>
    </row>
    <row r="797" spans="1:25" s="386" customForma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3"/>
      <c r="D798" s="3"/>
    </row>
    <row r="799" spans="1:25">
      <c r="A799" s="3"/>
      <c r="D799" s="3"/>
    </row>
    <row r="800" spans="1:25" s="386" customForma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3"/>
      <c r="D801" s="3"/>
    </row>
    <row r="802" spans="1:25">
      <c r="A802" s="3"/>
      <c r="D802" s="3"/>
    </row>
    <row r="803" spans="1:25" s="386" customForma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3"/>
      <c r="D804" s="3"/>
    </row>
    <row r="805" spans="1:25">
      <c r="A805" s="3"/>
      <c r="D805" s="3"/>
    </row>
    <row r="806" spans="1:25" s="386" customForma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3"/>
      <c r="D807" s="3"/>
    </row>
    <row r="808" spans="1:25">
      <c r="A808" s="3"/>
      <c r="D808" s="3"/>
    </row>
    <row r="809" spans="1:25" s="386" customForma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3"/>
      <c r="D810" s="3"/>
    </row>
    <row r="811" spans="1:25">
      <c r="A811" s="3"/>
      <c r="D811" s="3"/>
    </row>
    <row r="812" spans="1:25" s="386" customForma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3"/>
      <c r="D813" s="3"/>
    </row>
    <row r="814" spans="1:25">
      <c r="A814" s="3"/>
      <c r="D814" s="3"/>
    </row>
    <row r="815" spans="1:25" s="386" customForma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3"/>
      <c r="D816" s="3"/>
    </row>
    <row r="817" spans="1:25">
      <c r="A817" s="3"/>
      <c r="D817" s="3"/>
    </row>
    <row r="818" spans="1:25" s="386" customForma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3"/>
      <c r="D819" s="3"/>
    </row>
    <row r="820" spans="1:25">
      <c r="A820" s="3"/>
      <c r="D820" s="3"/>
    </row>
    <row r="821" spans="1:25" s="386" customForma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3"/>
      <c r="D822" s="3"/>
    </row>
    <row r="823" spans="1:25">
      <c r="A823" s="3"/>
      <c r="D823" s="3"/>
    </row>
    <row r="824" spans="1:25" s="386" customForma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3"/>
      <c r="D825" s="3"/>
    </row>
    <row r="826" spans="1:25">
      <c r="A826" s="3"/>
      <c r="D826" s="3"/>
    </row>
    <row r="827" spans="1:25" s="386" customForma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3"/>
      <c r="D828" s="3"/>
    </row>
    <row r="829" spans="1:25">
      <c r="A829" s="3"/>
      <c r="D829" s="3"/>
    </row>
    <row r="830" spans="1:25" s="386" customForma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3"/>
      <c r="D831" s="3"/>
    </row>
    <row r="832" spans="1:25">
      <c r="A832" s="3"/>
      <c r="D832" s="3"/>
    </row>
    <row r="833" spans="1:25" s="386" customForma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3"/>
      <c r="D834" s="3"/>
    </row>
    <row r="835" spans="1:25">
      <c r="A835" s="3"/>
      <c r="D835" s="3"/>
    </row>
    <row r="836" spans="1:25" s="386" customForma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3"/>
      <c r="D837" s="3"/>
    </row>
    <row r="838" spans="1:25">
      <c r="A838" s="3"/>
      <c r="D838" s="3"/>
    </row>
    <row r="839" spans="1:25" s="386" customForma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3"/>
      <c r="D840" s="3"/>
    </row>
    <row r="841" spans="1:25">
      <c r="A841" s="3"/>
      <c r="D841" s="3"/>
    </row>
    <row r="842" spans="1:25" s="386" customForma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3"/>
      <c r="D843" s="3"/>
    </row>
    <row r="844" spans="1:25">
      <c r="A844" s="3"/>
      <c r="D844" s="3"/>
    </row>
    <row r="845" spans="1:25" s="386" customForma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3"/>
      <c r="D846" s="3"/>
    </row>
    <row r="847" spans="1:25">
      <c r="A847" s="3"/>
      <c r="D847" s="3"/>
    </row>
    <row r="848" spans="1:25" s="386" customForma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3"/>
      <c r="D849" s="3"/>
    </row>
    <row r="850" spans="1:25">
      <c r="A850" s="3"/>
      <c r="D850" s="3"/>
    </row>
    <row r="851" spans="1:25" s="386" customForma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3"/>
      <c r="D852" s="3"/>
    </row>
    <row r="853" spans="1:25">
      <c r="A853" s="3"/>
      <c r="D853" s="3"/>
    </row>
    <row r="854" spans="1:25" s="386" customForma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3"/>
      <c r="D855" s="3"/>
    </row>
    <row r="856" spans="1:25">
      <c r="A856" s="3"/>
      <c r="D856" s="3"/>
    </row>
    <row r="857" spans="1:25" s="386" customForma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3"/>
      <c r="D858" s="3"/>
    </row>
    <row r="859" spans="1:25">
      <c r="A859" s="3"/>
      <c r="D859" s="3"/>
    </row>
    <row r="860" spans="1:25" s="386" customForma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3"/>
      <c r="D861" s="3"/>
    </row>
    <row r="862" spans="1:25">
      <c r="A862" s="3"/>
      <c r="D862" s="3"/>
    </row>
    <row r="863" spans="1:25" s="386" customForma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3"/>
      <c r="D864" s="3"/>
    </row>
    <row r="865" spans="1:25">
      <c r="A865" s="3"/>
      <c r="D865" s="3"/>
    </row>
    <row r="866" spans="1:25" s="386" customForma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3"/>
      <c r="D867" s="3"/>
    </row>
    <row r="868" spans="1:25">
      <c r="A868" s="3"/>
      <c r="D868" s="3"/>
    </row>
    <row r="869" spans="1:25" s="386" customForma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3"/>
      <c r="D870" s="3"/>
    </row>
    <row r="871" spans="1:25">
      <c r="A871" s="3"/>
      <c r="D871" s="3"/>
    </row>
    <row r="872" spans="1:25" s="386" customForma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3"/>
      <c r="D873" s="3"/>
    </row>
    <row r="874" spans="1:25">
      <c r="A874" s="3"/>
      <c r="D874" s="3"/>
    </row>
    <row r="875" spans="1:25">
      <c r="A875" s="3"/>
      <c r="D875" s="3"/>
    </row>
    <row r="876" spans="1:25">
      <c r="A876" s="3"/>
      <c r="D876" s="3"/>
    </row>
    <row r="877" spans="1:25">
      <c r="A877" s="3"/>
      <c r="D877" s="3"/>
    </row>
    <row r="878" spans="1:25">
      <c r="A878" s="3"/>
      <c r="D878" s="3"/>
    </row>
    <row r="879" spans="1:25">
      <c r="A879" s="3"/>
      <c r="D879" s="3"/>
    </row>
    <row r="880" spans="1:25">
      <c r="A880" s="3"/>
      <c r="D880" s="3"/>
    </row>
    <row r="881" spans="1:4">
      <c r="A881" s="3"/>
      <c r="D881" s="3"/>
    </row>
    <row r="882" spans="1:4">
      <c r="A882" s="3"/>
      <c r="D882" s="3"/>
    </row>
    <row r="883" spans="1:4">
      <c r="A883" s="3"/>
      <c r="D883" s="3"/>
    </row>
    <row r="884" spans="1:4">
      <c r="A884" s="3"/>
      <c r="D884" s="3"/>
    </row>
    <row r="885" spans="1:4">
      <c r="A885" s="3"/>
      <c r="D885" s="3"/>
    </row>
    <row r="886" spans="1:4">
      <c r="A886" s="3"/>
      <c r="D886" s="3"/>
    </row>
    <row r="887" spans="1:4">
      <c r="A887" s="3"/>
      <c r="D887" s="3"/>
    </row>
    <row r="888" spans="1:4">
      <c r="A888" s="3"/>
      <c r="D888" s="3"/>
    </row>
    <row r="889" spans="1:4">
      <c r="A889" s="3"/>
      <c r="D889" s="3"/>
    </row>
    <row r="890" spans="1:4">
      <c r="A890" s="3"/>
      <c r="D890" s="3"/>
    </row>
    <row r="891" spans="1:4">
      <c r="A891" s="3"/>
      <c r="D891" s="3"/>
    </row>
    <row r="892" spans="1:4">
      <c r="A892" s="3"/>
      <c r="D892" s="3"/>
    </row>
    <row r="893" spans="1:4">
      <c r="A893" s="3"/>
      <c r="D893" s="3"/>
    </row>
    <row r="894" spans="1:4">
      <c r="A894" s="3"/>
      <c r="D894" s="3"/>
    </row>
    <row r="895" spans="1:4">
      <c r="A895" s="3"/>
      <c r="D895" s="3"/>
    </row>
    <row r="896" spans="1:4">
      <c r="A896" s="3"/>
      <c r="D896" s="3"/>
    </row>
    <row r="897" spans="1:4">
      <c r="A897" s="3"/>
      <c r="D897" s="3"/>
    </row>
    <row r="898" spans="1:4">
      <c r="A898" s="3"/>
      <c r="D898" s="3"/>
    </row>
    <row r="899" spans="1:4">
      <c r="A899" s="3"/>
      <c r="D899" s="3"/>
    </row>
    <row r="900" spans="1:4">
      <c r="A900" s="3"/>
      <c r="D900" s="3"/>
    </row>
    <row r="901" spans="1:4">
      <c r="A901" s="3"/>
      <c r="D901" s="3"/>
    </row>
    <row r="902" spans="1:4">
      <c r="A902" s="3"/>
      <c r="D902" s="3"/>
    </row>
    <row r="903" spans="1:4">
      <c r="A903" s="3"/>
      <c r="D903" s="3"/>
    </row>
    <row r="904" spans="1:4">
      <c r="A904" s="3"/>
      <c r="D904" s="3"/>
    </row>
    <row r="905" spans="1:4">
      <c r="A905" s="3"/>
      <c r="D905" s="3"/>
    </row>
    <row r="906" spans="1:4">
      <c r="A906" s="3"/>
      <c r="D906" s="3"/>
    </row>
    <row r="907" spans="1:4">
      <c r="A907" s="3"/>
      <c r="D907" s="3"/>
    </row>
    <row r="908" spans="1:4">
      <c r="A908" s="3"/>
      <c r="D908" s="3"/>
    </row>
    <row r="909" spans="1:4">
      <c r="A909" s="3"/>
      <c r="D909" s="3"/>
    </row>
    <row r="910" spans="1:4">
      <c r="A910" s="3"/>
      <c r="D910" s="3"/>
    </row>
    <row r="911" spans="1:4">
      <c r="A911" s="3"/>
      <c r="D911" s="3"/>
    </row>
    <row r="912" spans="1:4">
      <c r="A912" s="3"/>
      <c r="D912" s="3"/>
    </row>
    <row r="913" spans="1:4">
      <c r="A913" s="3"/>
      <c r="D913" s="3"/>
    </row>
    <row r="914" spans="1:4">
      <c r="A914" s="3"/>
      <c r="D914" s="3"/>
    </row>
    <row r="915" spans="1:4">
      <c r="A915" s="3"/>
      <c r="D915" s="3"/>
    </row>
    <row r="916" spans="1:4">
      <c r="A916" s="3"/>
      <c r="D916" s="3"/>
    </row>
    <row r="917" spans="1:4">
      <c r="A917" s="3"/>
      <c r="D917" s="3"/>
    </row>
    <row r="918" spans="1:4">
      <c r="A918" s="3"/>
      <c r="D918" s="3"/>
    </row>
    <row r="919" spans="1:4">
      <c r="A919" s="3"/>
      <c r="D919" s="3"/>
    </row>
    <row r="920" spans="1:4">
      <c r="A920" s="3"/>
      <c r="D920" s="3"/>
    </row>
    <row r="921" spans="1:4">
      <c r="A921" s="3"/>
      <c r="D921" s="3"/>
    </row>
    <row r="922" spans="1:4">
      <c r="A922" s="3"/>
      <c r="D922" s="3"/>
    </row>
    <row r="923" spans="1:4">
      <c r="A923" s="3"/>
      <c r="D923" s="3"/>
    </row>
    <row r="924" spans="1:4">
      <c r="A924" s="3"/>
      <c r="D924" s="3"/>
    </row>
    <row r="925" spans="1:4">
      <c r="A925" s="3"/>
      <c r="D925" s="3"/>
    </row>
    <row r="926" spans="1:4">
      <c r="A926" s="3"/>
      <c r="D926" s="3"/>
    </row>
    <row r="927" spans="1:4">
      <c r="A927" s="3"/>
      <c r="D927" s="3"/>
    </row>
    <row r="928" spans="1:4">
      <c r="A928" s="3"/>
      <c r="D928" s="3"/>
    </row>
    <row r="929" spans="1:4">
      <c r="A929" s="3"/>
      <c r="D929" s="3"/>
    </row>
    <row r="930" spans="1:4">
      <c r="A930" s="3"/>
      <c r="D930" s="3"/>
    </row>
    <row r="931" spans="1:4">
      <c r="A931" s="3"/>
      <c r="D931" s="3"/>
    </row>
    <row r="932" spans="1:4">
      <c r="A932" s="3"/>
      <c r="D932" s="3"/>
    </row>
    <row r="933" spans="1:4">
      <c r="A933" s="3"/>
      <c r="D933" s="3"/>
    </row>
    <row r="934" spans="1:4">
      <c r="A934" s="3"/>
      <c r="D934" s="3"/>
    </row>
    <row r="935" spans="1:4">
      <c r="A935" s="3"/>
      <c r="D935" s="3"/>
    </row>
    <row r="936" spans="1:4">
      <c r="A936" s="3"/>
      <c r="D936" s="3"/>
    </row>
    <row r="937" spans="1:4">
      <c r="A937" s="3"/>
      <c r="D937" s="3"/>
    </row>
    <row r="938" spans="1:4">
      <c r="A938" s="3"/>
      <c r="D938" s="3"/>
    </row>
    <row r="939" spans="1:4">
      <c r="A939" s="3"/>
      <c r="D939" s="3"/>
    </row>
    <row r="940" spans="1:4">
      <c r="A940" s="3"/>
      <c r="D940" s="3"/>
    </row>
    <row r="941" spans="1:4">
      <c r="A941" s="3"/>
      <c r="D941" s="3"/>
    </row>
    <row r="942" spans="1:4">
      <c r="A942" s="3"/>
      <c r="D942" s="3"/>
    </row>
    <row r="943" spans="1:4">
      <c r="A943" s="3"/>
      <c r="D943" s="3"/>
    </row>
    <row r="944" spans="1:4">
      <c r="A944" s="3"/>
      <c r="D944" s="3"/>
    </row>
    <row r="945" spans="1:4">
      <c r="A945" s="3"/>
      <c r="D945" s="3"/>
    </row>
    <row r="946" spans="1:4">
      <c r="A946" s="3"/>
      <c r="D946" s="3"/>
    </row>
    <row r="947" spans="1:4">
      <c r="A947" s="3"/>
      <c r="D947" s="3"/>
    </row>
    <row r="948" spans="1:4">
      <c r="A948" s="3"/>
      <c r="D948" s="3"/>
    </row>
    <row r="949" spans="1:4">
      <c r="A949" s="3"/>
      <c r="D949" s="3"/>
    </row>
    <row r="950" spans="1:4">
      <c r="A950" s="3"/>
      <c r="D950" s="3"/>
    </row>
    <row r="951" spans="1:4">
      <c r="A951" s="3"/>
      <c r="D951" s="3"/>
    </row>
    <row r="952" spans="1:4">
      <c r="A952" s="3"/>
      <c r="D952" s="3"/>
    </row>
    <row r="953" spans="1:4">
      <c r="A953" s="3"/>
      <c r="D953" s="3"/>
    </row>
    <row r="954" spans="1:4">
      <c r="A954" s="3"/>
      <c r="D954" s="3"/>
    </row>
    <row r="955" spans="1:4">
      <c r="A955" s="3"/>
      <c r="D955" s="3"/>
    </row>
    <row r="956" spans="1:4">
      <c r="A956" s="3"/>
      <c r="D956" s="3"/>
    </row>
    <row r="957" spans="1:4">
      <c r="A957" s="3"/>
      <c r="D957" s="3"/>
    </row>
    <row r="958" spans="1:4">
      <c r="A958" s="3"/>
      <c r="D958" s="3"/>
    </row>
    <row r="959" spans="1:4">
      <c r="A959" s="3"/>
      <c r="D959" s="3"/>
    </row>
    <row r="960" spans="1:4">
      <c r="A960" s="3"/>
      <c r="D960" s="3"/>
    </row>
    <row r="961" spans="1:4">
      <c r="A961" s="3"/>
      <c r="D961" s="3"/>
    </row>
    <row r="962" spans="1:4">
      <c r="A962" s="3"/>
      <c r="D962" s="3"/>
    </row>
    <row r="963" spans="1:4">
      <c r="A963" s="3"/>
      <c r="D963" s="3"/>
    </row>
    <row r="964" spans="1:4">
      <c r="A964" s="3"/>
      <c r="D964" s="3"/>
    </row>
    <row r="965" spans="1:4">
      <c r="A965" s="3"/>
      <c r="D965" s="3"/>
    </row>
    <row r="966" spans="1:4">
      <c r="A966" s="3"/>
      <c r="D966" s="3"/>
    </row>
    <row r="967" spans="1:4">
      <c r="A967" s="3"/>
      <c r="D967" s="3"/>
    </row>
    <row r="968" spans="1:4">
      <c r="A968" s="3"/>
      <c r="D968" s="3"/>
    </row>
    <row r="969" spans="1:4">
      <c r="A969" s="3"/>
      <c r="D969" s="3"/>
    </row>
    <row r="970" spans="1:4">
      <c r="A970" s="3"/>
      <c r="D970" s="3"/>
    </row>
    <row r="971" spans="1:4">
      <c r="A971" s="3"/>
      <c r="D971" s="3"/>
    </row>
    <row r="972" spans="1:4">
      <c r="A972" s="3"/>
      <c r="D972" s="3"/>
    </row>
    <row r="973" spans="1:4">
      <c r="A973" s="3"/>
      <c r="D973" s="3"/>
    </row>
    <row r="974" spans="1:4">
      <c r="A974" s="3"/>
      <c r="D974" s="3"/>
    </row>
    <row r="975" spans="1:4">
      <c r="A975" s="3"/>
      <c r="D975" s="3"/>
    </row>
    <row r="976" spans="1:4">
      <c r="A976" s="3"/>
      <c r="D976" s="3"/>
    </row>
    <row r="977" spans="1:4">
      <c r="A977" s="3"/>
      <c r="D977" s="3"/>
    </row>
    <row r="978" spans="1:4">
      <c r="A978" s="3"/>
      <c r="D978" s="3"/>
    </row>
    <row r="979" spans="1:4">
      <c r="A979" s="3"/>
      <c r="D979" s="3"/>
    </row>
    <row r="980" spans="1:4">
      <c r="A980" s="3"/>
      <c r="D980" s="3"/>
    </row>
    <row r="981" spans="1:4">
      <c r="A981" s="3"/>
      <c r="D981" s="3"/>
    </row>
    <row r="982" spans="1:4">
      <c r="A982" s="3"/>
      <c r="D982" s="3"/>
    </row>
    <row r="983" spans="1:4">
      <c r="A983" s="3"/>
      <c r="D983" s="3"/>
    </row>
    <row r="984" spans="1:4">
      <c r="A984" s="3"/>
      <c r="D984" s="3"/>
    </row>
    <row r="985" spans="1:4">
      <c r="A985" s="3"/>
      <c r="D985" s="3"/>
    </row>
    <row r="986" spans="1:4">
      <c r="A986" s="3"/>
      <c r="D986" s="3"/>
    </row>
    <row r="987" spans="1:4">
      <c r="A987" s="3"/>
      <c r="D987" s="3"/>
    </row>
    <row r="988" spans="1:4">
      <c r="A988" s="3"/>
      <c r="D988" s="3"/>
    </row>
    <row r="989" spans="1:4">
      <c r="A989" s="3"/>
      <c r="D989" s="3"/>
    </row>
    <row r="990" spans="1:4">
      <c r="A990" s="3"/>
      <c r="D990" s="3"/>
    </row>
    <row r="991" spans="1:4">
      <c r="A991" s="3"/>
      <c r="D991" s="3"/>
    </row>
    <row r="992" spans="1:4">
      <c r="A992" s="3"/>
      <c r="D992" s="3"/>
    </row>
    <row r="993" spans="1:4">
      <c r="A993" s="3"/>
      <c r="D993" s="3"/>
    </row>
    <row r="994" spans="1:4">
      <c r="A994" s="3"/>
      <c r="D994" s="3"/>
    </row>
    <row r="995" spans="1:4">
      <c r="A995" s="3"/>
      <c r="D995" s="3"/>
    </row>
    <row r="996" spans="1:4">
      <c r="A996" s="3"/>
      <c r="D996" s="3"/>
    </row>
    <row r="997" spans="1:4">
      <c r="A997" s="3"/>
      <c r="D997" s="3"/>
    </row>
    <row r="998" spans="1:4">
      <c r="A998" s="3"/>
      <c r="D998" s="3"/>
    </row>
    <row r="999" spans="1:4">
      <c r="A999" s="3"/>
      <c r="D999" s="3"/>
    </row>
    <row r="1000" spans="1:4">
      <c r="A1000" s="3"/>
      <c r="D1000" s="3"/>
    </row>
    <row r="1001" spans="1:4">
      <c r="A1001" s="3"/>
      <c r="D1001" s="3"/>
    </row>
    <row r="1002" spans="1:4">
      <c r="A1002" s="3"/>
      <c r="D1002" s="3"/>
    </row>
    <row r="1003" spans="1:4">
      <c r="A1003" s="3"/>
      <c r="D1003" s="3"/>
    </row>
    <row r="1004" spans="1:4">
      <c r="A1004" s="3"/>
      <c r="D1004" s="3"/>
    </row>
    <row r="1005" spans="1:4">
      <c r="A1005" s="3"/>
      <c r="D1005" s="3"/>
    </row>
    <row r="1006" spans="1:4">
      <c r="A1006" s="3"/>
      <c r="D1006" s="3"/>
    </row>
    <row r="1007" spans="1:4">
      <c r="A1007" s="3"/>
      <c r="D1007" s="3"/>
    </row>
    <row r="1008" spans="1:4">
      <c r="A1008" s="3"/>
      <c r="D1008" s="3"/>
    </row>
    <row r="1009" spans="1:4">
      <c r="A1009" s="3"/>
      <c r="D1009" s="3"/>
    </row>
    <row r="1010" spans="1:4">
      <c r="A1010" s="3"/>
      <c r="D1010" s="3"/>
    </row>
    <row r="1011" spans="1:4">
      <c r="A1011" s="3"/>
      <c r="D1011" s="3"/>
    </row>
    <row r="1012" spans="1:4">
      <c r="A1012" s="3"/>
      <c r="D1012" s="3"/>
    </row>
    <row r="1013" spans="1:4">
      <c r="A1013" s="3"/>
      <c r="D1013" s="3"/>
    </row>
    <row r="1014" spans="1:4">
      <c r="A1014" s="3"/>
      <c r="D1014" s="3"/>
    </row>
    <row r="1015" spans="1:4">
      <c r="A1015" s="3"/>
      <c r="D1015" s="3"/>
    </row>
    <row r="1016" spans="1:4">
      <c r="A1016" s="3"/>
      <c r="D1016" s="3"/>
    </row>
    <row r="1017" spans="1:4">
      <c r="A1017" s="3"/>
      <c r="D1017" s="3"/>
    </row>
    <row r="1018" spans="1:4">
      <c r="A1018" s="3"/>
      <c r="D1018" s="3"/>
    </row>
    <row r="1019" spans="1:4">
      <c r="A1019" s="3"/>
      <c r="D1019" s="3"/>
    </row>
    <row r="1020" spans="1:4">
      <c r="A1020" s="3"/>
      <c r="D1020" s="3"/>
    </row>
    <row r="1021" spans="1:4">
      <c r="A1021" s="3"/>
      <c r="D1021" s="3"/>
    </row>
    <row r="1022" spans="1:4">
      <c r="A1022" s="3"/>
      <c r="D1022" s="3"/>
    </row>
    <row r="1023" spans="1:4">
      <c r="A1023" s="3"/>
      <c r="D1023" s="3"/>
    </row>
    <row r="1024" spans="1:4">
      <c r="A1024" s="3"/>
      <c r="D1024" s="3"/>
    </row>
    <row r="1025" spans="1:4">
      <c r="A1025" s="3"/>
      <c r="D1025" s="3"/>
    </row>
    <row r="1026" spans="1:4">
      <c r="A1026" s="3"/>
      <c r="D1026" s="3"/>
    </row>
    <row r="1027" spans="1:4">
      <c r="A1027" s="3"/>
      <c r="D1027" s="3"/>
    </row>
    <row r="1028" spans="1:4">
      <c r="A1028" s="3"/>
      <c r="D1028" s="3"/>
    </row>
    <row r="1029" spans="1:4">
      <c r="A1029" s="3"/>
      <c r="D1029" s="3"/>
    </row>
    <row r="1030" spans="1:4">
      <c r="A1030" s="3"/>
      <c r="D1030" s="3"/>
    </row>
    <row r="1031" spans="1:4">
      <c r="A1031" s="3"/>
      <c r="D1031" s="3"/>
    </row>
    <row r="1032" spans="1:4">
      <c r="A1032" s="3"/>
      <c r="D1032" s="3"/>
    </row>
    <row r="1033" spans="1:4">
      <c r="A1033" s="3"/>
      <c r="D1033" s="3"/>
    </row>
    <row r="1034" spans="1:4">
      <c r="A1034" s="3"/>
      <c r="D1034" s="3"/>
    </row>
    <row r="1035" spans="1:4">
      <c r="A1035" s="3"/>
      <c r="D1035" s="3"/>
    </row>
    <row r="1036" spans="1:4">
      <c r="A1036" s="3"/>
      <c r="D1036" s="3"/>
    </row>
    <row r="1037" spans="1:4">
      <c r="A1037" s="3"/>
      <c r="D1037" s="3"/>
    </row>
    <row r="1038" spans="1:4">
      <c r="A1038" s="3"/>
      <c r="D1038" s="3"/>
    </row>
    <row r="1039" spans="1:4">
      <c r="A1039" s="3"/>
      <c r="D1039" s="3"/>
    </row>
    <row r="1040" spans="1:4">
      <c r="A1040" s="3"/>
      <c r="D1040" s="3"/>
    </row>
    <row r="1041" spans="1:4">
      <c r="A1041" s="3"/>
      <c r="D1041" s="3"/>
    </row>
    <row r="1042" spans="1:4">
      <c r="A1042" s="3"/>
      <c r="D1042" s="3"/>
    </row>
    <row r="1043" spans="1:4">
      <c r="A1043" s="3"/>
      <c r="D1043" s="3"/>
    </row>
    <row r="1044" spans="1:4">
      <c r="A1044" s="3"/>
      <c r="D1044" s="3"/>
    </row>
    <row r="1045" spans="1:4">
      <c r="A1045" s="3"/>
      <c r="D1045" s="3"/>
    </row>
    <row r="1046" spans="1:4">
      <c r="A1046" s="3"/>
      <c r="D1046" s="3"/>
    </row>
    <row r="1047" spans="1:4">
      <c r="A1047" s="3"/>
      <c r="D1047" s="3"/>
    </row>
    <row r="1048" spans="1:4">
      <c r="A1048" s="3"/>
      <c r="D1048" s="3"/>
    </row>
    <row r="1049" spans="1:4">
      <c r="A1049" s="3"/>
      <c r="D1049" s="3"/>
    </row>
    <row r="1050" spans="1:4">
      <c r="A1050" s="3"/>
      <c r="D1050" s="3"/>
    </row>
    <row r="1051" spans="1:4">
      <c r="A1051" s="3"/>
      <c r="D1051" s="3"/>
    </row>
    <row r="1052" spans="1:4">
      <c r="A1052" s="3"/>
      <c r="D1052" s="3"/>
    </row>
    <row r="1053" spans="1:4">
      <c r="A1053" s="3"/>
      <c r="D1053" s="3"/>
    </row>
    <row r="1054" spans="1:4">
      <c r="A1054" s="3"/>
      <c r="D1054" s="3"/>
    </row>
    <row r="1055" spans="1:4">
      <c r="A1055" s="3"/>
      <c r="D1055" s="3"/>
    </row>
    <row r="1056" spans="1:4">
      <c r="A1056" s="3"/>
      <c r="D1056" s="3"/>
    </row>
    <row r="1057" spans="1:4">
      <c r="A1057" s="3"/>
      <c r="D1057" s="3"/>
    </row>
    <row r="1058" spans="1:4">
      <c r="A1058" s="3"/>
      <c r="D1058" s="3"/>
    </row>
    <row r="1059" spans="1:4">
      <c r="A1059" s="3"/>
      <c r="D1059" s="3"/>
    </row>
    <row r="1060" spans="1:4">
      <c r="A1060" s="3"/>
      <c r="D1060" s="3"/>
    </row>
    <row r="1061" spans="1:4">
      <c r="A1061" s="3"/>
      <c r="D1061" s="3"/>
    </row>
    <row r="1062" spans="1:4">
      <c r="A1062" s="3"/>
      <c r="D1062" s="3"/>
    </row>
    <row r="1063" spans="1:4">
      <c r="A1063" s="3"/>
      <c r="D1063" s="3"/>
    </row>
    <row r="1064" spans="1:4">
      <c r="A1064" s="3"/>
      <c r="D1064" s="3"/>
    </row>
    <row r="1065" spans="1:4">
      <c r="A1065" s="3"/>
      <c r="D1065" s="3"/>
    </row>
    <row r="1066" spans="1:4">
      <c r="A1066" s="3"/>
      <c r="D1066" s="3"/>
    </row>
    <row r="1067" spans="1:4">
      <c r="A1067" s="3"/>
      <c r="D1067" s="3"/>
    </row>
    <row r="1068" spans="1:4">
      <c r="A1068" s="3"/>
      <c r="D1068" s="3"/>
    </row>
    <row r="1069" spans="1:4">
      <c r="A1069" s="3"/>
      <c r="D1069" s="3"/>
    </row>
    <row r="1070" spans="1:4">
      <c r="A1070" s="3"/>
      <c r="D1070" s="3"/>
    </row>
    <row r="1071" spans="1:4">
      <c r="A1071" s="3"/>
      <c r="D1071" s="3"/>
    </row>
    <row r="1072" spans="1:4">
      <c r="A1072" s="3"/>
      <c r="D1072" s="3"/>
    </row>
    <row r="1073" spans="1:4">
      <c r="A1073" s="3"/>
      <c r="D1073" s="3"/>
    </row>
    <row r="1074" spans="1:4">
      <c r="A1074" s="3"/>
      <c r="D1074" s="3"/>
    </row>
    <row r="1075" spans="1:4">
      <c r="A1075" s="3"/>
      <c r="D1075" s="3"/>
    </row>
    <row r="1076" spans="1:4">
      <c r="A1076" s="3"/>
      <c r="D1076" s="3"/>
    </row>
    <row r="1077" spans="1:4">
      <c r="A1077" s="3"/>
      <c r="D1077" s="3"/>
    </row>
    <row r="1078" spans="1:4">
      <c r="A1078" s="3"/>
      <c r="D1078" s="3"/>
    </row>
    <row r="1079" spans="1:4">
      <c r="A1079" s="3"/>
      <c r="D1079" s="3"/>
    </row>
    <row r="1080" spans="1:4">
      <c r="A1080" s="3"/>
      <c r="D1080" s="3"/>
    </row>
    <row r="1081" spans="1:4">
      <c r="A1081" s="3"/>
      <c r="D1081" s="3"/>
    </row>
    <row r="1082" spans="1:4">
      <c r="A1082" s="3"/>
      <c r="D1082" s="3"/>
    </row>
    <row r="1083" spans="1:4">
      <c r="A1083" s="3"/>
      <c r="D1083" s="3"/>
    </row>
    <row r="1084" spans="1:4">
      <c r="A1084" s="3"/>
      <c r="D1084" s="3"/>
    </row>
    <row r="1085" spans="1:4">
      <c r="A1085" s="3"/>
      <c r="D1085" s="3"/>
    </row>
    <row r="1086" spans="1:4">
      <c r="A1086" s="3"/>
      <c r="D1086" s="3"/>
    </row>
    <row r="1087" spans="1:4">
      <c r="A1087" s="3"/>
      <c r="D1087" s="3"/>
    </row>
    <row r="1088" spans="1:4">
      <c r="A1088" s="3"/>
      <c r="D1088" s="3"/>
    </row>
    <row r="1089" spans="1:4">
      <c r="A1089" s="3"/>
      <c r="D1089" s="3"/>
    </row>
    <row r="1090" spans="1:4">
      <c r="A1090" s="3"/>
      <c r="D1090" s="3"/>
    </row>
    <row r="1091" spans="1:4">
      <c r="A1091" s="3"/>
      <c r="D1091" s="3"/>
    </row>
    <row r="1092" spans="1:4">
      <c r="A1092" s="3"/>
      <c r="D1092" s="3"/>
    </row>
    <row r="1093" spans="1:4">
      <c r="A1093" s="3"/>
      <c r="D1093" s="3"/>
    </row>
    <row r="1094" spans="1:4">
      <c r="A1094" s="3"/>
      <c r="D1094" s="3"/>
    </row>
    <row r="1095" spans="1:4">
      <c r="A1095" s="3"/>
      <c r="D1095" s="3"/>
    </row>
    <row r="1096" spans="1:4">
      <c r="A1096" s="3"/>
      <c r="D1096" s="3"/>
    </row>
    <row r="1097" spans="1:4">
      <c r="A1097" s="3"/>
      <c r="D1097" s="3"/>
    </row>
    <row r="1098" spans="1:4">
      <c r="A1098" s="3"/>
      <c r="D1098" s="3"/>
    </row>
    <row r="1099" spans="1:4">
      <c r="A1099" s="3"/>
      <c r="D1099" s="3"/>
    </row>
    <row r="1100" spans="1:4">
      <c r="A1100" s="3"/>
      <c r="D1100" s="3"/>
    </row>
    <row r="1101" spans="1:4">
      <c r="A1101" s="3"/>
      <c r="D1101" s="3"/>
    </row>
    <row r="1102" spans="1:4">
      <c r="A1102" s="3"/>
      <c r="D1102" s="3"/>
    </row>
    <row r="1103" spans="1:4">
      <c r="A1103" s="3"/>
      <c r="D1103" s="3"/>
    </row>
    <row r="1104" spans="1:4">
      <c r="A1104" s="3"/>
      <c r="D1104" s="3"/>
    </row>
    <row r="1105" spans="1:4">
      <c r="A1105" s="3"/>
      <c r="D1105" s="3"/>
    </row>
    <row r="1106" spans="1:4">
      <c r="A1106" s="3"/>
      <c r="D1106" s="3"/>
    </row>
    <row r="1107" spans="1:4">
      <c r="A1107" s="3"/>
      <c r="D1107" s="3"/>
    </row>
    <row r="1108" spans="1:4">
      <c r="A1108" s="3"/>
      <c r="D1108" s="3"/>
    </row>
    <row r="1109" spans="1:4">
      <c r="A1109" s="3"/>
      <c r="D1109" s="3"/>
    </row>
    <row r="1110" spans="1:4">
      <c r="A1110" s="3"/>
      <c r="D1110" s="3"/>
    </row>
    <row r="1111" spans="1:4">
      <c r="A1111" s="3"/>
      <c r="D1111" s="3"/>
    </row>
    <row r="1112" spans="1:4">
      <c r="A1112" s="3"/>
      <c r="D1112" s="3"/>
    </row>
    <row r="1113" spans="1:4">
      <c r="A1113" s="3"/>
      <c r="D1113" s="3"/>
    </row>
    <row r="1114" spans="1:4">
      <c r="A1114" s="3"/>
      <c r="D1114" s="3"/>
    </row>
    <row r="1115" spans="1:4">
      <c r="A1115" s="3"/>
      <c r="D1115" s="3"/>
    </row>
    <row r="1116" spans="1:4">
      <c r="A1116" s="3"/>
      <c r="D1116" s="3"/>
    </row>
    <row r="1117" spans="1:4">
      <c r="A1117" s="3"/>
      <c r="D1117" s="3"/>
    </row>
    <row r="1118" spans="1:4">
      <c r="A1118" s="3"/>
      <c r="D1118" s="3"/>
    </row>
    <row r="1119" spans="1:4">
      <c r="A1119" s="3"/>
      <c r="D1119" s="3"/>
    </row>
    <row r="1120" spans="1:4">
      <c r="A1120" s="3"/>
      <c r="D1120" s="3"/>
    </row>
    <row r="1121" spans="1:4">
      <c r="A1121" s="3"/>
      <c r="D1121" s="3"/>
    </row>
    <row r="1122" spans="1:4">
      <c r="A1122" s="3"/>
      <c r="D1122" s="3"/>
    </row>
    <row r="1123" spans="1:4">
      <c r="A1123" s="3"/>
      <c r="D1123" s="3"/>
    </row>
    <row r="1124" spans="1:4">
      <c r="A1124" s="3"/>
      <c r="D1124" s="3"/>
    </row>
    <row r="1125" spans="1:4">
      <c r="A1125" s="3"/>
      <c r="D1125" s="3"/>
    </row>
    <row r="1126" spans="1:4">
      <c r="A1126" s="3"/>
      <c r="D1126" s="3"/>
    </row>
    <row r="1127" spans="1:4">
      <c r="A1127" s="3"/>
      <c r="D1127" s="3"/>
    </row>
    <row r="1128" spans="1:4">
      <c r="A1128" s="3"/>
      <c r="D1128" s="3"/>
    </row>
    <row r="1129" spans="1:4">
      <c r="A1129" s="3"/>
      <c r="D1129" s="3"/>
    </row>
    <row r="1130" spans="1:4">
      <c r="A1130" s="3"/>
      <c r="D1130" s="3"/>
    </row>
    <row r="1131" spans="1:4">
      <c r="A1131" s="3"/>
      <c r="D1131" s="3"/>
    </row>
    <row r="1132" spans="1:4">
      <c r="A1132" s="3"/>
      <c r="D1132" s="3"/>
    </row>
    <row r="1133" spans="1:4">
      <c r="A1133" s="3"/>
      <c r="D1133" s="3"/>
    </row>
    <row r="1134" spans="1:4">
      <c r="A1134" s="3"/>
      <c r="D1134" s="3"/>
    </row>
    <row r="1135" spans="1:4">
      <c r="A1135" s="3"/>
      <c r="D1135" s="3"/>
    </row>
    <row r="1136" spans="1:4">
      <c r="A1136" s="3"/>
      <c r="D1136" s="3"/>
    </row>
    <row r="1137" spans="1:4">
      <c r="A1137" s="3"/>
      <c r="D1137" s="3"/>
    </row>
    <row r="1138" spans="1:4">
      <c r="A1138" s="3"/>
      <c r="D1138" s="3"/>
    </row>
    <row r="1139" spans="1:4">
      <c r="A1139" s="3"/>
      <c r="D1139" s="3"/>
    </row>
    <row r="1140" spans="1:4">
      <c r="A1140" s="3"/>
      <c r="D1140" s="3"/>
    </row>
    <row r="1141" spans="1:4">
      <c r="A1141" s="3"/>
      <c r="D1141" s="3"/>
    </row>
    <row r="1142" spans="1:4">
      <c r="A1142" s="3"/>
      <c r="D1142" s="3"/>
    </row>
    <row r="1143" spans="1:4">
      <c r="A1143" s="3"/>
      <c r="D1143" s="3"/>
    </row>
    <row r="1144" spans="1:4">
      <c r="A1144" s="3"/>
      <c r="D1144" s="3"/>
    </row>
    <row r="1145" spans="1:4">
      <c r="A1145" s="3"/>
      <c r="D1145" s="3"/>
    </row>
    <row r="1146" spans="1:4">
      <c r="A1146" s="3"/>
      <c r="D1146" s="3"/>
    </row>
    <row r="1147" spans="1:4">
      <c r="A1147" s="3"/>
      <c r="D1147" s="3"/>
    </row>
    <row r="1148" spans="1:4">
      <c r="A1148" s="3"/>
      <c r="D1148" s="3"/>
    </row>
    <row r="1149" spans="1:4">
      <c r="A1149" s="3"/>
      <c r="D1149" s="3"/>
    </row>
    <row r="1150" spans="1:4">
      <c r="A1150" s="3"/>
      <c r="D1150" s="3"/>
    </row>
    <row r="1151" spans="1:4">
      <c r="A1151" s="3"/>
      <c r="D1151" s="3"/>
    </row>
    <row r="1152" spans="1:4">
      <c r="A1152" s="3"/>
      <c r="D1152" s="3"/>
    </row>
    <row r="1153" spans="1:4">
      <c r="A1153" s="3"/>
      <c r="D1153" s="3"/>
    </row>
    <row r="1154" spans="1:4">
      <c r="A1154" s="3"/>
      <c r="D1154" s="3"/>
    </row>
    <row r="1155" spans="1:4">
      <c r="A1155" s="3"/>
      <c r="D1155" s="3"/>
    </row>
    <row r="1156" spans="1:4">
      <c r="A1156" s="3"/>
      <c r="D1156" s="3"/>
    </row>
    <row r="1157" spans="1:4">
      <c r="A1157" s="3"/>
      <c r="D1157" s="3"/>
    </row>
    <row r="1158" spans="1:4">
      <c r="A1158" s="3"/>
      <c r="D1158" s="3"/>
    </row>
    <row r="1159" spans="1:4">
      <c r="A1159" s="3"/>
      <c r="D1159" s="3"/>
    </row>
    <row r="1160" spans="1:4">
      <c r="A1160" s="3"/>
      <c r="D1160" s="3"/>
    </row>
    <row r="1161" spans="1:4">
      <c r="A1161" s="3"/>
      <c r="D1161" s="3"/>
    </row>
    <row r="1162" spans="1:4">
      <c r="A1162" s="3"/>
      <c r="D1162" s="3"/>
    </row>
    <row r="1163" spans="1:4">
      <c r="A1163" s="3"/>
      <c r="D1163" s="3"/>
    </row>
    <row r="1164" spans="1:4">
      <c r="A1164" s="3"/>
      <c r="D1164" s="3"/>
    </row>
    <row r="1165" spans="1:4">
      <c r="A1165" s="3"/>
      <c r="D1165" s="3"/>
    </row>
    <row r="1166" spans="1:4">
      <c r="A1166" s="3"/>
      <c r="D1166" s="3"/>
    </row>
    <row r="1167" spans="1:4">
      <c r="A1167" s="3"/>
      <c r="D1167" s="3"/>
    </row>
    <row r="1168" spans="1:4">
      <c r="A1168" s="3"/>
      <c r="D1168" s="3"/>
    </row>
    <row r="1169" spans="1:4">
      <c r="A1169" s="3"/>
      <c r="D1169" s="3"/>
    </row>
    <row r="1170" spans="1:4">
      <c r="A1170" s="3"/>
      <c r="D1170" s="3"/>
    </row>
    <row r="1171" spans="1:4">
      <c r="A1171" s="3"/>
      <c r="D1171" s="3"/>
    </row>
    <row r="1172" spans="1:4">
      <c r="A1172" s="3"/>
      <c r="D1172" s="3"/>
    </row>
    <row r="1173" spans="1:4">
      <c r="A1173" s="3"/>
      <c r="D1173" s="3"/>
    </row>
    <row r="1174" spans="1:4">
      <c r="A1174" s="3"/>
      <c r="D1174" s="3"/>
    </row>
    <row r="1175" spans="1:4">
      <c r="A1175" s="3"/>
      <c r="D1175" s="3"/>
    </row>
    <row r="1176" spans="1:4">
      <c r="A1176" s="3"/>
      <c r="D1176" s="3"/>
    </row>
    <row r="1177" spans="1:4">
      <c r="A1177" s="3"/>
      <c r="D1177" s="3"/>
    </row>
    <row r="1178" spans="1:4">
      <c r="A1178" s="3"/>
      <c r="D1178" s="3"/>
    </row>
    <row r="1179" spans="1:4">
      <c r="A1179" s="3"/>
      <c r="D1179" s="3"/>
    </row>
    <row r="1180" spans="1:4">
      <c r="A1180" s="3"/>
      <c r="D1180" s="3"/>
    </row>
    <row r="1181" spans="1:4">
      <c r="A1181" s="3"/>
      <c r="D1181" s="3"/>
    </row>
    <row r="1182" spans="1:4">
      <c r="A1182" s="3"/>
      <c r="D1182" s="3"/>
    </row>
    <row r="1183" spans="1:4">
      <c r="A1183" s="3"/>
      <c r="D1183" s="3"/>
    </row>
    <row r="1184" spans="1:4">
      <c r="A1184" s="3"/>
      <c r="D1184" s="3"/>
    </row>
    <row r="1185" spans="1:4">
      <c r="A1185" s="3"/>
      <c r="D1185" s="3"/>
    </row>
    <row r="1186" spans="1:4">
      <c r="A1186" s="3"/>
      <c r="D1186" s="3"/>
    </row>
    <row r="1187" spans="1:4">
      <c r="A1187" s="3"/>
      <c r="D1187" s="3"/>
    </row>
    <row r="1188" spans="1:4">
      <c r="A1188" s="3"/>
      <c r="D1188" s="3"/>
    </row>
    <row r="1189" spans="1:4">
      <c r="A1189" s="3"/>
      <c r="D1189" s="3"/>
    </row>
    <row r="1190" spans="1:4">
      <c r="A1190" s="3"/>
      <c r="D1190" s="3"/>
    </row>
    <row r="1191" spans="1:4">
      <c r="A1191" s="3"/>
      <c r="D1191" s="3"/>
    </row>
    <row r="1192" spans="1:4">
      <c r="A1192" s="3"/>
      <c r="D1192" s="3"/>
    </row>
    <row r="1193" spans="1:4">
      <c r="A1193" s="3"/>
      <c r="D1193" s="3"/>
    </row>
    <row r="1194" spans="1:4">
      <c r="A1194" s="3"/>
      <c r="D1194" s="3"/>
    </row>
    <row r="1195" spans="1:4">
      <c r="A1195" s="3"/>
      <c r="D1195" s="3"/>
    </row>
    <row r="1196" spans="1:4">
      <c r="A1196" s="3"/>
      <c r="D1196" s="3"/>
    </row>
    <row r="1197" spans="1:4">
      <c r="A1197" s="3"/>
      <c r="D1197" s="3"/>
    </row>
    <row r="1198" spans="1:4">
      <c r="A1198" s="3"/>
      <c r="D1198" s="3"/>
    </row>
    <row r="1199" spans="1:4">
      <c r="A1199" s="3"/>
      <c r="D1199" s="3"/>
    </row>
    <row r="1200" spans="1:4">
      <c r="A1200" s="3"/>
      <c r="D1200" s="3"/>
    </row>
    <row r="1201" spans="1:4">
      <c r="A1201" s="3"/>
      <c r="D1201" s="3"/>
    </row>
    <row r="1202" spans="1:4">
      <c r="A1202" s="3"/>
      <c r="D1202" s="3"/>
    </row>
    <row r="1203" spans="1:4">
      <c r="A1203" s="3"/>
      <c r="D1203" s="3"/>
    </row>
    <row r="1204" spans="1:4">
      <c r="A1204" s="3"/>
      <c r="D1204" s="3"/>
    </row>
    <row r="1205" spans="1:4">
      <c r="A1205" s="3"/>
      <c r="D1205" s="3"/>
    </row>
    <row r="1206" spans="1:4">
      <c r="A1206" s="3"/>
      <c r="D1206" s="3"/>
    </row>
    <row r="1207" spans="1:4">
      <c r="A1207" s="3"/>
      <c r="D1207" s="3"/>
    </row>
    <row r="1208" spans="1:4">
      <c r="A1208" s="3"/>
      <c r="D1208" s="3"/>
    </row>
    <row r="1209" spans="1:4">
      <c r="A1209" s="3"/>
      <c r="D1209" s="3"/>
    </row>
    <row r="1210" spans="1:4">
      <c r="A1210" s="3"/>
      <c r="D1210" s="3"/>
    </row>
    <row r="1211" spans="1:4">
      <c r="A1211" s="3"/>
      <c r="D1211" s="3"/>
    </row>
    <row r="1212" spans="1:4">
      <c r="A1212" s="3"/>
      <c r="D1212" s="3"/>
    </row>
    <row r="1213" spans="1:4">
      <c r="A1213" s="3"/>
      <c r="D1213" s="3"/>
    </row>
    <row r="1214" spans="1:4">
      <c r="A1214" s="3"/>
      <c r="D1214" s="3"/>
    </row>
    <row r="1215" spans="1:4">
      <c r="A1215" s="3"/>
      <c r="D1215" s="3"/>
    </row>
    <row r="1216" spans="1:4">
      <c r="A1216" s="3"/>
      <c r="D1216" s="3"/>
    </row>
    <row r="1217" spans="1:4">
      <c r="A1217" s="3"/>
      <c r="D1217" s="3"/>
    </row>
    <row r="1218" spans="1:4">
      <c r="A1218" s="3"/>
      <c r="D1218" s="3"/>
    </row>
    <row r="1219" spans="1:4">
      <c r="A1219" s="3"/>
      <c r="D1219" s="3"/>
    </row>
    <row r="1220" spans="1:4">
      <c r="A1220" s="3"/>
      <c r="D1220" s="3"/>
    </row>
    <row r="1221" spans="1:4">
      <c r="A1221" s="3"/>
      <c r="D1221" s="3"/>
    </row>
    <row r="1222" spans="1:4">
      <c r="A1222" s="3"/>
      <c r="D1222" s="3"/>
    </row>
    <row r="1223" spans="1:4">
      <c r="A1223" s="3"/>
      <c r="D1223" s="3"/>
    </row>
    <row r="1224" spans="1:4">
      <c r="A1224" s="3"/>
      <c r="D1224" s="3"/>
    </row>
    <row r="1225" spans="1:4">
      <c r="A1225" s="3"/>
      <c r="D1225" s="3"/>
    </row>
    <row r="1226" spans="1:4">
      <c r="A1226" s="3"/>
      <c r="D1226" s="3"/>
    </row>
    <row r="1227" spans="1:4">
      <c r="A1227" s="3"/>
      <c r="D1227" s="3"/>
    </row>
    <row r="1228" spans="1:4">
      <c r="A1228" s="3"/>
      <c r="D1228" s="3"/>
    </row>
    <row r="1229" spans="1:4">
      <c r="A1229" s="3"/>
      <c r="D1229" s="3"/>
    </row>
    <row r="1230" spans="1:4">
      <c r="A1230" s="3"/>
      <c r="D1230" s="3"/>
    </row>
    <row r="1231" spans="1:4">
      <c r="A1231" s="3"/>
      <c r="D1231" s="3"/>
    </row>
    <row r="1232" spans="1:4">
      <c r="A1232" s="3"/>
      <c r="D1232" s="3"/>
    </row>
    <row r="1233" spans="1:4">
      <c r="A1233" s="3"/>
      <c r="D1233" s="3"/>
    </row>
    <row r="1234" spans="1:4">
      <c r="A1234" s="3"/>
      <c r="D1234" s="3"/>
    </row>
    <row r="1235" spans="1:4">
      <c r="A1235" s="3"/>
      <c r="D1235" s="3"/>
    </row>
    <row r="1236" spans="1:4">
      <c r="A1236" s="3"/>
      <c r="D1236" s="3"/>
    </row>
    <row r="1237" spans="1:4">
      <c r="A1237" s="3"/>
      <c r="D1237" s="3"/>
    </row>
    <row r="1238" spans="1:4">
      <c r="A1238" s="3"/>
      <c r="D1238" s="3"/>
    </row>
    <row r="1239" spans="1:4">
      <c r="A1239" s="3"/>
      <c r="D1239" s="3"/>
    </row>
    <row r="1240" spans="1:4">
      <c r="A1240" s="3"/>
      <c r="D1240" s="3"/>
    </row>
    <row r="1241" spans="1:4">
      <c r="A1241" s="3"/>
      <c r="D1241" s="3"/>
    </row>
    <row r="1242" spans="1:4">
      <c r="A1242" s="3"/>
      <c r="D1242" s="3"/>
    </row>
    <row r="1243" spans="1:4">
      <c r="A1243" s="3"/>
      <c r="D1243" s="3"/>
    </row>
    <row r="1244" spans="1:4">
      <c r="A1244" s="3"/>
      <c r="D1244" s="3"/>
    </row>
    <row r="1245" spans="1:4">
      <c r="A1245" s="3"/>
      <c r="D1245" s="3"/>
    </row>
    <row r="1246" spans="1:4">
      <c r="A1246" s="3"/>
      <c r="D1246" s="3"/>
    </row>
    <row r="1247" spans="1:4">
      <c r="A1247" s="3"/>
      <c r="D1247" s="3"/>
    </row>
    <row r="1248" spans="1:4">
      <c r="A1248" s="3"/>
      <c r="D1248" s="3"/>
    </row>
    <row r="1249" spans="1:4">
      <c r="A1249" s="3"/>
      <c r="D1249" s="3"/>
    </row>
    <row r="1250" spans="1:4">
      <c r="A1250" s="3"/>
      <c r="D1250" s="3"/>
    </row>
    <row r="1251" spans="1:4">
      <c r="A1251" s="3"/>
      <c r="D1251" s="3"/>
    </row>
    <row r="1252" spans="1:4">
      <c r="A1252" s="3"/>
      <c r="D1252" s="3"/>
    </row>
    <row r="1253" spans="1:4">
      <c r="A1253" s="3"/>
      <c r="D1253" s="3"/>
    </row>
    <row r="1254" spans="1:4">
      <c r="A1254" s="3"/>
      <c r="D1254" s="3"/>
    </row>
    <row r="1255" spans="1:4">
      <c r="A1255" s="3"/>
      <c r="D1255" s="3"/>
    </row>
    <row r="1256" spans="1:4">
      <c r="A1256" s="3"/>
      <c r="D1256" s="3"/>
    </row>
    <row r="1257" spans="1:4">
      <c r="A1257" s="3"/>
      <c r="D1257" s="3"/>
    </row>
    <row r="1258" spans="1:4">
      <c r="A1258" s="3"/>
      <c r="D1258" s="3"/>
    </row>
    <row r="1259" spans="1:4">
      <c r="A1259" s="3"/>
      <c r="D1259" s="3"/>
    </row>
    <row r="1260" spans="1:4">
      <c r="A1260" s="3"/>
      <c r="D1260" s="3"/>
    </row>
    <row r="1261" spans="1:4">
      <c r="A1261" s="3"/>
      <c r="D1261" s="3"/>
    </row>
    <row r="1262" spans="1:4">
      <c r="A1262" s="3"/>
      <c r="D1262" s="3"/>
    </row>
    <row r="1263" spans="1:4">
      <c r="A1263" s="3"/>
      <c r="D1263" s="3"/>
    </row>
    <row r="1264" spans="1:4">
      <c r="A1264" s="3"/>
      <c r="D1264" s="3"/>
    </row>
    <row r="1265" spans="1:4">
      <c r="A1265" s="3"/>
      <c r="D1265" s="3"/>
    </row>
    <row r="1266" spans="1:4">
      <c r="A1266" s="3"/>
      <c r="D1266" s="3"/>
    </row>
    <row r="1267" spans="1:4">
      <c r="A1267" s="3"/>
      <c r="D1267" s="3"/>
    </row>
    <row r="1268" spans="1:4">
      <c r="A1268" s="3"/>
      <c r="D1268" s="3"/>
    </row>
    <row r="1269" spans="1:4">
      <c r="A1269" s="3"/>
      <c r="D1269" s="3"/>
    </row>
    <row r="1270" spans="1:4">
      <c r="A1270" s="3"/>
      <c r="D1270" s="3"/>
    </row>
    <row r="1271" spans="1:4">
      <c r="A1271" s="3"/>
      <c r="D1271" s="3"/>
    </row>
    <row r="1272" spans="1:4">
      <c r="A1272" s="3"/>
      <c r="D1272" s="3"/>
    </row>
    <row r="1273" spans="1:4">
      <c r="A1273" s="3"/>
      <c r="D1273" s="3"/>
    </row>
    <row r="1274" spans="1:4">
      <c r="A1274" s="3"/>
      <c r="D1274" s="3"/>
    </row>
    <row r="1275" spans="1:4">
      <c r="A1275" s="3"/>
      <c r="D1275" s="3"/>
    </row>
    <row r="1276" spans="1:4">
      <c r="A1276" s="3"/>
      <c r="D1276" s="3"/>
    </row>
    <row r="1277" spans="1:4">
      <c r="A1277" s="3"/>
      <c r="D1277" s="3"/>
    </row>
    <row r="1278" spans="1:4">
      <c r="A1278" s="3"/>
      <c r="D1278" s="3"/>
    </row>
    <row r="1279" spans="1:4">
      <c r="A1279" s="3"/>
      <c r="D1279" s="3"/>
    </row>
    <row r="1280" spans="1:4">
      <c r="A1280" s="3"/>
      <c r="D1280" s="3"/>
    </row>
    <row r="1281" spans="1:4">
      <c r="A1281" s="3"/>
      <c r="D1281" s="3"/>
    </row>
    <row r="1282" spans="1:4">
      <c r="A1282" s="3"/>
      <c r="D1282" s="3"/>
    </row>
    <row r="1283" spans="1:4">
      <c r="A1283" s="3"/>
      <c r="D1283" s="3"/>
    </row>
    <row r="1284" spans="1:4">
      <c r="A1284" s="3"/>
      <c r="D1284" s="3"/>
    </row>
    <row r="1285" spans="1:4">
      <c r="A1285" s="3"/>
      <c r="D1285" s="3"/>
    </row>
    <row r="1286" spans="1:4">
      <c r="A1286" s="3"/>
      <c r="D1286" s="3"/>
    </row>
    <row r="1287" spans="1:4">
      <c r="A1287" s="3"/>
      <c r="D1287" s="3"/>
    </row>
    <row r="1288" spans="1:4">
      <c r="A1288" s="3"/>
      <c r="D1288" s="3"/>
    </row>
    <row r="1289" spans="1:4">
      <c r="A1289" s="3"/>
      <c r="D1289" s="3"/>
    </row>
    <row r="1290" spans="1:4">
      <c r="A1290" s="3"/>
      <c r="D1290" s="3"/>
    </row>
    <row r="1291" spans="1:4">
      <c r="A1291" s="3"/>
      <c r="D1291" s="3"/>
    </row>
    <row r="1292" spans="1:4">
      <c r="A1292" s="3"/>
      <c r="D1292" s="3"/>
    </row>
    <row r="1293" spans="1:4">
      <c r="A1293" s="3"/>
      <c r="D1293" s="3"/>
    </row>
    <row r="1294" spans="1:4">
      <c r="A1294" s="3"/>
      <c r="D1294" s="3"/>
    </row>
    <row r="1295" spans="1:4">
      <c r="A1295" s="3"/>
      <c r="D1295" s="3"/>
    </row>
    <row r="1296" spans="1:4">
      <c r="A1296" s="3"/>
      <c r="D1296" s="3"/>
    </row>
    <row r="1297" spans="1:4">
      <c r="A1297" s="3"/>
      <c r="D1297" s="3"/>
    </row>
    <row r="1298" spans="1:4">
      <c r="A1298" s="3"/>
      <c r="D1298" s="3"/>
    </row>
    <row r="1299" spans="1:4">
      <c r="A1299" s="3"/>
      <c r="D1299" s="3"/>
    </row>
    <row r="1300" spans="1:4">
      <c r="A1300" s="3"/>
      <c r="D1300" s="3"/>
    </row>
    <row r="1301" spans="1:4">
      <c r="A1301" s="3"/>
      <c r="D1301" s="3"/>
    </row>
    <row r="1302" spans="1:4">
      <c r="A1302" s="3"/>
      <c r="D1302" s="3"/>
    </row>
    <row r="1303" spans="1:4">
      <c r="A1303" s="3"/>
      <c r="D1303" s="3"/>
    </row>
    <row r="1304" spans="1:4">
      <c r="A1304" s="3"/>
      <c r="D1304" s="3"/>
    </row>
    <row r="1305" spans="1:4">
      <c r="A1305" s="3"/>
      <c r="D1305" s="3"/>
    </row>
    <row r="1306" spans="1:4">
      <c r="A1306" s="3"/>
      <c r="D1306" s="3"/>
    </row>
    <row r="1307" spans="1:4">
      <c r="A1307" s="3"/>
      <c r="D1307" s="3"/>
    </row>
    <row r="1308" spans="1:4">
      <c r="A1308" s="3"/>
      <c r="D1308" s="3"/>
    </row>
    <row r="1309" spans="1:4">
      <c r="A1309" s="3"/>
      <c r="D1309" s="3"/>
    </row>
    <row r="1310" spans="1:4">
      <c r="A1310" s="3"/>
      <c r="D1310" s="3"/>
    </row>
    <row r="1311" spans="1:4">
      <c r="A1311" s="3"/>
      <c r="D1311" s="3"/>
    </row>
    <row r="1312" spans="1:4">
      <c r="A1312" s="3"/>
      <c r="D1312" s="3"/>
    </row>
    <row r="1313" spans="1:4">
      <c r="A1313" s="3"/>
      <c r="D1313" s="3"/>
    </row>
    <row r="1314" spans="1:4">
      <c r="A1314" s="3"/>
      <c r="D1314" s="3"/>
    </row>
    <row r="1315" spans="1:4">
      <c r="A1315" s="3"/>
      <c r="D1315" s="3"/>
    </row>
    <row r="1316" spans="1:4">
      <c r="A1316" s="3"/>
      <c r="D1316" s="3"/>
    </row>
    <row r="1317" spans="1:4">
      <c r="A1317" s="3"/>
      <c r="D1317" s="3"/>
    </row>
    <row r="1318" spans="1:4">
      <c r="A1318" s="3"/>
      <c r="D1318" s="3"/>
    </row>
    <row r="1319" spans="1:4">
      <c r="A1319" s="3"/>
      <c r="D1319" s="3"/>
    </row>
    <row r="1320" spans="1:4">
      <c r="A1320" s="3"/>
      <c r="D1320" s="3"/>
    </row>
    <row r="1321" spans="1:4">
      <c r="A1321" s="3"/>
      <c r="D1321" s="3"/>
    </row>
    <row r="1322" spans="1:4">
      <c r="A1322" s="3"/>
      <c r="D1322" s="3"/>
    </row>
    <row r="1323" spans="1:4">
      <c r="A1323" s="3"/>
      <c r="D1323" s="3"/>
    </row>
    <row r="1324" spans="1:4">
      <c r="A1324" s="3"/>
      <c r="D1324" s="3"/>
    </row>
    <row r="1325" spans="1:4">
      <c r="A1325" s="3"/>
      <c r="D1325" s="3"/>
    </row>
    <row r="1326" spans="1:4">
      <c r="A1326" s="3"/>
      <c r="D1326" s="3"/>
    </row>
    <row r="1327" spans="1:4">
      <c r="A1327" s="3"/>
      <c r="D1327" s="3"/>
    </row>
    <row r="1328" spans="1:4">
      <c r="A1328" s="3"/>
      <c r="D1328" s="3"/>
    </row>
    <row r="1329" spans="1:4">
      <c r="A1329" s="3"/>
      <c r="D1329" s="3"/>
    </row>
    <row r="1330" spans="1:4">
      <c r="A1330" s="3"/>
      <c r="D1330" s="3"/>
    </row>
    <row r="1331" spans="1:4">
      <c r="A1331" s="3"/>
      <c r="D1331" s="3"/>
    </row>
    <row r="1332" spans="1:4">
      <c r="A1332" s="3"/>
      <c r="D1332" s="3"/>
    </row>
    <row r="1333" spans="1:4">
      <c r="A1333" s="3"/>
      <c r="D1333" s="3"/>
    </row>
    <row r="1334" spans="1:4">
      <c r="A1334" s="3"/>
      <c r="D1334" s="3"/>
    </row>
    <row r="1335" spans="1:4">
      <c r="A1335" s="3"/>
      <c r="D1335" s="3"/>
    </row>
    <row r="1336" spans="1:4">
      <c r="A1336" s="3"/>
      <c r="D1336" s="3"/>
    </row>
    <row r="1337" spans="1:4">
      <c r="A1337" s="3"/>
      <c r="D1337" s="3"/>
    </row>
    <row r="1338" spans="1:4">
      <c r="A1338" s="3"/>
      <c r="D1338" s="3"/>
    </row>
    <row r="1339" spans="1:4">
      <c r="A1339" s="3"/>
      <c r="D1339" s="3"/>
    </row>
    <row r="1340" spans="1:4">
      <c r="A1340" s="3"/>
      <c r="D1340" s="3"/>
    </row>
    <row r="1341" spans="1:4">
      <c r="A1341" s="3"/>
      <c r="D1341" s="3"/>
    </row>
    <row r="1342" spans="1:4">
      <c r="A1342" s="3"/>
      <c r="D1342" s="3"/>
    </row>
    <row r="1343" spans="1:4">
      <c r="A1343" s="3"/>
      <c r="D1343" s="3"/>
    </row>
    <row r="1344" spans="1:4">
      <c r="A1344" s="3"/>
      <c r="D1344" s="3"/>
    </row>
    <row r="1345" spans="1:4">
      <c r="A1345" s="3"/>
      <c r="D1345" s="3"/>
    </row>
    <row r="1346" spans="1:4">
      <c r="A1346" s="3"/>
      <c r="D1346" s="3"/>
    </row>
    <row r="1347" spans="1:4">
      <c r="A1347" s="3"/>
      <c r="D1347" s="3"/>
    </row>
    <row r="1348" spans="1:4">
      <c r="A1348" s="3"/>
      <c r="D1348" s="3"/>
    </row>
    <row r="1349" spans="1:4">
      <c r="A1349" s="3"/>
      <c r="D1349" s="3"/>
    </row>
    <row r="1350" spans="1:4">
      <c r="A1350" s="3"/>
      <c r="D1350" s="3"/>
    </row>
    <row r="1351" spans="1:4">
      <c r="A1351" s="3"/>
      <c r="D1351" s="3"/>
    </row>
    <row r="1352" spans="1:4">
      <c r="A1352" s="3"/>
      <c r="D1352" s="3"/>
    </row>
    <row r="1353" spans="1:4">
      <c r="A1353" s="3"/>
      <c r="D1353" s="3"/>
    </row>
    <row r="1354" spans="1:4">
      <c r="A1354" s="3"/>
      <c r="D1354" s="3"/>
    </row>
    <row r="1355" spans="1:4">
      <c r="A1355" s="3"/>
      <c r="D1355" s="3"/>
    </row>
    <row r="1356" spans="1:4">
      <c r="A1356" s="3"/>
      <c r="D1356" s="3"/>
    </row>
    <row r="1357" spans="1:4">
      <c r="A1357" s="3"/>
      <c r="D1357" s="3"/>
    </row>
    <row r="1358" spans="1:4">
      <c r="A1358" s="3"/>
      <c r="D1358" s="3"/>
    </row>
    <row r="1359" spans="1:4">
      <c r="A1359" s="3"/>
      <c r="D1359" s="3"/>
    </row>
    <row r="1360" spans="1:4">
      <c r="A1360" s="3"/>
      <c r="D1360" s="3"/>
    </row>
    <row r="1361" spans="1:4">
      <c r="A1361" s="3"/>
      <c r="D1361" s="3"/>
    </row>
    <row r="1362" spans="1:4">
      <c r="A1362" s="3"/>
      <c r="D1362" s="3"/>
    </row>
    <row r="1363" spans="1:4">
      <c r="A1363" s="3"/>
      <c r="D1363" s="3"/>
    </row>
    <row r="1364" spans="1:4">
      <c r="A1364" s="3"/>
      <c r="D1364" s="3"/>
    </row>
    <row r="1365" spans="1:4">
      <c r="A1365" s="3"/>
      <c r="D1365" s="3"/>
    </row>
    <row r="1366" spans="1:4">
      <c r="A1366" s="3"/>
      <c r="D1366" s="3"/>
    </row>
    <row r="1367" spans="1:4">
      <c r="A1367" s="3"/>
      <c r="D1367" s="3"/>
    </row>
    <row r="1368" spans="1:4">
      <c r="A1368" s="3"/>
      <c r="D1368" s="3"/>
    </row>
    <row r="1369" spans="1:4">
      <c r="A1369" s="3"/>
      <c r="D1369" s="3"/>
    </row>
    <row r="1370" spans="1:4">
      <c r="A1370" s="3"/>
      <c r="D1370" s="3"/>
    </row>
    <row r="1371" spans="1:4">
      <c r="A1371" s="3"/>
      <c r="D1371" s="3"/>
    </row>
    <row r="1372" spans="1:4">
      <c r="A1372" s="3"/>
      <c r="D1372" s="3"/>
    </row>
    <row r="1373" spans="1:4">
      <c r="A1373" s="3"/>
      <c r="D1373" s="3"/>
    </row>
    <row r="1374" spans="1:4">
      <c r="A1374" s="3"/>
      <c r="D1374" s="3"/>
    </row>
    <row r="1375" spans="1:4">
      <c r="A1375" s="3"/>
      <c r="D1375" s="3"/>
    </row>
    <row r="1376" spans="1:4">
      <c r="A1376" s="3"/>
      <c r="D1376" s="3"/>
    </row>
    <row r="1377" spans="1:4">
      <c r="A1377" s="3"/>
      <c r="D1377" s="3"/>
    </row>
    <row r="1378" spans="1:4">
      <c r="A1378" s="3"/>
      <c r="D1378" s="3"/>
    </row>
    <row r="1379" spans="1:4">
      <c r="A1379" s="3"/>
      <c r="D1379" s="3"/>
    </row>
    <row r="1380" spans="1:4">
      <c r="A1380" s="3"/>
      <c r="D1380" s="3"/>
    </row>
    <row r="1381" spans="1:4">
      <c r="A1381" s="3"/>
      <c r="D1381" s="3"/>
    </row>
    <row r="1382" spans="1:4">
      <c r="A1382" s="3"/>
      <c r="D1382" s="3"/>
    </row>
    <row r="1383" spans="1:4">
      <c r="A1383" s="3"/>
      <c r="D1383" s="3"/>
    </row>
    <row r="1384" spans="1:4">
      <c r="A1384" s="3"/>
      <c r="D1384" s="3"/>
    </row>
    <row r="1385" spans="1:4">
      <c r="A1385" s="3"/>
      <c r="D1385" s="3"/>
    </row>
    <row r="1386" spans="1:4">
      <c r="A1386" s="3"/>
      <c r="D1386" s="3"/>
    </row>
    <row r="1387" spans="1:4">
      <c r="A1387" s="3"/>
      <c r="D1387" s="3"/>
    </row>
    <row r="1388" spans="1:4">
      <c r="A1388" s="3"/>
      <c r="D1388" s="3"/>
    </row>
    <row r="1389" spans="1:4">
      <c r="A1389" s="3"/>
      <c r="D1389" s="3"/>
    </row>
    <row r="1390" spans="1:4">
      <c r="A1390" s="3"/>
      <c r="D1390" s="3"/>
    </row>
    <row r="1391" spans="1:4">
      <c r="A1391" s="3"/>
      <c r="D1391" s="3"/>
    </row>
    <row r="1392" spans="1:4">
      <c r="A1392" s="3"/>
      <c r="D1392" s="3"/>
    </row>
    <row r="1393" spans="1:4">
      <c r="A1393" s="3"/>
      <c r="D1393" s="3"/>
    </row>
    <row r="1394" spans="1:4">
      <c r="A1394" s="3"/>
      <c r="D1394" s="3"/>
    </row>
    <row r="1395" spans="1:4">
      <c r="A1395" s="3"/>
      <c r="D1395" s="3"/>
    </row>
    <row r="1396" spans="1:4">
      <c r="A1396" s="3"/>
      <c r="D1396" s="3"/>
    </row>
    <row r="1397" spans="1:4">
      <c r="A1397" s="3"/>
      <c r="D1397" s="3"/>
    </row>
    <row r="1398" spans="1:4">
      <c r="A1398" s="3"/>
      <c r="D1398" s="3"/>
    </row>
    <row r="1399" spans="1:4">
      <c r="A1399" s="3"/>
      <c r="D1399" s="3"/>
    </row>
    <row r="1400" spans="1:4">
      <c r="A1400" s="3"/>
      <c r="D1400" s="3"/>
    </row>
    <row r="1401" spans="1:4">
      <c r="A1401" s="3"/>
      <c r="D1401" s="3"/>
    </row>
    <row r="1402" spans="1:4">
      <c r="A1402" s="3"/>
      <c r="D1402" s="3"/>
    </row>
    <row r="1403" spans="1:4">
      <c r="A1403" s="3"/>
      <c r="D1403" s="3"/>
    </row>
    <row r="1404" spans="1:4">
      <c r="A1404" s="3"/>
      <c r="D1404" s="3"/>
    </row>
    <row r="1405" spans="1:4">
      <c r="A1405" s="3"/>
      <c r="D1405" s="3"/>
    </row>
    <row r="1406" spans="1:4">
      <c r="A1406" s="3"/>
      <c r="D1406" s="3"/>
    </row>
    <row r="1407" spans="1:4">
      <c r="A1407" s="3"/>
      <c r="D1407" s="3"/>
    </row>
    <row r="1408" spans="1:4">
      <c r="A1408" s="3"/>
      <c r="D1408" s="3"/>
    </row>
    <row r="1409" spans="1:4">
      <c r="A1409" s="3"/>
      <c r="D1409" s="3"/>
    </row>
    <row r="1410" spans="1:4">
      <c r="A1410" s="3"/>
      <c r="D1410" s="3"/>
    </row>
    <row r="1411" spans="1:4">
      <c r="A1411" s="3"/>
      <c r="D1411" s="3"/>
    </row>
    <row r="1412" spans="1:4">
      <c r="A1412" s="3"/>
      <c r="D1412" s="3"/>
    </row>
    <row r="1413" spans="1:4">
      <c r="A1413" s="3"/>
      <c r="D1413" s="3"/>
    </row>
    <row r="1414" spans="1:4">
      <c r="A1414" s="3"/>
      <c r="D1414" s="3"/>
    </row>
    <row r="1415" spans="1:4">
      <c r="A1415" s="3"/>
      <c r="D1415" s="3"/>
    </row>
    <row r="1416" spans="1:4">
      <c r="A1416" s="3"/>
      <c r="D1416" s="3"/>
    </row>
    <row r="1417" spans="1:4">
      <c r="A1417" s="3"/>
      <c r="D1417" s="3"/>
    </row>
    <row r="1418" spans="1:4">
      <c r="A1418" s="3"/>
      <c r="D1418" s="3"/>
    </row>
    <row r="1419" spans="1:4">
      <c r="A1419" s="3"/>
      <c r="D1419" s="3"/>
    </row>
    <row r="1420" spans="1:4">
      <c r="A1420" s="3"/>
      <c r="D1420" s="3"/>
    </row>
    <row r="1421" spans="1:4">
      <c r="A1421" s="3"/>
      <c r="D1421" s="3"/>
    </row>
    <row r="1422" spans="1:4">
      <c r="A1422" s="3"/>
      <c r="D1422" s="3"/>
    </row>
    <row r="1423" spans="1:4">
      <c r="A1423" s="3"/>
      <c r="D1423" s="3"/>
    </row>
    <row r="1424" spans="1:4">
      <c r="A1424" s="3"/>
      <c r="D1424" s="3"/>
    </row>
    <row r="1425" spans="1:4">
      <c r="A1425" s="3"/>
      <c r="D1425" s="3"/>
    </row>
    <row r="1426" spans="1:4">
      <c r="A1426" s="3"/>
      <c r="D1426" s="3"/>
    </row>
    <row r="1427" spans="1:4">
      <c r="A1427" s="3"/>
      <c r="D1427" s="3"/>
    </row>
    <row r="1428" spans="1:4">
      <c r="A1428" s="3"/>
      <c r="D1428" s="3"/>
    </row>
    <row r="1429" spans="1:4">
      <c r="A1429" s="3"/>
      <c r="D1429" s="3"/>
    </row>
    <row r="1430" spans="1:4">
      <c r="A1430" s="3"/>
      <c r="D1430" s="3"/>
    </row>
    <row r="1431" spans="1:4">
      <c r="A1431" s="3"/>
      <c r="D1431" s="3"/>
    </row>
    <row r="1432" spans="1:4">
      <c r="A1432" s="3"/>
      <c r="D1432" s="3"/>
    </row>
    <row r="1433" spans="1:4">
      <c r="A1433" s="3"/>
      <c r="D1433" s="3"/>
    </row>
    <row r="1434" spans="1:4">
      <c r="A1434" s="3"/>
      <c r="D1434" s="3"/>
    </row>
    <row r="1435" spans="1:4">
      <c r="A1435" s="3"/>
      <c r="D1435" s="3"/>
    </row>
    <row r="1436" spans="1:4">
      <c r="A1436" s="3"/>
      <c r="D1436" s="3"/>
    </row>
    <row r="1437" spans="1:4">
      <c r="A1437" s="3"/>
      <c r="D1437" s="3"/>
    </row>
    <row r="1438" spans="1:4">
      <c r="A1438" s="3"/>
      <c r="D1438" s="3"/>
    </row>
    <row r="1439" spans="1:4">
      <c r="A1439" s="3"/>
      <c r="D1439" s="3"/>
    </row>
    <row r="1440" spans="1:4">
      <c r="A1440" s="3"/>
      <c r="D1440" s="3"/>
    </row>
    <row r="1441" spans="1:4">
      <c r="A1441" s="3"/>
      <c r="D1441" s="3"/>
    </row>
    <row r="1442" spans="1:4">
      <c r="A1442" s="3"/>
      <c r="D1442" s="3"/>
    </row>
    <row r="1443" spans="1:4">
      <c r="A1443" s="3"/>
      <c r="D1443" s="3"/>
    </row>
    <row r="1444" spans="1:4">
      <c r="A1444" s="3"/>
      <c r="D1444" s="3"/>
    </row>
    <row r="1445" spans="1:4">
      <c r="A1445" s="3"/>
      <c r="D1445" s="3"/>
    </row>
    <row r="1446" spans="1:4">
      <c r="A1446" s="3"/>
      <c r="D1446" s="3"/>
    </row>
    <row r="1447" spans="1:4">
      <c r="A1447" s="3"/>
      <c r="D1447" s="3"/>
    </row>
    <row r="1448" spans="1:4">
      <c r="A1448" s="3"/>
      <c r="D1448" s="3"/>
    </row>
    <row r="1449" spans="1:4">
      <c r="A1449" s="3"/>
      <c r="D1449" s="3"/>
    </row>
    <row r="1450" spans="1:4">
      <c r="A1450" s="3"/>
      <c r="D1450" s="3"/>
    </row>
    <row r="1451" spans="1:4">
      <c r="A1451" s="3"/>
      <c r="D1451" s="3"/>
    </row>
    <row r="1452" spans="1:4">
      <c r="A1452" s="3"/>
      <c r="D1452" s="3"/>
    </row>
    <row r="1453" spans="1:4">
      <c r="A1453" s="3"/>
      <c r="D1453" s="3"/>
    </row>
    <row r="1454" spans="1:4">
      <c r="A1454" s="3"/>
      <c r="D1454" s="3"/>
    </row>
    <row r="1455" spans="1:4">
      <c r="A1455" s="3"/>
      <c r="D1455" s="3"/>
    </row>
    <row r="1456" spans="1:4">
      <c r="A1456" s="3"/>
      <c r="D1456" s="3"/>
    </row>
    <row r="1457" spans="1:4">
      <c r="A1457" s="3"/>
      <c r="D1457" s="3"/>
    </row>
    <row r="1458" spans="1:4">
      <c r="A1458" s="3"/>
      <c r="D1458" s="3"/>
    </row>
    <row r="1459" spans="1:4">
      <c r="A1459" s="3"/>
      <c r="D1459" s="3"/>
    </row>
    <row r="1460" spans="1:4">
      <c r="A1460" s="3"/>
      <c r="D1460" s="3"/>
    </row>
    <row r="1461" spans="1:4">
      <c r="A1461" s="3"/>
      <c r="D1461" s="3"/>
    </row>
    <row r="1462" spans="1:4">
      <c r="A1462" s="3"/>
      <c r="D1462" s="3"/>
    </row>
    <row r="1463" spans="1:4">
      <c r="A1463" s="3"/>
      <c r="D1463" s="3"/>
    </row>
    <row r="1464" spans="1:4">
      <c r="A1464" s="3"/>
      <c r="D1464" s="3"/>
    </row>
    <row r="1465" spans="1:4">
      <c r="A1465" s="3"/>
      <c r="D1465" s="3"/>
    </row>
    <row r="1466" spans="1:4">
      <c r="A1466" s="3"/>
      <c r="D1466" s="3"/>
    </row>
    <row r="1467" spans="1:4">
      <c r="A1467" s="3"/>
      <c r="D1467" s="3"/>
    </row>
    <row r="1468" spans="1:4">
      <c r="A1468" s="3"/>
      <c r="D1468" s="3"/>
    </row>
    <row r="1469" spans="1:4">
      <c r="A1469" s="3"/>
      <c r="D1469" s="3"/>
    </row>
    <row r="1470" spans="1:4">
      <c r="A1470" s="3"/>
      <c r="D1470" s="3"/>
    </row>
    <row r="1471" spans="1:4">
      <c r="A1471" s="3"/>
      <c r="D1471" s="3"/>
    </row>
    <row r="1472" spans="1:4">
      <c r="A1472" s="3"/>
      <c r="D1472" s="3"/>
    </row>
    <row r="1473" spans="1:4">
      <c r="A1473" s="3"/>
      <c r="D1473" s="3"/>
    </row>
    <row r="1474" spans="1:4">
      <c r="A1474" s="3"/>
      <c r="D1474" s="3"/>
    </row>
    <row r="1475" spans="1:4">
      <c r="A1475" s="3"/>
      <c r="D1475" s="3"/>
    </row>
    <row r="1476" spans="1:4">
      <c r="A1476" s="3"/>
      <c r="D1476" s="3"/>
    </row>
    <row r="1477" spans="1:4">
      <c r="A1477" s="3"/>
      <c r="D1477" s="3"/>
    </row>
    <row r="1478" spans="1:4">
      <c r="A1478" s="3"/>
      <c r="D1478" s="3"/>
    </row>
    <row r="1479" spans="1:4">
      <c r="A1479" s="3"/>
      <c r="D1479" s="3"/>
    </row>
    <row r="1480" spans="1:4">
      <c r="A1480" s="3"/>
      <c r="D1480" s="3"/>
    </row>
    <row r="1481" spans="1:4">
      <c r="A1481" s="3"/>
      <c r="D1481" s="3"/>
    </row>
    <row r="1482" spans="1:4">
      <c r="A1482" s="3"/>
      <c r="D1482" s="3"/>
    </row>
    <row r="1483" spans="1:4">
      <c r="A1483" s="3"/>
      <c r="D1483" s="3"/>
    </row>
    <row r="1484" spans="1:4">
      <c r="A1484" s="3"/>
      <c r="D1484" s="3"/>
    </row>
    <row r="1485" spans="1:4">
      <c r="A1485" s="3"/>
      <c r="D1485" s="3"/>
    </row>
    <row r="1486" spans="1:4">
      <c r="A1486" s="3"/>
      <c r="D1486" s="3"/>
    </row>
    <row r="1487" spans="1:4">
      <c r="A1487" s="3"/>
      <c r="D1487" s="3"/>
    </row>
    <row r="1488" spans="1:4">
      <c r="A1488" s="3"/>
      <c r="D1488" s="3"/>
    </row>
    <row r="1489" spans="1:4">
      <c r="A1489" s="3"/>
      <c r="D1489" s="3"/>
    </row>
    <row r="1490" spans="1:4">
      <c r="A1490" s="3"/>
      <c r="D1490" s="3"/>
    </row>
    <row r="1491" spans="1:4">
      <c r="A1491" s="3"/>
      <c r="D1491" s="3"/>
    </row>
    <row r="1492" spans="1:4">
      <c r="A1492" s="3"/>
      <c r="D1492" s="3"/>
    </row>
    <row r="1493" spans="1:4">
      <c r="A1493" s="3"/>
      <c r="D1493" s="3"/>
    </row>
    <row r="1494" spans="1:4">
      <c r="A1494" s="3"/>
      <c r="D1494" s="3"/>
    </row>
    <row r="1495" spans="1:4">
      <c r="A1495" s="3"/>
      <c r="D1495" s="3"/>
    </row>
    <row r="1496" spans="1:4">
      <c r="A1496" s="3"/>
      <c r="D1496" s="3"/>
    </row>
    <row r="1497" spans="1:4">
      <c r="A1497" s="3"/>
      <c r="D1497" s="3"/>
    </row>
    <row r="1498" spans="1:4">
      <c r="A1498" s="3"/>
      <c r="D1498" s="3"/>
    </row>
    <row r="1499" spans="1:4">
      <c r="A1499" s="3"/>
      <c r="D1499" s="3"/>
    </row>
    <row r="1500" spans="1:4">
      <c r="A1500" s="3"/>
      <c r="D1500" s="3"/>
    </row>
    <row r="1501" spans="1:4">
      <c r="A1501" s="3"/>
      <c r="D1501" s="3"/>
    </row>
    <row r="1502" spans="1:4">
      <c r="A1502" s="3"/>
      <c r="D1502" s="3"/>
    </row>
    <row r="1503" spans="1:4">
      <c r="A1503" s="3"/>
      <c r="D1503" s="3"/>
    </row>
    <row r="1504" spans="1:4">
      <c r="A1504" s="3"/>
      <c r="D1504" s="3"/>
    </row>
    <row r="1505" spans="1:4">
      <c r="A1505" s="3"/>
      <c r="D1505" s="3"/>
    </row>
    <row r="1506" spans="1:4">
      <c r="A1506" s="3"/>
      <c r="D1506" s="3"/>
    </row>
    <row r="1507" spans="1:4">
      <c r="A1507" s="3"/>
      <c r="D1507" s="3"/>
    </row>
    <row r="1508" spans="1:4">
      <c r="A1508" s="3"/>
      <c r="D1508" s="3"/>
    </row>
    <row r="1509" spans="1:4">
      <c r="A1509" s="3"/>
      <c r="D1509" s="3"/>
    </row>
    <row r="1510" spans="1:4">
      <c r="A1510" s="3"/>
      <c r="D1510" s="3"/>
    </row>
    <row r="1511" spans="1:4">
      <c r="A1511" s="3"/>
      <c r="D1511" s="3"/>
    </row>
    <row r="1512" spans="1:4">
      <c r="A1512" s="3"/>
      <c r="D1512" s="3"/>
    </row>
    <row r="1513" spans="1:4">
      <c r="A1513" s="3"/>
      <c r="D1513" s="3"/>
    </row>
    <row r="1514" spans="1:4">
      <c r="A1514" s="3"/>
      <c r="D1514" s="3"/>
    </row>
    <row r="1515" spans="1:4">
      <c r="A1515" s="3"/>
      <c r="D1515" s="3"/>
    </row>
    <row r="1516" spans="1:4">
      <c r="A1516" s="3"/>
      <c r="D1516" s="3"/>
    </row>
    <row r="1517" spans="1:4">
      <c r="A1517" s="3"/>
      <c r="D1517" s="3"/>
    </row>
    <row r="1518" spans="1:4">
      <c r="A1518" s="3"/>
      <c r="D1518" s="3"/>
    </row>
    <row r="1519" spans="1:4">
      <c r="A1519" s="3"/>
      <c r="D1519" s="3"/>
    </row>
    <row r="1520" spans="1:4">
      <c r="A1520" s="3"/>
      <c r="D1520" s="3"/>
    </row>
    <row r="1521" spans="1:4">
      <c r="A1521" s="3"/>
      <c r="D1521" s="3"/>
    </row>
    <row r="1522" spans="1:4">
      <c r="A1522" s="3"/>
      <c r="D1522" s="3"/>
    </row>
    <row r="1523" spans="1:4">
      <c r="A1523" s="3"/>
      <c r="D1523" s="3"/>
    </row>
    <row r="1524" spans="1:4">
      <c r="A1524" s="3"/>
      <c r="D1524" s="3"/>
    </row>
    <row r="1525" spans="1:4">
      <c r="A1525" s="3"/>
      <c r="D1525" s="3"/>
    </row>
    <row r="1526" spans="1:4">
      <c r="A1526" s="3"/>
      <c r="D1526" s="3"/>
    </row>
    <row r="1527" spans="1:4">
      <c r="A1527" s="3"/>
      <c r="D1527" s="3"/>
    </row>
    <row r="1528" spans="1:4">
      <c r="A1528" s="3"/>
      <c r="D1528" s="3"/>
    </row>
    <row r="1529" spans="1:4">
      <c r="A1529" s="3"/>
      <c r="D1529" s="3"/>
    </row>
    <row r="1530" spans="1:4">
      <c r="A1530" s="3"/>
      <c r="D1530" s="3"/>
    </row>
    <row r="1531" spans="1:4">
      <c r="A1531" s="3"/>
      <c r="D1531" s="3"/>
    </row>
    <row r="1532" spans="1:4">
      <c r="A1532" s="3"/>
      <c r="D1532" s="3"/>
    </row>
    <row r="1533" spans="1:4">
      <c r="A1533" s="3"/>
      <c r="D1533" s="3"/>
    </row>
    <row r="1534" spans="1:4">
      <c r="A1534" s="3"/>
      <c r="D1534" s="3"/>
    </row>
    <row r="1535" spans="1:4">
      <c r="A1535" s="3"/>
      <c r="D1535" s="3"/>
    </row>
    <row r="1536" spans="1:4">
      <c r="A1536" s="3"/>
      <c r="D1536" s="3"/>
    </row>
    <row r="1537" spans="1:4">
      <c r="A1537" s="3"/>
      <c r="D1537" s="3"/>
    </row>
    <row r="1538" spans="1:4">
      <c r="A1538" s="3"/>
      <c r="D1538" s="3"/>
    </row>
    <row r="1539" spans="1:4">
      <c r="A1539" s="3"/>
      <c r="D1539" s="3"/>
    </row>
    <row r="1540" spans="1:4">
      <c r="A1540" s="3"/>
      <c r="D1540" s="3"/>
    </row>
    <row r="1541" spans="1:4">
      <c r="A1541" s="3"/>
      <c r="D1541" s="3"/>
    </row>
    <row r="1542" spans="1:4">
      <c r="A1542" s="3"/>
      <c r="D1542" s="3"/>
    </row>
    <row r="1543" spans="1:4">
      <c r="A1543" s="3"/>
      <c r="D1543" s="3"/>
    </row>
    <row r="1544" spans="1:4">
      <c r="A1544" s="3"/>
      <c r="D1544" s="3"/>
    </row>
    <row r="1545" spans="1:4">
      <c r="A1545" s="3"/>
      <c r="D1545" s="3"/>
    </row>
    <row r="1546" spans="1:4">
      <c r="A1546" s="3"/>
      <c r="D1546" s="3"/>
    </row>
    <row r="1547" spans="1:4">
      <c r="A1547" s="3"/>
      <c r="D1547" s="3"/>
    </row>
    <row r="1548" spans="1:4">
      <c r="A1548" s="3"/>
      <c r="D1548" s="3"/>
    </row>
    <row r="1549" spans="1:4">
      <c r="A1549" s="3"/>
      <c r="D1549" s="3"/>
    </row>
    <row r="1550" spans="1:4">
      <c r="A1550" s="3"/>
      <c r="D1550" s="3"/>
    </row>
    <row r="1551" spans="1:4">
      <c r="A1551" s="3"/>
      <c r="D1551" s="3"/>
    </row>
    <row r="1552" spans="1:4">
      <c r="A1552" s="3"/>
      <c r="D1552" s="3"/>
    </row>
    <row r="1553" spans="1:4">
      <c r="A1553" s="3"/>
      <c r="D1553" s="3"/>
    </row>
    <row r="1554" spans="1:4">
      <c r="A1554" s="3"/>
      <c r="D1554" s="3"/>
    </row>
    <row r="1555" spans="1:4">
      <c r="A1555" s="3"/>
      <c r="D1555" s="3"/>
    </row>
    <row r="1556" spans="1:4">
      <c r="A1556" s="3"/>
      <c r="D1556" s="3"/>
    </row>
    <row r="1557" spans="1:4">
      <c r="A1557" s="3"/>
      <c r="D1557" s="3"/>
    </row>
    <row r="1558" spans="1:4">
      <c r="A1558" s="3"/>
      <c r="D1558" s="3"/>
    </row>
    <row r="1559" spans="1:4">
      <c r="A1559" s="3"/>
      <c r="D1559" s="3"/>
    </row>
    <row r="1560" spans="1:4">
      <c r="A1560" s="3"/>
      <c r="D1560" s="3"/>
    </row>
    <row r="1561" spans="1:4">
      <c r="A1561" s="3"/>
      <c r="D1561" s="3"/>
    </row>
    <row r="1562" spans="1:4">
      <c r="A1562" s="3"/>
      <c r="D1562" s="3"/>
    </row>
    <row r="1563" spans="1:4">
      <c r="A1563" s="3"/>
      <c r="D1563" s="3"/>
    </row>
    <row r="1564" spans="1:4">
      <c r="A1564" s="3"/>
      <c r="D1564" s="3"/>
    </row>
    <row r="1565" spans="1:4">
      <c r="A1565" s="3"/>
      <c r="D1565" s="3"/>
    </row>
    <row r="1566" spans="1:4">
      <c r="A1566" s="3"/>
      <c r="D1566" s="3"/>
    </row>
    <row r="1567" spans="1:4">
      <c r="A1567" s="3"/>
      <c r="D1567" s="3"/>
    </row>
    <row r="1568" spans="1:4">
      <c r="A1568" s="3"/>
      <c r="D1568" s="3"/>
    </row>
    <row r="1569" spans="1:4">
      <c r="A1569" s="3"/>
      <c r="D1569" s="3"/>
    </row>
    <row r="1570" spans="1:4">
      <c r="A1570" s="3"/>
      <c r="D1570" s="3"/>
    </row>
    <row r="1571" spans="1:4">
      <c r="A1571" s="3"/>
      <c r="D1571" s="3"/>
    </row>
    <row r="1572" spans="1:4">
      <c r="A1572" s="3"/>
      <c r="D1572" s="3"/>
    </row>
    <row r="1573" spans="1:4">
      <c r="A1573" s="3"/>
      <c r="D1573" s="3"/>
    </row>
    <row r="1574" spans="1:4">
      <c r="A1574" s="3"/>
      <c r="D1574" s="3"/>
    </row>
    <row r="1575" spans="1:4">
      <c r="A1575" s="3"/>
      <c r="D1575" s="3"/>
    </row>
    <row r="1576" spans="1:4">
      <c r="A1576" s="3"/>
      <c r="D1576" s="3"/>
    </row>
    <row r="1577" spans="1:4">
      <c r="A1577" s="3"/>
      <c r="D1577" s="3"/>
    </row>
    <row r="1578" spans="1:4">
      <c r="A1578" s="3"/>
      <c r="D1578" s="3"/>
    </row>
    <row r="1579" spans="1:4">
      <c r="A1579" s="3"/>
      <c r="D1579" s="3"/>
    </row>
    <row r="1580" spans="1:4">
      <c r="A1580" s="3"/>
      <c r="D1580" s="3"/>
    </row>
    <row r="1581" spans="1:4">
      <c r="A1581" s="3"/>
      <c r="D1581" s="3"/>
    </row>
    <row r="1582" spans="1:4">
      <c r="A1582" s="3"/>
      <c r="D1582" s="3"/>
    </row>
    <row r="1583" spans="1:4">
      <c r="A1583" s="3"/>
      <c r="D1583" s="3"/>
    </row>
    <row r="1584" spans="1:4">
      <c r="A1584" s="3"/>
      <c r="D1584" s="3"/>
    </row>
    <row r="1585" spans="1:4">
      <c r="A1585" s="3"/>
      <c r="D1585" s="3"/>
    </row>
    <row r="1586" spans="1:4">
      <c r="A1586" s="3"/>
      <c r="D1586" s="3"/>
    </row>
    <row r="1587" spans="1:4">
      <c r="A1587" s="3"/>
      <c r="D1587" s="3"/>
    </row>
    <row r="1588" spans="1:4">
      <c r="A1588" s="3"/>
      <c r="D1588" s="3"/>
    </row>
    <row r="1589" spans="1:4">
      <c r="A1589" s="3"/>
      <c r="D1589" s="3"/>
    </row>
    <row r="1590" spans="1:4">
      <c r="A1590" s="3"/>
      <c r="D1590" s="3"/>
    </row>
    <row r="1591" spans="1:4">
      <c r="A1591" s="3"/>
      <c r="D1591" s="3"/>
    </row>
    <row r="1592" spans="1:4">
      <c r="A1592" s="3"/>
      <c r="D1592" s="3"/>
    </row>
    <row r="1593" spans="1:4">
      <c r="A1593" s="3"/>
      <c r="D1593" s="3"/>
    </row>
    <row r="1594" spans="1:4">
      <c r="A1594" s="3"/>
      <c r="D1594" s="3"/>
    </row>
    <row r="1595" spans="1:4">
      <c r="A1595" s="3"/>
      <c r="D1595" s="3"/>
    </row>
    <row r="1596" spans="1:4">
      <c r="A1596" s="3"/>
      <c r="D1596" s="3"/>
    </row>
    <row r="1597" spans="1:4">
      <c r="A1597" s="3"/>
      <c r="D1597" s="3"/>
    </row>
    <row r="1598" spans="1:4">
      <c r="A1598" s="3"/>
      <c r="D1598" s="3"/>
    </row>
    <row r="1599" spans="1:4">
      <c r="A1599" s="3"/>
      <c r="D1599" s="3"/>
    </row>
    <row r="1600" spans="1:4">
      <c r="A1600" s="3"/>
      <c r="D1600" s="3"/>
    </row>
    <row r="1601" spans="1:4">
      <c r="A1601" s="3"/>
      <c r="D1601" s="3"/>
    </row>
    <row r="1602" spans="1:4">
      <c r="A1602" s="3"/>
      <c r="D1602" s="3"/>
    </row>
    <row r="1603" spans="1:4">
      <c r="A1603" s="3"/>
      <c r="D1603" s="3"/>
    </row>
    <row r="1604" spans="1:4">
      <c r="A1604" s="3"/>
      <c r="D1604" s="3"/>
    </row>
    <row r="1605" spans="1:4">
      <c r="A1605" s="3"/>
      <c r="D1605" s="3"/>
    </row>
    <row r="1606" spans="1:4">
      <c r="A1606" s="3"/>
      <c r="D1606" s="3"/>
    </row>
    <row r="1607" spans="1:4">
      <c r="A1607" s="3"/>
      <c r="D1607" s="3"/>
    </row>
    <row r="1608" spans="1:4">
      <c r="A1608" s="3"/>
      <c r="D1608" s="3"/>
    </row>
    <row r="1609" spans="1:4">
      <c r="A1609" s="3"/>
      <c r="D1609" s="3"/>
    </row>
    <row r="1610" spans="1:4">
      <c r="A1610" s="3"/>
      <c r="D1610" s="3"/>
    </row>
    <row r="1611" spans="1:4">
      <c r="A1611" s="3"/>
      <c r="D1611" s="3"/>
    </row>
    <row r="1612" spans="1:4">
      <c r="A1612" s="3"/>
      <c r="D1612" s="3"/>
    </row>
    <row r="1613" spans="1:4">
      <c r="A1613" s="3"/>
      <c r="D1613" s="3"/>
    </row>
    <row r="1614" spans="1:4">
      <c r="A1614" s="3"/>
      <c r="D1614" s="3"/>
    </row>
    <row r="1615" spans="1:4">
      <c r="A1615" s="3"/>
      <c r="D1615" s="3"/>
    </row>
    <row r="1616" spans="1:4">
      <c r="A1616" s="3"/>
      <c r="D1616" s="3"/>
    </row>
    <row r="1617" spans="1:4">
      <c r="A1617" s="3"/>
      <c r="D1617" s="3"/>
    </row>
    <row r="1618" spans="1:4">
      <c r="A1618" s="3"/>
      <c r="D1618" s="3"/>
    </row>
    <row r="1619" spans="1:4">
      <c r="A1619" s="3"/>
      <c r="D1619" s="3"/>
    </row>
    <row r="1620" spans="1:4">
      <c r="A1620" s="3"/>
      <c r="D1620" s="3"/>
    </row>
    <row r="1621" spans="1:4">
      <c r="A1621" s="3"/>
      <c r="D1621" s="3"/>
    </row>
    <row r="1622" spans="1:4">
      <c r="A1622" s="3"/>
      <c r="D1622" s="3"/>
    </row>
    <row r="1623" spans="1:4">
      <c r="A1623" s="3"/>
      <c r="D1623" s="3"/>
    </row>
    <row r="1624" spans="1:4">
      <c r="A1624" s="3"/>
      <c r="D1624" s="3"/>
    </row>
    <row r="1625" spans="1:4">
      <c r="A1625" s="3"/>
      <c r="D1625" s="3"/>
    </row>
    <row r="1626" spans="1:4">
      <c r="A1626" s="3"/>
      <c r="D1626" s="3"/>
    </row>
    <row r="1627" spans="1:4">
      <c r="A1627" s="3"/>
      <c r="D1627" s="3"/>
    </row>
    <row r="1628" spans="1:4">
      <c r="A1628" s="3"/>
      <c r="D1628" s="3"/>
    </row>
    <row r="1629" spans="1:4">
      <c r="A1629" s="3"/>
      <c r="D1629" s="3"/>
    </row>
    <row r="1630" spans="1:4">
      <c r="A1630" s="3"/>
      <c r="D1630" s="3"/>
    </row>
    <row r="1631" spans="1:4">
      <c r="A1631" s="3"/>
      <c r="D1631" s="3"/>
    </row>
    <row r="1632" spans="1:4">
      <c r="A1632" s="3"/>
      <c r="D1632" s="3"/>
    </row>
    <row r="1633" spans="1:4">
      <c r="A1633" s="3"/>
      <c r="D1633" s="3"/>
    </row>
    <row r="1634" spans="1:4">
      <c r="A1634" s="3"/>
      <c r="D1634" s="3"/>
    </row>
    <row r="1635" spans="1:4">
      <c r="A1635" s="3"/>
      <c r="D1635" s="3"/>
    </row>
    <row r="1636" spans="1:4">
      <c r="A1636" s="3"/>
      <c r="D1636" s="3"/>
    </row>
    <row r="1637" spans="1:4">
      <c r="A1637" s="3"/>
      <c r="D1637" s="3"/>
    </row>
    <row r="1638" spans="1:4">
      <c r="A1638" s="3"/>
      <c r="D1638" s="3"/>
    </row>
    <row r="1639" spans="1:4">
      <c r="A1639" s="3"/>
      <c r="D1639" s="3"/>
    </row>
    <row r="1640" spans="1:4">
      <c r="A1640" s="3"/>
      <c r="D1640" s="3"/>
    </row>
    <row r="1641" spans="1:4">
      <c r="A1641" s="3"/>
      <c r="D1641" s="3"/>
    </row>
    <row r="1642" spans="1:4">
      <c r="A1642" s="3"/>
      <c r="D1642" s="3"/>
    </row>
    <row r="1643" spans="1:4">
      <c r="A1643" s="3"/>
      <c r="D1643" s="3"/>
    </row>
    <row r="1644" spans="1:4">
      <c r="A1644" s="3"/>
      <c r="D1644" s="3"/>
    </row>
    <row r="1645" spans="1:4">
      <c r="A1645" s="3"/>
      <c r="D1645" s="3"/>
    </row>
    <row r="1646" spans="1:4">
      <c r="A1646" s="3"/>
      <c r="D1646" s="3"/>
    </row>
    <row r="1647" spans="1:4">
      <c r="A1647" s="3"/>
      <c r="D1647" s="3"/>
    </row>
    <row r="1648" spans="1:4">
      <c r="A1648" s="3"/>
      <c r="D1648" s="3"/>
    </row>
    <row r="1649" spans="1:4">
      <c r="A1649" s="3"/>
      <c r="D1649" s="3"/>
    </row>
    <row r="1650" spans="1:4">
      <c r="A1650" s="3"/>
      <c r="D1650" s="3"/>
    </row>
    <row r="1651" spans="1:4">
      <c r="A1651" s="3"/>
      <c r="D1651" s="3"/>
    </row>
    <row r="1652" spans="1:4">
      <c r="A1652" s="3"/>
      <c r="D1652" s="3"/>
    </row>
    <row r="1653" spans="1:4">
      <c r="A1653" s="3"/>
      <c r="D1653" s="3"/>
    </row>
    <row r="1654" spans="1:4">
      <c r="A1654" s="3"/>
      <c r="D1654" s="3"/>
    </row>
    <row r="1655" spans="1:4">
      <c r="A1655" s="3"/>
      <c r="D1655" s="3"/>
    </row>
    <row r="1656" spans="1:4">
      <c r="A1656" s="3"/>
      <c r="D1656" s="3"/>
    </row>
    <row r="1657" spans="1:4">
      <c r="A1657" s="3"/>
      <c r="D1657" s="3"/>
    </row>
    <row r="1658" spans="1:4">
      <c r="A1658" s="3"/>
      <c r="D1658" s="3"/>
    </row>
    <row r="1659" spans="1:4">
      <c r="A1659" s="3"/>
      <c r="D1659" s="3"/>
    </row>
    <row r="1660" spans="1:4">
      <c r="A1660" s="3"/>
      <c r="D1660" s="3"/>
    </row>
    <row r="1661" spans="1:4">
      <c r="A1661" s="3"/>
      <c r="D1661" s="3"/>
    </row>
    <row r="1662" spans="1:4">
      <c r="A1662" s="3"/>
      <c r="D1662" s="3"/>
    </row>
    <row r="1663" spans="1:4">
      <c r="A1663" s="3"/>
      <c r="D1663" s="3"/>
    </row>
    <row r="1664" spans="1:4">
      <c r="A1664" s="3"/>
      <c r="D1664" s="3"/>
    </row>
    <row r="1665" spans="1:4">
      <c r="A1665" s="3"/>
      <c r="D1665" s="3"/>
    </row>
    <row r="1666" spans="1:4">
      <c r="A1666" s="3"/>
      <c r="D1666" s="3"/>
    </row>
    <row r="1667" spans="1:4">
      <c r="A1667" s="3"/>
      <c r="D1667" s="3"/>
    </row>
    <row r="1668" spans="1:4">
      <c r="A1668" s="3"/>
      <c r="D1668" s="3"/>
    </row>
    <row r="1669" spans="1:4">
      <c r="A1669" s="3"/>
      <c r="D1669" s="3"/>
    </row>
    <row r="1670" spans="1:4">
      <c r="A1670" s="3"/>
      <c r="D1670" s="3"/>
    </row>
    <row r="1671" spans="1:4">
      <c r="A1671" s="3"/>
      <c r="D1671" s="3"/>
    </row>
    <row r="1672" spans="1:4">
      <c r="A1672" s="3"/>
      <c r="D1672" s="3"/>
    </row>
    <row r="1673" spans="1:4">
      <c r="A1673" s="3"/>
      <c r="D1673" s="3"/>
    </row>
    <row r="1674" spans="1:4">
      <c r="A1674" s="3"/>
      <c r="D1674" s="3"/>
    </row>
    <row r="1675" spans="1:4">
      <c r="A1675" s="3"/>
      <c r="D1675" s="3"/>
    </row>
    <row r="1676" spans="1:4">
      <c r="A1676" s="3"/>
      <c r="D1676" s="3"/>
    </row>
    <row r="1677" spans="1:4">
      <c r="A1677" s="3"/>
      <c r="D1677" s="3"/>
    </row>
    <row r="1678" spans="1:4">
      <c r="A1678" s="3"/>
      <c r="D1678" s="3"/>
    </row>
    <row r="1679" spans="1:4">
      <c r="A1679" s="3"/>
      <c r="D1679" s="3"/>
    </row>
    <row r="1680" spans="1:4">
      <c r="A1680" s="3"/>
      <c r="D1680" s="3"/>
    </row>
    <row r="1681" spans="1:4">
      <c r="A1681" s="3"/>
      <c r="D1681" s="3"/>
    </row>
    <row r="1682" spans="1:4">
      <c r="A1682" s="3"/>
      <c r="D1682" s="3"/>
    </row>
    <row r="1683" spans="1:4">
      <c r="A1683" s="3"/>
      <c r="D1683" s="3"/>
    </row>
    <row r="1684" spans="1:4">
      <c r="A1684" s="3"/>
      <c r="D1684" s="3"/>
    </row>
    <row r="1685" spans="1:4">
      <c r="A1685" s="3"/>
      <c r="D1685" s="3"/>
    </row>
    <row r="1686" spans="1:4">
      <c r="A1686" s="3"/>
      <c r="D1686" s="3"/>
    </row>
    <row r="1687" spans="1:4">
      <c r="A1687" s="3"/>
      <c r="D1687" s="3"/>
    </row>
    <row r="1688" spans="1:4">
      <c r="A1688" s="3"/>
      <c r="D1688" s="3"/>
    </row>
    <row r="1689" spans="1:4">
      <c r="A1689" s="3"/>
      <c r="D1689" s="3"/>
    </row>
    <row r="1690" spans="1:4">
      <c r="A1690" s="3"/>
      <c r="D1690" s="3"/>
    </row>
    <row r="1691" spans="1:4">
      <c r="A1691" s="3"/>
      <c r="D1691" s="3"/>
    </row>
    <row r="1692" spans="1:4">
      <c r="A1692" s="3"/>
      <c r="D1692" s="3"/>
    </row>
    <row r="1693" spans="1:4">
      <c r="A1693" s="3"/>
      <c r="D1693" s="3"/>
    </row>
    <row r="1694" spans="1:4">
      <c r="A1694" s="3"/>
      <c r="D1694" s="3"/>
    </row>
    <row r="1695" spans="1:4">
      <c r="A1695" s="3"/>
      <c r="D1695" s="3"/>
    </row>
    <row r="1696" spans="1:4">
      <c r="A1696" s="3"/>
      <c r="D1696" s="3"/>
    </row>
    <row r="1697" spans="1:4">
      <c r="A1697" s="3"/>
      <c r="D1697" s="3"/>
    </row>
    <row r="1698" spans="1:4">
      <c r="A1698" s="3"/>
      <c r="D1698" s="3"/>
    </row>
    <row r="1699" spans="1:4">
      <c r="A1699" s="3"/>
      <c r="D1699" s="3"/>
    </row>
    <row r="1700" spans="1:4">
      <c r="A1700" s="3"/>
      <c r="D1700" s="3"/>
    </row>
    <row r="1701" spans="1:4">
      <c r="A1701" s="3"/>
      <c r="D1701" s="3"/>
    </row>
    <row r="1702" spans="1:4">
      <c r="A1702" s="3"/>
      <c r="D1702" s="3"/>
    </row>
    <row r="1703" spans="1:4">
      <c r="A1703" s="3"/>
      <c r="D1703" s="3"/>
    </row>
    <row r="1704" spans="1:4">
      <c r="A1704" s="3"/>
      <c r="D1704" s="3"/>
    </row>
    <row r="1705" spans="1:4">
      <c r="A1705" s="3"/>
      <c r="D1705" s="3"/>
    </row>
    <row r="1706" spans="1:4">
      <c r="A1706" s="3"/>
      <c r="D1706" s="3"/>
    </row>
    <row r="1707" spans="1:4">
      <c r="A1707" s="3"/>
      <c r="D1707" s="3"/>
    </row>
    <row r="1708" spans="1:4">
      <c r="A1708" s="3"/>
      <c r="D1708" s="3"/>
    </row>
    <row r="1709" spans="1:4">
      <c r="A1709" s="3"/>
      <c r="D1709" s="3"/>
    </row>
    <row r="1710" spans="1:4">
      <c r="A1710" s="3"/>
      <c r="D1710" s="3"/>
    </row>
    <row r="1711" spans="1:4">
      <c r="A1711" s="3"/>
      <c r="D1711" s="3"/>
    </row>
    <row r="1712" spans="1:4">
      <c r="A1712" s="3"/>
      <c r="D1712" s="3"/>
    </row>
    <row r="1713" spans="1:4">
      <c r="A1713" s="3"/>
      <c r="D1713" s="3"/>
    </row>
    <row r="1714" spans="1:4">
      <c r="A1714" s="3"/>
      <c r="D1714" s="3"/>
    </row>
    <row r="1715" spans="1:4">
      <c r="A1715" s="3"/>
      <c r="D1715" s="3"/>
    </row>
    <row r="1716" spans="1:4">
      <c r="A1716" s="3"/>
      <c r="D1716" s="3"/>
    </row>
    <row r="1717" spans="1:4">
      <c r="A1717" s="3"/>
      <c r="D1717" s="3"/>
    </row>
    <row r="1718" spans="1:4">
      <c r="A1718" s="3"/>
      <c r="D1718" s="3"/>
    </row>
    <row r="1719" spans="1:4">
      <c r="A1719" s="3"/>
      <c r="D1719" s="3"/>
    </row>
    <row r="1720" spans="1:4">
      <c r="A1720" s="3"/>
      <c r="D1720" s="3"/>
    </row>
    <row r="1721" spans="1:4">
      <c r="A1721" s="3"/>
      <c r="D1721" s="3"/>
    </row>
    <row r="1722" spans="1:4">
      <c r="A1722" s="3"/>
      <c r="D1722" s="3"/>
    </row>
    <row r="1723" spans="1:4">
      <c r="A1723" s="3"/>
      <c r="D1723" s="3"/>
    </row>
    <row r="1724" spans="1:4">
      <c r="A1724" s="3"/>
      <c r="D1724" s="3"/>
    </row>
    <row r="1725" spans="1:4">
      <c r="A1725" s="3"/>
      <c r="D1725" s="3"/>
    </row>
    <row r="1726" spans="1:4">
      <c r="A1726" s="3"/>
      <c r="D1726" s="3"/>
    </row>
    <row r="1727" spans="1:4">
      <c r="A1727" s="3"/>
      <c r="D1727" s="3"/>
    </row>
    <row r="1728" spans="1:4">
      <c r="A1728" s="3"/>
      <c r="D1728" s="3"/>
    </row>
    <row r="1729" spans="1:4">
      <c r="A1729" s="3"/>
      <c r="D1729" s="3"/>
    </row>
    <row r="1730" spans="1:4">
      <c r="A1730" s="3"/>
      <c r="D1730" s="3"/>
    </row>
    <row r="1731" spans="1:4">
      <c r="A1731" s="3"/>
      <c r="D1731" s="3"/>
    </row>
    <row r="1732" spans="1:4">
      <c r="A1732" s="3"/>
      <c r="D1732" s="3"/>
    </row>
    <row r="1733" spans="1:4">
      <c r="A1733" s="3"/>
      <c r="D1733" s="3"/>
    </row>
    <row r="1734" spans="1:4">
      <c r="A1734" s="3"/>
      <c r="D1734" s="3"/>
    </row>
    <row r="1735" spans="1:4">
      <c r="A1735" s="3"/>
      <c r="D1735" s="3"/>
    </row>
    <row r="1736" spans="1:4">
      <c r="A1736" s="3"/>
      <c r="D1736" s="3"/>
    </row>
    <row r="1737" spans="1:4">
      <c r="A1737" s="3"/>
      <c r="D1737" s="3"/>
    </row>
    <row r="1738" spans="1:4">
      <c r="A1738" s="3"/>
      <c r="D1738" s="3"/>
    </row>
    <row r="1739" spans="1:4">
      <c r="A1739" s="3"/>
      <c r="D1739" s="3"/>
    </row>
    <row r="1740" spans="1:4">
      <c r="A1740" s="3"/>
      <c r="D1740" s="3"/>
    </row>
    <row r="1741" spans="1:4">
      <c r="A1741" s="3"/>
      <c r="D1741" s="3"/>
    </row>
    <row r="1742" spans="1:4">
      <c r="A1742" s="3"/>
      <c r="D1742" s="3"/>
    </row>
    <row r="1743" spans="1:4">
      <c r="A1743" s="3"/>
      <c r="D1743" s="3"/>
    </row>
    <row r="1744" spans="1:4">
      <c r="A1744" s="3"/>
      <c r="D1744" s="3"/>
    </row>
    <row r="1745" spans="1:4">
      <c r="A1745" s="3"/>
      <c r="D1745" s="3"/>
    </row>
    <row r="1746" spans="1:4">
      <c r="A1746" s="3"/>
      <c r="D1746" s="3"/>
    </row>
    <row r="1747" spans="1:4">
      <c r="A1747" s="3"/>
      <c r="D1747" s="3"/>
    </row>
    <row r="1748" spans="1:4">
      <c r="A1748" s="3"/>
      <c r="D1748" s="3"/>
    </row>
    <row r="1749" spans="1:4">
      <c r="A1749" s="3"/>
      <c r="D1749" s="3"/>
    </row>
    <row r="1750" spans="1:4">
      <c r="A1750" s="3"/>
      <c r="D1750" s="3"/>
    </row>
    <row r="1751" spans="1:4">
      <c r="A1751" s="3"/>
      <c r="D1751" s="3"/>
    </row>
    <row r="1752" spans="1:4">
      <c r="A1752" s="3"/>
      <c r="D1752" s="3"/>
    </row>
    <row r="1753" spans="1:4">
      <c r="A1753" s="3"/>
      <c r="D1753" s="3"/>
    </row>
    <row r="1754" spans="1:4">
      <c r="A1754" s="3"/>
      <c r="D1754" s="3"/>
    </row>
    <row r="1755" spans="1:4">
      <c r="A1755" s="3"/>
      <c r="D1755" s="3"/>
    </row>
    <row r="1756" spans="1:4">
      <c r="A1756" s="3"/>
      <c r="D1756" s="3"/>
    </row>
    <row r="1757" spans="1:4">
      <c r="A1757" s="3"/>
      <c r="D1757" s="3"/>
    </row>
    <row r="1758" spans="1:4">
      <c r="A1758" s="3"/>
      <c r="D1758" s="3"/>
    </row>
    <row r="1759" spans="1:4">
      <c r="A1759" s="3"/>
      <c r="D1759" s="3"/>
    </row>
    <row r="1760" spans="1:4">
      <c r="A1760" s="3"/>
      <c r="D1760" s="3"/>
    </row>
    <row r="1761" spans="1:4">
      <c r="A1761" s="3"/>
      <c r="D1761" s="3"/>
    </row>
    <row r="1762" spans="1:4">
      <c r="A1762" s="3"/>
      <c r="D1762" s="3"/>
    </row>
    <row r="1763" spans="1:4">
      <c r="A1763" s="3"/>
      <c r="D1763" s="3"/>
    </row>
    <row r="1764" spans="1:4">
      <c r="A1764" s="3"/>
      <c r="D1764" s="3"/>
    </row>
    <row r="1765" spans="1:4">
      <c r="A1765" s="3"/>
      <c r="D1765" s="3"/>
    </row>
    <row r="1766" spans="1:4">
      <c r="A1766" s="3"/>
      <c r="D1766" s="3"/>
    </row>
    <row r="1767" spans="1:4">
      <c r="A1767" s="3"/>
      <c r="D1767" s="3"/>
    </row>
    <row r="1768" spans="1:4">
      <c r="A1768" s="3"/>
      <c r="D1768" s="3"/>
    </row>
    <row r="1769" spans="1:4">
      <c r="A1769" s="3"/>
      <c r="D1769" s="3"/>
    </row>
    <row r="1770" spans="1:4">
      <c r="A1770" s="3"/>
      <c r="D1770" s="3"/>
    </row>
    <row r="1771" spans="1:4">
      <c r="A1771" s="3"/>
      <c r="D1771" s="3"/>
    </row>
    <row r="1772" spans="1:4">
      <c r="A1772" s="3"/>
      <c r="D1772" s="3"/>
    </row>
    <row r="1773" spans="1:4">
      <c r="A1773" s="3"/>
      <c r="D1773" s="3"/>
    </row>
    <row r="1774" spans="1:4">
      <c r="A1774" s="3"/>
      <c r="D1774" s="3"/>
    </row>
    <row r="1775" spans="1:4">
      <c r="A1775" s="3"/>
      <c r="D1775" s="3"/>
    </row>
    <row r="1776" spans="1:4">
      <c r="A1776" s="3"/>
      <c r="D1776" s="3"/>
    </row>
    <row r="1777" spans="1:4">
      <c r="A1777" s="3"/>
      <c r="D1777" s="3"/>
    </row>
    <row r="1778" spans="1:4">
      <c r="A1778" s="3"/>
      <c r="D1778" s="3"/>
    </row>
    <row r="1779" spans="1:4">
      <c r="A1779" s="3"/>
      <c r="D1779" s="3"/>
    </row>
    <row r="1780" spans="1:4">
      <c r="A1780" s="3"/>
      <c r="D1780" s="3"/>
    </row>
    <row r="1781" spans="1:4">
      <c r="A1781" s="3"/>
      <c r="D1781" s="3"/>
    </row>
    <row r="1782" spans="1:4">
      <c r="A1782" s="3"/>
      <c r="D1782" s="3"/>
    </row>
    <row r="1783" spans="1:4">
      <c r="A1783" s="3"/>
      <c r="D1783" s="3"/>
    </row>
    <row r="1784" spans="1:4">
      <c r="A1784" s="3"/>
      <c r="D1784" s="3"/>
    </row>
    <row r="1785" spans="1:4">
      <c r="A1785" s="3"/>
      <c r="D1785" s="3"/>
    </row>
    <row r="1786" spans="1:4">
      <c r="A1786" s="3"/>
      <c r="D1786" s="3"/>
    </row>
    <row r="1787" spans="1:4">
      <c r="A1787" s="3"/>
      <c r="D1787" s="3"/>
    </row>
    <row r="1788" spans="1:4">
      <c r="A1788" s="3"/>
      <c r="D1788" s="3"/>
    </row>
    <row r="1789" spans="1:4">
      <c r="A1789" s="3"/>
      <c r="D1789" s="3"/>
    </row>
    <row r="1790" spans="1:4">
      <c r="A1790" s="3"/>
      <c r="D1790" s="3"/>
    </row>
    <row r="1791" spans="1:4">
      <c r="A1791" s="3"/>
      <c r="D1791" s="3"/>
    </row>
    <row r="1792" spans="1:4">
      <c r="A1792" s="3"/>
      <c r="D1792" s="3"/>
    </row>
    <row r="1793" spans="1:4">
      <c r="A1793" s="3"/>
      <c r="D1793" s="3"/>
    </row>
    <row r="1794" spans="1:4">
      <c r="A1794" s="3"/>
      <c r="D1794" s="3"/>
    </row>
    <row r="1795" spans="1:4">
      <c r="A1795" s="3"/>
      <c r="D1795" s="3"/>
    </row>
    <row r="1796" spans="1:4">
      <c r="A1796" s="3"/>
      <c r="D1796" s="3"/>
    </row>
    <row r="1797" spans="1:4">
      <c r="A1797" s="3"/>
      <c r="D1797" s="3"/>
    </row>
    <row r="1798" spans="1:4">
      <c r="A1798" s="3"/>
      <c r="D1798" s="3"/>
    </row>
    <row r="1799" spans="1:4">
      <c r="A1799" s="3"/>
      <c r="D1799" s="3"/>
    </row>
    <row r="1800" spans="1:4">
      <c r="A1800" s="3"/>
      <c r="D1800" s="3"/>
    </row>
    <row r="1801" spans="1:4">
      <c r="A1801" s="3"/>
      <c r="D1801" s="3"/>
    </row>
    <row r="1802" spans="1:4">
      <c r="A1802" s="3"/>
      <c r="D1802" s="3"/>
    </row>
    <row r="1803" spans="1:4">
      <c r="A1803" s="3"/>
      <c r="D1803" s="3"/>
    </row>
    <row r="1804" spans="1:4">
      <c r="A1804" s="3"/>
      <c r="D1804" s="3"/>
    </row>
    <row r="1805" spans="1:4">
      <c r="A1805" s="3"/>
      <c r="D1805" s="3"/>
    </row>
    <row r="1806" spans="1:4">
      <c r="A1806" s="3"/>
      <c r="D1806" s="3"/>
    </row>
    <row r="1807" spans="1:4">
      <c r="A1807" s="3"/>
      <c r="D1807" s="3"/>
    </row>
    <row r="1808" spans="1:4">
      <c r="A1808" s="3"/>
      <c r="D1808" s="3"/>
    </row>
    <row r="1809" spans="1:4">
      <c r="A1809" s="3"/>
      <c r="D1809" s="3"/>
    </row>
    <row r="1810" spans="1:4">
      <c r="A1810" s="3"/>
      <c r="D1810" s="3"/>
    </row>
    <row r="1811" spans="1:4">
      <c r="A1811" s="3"/>
      <c r="D1811" s="3"/>
    </row>
    <row r="1812" spans="1:4">
      <c r="A1812" s="3"/>
      <c r="D1812" s="3"/>
    </row>
    <row r="1813" spans="1:4">
      <c r="A1813" s="3"/>
      <c r="D1813" s="3"/>
    </row>
    <row r="1814" spans="1:4">
      <c r="A1814" s="3"/>
      <c r="D1814" s="3"/>
    </row>
    <row r="1815" spans="1:4">
      <c r="A1815" s="3"/>
      <c r="D1815" s="3"/>
    </row>
    <row r="1816" spans="1:4">
      <c r="A1816" s="3"/>
      <c r="D1816" s="3"/>
    </row>
    <row r="1817" spans="1:4">
      <c r="A1817" s="3"/>
      <c r="D1817" s="3"/>
    </row>
    <row r="1818" spans="1:4">
      <c r="A1818" s="3"/>
      <c r="D1818" s="3"/>
    </row>
    <row r="1819" spans="1:4">
      <c r="A1819" s="3"/>
      <c r="D1819" s="3"/>
    </row>
    <row r="1820" spans="1:4">
      <c r="A1820" s="3"/>
      <c r="D1820" s="3"/>
    </row>
    <row r="1821" spans="1:4">
      <c r="A1821" s="3"/>
      <c r="D1821" s="3"/>
    </row>
    <row r="1822" spans="1:4">
      <c r="A1822" s="3"/>
      <c r="D1822" s="3"/>
    </row>
    <row r="1823" spans="1:4">
      <c r="A1823" s="3"/>
      <c r="D1823" s="3"/>
    </row>
    <row r="1824" spans="1:4">
      <c r="A1824" s="3"/>
      <c r="D1824" s="3"/>
    </row>
    <row r="1825" spans="1:4">
      <c r="A1825" s="3"/>
      <c r="D1825" s="3"/>
    </row>
    <row r="1826" spans="1:4">
      <c r="A1826" s="3"/>
      <c r="D1826" s="3"/>
    </row>
    <row r="1827" spans="1:4">
      <c r="A1827" s="3"/>
      <c r="D1827" s="3"/>
    </row>
    <row r="1828" spans="1:4">
      <c r="A1828" s="3"/>
      <c r="D1828" s="3"/>
    </row>
    <row r="1829" spans="1:4">
      <c r="A1829" s="3"/>
      <c r="D1829" s="3"/>
    </row>
    <row r="1830" spans="1:4">
      <c r="A1830" s="3"/>
      <c r="D1830" s="3"/>
    </row>
    <row r="1831" spans="1:4">
      <c r="A1831" s="3"/>
      <c r="D1831" s="3"/>
    </row>
    <row r="1832" spans="1:4">
      <c r="A1832" s="3"/>
      <c r="D1832" s="3"/>
    </row>
    <row r="1833" spans="1:4">
      <c r="A1833" s="3"/>
      <c r="D1833" s="3"/>
    </row>
    <row r="1834" spans="1:4">
      <c r="A1834" s="3"/>
      <c r="D1834" s="3"/>
    </row>
    <row r="1835" spans="1:4">
      <c r="A1835" s="3"/>
      <c r="D1835" s="3"/>
    </row>
    <row r="1836" spans="1:4">
      <c r="A1836" s="3"/>
      <c r="D1836" s="3"/>
    </row>
    <row r="1837" spans="1:4">
      <c r="A1837" s="3"/>
      <c r="D1837" s="3"/>
    </row>
    <row r="1838" spans="1:4">
      <c r="A1838" s="3"/>
      <c r="D1838" s="3"/>
    </row>
    <row r="1839" spans="1:4">
      <c r="A1839" s="3"/>
      <c r="D1839" s="3"/>
    </row>
    <row r="1840" spans="1:4">
      <c r="A1840" s="3"/>
      <c r="D1840" s="3"/>
    </row>
    <row r="1841" spans="1:4">
      <c r="A1841" s="3"/>
      <c r="D1841" s="3"/>
    </row>
    <row r="1842" spans="1:4">
      <c r="A1842" s="3"/>
      <c r="D1842" s="3"/>
    </row>
    <row r="1843" spans="1:4">
      <c r="A1843" s="3"/>
      <c r="D1843" s="3"/>
    </row>
    <row r="1844" spans="1:4">
      <c r="A1844" s="3"/>
      <c r="D1844" s="3"/>
    </row>
    <row r="1845" spans="1:4">
      <c r="A1845" s="3"/>
      <c r="D1845" s="3"/>
    </row>
    <row r="1846" spans="1:4">
      <c r="A1846" s="3"/>
      <c r="D1846" s="3"/>
    </row>
    <row r="1847" spans="1:4">
      <c r="A1847" s="3"/>
      <c r="D1847" s="3"/>
    </row>
    <row r="1848" spans="1:4">
      <c r="A1848" s="3"/>
      <c r="D1848" s="3"/>
    </row>
    <row r="1849" spans="1:4">
      <c r="A1849" s="3"/>
      <c r="D1849" s="3"/>
    </row>
    <row r="1850" spans="1:4">
      <c r="A1850" s="3"/>
      <c r="D1850" s="3"/>
    </row>
    <row r="1851" spans="1:4">
      <c r="A1851" s="3"/>
      <c r="D1851" s="3"/>
    </row>
    <row r="1852" spans="1:4">
      <c r="A1852" s="3"/>
      <c r="D1852" s="3"/>
    </row>
    <row r="1853" spans="1:4">
      <c r="A1853" s="3"/>
      <c r="D1853" s="3"/>
    </row>
    <row r="1854" spans="1:4">
      <c r="A1854" s="3"/>
      <c r="D1854" s="3"/>
    </row>
    <row r="1855" spans="1:4">
      <c r="A1855" s="3"/>
      <c r="D1855" s="3"/>
    </row>
    <row r="1856" spans="1:4">
      <c r="A1856" s="3"/>
      <c r="D1856" s="3"/>
    </row>
    <row r="1857" spans="1:4">
      <c r="A1857" s="3"/>
      <c r="D1857" s="3"/>
    </row>
    <row r="1858" spans="1:4">
      <c r="A1858" s="3"/>
      <c r="D1858" s="3"/>
    </row>
    <row r="1859" spans="1:4">
      <c r="A1859" s="3"/>
      <c r="D1859" s="3"/>
    </row>
    <row r="1860" spans="1:4">
      <c r="A1860" s="3"/>
      <c r="D1860" s="3"/>
    </row>
    <row r="1861" spans="1:4">
      <c r="A1861" s="3"/>
      <c r="D1861" s="3"/>
    </row>
    <row r="1862" spans="1:4">
      <c r="A1862" s="3"/>
      <c r="D1862" s="3"/>
    </row>
    <row r="1863" spans="1:4">
      <c r="A1863" s="3"/>
      <c r="D1863" s="3"/>
    </row>
    <row r="1864" spans="1:4">
      <c r="A1864" s="3"/>
      <c r="D1864" s="3"/>
    </row>
    <row r="1865" spans="1:4">
      <c r="A1865" s="3"/>
      <c r="D1865" s="3"/>
    </row>
    <row r="1866" spans="1:4">
      <c r="A1866" s="3"/>
      <c r="D1866" s="3"/>
    </row>
    <row r="1867" spans="1:4">
      <c r="A1867" s="3"/>
      <c r="D1867" s="3"/>
    </row>
    <row r="1868" spans="1:4">
      <c r="A1868" s="3"/>
      <c r="D1868" s="3"/>
    </row>
    <row r="1869" spans="1:4">
      <c r="A1869" s="3"/>
      <c r="D1869" s="3"/>
    </row>
    <row r="1870" spans="1:4">
      <c r="A1870" s="3"/>
      <c r="D1870" s="3"/>
    </row>
    <row r="1871" spans="1:4">
      <c r="A1871" s="3"/>
      <c r="D1871" s="3"/>
    </row>
    <row r="1872" spans="1:4">
      <c r="A1872" s="3"/>
      <c r="D1872" s="3"/>
    </row>
    <row r="1873" spans="1:4">
      <c r="A1873" s="3"/>
      <c r="D1873" s="3"/>
    </row>
    <row r="1874" spans="1:4">
      <c r="A1874" s="3"/>
      <c r="D1874" s="3"/>
    </row>
    <row r="1875" spans="1:4">
      <c r="A1875" s="3"/>
      <c r="D1875" s="3"/>
    </row>
    <row r="1876" spans="1:4">
      <c r="A1876" s="3"/>
      <c r="D1876" s="3"/>
    </row>
    <row r="1877" spans="1:4">
      <c r="A1877" s="3"/>
      <c r="D1877" s="3"/>
    </row>
    <row r="1878" spans="1:4">
      <c r="A1878" s="3"/>
      <c r="D1878" s="3"/>
    </row>
    <row r="1879" spans="1:4">
      <c r="A1879" s="3"/>
      <c r="D1879" s="3"/>
    </row>
    <row r="1880" spans="1:4">
      <c r="A1880" s="3"/>
      <c r="D1880" s="3"/>
    </row>
    <row r="1881" spans="1:4">
      <c r="A1881" s="3"/>
      <c r="D1881" s="3"/>
    </row>
    <row r="1882" spans="1:4">
      <c r="A1882" s="3"/>
      <c r="D1882" s="3"/>
    </row>
    <row r="1883" spans="1:4">
      <c r="A1883" s="3"/>
      <c r="D1883" s="3"/>
    </row>
    <row r="1884" spans="1:4">
      <c r="A1884" s="3"/>
      <c r="D1884" s="3"/>
    </row>
    <row r="1885" spans="1:4">
      <c r="A1885" s="3"/>
      <c r="D1885" s="3"/>
    </row>
    <row r="1886" spans="1:4">
      <c r="A1886" s="3"/>
      <c r="D1886" s="3"/>
    </row>
    <row r="1887" spans="1:4">
      <c r="A1887" s="3"/>
      <c r="D1887" s="3"/>
    </row>
    <row r="1888" spans="1:4">
      <c r="A1888" s="3"/>
      <c r="D1888" s="3"/>
    </row>
    <row r="1889" spans="1:4">
      <c r="A1889" s="3"/>
      <c r="D1889" s="3"/>
    </row>
    <row r="1890" spans="1:4">
      <c r="A1890" s="3"/>
      <c r="D1890" s="3"/>
    </row>
    <row r="1891" spans="1:4">
      <c r="A1891" s="3"/>
      <c r="D1891" s="3"/>
    </row>
    <row r="1892" spans="1:4">
      <c r="A1892" s="3"/>
      <c r="D1892" s="3"/>
    </row>
    <row r="1893" spans="1:4">
      <c r="A1893" s="3"/>
      <c r="D1893" s="3"/>
    </row>
    <row r="1894" spans="1:4">
      <c r="A1894" s="3"/>
      <c r="D1894" s="3"/>
    </row>
    <row r="1895" spans="1:4">
      <c r="A1895" s="3"/>
      <c r="D1895" s="3"/>
    </row>
    <row r="1896" spans="1:4">
      <c r="A1896" s="3"/>
      <c r="D1896" s="3"/>
    </row>
    <row r="1897" spans="1:4">
      <c r="A1897" s="3"/>
      <c r="D1897" s="3"/>
    </row>
    <row r="1898" spans="1:4">
      <c r="A1898" s="3"/>
      <c r="D1898" s="3"/>
    </row>
    <row r="1899" spans="1:4">
      <c r="A1899" s="3"/>
      <c r="D1899" s="3"/>
    </row>
    <row r="1900" spans="1:4">
      <c r="A1900" s="3"/>
      <c r="D1900" s="3"/>
    </row>
    <row r="1901" spans="1:4">
      <c r="A1901" s="3"/>
      <c r="D1901" s="3"/>
    </row>
    <row r="1902" spans="1:4">
      <c r="A1902" s="3"/>
      <c r="D1902" s="3"/>
    </row>
    <row r="1903" spans="1:4">
      <c r="A1903" s="3"/>
      <c r="D1903" s="3"/>
    </row>
    <row r="1904" spans="1:4">
      <c r="A1904" s="3"/>
      <c r="D1904" s="3"/>
    </row>
    <row r="1905" spans="1:4">
      <c r="A1905" s="3"/>
      <c r="D1905" s="3"/>
    </row>
    <row r="1906" spans="1:4">
      <c r="A1906" s="3"/>
      <c r="D1906" s="3"/>
    </row>
    <row r="1907" spans="1:4">
      <c r="A1907" s="3"/>
      <c r="D1907" s="3"/>
    </row>
    <row r="1908" spans="1:4">
      <c r="A1908" s="3"/>
      <c r="D1908" s="3"/>
    </row>
    <row r="1909" spans="1:4">
      <c r="A1909" s="3"/>
      <c r="D1909" s="3"/>
    </row>
    <row r="1910" spans="1:4">
      <c r="A1910" s="3"/>
      <c r="D1910" s="3"/>
    </row>
    <row r="1911" spans="1:4">
      <c r="A1911" s="3"/>
      <c r="D1911" s="3"/>
    </row>
    <row r="1912" spans="1:4">
      <c r="A1912" s="3"/>
      <c r="D1912" s="3"/>
    </row>
    <row r="1913" spans="1:4">
      <c r="A1913" s="3"/>
      <c r="D1913" s="3"/>
    </row>
    <row r="1914" spans="1:4">
      <c r="A1914" s="3"/>
      <c r="D1914" s="3"/>
    </row>
    <row r="1915" spans="1:4">
      <c r="A1915" s="3"/>
      <c r="D1915" s="3"/>
    </row>
    <row r="1916" spans="1:4">
      <c r="A1916" s="3"/>
      <c r="D1916" s="3"/>
    </row>
    <row r="1917" spans="1:4">
      <c r="A1917" s="3"/>
      <c r="D1917" s="3"/>
    </row>
    <row r="1918" spans="1:4">
      <c r="A1918" s="3"/>
      <c r="D1918" s="3"/>
    </row>
    <row r="1919" spans="1:4">
      <c r="A1919" s="3"/>
      <c r="D1919" s="3"/>
    </row>
    <row r="1920" spans="1:4">
      <c r="A1920" s="3"/>
      <c r="D1920" s="3"/>
    </row>
    <row r="1921" spans="1:4">
      <c r="A1921" s="3"/>
      <c r="D1921" s="3"/>
    </row>
    <row r="1922" spans="1:4">
      <c r="A1922" s="3"/>
      <c r="D1922" s="3"/>
    </row>
    <row r="1923" spans="1:4">
      <c r="A1923" s="3"/>
      <c r="D1923" s="3"/>
    </row>
    <row r="1924" spans="1:4">
      <c r="A1924" s="3"/>
      <c r="D1924" s="3"/>
    </row>
    <row r="1925" spans="1:4">
      <c r="A1925" s="3"/>
      <c r="D1925" s="3"/>
    </row>
    <row r="1926" spans="1:4">
      <c r="A1926" s="3"/>
      <c r="D1926" s="3"/>
    </row>
    <row r="1927" spans="1:4">
      <c r="A1927" s="3"/>
      <c r="D1927" s="3"/>
    </row>
    <row r="1928" spans="1:4">
      <c r="A1928" s="3"/>
      <c r="D1928" s="3"/>
    </row>
    <row r="1929" spans="1:4">
      <c r="A1929" s="3"/>
      <c r="D1929" s="3"/>
    </row>
    <row r="1930" spans="1:4">
      <c r="A1930" s="3"/>
      <c r="D1930" s="3"/>
    </row>
    <row r="1931" spans="1:4">
      <c r="A1931" s="3"/>
      <c r="D1931" s="3"/>
    </row>
    <row r="1932" spans="1:4">
      <c r="A1932" s="3"/>
      <c r="D1932" s="3"/>
    </row>
    <row r="1933" spans="1:4">
      <c r="A1933" s="3"/>
      <c r="D1933" s="3"/>
    </row>
    <row r="1934" spans="1:4">
      <c r="A1934" s="3"/>
      <c r="D1934" s="3"/>
    </row>
    <row r="1935" spans="1:4">
      <c r="A1935" s="3"/>
      <c r="D1935" s="3"/>
    </row>
    <row r="1936" spans="1:4">
      <c r="A1936" s="3"/>
      <c r="D1936" s="3"/>
    </row>
    <row r="1937" spans="1:4">
      <c r="A1937" s="3"/>
      <c r="D1937" s="3"/>
    </row>
    <row r="1938" spans="1:4">
      <c r="A1938" s="3"/>
      <c r="D1938" s="3"/>
    </row>
    <row r="1939" spans="1:4">
      <c r="A1939" s="3"/>
      <c r="D1939" s="3"/>
    </row>
    <row r="1940" spans="1:4">
      <c r="A1940" s="3"/>
      <c r="D1940" s="3"/>
    </row>
    <row r="1941" spans="1:4">
      <c r="A1941" s="3"/>
      <c r="D1941" s="3"/>
    </row>
    <row r="1942" spans="1:4">
      <c r="A1942" s="3"/>
      <c r="D1942" s="3"/>
    </row>
    <row r="1943" spans="1:4">
      <c r="A1943" s="3"/>
      <c r="D1943" s="3"/>
    </row>
    <row r="1944" spans="1:4">
      <c r="A1944" s="3"/>
      <c r="D1944" s="3"/>
    </row>
    <row r="1945" spans="1:4">
      <c r="A1945" s="3"/>
      <c r="D1945" s="3"/>
    </row>
    <row r="1946" spans="1:4">
      <c r="A1946" s="3"/>
      <c r="D1946" s="3"/>
    </row>
    <row r="1947" spans="1:4">
      <c r="A1947" s="3"/>
      <c r="D1947" s="3"/>
    </row>
    <row r="1948" spans="1:4">
      <c r="A1948" s="3"/>
      <c r="D1948" s="3"/>
    </row>
    <row r="1949" spans="1:4">
      <c r="A1949" s="3"/>
      <c r="D1949" s="3"/>
    </row>
    <row r="1950" spans="1:4">
      <c r="A1950" s="3"/>
      <c r="D1950" s="3"/>
    </row>
    <row r="1951" spans="1:4">
      <c r="A1951" s="3"/>
      <c r="D1951" s="3"/>
    </row>
    <row r="1952" spans="1:4">
      <c r="A1952" s="3"/>
      <c r="D1952" s="3"/>
    </row>
    <row r="1953" spans="1:4">
      <c r="A1953" s="3"/>
      <c r="D1953" s="3"/>
    </row>
    <row r="1954" spans="1:4">
      <c r="A1954" s="3"/>
      <c r="D1954" s="3"/>
    </row>
    <row r="1955" spans="1:4">
      <c r="A1955" s="3"/>
      <c r="D1955" s="3"/>
    </row>
    <row r="1956" spans="1:4">
      <c r="A1956" s="3"/>
      <c r="D1956" s="3"/>
    </row>
    <row r="1957" spans="1:4">
      <c r="A1957" s="3"/>
      <c r="D1957" s="3"/>
    </row>
    <row r="1958" spans="1:4">
      <c r="A1958" s="3"/>
      <c r="D1958" s="3"/>
    </row>
    <row r="1959" spans="1:4">
      <c r="A1959" s="3"/>
      <c r="D1959" s="3"/>
    </row>
    <row r="1960" spans="1:4">
      <c r="A1960" s="3"/>
      <c r="D1960" s="3"/>
    </row>
    <row r="1961" spans="1:4">
      <c r="A1961" s="3"/>
      <c r="D1961" s="3"/>
    </row>
    <row r="1962" spans="1:4">
      <c r="A1962" s="3"/>
      <c r="D1962" s="3"/>
    </row>
    <row r="1963" spans="1:4">
      <c r="A1963" s="3"/>
      <c r="D1963" s="3"/>
    </row>
    <row r="1964" spans="1:4">
      <c r="A1964" s="3"/>
      <c r="D1964" s="3"/>
    </row>
    <row r="1965" spans="1:4">
      <c r="A1965" s="3"/>
      <c r="D1965" s="3"/>
    </row>
    <row r="1966" spans="1:4">
      <c r="A1966" s="3"/>
      <c r="D1966" s="3"/>
    </row>
    <row r="1967" spans="1:4">
      <c r="A1967" s="3"/>
      <c r="D1967" s="3"/>
    </row>
    <row r="1968" spans="1:4">
      <c r="A1968" s="3"/>
      <c r="D1968" s="3"/>
    </row>
    <row r="1969" spans="1:4">
      <c r="A1969" s="3"/>
      <c r="D1969" s="3"/>
    </row>
    <row r="1970" spans="1:4">
      <c r="A1970" s="3"/>
      <c r="D1970" s="3"/>
    </row>
    <row r="1971" spans="1:4">
      <c r="A1971" s="3"/>
      <c r="D1971" s="3"/>
    </row>
    <row r="1972" spans="1:4">
      <c r="A1972" s="3"/>
      <c r="D1972" s="3"/>
    </row>
    <row r="1973" spans="1:4">
      <c r="A1973" s="3"/>
      <c r="D1973" s="3"/>
    </row>
    <row r="1974" spans="1:4">
      <c r="A1974" s="3"/>
      <c r="D1974" s="3"/>
    </row>
    <row r="1975" spans="1:4">
      <c r="A1975" s="3"/>
      <c r="D1975" s="3"/>
    </row>
    <row r="1976" spans="1:4">
      <c r="A1976" s="3"/>
      <c r="D1976" s="3"/>
    </row>
    <row r="1977" spans="1:4">
      <c r="A1977" s="3"/>
      <c r="D1977" s="3"/>
    </row>
    <row r="1978" spans="1:4">
      <c r="A1978" s="3"/>
      <c r="D1978" s="3"/>
    </row>
    <row r="1979" spans="1:4">
      <c r="A1979" s="3"/>
      <c r="D1979" s="3"/>
    </row>
    <row r="1980" spans="1:4">
      <c r="A1980" s="3"/>
      <c r="D1980" s="3"/>
    </row>
    <row r="1981" spans="1:4">
      <c r="A1981" s="3"/>
      <c r="D1981" s="3"/>
    </row>
    <row r="1982" spans="1:4">
      <c r="A1982" s="3"/>
      <c r="D1982" s="3"/>
    </row>
    <row r="1983" spans="1:4">
      <c r="A1983" s="3"/>
      <c r="D1983" s="3"/>
    </row>
    <row r="1984" spans="1:4">
      <c r="A1984" s="3"/>
      <c r="D1984" s="3"/>
    </row>
    <row r="1985" spans="1:4">
      <c r="A1985" s="3"/>
      <c r="D1985" s="3"/>
    </row>
    <row r="1986" spans="1:4">
      <c r="A1986" s="3"/>
      <c r="D1986" s="3"/>
    </row>
    <row r="1987" spans="1:4">
      <c r="A1987" s="3"/>
      <c r="D1987" s="3"/>
    </row>
    <row r="1988" spans="1:4">
      <c r="A1988" s="3"/>
      <c r="D1988" s="3"/>
    </row>
    <row r="1989" spans="1:4">
      <c r="A1989" s="3"/>
      <c r="D1989" s="3"/>
    </row>
    <row r="1990" spans="1:4">
      <c r="A1990" s="3"/>
      <c r="D1990" s="3"/>
    </row>
    <row r="1991" spans="1:4">
      <c r="A1991" s="3"/>
      <c r="D1991" s="3"/>
    </row>
    <row r="1992" spans="1:4">
      <c r="A1992" s="3"/>
      <c r="D1992" s="3"/>
    </row>
    <row r="1993" spans="1:4">
      <c r="A1993" s="3"/>
      <c r="D1993" s="3"/>
    </row>
    <row r="1994" spans="1:4">
      <c r="A1994" s="3"/>
      <c r="D1994" s="3"/>
    </row>
    <row r="1995" spans="1:4">
      <c r="A1995" s="3"/>
      <c r="D1995" s="3"/>
    </row>
    <row r="1996" spans="1:4">
      <c r="A1996" s="3"/>
      <c r="D1996" s="3"/>
    </row>
    <row r="1997" spans="1:4">
      <c r="A1997" s="3"/>
      <c r="D1997" s="3"/>
    </row>
    <row r="1998" spans="1:4">
      <c r="A1998" s="3"/>
      <c r="D1998" s="3"/>
    </row>
    <row r="1999" spans="1:4">
      <c r="A1999" s="3"/>
      <c r="D1999" s="3"/>
    </row>
    <row r="2000" spans="1:4">
      <c r="A2000" s="3"/>
      <c r="D2000" s="3"/>
    </row>
    <row r="2001" spans="1:4">
      <c r="A2001" s="3"/>
      <c r="D2001" s="3"/>
    </row>
    <row r="2002" spans="1:4">
      <c r="A2002" s="3"/>
      <c r="D2002" s="3"/>
    </row>
    <row r="2003" spans="1:4">
      <c r="A2003" s="3"/>
      <c r="D2003" s="3"/>
    </row>
    <row r="2004" spans="1:4">
      <c r="A2004" s="3"/>
      <c r="D2004" s="3"/>
    </row>
    <row r="2005" spans="1:4">
      <c r="A2005" s="3"/>
      <c r="D2005" s="3"/>
    </row>
    <row r="2006" spans="1:4">
      <c r="A2006" s="3"/>
      <c r="D2006" s="3"/>
    </row>
    <row r="2007" spans="1:4">
      <c r="A2007" s="3"/>
      <c r="D2007" s="3"/>
    </row>
    <row r="2008" spans="1:4">
      <c r="A2008" s="3"/>
      <c r="D2008" s="3"/>
    </row>
    <row r="2009" spans="1:4">
      <c r="A2009" s="3"/>
      <c r="D2009" s="3"/>
    </row>
    <row r="2010" spans="1:4">
      <c r="A2010" s="3"/>
      <c r="D2010" s="3"/>
    </row>
    <row r="2011" spans="1:4">
      <c r="A2011" s="3"/>
      <c r="D2011" s="3"/>
    </row>
    <row r="2012" spans="1:4">
      <c r="A2012" s="3"/>
      <c r="D2012" s="3"/>
    </row>
    <row r="2013" spans="1:4">
      <c r="A2013" s="3"/>
      <c r="D2013" s="3"/>
    </row>
    <row r="2014" spans="1:4">
      <c r="A2014" s="3"/>
      <c r="D2014" s="3"/>
    </row>
    <row r="2015" spans="1:4">
      <c r="A2015" s="3"/>
      <c r="D2015" s="3"/>
    </row>
    <row r="2016" spans="1:4">
      <c r="A2016" s="3"/>
      <c r="D2016" s="3"/>
    </row>
    <row r="2017" spans="1:4">
      <c r="A2017" s="3"/>
      <c r="D2017" s="3"/>
    </row>
    <row r="2018" spans="1:4">
      <c r="A2018" s="3"/>
      <c r="D2018" s="3"/>
    </row>
    <row r="2019" spans="1:4">
      <c r="A2019" s="3"/>
      <c r="D2019" s="3"/>
    </row>
    <row r="2020" spans="1:4">
      <c r="A2020" s="3"/>
      <c r="D2020" s="3"/>
    </row>
    <row r="2021" spans="1:4">
      <c r="A2021" s="3"/>
      <c r="D2021" s="3"/>
    </row>
    <row r="2022" spans="1:4">
      <c r="A2022" s="3"/>
      <c r="D2022" s="3"/>
    </row>
    <row r="2023" spans="1:4">
      <c r="A2023" s="3"/>
      <c r="D2023" s="3"/>
    </row>
    <row r="2024" spans="1:4">
      <c r="A2024" s="3"/>
      <c r="D2024" s="3"/>
    </row>
    <row r="2025" spans="1:4">
      <c r="A2025" s="3"/>
      <c r="D2025" s="3"/>
    </row>
    <row r="2026" spans="1:4">
      <c r="A2026" s="3"/>
      <c r="D2026" s="3"/>
    </row>
    <row r="2027" spans="1:4">
      <c r="A2027" s="3"/>
      <c r="D2027" s="3"/>
    </row>
    <row r="2028" spans="1:4">
      <c r="A2028" s="3"/>
      <c r="D2028" s="3"/>
    </row>
    <row r="2029" spans="1:4">
      <c r="A2029" s="3"/>
      <c r="D2029" s="3"/>
    </row>
    <row r="2030" spans="1:4">
      <c r="A2030" s="3"/>
      <c r="D2030" s="3"/>
    </row>
    <row r="2031" spans="1:4">
      <c r="A2031" s="3"/>
      <c r="D2031" s="3"/>
    </row>
    <row r="2032" spans="1:4">
      <c r="A2032" s="3"/>
      <c r="D2032" s="3"/>
    </row>
    <row r="2033" spans="1:4">
      <c r="A2033" s="3"/>
      <c r="D2033" s="3"/>
    </row>
    <row r="2034" spans="1:4">
      <c r="A2034" s="3"/>
      <c r="D2034" s="3"/>
    </row>
    <row r="2035" spans="1:4">
      <c r="A2035" s="3"/>
      <c r="D2035" s="3"/>
    </row>
    <row r="2036" spans="1:4">
      <c r="A2036" s="3"/>
      <c r="D2036" s="3"/>
    </row>
    <row r="2037" spans="1:4">
      <c r="A2037" s="3"/>
      <c r="D2037" s="3"/>
    </row>
    <row r="2038" spans="1:4">
      <c r="A2038" s="3"/>
      <c r="D2038" s="3"/>
    </row>
    <row r="2039" spans="1:4">
      <c r="A2039" s="3"/>
      <c r="D2039" s="3"/>
    </row>
    <row r="2040" spans="1:4">
      <c r="A2040" s="3"/>
      <c r="D2040" s="3"/>
    </row>
    <row r="2041" spans="1:4">
      <c r="A2041" s="3"/>
      <c r="D2041" s="3"/>
    </row>
    <row r="2042" spans="1:4">
      <c r="A2042" s="3"/>
      <c r="D2042" s="3"/>
    </row>
    <row r="2043" spans="1:4">
      <c r="A2043" s="3"/>
      <c r="D2043" s="3"/>
    </row>
    <row r="2044" spans="1:4">
      <c r="A2044" s="3"/>
      <c r="D2044" s="3"/>
    </row>
    <row r="2045" spans="1:4">
      <c r="A2045" s="3"/>
      <c r="D2045" s="3"/>
    </row>
    <row r="2046" spans="1:4">
      <c r="A2046" s="3"/>
      <c r="D2046" s="3"/>
    </row>
    <row r="2047" spans="1:4">
      <c r="A2047" s="3"/>
      <c r="D2047" s="3"/>
    </row>
    <row r="2048" spans="1:4">
      <c r="A2048" s="3"/>
      <c r="D2048" s="3"/>
    </row>
    <row r="2049" spans="1:4">
      <c r="A2049" s="3"/>
      <c r="D2049" s="3"/>
    </row>
    <row r="2050" spans="1:4">
      <c r="A2050" s="3"/>
      <c r="D2050" s="3"/>
    </row>
    <row r="2051" spans="1:4">
      <c r="A2051" s="3"/>
      <c r="D2051" s="3"/>
    </row>
    <row r="2052" spans="1:4">
      <c r="A2052" s="3"/>
      <c r="D2052" s="3"/>
    </row>
    <row r="2053" spans="1:4">
      <c r="A2053" s="3"/>
      <c r="D2053" s="3"/>
    </row>
    <row r="2054" spans="1:4">
      <c r="A2054" s="3"/>
      <c r="D2054" s="3"/>
    </row>
    <row r="2055" spans="1:4">
      <c r="A2055" s="3"/>
      <c r="D2055" s="3"/>
    </row>
    <row r="2056" spans="1:4">
      <c r="A2056" s="3"/>
      <c r="D2056" s="3"/>
    </row>
    <row r="2057" spans="1:4">
      <c r="A2057" s="3"/>
      <c r="D2057" s="3"/>
    </row>
    <row r="2058" spans="1:4">
      <c r="A2058" s="3"/>
      <c r="D2058" s="3"/>
    </row>
    <row r="2059" spans="1:4">
      <c r="A2059" s="3"/>
      <c r="D2059" s="3"/>
    </row>
    <row r="2060" spans="1:4">
      <c r="A2060" s="3"/>
      <c r="D2060" s="3"/>
    </row>
    <row r="2061" spans="1:4">
      <c r="A2061" s="3"/>
      <c r="D2061" s="3"/>
    </row>
    <row r="2062" spans="1:4">
      <c r="A2062" s="3"/>
      <c r="D2062" s="3"/>
    </row>
    <row r="2063" spans="1:4">
      <c r="A2063" s="3"/>
      <c r="D2063" s="3"/>
    </row>
    <row r="2064" spans="1:4">
      <c r="A2064" s="3"/>
      <c r="D2064" s="3"/>
    </row>
    <row r="2065" spans="1:4">
      <c r="A2065" s="3"/>
      <c r="D2065" s="3"/>
    </row>
    <row r="2066" spans="1:4">
      <c r="A2066" s="3"/>
      <c r="D2066" s="3"/>
    </row>
    <row r="2067" spans="1:4">
      <c r="A2067" s="3"/>
      <c r="D2067" s="3"/>
    </row>
    <row r="2068" spans="1:4">
      <c r="A2068" s="3"/>
      <c r="D2068" s="3"/>
    </row>
    <row r="2069" spans="1:4">
      <c r="A2069" s="3"/>
      <c r="D2069" s="3"/>
    </row>
    <row r="2070" spans="1:4">
      <c r="A2070" s="3"/>
      <c r="D2070" s="3"/>
    </row>
    <row r="2071" spans="1:4">
      <c r="A2071" s="3"/>
      <c r="D2071" s="3"/>
    </row>
    <row r="2072" spans="1:4">
      <c r="A2072" s="3"/>
      <c r="D2072" s="3"/>
    </row>
    <row r="2073" spans="1:4">
      <c r="A2073" s="3"/>
      <c r="D2073" s="3"/>
    </row>
    <row r="2074" spans="1:4">
      <c r="A2074" s="3"/>
      <c r="D2074" s="3"/>
    </row>
    <row r="2075" spans="1:4">
      <c r="A2075" s="3"/>
      <c r="D2075" s="3"/>
    </row>
    <row r="2076" spans="1:4">
      <c r="A2076" s="3"/>
      <c r="D2076" s="3"/>
    </row>
    <row r="2077" spans="1:4">
      <c r="A2077" s="3"/>
      <c r="D2077" s="3"/>
    </row>
    <row r="2078" spans="1:4">
      <c r="A2078" s="3"/>
      <c r="D2078" s="3"/>
    </row>
    <row r="2079" spans="1:4">
      <c r="A2079" s="3"/>
      <c r="D2079" s="3"/>
    </row>
    <row r="2080" spans="1:4">
      <c r="A2080" s="3"/>
      <c r="D2080" s="3"/>
    </row>
    <row r="2081" spans="1:4">
      <c r="A2081" s="3"/>
      <c r="D2081" s="3"/>
    </row>
    <row r="2082" spans="1:4">
      <c r="A2082" s="3"/>
      <c r="D2082" s="3"/>
    </row>
    <row r="2083" spans="1:4">
      <c r="A2083" s="3"/>
      <c r="D2083" s="3"/>
    </row>
    <row r="2084" spans="1:4">
      <c r="A2084" s="3"/>
      <c r="D2084" s="3"/>
    </row>
    <row r="2085" spans="1:4">
      <c r="A2085" s="3"/>
      <c r="D2085" s="3"/>
    </row>
    <row r="2086" spans="1:4">
      <c r="A2086" s="3"/>
      <c r="D2086" s="3"/>
    </row>
    <row r="2087" spans="1:4">
      <c r="A2087" s="3"/>
      <c r="D2087" s="3"/>
    </row>
    <row r="2088" spans="1:4">
      <c r="A2088" s="3"/>
      <c r="D2088" s="3"/>
    </row>
    <row r="2089" spans="1:4">
      <c r="A2089" s="3"/>
      <c r="D2089" s="3"/>
    </row>
    <row r="2090" spans="1:4">
      <c r="A2090" s="3"/>
      <c r="D2090" s="3"/>
    </row>
    <row r="2091" spans="1:4">
      <c r="A2091" s="3"/>
      <c r="D2091" s="3"/>
    </row>
    <row r="2092" spans="1:4">
      <c r="A2092" s="3"/>
      <c r="D2092" s="3"/>
    </row>
    <row r="2093" spans="1:4">
      <c r="A2093" s="3"/>
      <c r="D2093" s="3"/>
    </row>
    <row r="2094" spans="1:4">
      <c r="A2094" s="3"/>
      <c r="D2094" s="3"/>
    </row>
    <row r="2095" spans="1:4">
      <c r="A2095" s="3"/>
      <c r="D2095" s="3"/>
    </row>
    <row r="2096" spans="1:4">
      <c r="A2096" s="3"/>
      <c r="D2096" s="3"/>
    </row>
    <row r="2097" spans="1:4">
      <c r="A2097" s="3"/>
      <c r="D2097" s="3"/>
    </row>
    <row r="2098" spans="1:4">
      <c r="A2098" s="3"/>
      <c r="D2098" s="3"/>
    </row>
    <row r="2099" spans="1:4">
      <c r="A2099" s="3"/>
      <c r="D2099" s="3"/>
    </row>
    <row r="2100" spans="1:4">
      <c r="A2100" s="3"/>
      <c r="D2100" s="3"/>
    </row>
    <row r="2101" spans="1:4">
      <c r="A2101" s="3"/>
      <c r="D2101" s="3"/>
    </row>
    <row r="2102" spans="1:4">
      <c r="A2102" s="3"/>
      <c r="D2102" s="3"/>
    </row>
    <row r="2103" spans="1:4">
      <c r="A2103" s="3"/>
      <c r="D2103" s="3"/>
    </row>
    <row r="2104" spans="1:4">
      <c r="A2104" s="3"/>
      <c r="D2104" s="3"/>
    </row>
    <row r="2105" spans="1:4">
      <c r="A2105" s="3"/>
      <c r="D2105" s="3"/>
    </row>
    <row r="2106" spans="1:4">
      <c r="A2106" s="3"/>
      <c r="D2106" s="3"/>
    </row>
    <row r="2107" spans="1:4">
      <c r="A2107" s="3"/>
      <c r="D2107" s="3"/>
    </row>
    <row r="2108" spans="1:4">
      <c r="A2108" s="3"/>
      <c r="D2108" s="3"/>
    </row>
    <row r="2109" spans="1:4">
      <c r="A2109" s="3"/>
      <c r="D2109" s="3"/>
    </row>
    <row r="2110" spans="1:4">
      <c r="A2110" s="3"/>
      <c r="D2110" s="3"/>
    </row>
    <row r="2111" spans="1:4">
      <c r="A2111" s="3"/>
      <c r="D2111" s="3"/>
    </row>
    <row r="2112" spans="1:4">
      <c r="A2112" s="3"/>
      <c r="D2112" s="3"/>
    </row>
    <row r="2113" spans="1:4">
      <c r="A2113" s="3"/>
      <c r="D2113" s="3"/>
    </row>
    <row r="2114" spans="1:4">
      <c r="A2114" s="3"/>
      <c r="D2114" s="3"/>
    </row>
    <row r="2115" spans="1:4">
      <c r="A2115" s="3"/>
      <c r="D2115" s="3"/>
    </row>
    <row r="2116" spans="1:4">
      <c r="A2116" s="3"/>
      <c r="D2116" s="3"/>
    </row>
    <row r="2117" spans="1:4">
      <c r="A2117" s="3"/>
      <c r="D2117" s="3"/>
    </row>
    <row r="2118" spans="1:4">
      <c r="A2118" s="3"/>
      <c r="D2118" s="3"/>
    </row>
    <row r="2119" spans="1:4">
      <c r="A2119" s="3"/>
      <c r="D2119" s="3"/>
    </row>
    <row r="2120" spans="1:4">
      <c r="A2120" s="3"/>
      <c r="D2120" s="3"/>
    </row>
    <row r="2121" spans="1:4">
      <c r="A2121" s="3"/>
      <c r="D2121" s="3"/>
    </row>
    <row r="2122" spans="1:4">
      <c r="A2122" s="3"/>
      <c r="D2122" s="3"/>
    </row>
    <row r="2123" spans="1:4">
      <c r="A2123" s="3"/>
      <c r="D2123" s="3"/>
    </row>
    <row r="2124" spans="1:4">
      <c r="A2124" s="3"/>
      <c r="D2124" s="3"/>
    </row>
    <row r="2125" spans="1:4">
      <c r="A2125" s="3"/>
      <c r="D2125" s="3"/>
    </row>
    <row r="2126" spans="1:4">
      <c r="A2126" s="3"/>
      <c r="D2126" s="3"/>
    </row>
    <row r="2127" spans="1:4">
      <c r="A2127" s="3"/>
      <c r="D2127" s="3"/>
    </row>
    <row r="2128" spans="1:4">
      <c r="A2128" s="3"/>
      <c r="D2128" s="3"/>
    </row>
    <row r="2129" spans="1:4">
      <c r="A2129" s="3"/>
      <c r="D2129" s="3"/>
    </row>
    <row r="2130" spans="1:4">
      <c r="A2130" s="3"/>
      <c r="D2130" s="3"/>
    </row>
    <row r="2131" spans="1:4">
      <c r="A2131" s="3"/>
      <c r="D2131" s="3"/>
    </row>
    <row r="2132" spans="1:4">
      <c r="A2132" s="3"/>
      <c r="D2132" s="3"/>
    </row>
    <row r="2133" spans="1:4">
      <c r="A2133" s="3"/>
      <c r="D2133" s="3"/>
    </row>
    <row r="2134" spans="1:4">
      <c r="A2134" s="3"/>
      <c r="D2134" s="3"/>
    </row>
    <row r="2135" spans="1:4">
      <c r="A2135" s="3"/>
      <c r="D2135" s="3"/>
    </row>
    <row r="2136" spans="1:4">
      <c r="A2136" s="3"/>
      <c r="D2136" s="3"/>
    </row>
    <row r="2137" spans="1:4">
      <c r="A2137" s="3"/>
      <c r="D2137" s="3"/>
    </row>
    <row r="2138" spans="1:4">
      <c r="A2138" s="3"/>
      <c r="D2138" s="3"/>
    </row>
    <row r="2139" spans="1:4">
      <c r="A2139" s="3"/>
      <c r="D2139" s="3"/>
    </row>
    <row r="2140" spans="1:4">
      <c r="A2140" s="3"/>
      <c r="D2140" s="3"/>
    </row>
    <row r="2141" spans="1:4">
      <c r="A2141" s="3"/>
      <c r="D2141" s="3"/>
    </row>
    <row r="2142" spans="1:4">
      <c r="A2142" s="3"/>
      <c r="D2142" s="3"/>
    </row>
    <row r="2143" spans="1:4">
      <c r="A2143" s="3"/>
      <c r="D2143" s="3"/>
    </row>
    <row r="2144" spans="1:4">
      <c r="A2144" s="3"/>
      <c r="D2144" s="3"/>
    </row>
    <row r="2145" spans="1:4">
      <c r="A2145" s="3"/>
      <c r="D2145" s="3"/>
    </row>
    <row r="2146" spans="1:4">
      <c r="A2146" s="3"/>
      <c r="D2146" s="3"/>
    </row>
    <row r="2147" spans="1:4">
      <c r="A2147" s="3"/>
      <c r="D2147" s="3"/>
    </row>
    <row r="2148" spans="1:4">
      <c r="A2148" s="3"/>
      <c r="D2148" s="3"/>
    </row>
    <row r="2149" spans="1:4">
      <c r="A2149" s="3"/>
      <c r="D2149" s="3"/>
    </row>
    <row r="2150" spans="1:4">
      <c r="A2150" s="3"/>
      <c r="D2150" s="3"/>
    </row>
    <row r="2151" spans="1:4">
      <c r="A2151" s="3"/>
      <c r="D2151" s="3"/>
    </row>
    <row r="2152" spans="1:4">
      <c r="A2152" s="3"/>
      <c r="D2152" s="3"/>
    </row>
    <row r="2153" spans="1:4">
      <c r="A2153" s="3"/>
      <c r="D2153" s="3"/>
    </row>
    <row r="2154" spans="1:4">
      <c r="A2154" s="3"/>
      <c r="D2154" s="3"/>
    </row>
    <row r="2155" spans="1:4">
      <c r="A2155" s="3"/>
      <c r="D2155" s="3"/>
    </row>
    <row r="2156" spans="1:4">
      <c r="A2156" s="3"/>
      <c r="D2156" s="3"/>
    </row>
    <row r="2157" spans="1:4">
      <c r="A2157" s="3"/>
      <c r="D2157" s="3"/>
    </row>
    <row r="2158" spans="1:4">
      <c r="A2158" s="3"/>
      <c r="D2158" s="3"/>
    </row>
    <row r="2159" spans="1:4">
      <c r="A2159" s="3"/>
      <c r="D2159" s="3"/>
    </row>
    <row r="2160" spans="1:4">
      <c r="A2160" s="3"/>
      <c r="D2160" s="3"/>
    </row>
    <row r="2161" spans="1:4">
      <c r="A2161" s="3"/>
      <c r="D2161" s="3"/>
    </row>
    <row r="2162" spans="1:4">
      <c r="A2162" s="3"/>
      <c r="D2162" s="3"/>
    </row>
    <row r="2163" spans="1:4">
      <c r="A2163" s="3"/>
      <c r="D2163" s="3"/>
    </row>
    <row r="2164" spans="1:4">
      <c r="A2164" s="3"/>
      <c r="D2164" s="3"/>
    </row>
    <row r="2165" spans="1:4">
      <c r="A2165" s="3"/>
      <c r="D2165" s="3"/>
    </row>
    <row r="2166" spans="1:4">
      <c r="A2166" s="3"/>
      <c r="D2166" s="3"/>
    </row>
    <row r="2167" spans="1:4">
      <c r="A2167" s="3"/>
      <c r="D2167" s="3"/>
    </row>
    <row r="2168" spans="1:4">
      <c r="A2168" s="3"/>
      <c r="D2168" s="3"/>
    </row>
    <row r="2169" spans="1:4">
      <c r="A2169" s="3"/>
      <c r="D2169" s="3"/>
    </row>
    <row r="2170" spans="1:4">
      <c r="A2170" s="3"/>
      <c r="D2170" s="3"/>
    </row>
    <row r="2171" spans="1:4">
      <c r="A2171" s="3"/>
      <c r="D2171" s="3"/>
    </row>
    <row r="2172" spans="1:4">
      <c r="A2172" s="3"/>
      <c r="D2172" s="3"/>
    </row>
    <row r="2173" spans="1:4">
      <c r="A2173" s="3"/>
      <c r="D2173" s="3"/>
    </row>
    <row r="2174" spans="1:4">
      <c r="A2174" s="3"/>
      <c r="D2174" s="3"/>
    </row>
    <row r="2175" spans="1:4">
      <c r="A2175" s="3"/>
      <c r="D2175" s="3"/>
    </row>
    <row r="2176" spans="1:4">
      <c r="A2176" s="3"/>
      <c r="D2176" s="3"/>
    </row>
    <row r="2177" spans="1:4">
      <c r="A2177" s="3"/>
      <c r="D2177" s="3"/>
    </row>
    <row r="2178" spans="1:4">
      <c r="A2178" s="3"/>
      <c r="D2178" s="3"/>
    </row>
    <row r="2179" spans="1:4">
      <c r="A2179" s="3"/>
      <c r="D2179" s="3"/>
    </row>
    <row r="2180" spans="1:4">
      <c r="A2180" s="3"/>
      <c r="D2180" s="3"/>
    </row>
    <row r="2181" spans="1:4">
      <c r="A2181" s="3"/>
      <c r="D2181" s="3"/>
    </row>
    <row r="2182" spans="1:4">
      <c r="A2182" s="3"/>
      <c r="D2182" s="3"/>
    </row>
    <row r="2183" spans="1:4">
      <c r="A2183" s="3"/>
      <c r="D2183" s="3"/>
    </row>
    <row r="2184" spans="1:4">
      <c r="A2184" s="3"/>
      <c r="D2184" s="3"/>
    </row>
    <row r="2185" spans="1:4">
      <c r="A2185" s="3"/>
      <c r="D2185" s="3"/>
    </row>
    <row r="2186" spans="1:4">
      <c r="A2186" s="3"/>
      <c r="D2186" s="3"/>
    </row>
    <row r="2187" spans="1:4">
      <c r="A2187" s="3"/>
      <c r="D2187" s="3"/>
    </row>
    <row r="2188" spans="1:4">
      <c r="A2188" s="3"/>
      <c r="D2188" s="3"/>
    </row>
    <row r="2189" spans="1:4">
      <c r="A2189" s="3"/>
      <c r="D2189" s="3"/>
    </row>
    <row r="2190" spans="1:4">
      <c r="A2190" s="3"/>
      <c r="D2190" s="3"/>
    </row>
    <row r="2191" spans="1:4">
      <c r="A2191" s="3"/>
      <c r="D2191" s="3"/>
    </row>
    <row r="2192" spans="1:4">
      <c r="A2192" s="3"/>
      <c r="D2192" s="3"/>
    </row>
    <row r="2193" spans="1:4">
      <c r="A2193" s="3"/>
      <c r="D2193" s="3"/>
    </row>
    <row r="2194" spans="1:4">
      <c r="A2194" s="3"/>
      <c r="D2194" s="3"/>
    </row>
    <row r="2195" spans="1:4">
      <c r="A2195" s="3"/>
      <c r="D2195" s="3"/>
    </row>
    <row r="2196" spans="1:4">
      <c r="A2196" s="3"/>
      <c r="D2196" s="3"/>
    </row>
    <row r="2197" spans="1:4">
      <c r="A2197" s="3"/>
      <c r="D2197" s="3"/>
    </row>
    <row r="2198" spans="1:4">
      <c r="A2198" s="3"/>
      <c r="D2198" s="3"/>
    </row>
    <row r="2199" spans="1:4">
      <c r="A2199" s="3"/>
      <c r="D2199" s="3"/>
    </row>
    <row r="2200" spans="1:4">
      <c r="A2200" s="3"/>
      <c r="D2200" s="3"/>
    </row>
    <row r="2201" spans="1:4">
      <c r="A2201" s="3"/>
      <c r="D2201" s="3"/>
    </row>
    <row r="2202" spans="1:4">
      <c r="A2202" s="3"/>
      <c r="D2202" s="3"/>
    </row>
    <row r="2203" spans="1:4">
      <c r="A2203" s="3"/>
      <c r="D2203" s="3"/>
    </row>
    <row r="2204" spans="1:4">
      <c r="A2204" s="3"/>
      <c r="D2204" s="3"/>
    </row>
    <row r="2205" spans="1:4">
      <c r="A2205" s="3"/>
      <c r="D2205" s="3"/>
    </row>
    <row r="2206" spans="1:4">
      <c r="A2206" s="3"/>
      <c r="D2206" s="3"/>
    </row>
    <row r="2207" spans="1:4">
      <c r="A2207" s="3"/>
      <c r="D2207" s="3"/>
    </row>
    <row r="2208" spans="1:4">
      <c r="A2208" s="3"/>
      <c r="D2208" s="3"/>
    </row>
    <row r="2209" spans="1:4">
      <c r="A2209" s="3"/>
      <c r="D2209" s="3"/>
    </row>
    <row r="2210" spans="1:4">
      <c r="A2210" s="3"/>
      <c r="D2210" s="3"/>
    </row>
    <row r="2211" spans="1:4">
      <c r="A2211" s="3"/>
      <c r="D2211" s="3"/>
    </row>
    <row r="2212" spans="1:4">
      <c r="A2212" s="3"/>
      <c r="D2212" s="3"/>
    </row>
    <row r="2213" spans="1:4">
      <c r="A2213" s="3"/>
      <c r="D2213" s="3"/>
    </row>
    <row r="2214" spans="1:4">
      <c r="A2214" s="3"/>
      <c r="D2214" s="3"/>
    </row>
    <row r="2215" spans="1:4">
      <c r="A2215" s="3"/>
      <c r="D2215" s="3"/>
    </row>
    <row r="2216" spans="1:4">
      <c r="A2216" s="3"/>
      <c r="D2216" s="3"/>
    </row>
    <row r="2217" spans="1:4">
      <c r="A2217" s="3"/>
      <c r="D2217" s="3"/>
    </row>
    <row r="2218" spans="1:4">
      <c r="A2218" s="3"/>
      <c r="D2218" s="3"/>
    </row>
    <row r="2219" spans="1:4">
      <c r="A2219" s="3"/>
      <c r="D2219" s="3"/>
    </row>
    <row r="2220" spans="1:4">
      <c r="A2220" s="3"/>
      <c r="D2220" s="3"/>
    </row>
    <row r="2221" spans="1:4">
      <c r="A2221" s="3"/>
      <c r="D2221" s="3"/>
    </row>
    <row r="2222" spans="1:4">
      <c r="A2222" s="3"/>
      <c r="D2222" s="3"/>
    </row>
    <row r="2223" spans="1:4">
      <c r="A2223" s="3"/>
      <c r="D2223" s="3"/>
    </row>
    <row r="2224" spans="1:4">
      <c r="A2224" s="3"/>
      <c r="D2224" s="3"/>
    </row>
    <row r="2225" spans="1:4">
      <c r="A2225" s="3"/>
      <c r="D2225" s="3"/>
    </row>
    <row r="2226" spans="1:4">
      <c r="A2226" s="3"/>
      <c r="D2226" s="3"/>
    </row>
    <row r="2227" spans="1:4">
      <c r="A2227" s="3"/>
      <c r="D2227" s="3"/>
    </row>
    <row r="2228" spans="1:4">
      <c r="A2228" s="3"/>
      <c r="D2228" s="3"/>
    </row>
    <row r="2229" spans="1:4">
      <c r="A2229" s="3"/>
      <c r="D2229" s="3"/>
    </row>
    <row r="2230" spans="1:4">
      <c r="A2230" s="3"/>
      <c r="D2230" s="3"/>
    </row>
    <row r="2231" spans="1:4">
      <c r="A2231" s="3"/>
      <c r="D2231" s="3"/>
    </row>
    <row r="2232" spans="1:4">
      <c r="A2232" s="3"/>
      <c r="D2232" s="3"/>
    </row>
    <row r="2233" spans="1:4">
      <c r="A2233" s="3"/>
      <c r="D2233" s="3"/>
    </row>
    <row r="2234" spans="1:4">
      <c r="A2234" s="3"/>
      <c r="D2234" s="3"/>
    </row>
    <row r="2235" spans="1:4">
      <c r="A2235" s="3"/>
      <c r="D2235" s="3"/>
    </row>
    <row r="2236" spans="1:4">
      <c r="A2236" s="3"/>
      <c r="D2236" s="3"/>
    </row>
    <row r="2237" spans="1:4">
      <c r="A2237" s="3"/>
      <c r="D2237" s="3"/>
    </row>
    <row r="2238" spans="1:4">
      <c r="A2238" s="3"/>
      <c r="D2238" s="3"/>
    </row>
    <row r="2239" spans="1:4">
      <c r="A2239" s="3"/>
      <c r="D2239" s="3"/>
    </row>
    <row r="2240" spans="1:4">
      <c r="A2240" s="3"/>
      <c r="D2240" s="3"/>
    </row>
    <row r="2241" spans="1:4">
      <c r="A2241" s="3"/>
      <c r="D2241" s="3"/>
    </row>
    <row r="2242" spans="1:4">
      <c r="A2242" s="3"/>
      <c r="D2242" s="3"/>
    </row>
    <row r="2243" spans="1:4">
      <c r="A2243" s="3"/>
      <c r="D2243" s="3"/>
    </row>
    <row r="2244" spans="1:4">
      <c r="A2244" s="3"/>
      <c r="D2244" s="3"/>
    </row>
    <row r="2245" spans="1:4">
      <c r="A2245" s="3"/>
      <c r="D2245" s="3"/>
    </row>
    <row r="2246" spans="1:4">
      <c r="A2246" s="3"/>
      <c r="D2246" s="3"/>
    </row>
    <row r="2247" spans="1:4">
      <c r="A2247" s="3"/>
      <c r="D2247" s="3"/>
    </row>
    <row r="2248" spans="1:4">
      <c r="A2248" s="3"/>
      <c r="D2248" s="3"/>
    </row>
    <row r="2249" spans="1:4">
      <c r="A2249" s="3"/>
      <c r="D2249" s="3"/>
    </row>
    <row r="2250" spans="1:4">
      <c r="A2250" s="3"/>
      <c r="D2250" s="3"/>
    </row>
    <row r="2251" spans="1:4">
      <c r="A2251" s="3"/>
      <c r="D2251" s="3"/>
    </row>
    <row r="2252" spans="1:4">
      <c r="A2252" s="3"/>
      <c r="D2252" s="3"/>
    </row>
    <row r="2253" spans="1:4">
      <c r="A2253" s="3"/>
      <c r="D2253" s="3"/>
    </row>
    <row r="2254" spans="1:4">
      <c r="A2254" s="3"/>
      <c r="D2254" s="3"/>
    </row>
    <row r="2255" spans="1:4">
      <c r="A2255" s="3"/>
      <c r="D2255" s="3"/>
    </row>
    <row r="2256" spans="1:4">
      <c r="A2256" s="3"/>
      <c r="D2256" s="3"/>
    </row>
    <row r="2257" spans="1:4">
      <c r="A2257" s="3"/>
      <c r="D2257" s="3"/>
    </row>
    <row r="2258" spans="1:4">
      <c r="A2258" s="3"/>
      <c r="D2258" s="3"/>
    </row>
    <row r="2259" spans="1:4">
      <c r="A2259" s="3"/>
      <c r="D2259" s="3"/>
    </row>
    <row r="2260" spans="1:4">
      <c r="A2260" s="3"/>
      <c r="D2260" s="3"/>
    </row>
    <row r="2261" spans="1:4">
      <c r="A2261" s="3"/>
      <c r="D2261" s="3"/>
    </row>
    <row r="2262" spans="1:4">
      <c r="A2262" s="3"/>
      <c r="D2262" s="3"/>
    </row>
    <row r="2263" spans="1:4">
      <c r="A2263" s="3"/>
      <c r="D2263" s="3"/>
    </row>
    <row r="2264" spans="1:4">
      <c r="A2264" s="3"/>
      <c r="D2264" s="3"/>
    </row>
    <row r="2265" spans="1:4">
      <c r="A2265" s="3"/>
      <c r="D2265" s="3"/>
    </row>
    <row r="2266" spans="1:4">
      <c r="A2266" s="3"/>
      <c r="D2266" s="3"/>
    </row>
    <row r="2267" spans="1:4">
      <c r="A2267" s="3"/>
      <c r="D2267" s="3"/>
    </row>
    <row r="2268" spans="1:4">
      <c r="A2268" s="3"/>
      <c r="D2268" s="3"/>
    </row>
    <row r="2269" spans="1:4">
      <c r="A2269" s="3"/>
      <c r="D2269" s="3"/>
    </row>
    <row r="2270" spans="1:4">
      <c r="A2270" s="3"/>
      <c r="D2270" s="3"/>
    </row>
    <row r="2271" spans="1:4">
      <c r="A2271" s="3"/>
      <c r="D2271" s="3"/>
    </row>
    <row r="2272" spans="1:4">
      <c r="A2272" s="3"/>
      <c r="D2272" s="3"/>
    </row>
    <row r="2273" spans="1:4">
      <c r="A2273" s="3"/>
      <c r="D2273" s="3"/>
    </row>
    <row r="2274" spans="1:4">
      <c r="A2274" s="3"/>
      <c r="D2274" s="3"/>
    </row>
    <row r="2275" spans="1:4">
      <c r="A2275" s="3"/>
      <c r="D2275" s="3"/>
    </row>
    <row r="2276" spans="1:4">
      <c r="A2276" s="3"/>
      <c r="D2276" s="3"/>
    </row>
    <row r="2277" spans="1:4">
      <c r="A2277" s="3"/>
      <c r="D2277" s="3"/>
    </row>
    <row r="2278" spans="1:4">
      <c r="A2278" s="3"/>
      <c r="D2278" s="3"/>
    </row>
    <row r="2279" spans="1:4">
      <c r="A2279" s="3"/>
      <c r="D2279" s="3"/>
    </row>
    <row r="2280" spans="1:4">
      <c r="A2280" s="3"/>
      <c r="D2280" s="3"/>
    </row>
    <row r="2281" spans="1:4">
      <c r="A2281" s="3"/>
      <c r="D2281" s="3"/>
    </row>
    <row r="2282" spans="1:4">
      <c r="A2282" s="3"/>
      <c r="D2282" s="3"/>
    </row>
    <row r="2283" spans="1:4">
      <c r="A2283" s="3"/>
      <c r="D2283" s="3"/>
    </row>
    <row r="2284" spans="1:4">
      <c r="A2284" s="3"/>
      <c r="D2284" s="3"/>
    </row>
    <row r="2285" spans="1:4">
      <c r="A2285" s="3"/>
      <c r="D2285" s="3"/>
    </row>
    <row r="2286" spans="1:4">
      <c r="A2286" s="3"/>
      <c r="D2286" s="3"/>
    </row>
    <row r="2287" spans="1:4">
      <c r="A2287" s="3"/>
      <c r="D2287" s="3"/>
    </row>
    <row r="2288" spans="1:4">
      <c r="A2288" s="3"/>
      <c r="D2288" s="3"/>
    </row>
    <row r="2289" spans="1:4">
      <c r="A2289" s="3"/>
      <c r="D2289" s="3"/>
    </row>
    <row r="2290" spans="1:4">
      <c r="A2290" s="3"/>
      <c r="D2290" s="3"/>
    </row>
    <row r="2291" spans="1:4">
      <c r="A2291" s="3"/>
      <c r="D2291" s="3"/>
    </row>
    <row r="2292" spans="1:4">
      <c r="A2292" s="3"/>
      <c r="D2292" s="3"/>
    </row>
    <row r="2293" spans="1:4">
      <c r="A2293" s="3"/>
      <c r="D2293" s="3"/>
    </row>
    <row r="2294" spans="1:4">
      <c r="A2294" s="3"/>
      <c r="D2294" s="3"/>
    </row>
    <row r="2295" spans="1:4">
      <c r="A2295" s="3"/>
      <c r="D2295" s="3"/>
    </row>
    <row r="2296" spans="1:4">
      <c r="A2296" s="3"/>
      <c r="D2296" s="3"/>
    </row>
    <row r="2297" spans="1:4">
      <c r="A2297" s="3"/>
      <c r="D2297" s="3"/>
    </row>
    <row r="2298" spans="1:4">
      <c r="A2298" s="3"/>
      <c r="D2298" s="3"/>
    </row>
    <row r="2299" spans="1:4">
      <c r="A2299" s="3"/>
      <c r="D2299" s="3"/>
    </row>
    <row r="2300" spans="1:4">
      <c r="A2300" s="3"/>
      <c r="D2300" s="3"/>
    </row>
    <row r="2301" spans="1:4">
      <c r="A2301" s="3"/>
      <c r="D2301" s="3"/>
    </row>
    <row r="2302" spans="1:4">
      <c r="A2302" s="3"/>
      <c r="D2302" s="3"/>
    </row>
    <row r="2303" spans="1:4">
      <c r="A2303" s="3"/>
      <c r="D2303" s="3"/>
    </row>
    <row r="2304" spans="1:4">
      <c r="A2304" s="3"/>
      <c r="D2304" s="3"/>
    </row>
    <row r="2305" spans="1:4">
      <c r="A2305" s="3"/>
      <c r="D2305" s="3"/>
    </row>
    <row r="2306" spans="1:4">
      <c r="A2306" s="3"/>
      <c r="D2306" s="3"/>
    </row>
    <row r="2307" spans="1:4">
      <c r="A2307" s="3"/>
      <c r="D2307" s="3"/>
    </row>
    <row r="2308" spans="1:4">
      <c r="A2308" s="3"/>
      <c r="D2308" s="3"/>
    </row>
    <row r="2309" spans="1:4">
      <c r="A2309" s="3"/>
      <c r="D2309" s="3"/>
    </row>
    <row r="2310" spans="1:4">
      <c r="A2310" s="3"/>
      <c r="D2310" s="3"/>
    </row>
    <row r="2311" spans="1:4">
      <c r="A2311" s="3"/>
      <c r="D2311" s="3"/>
    </row>
    <row r="2312" spans="1:4">
      <c r="A2312" s="3"/>
      <c r="D2312" s="3"/>
    </row>
    <row r="2313" spans="1:4">
      <c r="A2313" s="3"/>
      <c r="D2313" s="3"/>
    </row>
    <row r="2314" spans="1:4">
      <c r="A2314" s="3"/>
      <c r="D2314" s="3"/>
    </row>
    <row r="2315" spans="1:4">
      <c r="A2315" s="3"/>
      <c r="D2315" s="3"/>
    </row>
    <row r="2316" spans="1:4">
      <c r="A2316" s="3"/>
      <c r="D2316" s="3"/>
    </row>
    <row r="2317" spans="1:4">
      <c r="A2317" s="3"/>
      <c r="D2317" s="3"/>
    </row>
    <row r="2318" spans="1:4">
      <c r="A2318" s="3"/>
      <c r="D2318" s="3"/>
    </row>
    <row r="2319" spans="1:4">
      <c r="A2319" s="3"/>
      <c r="D2319" s="3"/>
    </row>
    <row r="2320" spans="1:4">
      <c r="A2320" s="3"/>
      <c r="D2320" s="3"/>
    </row>
    <row r="2321" spans="1:4">
      <c r="A2321" s="3"/>
      <c r="D2321" s="3"/>
    </row>
    <row r="2322" spans="1:4">
      <c r="A2322" s="3"/>
      <c r="D2322" s="3"/>
    </row>
    <row r="2323" spans="1:4">
      <c r="A2323" s="3"/>
      <c r="D2323" s="3"/>
    </row>
    <row r="2324" spans="1:4">
      <c r="A2324" s="3"/>
      <c r="D2324" s="3"/>
    </row>
    <row r="2325" spans="1:4">
      <c r="A2325" s="3"/>
      <c r="D2325" s="3"/>
    </row>
    <row r="2326" spans="1:4">
      <c r="A2326" s="3"/>
      <c r="D2326" s="3"/>
    </row>
    <row r="2327" spans="1:4">
      <c r="A2327" s="3"/>
      <c r="D2327" s="3"/>
    </row>
    <row r="2328" spans="1:4">
      <c r="A2328" s="3"/>
      <c r="D2328" s="3"/>
    </row>
    <row r="2329" spans="1:4">
      <c r="A2329" s="3"/>
      <c r="D2329" s="3"/>
    </row>
    <row r="2330" spans="1:4">
      <c r="A2330" s="3"/>
      <c r="D2330" s="3"/>
    </row>
    <row r="2331" spans="1:4">
      <c r="A2331" s="3"/>
      <c r="D2331" s="3"/>
    </row>
    <row r="2332" spans="1:4">
      <c r="A2332" s="3"/>
      <c r="D2332" s="3"/>
    </row>
    <row r="2333" spans="1:4">
      <c r="A2333" s="3"/>
      <c r="D2333" s="3"/>
    </row>
    <row r="2334" spans="1:4">
      <c r="A2334" s="3"/>
      <c r="D2334" s="3"/>
    </row>
    <row r="2335" spans="1:4">
      <c r="A2335" s="3"/>
      <c r="D2335" s="3"/>
    </row>
    <row r="2336" spans="1:4">
      <c r="A2336" s="3"/>
      <c r="D2336" s="3"/>
    </row>
    <row r="2337" spans="1:4">
      <c r="A2337" s="3"/>
      <c r="D2337" s="3"/>
    </row>
    <row r="2338" spans="1:4">
      <c r="A2338" s="3"/>
      <c r="D2338" s="3"/>
    </row>
    <row r="2339" spans="1:4">
      <c r="A2339" s="3"/>
      <c r="D2339" s="3"/>
    </row>
    <row r="2340" spans="1:4">
      <c r="A2340" s="3"/>
      <c r="D2340" s="3"/>
    </row>
    <row r="2341" spans="1:4">
      <c r="A2341" s="3"/>
      <c r="D2341" s="3"/>
    </row>
    <row r="2342" spans="1:4">
      <c r="A2342" s="3"/>
      <c r="D2342" s="3"/>
    </row>
    <row r="2343" spans="1:4">
      <c r="A2343" s="3"/>
      <c r="D2343" s="3"/>
    </row>
    <row r="2344" spans="1:4">
      <c r="A2344" s="3"/>
      <c r="D2344" s="3"/>
    </row>
    <row r="2345" spans="1:4">
      <c r="A2345" s="3"/>
      <c r="D2345" s="3"/>
    </row>
    <row r="2346" spans="1:4">
      <c r="A2346" s="3"/>
      <c r="D2346" s="3"/>
    </row>
    <row r="2347" spans="1:4">
      <c r="A2347" s="3"/>
      <c r="D2347" s="3"/>
    </row>
    <row r="2348" spans="1:4">
      <c r="A2348" s="3"/>
      <c r="D2348" s="3"/>
    </row>
    <row r="2349" spans="1:4">
      <c r="A2349" s="3"/>
      <c r="D2349" s="3"/>
    </row>
    <row r="2350" spans="1:4">
      <c r="A2350" s="3"/>
      <c r="D2350" s="3"/>
    </row>
    <row r="2351" spans="1:4">
      <c r="A2351" s="3"/>
      <c r="D2351" s="3"/>
    </row>
    <row r="2352" spans="1:4">
      <c r="A2352" s="3"/>
      <c r="D2352" s="3"/>
    </row>
    <row r="2353" spans="1:4">
      <c r="A2353" s="3"/>
      <c r="D2353" s="3"/>
    </row>
    <row r="2354" spans="1:4">
      <c r="A2354" s="3"/>
      <c r="D2354" s="3"/>
    </row>
    <row r="2355" spans="1:4">
      <c r="A2355" s="3"/>
      <c r="D2355" s="3"/>
    </row>
    <row r="2356" spans="1:4">
      <c r="A2356" s="3"/>
      <c r="D2356" s="3"/>
    </row>
    <row r="2357" spans="1:4">
      <c r="A2357" s="3"/>
      <c r="D2357" s="3"/>
    </row>
    <row r="2358" spans="1:4">
      <c r="A2358" s="3"/>
      <c r="D2358" s="3"/>
    </row>
    <row r="2359" spans="1:4">
      <c r="A2359" s="3"/>
      <c r="D2359" s="3"/>
    </row>
    <row r="2360" spans="1:4">
      <c r="A2360" s="3"/>
      <c r="D2360" s="3"/>
    </row>
    <row r="2361" spans="1:4">
      <c r="A2361" s="3"/>
      <c r="D2361" s="3"/>
    </row>
    <row r="2362" spans="1:4">
      <c r="A2362" s="3"/>
      <c r="D2362" s="3"/>
    </row>
    <row r="2363" spans="1:4">
      <c r="A2363" s="3"/>
      <c r="D2363" s="3"/>
    </row>
    <row r="2364" spans="1:4">
      <c r="A2364" s="3"/>
      <c r="D2364" s="3"/>
    </row>
    <row r="2365" spans="1:4">
      <c r="A2365" s="3"/>
      <c r="D2365" s="3"/>
    </row>
    <row r="2366" spans="1:4">
      <c r="A2366" s="3"/>
      <c r="D2366" s="3"/>
    </row>
    <row r="2367" spans="1:4">
      <c r="A2367" s="3"/>
      <c r="D2367" s="3"/>
    </row>
    <row r="2368" spans="1:4">
      <c r="A2368" s="3"/>
      <c r="D2368" s="3"/>
    </row>
    <row r="2369" spans="1:4">
      <c r="A2369" s="3"/>
      <c r="D2369" s="3"/>
    </row>
    <row r="2370" spans="1:4">
      <c r="A2370" s="3"/>
      <c r="D2370" s="3"/>
    </row>
    <row r="2371" spans="1:4">
      <c r="A2371" s="3"/>
      <c r="D2371" s="3"/>
    </row>
    <row r="2372" spans="1:4">
      <c r="A2372" s="3"/>
      <c r="D2372" s="3"/>
    </row>
    <row r="2373" spans="1:4">
      <c r="A2373" s="3"/>
      <c r="D2373" s="3"/>
    </row>
    <row r="2374" spans="1:4">
      <c r="A2374" s="3"/>
      <c r="D2374" s="3"/>
    </row>
    <row r="2375" spans="1:4">
      <c r="A2375" s="3"/>
      <c r="D2375" s="3"/>
    </row>
    <row r="2376" spans="1:4">
      <c r="A2376" s="3"/>
      <c r="D2376" s="3"/>
    </row>
    <row r="2377" spans="1:4">
      <c r="A2377" s="3"/>
      <c r="D2377" s="3"/>
    </row>
    <row r="2378" spans="1:4">
      <c r="A2378" s="3"/>
      <c r="D2378" s="3"/>
    </row>
    <row r="2379" spans="1:4">
      <c r="A2379" s="3"/>
      <c r="D2379" s="3"/>
    </row>
    <row r="2380" spans="1:4">
      <c r="A2380" s="3"/>
      <c r="D2380" s="3"/>
    </row>
    <row r="2381" spans="1:4">
      <c r="A2381" s="3"/>
      <c r="D2381" s="3"/>
    </row>
    <row r="2382" spans="1:4">
      <c r="A2382" s="3"/>
      <c r="D2382" s="3"/>
    </row>
    <row r="2383" spans="1:4">
      <c r="A2383" s="3"/>
      <c r="D2383" s="3"/>
    </row>
    <row r="2384" spans="1:4">
      <c r="A2384" s="3"/>
      <c r="D2384" s="3"/>
    </row>
    <row r="2385" spans="1:4">
      <c r="A2385" s="3"/>
      <c r="D2385" s="3"/>
    </row>
    <row r="2386" spans="1:4">
      <c r="A2386" s="3"/>
      <c r="D2386" s="3"/>
    </row>
    <row r="2387" spans="1:4">
      <c r="A2387" s="3"/>
      <c r="D2387" s="3"/>
    </row>
    <row r="2388" spans="1:4">
      <c r="A2388" s="3"/>
      <c r="D2388" s="3"/>
    </row>
    <row r="2389" spans="1:4">
      <c r="A2389" s="3"/>
      <c r="D2389" s="3"/>
    </row>
    <row r="2390" spans="1:4">
      <c r="A2390" s="3"/>
      <c r="D2390" s="3"/>
    </row>
    <row r="2391" spans="1:4">
      <c r="A2391" s="3"/>
      <c r="D2391" s="3"/>
    </row>
    <row r="2392" spans="1:4">
      <c r="A2392" s="3"/>
      <c r="D2392" s="3"/>
    </row>
    <row r="2393" spans="1:4">
      <c r="A2393" s="3"/>
      <c r="D2393" s="3"/>
    </row>
    <row r="2394" spans="1:4">
      <c r="A2394" s="3"/>
      <c r="D2394" s="3"/>
    </row>
    <row r="2395" spans="1:4">
      <c r="A2395" s="3"/>
      <c r="D2395" s="3"/>
    </row>
    <row r="2396" spans="1:4">
      <c r="A2396" s="3"/>
      <c r="D2396" s="3"/>
    </row>
    <row r="2397" spans="1:4">
      <c r="A2397" s="3"/>
      <c r="D2397" s="3"/>
    </row>
    <row r="2398" spans="1:4">
      <c r="A2398" s="3"/>
      <c r="D2398" s="3"/>
    </row>
    <row r="2399" spans="1:4">
      <c r="A2399" s="3"/>
      <c r="D2399" s="3"/>
    </row>
    <row r="2400" spans="1:4">
      <c r="A2400" s="3"/>
      <c r="D2400" s="3"/>
    </row>
    <row r="2401" spans="1:4">
      <c r="A2401" s="3"/>
      <c r="D2401" s="3"/>
    </row>
    <row r="2402" spans="1:4">
      <c r="A2402" s="3"/>
      <c r="D2402" s="3"/>
    </row>
    <row r="2403" spans="1:4">
      <c r="A2403" s="3"/>
      <c r="D2403" s="3"/>
    </row>
    <row r="2404" spans="1:4">
      <c r="A2404" s="3"/>
      <c r="D2404" s="3"/>
    </row>
    <row r="2405" spans="1:4">
      <c r="A2405" s="3"/>
      <c r="D2405" s="3"/>
    </row>
    <row r="2406" spans="1:4">
      <c r="A2406" s="3"/>
      <c r="D2406" s="3"/>
    </row>
    <row r="2407" spans="1:4">
      <c r="A2407" s="3"/>
      <c r="D2407" s="3"/>
    </row>
    <row r="2408" spans="1:4">
      <c r="A2408" s="3"/>
      <c r="D2408" s="3"/>
    </row>
    <row r="2409" spans="1:4">
      <c r="A2409" s="3"/>
      <c r="D2409" s="3"/>
    </row>
    <row r="2410" spans="1:4">
      <c r="A2410" s="3"/>
      <c r="D2410" s="3"/>
    </row>
    <row r="2411" spans="1:4">
      <c r="A2411" s="3"/>
      <c r="D2411" s="3"/>
    </row>
    <row r="2412" spans="1:4">
      <c r="A2412" s="3"/>
      <c r="D2412" s="3"/>
    </row>
    <row r="2413" spans="1:4">
      <c r="A2413" s="3"/>
      <c r="D2413" s="3"/>
    </row>
    <row r="2414" spans="1:4">
      <c r="A2414" s="3"/>
      <c r="D2414" s="3"/>
    </row>
    <row r="2415" spans="1:4">
      <c r="A2415" s="3"/>
      <c r="D2415" s="3"/>
    </row>
    <row r="2416" spans="1:4">
      <c r="A2416" s="3"/>
      <c r="D2416" s="3"/>
    </row>
    <row r="2417" spans="1:4">
      <c r="A2417" s="3"/>
      <c r="D2417" s="3"/>
    </row>
    <row r="2418" spans="1:4">
      <c r="A2418" s="3"/>
      <c r="D2418" s="3"/>
    </row>
    <row r="2419" spans="1:4">
      <c r="A2419" s="3"/>
      <c r="D2419" s="3"/>
    </row>
    <row r="2420" spans="1:4">
      <c r="A2420" s="3"/>
      <c r="D2420" s="3"/>
    </row>
    <row r="2421" spans="1:4">
      <c r="A2421" s="3"/>
      <c r="D2421" s="3"/>
    </row>
    <row r="2422" spans="1:4">
      <c r="A2422" s="3"/>
      <c r="D2422" s="3"/>
    </row>
    <row r="2423" spans="1:4">
      <c r="A2423" s="3"/>
      <c r="D2423" s="3"/>
    </row>
    <row r="2424" spans="1:4">
      <c r="A2424" s="3"/>
      <c r="D2424" s="3"/>
    </row>
    <row r="2425" spans="1:4">
      <c r="A2425" s="3"/>
      <c r="D2425" s="3"/>
    </row>
    <row r="2426" spans="1:4">
      <c r="A2426" s="3"/>
      <c r="D2426" s="3"/>
    </row>
    <row r="2427" spans="1:4">
      <c r="A2427" s="3"/>
      <c r="D2427" s="3"/>
    </row>
    <row r="2428" spans="1:4">
      <c r="A2428" s="3"/>
      <c r="D2428" s="3"/>
    </row>
    <row r="2429" spans="1:4">
      <c r="A2429" s="3"/>
      <c r="D2429" s="3"/>
    </row>
    <row r="2430" spans="1:4">
      <c r="A2430" s="3"/>
      <c r="D2430" s="3"/>
    </row>
    <row r="2431" spans="1:4">
      <c r="A2431" s="3"/>
      <c r="D2431" s="3"/>
    </row>
    <row r="2432" spans="1:4">
      <c r="A2432" s="3"/>
      <c r="D2432" s="3"/>
    </row>
    <row r="2433" spans="1:4">
      <c r="A2433" s="3"/>
      <c r="D2433" s="3"/>
    </row>
    <row r="2434" spans="1:4">
      <c r="A2434" s="3"/>
      <c r="D2434" s="3"/>
    </row>
    <row r="2435" spans="1:4">
      <c r="A2435" s="3"/>
      <c r="D2435" s="3"/>
    </row>
    <row r="2436" spans="1:4">
      <c r="A2436" s="3"/>
      <c r="D2436" s="3"/>
    </row>
    <row r="2437" spans="1:4">
      <c r="A2437" s="3"/>
      <c r="D2437" s="3"/>
    </row>
    <row r="2438" spans="1:4">
      <c r="A2438" s="3"/>
      <c r="D2438" s="3"/>
    </row>
    <row r="2439" spans="1:4">
      <c r="A2439" s="3"/>
      <c r="D2439" s="3"/>
    </row>
    <row r="2440" spans="1:4">
      <c r="A2440" s="3"/>
      <c r="D2440" s="3"/>
    </row>
    <row r="2441" spans="1:4">
      <c r="A2441" s="3"/>
      <c r="D2441" s="3"/>
    </row>
    <row r="2442" spans="1:4">
      <c r="A2442" s="3"/>
      <c r="D2442" s="3"/>
    </row>
    <row r="2443" spans="1:4">
      <c r="A2443" s="3"/>
      <c r="D2443" s="3"/>
    </row>
    <row r="2444" spans="1:4">
      <c r="A2444" s="3"/>
      <c r="D2444" s="3"/>
    </row>
    <row r="2445" spans="1:4">
      <c r="A2445" s="3"/>
      <c r="D2445" s="3"/>
    </row>
    <row r="2446" spans="1:4">
      <c r="A2446" s="3"/>
      <c r="D2446" s="3"/>
    </row>
    <row r="2447" spans="1:4">
      <c r="A2447" s="3"/>
      <c r="D2447" s="3"/>
    </row>
    <row r="2448" spans="1:4">
      <c r="A2448" s="3"/>
      <c r="D2448" s="3"/>
    </row>
    <row r="2449" spans="1:4">
      <c r="A2449" s="3"/>
      <c r="D2449" s="3"/>
    </row>
    <row r="2450" spans="1:4">
      <c r="A2450" s="3"/>
      <c r="D2450" s="3"/>
    </row>
    <row r="2451" spans="1:4">
      <c r="A2451" s="3"/>
      <c r="D2451" s="3"/>
    </row>
    <row r="2452" spans="1:4">
      <c r="A2452" s="3"/>
      <c r="D2452" s="3"/>
    </row>
    <row r="2453" spans="1:4">
      <c r="A2453" s="3"/>
      <c r="D2453" s="3"/>
    </row>
    <row r="2454" spans="1:4">
      <c r="A2454" s="3"/>
      <c r="D2454" s="3"/>
    </row>
    <row r="2455" spans="1:4">
      <c r="A2455" s="3"/>
      <c r="D2455" s="3"/>
    </row>
    <row r="2456" spans="1:4">
      <c r="A2456" s="3"/>
      <c r="D2456" s="3"/>
    </row>
    <row r="2457" spans="1:4">
      <c r="A2457" s="3"/>
      <c r="D2457" s="3"/>
    </row>
    <row r="2458" spans="1:4">
      <c r="A2458" s="3"/>
      <c r="D2458" s="3"/>
    </row>
    <row r="2459" spans="1:4">
      <c r="A2459" s="3"/>
      <c r="D2459" s="3"/>
    </row>
    <row r="2460" spans="1:4">
      <c r="A2460" s="3"/>
      <c r="D2460" s="3"/>
    </row>
    <row r="2461" spans="1:4">
      <c r="A2461" s="3"/>
      <c r="D2461" s="3"/>
    </row>
    <row r="2462" spans="1:4">
      <c r="A2462" s="3"/>
      <c r="D2462" s="3"/>
    </row>
    <row r="2463" spans="1:4">
      <c r="A2463" s="3"/>
      <c r="D2463" s="3"/>
    </row>
    <row r="2464" spans="1:4">
      <c r="A2464" s="3"/>
      <c r="D2464" s="3"/>
    </row>
    <row r="2465" spans="1:4">
      <c r="A2465" s="3"/>
      <c r="D2465" s="3"/>
    </row>
    <row r="2466" spans="1:4">
      <c r="A2466" s="3"/>
      <c r="D2466" s="3"/>
    </row>
    <row r="2467" spans="1:4">
      <c r="A2467" s="3"/>
      <c r="D2467" s="3"/>
    </row>
    <row r="2468" spans="1:4">
      <c r="A2468" s="3"/>
      <c r="D2468" s="3"/>
    </row>
    <row r="2469" spans="1:4">
      <c r="A2469" s="3"/>
      <c r="D2469" s="3"/>
    </row>
    <row r="2470" spans="1:4">
      <c r="A2470" s="3"/>
      <c r="D2470" s="3"/>
    </row>
    <row r="2471" spans="1:4">
      <c r="A2471" s="3"/>
      <c r="D2471" s="3"/>
    </row>
    <row r="2472" spans="1:4">
      <c r="A2472" s="3"/>
      <c r="D2472" s="3"/>
    </row>
    <row r="2473" spans="1:4">
      <c r="A2473" s="3"/>
      <c r="D2473" s="3"/>
    </row>
    <row r="2474" spans="1:4">
      <c r="A2474" s="3"/>
      <c r="D2474" s="3"/>
    </row>
    <row r="2475" spans="1:4">
      <c r="A2475" s="3"/>
      <c r="D2475" s="3"/>
    </row>
    <row r="2476" spans="1:4">
      <c r="A2476" s="3"/>
      <c r="D2476" s="3"/>
    </row>
    <row r="2477" spans="1:4">
      <c r="A2477" s="3"/>
      <c r="D2477" s="3"/>
    </row>
    <row r="2478" spans="1:4">
      <c r="A2478" s="3"/>
      <c r="D2478" s="3"/>
    </row>
    <row r="2479" spans="1:4">
      <c r="A2479" s="3"/>
      <c r="D2479" s="3"/>
    </row>
    <row r="2480" spans="1:4">
      <c r="A2480" s="3"/>
      <c r="D2480" s="3"/>
    </row>
    <row r="2481" spans="1:4">
      <c r="A2481" s="3"/>
      <c r="D2481" s="3"/>
    </row>
    <row r="2482" spans="1:4">
      <c r="A2482" s="3"/>
      <c r="D2482" s="3"/>
    </row>
    <row r="2483" spans="1:4">
      <c r="A2483" s="3"/>
      <c r="D2483" s="3"/>
    </row>
    <row r="2484" spans="1:4">
      <c r="A2484" s="3"/>
      <c r="D2484" s="3"/>
    </row>
    <row r="2485" spans="1:4">
      <c r="A2485" s="3"/>
      <c r="D2485" s="3"/>
    </row>
    <row r="2486" spans="1:4">
      <c r="A2486" s="3"/>
      <c r="D2486" s="3"/>
    </row>
    <row r="2487" spans="1:4">
      <c r="A2487" s="3"/>
      <c r="D2487" s="3"/>
    </row>
    <row r="2488" spans="1:4">
      <c r="A2488" s="3"/>
      <c r="D2488" s="3"/>
    </row>
    <row r="2489" spans="1:4">
      <c r="A2489" s="3"/>
      <c r="D2489" s="3"/>
    </row>
    <row r="2490" spans="1:4">
      <c r="A2490" s="3"/>
      <c r="D2490" s="3"/>
    </row>
    <row r="2491" spans="1:4">
      <c r="A2491" s="3"/>
      <c r="D2491" s="3"/>
    </row>
    <row r="2492" spans="1:4">
      <c r="A2492" s="3"/>
      <c r="D2492" s="3"/>
    </row>
    <row r="2493" spans="1:4">
      <c r="A2493" s="3"/>
      <c r="D2493" s="3"/>
    </row>
    <row r="2494" spans="1:4">
      <c r="A2494" s="3"/>
      <c r="D2494" s="3"/>
    </row>
    <row r="2495" spans="1:4">
      <c r="A2495" s="3"/>
      <c r="D2495" s="3"/>
    </row>
    <row r="2496" spans="1:4">
      <c r="A2496" s="3"/>
      <c r="D2496" s="3"/>
    </row>
    <row r="2497" spans="1:4">
      <c r="A2497" s="3"/>
      <c r="D2497" s="3"/>
    </row>
    <row r="2498" spans="1:4">
      <c r="A2498" s="3"/>
      <c r="D2498" s="3"/>
    </row>
    <row r="2499" spans="1:4">
      <c r="A2499" s="3"/>
      <c r="D2499" s="3"/>
    </row>
    <row r="2500" spans="1:4">
      <c r="A2500" s="3"/>
      <c r="D2500" s="3"/>
    </row>
    <row r="2501" spans="1:4">
      <c r="A2501" s="3"/>
      <c r="D2501" s="3"/>
    </row>
    <row r="2502" spans="1:4">
      <c r="A2502" s="3"/>
      <c r="D2502" s="3"/>
    </row>
    <row r="2503" spans="1:4">
      <c r="A2503" s="3"/>
      <c r="D2503" s="3"/>
    </row>
    <row r="2504" spans="1:4">
      <c r="A2504" s="3"/>
      <c r="D2504" s="3"/>
    </row>
    <row r="2505" spans="1:4">
      <c r="A2505" s="3"/>
      <c r="D2505" s="3"/>
    </row>
    <row r="2506" spans="1:4">
      <c r="A2506" s="3"/>
      <c r="D2506" s="3"/>
    </row>
    <row r="2507" spans="1:4">
      <c r="A2507" s="3"/>
      <c r="D2507" s="3"/>
    </row>
    <row r="2508" spans="1:4">
      <c r="A2508" s="3"/>
      <c r="D2508" s="3"/>
    </row>
    <row r="2509" spans="1:4">
      <c r="A2509" s="3"/>
      <c r="D2509" s="3"/>
    </row>
    <row r="2510" spans="1:4">
      <c r="A2510" s="3"/>
      <c r="D2510" s="3"/>
    </row>
    <row r="2511" spans="1:4">
      <c r="A2511" s="3"/>
      <c r="D2511" s="3"/>
    </row>
    <row r="2512" spans="1:4">
      <c r="A2512" s="3"/>
      <c r="D2512" s="3"/>
    </row>
    <row r="2513" spans="1:4">
      <c r="A2513" s="3"/>
      <c r="D2513" s="3"/>
    </row>
    <row r="2514" spans="1:4">
      <c r="A2514" s="3"/>
      <c r="D2514" s="3"/>
    </row>
    <row r="2515" spans="1:4">
      <c r="A2515" s="3"/>
      <c r="D2515" s="3"/>
    </row>
    <row r="2516" spans="1:4">
      <c r="A2516" s="3"/>
      <c r="D2516" s="3"/>
    </row>
    <row r="2517" spans="1:4">
      <c r="A2517" s="3"/>
      <c r="D2517" s="3"/>
    </row>
    <row r="2518" spans="1:4">
      <c r="A2518" s="3"/>
      <c r="D2518" s="3"/>
    </row>
    <row r="2519" spans="1:4">
      <c r="A2519" s="3"/>
      <c r="D2519" s="3"/>
    </row>
    <row r="2520" spans="1:4">
      <c r="A2520" s="3"/>
      <c r="D2520" s="3"/>
    </row>
    <row r="2521" spans="1:4">
      <c r="A2521" s="3"/>
      <c r="D2521" s="3"/>
    </row>
    <row r="2522" spans="1:4">
      <c r="A2522" s="3"/>
      <c r="D2522" s="3"/>
    </row>
    <row r="2523" spans="1:4">
      <c r="A2523" s="3"/>
      <c r="D2523" s="3"/>
    </row>
    <row r="2524" spans="1:4">
      <c r="A2524" s="3"/>
      <c r="D2524" s="3"/>
    </row>
    <row r="2525" spans="1:4">
      <c r="A2525" s="3"/>
      <c r="D2525" s="3"/>
    </row>
    <row r="2526" spans="1:4">
      <c r="A2526" s="3"/>
      <c r="D2526" s="3"/>
    </row>
    <row r="2527" spans="1:4">
      <c r="A2527" s="3"/>
      <c r="D2527" s="3"/>
    </row>
    <row r="2528" spans="1:4">
      <c r="A2528" s="3"/>
      <c r="D2528" s="3"/>
    </row>
    <row r="2529" spans="1:4">
      <c r="A2529" s="3"/>
      <c r="D2529" s="3"/>
    </row>
    <row r="2530" spans="1:4">
      <c r="A2530" s="3"/>
      <c r="D2530" s="3"/>
    </row>
    <row r="2531" spans="1:4">
      <c r="A2531" s="3"/>
      <c r="D2531" s="3"/>
    </row>
    <row r="2532" spans="1:4">
      <c r="A2532" s="3"/>
      <c r="D2532" s="3"/>
    </row>
    <row r="2533" spans="1:4">
      <c r="A2533" s="3"/>
      <c r="D2533" s="3"/>
    </row>
    <row r="2534" spans="1:4">
      <c r="A2534" s="3"/>
      <c r="D2534" s="3"/>
    </row>
    <row r="2535" spans="1:4">
      <c r="A2535" s="3"/>
      <c r="D2535" s="3"/>
    </row>
    <row r="2536" spans="1:4">
      <c r="A2536" s="3"/>
      <c r="D2536" s="3"/>
    </row>
    <row r="2537" spans="1:4">
      <c r="A2537" s="3"/>
      <c r="D2537" s="3"/>
    </row>
    <row r="2538" spans="1:4">
      <c r="A2538" s="3"/>
      <c r="D2538" s="3"/>
    </row>
    <row r="2539" spans="1:4">
      <c r="A2539" s="3"/>
      <c r="D2539" s="3"/>
    </row>
    <row r="2540" spans="1:4">
      <c r="A2540" s="3"/>
      <c r="D2540" s="3"/>
    </row>
    <row r="2541" spans="1:4">
      <c r="A2541" s="3"/>
      <c r="D2541" s="3"/>
    </row>
    <row r="2542" spans="1:4">
      <c r="A2542" s="3"/>
      <c r="D2542" s="3"/>
    </row>
    <row r="2543" spans="1:4">
      <c r="A2543" s="3"/>
      <c r="D2543" s="3"/>
    </row>
    <row r="2544" spans="1:4">
      <c r="A2544" s="3"/>
      <c r="D2544" s="3"/>
    </row>
    <row r="2545" spans="1:4">
      <c r="A2545" s="3"/>
      <c r="D2545" s="3"/>
    </row>
    <row r="2546" spans="1:4">
      <c r="A2546" s="3"/>
      <c r="D2546" s="3"/>
    </row>
    <row r="2547" spans="1:4">
      <c r="A2547" s="3"/>
      <c r="D2547" s="3"/>
    </row>
    <row r="2548" spans="1:4">
      <c r="A2548" s="3"/>
      <c r="D2548" s="3"/>
    </row>
    <row r="2549" spans="1:4">
      <c r="A2549" s="3"/>
      <c r="D2549" s="3"/>
    </row>
    <row r="2550" spans="1:4">
      <c r="A2550" s="3"/>
      <c r="D2550" s="3"/>
    </row>
    <row r="2551" spans="1:4">
      <c r="A2551" s="3"/>
      <c r="D2551" s="3"/>
    </row>
    <row r="2552" spans="1:4">
      <c r="A2552" s="3"/>
      <c r="D2552" s="3"/>
    </row>
    <row r="2553" spans="1:4">
      <c r="A2553" s="3"/>
      <c r="D2553" s="3"/>
    </row>
    <row r="2554" spans="1:4">
      <c r="A2554" s="3"/>
      <c r="D2554" s="3"/>
    </row>
    <row r="2555" spans="1:4">
      <c r="A2555" s="3"/>
      <c r="D2555" s="3"/>
    </row>
    <row r="2556" spans="1:4">
      <c r="A2556" s="3"/>
      <c r="D2556" s="3"/>
    </row>
    <row r="2557" spans="1:4">
      <c r="A2557" s="3"/>
      <c r="D2557" s="3"/>
    </row>
    <row r="2558" spans="1:4">
      <c r="A2558" s="3"/>
      <c r="D2558" s="3"/>
    </row>
    <row r="2559" spans="1:4">
      <c r="A2559" s="3"/>
      <c r="D2559" s="3"/>
    </row>
    <row r="2560" spans="1:4">
      <c r="A2560" s="3"/>
      <c r="D2560" s="3"/>
    </row>
    <row r="2561" spans="1:4">
      <c r="A2561" s="3"/>
      <c r="D2561" s="3"/>
    </row>
    <row r="2562" spans="1:4">
      <c r="A2562" s="3"/>
      <c r="D2562" s="3"/>
    </row>
    <row r="2563" spans="1:4">
      <c r="A2563" s="3"/>
      <c r="D2563" s="3"/>
    </row>
    <row r="2564" spans="1:4">
      <c r="A2564" s="3"/>
      <c r="D2564" s="3"/>
    </row>
    <row r="2565" spans="1:4">
      <c r="A2565" s="3"/>
      <c r="D2565" s="3"/>
    </row>
    <row r="2566" spans="1:4">
      <c r="A2566" s="3"/>
      <c r="D2566" s="3"/>
    </row>
    <row r="2567" spans="1:4">
      <c r="A2567" s="3"/>
      <c r="D2567" s="3"/>
    </row>
    <row r="2568" spans="1:4">
      <c r="A2568" s="3"/>
      <c r="D2568" s="3"/>
    </row>
    <row r="2569" spans="1:4">
      <c r="A2569" s="3"/>
      <c r="D2569" s="3"/>
    </row>
    <row r="2570" spans="1:4">
      <c r="A2570" s="3"/>
      <c r="D2570" s="3"/>
    </row>
    <row r="2571" spans="1:4">
      <c r="A2571" s="3"/>
      <c r="D2571" s="3"/>
    </row>
    <row r="2572" spans="1:4">
      <c r="A2572" s="3"/>
      <c r="D2572" s="3"/>
    </row>
    <row r="2573" spans="1:4">
      <c r="A2573" s="3"/>
      <c r="D2573" s="3"/>
    </row>
    <row r="2574" spans="1:4">
      <c r="A2574" s="3"/>
      <c r="D2574" s="3"/>
    </row>
    <row r="2575" spans="1:4">
      <c r="A2575" s="3"/>
      <c r="D2575" s="3"/>
    </row>
    <row r="2576" spans="1:4">
      <c r="A2576" s="3"/>
      <c r="D2576" s="3"/>
    </row>
    <row r="2577" spans="1:4">
      <c r="A2577" s="3"/>
      <c r="D2577" s="3"/>
    </row>
    <row r="2578" spans="1:4">
      <c r="A2578" s="3"/>
      <c r="D2578" s="3"/>
    </row>
    <row r="2579" spans="1:4">
      <c r="A2579" s="3"/>
      <c r="D2579" s="3"/>
    </row>
    <row r="2580" spans="1:4">
      <c r="A2580" s="3"/>
      <c r="D2580" s="3"/>
    </row>
    <row r="2581" spans="1:4">
      <c r="A2581" s="3"/>
      <c r="D2581" s="3"/>
    </row>
    <row r="2582" spans="1:4">
      <c r="A2582" s="3"/>
      <c r="D2582" s="3"/>
    </row>
    <row r="2583" spans="1:4">
      <c r="A2583" s="3"/>
      <c r="D2583" s="3"/>
    </row>
    <row r="2584" spans="1:4">
      <c r="A2584" s="3"/>
      <c r="D2584" s="3"/>
    </row>
    <row r="2585" spans="1:4">
      <c r="A2585" s="3"/>
      <c r="D2585" s="3"/>
    </row>
    <row r="2586" spans="1:4">
      <c r="A2586" s="3"/>
      <c r="D2586" s="3"/>
    </row>
    <row r="2587" spans="1:4">
      <c r="A2587" s="3"/>
      <c r="D2587" s="3"/>
    </row>
    <row r="2588" spans="1:4">
      <c r="A2588" s="3"/>
      <c r="D2588" s="3"/>
    </row>
    <row r="2589" spans="1:4">
      <c r="A2589" s="3"/>
      <c r="D2589" s="3"/>
    </row>
    <row r="2590" spans="1:4">
      <c r="A2590" s="3"/>
      <c r="D2590" s="3"/>
    </row>
    <row r="2591" spans="1:4">
      <c r="A2591" s="3"/>
      <c r="D2591" s="3"/>
    </row>
    <row r="2592" spans="1:4">
      <c r="A2592" s="3"/>
      <c r="D2592" s="3"/>
    </row>
    <row r="2593" spans="1:4">
      <c r="A2593" s="3"/>
      <c r="D2593" s="3"/>
    </row>
    <row r="2594" spans="1:4">
      <c r="A2594" s="3"/>
      <c r="D2594" s="3"/>
    </row>
    <row r="2595" spans="1:4">
      <c r="A2595" s="3"/>
      <c r="D2595" s="3"/>
    </row>
    <row r="2596" spans="1:4">
      <c r="A2596" s="3"/>
      <c r="D2596" s="3"/>
    </row>
    <row r="2597" spans="1:4">
      <c r="A2597" s="3"/>
      <c r="D2597" s="3"/>
    </row>
    <row r="2598" spans="1:4">
      <c r="A2598" s="3"/>
      <c r="D2598" s="3"/>
    </row>
    <row r="2599" spans="1:4">
      <c r="A2599" s="3"/>
      <c r="D2599" s="3"/>
    </row>
    <row r="2600" spans="1:4">
      <c r="A2600" s="3"/>
      <c r="D2600" s="3"/>
    </row>
    <row r="2601" spans="1:4">
      <c r="A2601" s="3"/>
      <c r="D2601" s="3"/>
    </row>
    <row r="2602" spans="1:4">
      <c r="A2602" s="3"/>
      <c r="D2602" s="3"/>
    </row>
    <row r="2603" spans="1:4">
      <c r="A2603" s="3"/>
      <c r="D2603" s="3"/>
    </row>
    <row r="2604" spans="1:4">
      <c r="A2604" s="3"/>
      <c r="D2604" s="3"/>
    </row>
    <row r="2605" spans="1:4">
      <c r="A2605" s="3"/>
      <c r="D2605" s="3"/>
    </row>
    <row r="2606" spans="1:4">
      <c r="A2606" s="3"/>
      <c r="D2606" s="3"/>
    </row>
    <row r="2607" spans="1:4">
      <c r="A2607" s="3"/>
      <c r="D2607" s="3"/>
    </row>
    <row r="2608" spans="1:4">
      <c r="A2608" s="3"/>
      <c r="D2608" s="3"/>
    </row>
    <row r="2609" spans="1:4">
      <c r="A2609" s="3"/>
      <c r="D2609" s="3"/>
    </row>
    <row r="2610" spans="1:4">
      <c r="A2610" s="3"/>
      <c r="D2610" s="3"/>
    </row>
    <row r="2611" spans="1:4">
      <c r="A2611" s="3"/>
      <c r="D2611" s="3"/>
    </row>
    <row r="2612" spans="1:4">
      <c r="A2612" s="3"/>
      <c r="D2612" s="3"/>
    </row>
    <row r="2613" spans="1:4">
      <c r="A2613" s="3"/>
      <c r="D2613" s="3"/>
    </row>
    <row r="2614" spans="1:4">
      <c r="A2614" s="3"/>
      <c r="D2614" s="3"/>
    </row>
    <row r="2615" spans="1:4">
      <c r="A2615" s="3"/>
      <c r="D2615" s="3"/>
    </row>
    <row r="2616" spans="1:4">
      <c r="A2616" s="3"/>
      <c r="D2616" s="3"/>
    </row>
    <row r="2617" spans="1:4">
      <c r="A2617" s="3"/>
      <c r="D2617" s="3"/>
    </row>
    <row r="2618" spans="1:4">
      <c r="A2618" s="3"/>
      <c r="D2618" s="3"/>
    </row>
    <row r="2619" spans="1:4">
      <c r="A2619" s="3"/>
      <c r="D2619" s="3"/>
    </row>
    <row r="2620" spans="1:4">
      <c r="A2620" s="3"/>
      <c r="D2620" s="3"/>
    </row>
    <row r="2621" spans="1:4">
      <c r="A2621" s="3"/>
      <c r="D2621" s="3"/>
    </row>
    <row r="2622" spans="1:4">
      <c r="A2622" s="3"/>
      <c r="D2622" s="3"/>
    </row>
    <row r="2623" spans="1:4">
      <c r="A2623" s="3"/>
      <c r="D2623" s="3"/>
    </row>
    <row r="2624" spans="1:4">
      <c r="A2624" s="3"/>
      <c r="D2624" s="3"/>
    </row>
    <row r="2625" spans="1:4">
      <c r="A2625" s="3"/>
      <c r="D2625" s="3"/>
    </row>
    <row r="2626" spans="1:4">
      <c r="A2626" s="3"/>
      <c r="D2626" s="3"/>
    </row>
    <row r="2627" spans="1:4">
      <c r="A2627" s="3"/>
      <c r="D2627" s="3"/>
    </row>
    <row r="2628" spans="1:4">
      <c r="A2628" s="3"/>
      <c r="D2628" s="3"/>
    </row>
    <row r="2629" spans="1:4">
      <c r="A2629" s="3"/>
      <c r="D2629" s="3"/>
    </row>
    <row r="2630" spans="1:4">
      <c r="A2630" s="3"/>
      <c r="D2630" s="3"/>
    </row>
    <row r="2631" spans="1:4">
      <c r="A2631" s="3"/>
      <c r="D2631" s="3"/>
    </row>
    <row r="2632" spans="1:4">
      <c r="A2632" s="3"/>
      <c r="D2632" s="3"/>
    </row>
    <row r="2633" spans="1:4">
      <c r="A2633" s="3"/>
      <c r="D2633" s="3"/>
    </row>
    <row r="2634" spans="1:4">
      <c r="A2634" s="3"/>
      <c r="D2634" s="3"/>
    </row>
    <row r="2635" spans="1:4">
      <c r="A2635" s="3"/>
      <c r="D2635" s="3"/>
    </row>
    <row r="2636" spans="1:4">
      <c r="A2636" s="3"/>
      <c r="D2636" s="3"/>
    </row>
    <row r="2637" spans="1:4">
      <c r="A2637" s="3"/>
      <c r="D2637" s="3"/>
    </row>
    <row r="2638" spans="1:4">
      <c r="A2638" s="3"/>
      <c r="D2638" s="3"/>
    </row>
    <row r="2639" spans="1:4">
      <c r="A2639" s="3"/>
      <c r="D2639" s="3"/>
    </row>
    <row r="2640" spans="1:4">
      <c r="A2640" s="3"/>
      <c r="D2640" s="3"/>
    </row>
    <row r="2641" spans="1:4">
      <c r="A2641" s="3"/>
      <c r="D2641" s="3"/>
    </row>
    <row r="2642" spans="1:4">
      <c r="A2642" s="3"/>
      <c r="D2642" s="3"/>
    </row>
    <row r="2643" spans="1:4">
      <c r="A2643" s="3"/>
      <c r="D2643" s="3"/>
    </row>
    <row r="2644" spans="1:4">
      <c r="A2644" s="3"/>
      <c r="D2644" s="3"/>
    </row>
    <row r="2645" spans="1:4">
      <c r="A2645" s="3"/>
      <c r="D2645" s="3"/>
    </row>
    <row r="2646" spans="1:4">
      <c r="A2646" s="3"/>
      <c r="D2646" s="3"/>
    </row>
    <row r="2647" spans="1:4">
      <c r="A2647" s="3"/>
      <c r="D2647" s="3"/>
    </row>
    <row r="2648" spans="1:4">
      <c r="A2648" s="3"/>
      <c r="D2648" s="3"/>
    </row>
    <row r="2649" spans="1:4">
      <c r="A2649" s="3"/>
      <c r="D2649" s="3"/>
    </row>
    <row r="2650" spans="1:4">
      <c r="A2650" s="3"/>
      <c r="D2650" s="3"/>
    </row>
    <row r="2651" spans="1:4">
      <c r="A2651" s="3"/>
      <c r="D2651" s="3"/>
    </row>
    <row r="2652" spans="1:4">
      <c r="A2652" s="3"/>
      <c r="D2652" s="3"/>
    </row>
    <row r="2653" spans="1:4">
      <c r="A2653" s="3"/>
      <c r="D2653" s="3"/>
    </row>
    <row r="2654" spans="1:4">
      <c r="A2654" s="3"/>
      <c r="D2654" s="3"/>
    </row>
    <row r="2655" spans="1:4">
      <c r="A2655" s="3"/>
      <c r="D2655" s="3"/>
    </row>
    <row r="2656" spans="1:4">
      <c r="A2656" s="3"/>
      <c r="D2656" s="3"/>
    </row>
    <row r="2657" spans="1:4">
      <c r="A2657" s="3"/>
      <c r="D2657" s="3"/>
    </row>
    <row r="2658" spans="1:4">
      <c r="A2658" s="3"/>
      <c r="D2658" s="3"/>
    </row>
    <row r="2659" spans="1:4">
      <c r="A2659" s="3"/>
      <c r="D2659" s="3"/>
    </row>
    <row r="2660" spans="1:4">
      <c r="A2660" s="3"/>
      <c r="D2660" s="3"/>
    </row>
    <row r="2661" spans="1:4">
      <c r="A2661" s="3"/>
      <c r="D2661" s="3"/>
    </row>
    <row r="2662" spans="1:4">
      <c r="A2662" s="3"/>
      <c r="D2662" s="3"/>
    </row>
    <row r="2663" spans="1:4">
      <c r="A2663" s="3"/>
      <c r="D2663" s="3"/>
    </row>
    <row r="2664" spans="1:4">
      <c r="A2664" s="3"/>
      <c r="D2664" s="3"/>
    </row>
    <row r="2665" spans="1:4">
      <c r="A2665" s="3"/>
      <c r="D2665" s="3"/>
    </row>
    <row r="2666" spans="1:4">
      <c r="A2666" s="3"/>
      <c r="D2666" s="3"/>
    </row>
    <row r="2667" spans="1:4">
      <c r="A2667" s="3"/>
      <c r="D2667" s="3"/>
    </row>
    <row r="2668" spans="1:4">
      <c r="A2668" s="3"/>
      <c r="D2668" s="3"/>
    </row>
    <row r="2669" spans="1:4">
      <c r="A2669" s="3"/>
      <c r="D2669" s="3"/>
    </row>
    <row r="2670" spans="1:4">
      <c r="A2670" s="3"/>
      <c r="D2670" s="3"/>
    </row>
    <row r="2671" spans="1:4">
      <c r="A2671" s="3"/>
      <c r="D2671" s="3"/>
    </row>
    <row r="2672" spans="1:4">
      <c r="A2672" s="3"/>
      <c r="D2672" s="3"/>
    </row>
    <row r="2673" spans="1:4">
      <c r="A2673" s="3"/>
      <c r="D2673" s="3"/>
    </row>
    <row r="2674" spans="1:4">
      <c r="A2674" s="3"/>
      <c r="D2674" s="3"/>
    </row>
    <row r="2675" spans="1:4">
      <c r="A2675" s="3"/>
      <c r="D2675" s="3"/>
    </row>
    <row r="2676" spans="1:4">
      <c r="A2676" s="3"/>
      <c r="D2676" s="3"/>
    </row>
    <row r="2677" spans="1:4">
      <c r="A2677" s="3"/>
      <c r="D2677" s="3"/>
    </row>
    <row r="2678" spans="1:4">
      <c r="A2678" s="3"/>
      <c r="D2678" s="3"/>
    </row>
    <row r="2679" spans="1:4">
      <c r="A2679" s="3"/>
      <c r="D2679" s="3"/>
    </row>
    <row r="2680" spans="1:4">
      <c r="A2680" s="3"/>
      <c r="D2680" s="3"/>
    </row>
    <row r="2681" spans="1:4">
      <c r="A2681" s="3"/>
      <c r="D2681" s="3"/>
    </row>
    <row r="2682" spans="1:4">
      <c r="A2682" s="3"/>
      <c r="D2682" s="3"/>
    </row>
    <row r="2683" spans="1:4">
      <c r="A2683" s="3"/>
      <c r="D2683" s="3"/>
    </row>
    <row r="2684" spans="1:4">
      <c r="A2684" s="3"/>
      <c r="D2684" s="3"/>
    </row>
    <row r="2685" spans="1:4">
      <c r="A2685" s="3"/>
      <c r="D2685" s="3"/>
    </row>
    <row r="2686" spans="1:4">
      <c r="A2686" s="3"/>
      <c r="D2686" s="3"/>
    </row>
    <row r="2687" spans="1:4">
      <c r="A2687" s="3"/>
      <c r="D2687" s="3"/>
    </row>
    <row r="2688" spans="1:4">
      <c r="A2688" s="3"/>
      <c r="D2688" s="3"/>
    </row>
    <row r="2689" spans="1:4">
      <c r="A2689" s="3"/>
      <c r="D2689" s="3"/>
    </row>
    <row r="2690" spans="1:4">
      <c r="A2690" s="3"/>
      <c r="D2690" s="3"/>
    </row>
    <row r="2691" spans="1:4">
      <c r="A2691" s="3"/>
      <c r="D2691" s="3"/>
    </row>
    <row r="2692" spans="1:4">
      <c r="A2692" s="3"/>
      <c r="D2692" s="3"/>
    </row>
    <row r="2693" spans="1:4">
      <c r="A2693" s="3"/>
      <c r="D2693" s="3"/>
    </row>
    <row r="2694" spans="1:4">
      <c r="A2694" s="3"/>
      <c r="D2694" s="3"/>
    </row>
    <row r="2695" spans="1:4">
      <c r="A2695" s="3"/>
      <c r="D2695" s="3"/>
    </row>
    <row r="2696" spans="1:4">
      <c r="A2696" s="3"/>
      <c r="D2696" s="3"/>
    </row>
    <row r="2697" spans="1:4">
      <c r="A2697" s="3"/>
      <c r="D2697" s="3"/>
    </row>
    <row r="2698" spans="1:4">
      <c r="A2698" s="3"/>
      <c r="D2698" s="3"/>
    </row>
    <row r="2699" spans="1:4">
      <c r="A2699" s="3"/>
      <c r="D2699" s="3"/>
    </row>
    <row r="2700" spans="1:4">
      <c r="A2700" s="3"/>
      <c r="D2700" s="3"/>
    </row>
    <row r="2701" spans="1:4">
      <c r="A2701" s="3"/>
      <c r="D2701" s="3"/>
    </row>
    <row r="2702" spans="1:4">
      <c r="A2702" s="3"/>
      <c r="D2702" s="3"/>
    </row>
    <row r="2703" spans="1:4">
      <c r="A2703" s="3"/>
      <c r="D2703" s="3"/>
    </row>
    <row r="2704" spans="1:4">
      <c r="A2704" s="3"/>
      <c r="D2704" s="3"/>
    </row>
    <row r="2705" spans="1:4">
      <c r="A2705" s="3"/>
      <c r="D2705" s="3"/>
    </row>
    <row r="2706" spans="1:4">
      <c r="A2706" s="3"/>
      <c r="D2706" s="3"/>
    </row>
    <row r="2707" spans="1:4">
      <c r="A2707" s="3"/>
      <c r="D2707" s="3"/>
    </row>
    <row r="2708" spans="1:4">
      <c r="A2708" s="3"/>
      <c r="D2708" s="3"/>
    </row>
    <row r="2709" spans="1:4">
      <c r="A2709" s="3"/>
      <c r="D2709" s="3"/>
    </row>
    <row r="2710" spans="1:4">
      <c r="A2710" s="3"/>
      <c r="D2710" s="3"/>
    </row>
    <row r="2711" spans="1:4">
      <c r="A2711" s="3"/>
      <c r="D2711" s="3"/>
    </row>
    <row r="2712" spans="1:4">
      <c r="A2712" s="3"/>
      <c r="D2712" s="3"/>
    </row>
    <row r="2713" spans="1:4">
      <c r="A2713" s="3"/>
      <c r="D2713" s="3"/>
    </row>
    <row r="2714" spans="1:4">
      <c r="A2714" s="3"/>
      <c r="D2714" s="3"/>
    </row>
    <row r="2715" spans="1:4">
      <c r="A2715" s="3"/>
      <c r="D2715" s="3"/>
    </row>
    <row r="2716" spans="1:4">
      <c r="A2716" s="3"/>
      <c r="D2716" s="3"/>
    </row>
    <row r="2717" spans="1:4">
      <c r="A2717" s="3"/>
      <c r="D2717" s="3"/>
    </row>
    <row r="2718" spans="1:4">
      <c r="A2718" s="3"/>
      <c r="D2718" s="3"/>
    </row>
    <row r="2719" spans="1:4">
      <c r="A2719" s="3"/>
      <c r="D2719" s="3"/>
    </row>
    <row r="2720" spans="1:4">
      <c r="A2720" s="3"/>
      <c r="D2720" s="3"/>
    </row>
    <row r="2721" spans="1:4">
      <c r="A2721" s="3"/>
      <c r="D2721" s="3"/>
    </row>
    <row r="2722" spans="1:4">
      <c r="A2722" s="3"/>
      <c r="D2722" s="3"/>
    </row>
    <row r="2723" spans="1:4">
      <c r="A2723" s="3"/>
      <c r="D2723" s="3"/>
    </row>
    <row r="2724" spans="1:4">
      <c r="A2724" s="3"/>
      <c r="D2724" s="3"/>
    </row>
    <row r="2725" spans="1:4">
      <c r="A2725" s="3"/>
      <c r="D2725" s="3"/>
    </row>
    <row r="2726" spans="1:4">
      <c r="A2726" s="3"/>
      <c r="D2726" s="3"/>
    </row>
    <row r="2727" spans="1:4">
      <c r="A2727" s="3"/>
      <c r="D2727" s="3"/>
    </row>
    <row r="2728" spans="1:4">
      <c r="A2728" s="3"/>
      <c r="D2728" s="3"/>
    </row>
    <row r="2729" spans="1:4">
      <c r="A2729" s="3"/>
      <c r="D2729" s="3"/>
    </row>
    <row r="2730" spans="1:4">
      <c r="A2730" s="3"/>
      <c r="D2730" s="3"/>
    </row>
    <row r="2731" spans="1:4">
      <c r="A2731" s="3"/>
      <c r="D2731" s="3"/>
    </row>
    <row r="2732" spans="1:4">
      <c r="A2732" s="3"/>
      <c r="D2732" s="3"/>
    </row>
    <row r="2733" spans="1:4">
      <c r="A2733" s="3"/>
      <c r="D2733" s="3"/>
    </row>
    <row r="2734" spans="1:4">
      <c r="A2734" s="3"/>
      <c r="D2734" s="3"/>
    </row>
    <row r="2735" spans="1:4">
      <c r="A2735" s="3"/>
      <c r="D2735" s="3"/>
    </row>
    <row r="2736" spans="1:4">
      <c r="A2736" s="3"/>
      <c r="D2736" s="3"/>
    </row>
    <row r="2737" spans="1:4">
      <c r="A2737" s="3"/>
      <c r="D2737" s="3"/>
    </row>
    <row r="2738" spans="1:4">
      <c r="A2738" s="3"/>
      <c r="D2738" s="3"/>
    </row>
    <row r="2739" spans="1:4">
      <c r="A2739" s="3"/>
      <c r="D2739" s="3"/>
    </row>
    <row r="2740" spans="1:4">
      <c r="A2740" s="3"/>
      <c r="D2740" s="3"/>
    </row>
    <row r="2741" spans="1:4">
      <c r="A2741" s="3"/>
      <c r="D2741" s="3"/>
    </row>
    <row r="2742" spans="1:4">
      <c r="A2742" s="3"/>
      <c r="D2742" s="3"/>
    </row>
    <row r="2743" spans="1:4">
      <c r="A2743" s="3"/>
      <c r="D2743" s="3"/>
    </row>
    <row r="2744" spans="1:4">
      <c r="A2744" s="3"/>
      <c r="D2744" s="3"/>
    </row>
    <row r="2745" spans="1:4">
      <c r="A2745" s="3"/>
      <c r="D2745" s="3"/>
    </row>
    <row r="2746" spans="1:4">
      <c r="A2746" s="3"/>
      <c r="D2746" s="3"/>
    </row>
    <row r="2747" spans="1:4">
      <c r="A2747" s="3"/>
      <c r="D2747" s="3"/>
    </row>
    <row r="2748" spans="1:4">
      <c r="A2748" s="3"/>
      <c r="D2748" s="3"/>
    </row>
    <row r="2749" spans="1:4">
      <c r="A2749" s="3"/>
      <c r="D2749" s="3"/>
    </row>
    <row r="2750" spans="1:4">
      <c r="A2750" s="3"/>
      <c r="D2750" s="3"/>
    </row>
    <row r="2751" spans="1:4">
      <c r="A2751" s="3"/>
      <c r="D2751" s="3"/>
    </row>
    <row r="2752" spans="1:4">
      <c r="A2752" s="3"/>
      <c r="D2752" s="3"/>
    </row>
    <row r="2753" spans="1:4">
      <c r="A2753" s="3"/>
      <c r="D2753" s="3"/>
    </row>
    <row r="2754" spans="1:4">
      <c r="A2754" s="3"/>
      <c r="D2754" s="3"/>
    </row>
    <row r="2755" spans="1:4">
      <c r="A2755" s="3"/>
      <c r="D2755" s="3"/>
    </row>
    <row r="2756" spans="1:4">
      <c r="A2756" s="3"/>
      <c r="D2756" s="3"/>
    </row>
    <row r="2757" spans="1:4">
      <c r="A2757" s="3"/>
      <c r="D2757" s="3"/>
    </row>
    <row r="2758" spans="1:4">
      <c r="A2758" s="3"/>
      <c r="D2758" s="3"/>
    </row>
    <row r="2759" spans="1:4">
      <c r="A2759" s="3"/>
      <c r="D2759" s="3"/>
    </row>
    <row r="2760" spans="1:4">
      <c r="A2760" s="3"/>
      <c r="D2760" s="3"/>
    </row>
    <row r="2761" spans="1:4">
      <c r="A2761" s="3"/>
      <c r="D2761" s="3"/>
    </row>
    <row r="2762" spans="1:4">
      <c r="A2762" s="3"/>
      <c r="D2762" s="3"/>
    </row>
    <row r="2763" spans="1:4">
      <c r="A2763" s="3"/>
      <c r="D2763" s="3"/>
    </row>
    <row r="2764" spans="1:4">
      <c r="A2764" s="3"/>
      <c r="D2764" s="3"/>
    </row>
    <row r="2765" spans="1:4">
      <c r="A2765" s="3"/>
      <c r="D2765" s="3"/>
    </row>
    <row r="2766" spans="1:4">
      <c r="A2766" s="3"/>
      <c r="D2766" s="3"/>
    </row>
    <row r="2767" spans="1:4">
      <c r="A2767" s="3"/>
      <c r="D2767" s="3"/>
    </row>
    <row r="2768" spans="1:4">
      <c r="A2768" s="3"/>
      <c r="D2768" s="3"/>
    </row>
    <row r="2769" spans="1:4">
      <c r="A2769" s="3"/>
      <c r="D2769" s="3"/>
    </row>
    <row r="2770" spans="1:4">
      <c r="A2770" s="3"/>
      <c r="D2770" s="3"/>
    </row>
    <row r="2771" spans="1:4">
      <c r="A2771" s="3"/>
      <c r="D2771" s="3"/>
    </row>
    <row r="2772" spans="1:4">
      <c r="A2772" s="3"/>
      <c r="D2772" s="3"/>
    </row>
    <row r="2773" spans="1:4">
      <c r="A2773" s="3"/>
      <c r="D2773" s="3"/>
    </row>
    <row r="2774" spans="1:4">
      <c r="A2774" s="3"/>
      <c r="D2774" s="3"/>
    </row>
    <row r="2775" spans="1:4">
      <c r="A2775" s="3"/>
      <c r="D2775" s="3"/>
    </row>
    <row r="2776" spans="1:4">
      <c r="A2776" s="3"/>
      <c r="D2776" s="3"/>
    </row>
    <row r="2777" spans="1:4">
      <c r="A2777" s="3"/>
      <c r="D2777" s="3"/>
    </row>
    <row r="2778" spans="1:4">
      <c r="A2778" s="3"/>
      <c r="D2778" s="3"/>
    </row>
    <row r="2779" spans="1:4">
      <c r="A2779" s="3"/>
      <c r="D2779" s="3"/>
    </row>
    <row r="2780" spans="1:4">
      <c r="A2780" s="3"/>
      <c r="D2780" s="3"/>
    </row>
    <row r="2781" spans="1:4">
      <c r="A2781" s="3"/>
      <c r="D2781" s="3"/>
    </row>
    <row r="2782" spans="1:4">
      <c r="A2782" s="3"/>
      <c r="D2782" s="3"/>
    </row>
    <row r="2783" spans="1:4">
      <c r="A2783" s="3"/>
      <c r="D2783" s="3"/>
    </row>
    <row r="2784" spans="1:4">
      <c r="A2784" s="3"/>
      <c r="D2784" s="3"/>
    </row>
    <row r="2785" spans="1:4">
      <c r="A2785" s="3"/>
      <c r="D2785" s="3"/>
    </row>
    <row r="2786" spans="1:4">
      <c r="A2786" s="3"/>
      <c r="D2786" s="3"/>
    </row>
    <row r="2787" spans="1:4">
      <c r="A2787" s="3"/>
      <c r="D2787" s="3"/>
    </row>
    <row r="2788" spans="1:4">
      <c r="A2788" s="3"/>
      <c r="D2788" s="3"/>
    </row>
    <row r="2789" spans="1:4">
      <c r="A2789" s="3"/>
      <c r="D2789" s="3"/>
    </row>
    <row r="2790" spans="1:4">
      <c r="A2790" s="3"/>
      <c r="D2790" s="3"/>
    </row>
    <row r="2791" spans="1:4">
      <c r="A2791" s="3"/>
      <c r="D2791" s="3"/>
    </row>
    <row r="2792" spans="1:4">
      <c r="A2792" s="3"/>
      <c r="D2792" s="3"/>
    </row>
    <row r="2793" spans="1:4">
      <c r="A2793" s="3"/>
      <c r="D2793" s="3"/>
    </row>
    <row r="2794" spans="1:4">
      <c r="A2794" s="3"/>
      <c r="D2794" s="3"/>
    </row>
    <row r="2795" spans="1:4">
      <c r="A2795" s="3"/>
      <c r="D2795" s="3"/>
    </row>
    <row r="2796" spans="1:4">
      <c r="A2796" s="3"/>
      <c r="D2796" s="3"/>
    </row>
    <row r="2797" spans="1:4">
      <c r="A2797" s="3"/>
      <c r="D2797" s="3"/>
    </row>
    <row r="2798" spans="1:4">
      <c r="A2798" s="3"/>
      <c r="D2798" s="3"/>
    </row>
    <row r="2799" spans="1:4">
      <c r="A2799" s="3"/>
      <c r="D2799" s="3"/>
    </row>
    <row r="2800" spans="1:4">
      <c r="A2800" s="3"/>
      <c r="D2800" s="3"/>
    </row>
    <row r="2801" spans="1:4">
      <c r="A2801" s="3"/>
      <c r="D2801" s="3"/>
    </row>
    <row r="2802" spans="1:4">
      <c r="A2802" s="3"/>
      <c r="D2802" s="3"/>
    </row>
    <row r="2803" spans="1:4">
      <c r="A2803" s="3"/>
      <c r="D2803" s="3"/>
    </row>
    <row r="2804" spans="1:4">
      <c r="A2804" s="3"/>
      <c r="D2804" s="3"/>
    </row>
    <row r="2805" spans="1:4">
      <c r="A2805" s="3"/>
      <c r="D2805" s="3"/>
    </row>
    <row r="2806" spans="1:4">
      <c r="A2806" s="3"/>
      <c r="D2806" s="3"/>
    </row>
    <row r="2807" spans="1:4">
      <c r="A2807" s="3"/>
      <c r="D2807" s="3"/>
    </row>
    <row r="2808" spans="1:4">
      <c r="A2808" s="3"/>
      <c r="D2808" s="3"/>
    </row>
    <row r="2809" spans="1:4">
      <c r="A2809" s="3"/>
      <c r="D2809" s="3"/>
    </row>
    <row r="2810" spans="1:4">
      <c r="A2810" s="3"/>
      <c r="D2810" s="3"/>
    </row>
    <row r="2811" spans="1:4">
      <c r="A2811" s="3"/>
      <c r="D2811" s="3"/>
    </row>
    <row r="2812" spans="1:4">
      <c r="A2812" s="3"/>
      <c r="D2812" s="3"/>
    </row>
    <row r="2813" spans="1:4">
      <c r="A2813" s="3"/>
      <c r="D2813" s="3"/>
    </row>
    <row r="2814" spans="1:4">
      <c r="A2814" s="3"/>
      <c r="D2814" s="3"/>
    </row>
    <row r="2815" spans="1:4">
      <c r="A2815" s="3"/>
      <c r="D2815" s="3"/>
    </row>
    <row r="2816" spans="1:4">
      <c r="A2816" s="3"/>
      <c r="D2816" s="3"/>
    </row>
    <row r="2817" spans="1:4">
      <c r="A2817" s="3"/>
      <c r="D2817" s="3"/>
    </row>
    <row r="2818" spans="1:4">
      <c r="A2818" s="3"/>
      <c r="D2818" s="3"/>
    </row>
    <row r="2819" spans="1:4">
      <c r="A2819" s="3"/>
      <c r="D2819" s="3"/>
    </row>
    <row r="2820" spans="1:4">
      <c r="A2820" s="3"/>
      <c r="D2820" s="3"/>
    </row>
    <row r="2821" spans="1:4">
      <c r="A2821" s="3"/>
      <c r="D2821" s="3"/>
    </row>
    <row r="2822" spans="1:4">
      <c r="A2822" s="3"/>
      <c r="D2822" s="3"/>
    </row>
    <row r="2823" spans="1:4">
      <c r="A2823" s="3"/>
      <c r="D2823" s="3"/>
    </row>
    <row r="2824" spans="1:4">
      <c r="A2824" s="3"/>
      <c r="D2824" s="3"/>
    </row>
    <row r="2825" spans="1:4">
      <c r="A2825" s="3"/>
      <c r="D2825" s="3"/>
    </row>
    <row r="2826" spans="1:4">
      <c r="A2826" s="3"/>
      <c r="D2826" s="3"/>
    </row>
    <row r="2827" spans="1:4">
      <c r="A2827" s="3"/>
      <c r="D2827" s="3"/>
    </row>
    <row r="2828" spans="1:4">
      <c r="A2828" s="3"/>
      <c r="D2828" s="3"/>
    </row>
    <row r="2829" spans="1:4">
      <c r="A2829" s="3"/>
      <c r="D2829" s="3"/>
    </row>
    <row r="2830" spans="1:4">
      <c r="A2830" s="3"/>
      <c r="D2830" s="3"/>
    </row>
    <row r="2831" spans="1:4">
      <c r="A2831" s="3"/>
      <c r="D2831" s="3"/>
    </row>
    <row r="2832" spans="1:4">
      <c r="A2832" s="3"/>
      <c r="D2832" s="3"/>
    </row>
    <row r="2833" spans="1:4">
      <c r="A2833" s="3"/>
      <c r="D2833" s="3"/>
    </row>
    <row r="2834" spans="1:4">
      <c r="A2834" s="3"/>
      <c r="D2834" s="3"/>
    </row>
    <row r="2835" spans="1:4">
      <c r="A2835" s="3"/>
      <c r="D2835" s="3"/>
    </row>
    <row r="2836" spans="1:4">
      <c r="A2836" s="3"/>
      <c r="D2836" s="3"/>
    </row>
    <row r="2837" spans="1:4">
      <c r="A2837" s="3"/>
      <c r="D2837" s="3"/>
    </row>
    <row r="2838" spans="1:4">
      <c r="A2838" s="3"/>
      <c r="D2838" s="3"/>
    </row>
    <row r="2839" spans="1:4">
      <c r="A2839" s="3"/>
      <c r="D2839" s="3"/>
    </row>
    <row r="2840" spans="1:4">
      <c r="A2840" s="3"/>
      <c r="D2840" s="3"/>
    </row>
    <row r="2841" spans="1:4">
      <c r="A2841" s="3"/>
      <c r="D2841" s="3"/>
    </row>
    <row r="2842" spans="1:4">
      <c r="A2842" s="3"/>
      <c r="D2842" s="3"/>
    </row>
    <row r="2843" spans="1:4">
      <c r="A2843" s="3"/>
      <c r="D2843" s="3"/>
    </row>
    <row r="2844" spans="1:4">
      <c r="A2844" s="3"/>
      <c r="D2844" s="3"/>
    </row>
    <row r="2845" spans="1:4">
      <c r="A2845" s="3"/>
      <c r="D2845" s="3"/>
    </row>
    <row r="2846" spans="1:4">
      <c r="A2846" s="3"/>
      <c r="D2846" s="3"/>
    </row>
    <row r="2847" spans="1:4">
      <c r="A2847" s="3"/>
      <c r="D2847" s="3"/>
    </row>
    <row r="2848" spans="1:4">
      <c r="A2848" s="3"/>
      <c r="D2848" s="3"/>
    </row>
    <row r="2849" spans="1:4">
      <c r="A2849" s="3"/>
      <c r="D2849" s="3"/>
    </row>
    <row r="2850" spans="1:4">
      <c r="A2850" s="3"/>
      <c r="D2850" s="3"/>
    </row>
    <row r="2851" spans="1:4">
      <c r="A2851" s="3"/>
      <c r="D2851" s="3"/>
    </row>
    <row r="2852" spans="1:4">
      <c r="A2852" s="3"/>
      <c r="D2852" s="3"/>
    </row>
    <row r="2853" spans="1:4">
      <c r="A2853" s="3"/>
      <c r="D2853" s="3"/>
    </row>
    <row r="2854" spans="1:4">
      <c r="A2854" s="3"/>
      <c r="D2854" s="3"/>
    </row>
    <row r="2855" spans="1:4">
      <c r="A2855" s="3"/>
      <c r="D2855" s="3"/>
    </row>
    <row r="2856" spans="1:4">
      <c r="A2856" s="3"/>
      <c r="D2856" s="3"/>
    </row>
    <row r="2857" spans="1:4">
      <c r="A2857" s="3"/>
      <c r="D2857" s="3"/>
    </row>
    <row r="2858" spans="1:4">
      <c r="A2858" s="3"/>
      <c r="D2858" s="3"/>
    </row>
    <row r="2859" spans="1:4">
      <c r="A2859" s="3"/>
      <c r="D2859" s="3"/>
    </row>
    <row r="2860" spans="1:4">
      <c r="A2860" s="3"/>
      <c r="D2860" s="3"/>
    </row>
    <row r="2861" spans="1:4">
      <c r="A2861" s="3"/>
      <c r="D2861" s="3"/>
    </row>
    <row r="2862" spans="1:4">
      <c r="A2862" s="3"/>
      <c r="D2862" s="3"/>
    </row>
    <row r="2863" spans="1:4">
      <c r="A2863" s="3"/>
      <c r="D2863" s="3"/>
    </row>
    <row r="2864" spans="1:4">
      <c r="A2864" s="3"/>
      <c r="D2864" s="3"/>
    </row>
    <row r="2865" spans="1:4">
      <c r="A2865" s="3"/>
      <c r="D2865" s="3"/>
    </row>
    <row r="2866" spans="1:4">
      <c r="A2866" s="3"/>
      <c r="D2866" s="3"/>
    </row>
    <row r="2867" spans="1:4">
      <c r="A2867" s="3"/>
      <c r="D2867" s="3"/>
    </row>
    <row r="2868" spans="1:4">
      <c r="A2868" s="3"/>
      <c r="D2868" s="3"/>
    </row>
    <row r="2869" spans="1:4">
      <c r="A2869" s="3"/>
      <c r="D2869" s="3"/>
    </row>
    <row r="2870" spans="1:4">
      <c r="A2870" s="3"/>
      <c r="D2870" s="3"/>
    </row>
    <row r="2871" spans="1:4">
      <c r="A2871" s="3"/>
      <c r="D2871" s="3"/>
    </row>
    <row r="2872" spans="1:4">
      <c r="A2872" s="3"/>
      <c r="D2872" s="3"/>
    </row>
    <row r="2873" spans="1:4">
      <c r="A2873" s="3"/>
      <c r="D2873" s="3"/>
    </row>
    <row r="2874" spans="1:4">
      <c r="A2874" s="3"/>
      <c r="D2874" s="3"/>
    </row>
    <row r="2875" spans="1:4">
      <c r="A2875" s="3"/>
      <c r="D2875" s="3"/>
    </row>
    <row r="2876" spans="1:4">
      <c r="A2876" s="3"/>
      <c r="D2876" s="3"/>
    </row>
    <row r="2877" spans="1:4">
      <c r="A2877" s="3"/>
      <c r="D2877" s="3"/>
    </row>
    <row r="2878" spans="1:4">
      <c r="A2878" s="3"/>
      <c r="D2878" s="3"/>
    </row>
    <row r="2879" spans="1:4">
      <c r="A2879" s="3"/>
      <c r="D2879" s="3"/>
    </row>
    <row r="2880" spans="1:4">
      <c r="A2880" s="3"/>
      <c r="D2880" s="3"/>
    </row>
    <row r="2881" spans="1:4">
      <c r="A2881" s="3"/>
      <c r="D2881" s="3"/>
    </row>
    <row r="2882" spans="1:4">
      <c r="A2882" s="3"/>
      <c r="D2882" s="3"/>
    </row>
    <row r="2883" spans="1:4">
      <c r="A2883" s="3"/>
      <c r="D2883" s="3"/>
    </row>
    <row r="2884" spans="1:4">
      <c r="A2884" s="3"/>
      <c r="D2884" s="3"/>
    </row>
    <row r="2885" spans="1:4">
      <c r="A2885" s="3"/>
      <c r="D2885" s="3"/>
    </row>
    <row r="2886" spans="1:4">
      <c r="A2886" s="3"/>
      <c r="D2886" s="3"/>
    </row>
    <row r="2887" spans="1:4">
      <c r="A2887" s="3"/>
      <c r="D2887" s="3"/>
    </row>
    <row r="2888" spans="1:4">
      <c r="A2888" s="3"/>
      <c r="D2888" s="3"/>
    </row>
    <row r="2889" spans="1:4">
      <c r="A2889" s="3"/>
      <c r="D2889" s="3"/>
    </row>
    <row r="2890" spans="1:4">
      <c r="A2890" s="3"/>
      <c r="D2890" s="3"/>
    </row>
    <row r="2891" spans="1:4">
      <c r="A2891" s="3"/>
      <c r="D2891" s="3"/>
    </row>
    <row r="2892" spans="1:4">
      <c r="A2892" s="3"/>
      <c r="D2892" s="3"/>
    </row>
    <row r="2893" spans="1:4">
      <c r="A2893" s="3"/>
      <c r="D2893" s="3"/>
    </row>
    <row r="2894" spans="1:4">
      <c r="A2894" s="3"/>
      <c r="D2894" s="3"/>
    </row>
    <row r="2895" spans="1:4">
      <c r="A2895" s="3"/>
      <c r="D2895" s="3"/>
    </row>
    <row r="2896" spans="1:4">
      <c r="A2896" s="3"/>
      <c r="D2896" s="3"/>
    </row>
    <row r="2897" spans="1:4">
      <c r="A2897" s="3"/>
      <c r="D2897" s="3"/>
    </row>
    <row r="2898" spans="1:4">
      <c r="A2898" s="3"/>
      <c r="D2898" s="3"/>
    </row>
    <row r="2899" spans="1:4">
      <c r="A2899" s="3"/>
      <c r="D2899" s="3"/>
    </row>
    <row r="2900" spans="1:4">
      <c r="A2900" s="3"/>
      <c r="D2900" s="3"/>
    </row>
    <row r="2901" spans="1:4">
      <c r="A2901" s="3"/>
      <c r="D2901" s="3"/>
    </row>
    <row r="2902" spans="1:4">
      <c r="A2902" s="3"/>
      <c r="D2902" s="3"/>
    </row>
    <row r="2903" spans="1:4">
      <c r="A2903" s="3"/>
      <c r="D2903" s="3"/>
    </row>
    <row r="2904" spans="1:4">
      <c r="A2904" s="3"/>
      <c r="D2904" s="3"/>
    </row>
    <row r="2905" spans="1:4">
      <c r="A2905" s="3"/>
      <c r="D2905" s="3"/>
    </row>
    <row r="2906" spans="1:4">
      <c r="A2906" s="3"/>
      <c r="D2906" s="3"/>
    </row>
    <row r="2907" spans="1:4">
      <c r="A2907" s="3"/>
      <c r="D2907" s="3"/>
    </row>
    <row r="2908" spans="1:4">
      <c r="A2908" s="3"/>
      <c r="D2908" s="3"/>
    </row>
    <row r="2909" spans="1:4">
      <c r="A2909" s="3"/>
      <c r="D2909" s="3"/>
    </row>
    <row r="2910" spans="1:4">
      <c r="A2910" s="3"/>
      <c r="D2910" s="3"/>
    </row>
    <row r="2911" spans="1:4">
      <c r="A2911" s="3"/>
      <c r="D2911" s="3"/>
    </row>
    <row r="2912" spans="1:4">
      <c r="A2912" s="3"/>
      <c r="D2912" s="3"/>
    </row>
    <row r="2913" spans="1:4">
      <c r="A2913" s="3"/>
      <c r="D2913" s="3"/>
    </row>
    <row r="2914" spans="1:4">
      <c r="A2914" s="3"/>
      <c r="D2914" s="3"/>
    </row>
    <row r="2915" spans="1:4">
      <c r="A2915" s="3"/>
      <c r="D2915" s="3"/>
    </row>
    <row r="2916" spans="1:4">
      <c r="A2916" s="3"/>
      <c r="D2916" s="3"/>
    </row>
    <row r="2917" spans="1:4">
      <c r="A2917" s="3"/>
      <c r="D2917" s="3"/>
    </row>
    <row r="2918" spans="1:4">
      <c r="A2918" s="3"/>
      <c r="D2918" s="3"/>
    </row>
    <row r="2919" spans="1:4">
      <c r="A2919" s="3"/>
      <c r="D2919" s="3"/>
    </row>
    <row r="2920" spans="1:4">
      <c r="A2920" s="3"/>
      <c r="D2920" s="3"/>
    </row>
    <row r="2921" spans="1:4">
      <c r="A2921" s="3"/>
      <c r="D2921" s="3"/>
    </row>
    <row r="2922" spans="1:4">
      <c r="A2922" s="3"/>
      <c r="D2922" s="3"/>
    </row>
    <row r="2923" spans="1:4">
      <c r="A2923" s="3"/>
      <c r="D2923" s="3"/>
    </row>
    <row r="2924" spans="1:4">
      <c r="A2924" s="3"/>
      <c r="D2924" s="3"/>
    </row>
    <row r="2925" spans="1:4">
      <c r="A2925" s="3"/>
      <c r="D2925" s="3"/>
    </row>
    <row r="2926" spans="1:4">
      <c r="A2926" s="3"/>
      <c r="D2926" s="3"/>
    </row>
    <row r="2927" spans="1:4">
      <c r="A2927" s="3"/>
      <c r="D2927" s="3"/>
    </row>
    <row r="2928" spans="1:4">
      <c r="A2928" s="3"/>
      <c r="D2928" s="3"/>
    </row>
    <row r="2929" spans="1:4">
      <c r="A2929" s="3"/>
      <c r="D2929" s="3"/>
    </row>
    <row r="2930" spans="1:4">
      <c r="A2930" s="3"/>
      <c r="D2930" s="3"/>
    </row>
    <row r="2931" spans="1:4">
      <c r="A2931" s="3"/>
      <c r="D2931" s="3"/>
    </row>
    <row r="2932" spans="1:4">
      <c r="A2932" s="3"/>
      <c r="D2932" s="3"/>
    </row>
    <row r="2933" spans="1:4">
      <c r="A2933" s="3"/>
      <c r="D2933" s="3"/>
    </row>
    <row r="2934" spans="1:4">
      <c r="A2934" s="3"/>
      <c r="D2934" s="3"/>
    </row>
    <row r="2935" spans="1:4">
      <c r="A2935" s="3"/>
      <c r="D2935" s="3"/>
    </row>
    <row r="2936" spans="1:4">
      <c r="A2936" s="3"/>
      <c r="D2936" s="3"/>
    </row>
    <row r="2937" spans="1:4">
      <c r="A2937" s="3"/>
      <c r="D2937" s="3"/>
    </row>
    <row r="2938" spans="1:4">
      <c r="A2938" s="3"/>
      <c r="D2938" s="3"/>
    </row>
    <row r="2939" spans="1:4">
      <c r="A2939" s="3"/>
      <c r="D2939" s="3"/>
    </row>
    <row r="2940" spans="1:4">
      <c r="A2940" s="3"/>
      <c r="D2940" s="3"/>
    </row>
    <row r="2941" spans="1:4">
      <c r="A2941" s="3"/>
      <c r="D2941" s="3"/>
    </row>
    <row r="2942" spans="1:4">
      <c r="A2942" s="3"/>
      <c r="D2942" s="3"/>
    </row>
    <row r="2943" spans="1:4">
      <c r="A2943" s="3"/>
      <c r="D2943" s="3"/>
    </row>
    <row r="2944" spans="1:4">
      <c r="A2944" s="3"/>
      <c r="D2944" s="3"/>
    </row>
    <row r="2945" spans="1:4">
      <c r="A2945" s="3"/>
      <c r="D2945" s="3"/>
    </row>
    <row r="2946" spans="1:4">
      <c r="A2946" s="3"/>
      <c r="D2946" s="3"/>
    </row>
    <row r="2947" spans="1:4">
      <c r="A2947" s="3"/>
      <c r="D2947" s="3"/>
    </row>
    <row r="2948" spans="1:4">
      <c r="A2948" s="3"/>
      <c r="D2948" s="3"/>
    </row>
    <row r="2949" spans="1:4">
      <c r="A2949" s="3"/>
      <c r="D2949" s="3"/>
    </row>
    <row r="2950" spans="1:4">
      <c r="A2950" s="3"/>
      <c r="D2950" s="3"/>
    </row>
    <row r="2951" spans="1:4">
      <c r="A2951" s="3"/>
      <c r="D2951" s="3"/>
    </row>
    <row r="2952" spans="1:4">
      <c r="A2952" s="3"/>
      <c r="D2952" s="3"/>
    </row>
    <row r="2953" spans="1:4">
      <c r="A2953" s="3"/>
      <c r="D2953" s="3"/>
    </row>
    <row r="2954" spans="1:4">
      <c r="A2954" s="3"/>
      <c r="D2954" s="3"/>
    </row>
    <row r="2955" spans="1:4">
      <c r="A2955" s="3"/>
      <c r="D2955" s="3"/>
    </row>
    <row r="2956" spans="1:4">
      <c r="A2956" s="3"/>
      <c r="D2956" s="3"/>
    </row>
    <row r="2957" spans="1:4">
      <c r="A2957" s="3"/>
      <c r="D2957" s="3"/>
    </row>
    <row r="2958" spans="1:4">
      <c r="A2958" s="3"/>
      <c r="D2958" s="3"/>
    </row>
    <row r="2959" spans="1:4">
      <c r="A2959" s="3"/>
      <c r="D2959" s="3"/>
    </row>
    <row r="2960" spans="1:4">
      <c r="A2960" s="3"/>
      <c r="D2960" s="3"/>
    </row>
    <row r="2961" spans="1:4">
      <c r="A2961" s="3"/>
      <c r="D2961" s="3"/>
    </row>
    <row r="2962" spans="1:4">
      <c r="A2962" s="3"/>
      <c r="D2962" s="3"/>
    </row>
    <row r="2963" spans="1:4">
      <c r="A2963" s="3"/>
      <c r="D2963" s="3"/>
    </row>
    <row r="2964" spans="1:4">
      <c r="A2964" s="3"/>
      <c r="D2964" s="3"/>
    </row>
    <row r="2965" spans="1:4">
      <c r="A2965" s="3"/>
      <c r="D2965" s="3"/>
    </row>
    <row r="2966" spans="1:4">
      <c r="A2966" s="3"/>
      <c r="D2966" s="3"/>
    </row>
    <row r="2967" spans="1:4">
      <c r="A2967" s="3"/>
      <c r="D2967" s="3"/>
    </row>
    <row r="2968" spans="1:4">
      <c r="A2968" s="3"/>
      <c r="D2968" s="3"/>
    </row>
    <row r="2969" spans="1:4">
      <c r="A2969" s="3"/>
      <c r="D2969" s="3"/>
    </row>
    <row r="2970" spans="1:4">
      <c r="A2970" s="3"/>
      <c r="D2970" s="3"/>
    </row>
    <row r="2971" spans="1:4">
      <c r="A2971" s="3"/>
      <c r="D2971" s="3"/>
    </row>
    <row r="2972" spans="1:4">
      <c r="A2972" s="3"/>
      <c r="D2972" s="3"/>
    </row>
    <row r="2973" spans="1:4">
      <c r="A2973" s="3"/>
      <c r="D2973" s="3"/>
    </row>
    <row r="2974" spans="1:4">
      <c r="A2974" s="3"/>
      <c r="D2974" s="3"/>
    </row>
    <row r="2975" spans="1:4">
      <c r="A2975" s="3"/>
      <c r="D2975" s="3"/>
    </row>
    <row r="2976" spans="1:4">
      <c r="A2976" s="3"/>
      <c r="D2976" s="3"/>
    </row>
    <row r="2977" spans="1:4">
      <c r="A2977" s="3"/>
      <c r="D2977" s="3"/>
    </row>
    <row r="2978" spans="1:4">
      <c r="A2978" s="3"/>
      <c r="D2978" s="3"/>
    </row>
    <row r="2979" spans="1:4">
      <c r="A2979" s="3"/>
      <c r="D2979" s="3"/>
    </row>
    <row r="2980" spans="1:4">
      <c r="A2980" s="3"/>
      <c r="D2980" s="3"/>
    </row>
    <row r="2981" spans="1:4">
      <c r="A2981" s="3"/>
      <c r="D2981" s="3"/>
    </row>
    <row r="2982" spans="1:4">
      <c r="A2982" s="3"/>
      <c r="D2982" s="3"/>
    </row>
    <row r="2983" spans="1:4">
      <c r="A2983" s="3"/>
      <c r="D2983" s="3"/>
    </row>
    <row r="2984" spans="1:4">
      <c r="A2984" s="3"/>
      <c r="D2984" s="3"/>
    </row>
    <row r="2985" spans="1:4">
      <c r="A2985" s="3"/>
      <c r="D2985" s="3"/>
    </row>
    <row r="2986" spans="1:4">
      <c r="A2986" s="3"/>
      <c r="D2986" s="3"/>
    </row>
    <row r="2987" spans="1:4">
      <c r="A2987" s="3"/>
      <c r="D2987" s="3"/>
    </row>
    <row r="2988" spans="1:4">
      <c r="A2988" s="3"/>
      <c r="D2988" s="3"/>
    </row>
    <row r="2989" spans="1:4">
      <c r="A2989" s="3"/>
      <c r="D2989" s="3"/>
    </row>
    <row r="2990" spans="1:4">
      <c r="A2990" s="3"/>
      <c r="D2990" s="3"/>
    </row>
    <row r="2991" spans="1:4">
      <c r="A2991" s="3"/>
      <c r="D2991" s="3"/>
    </row>
    <row r="2992" spans="1:4">
      <c r="A2992" s="3"/>
      <c r="D2992" s="3"/>
    </row>
    <row r="2993" spans="1:4">
      <c r="A2993" s="3"/>
      <c r="D2993" s="3"/>
    </row>
    <row r="2994" spans="1:4">
      <c r="A2994" s="3"/>
      <c r="D2994" s="3"/>
    </row>
    <row r="2995" spans="1:4">
      <c r="A2995" s="3"/>
      <c r="D2995" s="3"/>
    </row>
    <row r="2996" spans="1:4">
      <c r="A2996" s="3"/>
      <c r="D2996" s="3"/>
    </row>
    <row r="2997" spans="1:4">
      <c r="A2997" s="3"/>
      <c r="D2997" s="3"/>
    </row>
    <row r="2998" spans="1:4">
      <c r="A2998" s="3"/>
      <c r="D2998" s="3"/>
    </row>
    <row r="2999" spans="1:4">
      <c r="A2999" s="3"/>
      <c r="D2999" s="3"/>
    </row>
    <row r="3000" spans="1:4">
      <c r="A3000" s="3"/>
      <c r="D3000" s="3"/>
    </row>
    <row r="3001" spans="1:4">
      <c r="A3001" s="3"/>
      <c r="D3001" s="3"/>
    </row>
    <row r="3002" spans="1:4">
      <c r="A3002" s="3"/>
      <c r="D3002" s="3"/>
    </row>
    <row r="3003" spans="1:4">
      <c r="A3003" s="3"/>
      <c r="D3003" s="3"/>
    </row>
    <row r="3004" spans="1:4">
      <c r="A3004" s="3"/>
      <c r="D3004" s="3"/>
    </row>
    <row r="3005" spans="1:4">
      <c r="A3005" s="3"/>
      <c r="D3005" s="3"/>
    </row>
    <row r="3006" spans="1:4">
      <c r="A3006" s="3"/>
      <c r="D3006" s="3"/>
    </row>
    <row r="3007" spans="1:4">
      <c r="A3007" s="3"/>
      <c r="D3007" s="3"/>
    </row>
    <row r="3008" spans="1:4">
      <c r="A3008" s="3"/>
      <c r="D3008" s="3"/>
    </row>
    <row r="3009" spans="1:4">
      <c r="A3009" s="3"/>
      <c r="D3009" s="3"/>
    </row>
    <row r="3010" spans="1:4">
      <c r="A3010" s="3"/>
      <c r="D3010" s="3"/>
    </row>
    <row r="3011" spans="1:4">
      <c r="A3011" s="3"/>
      <c r="D3011" s="3"/>
    </row>
    <row r="3012" spans="1:4">
      <c r="A3012" s="3"/>
      <c r="D3012" s="3"/>
    </row>
    <row r="3013" spans="1:4">
      <c r="A3013" s="3"/>
      <c r="D3013" s="3"/>
    </row>
    <row r="3014" spans="1:4">
      <c r="A3014" s="3"/>
      <c r="D3014" s="3"/>
    </row>
    <row r="3015" spans="1:4">
      <c r="A3015" s="3"/>
      <c r="D3015" s="3"/>
    </row>
    <row r="3016" spans="1:4">
      <c r="A3016" s="3"/>
      <c r="D3016" s="3"/>
    </row>
    <row r="3017" spans="1:4">
      <c r="A3017" s="3"/>
      <c r="D3017" s="3"/>
    </row>
    <row r="3018" spans="1:4">
      <c r="A3018" s="3"/>
      <c r="D3018" s="3"/>
    </row>
    <row r="3019" spans="1:4">
      <c r="A3019" s="3"/>
      <c r="D3019" s="3"/>
    </row>
    <row r="3020" spans="1:4">
      <c r="A3020" s="3"/>
      <c r="D3020" s="3"/>
    </row>
    <row r="3021" spans="1:4">
      <c r="A3021" s="3"/>
      <c r="D3021" s="3"/>
    </row>
    <row r="3022" spans="1:4">
      <c r="A3022" s="3"/>
      <c r="D3022" s="3"/>
    </row>
    <row r="3023" spans="1:4">
      <c r="A3023" s="3"/>
      <c r="D3023" s="3"/>
    </row>
    <row r="3024" spans="1:4">
      <c r="A3024" s="3"/>
      <c r="D3024" s="3"/>
    </row>
    <row r="3025" spans="1:4">
      <c r="A3025" s="3"/>
      <c r="D3025" s="3"/>
    </row>
    <row r="3026" spans="1:4">
      <c r="A3026" s="3"/>
      <c r="D3026" s="3"/>
    </row>
    <row r="3027" spans="1:4">
      <c r="A3027" s="3"/>
      <c r="D3027" s="3"/>
    </row>
    <row r="3028" spans="1:4">
      <c r="A3028" s="3"/>
      <c r="D3028" s="3"/>
    </row>
    <row r="3029" spans="1:4">
      <c r="A3029" s="3"/>
      <c r="D3029" s="3"/>
    </row>
    <row r="3030" spans="1:4">
      <c r="A3030" s="3"/>
      <c r="D3030" s="3"/>
    </row>
    <row r="3031" spans="1:4">
      <c r="A3031" s="3"/>
      <c r="D3031" s="3"/>
    </row>
    <row r="3032" spans="1:4">
      <c r="A3032" s="3"/>
      <c r="D3032" s="3"/>
    </row>
    <row r="3033" spans="1:4">
      <c r="A3033" s="3"/>
      <c r="D3033" s="3"/>
    </row>
    <row r="3034" spans="1:4">
      <c r="A3034" s="3"/>
      <c r="D3034" s="3"/>
    </row>
    <row r="3035" spans="1:4">
      <c r="A3035" s="3"/>
      <c r="D3035" s="3"/>
    </row>
    <row r="3036" spans="1:4">
      <c r="A3036" s="3"/>
      <c r="D3036" s="3"/>
    </row>
    <row r="3037" spans="1:4">
      <c r="A3037" s="3"/>
      <c r="D3037" s="3"/>
    </row>
    <row r="3038" spans="1:4">
      <c r="A3038" s="3"/>
      <c r="D3038" s="3"/>
    </row>
    <row r="3039" spans="1:4">
      <c r="A3039" s="3"/>
      <c r="D3039" s="3"/>
    </row>
    <row r="3040" spans="1:4">
      <c r="A3040" s="3"/>
      <c r="D3040" s="3"/>
    </row>
    <row r="3041" spans="1:4">
      <c r="A3041" s="3"/>
      <c r="D3041" s="3"/>
    </row>
    <row r="3042" spans="1:4">
      <c r="A3042" s="3"/>
      <c r="D3042" s="3"/>
    </row>
    <row r="3043" spans="1:4">
      <c r="A3043" s="3"/>
      <c r="D3043" s="3"/>
    </row>
    <row r="3044" spans="1:4">
      <c r="A3044" s="3"/>
      <c r="D3044" s="3"/>
    </row>
    <row r="3045" spans="1:4">
      <c r="A3045" s="3"/>
      <c r="D3045" s="3"/>
    </row>
    <row r="3046" spans="1:4">
      <c r="A3046" s="3"/>
      <c r="D3046" s="3"/>
    </row>
    <row r="3047" spans="1:4">
      <c r="A3047" s="3"/>
      <c r="D3047" s="3"/>
    </row>
    <row r="3048" spans="1:4">
      <c r="A3048" s="3"/>
      <c r="D3048" s="3"/>
    </row>
    <row r="3049" spans="1:4">
      <c r="A3049" s="3"/>
      <c r="D3049" s="3"/>
    </row>
    <row r="3050" spans="1:4">
      <c r="A3050" s="3"/>
      <c r="D3050" s="3"/>
    </row>
    <row r="3051" spans="1:4">
      <c r="A3051" s="3"/>
      <c r="D3051" s="3"/>
    </row>
    <row r="3052" spans="1:4">
      <c r="A3052" s="3"/>
      <c r="D3052" s="3"/>
    </row>
    <row r="3053" spans="1:4">
      <c r="A3053" s="3"/>
      <c r="D3053" s="3"/>
    </row>
    <row r="3054" spans="1:4">
      <c r="A3054" s="3"/>
      <c r="D3054" s="3"/>
    </row>
    <row r="3055" spans="1:4">
      <c r="A3055" s="3"/>
      <c r="D3055" s="3"/>
    </row>
    <row r="3056" spans="1:4">
      <c r="A3056" s="3"/>
      <c r="D3056" s="3"/>
    </row>
    <row r="3057" spans="1:4">
      <c r="A3057" s="3"/>
      <c r="D3057" s="3"/>
    </row>
    <row r="3058" spans="1:4">
      <c r="A3058" s="3"/>
      <c r="D3058" s="3"/>
    </row>
    <row r="3059" spans="1:4">
      <c r="A3059" s="3"/>
      <c r="D3059" s="3"/>
    </row>
    <row r="3060" spans="1:4">
      <c r="A3060" s="3"/>
      <c r="D3060" s="3"/>
    </row>
    <row r="3061" spans="1:4">
      <c r="A3061" s="3"/>
      <c r="D3061" s="3"/>
    </row>
    <row r="3062" spans="1:4">
      <c r="A3062" s="3"/>
      <c r="D3062" s="3"/>
    </row>
    <row r="3063" spans="1:4">
      <c r="A3063" s="3"/>
      <c r="D3063" s="3"/>
    </row>
    <row r="3064" spans="1:4">
      <c r="A3064" s="3"/>
      <c r="D3064" s="3"/>
    </row>
    <row r="3065" spans="1:4">
      <c r="A3065" s="3"/>
      <c r="D3065" s="3"/>
    </row>
    <row r="3066" spans="1:4">
      <c r="A3066" s="3"/>
      <c r="D3066" s="3"/>
    </row>
    <row r="3067" spans="1:4">
      <c r="A3067" s="3"/>
      <c r="D3067" s="3"/>
    </row>
    <row r="3068" spans="1:4">
      <c r="A3068" s="3"/>
      <c r="D3068" s="3"/>
    </row>
    <row r="3069" spans="1:4">
      <c r="A3069" s="3"/>
      <c r="D3069" s="3"/>
    </row>
    <row r="3070" spans="1:4">
      <c r="A3070" s="3"/>
      <c r="D3070" s="3"/>
    </row>
    <row r="3071" spans="1:4">
      <c r="A3071" s="3"/>
      <c r="D3071" s="3"/>
    </row>
    <row r="3072" spans="1:4">
      <c r="A3072" s="3"/>
      <c r="D3072" s="3"/>
    </row>
    <row r="3073" spans="1:4">
      <c r="A3073" s="3"/>
      <c r="D3073" s="3"/>
    </row>
    <row r="3074" spans="1:4">
      <c r="A3074" s="3"/>
      <c r="D3074" s="3"/>
    </row>
    <row r="3075" spans="1:4">
      <c r="A3075" s="3"/>
      <c r="D3075" s="3"/>
    </row>
    <row r="3076" spans="1:4">
      <c r="A3076" s="3"/>
      <c r="D3076" s="3"/>
    </row>
    <row r="3077" spans="1:4">
      <c r="A3077" s="3"/>
      <c r="D3077" s="3"/>
    </row>
    <row r="3078" spans="1:4">
      <c r="A3078" s="3"/>
      <c r="D3078" s="3"/>
    </row>
    <row r="3079" spans="1:4">
      <c r="A3079" s="3"/>
      <c r="D3079" s="3"/>
    </row>
    <row r="3080" spans="1:4">
      <c r="A3080" s="3"/>
      <c r="D3080" s="3"/>
    </row>
    <row r="3081" spans="1:4">
      <c r="A3081" s="3"/>
      <c r="D3081" s="3"/>
    </row>
    <row r="3082" spans="1:4">
      <c r="A3082" s="3"/>
      <c r="D3082" s="3"/>
    </row>
    <row r="3083" spans="1:4">
      <c r="A3083" s="3"/>
      <c r="D3083" s="3"/>
    </row>
    <row r="3084" spans="1:4">
      <c r="A3084" s="3"/>
      <c r="D3084" s="3"/>
    </row>
    <row r="3085" spans="1:4">
      <c r="A3085" s="3"/>
      <c r="D3085" s="3"/>
    </row>
    <row r="3086" spans="1:4">
      <c r="A3086" s="3"/>
      <c r="D3086" s="3"/>
    </row>
    <row r="3087" spans="1:4">
      <c r="A3087" s="3"/>
      <c r="D3087" s="3"/>
    </row>
    <row r="3088" spans="1:4">
      <c r="A3088" s="3"/>
      <c r="D3088" s="3"/>
    </row>
    <row r="3089" spans="1:4">
      <c r="A3089" s="3"/>
      <c r="D3089" s="3"/>
    </row>
    <row r="3090" spans="1:4">
      <c r="A3090" s="3"/>
      <c r="D3090" s="3"/>
    </row>
    <row r="3091" spans="1:4">
      <c r="A3091" s="3"/>
      <c r="D3091" s="3"/>
    </row>
    <row r="3092" spans="1:4">
      <c r="A3092" s="3"/>
      <c r="D3092" s="3"/>
    </row>
    <row r="3093" spans="1:4">
      <c r="A3093" s="3"/>
      <c r="D3093" s="3"/>
    </row>
    <row r="3094" spans="1:4">
      <c r="A3094" s="3"/>
      <c r="D3094" s="3"/>
    </row>
    <row r="3095" spans="1:4">
      <c r="A3095" s="3"/>
      <c r="D3095" s="3"/>
    </row>
    <row r="3096" spans="1:4">
      <c r="A3096" s="3"/>
      <c r="D3096" s="3"/>
    </row>
    <row r="3097" spans="1:4">
      <c r="A3097" s="3"/>
      <c r="D3097" s="3"/>
    </row>
    <row r="3098" spans="1:4">
      <c r="A3098" s="3"/>
      <c r="D3098" s="3"/>
    </row>
    <row r="3099" spans="1:4">
      <c r="A3099" s="3"/>
      <c r="D3099" s="3"/>
    </row>
    <row r="3100" spans="1:4">
      <c r="A3100" s="3"/>
      <c r="D3100" s="3"/>
    </row>
    <row r="3101" spans="1:4">
      <c r="A3101" s="3"/>
      <c r="D3101" s="3"/>
    </row>
    <row r="3102" spans="1:4">
      <c r="A3102" s="3"/>
      <c r="D3102" s="3"/>
    </row>
    <row r="3103" spans="1:4">
      <c r="A3103" s="3"/>
      <c r="D3103" s="3"/>
    </row>
    <row r="3104" spans="1:4">
      <c r="A3104" s="3"/>
      <c r="D3104" s="3"/>
    </row>
    <row r="3105" spans="1:4">
      <c r="A3105" s="3"/>
      <c r="D3105" s="3"/>
    </row>
    <row r="3106" spans="1:4">
      <c r="A3106" s="3"/>
      <c r="D3106" s="3"/>
    </row>
    <row r="3107" spans="1:4">
      <c r="A3107" s="3"/>
      <c r="D3107" s="3"/>
    </row>
    <row r="3108" spans="1:4">
      <c r="A3108" s="3"/>
      <c r="D3108" s="3"/>
    </row>
    <row r="3109" spans="1:4">
      <c r="A3109" s="3"/>
      <c r="D3109" s="3"/>
    </row>
    <row r="3110" spans="1:4">
      <c r="A3110" s="3"/>
      <c r="D3110" s="3"/>
    </row>
    <row r="3111" spans="1:4">
      <c r="A3111" s="3"/>
      <c r="D3111" s="3"/>
    </row>
    <row r="3112" spans="1:4">
      <c r="A3112" s="3"/>
      <c r="D3112" s="3"/>
    </row>
    <row r="3113" spans="1:4">
      <c r="A3113" s="3"/>
      <c r="D3113" s="3"/>
    </row>
    <row r="3114" spans="1:4">
      <c r="A3114" s="3"/>
      <c r="D3114" s="3"/>
    </row>
    <row r="3115" spans="1:4">
      <c r="A3115" s="3"/>
      <c r="D3115" s="3"/>
    </row>
    <row r="3116" spans="1:4">
      <c r="A3116" s="3"/>
      <c r="D3116" s="3"/>
    </row>
    <row r="3117" spans="1:4">
      <c r="A3117" s="3"/>
      <c r="D3117" s="3"/>
    </row>
    <row r="3118" spans="1:4">
      <c r="A3118" s="3"/>
      <c r="D3118" s="3"/>
    </row>
    <row r="3119" spans="1:4">
      <c r="A3119" s="3"/>
      <c r="D3119" s="3"/>
    </row>
    <row r="3120" spans="1:4">
      <c r="A3120" s="3"/>
      <c r="D3120" s="3"/>
    </row>
    <row r="3121" spans="1:4">
      <c r="A3121" s="3"/>
      <c r="D3121" s="3"/>
    </row>
    <row r="3122" spans="1:4">
      <c r="A3122" s="3"/>
      <c r="D3122" s="3"/>
    </row>
    <row r="3123" spans="1:4">
      <c r="A3123" s="3"/>
      <c r="D3123" s="3"/>
    </row>
    <row r="3124" spans="1:4">
      <c r="A3124" s="3"/>
      <c r="D3124" s="3"/>
    </row>
    <row r="3125" spans="1:4">
      <c r="A3125" s="3"/>
      <c r="D3125" s="3"/>
    </row>
    <row r="3126" spans="1:4">
      <c r="A3126" s="3"/>
      <c r="D3126" s="3"/>
    </row>
    <row r="3127" spans="1:4">
      <c r="A3127" s="3"/>
      <c r="D3127" s="3"/>
    </row>
    <row r="3128" spans="1:4">
      <c r="A3128" s="3"/>
      <c r="D3128" s="3"/>
    </row>
    <row r="3129" spans="1:4">
      <c r="A3129" s="3"/>
      <c r="D3129" s="3"/>
    </row>
    <row r="3130" spans="1:4">
      <c r="A3130" s="3"/>
      <c r="D3130" s="3"/>
    </row>
    <row r="3131" spans="1:4">
      <c r="A3131" s="3"/>
      <c r="D3131" s="3"/>
    </row>
    <row r="3132" spans="1:4">
      <c r="A3132" s="3"/>
      <c r="D3132" s="3"/>
    </row>
    <row r="3133" spans="1:4">
      <c r="A3133" s="3"/>
      <c r="D3133" s="3"/>
    </row>
    <row r="3134" spans="1:4">
      <c r="A3134" s="3"/>
      <c r="D3134" s="3"/>
    </row>
    <row r="3135" spans="1:4">
      <c r="A3135" s="3"/>
      <c r="D3135" s="3"/>
    </row>
    <row r="3136" spans="1:4">
      <c r="A3136" s="3"/>
      <c r="D3136" s="3"/>
    </row>
    <row r="3137" spans="1:4">
      <c r="A3137" s="3"/>
      <c r="D3137" s="3"/>
    </row>
    <row r="3138" spans="1:4">
      <c r="A3138" s="3"/>
      <c r="D3138" s="3"/>
    </row>
    <row r="3139" spans="1:4">
      <c r="A3139" s="3"/>
      <c r="D3139" s="3"/>
    </row>
    <row r="3140" spans="1:4">
      <c r="A3140" s="3"/>
      <c r="D3140" s="3"/>
    </row>
    <row r="3141" spans="1:4">
      <c r="A3141" s="3"/>
      <c r="D3141" s="3"/>
    </row>
    <row r="3142" spans="1:4">
      <c r="A3142" s="3"/>
      <c r="D3142" s="3"/>
    </row>
    <row r="3143" spans="1:4">
      <c r="A3143" s="3"/>
      <c r="D3143" s="3"/>
    </row>
    <row r="3144" spans="1:4">
      <c r="A3144" s="3"/>
      <c r="D3144" s="3"/>
    </row>
    <row r="3145" spans="1:4">
      <c r="A3145" s="3"/>
      <c r="D3145" s="3"/>
    </row>
    <row r="3146" spans="1:4">
      <c r="A3146" s="3"/>
      <c r="D3146" s="3"/>
    </row>
    <row r="3147" spans="1:4">
      <c r="A3147" s="3"/>
      <c r="D3147" s="3"/>
    </row>
    <row r="3148" spans="1:4">
      <c r="A3148" s="3"/>
      <c r="D3148" s="3"/>
    </row>
    <row r="3149" spans="1:4">
      <c r="A3149" s="3"/>
      <c r="D3149" s="3"/>
    </row>
    <row r="3150" spans="1:4">
      <c r="A3150" s="3"/>
      <c r="D3150" s="3"/>
    </row>
    <row r="3151" spans="1:4">
      <c r="A3151" s="3"/>
      <c r="D3151" s="3"/>
    </row>
    <row r="3152" spans="1:4">
      <c r="A3152" s="3"/>
      <c r="D3152" s="3"/>
    </row>
    <row r="3153" spans="1:4">
      <c r="A3153" s="3"/>
      <c r="D3153" s="3"/>
    </row>
    <row r="3154" spans="1:4">
      <c r="A3154" s="3"/>
      <c r="D3154" s="3"/>
    </row>
    <row r="3155" spans="1:4">
      <c r="A3155" s="3"/>
      <c r="D3155" s="3"/>
    </row>
    <row r="3156" spans="1:4">
      <c r="A3156" s="3"/>
      <c r="D3156" s="3"/>
    </row>
    <row r="3157" spans="1:4">
      <c r="A3157" s="3"/>
      <c r="D3157" s="3"/>
    </row>
    <row r="3158" spans="1:4">
      <c r="A3158" s="3"/>
      <c r="D3158" s="3"/>
    </row>
    <row r="3159" spans="1:4">
      <c r="A3159" s="3"/>
      <c r="D3159" s="3"/>
    </row>
    <row r="3160" spans="1:4">
      <c r="A3160" s="3"/>
      <c r="D3160" s="3"/>
    </row>
    <row r="3161" spans="1:4">
      <c r="A3161" s="3"/>
      <c r="D3161" s="3"/>
    </row>
    <row r="3162" spans="1:4">
      <c r="A3162" s="3"/>
      <c r="D3162" s="3"/>
    </row>
    <row r="3163" spans="1:4">
      <c r="A3163" s="3"/>
      <c r="D3163" s="3"/>
    </row>
    <row r="3164" spans="1:4">
      <c r="A3164" s="3"/>
      <c r="D3164" s="3"/>
    </row>
    <row r="3165" spans="1:4">
      <c r="A3165" s="3"/>
      <c r="D3165" s="3"/>
    </row>
    <row r="3166" spans="1:4">
      <c r="A3166" s="3"/>
      <c r="D3166" s="3"/>
    </row>
    <row r="3167" spans="1:4">
      <c r="A3167" s="3"/>
      <c r="D3167" s="3"/>
    </row>
    <row r="3168" spans="1:4">
      <c r="A3168" s="3"/>
      <c r="D3168" s="3"/>
    </row>
    <row r="3169" spans="1:4">
      <c r="A3169" s="3"/>
      <c r="D3169" s="3"/>
    </row>
    <row r="3170" spans="1:4">
      <c r="A3170" s="3"/>
      <c r="D3170" s="3"/>
    </row>
    <row r="3171" spans="1:4">
      <c r="A3171" s="3"/>
      <c r="D3171" s="3"/>
    </row>
    <row r="3172" spans="1:4">
      <c r="A3172" s="3"/>
      <c r="D3172" s="3"/>
    </row>
    <row r="3173" spans="1:4">
      <c r="A3173" s="3"/>
      <c r="D3173" s="3"/>
    </row>
    <row r="3174" spans="1:4">
      <c r="A3174" s="3"/>
      <c r="D3174" s="3"/>
    </row>
    <row r="3175" spans="1:4">
      <c r="A3175" s="3"/>
      <c r="D3175" s="3"/>
    </row>
    <row r="3176" spans="1:4">
      <c r="A3176" s="3"/>
      <c r="D3176" s="3"/>
    </row>
    <row r="3177" spans="1:4">
      <c r="A3177" s="3"/>
      <c r="D3177" s="3"/>
    </row>
    <row r="3178" spans="1:4">
      <c r="A3178" s="3"/>
      <c r="D3178" s="3"/>
    </row>
    <row r="3179" spans="1:4">
      <c r="A3179" s="3"/>
      <c r="D3179" s="3"/>
    </row>
    <row r="3180" spans="1:4">
      <c r="A3180" s="3"/>
      <c r="D3180" s="3"/>
    </row>
    <row r="3181" spans="1:4">
      <c r="A3181" s="3"/>
      <c r="D3181" s="3"/>
    </row>
    <row r="3182" spans="1:4">
      <c r="A3182" s="3"/>
      <c r="D3182" s="3"/>
    </row>
    <row r="3183" spans="1:4">
      <c r="A3183" s="3"/>
      <c r="D3183" s="3"/>
    </row>
    <row r="3184" spans="1:4">
      <c r="A3184" s="3"/>
      <c r="D3184" s="3"/>
    </row>
    <row r="3185" spans="1:4">
      <c r="A3185" s="3"/>
      <c r="D3185" s="3"/>
    </row>
    <row r="3186" spans="1:4">
      <c r="A3186" s="3"/>
      <c r="D3186" s="3"/>
    </row>
    <row r="3187" spans="1:4">
      <c r="A3187" s="3"/>
      <c r="D3187" s="3"/>
    </row>
    <row r="3188" spans="1:4">
      <c r="A3188" s="3"/>
      <c r="D3188" s="3"/>
    </row>
    <row r="3189" spans="1:4">
      <c r="A3189" s="3"/>
      <c r="D3189" s="3"/>
    </row>
    <row r="3190" spans="1:4">
      <c r="A3190" s="3"/>
      <c r="D3190" s="3"/>
    </row>
    <row r="3191" spans="1:4">
      <c r="A3191" s="3"/>
      <c r="D3191" s="3"/>
    </row>
    <row r="3192" spans="1:4">
      <c r="A3192" s="3"/>
      <c r="D3192" s="3"/>
    </row>
    <row r="3193" spans="1:4">
      <c r="A3193" s="3"/>
      <c r="D3193" s="3"/>
    </row>
    <row r="3194" spans="1:4">
      <c r="A3194" s="3"/>
      <c r="D3194" s="3"/>
    </row>
    <row r="3195" spans="1:4">
      <c r="A3195" s="3"/>
      <c r="D3195" s="3"/>
    </row>
    <row r="3196" spans="1:4">
      <c r="A3196" s="3"/>
      <c r="D3196" s="3"/>
    </row>
    <row r="3197" spans="1:4">
      <c r="A3197" s="3"/>
      <c r="D3197" s="3"/>
    </row>
    <row r="3198" spans="1:4">
      <c r="A3198" s="3"/>
      <c r="D3198" s="3"/>
    </row>
    <row r="3199" spans="1:4">
      <c r="A3199" s="3"/>
      <c r="D3199" s="3"/>
    </row>
    <row r="3200" spans="1:4">
      <c r="A3200" s="3"/>
      <c r="D3200" s="3"/>
    </row>
    <row r="3201" spans="1:4">
      <c r="A3201" s="3"/>
      <c r="D3201" s="3"/>
    </row>
    <row r="3202" spans="1:4">
      <c r="A3202" s="3"/>
      <c r="D3202" s="3"/>
    </row>
    <row r="3203" spans="1:4">
      <c r="A3203" s="3"/>
      <c r="D3203" s="3"/>
    </row>
    <row r="3204" spans="1:4">
      <c r="A3204" s="3"/>
      <c r="D3204" s="3"/>
    </row>
    <row r="3205" spans="1:4">
      <c r="A3205" s="3"/>
      <c r="D3205" s="3"/>
    </row>
    <row r="3206" spans="1:4">
      <c r="A3206" s="3"/>
      <c r="D3206" s="3"/>
    </row>
    <row r="3207" spans="1:4">
      <c r="A3207" s="3"/>
      <c r="D3207" s="3"/>
    </row>
    <row r="3208" spans="1:4">
      <c r="A3208" s="3"/>
      <c r="D3208" s="3"/>
    </row>
    <row r="3209" spans="1:4">
      <c r="A3209" s="3"/>
      <c r="D3209" s="3"/>
    </row>
    <row r="3210" spans="1:4">
      <c r="A3210" s="3"/>
      <c r="D3210" s="3"/>
    </row>
    <row r="3211" spans="1:4">
      <c r="A3211" s="3"/>
      <c r="D3211" s="3"/>
    </row>
    <row r="3212" spans="1:4">
      <c r="A3212" s="3"/>
      <c r="D3212" s="3"/>
    </row>
    <row r="3213" spans="1:4">
      <c r="A3213" s="3"/>
      <c r="D3213" s="3"/>
    </row>
    <row r="3214" spans="1:4">
      <c r="A3214" s="3"/>
      <c r="D3214" s="3"/>
    </row>
    <row r="3215" spans="1:4">
      <c r="A3215" s="3"/>
      <c r="D3215" s="3"/>
    </row>
    <row r="3216" spans="1:4">
      <c r="A3216" s="3"/>
      <c r="D3216" s="3"/>
    </row>
    <row r="3217" spans="1:4">
      <c r="A3217" s="3"/>
      <c r="D3217" s="3"/>
    </row>
    <row r="3218" spans="1:4">
      <c r="A3218" s="3"/>
      <c r="D3218" s="3"/>
    </row>
    <row r="3219" spans="1:4">
      <c r="A3219" s="3"/>
      <c r="D3219" s="3"/>
    </row>
    <row r="3220" spans="1:4">
      <c r="A3220" s="3"/>
      <c r="D3220" s="3"/>
    </row>
    <row r="3221" spans="1:4">
      <c r="A3221" s="3"/>
      <c r="D3221" s="3"/>
    </row>
    <row r="3222" spans="1:4">
      <c r="A3222" s="3"/>
      <c r="D3222" s="3"/>
    </row>
    <row r="3223" spans="1:4">
      <c r="A3223" s="3"/>
      <c r="D3223" s="3"/>
    </row>
    <row r="3224" spans="1:4">
      <c r="A3224" s="3"/>
      <c r="D3224" s="3"/>
    </row>
    <row r="3225" spans="1:4">
      <c r="A3225" s="3"/>
      <c r="D3225" s="3"/>
    </row>
    <row r="3226" spans="1:4">
      <c r="A3226" s="3"/>
      <c r="D3226" s="3"/>
    </row>
    <row r="3227" spans="1:4">
      <c r="A3227" s="3"/>
      <c r="D3227" s="3"/>
    </row>
    <row r="3228" spans="1:4">
      <c r="A3228" s="3"/>
      <c r="D3228" s="3"/>
    </row>
    <row r="3229" spans="1:4">
      <c r="A3229" s="3"/>
      <c r="D3229" s="3"/>
    </row>
    <row r="3230" spans="1:4">
      <c r="A3230" s="3"/>
      <c r="D3230" s="3"/>
    </row>
    <row r="3231" spans="1:4">
      <c r="A3231" s="3"/>
      <c r="D3231" s="3"/>
    </row>
    <row r="3232" spans="1:4">
      <c r="A3232" s="3"/>
      <c r="D3232" s="3"/>
    </row>
    <row r="3233" spans="1:4">
      <c r="A3233" s="3"/>
      <c r="D3233" s="3"/>
    </row>
    <row r="3234" spans="1:4">
      <c r="A3234" s="3"/>
      <c r="D3234" s="3"/>
    </row>
    <row r="3235" spans="1:4">
      <c r="A3235" s="3"/>
      <c r="D3235" s="3"/>
    </row>
    <row r="3236" spans="1:4">
      <c r="A3236" s="3"/>
      <c r="D3236" s="3"/>
    </row>
    <row r="3237" spans="1:4">
      <c r="A3237" s="3"/>
      <c r="D3237" s="3"/>
    </row>
    <row r="3238" spans="1:4">
      <c r="A3238" s="3"/>
      <c r="D3238" s="3"/>
    </row>
    <row r="3239" spans="1:4">
      <c r="A3239" s="3"/>
      <c r="D3239" s="3"/>
    </row>
    <row r="3240" spans="1:4">
      <c r="A3240" s="3"/>
      <c r="D3240" s="3"/>
    </row>
    <row r="3241" spans="1:4">
      <c r="A3241" s="3"/>
      <c r="D3241" s="3"/>
    </row>
    <row r="3242" spans="1:4">
      <c r="A3242" s="3"/>
      <c r="D3242" s="3"/>
    </row>
    <row r="3243" spans="1:4">
      <c r="A3243" s="3"/>
      <c r="D3243" s="3"/>
    </row>
    <row r="3244" spans="1:4">
      <c r="A3244" s="3"/>
      <c r="D3244" s="3"/>
    </row>
    <row r="3245" spans="1:4">
      <c r="A3245" s="3"/>
      <c r="D3245" s="3"/>
    </row>
    <row r="3246" spans="1:4">
      <c r="A3246" s="3"/>
      <c r="D3246" s="3"/>
    </row>
    <row r="3247" spans="1:4">
      <c r="A3247" s="3"/>
      <c r="D3247" s="3"/>
    </row>
    <row r="3248" spans="1:4">
      <c r="A3248" s="3"/>
      <c r="D3248" s="3"/>
    </row>
    <row r="3249" spans="1:4">
      <c r="A3249" s="3"/>
      <c r="D3249" s="3"/>
    </row>
    <row r="3250" spans="1:4">
      <c r="A3250" s="3"/>
      <c r="D3250" s="3"/>
    </row>
    <row r="3251" spans="1:4">
      <c r="A3251" s="3"/>
      <c r="D3251" s="3"/>
    </row>
    <row r="3252" spans="1:4">
      <c r="A3252" s="3"/>
      <c r="D3252" s="3"/>
    </row>
    <row r="3253" spans="1:4">
      <c r="A3253" s="3"/>
      <c r="D3253" s="3"/>
    </row>
    <row r="3254" spans="1:4">
      <c r="A3254" s="3"/>
      <c r="D3254" s="3"/>
    </row>
    <row r="3255" spans="1:4">
      <c r="A3255" s="3"/>
      <c r="D3255" s="3"/>
    </row>
    <row r="3256" spans="1:4">
      <c r="A3256" s="3"/>
      <c r="D3256" s="3"/>
    </row>
    <row r="3257" spans="1:4">
      <c r="A3257" s="3"/>
      <c r="D3257" s="3"/>
    </row>
    <row r="3258" spans="1:4">
      <c r="A3258" s="3"/>
      <c r="D3258" s="3"/>
    </row>
    <row r="3259" spans="1:4">
      <c r="A3259" s="3"/>
      <c r="D3259" s="3"/>
    </row>
    <row r="3260" spans="1:4">
      <c r="A3260" s="3"/>
      <c r="D3260" s="3"/>
    </row>
    <row r="3261" spans="1:4">
      <c r="A3261" s="3"/>
      <c r="D3261" s="3"/>
    </row>
    <row r="3262" spans="1:4">
      <c r="A3262" s="3"/>
      <c r="D3262" s="3"/>
    </row>
    <row r="3263" spans="1:4">
      <c r="A3263" s="3"/>
      <c r="D3263" s="3"/>
    </row>
    <row r="3264" spans="1:4">
      <c r="A3264" s="3"/>
      <c r="D3264" s="3"/>
    </row>
    <row r="3265" spans="1:4">
      <c r="A3265" s="3"/>
      <c r="D3265" s="3"/>
    </row>
    <row r="3266" spans="1:4">
      <c r="A3266" s="3"/>
      <c r="D3266" s="3"/>
    </row>
    <row r="3267" spans="1:4">
      <c r="A3267" s="3"/>
      <c r="D3267" s="3"/>
    </row>
    <row r="3268" spans="1:4">
      <c r="A3268" s="3"/>
      <c r="D3268" s="3"/>
    </row>
    <row r="3269" spans="1:4">
      <c r="A3269" s="3"/>
      <c r="D3269" s="3"/>
    </row>
    <row r="3270" spans="1:4">
      <c r="A3270" s="3"/>
      <c r="D3270" s="3"/>
    </row>
    <row r="3271" spans="1:4">
      <c r="A3271" s="3"/>
      <c r="D3271" s="3"/>
    </row>
    <row r="3272" spans="1:4">
      <c r="A3272" s="3"/>
      <c r="D3272" s="3"/>
    </row>
    <row r="3273" spans="1:4">
      <c r="A3273" s="3"/>
      <c r="D3273" s="3"/>
    </row>
    <row r="3274" spans="1:4">
      <c r="A3274" s="3"/>
      <c r="D3274" s="3"/>
    </row>
    <row r="3275" spans="1:4">
      <c r="A3275" s="3"/>
      <c r="D3275" s="3"/>
    </row>
    <row r="3276" spans="1:4">
      <c r="A3276" s="3"/>
      <c r="D3276" s="3"/>
    </row>
    <row r="3277" spans="1:4">
      <c r="A3277" s="3"/>
      <c r="D3277" s="3"/>
    </row>
    <row r="3278" spans="1:4">
      <c r="A3278" s="3"/>
      <c r="D3278" s="3"/>
    </row>
    <row r="3279" spans="1:4">
      <c r="A3279" s="3"/>
      <c r="D3279" s="3"/>
    </row>
    <row r="3280" spans="1:4">
      <c r="A3280" s="3"/>
      <c r="D3280" s="3"/>
    </row>
    <row r="3281" spans="1:4">
      <c r="A3281" s="3"/>
      <c r="D3281" s="3"/>
    </row>
    <row r="3282" spans="1:4">
      <c r="A3282" s="3"/>
      <c r="D3282" s="3"/>
    </row>
    <row r="3283" spans="1:4">
      <c r="A3283" s="3"/>
      <c r="D3283" s="3"/>
    </row>
    <row r="3284" spans="1:4">
      <c r="A3284" s="3"/>
      <c r="D3284" s="3"/>
    </row>
    <row r="3285" spans="1:4">
      <c r="A3285" s="3"/>
      <c r="D3285" s="3"/>
    </row>
    <row r="3286" spans="1:4">
      <c r="A3286" s="3"/>
      <c r="D3286" s="3"/>
    </row>
    <row r="3287" spans="1:4">
      <c r="A3287" s="3"/>
      <c r="D3287" s="3"/>
    </row>
    <row r="3288" spans="1:4">
      <c r="A3288" s="3"/>
      <c r="D3288" s="3"/>
    </row>
    <row r="3289" spans="1:4">
      <c r="A3289" s="3"/>
      <c r="D3289" s="3"/>
    </row>
    <row r="3290" spans="1:4">
      <c r="A3290" s="3"/>
      <c r="D3290" s="3"/>
    </row>
    <row r="3291" spans="1:4">
      <c r="A3291" s="3"/>
      <c r="D3291" s="3"/>
    </row>
    <row r="3292" spans="1:4">
      <c r="A3292" s="3"/>
      <c r="D3292" s="3"/>
    </row>
    <row r="3293" spans="1:4">
      <c r="A3293" s="3"/>
      <c r="D3293" s="3"/>
    </row>
    <row r="3294" spans="1:4">
      <c r="A3294" s="3"/>
      <c r="D3294" s="3"/>
    </row>
    <row r="3295" spans="1:4">
      <c r="A3295" s="3"/>
      <c r="D3295" s="3"/>
    </row>
    <row r="3296" spans="1:4">
      <c r="A3296" s="3"/>
      <c r="D3296" s="3"/>
    </row>
    <row r="3297" spans="1:4">
      <c r="A3297" s="3"/>
      <c r="D3297" s="3"/>
    </row>
    <row r="3298" spans="1:4">
      <c r="A3298" s="3"/>
      <c r="D3298" s="3"/>
    </row>
    <row r="3299" spans="1:4">
      <c r="A3299" s="3"/>
      <c r="D3299" s="3"/>
    </row>
    <row r="3300" spans="1:4">
      <c r="A3300" s="3"/>
      <c r="D3300" s="3"/>
    </row>
    <row r="3301" spans="1:4">
      <c r="A3301" s="3"/>
      <c r="D3301" s="3"/>
    </row>
    <row r="3302" spans="1:4">
      <c r="A3302" s="3"/>
      <c r="D3302" s="3"/>
    </row>
    <row r="3303" spans="1:4">
      <c r="A3303" s="3"/>
      <c r="D3303" s="3"/>
    </row>
    <row r="3304" spans="1:4">
      <c r="A3304" s="3"/>
      <c r="D3304" s="3"/>
    </row>
    <row r="3305" spans="1:4">
      <c r="A3305" s="3"/>
      <c r="D3305" s="3"/>
    </row>
    <row r="3306" spans="1:4">
      <c r="A3306" s="3"/>
      <c r="D3306" s="3"/>
    </row>
    <row r="3307" spans="1:4">
      <c r="A3307" s="3"/>
      <c r="D3307" s="3"/>
    </row>
    <row r="3308" spans="1:4">
      <c r="A3308" s="3"/>
      <c r="D3308" s="3"/>
    </row>
    <row r="3309" spans="1:4">
      <c r="A3309" s="3"/>
      <c r="D3309" s="3"/>
    </row>
    <row r="3310" spans="1:4">
      <c r="A3310" s="3"/>
      <c r="D3310" s="3"/>
    </row>
    <row r="3311" spans="1:4">
      <c r="A3311" s="3"/>
      <c r="D3311" s="3"/>
    </row>
    <row r="3312" spans="1:4">
      <c r="A3312" s="3"/>
      <c r="D3312" s="3"/>
    </row>
    <row r="3313" spans="1:4">
      <c r="A3313" s="3"/>
      <c r="D3313" s="3"/>
    </row>
    <row r="3314" spans="1:4">
      <c r="A3314" s="3"/>
      <c r="D3314" s="3"/>
    </row>
    <row r="3315" spans="1:4">
      <c r="A3315" s="3"/>
      <c r="D3315" s="3"/>
    </row>
    <row r="3316" spans="1:4">
      <c r="A3316" s="3"/>
      <c r="D3316" s="3"/>
    </row>
    <row r="3317" spans="1:4">
      <c r="A3317" s="3"/>
      <c r="D3317" s="3"/>
    </row>
    <row r="3318" spans="1:4">
      <c r="A3318" s="3"/>
      <c r="D3318" s="3"/>
    </row>
    <row r="3319" spans="1:4">
      <c r="A3319" s="3"/>
      <c r="D3319" s="3"/>
    </row>
    <row r="3320" spans="1:4">
      <c r="A3320" s="3"/>
      <c r="D3320" s="3"/>
    </row>
    <row r="3321" spans="1:4">
      <c r="A3321" s="3"/>
      <c r="D3321" s="3"/>
    </row>
    <row r="3322" spans="1:4">
      <c r="A3322" s="3"/>
      <c r="D3322" s="3"/>
    </row>
    <row r="3323" spans="1:4">
      <c r="A3323" s="3"/>
      <c r="D3323" s="3"/>
    </row>
    <row r="3324" spans="1:4">
      <c r="A3324" s="3"/>
      <c r="D3324" s="3"/>
    </row>
    <row r="3325" spans="1:4">
      <c r="A3325" s="3"/>
      <c r="D3325" s="3"/>
    </row>
    <row r="3326" spans="1:4">
      <c r="A3326" s="3"/>
      <c r="D3326" s="3"/>
    </row>
    <row r="3327" spans="1:4">
      <c r="A3327" s="3"/>
      <c r="D3327" s="3"/>
    </row>
    <row r="3328" spans="1:4">
      <c r="A3328" s="3"/>
      <c r="D3328" s="3"/>
    </row>
    <row r="3329" spans="1:4">
      <c r="A3329" s="3"/>
      <c r="D3329" s="3"/>
    </row>
    <row r="3330" spans="1:4">
      <c r="A3330" s="3"/>
      <c r="D3330" s="3"/>
    </row>
    <row r="3331" spans="1:4">
      <c r="A3331" s="3"/>
      <c r="D3331" s="3"/>
    </row>
    <row r="3332" spans="1:4">
      <c r="A3332" s="3"/>
      <c r="D3332" s="3"/>
    </row>
    <row r="3333" spans="1:4">
      <c r="A3333" s="3"/>
      <c r="D3333" s="3"/>
    </row>
    <row r="3334" spans="1:4">
      <c r="A3334" s="3"/>
      <c r="D3334" s="3"/>
    </row>
    <row r="3335" spans="1:4">
      <c r="A3335" s="3"/>
      <c r="D3335" s="3"/>
    </row>
    <row r="3336" spans="1:4">
      <c r="A3336" s="3"/>
      <c r="D3336" s="3"/>
    </row>
    <row r="3337" spans="1:4">
      <c r="A3337" s="3"/>
      <c r="D3337" s="3"/>
    </row>
    <row r="3338" spans="1:4">
      <c r="A3338" s="3"/>
      <c r="D3338" s="3"/>
    </row>
    <row r="3339" spans="1:4">
      <c r="A3339" s="3"/>
      <c r="D3339" s="3"/>
    </row>
    <row r="3340" spans="1:4">
      <c r="A3340" s="3"/>
      <c r="D3340" s="3"/>
    </row>
    <row r="3341" spans="1:4">
      <c r="A3341" s="3"/>
      <c r="D3341" s="3"/>
    </row>
    <row r="3342" spans="1:4">
      <c r="A3342" s="3"/>
      <c r="D3342" s="3"/>
    </row>
    <row r="3343" spans="1:4">
      <c r="A3343" s="3"/>
      <c r="D3343" s="3"/>
    </row>
    <row r="3344" spans="1:4">
      <c r="A3344" s="3"/>
      <c r="D3344" s="3"/>
    </row>
    <row r="3345" spans="1:4">
      <c r="A3345" s="3"/>
      <c r="D3345" s="3"/>
    </row>
    <row r="3346" spans="1:4">
      <c r="A3346" s="3"/>
      <c r="D3346" s="3"/>
    </row>
    <row r="3347" spans="1:4">
      <c r="A3347" s="3"/>
      <c r="D3347" s="3"/>
    </row>
    <row r="3348" spans="1:4">
      <c r="A3348" s="3"/>
      <c r="D3348" s="3"/>
    </row>
    <row r="3349" spans="1:4">
      <c r="A3349" s="3"/>
      <c r="D3349" s="3"/>
    </row>
    <row r="3350" spans="1:4">
      <c r="A3350" s="3"/>
      <c r="D3350" s="3"/>
    </row>
    <row r="3351" spans="1:4">
      <c r="A3351" s="3"/>
      <c r="D3351" s="3"/>
    </row>
    <row r="3352" spans="1:4">
      <c r="A3352" s="3"/>
      <c r="D3352" s="3"/>
    </row>
    <row r="3353" spans="1:4">
      <c r="A3353" s="3"/>
      <c r="D3353" s="3"/>
    </row>
    <row r="3354" spans="1:4">
      <c r="A3354" s="3"/>
      <c r="D3354" s="3"/>
    </row>
    <row r="3355" spans="1:4">
      <c r="A3355" s="3"/>
      <c r="D3355" s="3"/>
    </row>
    <row r="3356" spans="1:4">
      <c r="A3356" s="3"/>
      <c r="D3356" s="3"/>
    </row>
    <row r="3357" spans="1:4">
      <c r="A3357" s="3"/>
      <c r="D3357" s="3"/>
    </row>
    <row r="3358" spans="1:4">
      <c r="A3358" s="3"/>
      <c r="D3358" s="3"/>
    </row>
    <row r="3359" spans="1:4">
      <c r="A3359" s="3"/>
      <c r="D3359" s="3"/>
    </row>
    <row r="3360" spans="1:4">
      <c r="A3360" s="3"/>
      <c r="D3360" s="3"/>
    </row>
    <row r="3361" spans="1:4">
      <c r="A3361" s="3"/>
      <c r="D3361" s="3"/>
    </row>
    <row r="3362" spans="1:4">
      <c r="A3362" s="3"/>
      <c r="D3362" s="3"/>
    </row>
    <row r="3363" spans="1:4">
      <c r="A3363" s="3"/>
      <c r="D3363" s="3"/>
    </row>
    <row r="3364" spans="1:4">
      <c r="A3364" s="3"/>
      <c r="D3364" s="3"/>
    </row>
    <row r="3365" spans="1:4">
      <c r="A3365" s="3"/>
      <c r="D3365" s="3"/>
    </row>
    <row r="3366" spans="1:4">
      <c r="A3366" s="3"/>
      <c r="D3366" s="3"/>
    </row>
    <row r="3367" spans="1:4">
      <c r="A3367" s="3"/>
      <c r="D3367" s="3"/>
    </row>
    <row r="3368" spans="1:4">
      <c r="A3368" s="3"/>
      <c r="D3368" s="3"/>
    </row>
    <row r="3369" spans="1:4">
      <c r="A3369" s="3"/>
      <c r="D3369" s="3"/>
    </row>
    <row r="3370" spans="1:4">
      <c r="A3370" s="3"/>
      <c r="D3370" s="3"/>
    </row>
    <row r="3371" spans="1:4">
      <c r="A3371" s="3"/>
      <c r="D3371" s="3"/>
    </row>
    <row r="3372" spans="1:4">
      <c r="A3372" s="3"/>
      <c r="D3372" s="3"/>
    </row>
    <row r="3373" spans="1:4">
      <c r="A3373" s="3"/>
      <c r="D3373" s="3"/>
    </row>
    <row r="3374" spans="1:4">
      <c r="A3374" s="3"/>
      <c r="D3374" s="3"/>
    </row>
    <row r="3375" spans="1:4">
      <c r="A3375" s="3"/>
      <c r="D3375" s="3"/>
    </row>
    <row r="3376" spans="1:4">
      <c r="A3376" s="3"/>
      <c r="D3376" s="3"/>
    </row>
    <row r="3377" spans="1:4">
      <c r="A3377" s="3"/>
      <c r="D3377" s="3"/>
    </row>
    <row r="3378" spans="1:4">
      <c r="A3378" s="3"/>
      <c r="D3378" s="3"/>
    </row>
    <row r="3379" spans="1:4">
      <c r="A3379" s="3"/>
      <c r="D3379" s="3"/>
    </row>
    <row r="3380" spans="1:4">
      <c r="A3380" s="3"/>
      <c r="D3380" s="3"/>
    </row>
    <row r="3381" spans="1:4">
      <c r="A3381" s="3"/>
      <c r="D3381" s="3"/>
    </row>
    <row r="3382" spans="1:4">
      <c r="A3382" s="3"/>
      <c r="D3382" s="3"/>
    </row>
    <row r="3383" spans="1:4">
      <c r="A3383" s="3"/>
      <c r="D3383" s="3"/>
    </row>
    <row r="3384" spans="1:4">
      <c r="A3384" s="3"/>
      <c r="D3384" s="3"/>
    </row>
    <row r="3385" spans="1:4">
      <c r="A3385" s="3"/>
      <c r="D3385" s="3"/>
    </row>
    <row r="3386" spans="1:4">
      <c r="A3386" s="3"/>
      <c r="D3386" s="3"/>
    </row>
    <row r="3387" spans="1:4">
      <c r="A3387" s="3"/>
      <c r="D3387" s="3"/>
    </row>
    <row r="3388" spans="1:4">
      <c r="A3388" s="3"/>
      <c r="D3388" s="3"/>
    </row>
    <row r="3389" spans="1:4">
      <c r="A3389" s="3"/>
      <c r="D3389" s="3"/>
    </row>
    <row r="3390" spans="1:4">
      <c r="A3390" s="3"/>
      <c r="D3390" s="3"/>
    </row>
    <row r="3391" spans="1:4">
      <c r="A3391" s="3"/>
      <c r="D3391" s="3"/>
    </row>
    <row r="3392" spans="1:4">
      <c r="A3392" s="3"/>
      <c r="D3392" s="3"/>
    </row>
    <row r="3393" spans="1:4">
      <c r="A3393" s="3"/>
      <c r="D3393" s="3"/>
    </row>
    <row r="3394" spans="1:4">
      <c r="A3394" s="3"/>
      <c r="D3394" s="3"/>
    </row>
    <row r="3395" spans="1:4">
      <c r="A3395" s="3"/>
      <c r="D3395" s="3"/>
    </row>
    <row r="3396" spans="1:4">
      <c r="A3396" s="3"/>
      <c r="D3396" s="3"/>
    </row>
    <row r="3397" spans="1:4">
      <c r="A3397" s="3"/>
      <c r="D3397" s="3"/>
    </row>
    <row r="3398" spans="1:4">
      <c r="A3398" s="3"/>
      <c r="D3398" s="3"/>
    </row>
    <row r="3399" spans="1:4">
      <c r="A3399" s="3"/>
      <c r="D3399" s="3"/>
    </row>
    <row r="3400" spans="1:4">
      <c r="A3400" s="3"/>
      <c r="D3400" s="3"/>
    </row>
    <row r="3401" spans="1:4">
      <c r="A3401" s="3"/>
      <c r="D3401" s="3"/>
    </row>
    <row r="3402" spans="1:4">
      <c r="A3402" s="3"/>
      <c r="D3402" s="3"/>
    </row>
    <row r="3403" spans="1:4">
      <c r="A3403" s="3"/>
      <c r="D3403" s="3"/>
    </row>
    <row r="3404" spans="1:4">
      <c r="A3404" s="3"/>
      <c r="D3404" s="3"/>
    </row>
    <row r="3405" spans="1:4">
      <c r="A3405" s="3"/>
      <c r="D3405" s="3"/>
    </row>
    <row r="3406" spans="1:4">
      <c r="A3406" s="3"/>
      <c r="D3406" s="3"/>
    </row>
    <row r="3407" spans="1:4">
      <c r="A3407" s="3"/>
      <c r="D3407" s="3"/>
    </row>
    <row r="3408" spans="1:4">
      <c r="A3408" s="3"/>
      <c r="D3408" s="3"/>
    </row>
    <row r="3409" spans="1:4">
      <c r="A3409" s="3"/>
      <c r="D3409" s="3"/>
    </row>
    <row r="3410" spans="1:4">
      <c r="A3410" s="3"/>
      <c r="D3410" s="3"/>
    </row>
    <row r="3411" spans="1:4">
      <c r="A3411" s="3"/>
      <c r="D3411" s="3"/>
    </row>
    <row r="3412" spans="1:4">
      <c r="A3412" s="3"/>
      <c r="D3412" s="3"/>
    </row>
    <row r="3413" spans="1:4">
      <c r="A3413" s="3"/>
      <c r="D3413" s="3"/>
    </row>
    <row r="3414" spans="1:4">
      <c r="A3414" s="3"/>
      <c r="D3414" s="3"/>
    </row>
    <row r="3415" spans="1:4">
      <c r="A3415" s="3"/>
      <c r="D3415" s="3"/>
    </row>
    <row r="3416" spans="1:4">
      <c r="A3416" s="3"/>
      <c r="D3416" s="3"/>
    </row>
    <row r="3417" spans="1:4">
      <c r="A3417" s="3"/>
      <c r="D3417" s="3"/>
    </row>
    <row r="3418" spans="1:4">
      <c r="A3418" s="3"/>
      <c r="D3418" s="3"/>
    </row>
    <row r="3419" spans="1:4">
      <c r="A3419" s="3"/>
      <c r="D3419" s="3"/>
    </row>
    <row r="3420" spans="1:4">
      <c r="A3420" s="3"/>
      <c r="D3420" s="3"/>
    </row>
    <row r="3421" spans="1:4">
      <c r="A3421" s="3"/>
      <c r="D3421" s="3"/>
    </row>
    <row r="3422" spans="1:4">
      <c r="A3422" s="3"/>
      <c r="D3422" s="3"/>
    </row>
    <row r="3423" spans="1:4">
      <c r="A3423" s="3"/>
      <c r="D3423" s="3"/>
    </row>
    <row r="3424" spans="1:4">
      <c r="A3424" s="3"/>
      <c r="D3424" s="3"/>
    </row>
    <row r="3425" spans="1:4">
      <c r="A3425" s="3"/>
      <c r="D3425" s="3"/>
    </row>
    <row r="3426" spans="1:4">
      <c r="A3426" s="3"/>
      <c r="D3426" s="3"/>
    </row>
    <row r="3427" spans="1:4">
      <c r="A3427" s="3"/>
      <c r="D3427" s="3"/>
    </row>
    <row r="3428" spans="1:4">
      <c r="A3428" s="3"/>
      <c r="D3428" s="3"/>
    </row>
    <row r="3429" spans="1:4">
      <c r="A3429" s="3"/>
      <c r="D3429" s="3"/>
    </row>
    <row r="3430" spans="1:4">
      <c r="A3430" s="3"/>
      <c r="D3430" s="3"/>
    </row>
    <row r="3431" spans="1:4">
      <c r="A3431" s="3"/>
      <c r="D3431" s="3"/>
    </row>
    <row r="3432" spans="1:4">
      <c r="A3432" s="3"/>
      <c r="D3432" s="3"/>
    </row>
    <row r="3433" spans="1:4">
      <c r="A3433" s="3"/>
      <c r="D3433" s="3"/>
    </row>
    <row r="3434" spans="1:4">
      <c r="A3434" s="3"/>
      <c r="D3434" s="3"/>
    </row>
    <row r="3435" spans="1:4">
      <c r="A3435" s="3"/>
      <c r="D3435" s="3"/>
    </row>
    <row r="3436" spans="1:4">
      <c r="A3436" s="3"/>
      <c r="D3436" s="3"/>
    </row>
    <row r="3437" spans="1:4">
      <c r="A3437" s="3"/>
      <c r="D3437" s="3"/>
    </row>
    <row r="3438" spans="1:4">
      <c r="A3438" s="3"/>
      <c r="D3438" s="3"/>
    </row>
    <row r="3439" spans="1:4">
      <c r="A3439" s="3"/>
      <c r="D3439" s="3"/>
    </row>
    <row r="3440" spans="1:4">
      <c r="A3440" s="3"/>
      <c r="D3440" s="3"/>
    </row>
    <row r="3441" spans="1:4">
      <c r="A3441" s="3"/>
      <c r="D3441" s="3"/>
    </row>
    <row r="3442" spans="1:4">
      <c r="A3442" s="3"/>
      <c r="D3442" s="3"/>
    </row>
    <row r="3443" spans="1:4">
      <c r="A3443" s="3"/>
      <c r="D3443" s="3"/>
    </row>
    <row r="3444" spans="1:4">
      <c r="A3444" s="3"/>
      <c r="D3444" s="3"/>
    </row>
    <row r="3445" spans="1:4">
      <c r="A3445" s="3"/>
      <c r="D3445" s="3"/>
    </row>
    <row r="3446" spans="1:4">
      <c r="A3446" s="3"/>
      <c r="D3446" s="3"/>
    </row>
    <row r="3447" spans="1:4">
      <c r="A3447" s="3"/>
      <c r="D3447" s="3"/>
    </row>
    <row r="3448" spans="1:4">
      <c r="A3448" s="3"/>
      <c r="D3448" s="3"/>
    </row>
    <row r="3449" spans="1:4">
      <c r="A3449" s="3"/>
      <c r="D3449" s="3"/>
    </row>
    <row r="3450" spans="1:4">
      <c r="A3450" s="3"/>
      <c r="D3450" s="3"/>
    </row>
    <row r="3451" spans="1:4">
      <c r="A3451" s="3"/>
      <c r="D3451" s="3"/>
    </row>
    <row r="3452" spans="1:4">
      <c r="A3452" s="3"/>
      <c r="D3452" s="3"/>
    </row>
    <row r="3453" spans="1:4">
      <c r="A3453" s="3"/>
      <c r="D3453" s="3"/>
    </row>
    <row r="3454" spans="1:4">
      <c r="A3454" s="3"/>
      <c r="D3454" s="3"/>
    </row>
    <row r="3455" spans="1:4">
      <c r="A3455" s="3"/>
      <c r="D3455" s="3"/>
    </row>
    <row r="3456" spans="1:4">
      <c r="A3456" s="3"/>
      <c r="D3456" s="3"/>
    </row>
    <row r="3457" spans="1:4">
      <c r="A3457" s="3"/>
      <c r="D3457" s="3"/>
    </row>
    <row r="3458" spans="1:4">
      <c r="A3458" s="3"/>
      <c r="D3458" s="3"/>
    </row>
    <row r="3459" spans="1:4">
      <c r="A3459" s="3"/>
      <c r="D3459" s="3"/>
    </row>
    <row r="3460" spans="1:4">
      <c r="A3460" s="3"/>
      <c r="D3460" s="3"/>
    </row>
    <row r="3461" spans="1:4">
      <c r="A3461" s="3"/>
      <c r="D3461" s="3"/>
    </row>
    <row r="3462" spans="1:4">
      <c r="A3462" s="3"/>
      <c r="D3462" s="3"/>
    </row>
    <row r="3463" spans="1:4">
      <c r="A3463" s="3"/>
      <c r="D3463" s="3"/>
    </row>
    <row r="3464" spans="1:4">
      <c r="A3464" s="3"/>
      <c r="D3464" s="3"/>
    </row>
    <row r="3465" spans="1:4">
      <c r="A3465" s="3"/>
      <c r="D3465" s="3"/>
    </row>
    <row r="3466" spans="1:4">
      <c r="A3466" s="3"/>
      <c r="D3466" s="3"/>
    </row>
    <row r="3467" spans="1:4">
      <c r="A3467" s="3"/>
      <c r="D3467" s="3"/>
    </row>
    <row r="3468" spans="1:4">
      <c r="A3468" s="3"/>
      <c r="D3468" s="3"/>
    </row>
    <row r="3469" spans="1:4">
      <c r="A3469" s="3"/>
      <c r="D3469" s="3"/>
    </row>
    <row r="3470" spans="1:4">
      <c r="A3470" s="3"/>
      <c r="D3470" s="3"/>
    </row>
    <row r="3471" spans="1:4">
      <c r="A3471" s="3"/>
      <c r="D3471" s="3"/>
    </row>
    <row r="3472" spans="1:4">
      <c r="A3472" s="3"/>
      <c r="D3472" s="3"/>
    </row>
    <row r="3473" spans="1:4">
      <c r="A3473" s="3"/>
      <c r="D3473" s="3"/>
    </row>
    <row r="3474" spans="1:4">
      <c r="A3474" s="3"/>
      <c r="D3474" s="3"/>
    </row>
    <row r="3475" spans="1:4">
      <c r="A3475" s="3"/>
      <c r="D3475" s="3"/>
    </row>
    <row r="3476" spans="1:4">
      <c r="A3476" s="3"/>
      <c r="D3476" s="3"/>
    </row>
    <row r="3477" spans="1:4">
      <c r="A3477" s="3"/>
      <c r="D3477" s="3"/>
    </row>
    <row r="3478" spans="1:4">
      <c r="A3478" s="3"/>
      <c r="D3478" s="3"/>
    </row>
    <row r="3479" spans="1:4">
      <c r="A3479" s="3"/>
      <c r="D3479" s="3"/>
    </row>
    <row r="3480" spans="1:4">
      <c r="A3480" s="3"/>
      <c r="D3480" s="3"/>
    </row>
    <row r="3481" spans="1:4">
      <c r="A3481" s="3"/>
      <c r="D3481" s="3"/>
    </row>
    <row r="3482" spans="1:4">
      <c r="A3482" s="3"/>
      <c r="D3482" s="3"/>
    </row>
    <row r="3483" spans="1:4">
      <c r="A3483" s="3"/>
      <c r="D3483" s="3"/>
    </row>
    <row r="3484" spans="1:4">
      <c r="A3484" s="3"/>
      <c r="D3484" s="3"/>
    </row>
    <row r="3485" spans="1:4">
      <c r="A3485" s="3"/>
      <c r="D3485" s="3"/>
    </row>
    <row r="3486" spans="1:4">
      <c r="A3486" s="3"/>
      <c r="D3486" s="3"/>
    </row>
    <row r="3487" spans="1:4">
      <c r="A3487" s="3"/>
      <c r="D3487" s="3"/>
    </row>
    <row r="3488" spans="1:4">
      <c r="A3488" s="3"/>
      <c r="D3488" s="3"/>
    </row>
    <row r="3489" spans="1:4">
      <c r="A3489" s="3"/>
      <c r="D3489" s="3"/>
    </row>
    <row r="3490" spans="1:4">
      <c r="A3490" s="3"/>
      <c r="D3490" s="3"/>
    </row>
    <row r="3491" spans="1:4">
      <c r="A3491" s="3"/>
      <c r="D3491" s="3"/>
    </row>
    <row r="3492" spans="1:4">
      <c r="A3492" s="3"/>
      <c r="D3492" s="3"/>
    </row>
    <row r="3493" spans="1:4">
      <c r="A3493" s="3"/>
      <c r="D3493" s="3"/>
    </row>
    <row r="3494" spans="1:4">
      <c r="A3494" s="3"/>
      <c r="D3494" s="3"/>
    </row>
    <row r="3495" spans="1:4">
      <c r="A3495" s="3"/>
      <c r="D3495" s="3"/>
    </row>
    <row r="3496" spans="1:4">
      <c r="A3496" s="3"/>
      <c r="D3496" s="3"/>
    </row>
    <row r="3497" spans="1:4">
      <c r="A3497" s="3"/>
      <c r="D3497" s="3"/>
    </row>
    <row r="3498" spans="1:4">
      <c r="A3498" s="3"/>
      <c r="D3498" s="3"/>
    </row>
    <row r="3499" spans="1:4">
      <c r="A3499" s="3"/>
      <c r="D3499" s="3"/>
    </row>
    <row r="3500" spans="1:4">
      <c r="A3500" s="3"/>
      <c r="D3500" s="3"/>
    </row>
    <row r="3501" spans="1:4">
      <c r="A3501" s="3"/>
      <c r="D3501" s="3"/>
    </row>
    <row r="3502" spans="1:4">
      <c r="A3502" s="3"/>
      <c r="D3502" s="3"/>
    </row>
    <row r="3503" spans="1:4">
      <c r="A3503" s="3"/>
      <c r="D3503" s="3"/>
    </row>
    <row r="3504" spans="1:4">
      <c r="A3504" s="3"/>
      <c r="D3504" s="3"/>
    </row>
    <row r="3505" spans="1:4">
      <c r="A3505" s="3"/>
      <c r="D3505" s="3"/>
    </row>
    <row r="3506" spans="1:4">
      <c r="A3506" s="3"/>
      <c r="D3506" s="3"/>
    </row>
    <row r="3507" spans="1:4">
      <c r="A3507" s="3"/>
      <c r="D3507" s="3"/>
    </row>
    <row r="3508" spans="1:4">
      <c r="A3508" s="3"/>
      <c r="D3508" s="3"/>
    </row>
    <row r="3509" spans="1:4">
      <c r="A3509" s="3"/>
      <c r="D3509" s="3"/>
    </row>
    <row r="3510" spans="1:4">
      <c r="A3510" s="3"/>
      <c r="D3510" s="3"/>
    </row>
    <row r="3511" spans="1:4">
      <c r="A3511" s="3"/>
      <c r="D3511" s="3"/>
    </row>
    <row r="3512" spans="1:4">
      <c r="A3512" s="3"/>
      <c r="D3512" s="3"/>
    </row>
    <row r="3513" spans="1:4">
      <c r="A3513" s="3"/>
      <c r="D3513" s="3"/>
    </row>
    <row r="3514" spans="1:4">
      <c r="A3514" s="3"/>
      <c r="D3514" s="3"/>
    </row>
    <row r="3515" spans="1:4">
      <c r="A3515" s="3"/>
      <c r="D3515" s="3"/>
    </row>
    <row r="3516" spans="1:4">
      <c r="A3516" s="3"/>
      <c r="D3516" s="3"/>
    </row>
    <row r="3517" spans="1:4">
      <c r="A3517" s="3"/>
      <c r="D3517" s="3"/>
    </row>
    <row r="3518" spans="1:4">
      <c r="A3518" s="3"/>
      <c r="D3518" s="3"/>
    </row>
    <row r="3519" spans="1:4">
      <c r="A3519" s="3"/>
      <c r="D3519" s="3"/>
    </row>
    <row r="3520" spans="1:4">
      <c r="A3520" s="3"/>
      <c r="D3520" s="3"/>
    </row>
    <row r="3521" spans="1:4">
      <c r="A3521" s="3"/>
      <c r="D3521" s="3"/>
    </row>
    <row r="3522" spans="1:4">
      <c r="A3522" s="3"/>
      <c r="D3522" s="3"/>
    </row>
    <row r="3523" spans="1:4">
      <c r="A3523" s="3"/>
      <c r="D3523" s="3"/>
    </row>
    <row r="3524" spans="1:4">
      <c r="A3524" s="3"/>
      <c r="D3524" s="3"/>
    </row>
    <row r="3525" spans="1:4">
      <c r="A3525" s="3"/>
      <c r="D3525" s="3"/>
    </row>
    <row r="3526" spans="1:4">
      <c r="A3526" s="3"/>
      <c r="D3526" s="3"/>
    </row>
    <row r="3527" spans="1:4">
      <c r="A3527" s="3"/>
      <c r="D3527" s="3"/>
    </row>
    <row r="3528" spans="1:4">
      <c r="A3528" s="3"/>
      <c r="D3528" s="3"/>
    </row>
    <row r="3529" spans="1:4">
      <c r="A3529" s="3"/>
      <c r="D3529" s="3"/>
    </row>
    <row r="3530" spans="1:4">
      <c r="A3530" s="3"/>
      <c r="D3530" s="3"/>
    </row>
    <row r="3531" spans="1:4">
      <c r="A3531" s="3"/>
      <c r="D3531" s="3"/>
    </row>
    <row r="3532" spans="1:4">
      <c r="A3532" s="3"/>
      <c r="D3532" s="3"/>
    </row>
    <row r="3533" spans="1:4">
      <c r="A3533" s="3"/>
      <c r="D3533" s="3"/>
    </row>
    <row r="3534" spans="1:4">
      <c r="A3534" s="3"/>
      <c r="D3534" s="3"/>
    </row>
    <row r="3535" spans="1:4">
      <c r="A3535" s="3"/>
      <c r="D3535" s="3"/>
    </row>
    <row r="3536" spans="1:4">
      <c r="A3536" s="3"/>
      <c r="D3536" s="3"/>
    </row>
    <row r="3537" spans="1:4">
      <c r="A3537" s="3"/>
      <c r="D3537" s="3"/>
    </row>
    <row r="3538" spans="1:4">
      <c r="A3538" s="3"/>
      <c r="D3538" s="3"/>
    </row>
    <row r="3539" spans="1:4">
      <c r="A3539" s="3"/>
      <c r="D3539" s="3"/>
    </row>
    <row r="3540" spans="1:4">
      <c r="A3540" s="3"/>
      <c r="D3540" s="3"/>
    </row>
    <row r="3541" spans="1:4">
      <c r="A3541" s="3"/>
      <c r="D3541" s="3"/>
    </row>
    <row r="3542" spans="1:4">
      <c r="A3542" s="3"/>
      <c r="D3542" s="3"/>
    </row>
    <row r="3543" spans="1:4">
      <c r="A3543" s="3"/>
      <c r="D3543" s="3"/>
    </row>
    <row r="3544" spans="1:4">
      <c r="A3544" s="3"/>
      <c r="D3544" s="3"/>
    </row>
    <row r="3545" spans="1:4">
      <c r="A3545" s="3"/>
      <c r="D3545" s="3"/>
    </row>
    <row r="3546" spans="1:4">
      <c r="A3546" s="3"/>
      <c r="D3546" s="3"/>
    </row>
    <row r="3547" spans="1:4">
      <c r="A3547" s="3"/>
      <c r="D3547" s="3"/>
    </row>
    <row r="3548" spans="1:4">
      <c r="A3548" s="3"/>
      <c r="D3548" s="3"/>
    </row>
    <row r="3549" spans="1:4">
      <c r="A3549" s="3"/>
      <c r="D3549" s="3"/>
    </row>
    <row r="3550" spans="1:4">
      <c r="A3550" s="3"/>
      <c r="D3550" s="3"/>
    </row>
    <row r="3551" spans="1:4">
      <c r="A3551" s="3"/>
      <c r="D3551" s="3"/>
    </row>
    <row r="3552" spans="1:4">
      <c r="A3552" s="3"/>
      <c r="D3552" s="3"/>
    </row>
    <row r="3553" spans="1:4">
      <c r="A3553" s="3"/>
      <c r="D3553" s="3"/>
    </row>
    <row r="3554" spans="1:4">
      <c r="A3554" s="3"/>
      <c r="D3554" s="3"/>
    </row>
    <row r="3555" spans="1:4">
      <c r="A3555" s="3"/>
      <c r="D3555" s="3"/>
    </row>
    <row r="3556" spans="1:4">
      <c r="A3556" s="3"/>
      <c r="D3556" s="3"/>
    </row>
    <row r="3557" spans="1:4">
      <c r="A3557" s="3"/>
      <c r="D3557" s="3"/>
    </row>
    <row r="3558" spans="1:4">
      <c r="A3558" s="3"/>
      <c r="D3558" s="3"/>
    </row>
    <row r="3559" spans="1:4">
      <c r="A3559" s="3"/>
      <c r="D3559" s="3"/>
    </row>
    <row r="3560" spans="1:4">
      <c r="A3560" s="3"/>
      <c r="D3560" s="3"/>
    </row>
    <row r="3561" spans="1:4">
      <c r="A3561" s="3"/>
      <c r="D3561" s="3"/>
    </row>
    <row r="3562" spans="1:4">
      <c r="A3562" s="3"/>
      <c r="D3562" s="3"/>
    </row>
    <row r="3563" spans="1:4">
      <c r="A3563" s="3"/>
      <c r="D3563" s="3"/>
    </row>
    <row r="3564" spans="1:4">
      <c r="A3564" s="3"/>
      <c r="D3564" s="3"/>
    </row>
    <row r="3565" spans="1:4">
      <c r="A3565" s="3"/>
      <c r="D3565" s="3"/>
    </row>
    <row r="3566" spans="1:4">
      <c r="A3566" s="3"/>
      <c r="D3566" s="3"/>
    </row>
    <row r="3567" spans="1:4">
      <c r="A3567" s="3"/>
      <c r="D3567" s="3"/>
    </row>
    <row r="3568" spans="1:4">
      <c r="A3568" s="3"/>
      <c r="D3568" s="3"/>
    </row>
    <row r="3569" spans="1:4">
      <c r="A3569" s="3"/>
      <c r="D3569" s="3"/>
    </row>
    <row r="3570" spans="1:4">
      <c r="A3570" s="3"/>
      <c r="D3570" s="3"/>
    </row>
    <row r="3571" spans="1:4">
      <c r="A3571" s="3"/>
      <c r="D3571" s="3"/>
    </row>
    <row r="3572" spans="1:4">
      <c r="A3572" s="3"/>
      <c r="D3572" s="3"/>
    </row>
    <row r="3573" spans="1:4">
      <c r="A3573" s="3"/>
      <c r="D3573" s="3"/>
    </row>
    <row r="3574" spans="1:4">
      <c r="A3574" s="3"/>
      <c r="D3574" s="3"/>
    </row>
    <row r="3575" spans="1:4">
      <c r="A3575" s="3"/>
      <c r="D3575" s="3"/>
    </row>
    <row r="3576" spans="1:4">
      <c r="A3576" s="3"/>
      <c r="D3576" s="3"/>
    </row>
    <row r="3577" spans="1:4">
      <c r="A3577" s="3"/>
      <c r="D3577" s="3"/>
    </row>
    <row r="3578" spans="1:4">
      <c r="A3578" s="3"/>
      <c r="D3578" s="3"/>
    </row>
    <row r="3579" spans="1:4">
      <c r="A3579" s="3"/>
      <c r="D3579" s="3"/>
    </row>
    <row r="3580" spans="1:4">
      <c r="A3580" s="3"/>
      <c r="D3580" s="3"/>
    </row>
    <row r="3581" spans="1:4">
      <c r="A3581" s="3"/>
      <c r="D3581" s="3"/>
    </row>
    <row r="3582" spans="1:4">
      <c r="A3582" s="3"/>
      <c r="D3582" s="3"/>
    </row>
    <row r="3583" spans="1:4">
      <c r="A3583" s="3"/>
      <c r="D3583" s="3"/>
    </row>
    <row r="3584" spans="1:4">
      <c r="A3584" s="3"/>
      <c r="D3584" s="3"/>
    </row>
    <row r="3585" spans="1:4">
      <c r="A3585" s="3"/>
      <c r="D3585" s="3"/>
    </row>
    <row r="3586" spans="1:4">
      <c r="A3586" s="3"/>
      <c r="D3586" s="3"/>
    </row>
    <row r="3587" spans="1:4">
      <c r="A3587" s="3"/>
      <c r="D3587" s="3"/>
    </row>
    <row r="3588" spans="1:4">
      <c r="A3588" s="3"/>
      <c r="D3588" s="3"/>
    </row>
    <row r="3589" spans="1:4">
      <c r="A3589" s="3"/>
      <c r="D3589" s="3"/>
    </row>
    <row r="3590" spans="1:4">
      <c r="A3590" s="3"/>
      <c r="D3590" s="3"/>
    </row>
    <row r="3591" spans="1:4">
      <c r="A3591" s="3"/>
      <c r="D3591" s="3"/>
    </row>
    <row r="3592" spans="1:4">
      <c r="A3592" s="3"/>
      <c r="D3592" s="3"/>
    </row>
    <row r="3593" spans="1:4">
      <c r="A3593" s="3"/>
      <c r="D3593" s="3"/>
    </row>
    <row r="3594" spans="1:4">
      <c r="A3594" s="3"/>
      <c r="D3594" s="3"/>
    </row>
    <row r="3595" spans="1:4">
      <c r="A3595" s="3"/>
      <c r="D3595" s="3"/>
    </row>
    <row r="3596" spans="1:4">
      <c r="A3596" s="3"/>
      <c r="D3596" s="3"/>
    </row>
    <row r="3597" spans="1:4">
      <c r="A3597" s="3"/>
      <c r="D3597" s="3"/>
    </row>
    <row r="3598" spans="1:4">
      <c r="A3598" s="3"/>
      <c r="D3598" s="3"/>
    </row>
    <row r="3599" spans="1:4">
      <c r="A3599" s="3"/>
      <c r="D3599" s="3"/>
    </row>
    <row r="3600" spans="1:4">
      <c r="A3600" s="3"/>
      <c r="D3600" s="3"/>
    </row>
    <row r="3601" spans="1:4">
      <c r="A3601" s="3"/>
      <c r="D3601" s="3"/>
    </row>
    <row r="3602" spans="1:4">
      <c r="A3602" s="3"/>
      <c r="D3602" s="3"/>
    </row>
    <row r="3603" spans="1:4">
      <c r="A3603" s="3"/>
      <c r="D3603" s="3"/>
    </row>
    <row r="3604" spans="1:4">
      <c r="A3604" s="3"/>
      <c r="D3604" s="3"/>
    </row>
    <row r="3605" spans="1:4">
      <c r="A3605" s="3"/>
      <c r="D3605" s="3"/>
    </row>
    <row r="3606" spans="1:4">
      <c r="A3606" s="3"/>
      <c r="D3606" s="3"/>
    </row>
    <row r="3607" spans="1:4">
      <c r="A3607" s="3"/>
      <c r="D3607" s="3"/>
    </row>
    <row r="3608" spans="1:4">
      <c r="A3608" s="3"/>
      <c r="D3608" s="3"/>
    </row>
    <row r="3609" spans="1:4">
      <c r="A3609" s="3"/>
      <c r="D3609" s="3"/>
    </row>
    <row r="3610" spans="1:4">
      <c r="A3610" s="3"/>
      <c r="D3610" s="3"/>
    </row>
    <row r="3611" spans="1:4">
      <c r="A3611" s="3"/>
      <c r="D3611" s="3"/>
    </row>
    <row r="3612" spans="1:4">
      <c r="A3612" s="3"/>
      <c r="D3612" s="3"/>
    </row>
    <row r="3613" spans="1:4">
      <c r="A3613" s="3"/>
      <c r="D3613" s="3"/>
    </row>
    <row r="3614" spans="1:4">
      <c r="A3614" s="3"/>
      <c r="D3614" s="3"/>
    </row>
    <row r="3615" spans="1:4">
      <c r="A3615" s="3"/>
      <c r="D3615" s="3"/>
    </row>
    <row r="3616" spans="1:4">
      <c r="A3616" s="3"/>
      <c r="D3616" s="3"/>
    </row>
    <row r="3617" spans="1:4">
      <c r="A3617" s="3"/>
      <c r="D3617" s="3"/>
    </row>
    <row r="3618" spans="1:4">
      <c r="A3618" s="3"/>
      <c r="D3618" s="3"/>
    </row>
    <row r="3619" spans="1:4">
      <c r="A3619" s="3"/>
      <c r="D3619" s="3"/>
    </row>
    <row r="3620" spans="1:4">
      <c r="A3620" s="3"/>
      <c r="D3620" s="3"/>
    </row>
    <row r="3621" spans="1:4">
      <c r="A3621" s="3"/>
      <c r="D3621" s="3"/>
    </row>
    <row r="3622" spans="1:4">
      <c r="A3622" s="3"/>
      <c r="D3622" s="3"/>
    </row>
    <row r="3623" spans="1:4">
      <c r="A3623" s="3"/>
      <c r="D3623" s="3"/>
    </row>
    <row r="3624" spans="1:4">
      <c r="A3624" s="3"/>
      <c r="D3624" s="3"/>
    </row>
    <row r="3625" spans="1:4">
      <c r="A3625" s="3"/>
      <c r="D3625" s="3"/>
    </row>
    <row r="3626" spans="1:4">
      <c r="A3626" s="3"/>
      <c r="D3626" s="3"/>
    </row>
    <row r="3627" spans="1:4">
      <c r="A3627" s="3"/>
      <c r="D3627" s="3"/>
    </row>
    <row r="3628" spans="1:4">
      <c r="A3628" s="3"/>
      <c r="D3628" s="3"/>
    </row>
    <row r="3629" spans="1:4">
      <c r="A3629" s="3"/>
      <c r="D3629" s="3"/>
    </row>
    <row r="3630" spans="1:4">
      <c r="A3630" s="3"/>
      <c r="D3630" s="3"/>
    </row>
    <row r="3631" spans="1:4">
      <c r="A3631" s="3"/>
      <c r="D3631" s="3"/>
    </row>
    <row r="3632" spans="1:4">
      <c r="A3632" s="3"/>
      <c r="D3632" s="3"/>
    </row>
    <row r="3633" spans="1:4">
      <c r="A3633" s="3"/>
      <c r="D3633" s="3"/>
    </row>
    <row r="3634" spans="1:4">
      <c r="A3634" s="3"/>
      <c r="D3634" s="3"/>
    </row>
    <row r="3635" spans="1:4">
      <c r="A3635" s="3"/>
      <c r="D3635" s="3"/>
    </row>
    <row r="3636" spans="1:4">
      <c r="A3636" s="3"/>
      <c r="D3636" s="3"/>
    </row>
    <row r="3637" spans="1:4">
      <c r="A3637" s="3"/>
      <c r="D3637" s="3"/>
    </row>
    <row r="3638" spans="1:4">
      <c r="A3638" s="3"/>
      <c r="D3638" s="3"/>
    </row>
    <row r="3639" spans="1:4">
      <c r="A3639" s="3"/>
      <c r="D3639" s="3"/>
    </row>
    <row r="3640" spans="1:4">
      <c r="A3640" s="3"/>
      <c r="D3640" s="3"/>
    </row>
    <row r="3641" spans="1:4">
      <c r="A3641" s="3"/>
      <c r="D3641" s="3"/>
    </row>
    <row r="3642" spans="1:4">
      <c r="A3642" s="3"/>
      <c r="D3642" s="3"/>
    </row>
    <row r="3643" spans="1:4">
      <c r="A3643" s="3"/>
      <c r="D3643" s="3"/>
    </row>
    <row r="3644" spans="1:4">
      <c r="A3644" s="3"/>
      <c r="D3644" s="3"/>
    </row>
    <row r="3645" spans="1:4">
      <c r="A3645" s="3"/>
      <c r="D3645" s="3"/>
    </row>
    <row r="3646" spans="1:4">
      <c r="A3646" s="3"/>
      <c r="D3646" s="3"/>
    </row>
    <row r="3647" spans="1:4">
      <c r="A3647" s="3"/>
      <c r="D3647" s="3"/>
    </row>
    <row r="3648" spans="1:4">
      <c r="A3648" s="3"/>
      <c r="D3648" s="3"/>
    </row>
    <row r="3649" spans="1:4">
      <c r="A3649" s="3"/>
      <c r="D3649" s="3"/>
    </row>
    <row r="3650" spans="1:4">
      <c r="A3650" s="3"/>
      <c r="D3650" s="3"/>
    </row>
    <row r="3651" spans="1:4">
      <c r="A3651" s="3"/>
      <c r="D3651" s="3"/>
    </row>
    <row r="3652" spans="1:4">
      <c r="A3652" s="3"/>
      <c r="D3652" s="3"/>
    </row>
    <row r="3653" spans="1:4">
      <c r="A3653" s="3"/>
      <c r="D3653" s="3"/>
    </row>
    <row r="3654" spans="1:4">
      <c r="A3654" s="3"/>
      <c r="D3654" s="3"/>
    </row>
    <row r="3655" spans="1:4">
      <c r="A3655" s="3"/>
      <c r="D3655" s="3"/>
    </row>
    <row r="3656" spans="1:4">
      <c r="A3656" s="3"/>
      <c r="D3656" s="3"/>
    </row>
    <row r="3657" spans="1:4">
      <c r="A3657" s="3"/>
      <c r="D3657" s="3"/>
    </row>
    <row r="3658" spans="1:4">
      <c r="A3658" s="3"/>
      <c r="D3658" s="3"/>
    </row>
    <row r="3659" spans="1:4">
      <c r="A3659" s="3"/>
      <c r="D3659" s="3"/>
    </row>
    <row r="3660" spans="1:4">
      <c r="A3660" s="3"/>
      <c r="D3660" s="3"/>
    </row>
    <row r="3661" spans="1:4">
      <c r="A3661" s="3"/>
      <c r="D3661" s="3"/>
    </row>
    <row r="3662" spans="1:4">
      <c r="A3662" s="3"/>
      <c r="D3662" s="3"/>
    </row>
    <row r="3663" spans="1:4">
      <c r="A3663" s="3"/>
      <c r="D3663" s="3"/>
    </row>
    <row r="3664" spans="1:4">
      <c r="A3664" s="3"/>
      <c r="D3664" s="3"/>
    </row>
    <row r="3665" spans="1:4">
      <c r="A3665" s="3"/>
      <c r="D3665" s="3"/>
    </row>
    <row r="3666" spans="1:4">
      <c r="A3666" s="3"/>
      <c r="D3666" s="3"/>
    </row>
    <row r="3667" spans="1:4">
      <c r="A3667" s="3"/>
      <c r="D3667" s="3"/>
    </row>
    <row r="3668" spans="1:4">
      <c r="A3668" s="3"/>
      <c r="D3668" s="3"/>
    </row>
    <row r="3669" spans="1:4">
      <c r="A3669" s="3"/>
      <c r="D3669" s="3"/>
    </row>
    <row r="3670" spans="1:4">
      <c r="A3670" s="3"/>
      <c r="D3670" s="3"/>
    </row>
    <row r="3671" spans="1:4">
      <c r="A3671" s="3"/>
      <c r="D3671" s="3"/>
    </row>
    <row r="3672" spans="1:4">
      <c r="A3672" s="3"/>
      <c r="D3672" s="3"/>
    </row>
    <row r="3673" spans="1:4">
      <c r="A3673" s="3"/>
      <c r="D3673" s="3"/>
    </row>
    <row r="3674" spans="1:4">
      <c r="A3674" s="3"/>
      <c r="D3674" s="3"/>
    </row>
    <row r="3675" spans="1:4">
      <c r="A3675" s="3"/>
      <c r="D3675" s="3"/>
    </row>
    <row r="3676" spans="1:4">
      <c r="A3676" s="3"/>
      <c r="D3676" s="3"/>
    </row>
    <row r="3677" spans="1:4">
      <c r="A3677" s="3"/>
      <c r="D3677" s="3"/>
    </row>
    <row r="3678" spans="1:4">
      <c r="A3678" s="3"/>
      <c r="D3678" s="3"/>
    </row>
    <row r="3679" spans="1:4">
      <c r="A3679" s="3"/>
      <c r="D3679" s="3"/>
    </row>
    <row r="3680" spans="1:4">
      <c r="A3680" s="3"/>
      <c r="D3680" s="3"/>
    </row>
    <row r="3681" spans="1:4">
      <c r="A3681" s="3"/>
      <c r="D3681" s="3"/>
    </row>
    <row r="3682" spans="1:4">
      <c r="A3682" s="3"/>
      <c r="D3682" s="3"/>
    </row>
    <row r="3683" spans="1:4">
      <c r="A3683" s="3"/>
      <c r="D3683" s="3"/>
    </row>
    <row r="3684" spans="1:4">
      <c r="A3684" s="3"/>
      <c r="D3684" s="3"/>
    </row>
    <row r="3685" spans="1:4">
      <c r="A3685" s="3"/>
      <c r="D3685" s="3"/>
    </row>
    <row r="3686" spans="1:4">
      <c r="A3686" s="3"/>
      <c r="D3686" s="3"/>
    </row>
    <row r="3687" spans="1:4">
      <c r="A3687" s="3"/>
      <c r="D3687" s="3"/>
    </row>
    <row r="3688" spans="1:4">
      <c r="A3688" s="3"/>
      <c r="D3688" s="3"/>
    </row>
    <row r="3689" spans="1:4">
      <c r="A3689" s="3"/>
      <c r="D3689" s="3"/>
    </row>
    <row r="3690" spans="1:4">
      <c r="A3690" s="3"/>
      <c r="D3690" s="3"/>
    </row>
    <row r="3691" spans="1:4">
      <c r="A3691" s="3"/>
      <c r="D3691" s="3"/>
    </row>
    <row r="3692" spans="1:4">
      <c r="A3692" s="3"/>
      <c r="D3692" s="3"/>
    </row>
    <row r="3693" spans="1:4">
      <c r="A3693" s="3"/>
      <c r="D3693" s="3"/>
    </row>
    <row r="3694" spans="1:4">
      <c r="A3694" s="3"/>
      <c r="D3694" s="3"/>
    </row>
    <row r="3695" spans="1:4">
      <c r="A3695" s="3"/>
      <c r="D3695" s="3"/>
    </row>
    <row r="3696" spans="1:4">
      <c r="A3696" s="3"/>
      <c r="D3696" s="3"/>
    </row>
    <row r="3697" spans="1:4">
      <c r="A3697" s="3"/>
      <c r="D3697" s="3"/>
    </row>
    <row r="3698" spans="1:4">
      <c r="A3698" s="3"/>
      <c r="D3698" s="3"/>
    </row>
    <row r="3699" spans="1:4">
      <c r="A3699" s="3"/>
      <c r="D3699" s="3"/>
    </row>
    <row r="3700" spans="1:4">
      <c r="A3700" s="3"/>
      <c r="D3700" s="3"/>
    </row>
    <row r="3701" spans="1:4">
      <c r="A3701" s="3"/>
      <c r="D3701" s="3"/>
    </row>
    <row r="3702" spans="1:4">
      <c r="A3702" s="3"/>
      <c r="D3702" s="3"/>
    </row>
    <row r="3703" spans="1:4">
      <c r="A3703" s="3"/>
      <c r="D3703" s="3"/>
    </row>
    <row r="3704" spans="1:4">
      <c r="A3704" s="3"/>
      <c r="D3704" s="3"/>
    </row>
    <row r="3705" spans="1:4">
      <c r="A3705" s="3"/>
      <c r="D3705" s="3"/>
    </row>
    <row r="3706" spans="1:4">
      <c r="A3706" s="3"/>
      <c r="D3706" s="3"/>
    </row>
    <row r="3707" spans="1:4">
      <c r="A3707" s="3"/>
      <c r="D3707" s="3"/>
    </row>
    <row r="3708" spans="1:4">
      <c r="A3708" s="3"/>
      <c r="D3708" s="3"/>
    </row>
    <row r="3709" spans="1:4">
      <c r="A3709" s="3"/>
      <c r="D3709" s="3"/>
    </row>
    <row r="3710" spans="1:4">
      <c r="A3710" s="3"/>
      <c r="D3710" s="3"/>
    </row>
    <row r="3711" spans="1:4">
      <c r="A3711" s="3"/>
      <c r="D3711" s="3"/>
    </row>
    <row r="3712" spans="1:4">
      <c r="A3712" s="3"/>
      <c r="D3712" s="3"/>
    </row>
    <row r="3713" spans="1:4">
      <c r="A3713" s="3"/>
      <c r="D3713" s="3"/>
    </row>
    <row r="3714" spans="1:4">
      <c r="A3714" s="3"/>
      <c r="D3714" s="3"/>
    </row>
    <row r="3715" spans="1:4">
      <c r="A3715" s="3"/>
      <c r="D3715" s="3"/>
    </row>
    <row r="3716" spans="1:4">
      <c r="A3716" s="3"/>
      <c r="D3716" s="3"/>
    </row>
    <row r="3717" spans="1:4">
      <c r="A3717" s="3"/>
      <c r="D3717" s="3"/>
    </row>
    <row r="3718" spans="1:4">
      <c r="A3718" s="3"/>
      <c r="D3718" s="3"/>
    </row>
    <row r="3719" spans="1:4">
      <c r="A3719" s="3"/>
      <c r="D3719" s="3"/>
    </row>
    <row r="3720" spans="1:4">
      <c r="A3720" s="3"/>
      <c r="D3720" s="3"/>
    </row>
    <row r="3721" spans="1:4">
      <c r="A3721" s="3"/>
      <c r="D3721" s="3"/>
    </row>
    <row r="3722" spans="1:4">
      <c r="A3722" s="3"/>
      <c r="D3722" s="3"/>
    </row>
    <row r="3723" spans="1:4">
      <c r="A3723" s="3"/>
      <c r="D3723" s="3"/>
    </row>
    <row r="3724" spans="1:4">
      <c r="A3724" s="3"/>
      <c r="D3724" s="3"/>
    </row>
    <row r="3725" spans="1:4">
      <c r="A3725" s="3"/>
      <c r="D3725" s="3"/>
    </row>
    <row r="3726" spans="1:4">
      <c r="A3726" s="3"/>
      <c r="D3726" s="3"/>
    </row>
    <row r="3727" spans="1:4">
      <c r="A3727" s="3"/>
      <c r="D3727" s="3"/>
    </row>
    <row r="3728" spans="1:4">
      <c r="A3728" s="3"/>
      <c r="D3728" s="3"/>
    </row>
    <row r="3729" spans="1:4">
      <c r="A3729" s="3"/>
      <c r="D3729" s="3"/>
    </row>
    <row r="3730" spans="1:4">
      <c r="A3730" s="3"/>
      <c r="D3730" s="3"/>
    </row>
    <row r="3731" spans="1:4">
      <c r="A3731" s="3"/>
      <c r="D3731" s="3"/>
    </row>
    <row r="3732" spans="1:4">
      <c r="A3732" s="3"/>
      <c r="D3732" s="3"/>
    </row>
    <row r="3733" spans="1:4">
      <c r="A3733" s="3"/>
      <c r="D3733" s="3"/>
    </row>
    <row r="3734" spans="1:4">
      <c r="A3734" s="3"/>
      <c r="D3734" s="3"/>
    </row>
    <row r="3735" spans="1:4">
      <c r="A3735" s="3"/>
      <c r="D3735" s="3"/>
    </row>
    <row r="3736" spans="1:4">
      <c r="A3736" s="3"/>
      <c r="D3736" s="3"/>
    </row>
    <row r="3737" spans="1:4">
      <c r="A3737" s="3"/>
      <c r="D3737" s="3"/>
    </row>
    <row r="3738" spans="1:4">
      <c r="A3738" s="3"/>
      <c r="D3738" s="3"/>
    </row>
    <row r="3739" spans="1:4">
      <c r="A3739" s="3"/>
      <c r="D3739" s="3"/>
    </row>
    <row r="3740" spans="1:4">
      <c r="A3740" s="3"/>
      <c r="D3740" s="3"/>
    </row>
    <row r="3741" spans="1:4">
      <c r="A3741" s="3"/>
      <c r="D3741" s="3"/>
    </row>
    <row r="3742" spans="1:4">
      <c r="A3742" s="3"/>
      <c r="D3742" s="3"/>
    </row>
    <row r="3743" spans="1:4">
      <c r="A3743" s="3"/>
      <c r="D3743" s="3"/>
    </row>
    <row r="3744" spans="1:4">
      <c r="A3744" s="3"/>
      <c r="D3744" s="3"/>
    </row>
    <row r="3745" spans="1:4">
      <c r="A3745" s="3"/>
      <c r="D3745" s="3"/>
    </row>
    <row r="3746" spans="1:4">
      <c r="A3746" s="3"/>
      <c r="D3746" s="3"/>
    </row>
    <row r="3747" spans="1:4">
      <c r="A3747" s="3"/>
      <c r="D3747" s="3"/>
    </row>
    <row r="3748" spans="1:4">
      <c r="A3748" s="3"/>
      <c r="D3748" s="3"/>
    </row>
    <row r="3749" spans="1:4">
      <c r="A3749" s="3"/>
      <c r="D3749" s="3"/>
    </row>
    <row r="3750" spans="1:4">
      <c r="A3750" s="3"/>
      <c r="D3750" s="3"/>
    </row>
    <row r="3751" spans="1:4">
      <c r="A3751" s="3"/>
      <c r="D3751" s="3"/>
    </row>
    <row r="3752" spans="1:4">
      <c r="A3752" s="3"/>
      <c r="D3752" s="3"/>
    </row>
    <row r="3753" spans="1:4">
      <c r="A3753" s="3"/>
      <c r="D3753" s="3"/>
    </row>
    <row r="3754" spans="1:4">
      <c r="A3754" s="3"/>
      <c r="D3754" s="3"/>
    </row>
    <row r="3755" spans="1:4">
      <c r="A3755" s="3"/>
      <c r="D3755" s="3"/>
    </row>
    <row r="3756" spans="1:4">
      <c r="A3756" s="3"/>
      <c r="D3756" s="3"/>
    </row>
    <row r="3757" spans="1:4">
      <c r="A3757" s="3"/>
      <c r="D3757" s="3"/>
    </row>
    <row r="3758" spans="1:4">
      <c r="A3758" s="3"/>
      <c r="D3758" s="3"/>
    </row>
    <row r="3759" spans="1:4">
      <c r="A3759" s="3"/>
      <c r="D3759" s="3"/>
    </row>
    <row r="3760" spans="1:4">
      <c r="A3760" s="3"/>
      <c r="D3760" s="3"/>
    </row>
    <row r="3761" spans="1:4">
      <c r="A3761" s="3"/>
      <c r="D3761" s="3"/>
    </row>
    <row r="3762" spans="1:4">
      <c r="A3762" s="3"/>
      <c r="D3762" s="3"/>
    </row>
    <row r="3763" spans="1:4">
      <c r="A3763" s="3"/>
      <c r="D3763" s="3"/>
    </row>
    <row r="3764" spans="1:4">
      <c r="A3764" s="3"/>
      <c r="D3764" s="3"/>
    </row>
    <row r="3765" spans="1:4">
      <c r="A3765" s="3"/>
      <c r="D3765" s="3"/>
    </row>
    <row r="3766" spans="1:4">
      <c r="A3766" s="3"/>
      <c r="D3766" s="3"/>
    </row>
    <row r="3767" spans="1:4">
      <c r="A3767" s="3"/>
      <c r="D3767" s="3"/>
    </row>
    <row r="3768" spans="1:4">
      <c r="A3768" s="3"/>
      <c r="D3768" s="3"/>
    </row>
    <row r="3769" spans="1:4">
      <c r="A3769" s="3"/>
      <c r="D3769" s="3"/>
    </row>
    <row r="3770" spans="1:4">
      <c r="A3770" s="3"/>
      <c r="D3770" s="3"/>
    </row>
    <row r="3771" spans="1:4">
      <c r="A3771" s="3"/>
      <c r="D3771" s="3"/>
    </row>
    <row r="3772" spans="1:4">
      <c r="A3772" s="3"/>
      <c r="D3772" s="3"/>
    </row>
    <row r="3773" spans="1:4">
      <c r="A3773" s="3"/>
      <c r="D3773" s="3"/>
    </row>
    <row r="3774" spans="1:4">
      <c r="A3774" s="3"/>
      <c r="D3774" s="3"/>
    </row>
    <row r="3775" spans="1:4">
      <c r="A3775" s="3"/>
      <c r="D3775" s="3"/>
    </row>
    <row r="3776" spans="1:4">
      <c r="A3776" s="3"/>
      <c r="D3776" s="3"/>
    </row>
    <row r="3777" spans="1:4">
      <c r="A3777" s="3"/>
      <c r="D3777" s="3"/>
    </row>
    <row r="3778" spans="1:4">
      <c r="A3778" s="3"/>
      <c r="D3778" s="3"/>
    </row>
    <row r="3779" spans="1:4">
      <c r="A3779" s="3"/>
      <c r="D3779" s="3"/>
    </row>
    <row r="3780" spans="1:4">
      <c r="A3780" s="3"/>
      <c r="D3780" s="3"/>
    </row>
    <row r="3781" spans="1:4">
      <c r="A3781" s="3"/>
      <c r="D3781" s="3"/>
    </row>
    <row r="3782" spans="1:4">
      <c r="A3782" s="3"/>
      <c r="D3782" s="3"/>
    </row>
    <row r="3783" spans="1:4">
      <c r="A3783" s="3"/>
      <c r="D3783" s="3"/>
    </row>
    <row r="3784" spans="1:4">
      <c r="A3784" s="3"/>
      <c r="D3784" s="3"/>
    </row>
    <row r="3785" spans="1:4">
      <c r="A3785" s="3"/>
      <c r="D3785" s="3"/>
    </row>
    <row r="3786" spans="1:4">
      <c r="A3786" s="3"/>
      <c r="D3786" s="3"/>
    </row>
    <row r="3787" spans="1:4">
      <c r="A3787" s="3"/>
      <c r="D3787" s="3"/>
    </row>
    <row r="3788" spans="1:4">
      <c r="A3788" s="3"/>
      <c r="D3788" s="3"/>
    </row>
    <row r="3789" spans="1:4">
      <c r="A3789" s="3"/>
      <c r="D3789" s="3"/>
    </row>
    <row r="3790" spans="1:4">
      <c r="A3790" s="3"/>
      <c r="D3790" s="3"/>
    </row>
    <row r="3791" spans="1:4">
      <c r="A3791" s="3"/>
      <c r="D3791" s="3"/>
    </row>
    <row r="3792" spans="1:4">
      <c r="A3792" s="3"/>
      <c r="D3792" s="3"/>
    </row>
    <row r="3793" spans="1:4">
      <c r="A3793" s="3"/>
      <c r="D3793" s="3"/>
    </row>
    <row r="3794" spans="1:4">
      <c r="A3794" s="3"/>
      <c r="D3794" s="3"/>
    </row>
    <row r="3795" spans="1:4">
      <c r="A3795" s="3"/>
      <c r="D3795" s="3"/>
    </row>
    <row r="3796" spans="1:4">
      <c r="A3796" s="3"/>
      <c r="D3796" s="3"/>
    </row>
    <row r="3797" spans="1:4">
      <c r="A3797" s="3"/>
      <c r="D3797" s="3"/>
    </row>
    <row r="3798" spans="1:4">
      <c r="A3798" s="3"/>
      <c r="D3798" s="3"/>
    </row>
    <row r="3799" spans="1:4">
      <c r="A3799" s="3"/>
      <c r="D3799" s="3"/>
    </row>
    <row r="3800" spans="1:4">
      <c r="A3800" s="3"/>
      <c r="D3800" s="3"/>
    </row>
    <row r="3801" spans="1:4">
      <c r="A3801" s="3"/>
      <c r="D3801" s="3"/>
    </row>
    <row r="3802" spans="1:4">
      <c r="A3802" s="3"/>
      <c r="D3802" s="3"/>
    </row>
    <row r="3803" spans="1:4">
      <c r="A3803" s="3"/>
      <c r="D3803" s="3"/>
    </row>
    <row r="3804" spans="1:4">
      <c r="A3804" s="3"/>
      <c r="D3804" s="3"/>
    </row>
    <row r="3805" spans="1:4">
      <c r="A3805" s="3"/>
      <c r="D3805" s="3"/>
    </row>
    <row r="3806" spans="1:4">
      <c r="A3806" s="3"/>
      <c r="D3806" s="3"/>
    </row>
    <row r="3807" spans="1:4">
      <c r="A3807" s="3"/>
      <c r="D3807" s="3"/>
    </row>
    <row r="3808" spans="1:4">
      <c r="A3808" s="3"/>
      <c r="D3808" s="3"/>
    </row>
    <row r="3809" spans="1:4">
      <c r="A3809" s="3"/>
      <c r="D3809" s="3"/>
    </row>
    <row r="3810" spans="1:4">
      <c r="A3810" s="3"/>
      <c r="D3810" s="3"/>
    </row>
    <row r="3811" spans="1:4">
      <c r="A3811" s="3"/>
      <c r="D3811" s="3"/>
    </row>
    <row r="3812" spans="1:4">
      <c r="A3812" s="3"/>
      <c r="D3812" s="3"/>
    </row>
    <row r="3813" spans="1:4">
      <c r="A3813" s="3"/>
      <c r="D3813" s="3"/>
    </row>
    <row r="3814" spans="1:4">
      <c r="A3814" s="3"/>
      <c r="D3814" s="3"/>
    </row>
    <row r="3815" spans="1:4">
      <c r="A3815" s="3"/>
      <c r="D3815" s="3"/>
    </row>
    <row r="3816" spans="1:4">
      <c r="A3816" s="3"/>
      <c r="D3816" s="3"/>
    </row>
    <row r="3817" spans="1:4">
      <c r="A3817" s="3"/>
      <c r="D3817" s="3"/>
    </row>
    <row r="3818" spans="1:4">
      <c r="A3818" s="3"/>
      <c r="D3818" s="3"/>
    </row>
    <row r="3819" spans="1:4">
      <c r="A3819" s="3"/>
      <c r="D3819" s="3"/>
    </row>
    <row r="3820" spans="1:4">
      <c r="A3820" s="3"/>
      <c r="D3820" s="3"/>
    </row>
    <row r="3821" spans="1:4">
      <c r="A3821" s="3"/>
      <c r="D3821" s="3"/>
    </row>
    <row r="3822" spans="1:4">
      <c r="A3822" s="3"/>
      <c r="D3822" s="3"/>
    </row>
    <row r="3823" spans="1:4">
      <c r="A3823" s="3"/>
      <c r="D3823" s="3"/>
    </row>
    <row r="3824" spans="1:4">
      <c r="A3824" s="3"/>
      <c r="D3824" s="3"/>
    </row>
    <row r="3825" spans="1:4">
      <c r="A3825" s="3"/>
      <c r="D3825" s="3"/>
    </row>
    <row r="3826" spans="1:4">
      <c r="A3826" s="3"/>
      <c r="D3826" s="3"/>
    </row>
    <row r="3827" spans="1:4">
      <c r="A3827" s="3"/>
      <c r="D3827" s="3"/>
    </row>
    <row r="3828" spans="1:4">
      <c r="A3828" s="3"/>
      <c r="D3828" s="3"/>
    </row>
    <row r="3829" spans="1:4">
      <c r="A3829" s="3"/>
      <c r="D3829" s="3"/>
    </row>
    <row r="3830" spans="1:4">
      <c r="A3830" s="3"/>
      <c r="D3830" s="3"/>
    </row>
    <row r="3831" spans="1:4">
      <c r="A3831" s="3"/>
      <c r="D3831" s="3"/>
    </row>
    <row r="3832" spans="1:4">
      <c r="A3832" s="3"/>
      <c r="D3832" s="3"/>
    </row>
    <row r="3833" spans="1:4">
      <c r="A3833" s="3"/>
      <c r="D3833" s="3"/>
    </row>
    <row r="3834" spans="1:4">
      <c r="A3834" s="3"/>
      <c r="D3834" s="3"/>
    </row>
    <row r="3835" spans="1:4">
      <c r="A3835" s="3"/>
      <c r="D3835" s="3"/>
    </row>
    <row r="3836" spans="1:4">
      <c r="A3836" s="3"/>
      <c r="D3836" s="3"/>
    </row>
    <row r="3837" spans="1:4">
      <c r="A3837" s="3"/>
      <c r="D3837" s="3"/>
    </row>
    <row r="3838" spans="1:4">
      <c r="A3838" s="3"/>
      <c r="D3838" s="3"/>
    </row>
    <row r="3839" spans="1:4">
      <c r="A3839" s="3"/>
      <c r="D3839" s="3"/>
    </row>
    <row r="3840" spans="1:4">
      <c r="A3840" s="3"/>
      <c r="D3840" s="3"/>
    </row>
    <row r="3841" spans="1:4">
      <c r="A3841" s="3"/>
      <c r="D3841" s="3"/>
    </row>
    <row r="3842" spans="1:4">
      <c r="A3842" s="3"/>
      <c r="D3842" s="3"/>
    </row>
    <row r="3843" spans="1:4">
      <c r="A3843" s="3"/>
      <c r="D3843" s="3"/>
    </row>
    <row r="3844" spans="1:4">
      <c r="A3844" s="3"/>
      <c r="D3844" s="3"/>
    </row>
    <row r="3845" spans="1:4">
      <c r="A3845" s="3"/>
      <c r="D3845" s="3"/>
    </row>
    <row r="3846" spans="1:4">
      <c r="A3846" s="3"/>
      <c r="D3846" s="3"/>
    </row>
    <row r="3847" spans="1:4">
      <c r="A3847" s="3"/>
      <c r="D3847" s="3"/>
    </row>
    <row r="3848" spans="1:4">
      <c r="A3848" s="3"/>
      <c r="D3848" s="3"/>
    </row>
    <row r="3849" spans="1:4">
      <c r="A3849" s="3"/>
      <c r="D3849" s="3"/>
    </row>
    <row r="3850" spans="1:4">
      <c r="A3850" s="3"/>
      <c r="D3850" s="3"/>
    </row>
    <row r="3851" spans="1:4">
      <c r="A3851" s="3"/>
      <c r="D3851" s="3"/>
    </row>
    <row r="3852" spans="1:4">
      <c r="A3852" s="3"/>
      <c r="D3852" s="3"/>
    </row>
    <row r="3853" spans="1:4">
      <c r="A3853" s="3"/>
      <c r="D3853" s="3"/>
    </row>
    <row r="3854" spans="1:4">
      <c r="A3854" s="3"/>
      <c r="D3854" s="3"/>
    </row>
    <row r="3855" spans="1:4">
      <c r="A3855" s="3"/>
      <c r="D3855" s="3"/>
    </row>
    <row r="3856" spans="1:4">
      <c r="A3856" s="3"/>
      <c r="D3856" s="3"/>
    </row>
    <row r="3857" spans="1:4">
      <c r="A3857" s="3"/>
      <c r="D3857" s="3"/>
    </row>
    <row r="3858" spans="1:4">
      <c r="A3858" s="3"/>
      <c r="D3858" s="3"/>
    </row>
    <row r="3859" spans="1:4">
      <c r="A3859" s="3"/>
      <c r="D3859" s="3"/>
    </row>
    <row r="3860" spans="1:4">
      <c r="A3860" s="3"/>
      <c r="D3860" s="3"/>
    </row>
    <row r="3861" spans="1:4">
      <c r="A3861" s="3"/>
      <c r="D3861" s="3"/>
    </row>
    <row r="3862" spans="1:4">
      <c r="A3862" s="3"/>
      <c r="D3862" s="3"/>
    </row>
    <row r="3863" spans="1:4">
      <c r="A3863" s="3"/>
      <c r="D3863" s="3"/>
    </row>
    <row r="3864" spans="1:4">
      <c r="A3864" s="3"/>
      <c r="D3864" s="3"/>
    </row>
    <row r="3865" spans="1:4">
      <c r="A3865" s="3"/>
      <c r="D3865" s="3"/>
    </row>
    <row r="3866" spans="1:4">
      <c r="A3866" s="3"/>
      <c r="D3866" s="3"/>
    </row>
    <row r="3867" spans="1:4">
      <c r="A3867" s="3"/>
      <c r="D3867" s="3"/>
    </row>
    <row r="3868" spans="1:4">
      <c r="A3868" s="3"/>
      <c r="D3868" s="3"/>
    </row>
    <row r="3869" spans="1:4">
      <c r="A3869" s="3"/>
      <c r="D3869" s="3"/>
    </row>
    <row r="3870" spans="1:4">
      <c r="A3870" s="3"/>
      <c r="D3870" s="3"/>
    </row>
    <row r="3871" spans="1:4">
      <c r="A3871" s="3"/>
      <c r="D3871" s="3"/>
    </row>
    <row r="3872" spans="1:4">
      <c r="A3872" s="3"/>
      <c r="D3872" s="3"/>
    </row>
    <row r="3873" spans="1:4">
      <c r="A3873" s="3"/>
      <c r="D3873" s="3"/>
    </row>
    <row r="3874" spans="1:4">
      <c r="A3874" s="3"/>
      <c r="D3874" s="3"/>
    </row>
    <row r="3875" spans="1:4">
      <c r="A3875" s="3"/>
      <c r="D3875" s="3"/>
    </row>
    <row r="3876" spans="1:4">
      <c r="A3876" s="3"/>
      <c r="D3876" s="3"/>
    </row>
    <row r="3877" spans="1:4">
      <c r="A3877" s="3"/>
      <c r="D3877" s="3"/>
    </row>
    <row r="3878" spans="1:4">
      <c r="A3878" s="3"/>
      <c r="D3878" s="3"/>
    </row>
    <row r="3879" spans="1:4">
      <c r="A3879" s="3"/>
      <c r="D3879" s="3"/>
    </row>
    <row r="3880" spans="1:4">
      <c r="A3880" s="3"/>
      <c r="D3880" s="3"/>
    </row>
    <row r="3881" spans="1:4">
      <c r="A3881" s="3"/>
      <c r="D3881" s="3"/>
    </row>
    <row r="3882" spans="1:4">
      <c r="A3882" s="3"/>
      <c r="D3882" s="3"/>
    </row>
    <row r="3883" spans="1:4">
      <c r="A3883" s="3"/>
      <c r="D3883" s="3"/>
    </row>
    <row r="3884" spans="1:4">
      <c r="A3884" s="3"/>
      <c r="D3884" s="3"/>
    </row>
    <row r="3885" spans="1:4">
      <c r="A3885" s="3"/>
      <c r="D3885" s="3"/>
    </row>
    <row r="3886" spans="1:4">
      <c r="A3886" s="3"/>
      <c r="D3886" s="3"/>
    </row>
    <row r="3887" spans="1:4">
      <c r="A3887" s="3"/>
      <c r="D3887" s="3"/>
    </row>
    <row r="3888" spans="1:4">
      <c r="A3888" s="3"/>
      <c r="D3888" s="3"/>
    </row>
    <row r="3889" spans="1:4">
      <c r="A3889" s="3"/>
      <c r="D3889" s="3"/>
    </row>
    <row r="3890" spans="1:4">
      <c r="A3890" s="3"/>
      <c r="D3890" s="3"/>
    </row>
    <row r="3891" spans="1:4">
      <c r="A3891" s="3"/>
      <c r="D3891" s="3"/>
    </row>
    <row r="3892" spans="1:4">
      <c r="A3892" s="3"/>
      <c r="D3892" s="3"/>
    </row>
    <row r="3893" spans="1:4">
      <c r="A3893" s="3"/>
      <c r="D3893" s="3"/>
    </row>
    <row r="3894" spans="1:4">
      <c r="A3894" s="3"/>
      <c r="D3894" s="3"/>
    </row>
    <row r="3895" spans="1:4">
      <c r="A3895" s="3"/>
      <c r="D3895" s="3"/>
    </row>
    <row r="3896" spans="1:4">
      <c r="A3896" s="3"/>
      <c r="D3896" s="3"/>
    </row>
    <row r="3897" spans="1:4">
      <c r="A3897" s="3"/>
      <c r="D3897" s="3"/>
    </row>
    <row r="3898" spans="1:4">
      <c r="A3898" s="3"/>
      <c r="D3898" s="3"/>
    </row>
    <row r="3899" spans="1:4">
      <c r="A3899" s="3"/>
      <c r="D3899" s="3"/>
    </row>
    <row r="3900" spans="1:4">
      <c r="A3900" s="3"/>
      <c r="D3900" s="3"/>
    </row>
    <row r="3901" spans="1:4">
      <c r="A3901" s="3"/>
      <c r="D3901" s="3"/>
    </row>
    <row r="3902" spans="1:4">
      <c r="A3902" s="3"/>
      <c r="D3902" s="3"/>
    </row>
    <row r="3903" spans="1:4">
      <c r="A3903" s="3"/>
      <c r="D3903" s="3"/>
    </row>
    <row r="3904" spans="1:4">
      <c r="A3904" s="3"/>
      <c r="D3904" s="3"/>
    </row>
    <row r="3905" spans="1:4">
      <c r="A3905" s="3"/>
      <c r="D3905" s="3"/>
    </row>
    <row r="3906" spans="1:4">
      <c r="A3906" s="3"/>
      <c r="D3906" s="3"/>
    </row>
    <row r="3907" spans="1:4">
      <c r="A3907" s="3"/>
      <c r="D3907" s="3"/>
    </row>
    <row r="3908" spans="1:4">
      <c r="A3908" s="3"/>
      <c r="D3908" s="3"/>
    </row>
    <row r="3909" spans="1:4">
      <c r="A3909" s="3"/>
      <c r="D3909" s="3"/>
    </row>
    <row r="3910" spans="1:4">
      <c r="A3910" s="3"/>
      <c r="D3910" s="3"/>
    </row>
    <row r="3911" spans="1:4">
      <c r="A3911" s="3"/>
      <c r="D3911" s="3"/>
    </row>
    <row r="3912" spans="1:4">
      <c r="A3912" s="3"/>
      <c r="D3912" s="3"/>
    </row>
    <row r="3913" spans="1:4">
      <c r="A3913" s="3"/>
      <c r="D3913" s="3"/>
    </row>
    <row r="3914" spans="1:4">
      <c r="A3914" s="3"/>
      <c r="D3914" s="3"/>
    </row>
    <row r="3915" spans="1:4">
      <c r="A3915" s="3"/>
      <c r="D3915" s="3"/>
    </row>
    <row r="3916" spans="1:4">
      <c r="A3916" s="3"/>
      <c r="D3916" s="3"/>
    </row>
    <row r="3917" spans="1:4">
      <c r="A3917" s="3"/>
      <c r="D3917" s="3"/>
    </row>
    <row r="3918" spans="1:4">
      <c r="A3918" s="3"/>
      <c r="D3918" s="3"/>
    </row>
    <row r="3919" spans="1:4">
      <c r="A3919" s="3"/>
      <c r="D3919" s="3"/>
    </row>
    <row r="3920" spans="1:4">
      <c r="A3920" s="3"/>
      <c r="D3920" s="3"/>
    </row>
    <row r="3921" spans="1:4">
      <c r="A3921" s="3"/>
      <c r="D3921" s="3"/>
    </row>
    <row r="3922" spans="1:4">
      <c r="A3922" s="3"/>
      <c r="D3922" s="3"/>
    </row>
    <row r="3923" spans="1:4">
      <c r="A3923" s="3"/>
      <c r="D3923" s="3"/>
    </row>
    <row r="3924" spans="1:4">
      <c r="A3924" s="3"/>
      <c r="D3924" s="3"/>
    </row>
    <row r="3925" spans="1:4">
      <c r="A3925" s="3"/>
      <c r="D3925" s="3"/>
    </row>
    <row r="3926" spans="1:4">
      <c r="A3926" s="3"/>
      <c r="D3926" s="3"/>
    </row>
    <row r="3927" spans="1:4">
      <c r="A3927" s="3"/>
      <c r="D3927" s="3"/>
    </row>
    <row r="3928" spans="1:4">
      <c r="A3928" s="3"/>
      <c r="D3928" s="3"/>
    </row>
    <row r="3929" spans="1:4">
      <c r="A3929" s="3"/>
      <c r="D3929" s="3"/>
    </row>
    <row r="3930" spans="1:4">
      <c r="A3930" s="3"/>
      <c r="D3930" s="3"/>
    </row>
    <row r="3931" spans="1:4">
      <c r="A3931" s="3"/>
      <c r="D3931" s="3"/>
    </row>
    <row r="3932" spans="1:4">
      <c r="A3932" s="3"/>
      <c r="D3932" s="3"/>
    </row>
    <row r="3933" spans="1:4">
      <c r="A3933" s="3"/>
      <c r="D3933" s="3"/>
    </row>
    <row r="3934" spans="1:4">
      <c r="A3934" s="3"/>
      <c r="D3934" s="3"/>
    </row>
    <row r="3935" spans="1:4">
      <c r="A3935" s="3"/>
      <c r="D3935" s="3"/>
    </row>
    <row r="3936" spans="1:4">
      <c r="A3936" s="3"/>
      <c r="D3936" s="3"/>
    </row>
    <row r="3937" spans="1:4">
      <c r="A3937" s="3"/>
      <c r="D3937" s="3"/>
    </row>
    <row r="3938" spans="1:4">
      <c r="A3938" s="3"/>
      <c r="D3938" s="3"/>
    </row>
    <row r="3939" spans="1:4">
      <c r="A3939" s="3"/>
      <c r="D3939" s="3"/>
    </row>
    <row r="3940" spans="1:4">
      <c r="A3940" s="3"/>
      <c r="D3940" s="3"/>
    </row>
    <row r="3941" spans="1:4">
      <c r="A3941" s="3"/>
      <c r="D3941" s="3"/>
    </row>
    <row r="3942" spans="1:4">
      <c r="A3942" s="3"/>
      <c r="D3942" s="3"/>
    </row>
    <row r="3943" spans="1:4">
      <c r="A3943" s="3"/>
      <c r="D3943" s="3"/>
    </row>
    <row r="3944" spans="1:4">
      <c r="A3944" s="3"/>
      <c r="D3944" s="3"/>
    </row>
    <row r="3945" spans="1:4">
      <c r="A3945" s="3"/>
      <c r="D3945" s="3"/>
    </row>
    <row r="3946" spans="1:4">
      <c r="A3946" s="3"/>
      <c r="D3946" s="3"/>
    </row>
    <row r="3947" spans="1:4">
      <c r="A3947" s="3"/>
      <c r="D3947" s="3"/>
    </row>
    <row r="3948" spans="1:4">
      <c r="A3948" s="3"/>
      <c r="D3948" s="3"/>
    </row>
    <row r="3949" spans="1:4">
      <c r="A3949" s="3"/>
      <c r="D3949" s="3"/>
    </row>
    <row r="3950" spans="1:4">
      <c r="A3950" s="3"/>
      <c r="D3950" s="3"/>
    </row>
    <row r="3951" spans="1:4">
      <c r="A3951" s="3"/>
      <c r="D3951" s="3"/>
    </row>
    <row r="3952" spans="1:4">
      <c r="A3952" s="3"/>
      <c r="D3952" s="3"/>
    </row>
    <row r="3953" spans="1:4">
      <c r="A3953" s="3"/>
      <c r="D3953" s="3"/>
    </row>
    <row r="3954" spans="1:4">
      <c r="A3954" s="3"/>
      <c r="D3954" s="3"/>
    </row>
    <row r="3955" spans="1:4">
      <c r="A3955" s="3"/>
      <c r="D3955" s="3"/>
    </row>
    <row r="3956" spans="1:4">
      <c r="A3956" s="3"/>
      <c r="D3956" s="3"/>
    </row>
    <row r="3957" spans="1:4">
      <c r="A3957" s="3"/>
      <c r="D3957" s="3"/>
    </row>
    <row r="3958" spans="1:4">
      <c r="A3958" s="3"/>
      <c r="D3958" s="3"/>
    </row>
    <row r="3959" spans="1:4">
      <c r="A3959" s="3"/>
      <c r="D3959" s="3"/>
    </row>
    <row r="3960" spans="1:4">
      <c r="A3960" s="3"/>
      <c r="D3960" s="3"/>
    </row>
    <row r="3961" spans="1:4">
      <c r="A3961" s="3"/>
      <c r="D3961" s="3"/>
    </row>
    <row r="3962" spans="1:4">
      <c r="A3962" s="3"/>
      <c r="D3962" s="3"/>
    </row>
    <row r="3963" spans="1:4">
      <c r="A3963" s="3"/>
      <c r="D3963" s="3"/>
    </row>
    <row r="3964" spans="1:4">
      <c r="A3964" s="3"/>
      <c r="D3964" s="3"/>
    </row>
    <row r="3965" spans="1:4">
      <c r="A3965" s="3"/>
      <c r="D3965" s="3"/>
    </row>
    <row r="3966" spans="1:4">
      <c r="A3966" s="3"/>
      <c r="D3966" s="3"/>
    </row>
    <row r="3967" spans="1:4">
      <c r="A3967" s="3"/>
      <c r="D3967" s="3"/>
    </row>
    <row r="3968" spans="1:4">
      <c r="A3968" s="3"/>
      <c r="D3968" s="3"/>
    </row>
    <row r="3969" spans="1:4">
      <c r="A3969" s="3"/>
      <c r="D3969" s="3"/>
    </row>
    <row r="3970" spans="1:4">
      <c r="A3970" s="3"/>
      <c r="D3970" s="3"/>
    </row>
    <row r="3971" spans="1:4">
      <c r="A3971" s="3"/>
      <c r="D3971" s="3"/>
    </row>
    <row r="3972" spans="1:4">
      <c r="A3972" s="3"/>
      <c r="D3972" s="3"/>
    </row>
    <row r="3973" spans="1:4">
      <c r="A3973" s="3"/>
      <c r="D3973" s="3"/>
    </row>
    <row r="3974" spans="1:4">
      <c r="A3974" s="3"/>
      <c r="D3974" s="3"/>
    </row>
    <row r="3975" spans="1:4">
      <c r="A3975" s="3"/>
      <c r="D3975" s="3"/>
    </row>
    <row r="3976" spans="1:4">
      <c r="A3976" s="3"/>
      <c r="D3976" s="3"/>
    </row>
    <row r="3977" spans="1:4">
      <c r="A3977" s="3"/>
      <c r="D3977" s="3"/>
    </row>
    <row r="3978" spans="1:4">
      <c r="A3978" s="3"/>
      <c r="D3978" s="3"/>
    </row>
    <row r="3979" spans="1:4">
      <c r="A3979" s="3"/>
      <c r="D3979" s="3"/>
    </row>
    <row r="3980" spans="1:4">
      <c r="A3980" s="3"/>
      <c r="D3980" s="3"/>
    </row>
    <row r="3981" spans="1:4">
      <c r="A3981" s="3"/>
      <c r="D3981" s="3"/>
    </row>
    <row r="3982" spans="1:4">
      <c r="A3982" s="3"/>
      <c r="D3982" s="3"/>
    </row>
    <row r="3983" spans="1:4">
      <c r="A3983" s="3"/>
      <c r="D3983" s="3"/>
    </row>
    <row r="3984" spans="1:4">
      <c r="A3984" s="3"/>
      <c r="D3984" s="3"/>
    </row>
    <row r="3985" spans="1:4">
      <c r="A3985" s="3"/>
      <c r="D3985" s="3"/>
    </row>
    <row r="3986" spans="1:4">
      <c r="A3986" s="3"/>
      <c r="D3986" s="3"/>
    </row>
    <row r="3987" spans="1:4">
      <c r="A3987" s="3"/>
      <c r="D3987" s="3"/>
    </row>
    <row r="3988" spans="1:4">
      <c r="A3988" s="3"/>
      <c r="D3988" s="3"/>
    </row>
    <row r="3989" spans="1:4">
      <c r="A3989" s="3"/>
      <c r="D3989" s="3"/>
    </row>
    <row r="3990" spans="1:4">
      <c r="A3990" s="3"/>
      <c r="D3990" s="3"/>
    </row>
    <row r="3991" spans="1:4">
      <c r="A3991" s="3"/>
      <c r="D3991" s="3"/>
    </row>
    <row r="3992" spans="1:4">
      <c r="A3992" s="3"/>
      <c r="D3992" s="3"/>
    </row>
    <row r="3993" spans="1:4">
      <c r="A3993" s="3"/>
      <c r="D3993" s="3"/>
    </row>
    <row r="3994" spans="1:4">
      <c r="A3994" s="3"/>
      <c r="D3994" s="3"/>
    </row>
    <row r="3995" spans="1:4">
      <c r="A3995" s="3"/>
      <c r="D3995" s="3"/>
    </row>
    <row r="3996" spans="1:4">
      <c r="A3996" s="3"/>
      <c r="D3996" s="3"/>
    </row>
    <row r="3997" spans="1:4">
      <c r="A3997" s="3"/>
      <c r="D3997" s="3"/>
    </row>
    <row r="3998" spans="1:4">
      <c r="A3998" s="3"/>
      <c r="D3998" s="3"/>
    </row>
    <row r="3999" spans="1:4">
      <c r="A3999" s="3"/>
      <c r="D3999" s="3"/>
    </row>
    <row r="4000" spans="1:4">
      <c r="A4000" s="3"/>
      <c r="D4000" s="3"/>
    </row>
    <row r="4001" spans="1:4">
      <c r="A4001" s="3"/>
      <c r="D4001" s="3"/>
    </row>
    <row r="4002" spans="1:4">
      <c r="A4002" s="3"/>
      <c r="D4002" s="3"/>
    </row>
    <row r="4003" spans="1:4">
      <c r="A4003" s="3"/>
      <c r="D4003" s="3"/>
    </row>
    <row r="4004" spans="1:4">
      <c r="A4004" s="3"/>
      <c r="D4004" s="3"/>
    </row>
    <row r="4005" spans="1:4">
      <c r="A4005" s="3"/>
      <c r="D4005" s="3"/>
    </row>
    <row r="4006" spans="1:4">
      <c r="A4006" s="3"/>
      <c r="D4006" s="3"/>
    </row>
    <row r="4007" spans="1:4">
      <c r="A4007" s="3"/>
      <c r="D4007" s="3"/>
    </row>
    <row r="4008" spans="1:4">
      <c r="A4008" s="3"/>
      <c r="D4008" s="3"/>
    </row>
    <row r="4009" spans="1:4">
      <c r="A4009" s="3"/>
      <c r="D4009" s="3"/>
    </row>
    <row r="4010" spans="1:4">
      <c r="A4010" s="3"/>
      <c r="D4010" s="3"/>
    </row>
    <row r="4011" spans="1:4">
      <c r="A4011" s="3"/>
      <c r="D4011" s="3"/>
    </row>
    <row r="4012" spans="1:4">
      <c r="A4012" s="3"/>
      <c r="D4012" s="3"/>
    </row>
    <row r="4013" spans="1:4">
      <c r="A4013" s="3"/>
      <c r="D4013" s="3"/>
    </row>
    <row r="4014" spans="1:4">
      <c r="A4014" s="3"/>
      <c r="D4014" s="3"/>
    </row>
    <row r="4015" spans="1:4">
      <c r="A4015" s="3"/>
      <c r="D4015" s="3"/>
    </row>
    <row r="4016" spans="1:4">
      <c r="A4016" s="3"/>
      <c r="D4016" s="3"/>
    </row>
    <row r="4017" spans="1:4">
      <c r="A4017" s="3"/>
      <c r="D4017" s="3"/>
    </row>
    <row r="4018" spans="1:4">
      <c r="A4018" s="3"/>
      <c r="D4018" s="3"/>
    </row>
    <row r="4019" spans="1:4">
      <c r="A4019" s="3"/>
      <c r="D4019" s="3"/>
    </row>
    <row r="4020" spans="1:4">
      <c r="A4020" s="3"/>
      <c r="D4020" s="3"/>
    </row>
    <row r="4021" spans="1:4">
      <c r="A4021" s="3"/>
      <c r="D4021" s="3"/>
    </row>
    <row r="4022" spans="1:4">
      <c r="A4022" s="3"/>
      <c r="D4022" s="3"/>
    </row>
    <row r="4023" spans="1:4">
      <c r="A4023" s="3"/>
      <c r="D4023" s="3"/>
    </row>
    <row r="4024" spans="1:4">
      <c r="A4024" s="3"/>
      <c r="D4024" s="3"/>
    </row>
    <row r="4025" spans="1:4">
      <c r="A4025" s="3"/>
      <c r="D4025" s="3"/>
    </row>
    <row r="4026" spans="1:4">
      <c r="A4026" s="3"/>
      <c r="D4026" s="3"/>
    </row>
    <row r="4027" spans="1:4">
      <c r="A4027" s="3"/>
      <c r="D4027" s="3"/>
    </row>
    <row r="4028" spans="1:4">
      <c r="A4028" s="3"/>
      <c r="D4028" s="3"/>
    </row>
    <row r="4029" spans="1:4">
      <c r="A4029" s="3"/>
      <c r="D4029" s="3"/>
    </row>
    <row r="4030" spans="1:4">
      <c r="A4030" s="3"/>
      <c r="D4030" s="3"/>
    </row>
    <row r="4031" spans="1:4">
      <c r="A4031" s="3"/>
      <c r="D4031" s="3"/>
    </row>
    <row r="4032" spans="1:4">
      <c r="A4032" s="3"/>
      <c r="D4032" s="3"/>
    </row>
    <row r="4033" spans="1:4">
      <c r="A4033" s="3"/>
      <c r="D4033" s="3"/>
    </row>
    <row r="4034" spans="1:4">
      <c r="A4034" s="3"/>
      <c r="D4034" s="3"/>
    </row>
    <row r="4035" spans="1:4">
      <c r="A4035" s="3"/>
      <c r="D4035" s="3"/>
    </row>
    <row r="4036" spans="1:4">
      <c r="A4036" s="3"/>
      <c r="D4036" s="3"/>
    </row>
    <row r="4037" spans="1:4">
      <c r="A4037" s="3"/>
      <c r="D4037" s="3"/>
    </row>
    <row r="4038" spans="1:4">
      <c r="A4038" s="3"/>
      <c r="D4038" s="3"/>
    </row>
    <row r="4039" spans="1:4">
      <c r="A4039" s="3"/>
      <c r="D4039" s="3"/>
    </row>
    <row r="4040" spans="1:4">
      <c r="A4040" s="3"/>
      <c r="D4040" s="3"/>
    </row>
    <row r="4041" spans="1:4">
      <c r="A4041" s="3"/>
      <c r="D4041" s="3"/>
    </row>
    <row r="4042" spans="1:4">
      <c r="A4042" s="3"/>
      <c r="D4042" s="3"/>
    </row>
    <row r="4043" spans="1:4">
      <c r="A4043" s="3"/>
      <c r="D4043" s="3"/>
    </row>
    <row r="4044" spans="1:4">
      <c r="A4044" s="3"/>
      <c r="D4044" s="3"/>
    </row>
    <row r="4045" spans="1:4">
      <c r="A4045" s="3"/>
      <c r="D4045" s="3"/>
    </row>
    <row r="4046" spans="1:4">
      <c r="A4046" s="3"/>
      <c r="D4046" s="3"/>
    </row>
    <row r="4047" spans="1:4">
      <c r="A4047" s="3"/>
      <c r="D4047" s="3"/>
    </row>
    <row r="4048" spans="1:4">
      <c r="A4048" s="3"/>
      <c r="D4048" s="3"/>
    </row>
    <row r="4049" spans="1:4">
      <c r="A4049" s="3"/>
      <c r="D4049" s="3"/>
    </row>
    <row r="4050" spans="1:4">
      <c r="A4050" s="3"/>
      <c r="D4050" s="3"/>
    </row>
    <row r="4051" spans="1:4">
      <c r="A4051" s="3"/>
      <c r="D4051" s="3"/>
    </row>
    <row r="4052" spans="1:4">
      <c r="A4052" s="3"/>
      <c r="D4052" s="3"/>
    </row>
    <row r="4053" spans="1:4">
      <c r="A4053" s="3"/>
      <c r="D4053" s="3"/>
    </row>
    <row r="4054" spans="1:4">
      <c r="A4054" s="3"/>
      <c r="D4054" s="3"/>
    </row>
    <row r="4055" spans="1:4">
      <c r="A4055" s="3"/>
      <c r="D4055" s="3"/>
    </row>
    <row r="4056" spans="1:4">
      <c r="A4056" s="3"/>
      <c r="D4056" s="3"/>
    </row>
    <row r="4057" spans="1:4">
      <c r="A4057" s="3"/>
      <c r="D4057" s="3"/>
    </row>
    <row r="4058" spans="1:4">
      <c r="A4058" s="3"/>
      <c r="D4058" s="3"/>
    </row>
    <row r="4059" spans="1:4">
      <c r="A4059" s="3"/>
      <c r="D4059" s="3"/>
    </row>
    <row r="4060" spans="1:4">
      <c r="A4060" s="3"/>
      <c r="D4060" s="3"/>
    </row>
    <row r="4061" spans="1:4">
      <c r="A4061" s="3"/>
      <c r="D4061" s="3"/>
    </row>
    <row r="4062" spans="1:4">
      <c r="A4062" s="3"/>
      <c r="D4062" s="3"/>
    </row>
    <row r="4063" spans="1:4">
      <c r="A4063" s="3"/>
      <c r="D4063" s="3"/>
    </row>
    <row r="4064" spans="1:4">
      <c r="A4064" s="3"/>
      <c r="D4064" s="3"/>
    </row>
    <row r="4065" spans="1:4">
      <c r="A4065" s="3"/>
      <c r="D4065" s="3"/>
    </row>
    <row r="4066" spans="1:4">
      <c r="A4066" s="3"/>
      <c r="D4066" s="3"/>
    </row>
    <row r="4067" spans="1:4">
      <c r="A4067" s="3"/>
      <c r="D4067" s="3"/>
    </row>
    <row r="4068" spans="1:4">
      <c r="A4068" s="3"/>
      <c r="D4068" s="3"/>
    </row>
    <row r="4069" spans="1:4">
      <c r="A4069" s="3"/>
      <c r="D4069" s="3"/>
    </row>
    <row r="4070" spans="1:4">
      <c r="A4070" s="3"/>
      <c r="D4070" s="3"/>
    </row>
    <row r="4071" spans="1:4">
      <c r="A4071" s="3"/>
      <c r="D4071" s="3"/>
    </row>
    <row r="4072" spans="1:4">
      <c r="A4072" s="3"/>
      <c r="D4072" s="3"/>
    </row>
    <row r="4073" spans="1:4">
      <c r="A4073" s="3"/>
      <c r="D4073" s="3"/>
    </row>
    <row r="4074" spans="1:4">
      <c r="A4074" s="3"/>
      <c r="D4074" s="3"/>
    </row>
    <row r="4075" spans="1:4">
      <c r="A4075" s="3"/>
      <c r="D4075" s="3"/>
    </row>
    <row r="4076" spans="1:4">
      <c r="A4076" s="3"/>
      <c r="D4076" s="3"/>
    </row>
    <row r="4077" spans="1:4">
      <c r="A4077" s="3"/>
      <c r="D4077" s="3"/>
    </row>
    <row r="4078" spans="1:4">
      <c r="A4078" s="3"/>
      <c r="D4078" s="3"/>
    </row>
    <row r="4079" spans="1:4">
      <c r="A4079" s="3"/>
      <c r="D4079" s="3"/>
    </row>
    <row r="4080" spans="1:4">
      <c r="A4080" s="3"/>
      <c r="D4080" s="3"/>
    </row>
    <row r="4081" spans="1:4">
      <c r="A4081" s="3"/>
      <c r="D4081" s="3"/>
    </row>
    <row r="4082" spans="1:4">
      <c r="A4082" s="3"/>
      <c r="D4082" s="3"/>
    </row>
    <row r="4083" spans="1:4">
      <c r="A4083" s="3"/>
      <c r="D4083" s="3"/>
    </row>
    <row r="4084" spans="1:4">
      <c r="A4084" s="3"/>
      <c r="D4084" s="3"/>
    </row>
    <row r="4085" spans="1:4">
      <c r="A4085" s="3"/>
      <c r="D4085" s="3"/>
    </row>
    <row r="4086" spans="1:4">
      <c r="A4086" s="3"/>
      <c r="D4086" s="3"/>
    </row>
    <row r="4087" spans="1:4">
      <c r="A4087" s="3"/>
      <c r="D4087" s="3"/>
    </row>
    <row r="4088" spans="1:4">
      <c r="A4088" s="3"/>
      <c r="D4088" s="3"/>
    </row>
    <row r="4089" spans="1:4">
      <c r="A4089" s="3"/>
      <c r="D4089" s="3"/>
    </row>
    <row r="4090" spans="1:4">
      <c r="A4090" s="3"/>
      <c r="D4090" s="3"/>
    </row>
    <row r="4091" spans="1:4">
      <c r="A4091" s="3"/>
      <c r="D4091" s="3"/>
    </row>
    <row r="4092" spans="1:4">
      <c r="A4092" s="3"/>
      <c r="D4092" s="3"/>
    </row>
    <row r="4093" spans="1:4">
      <c r="A4093" s="3"/>
      <c r="D4093" s="3"/>
    </row>
    <row r="4094" spans="1:4">
      <c r="A4094" s="3"/>
      <c r="D4094" s="3"/>
    </row>
    <row r="4095" spans="1:4">
      <c r="A4095" s="3"/>
      <c r="D4095" s="3"/>
    </row>
    <row r="4096" spans="1:4">
      <c r="A4096" s="3"/>
      <c r="D4096" s="3"/>
    </row>
    <row r="4097" spans="1:4">
      <c r="A4097" s="3"/>
      <c r="D4097" s="3"/>
    </row>
    <row r="4098" spans="1:4">
      <c r="A4098" s="3"/>
      <c r="D4098" s="3"/>
    </row>
    <row r="4099" spans="1:4">
      <c r="A4099" s="3"/>
      <c r="D4099" s="3"/>
    </row>
    <row r="4100" spans="1:4">
      <c r="A4100" s="3"/>
      <c r="D4100" s="3"/>
    </row>
    <row r="4101" spans="1:4">
      <c r="A4101" s="3"/>
      <c r="D4101" s="3"/>
    </row>
    <row r="4102" spans="1:4">
      <c r="A4102" s="3"/>
      <c r="D4102" s="3"/>
    </row>
    <row r="4103" spans="1:4">
      <c r="A4103" s="3"/>
      <c r="D4103" s="3"/>
    </row>
    <row r="4104" spans="1:4">
      <c r="A4104" s="3"/>
      <c r="D4104" s="3"/>
    </row>
    <row r="4105" spans="1:4">
      <c r="A4105" s="3"/>
      <c r="D4105" s="3"/>
    </row>
    <row r="4106" spans="1:4">
      <c r="A4106" s="3"/>
      <c r="D4106" s="3"/>
    </row>
    <row r="4107" spans="1:4">
      <c r="A4107" s="3"/>
      <c r="D4107" s="3"/>
    </row>
    <row r="4108" spans="1:4">
      <c r="A4108" s="3"/>
      <c r="D4108" s="3"/>
    </row>
    <row r="4109" spans="1:4">
      <c r="A4109" s="3"/>
      <c r="D4109" s="3"/>
    </row>
    <row r="4110" spans="1:4">
      <c r="A4110" s="3"/>
      <c r="D4110" s="3"/>
    </row>
    <row r="4111" spans="1:4">
      <c r="A4111" s="3"/>
      <c r="D4111" s="3"/>
    </row>
    <row r="4112" spans="1:4">
      <c r="A4112" s="3"/>
      <c r="D4112" s="3"/>
    </row>
    <row r="4113" spans="1:4">
      <c r="A4113" s="3"/>
      <c r="D4113" s="3"/>
    </row>
    <row r="4114" spans="1:4">
      <c r="A4114" s="3"/>
      <c r="D4114" s="3"/>
    </row>
    <row r="4115" spans="1:4">
      <c r="A4115" s="3"/>
      <c r="D4115" s="3"/>
    </row>
    <row r="4116" spans="1:4">
      <c r="A4116" s="3"/>
      <c r="D4116" s="3"/>
    </row>
    <row r="4117" spans="1:4">
      <c r="A4117" s="3"/>
      <c r="D4117" s="3"/>
    </row>
    <row r="4118" spans="1:4">
      <c r="A4118" s="3"/>
      <c r="D4118" s="3"/>
    </row>
    <row r="4119" spans="1:4">
      <c r="A4119" s="3"/>
      <c r="D4119" s="3"/>
    </row>
    <row r="4120" spans="1:4">
      <c r="A4120" s="3"/>
      <c r="D4120" s="3"/>
    </row>
    <row r="4121" spans="1:4">
      <c r="A4121" s="3"/>
      <c r="D4121" s="3"/>
    </row>
    <row r="4122" spans="1:4">
      <c r="A4122" s="3"/>
      <c r="D4122" s="3"/>
    </row>
    <row r="4123" spans="1:4">
      <c r="A4123" s="3"/>
      <c r="D4123" s="3"/>
    </row>
    <row r="4124" spans="1:4">
      <c r="A4124" s="3"/>
      <c r="D4124" s="3"/>
    </row>
    <row r="4125" spans="1:4">
      <c r="A4125" s="3"/>
      <c r="D4125" s="3"/>
    </row>
    <row r="4126" spans="1:4">
      <c r="A4126" s="3"/>
      <c r="D4126" s="3"/>
    </row>
    <row r="4127" spans="1:4">
      <c r="A4127" s="3"/>
      <c r="D4127" s="3"/>
    </row>
    <row r="4128" spans="1:4">
      <c r="A4128" s="3"/>
      <c r="D4128" s="3"/>
    </row>
    <row r="4129" spans="1:4">
      <c r="A4129" s="3"/>
      <c r="D4129" s="3"/>
    </row>
    <row r="4130" spans="1:4">
      <c r="A4130" s="3"/>
      <c r="D4130" s="3"/>
    </row>
    <row r="4131" spans="1:4">
      <c r="A4131" s="3"/>
      <c r="D4131" s="3"/>
    </row>
    <row r="4132" spans="1:4">
      <c r="A4132" s="3"/>
      <c r="D4132" s="3"/>
    </row>
    <row r="4133" spans="1:4">
      <c r="A4133" s="3"/>
      <c r="D4133" s="3"/>
    </row>
    <row r="4134" spans="1:4">
      <c r="A4134" s="3"/>
      <c r="D4134" s="3"/>
    </row>
    <row r="4135" spans="1:4">
      <c r="A4135" s="3"/>
      <c r="D4135" s="3"/>
    </row>
    <row r="4136" spans="1:4">
      <c r="A4136" s="3"/>
      <c r="D4136" s="3"/>
    </row>
    <row r="4137" spans="1:4">
      <c r="A4137" s="3"/>
      <c r="D4137" s="3"/>
    </row>
    <row r="4138" spans="1:4">
      <c r="A4138" s="3"/>
      <c r="D4138" s="3"/>
    </row>
    <row r="4139" spans="1:4">
      <c r="A4139" s="3"/>
      <c r="D4139" s="3"/>
    </row>
    <row r="4140" spans="1:4">
      <c r="A4140" s="3"/>
      <c r="D4140" s="3"/>
    </row>
    <row r="4141" spans="1:4">
      <c r="A4141" s="3"/>
      <c r="D4141" s="3"/>
    </row>
    <row r="4142" spans="1:4">
      <c r="A4142" s="3"/>
      <c r="D4142" s="3"/>
    </row>
    <row r="4143" spans="1:4">
      <c r="A4143" s="3"/>
      <c r="D4143" s="3"/>
    </row>
    <row r="4144" spans="1:4">
      <c r="A4144" s="3"/>
      <c r="D4144" s="3"/>
    </row>
    <row r="4145" spans="1:4">
      <c r="A4145" s="3"/>
      <c r="D4145" s="3"/>
    </row>
    <row r="4146" spans="1:4">
      <c r="A4146" s="3"/>
      <c r="D4146" s="3"/>
    </row>
    <row r="4147" spans="1:4">
      <c r="A4147" s="3"/>
      <c r="D4147" s="3"/>
    </row>
    <row r="4148" spans="1:4">
      <c r="A4148" s="3"/>
      <c r="D4148" s="3"/>
    </row>
    <row r="4149" spans="1:4">
      <c r="A4149" s="3"/>
      <c r="D4149" s="3"/>
    </row>
    <row r="4150" spans="1:4">
      <c r="A4150" s="3"/>
      <c r="D4150" s="3"/>
    </row>
    <row r="4151" spans="1:4">
      <c r="A4151" s="3"/>
      <c r="D4151" s="3"/>
    </row>
    <row r="4152" spans="1:4">
      <c r="A4152" s="3"/>
      <c r="D4152" s="3"/>
    </row>
    <row r="4153" spans="1:4">
      <c r="A4153" s="3"/>
      <c r="D4153" s="3"/>
    </row>
    <row r="4154" spans="1:4">
      <c r="A4154" s="3"/>
      <c r="D4154" s="3"/>
    </row>
    <row r="4155" spans="1:4">
      <c r="A4155" s="3"/>
      <c r="D4155" s="3"/>
    </row>
    <row r="4156" spans="1:4">
      <c r="A4156" s="3"/>
      <c r="D4156" s="3"/>
    </row>
    <row r="4157" spans="1:4">
      <c r="A4157" s="3"/>
      <c r="D4157" s="3"/>
    </row>
    <row r="4158" spans="1:4">
      <c r="A4158" s="3"/>
      <c r="D4158" s="3"/>
    </row>
    <row r="4159" spans="1:4">
      <c r="A4159" s="3"/>
      <c r="D4159" s="3"/>
    </row>
    <row r="4160" spans="1:4">
      <c r="A4160" s="3"/>
      <c r="D4160" s="3"/>
    </row>
    <row r="4161" spans="1:4">
      <c r="A4161" s="3"/>
      <c r="D4161" s="3"/>
    </row>
    <row r="4162" spans="1:4">
      <c r="A4162" s="3"/>
      <c r="D4162" s="3"/>
    </row>
    <row r="4163" spans="1:4">
      <c r="A4163" s="3"/>
      <c r="D4163" s="3"/>
    </row>
    <row r="4164" spans="1:4">
      <c r="A4164" s="3"/>
      <c r="D4164" s="3"/>
    </row>
    <row r="4165" spans="1:4">
      <c r="A4165" s="3"/>
      <c r="D4165" s="3"/>
    </row>
    <row r="4166" spans="1:4">
      <c r="A4166" s="3"/>
      <c r="D4166" s="3"/>
    </row>
    <row r="4167" spans="1:4">
      <c r="A4167" s="3"/>
      <c r="D4167" s="3"/>
    </row>
    <row r="4168" spans="1:4">
      <c r="A4168" s="3"/>
      <c r="D4168" s="3"/>
    </row>
    <row r="4169" spans="1:4">
      <c r="A4169" s="3"/>
      <c r="D4169" s="3"/>
    </row>
    <row r="4170" spans="1:4">
      <c r="A4170" s="3"/>
      <c r="D4170" s="3"/>
    </row>
    <row r="4171" spans="1:4">
      <c r="A4171" s="3"/>
      <c r="D4171" s="3"/>
    </row>
    <row r="4172" spans="1:4">
      <c r="A4172" s="3"/>
      <c r="D4172" s="3"/>
    </row>
    <row r="4173" spans="1:4">
      <c r="A4173" s="3"/>
      <c r="D4173" s="3"/>
    </row>
    <row r="4174" spans="1:4">
      <c r="A4174" s="3"/>
      <c r="D4174" s="3"/>
    </row>
    <row r="4175" spans="1:4">
      <c r="A4175" s="3"/>
      <c r="D4175" s="3"/>
    </row>
    <row r="4176" spans="1:4">
      <c r="A4176" s="3"/>
      <c r="D4176" s="3"/>
    </row>
    <row r="4177" spans="1:4">
      <c r="A4177" s="3"/>
      <c r="D4177" s="3"/>
    </row>
    <row r="4178" spans="1:4">
      <c r="A4178" s="3"/>
      <c r="D4178" s="3"/>
    </row>
    <row r="4179" spans="1:4">
      <c r="A4179" s="3"/>
      <c r="D4179" s="3"/>
    </row>
    <row r="4180" spans="1:4">
      <c r="A4180" s="3"/>
      <c r="D4180" s="3"/>
    </row>
    <row r="4181" spans="1:4">
      <c r="A4181" s="3"/>
      <c r="D4181" s="3"/>
    </row>
    <row r="4182" spans="1:4">
      <c r="A4182" s="3"/>
      <c r="D4182" s="3"/>
    </row>
    <row r="4183" spans="1:4">
      <c r="A4183" s="3"/>
      <c r="D4183" s="3"/>
    </row>
    <row r="4184" spans="1:4">
      <c r="A4184" s="3"/>
      <c r="D4184" s="3"/>
    </row>
    <row r="4185" spans="1:4">
      <c r="A4185" s="3"/>
      <c r="D4185" s="3"/>
    </row>
    <row r="4186" spans="1:4">
      <c r="A4186" s="3"/>
      <c r="D4186" s="3"/>
    </row>
    <row r="4187" spans="1:4">
      <c r="A4187" s="3"/>
      <c r="D4187" s="3"/>
    </row>
    <row r="4188" spans="1:4">
      <c r="A4188" s="3"/>
      <c r="D4188" s="3"/>
    </row>
    <row r="4189" spans="1:4">
      <c r="A4189" s="3"/>
      <c r="D4189" s="3"/>
    </row>
    <row r="4190" spans="1:4">
      <c r="A4190" s="3"/>
      <c r="D4190" s="3"/>
    </row>
    <row r="4191" spans="1:4">
      <c r="A4191" s="3"/>
      <c r="D4191" s="3"/>
    </row>
    <row r="4192" spans="1:4">
      <c r="A4192" s="3"/>
      <c r="D4192" s="3"/>
    </row>
    <row r="4193" spans="1:4">
      <c r="A4193" s="3"/>
      <c r="D4193" s="3"/>
    </row>
    <row r="4194" spans="1:4">
      <c r="A4194" s="3"/>
      <c r="D4194" s="3"/>
    </row>
    <row r="4195" spans="1:4">
      <c r="A4195" s="3"/>
      <c r="D4195" s="3"/>
    </row>
    <row r="4196" spans="1:4">
      <c r="A4196" s="3"/>
      <c r="D4196" s="3"/>
    </row>
    <row r="4197" spans="1:4">
      <c r="A4197" s="3"/>
      <c r="D4197" s="3"/>
    </row>
    <row r="4198" spans="1:4">
      <c r="A4198" s="3"/>
      <c r="D4198" s="3"/>
    </row>
    <row r="4199" spans="1:4">
      <c r="A4199" s="3"/>
      <c r="D4199" s="3"/>
    </row>
    <row r="4200" spans="1:4">
      <c r="A4200" s="3"/>
      <c r="D4200" s="3"/>
    </row>
    <row r="4201" spans="1:4">
      <c r="A4201" s="3"/>
      <c r="D4201" s="3"/>
    </row>
    <row r="4202" spans="1:4">
      <c r="A4202" s="3"/>
      <c r="D4202" s="3"/>
    </row>
    <row r="4203" spans="1:4">
      <c r="A4203" s="3"/>
      <c r="D4203" s="3"/>
    </row>
    <row r="4204" spans="1:4">
      <c r="A4204" s="3"/>
      <c r="D4204" s="3"/>
    </row>
    <row r="4205" spans="1:4">
      <c r="A4205" s="3"/>
      <c r="D4205" s="3"/>
    </row>
    <row r="4206" spans="1:4">
      <c r="A4206" s="3"/>
      <c r="D4206" s="3"/>
    </row>
    <row r="4207" spans="1:4">
      <c r="A4207" s="3"/>
      <c r="D4207" s="3"/>
    </row>
    <row r="4208" spans="1:4">
      <c r="A4208" s="3"/>
      <c r="D4208" s="3"/>
    </row>
    <row r="4209" spans="1:4">
      <c r="A4209" s="3"/>
      <c r="D4209" s="3"/>
    </row>
    <row r="4210" spans="1:4">
      <c r="A4210" s="3"/>
      <c r="D4210" s="3"/>
    </row>
    <row r="4211" spans="1:4">
      <c r="A4211" s="3"/>
      <c r="D4211" s="3"/>
    </row>
    <row r="4212" spans="1:4">
      <c r="A4212" s="3"/>
      <c r="D4212" s="3"/>
    </row>
    <row r="4213" spans="1:4">
      <c r="A4213" s="3"/>
      <c r="D4213" s="3"/>
    </row>
    <row r="4214" spans="1:4">
      <c r="A4214" s="3"/>
      <c r="D4214" s="3"/>
    </row>
    <row r="4215" spans="1:4">
      <c r="A4215" s="3"/>
      <c r="D4215" s="3"/>
    </row>
    <row r="4216" spans="1:4">
      <c r="A4216" s="3"/>
      <c r="D4216" s="3"/>
    </row>
    <row r="4217" spans="1:4">
      <c r="A4217" s="3"/>
      <c r="D4217" s="3"/>
    </row>
    <row r="4218" spans="1:4">
      <c r="A4218" s="3"/>
      <c r="D4218" s="3"/>
    </row>
    <row r="4219" spans="1:4">
      <c r="A4219" s="3"/>
      <c r="D4219" s="3"/>
    </row>
    <row r="4220" spans="1:4">
      <c r="A4220" s="3"/>
      <c r="D4220" s="3"/>
    </row>
    <row r="4221" spans="1:4">
      <c r="A4221" s="3"/>
      <c r="D4221" s="3"/>
    </row>
    <row r="4222" spans="1:4">
      <c r="A4222" s="3"/>
      <c r="D4222" s="3"/>
    </row>
    <row r="4223" spans="1:4">
      <c r="A4223" s="3"/>
      <c r="D4223" s="3"/>
    </row>
    <row r="4224" spans="1:4">
      <c r="A4224" s="3"/>
      <c r="D4224" s="3"/>
    </row>
    <row r="4225" spans="1:4">
      <c r="A4225" s="3"/>
      <c r="D4225" s="3"/>
    </row>
    <row r="4226" spans="1:4">
      <c r="A4226" s="3"/>
      <c r="D4226" s="3"/>
    </row>
    <row r="4227" spans="1:4">
      <c r="A4227" s="3"/>
      <c r="D4227" s="3"/>
    </row>
    <row r="4228" spans="1:4">
      <c r="A4228" s="3"/>
      <c r="D4228" s="3"/>
    </row>
    <row r="4229" spans="1:4">
      <c r="A4229" s="3"/>
      <c r="D4229" s="3"/>
    </row>
    <row r="4230" spans="1:4">
      <c r="A4230" s="3"/>
      <c r="D4230" s="3"/>
    </row>
    <row r="4231" spans="1:4">
      <c r="A4231" s="3"/>
      <c r="D4231" s="3"/>
    </row>
    <row r="4232" spans="1:4">
      <c r="A4232" s="3"/>
      <c r="D4232" s="3"/>
    </row>
    <row r="4233" spans="1:4">
      <c r="A4233" s="3"/>
      <c r="D4233" s="3"/>
    </row>
    <row r="4234" spans="1:4">
      <c r="A4234" s="3"/>
      <c r="D4234" s="3"/>
    </row>
    <row r="4235" spans="1:4">
      <c r="A4235" s="3"/>
      <c r="D4235" s="3"/>
    </row>
    <row r="4236" spans="1:4">
      <c r="A4236" s="3"/>
      <c r="D4236" s="3"/>
    </row>
    <row r="4237" spans="1:4">
      <c r="A4237" s="3"/>
      <c r="D4237" s="3"/>
    </row>
    <row r="4238" spans="1:4">
      <c r="A4238" s="3"/>
      <c r="D4238" s="3"/>
    </row>
    <row r="4239" spans="1:4">
      <c r="A4239" s="3"/>
      <c r="D4239" s="3"/>
    </row>
    <row r="4240" spans="1:4">
      <c r="A4240" s="3"/>
      <c r="D4240" s="3"/>
    </row>
    <row r="4241" spans="1:4">
      <c r="A4241" s="3"/>
      <c r="D4241" s="3"/>
    </row>
    <row r="4242" spans="1:4">
      <c r="A4242" s="3"/>
      <c r="D4242" s="3"/>
    </row>
    <row r="4243" spans="1:4">
      <c r="A4243" s="3"/>
      <c r="D4243" s="3"/>
    </row>
    <row r="4244" spans="1:4">
      <c r="A4244" s="3"/>
      <c r="D4244" s="3"/>
    </row>
    <row r="4245" spans="1:4">
      <c r="A4245" s="3"/>
      <c r="D4245" s="3"/>
    </row>
    <row r="4246" spans="1:4">
      <c r="A4246" s="3"/>
      <c r="D4246" s="3"/>
    </row>
    <row r="4247" spans="1:4">
      <c r="A4247" s="3"/>
      <c r="D4247" s="3"/>
    </row>
    <row r="4248" spans="1:4">
      <c r="A4248" s="3"/>
      <c r="D4248" s="3"/>
    </row>
    <row r="4249" spans="1:4">
      <c r="A4249" s="3"/>
      <c r="D4249" s="3"/>
    </row>
    <row r="4250" spans="1:4">
      <c r="A4250" s="3"/>
      <c r="D4250" s="3"/>
    </row>
    <row r="4251" spans="1:4">
      <c r="A4251" s="3"/>
      <c r="D4251" s="3"/>
    </row>
    <row r="4252" spans="1:4">
      <c r="A4252" s="3"/>
      <c r="D4252" s="3"/>
    </row>
    <row r="4253" spans="1:4">
      <c r="A4253" s="3"/>
      <c r="D4253" s="3"/>
    </row>
    <row r="4254" spans="1:4">
      <c r="A4254" s="3"/>
      <c r="D4254" s="3"/>
    </row>
    <row r="4255" spans="1:4">
      <c r="A4255" s="3"/>
      <c r="D4255" s="3"/>
    </row>
    <row r="4256" spans="1:4">
      <c r="A4256" s="3"/>
      <c r="D4256" s="3"/>
    </row>
    <row r="4257" spans="1:4">
      <c r="A4257" s="3"/>
      <c r="D4257" s="3"/>
    </row>
    <row r="4258" spans="1:4">
      <c r="A4258" s="3"/>
      <c r="D4258" s="3"/>
    </row>
    <row r="4259" spans="1:4">
      <c r="A4259" s="3"/>
      <c r="D4259" s="3"/>
    </row>
    <row r="4260" spans="1:4">
      <c r="A4260" s="3"/>
      <c r="D4260" s="3"/>
    </row>
    <row r="4261" spans="1:4">
      <c r="A4261" s="3"/>
      <c r="D4261" s="3"/>
    </row>
    <row r="4262" spans="1:4">
      <c r="A4262" s="3"/>
      <c r="D4262" s="3"/>
    </row>
    <row r="4263" spans="1:4">
      <c r="A4263" s="3"/>
      <c r="D4263" s="3"/>
    </row>
    <row r="4264" spans="1:4">
      <c r="A4264" s="3"/>
      <c r="D4264" s="3"/>
    </row>
    <row r="4265" spans="1:4">
      <c r="A4265" s="3"/>
      <c r="D4265" s="3"/>
    </row>
    <row r="4266" spans="1:4">
      <c r="A4266" s="3"/>
      <c r="D4266" s="3"/>
    </row>
    <row r="4267" spans="1:4">
      <c r="A4267" s="3"/>
      <c r="D4267" s="3"/>
    </row>
    <row r="4268" spans="1:4">
      <c r="A4268" s="3"/>
      <c r="D4268" s="3"/>
    </row>
    <row r="4269" spans="1:4">
      <c r="A4269" s="3"/>
      <c r="D4269" s="3"/>
    </row>
    <row r="4270" spans="1:4">
      <c r="A4270" s="3"/>
      <c r="D4270" s="3"/>
    </row>
    <row r="4271" spans="1:4">
      <c r="A4271" s="3"/>
      <c r="D4271" s="3"/>
    </row>
    <row r="4272" spans="1:4">
      <c r="A4272" s="3"/>
      <c r="D4272" s="3"/>
    </row>
    <row r="4273" spans="1:4">
      <c r="A4273" s="3"/>
      <c r="D4273" s="3"/>
    </row>
    <row r="4274" spans="1:4">
      <c r="A4274" s="3"/>
      <c r="D4274" s="3"/>
    </row>
    <row r="4275" spans="1:4">
      <c r="A4275" s="3"/>
      <c r="D4275" s="3"/>
    </row>
    <row r="4276" spans="1:4">
      <c r="A4276" s="3"/>
      <c r="D4276" s="3"/>
    </row>
    <row r="4277" spans="1:4">
      <c r="A4277" s="3"/>
      <c r="D4277" s="3"/>
    </row>
    <row r="4278" spans="1:4">
      <c r="A4278" s="3"/>
      <c r="D4278" s="3"/>
    </row>
    <row r="4279" spans="1:4">
      <c r="A4279" s="3"/>
      <c r="D4279" s="3"/>
    </row>
    <row r="4280" spans="1:4">
      <c r="A4280" s="3"/>
      <c r="D4280" s="3"/>
    </row>
    <row r="4281" spans="1:4">
      <c r="A4281" s="3"/>
      <c r="D4281" s="3"/>
    </row>
    <row r="4282" spans="1:4">
      <c r="A4282" s="3"/>
      <c r="D4282" s="3"/>
    </row>
    <row r="4283" spans="1:4">
      <c r="A4283" s="3"/>
      <c r="D4283" s="3"/>
    </row>
    <row r="4284" spans="1:4">
      <c r="A4284" s="3"/>
      <c r="D4284" s="3"/>
    </row>
    <row r="4285" spans="1:4">
      <c r="A4285" s="3"/>
      <c r="D4285" s="3"/>
    </row>
    <row r="4286" spans="1:4">
      <c r="A4286" s="3"/>
      <c r="D4286" s="3"/>
    </row>
    <row r="4287" spans="1:4">
      <c r="A4287" s="3"/>
      <c r="D4287" s="3"/>
    </row>
    <row r="4288" spans="1:4">
      <c r="A4288" s="3"/>
      <c r="D4288" s="3"/>
    </row>
    <row r="4289" spans="1:4">
      <c r="A4289" s="3"/>
      <c r="D4289" s="3"/>
    </row>
    <row r="4290" spans="1:4">
      <c r="A4290" s="3"/>
      <c r="D4290" s="3"/>
    </row>
    <row r="4291" spans="1:4">
      <c r="A4291" s="3"/>
      <c r="D4291" s="3"/>
    </row>
    <row r="4292" spans="1:4">
      <c r="A4292" s="3"/>
      <c r="D4292" s="3"/>
    </row>
    <row r="4293" spans="1:4">
      <c r="A4293" s="3"/>
      <c r="D4293" s="3"/>
    </row>
    <row r="4294" spans="1:4">
      <c r="A4294" s="3"/>
      <c r="D4294" s="3"/>
    </row>
    <row r="4295" spans="1:4">
      <c r="A4295" s="3"/>
      <c r="D4295" s="3"/>
    </row>
    <row r="4296" spans="1:4">
      <c r="A4296" s="3"/>
      <c r="D4296" s="3"/>
    </row>
    <row r="4297" spans="1:4">
      <c r="A4297" s="3"/>
      <c r="D4297" s="3"/>
    </row>
    <row r="4298" spans="1:4">
      <c r="A4298" s="3"/>
      <c r="D4298" s="3"/>
    </row>
    <row r="4299" spans="1:4">
      <c r="A4299" s="3"/>
      <c r="D4299" s="3"/>
    </row>
    <row r="4300" spans="1:4">
      <c r="A4300" s="3"/>
      <c r="D4300" s="3"/>
    </row>
    <row r="4301" spans="1:4">
      <c r="A4301" s="3"/>
      <c r="D4301" s="3"/>
    </row>
    <row r="4302" spans="1:4">
      <c r="A4302" s="3"/>
      <c r="D4302" s="3"/>
    </row>
    <row r="4303" spans="1:4">
      <c r="A4303" s="3"/>
      <c r="D4303" s="3"/>
    </row>
    <row r="4304" spans="1:4">
      <c r="A4304" s="3"/>
      <c r="D4304" s="3"/>
    </row>
    <row r="4305" spans="1:4">
      <c r="A4305" s="3"/>
      <c r="D4305" s="3"/>
    </row>
    <row r="4306" spans="1:4">
      <c r="A4306" s="3"/>
      <c r="D4306" s="3"/>
    </row>
    <row r="4307" spans="1:4">
      <c r="A4307" s="3"/>
      <c r="D4307" s="3"/>
    </row>
    <row r="4308" spans="1:4">
      <c r="A4308" s="3"/>
      <c r="D4308" s="3"/>
    </row>
    <row r="4309" spans="1:4">
      <c r="A4309" s="3"/>
      <c r="D4309" s="3"/>
    </row>
    <row r="4310" spans="1:4">
      <c r="A4310" s="3"/>
      <c r="D4310" s="3"/>
    </row>
    <row r="4311" spans="1:4">
      <c r="A4311" s="3"/>
      <c r="D4311" s="3"/>
    </row>
    <row r="4312" spans="1:4">
      <c r="A4312" s="3"/>
      <c r="D4312" s="3"/>
    </row>
    <row r="4313" spans="1:4">
      <c r="A4313" s="3"/>
      <c r="D4313" s="3"/>
    </row>
    <row r="4314" spans="1:4">
      <c r="A4314" s="3"/>
      <c r="D4314" s="3"/>
    </row>
    <row r="4315" spans="1:4">
      <c r="A4315" s="3"/>
      <c r="D4315" s="3"/>
    </row>
    <row r="4316" spans="1:4">
      <c r="A4316" s="3"/>
      <c r="D4316" s="3"/>
    </row>
    <row r="4317" spans="1:4">
      <c r="A4317" s="3"/>
      <c r="D4317" s="3"/>
    </row>
    <row r="4318" spans="1:4">
      <c r="A4318" s="3"/>
      <c r="D4318" s="3"/>
    </row>
    <row r="4319" spans="1:4">
      <c r="A4319" s="3"/>
      <c r="D4319" s="3"/>
    </row>
    <row r="4320" spans="1:4">
      <c r="A4320" s="3"/>
      <c r="D4320" s="3"/>
    </row>
    <row r="4321" spans="1:4">
      <c r="A4321" s="3"/>
      <c r="D4321" s="3"/>
    </row>
    <row r="4322" spans="1:4">
      <c r="A4322" s="3"/>
      <c r="D4322" s="3"/>
    </row>
    <row r="4323" spans="1:4">
      <c r="A4323" s="3"/>
      <c r="D4323" s="3"/>
    </row>
    <row r="4324" spans="1:4">
      <c r="A4324" s="3"/>
      <c r="D4324" s="3"/>
    </row>
    <row r="4325" spans="1:4">
      <c r="A4325" s="3"/>
      <c r="D4325" s="3"/>
    </row>
    <row r="4326" spans="1:4">
      <c r="A4326" s="3"/>
      <c r="D4326" s="3"/>
    </row>
    <row r="4327" spans="1:4">
      <c r="A4327" s="3"/>
      <c r="D4327" s="3"/>
    </row>
    <row r="4328" spans="1:4">
      <c r="A4328" s="3"/>
      <c r="D4328" s="3"/>
    </row>
    <row r="4329" spans="1:4">
      <c r="A4329" s="3"/>
      <c r="D4329" s="3"/>
    </row>
    <row r="4330" spans="1:4">
      <c r="A4330" s="3"/>
      <c r="D4330" s="3"/>
    </row>
    <row r="4331" spans="1:4">
      <c r="A4331" s="3"/>
      <c r="D4331" s="3"/>
    </row>
    <row r="4332" spans="1:4">
      <c r="A4332" s="3"/>
      <c r="D4332" s="3"/>
    </row>
    <row r="4333" spans="1:4">
      <c r="A4333" s="3"/>
      <c r="D4333" s="3"/>
    </row>
    <row r="4334" spans="1:4">
      <c r="A4334" s="3"/>
      <c r="D4334" s="3"/>
    </row>
    <row r="4335" spans="1:4">
      <c r="A4335" s="3"/>
      <c r="D4335" s="3"/>
    </row>
    <row r="4336" spans="1:4">
      <c r="A4336" s="3"/>
      <c r="D4336" s="3"/>
    </row>
    <row r="4337" spans="1:4">
      <c r="A4337" s="3"/>
      <c r="D4337" s="3"/>
    </row>
    <row r="4338" spans="1:4">
      <c r="A4338" s="3"/>
      <c r="D4338" s="3"/>
    </row>
    <row r="4339" spans="1:4">
      <c r="A4339" s="3"/>
      <c r="D4339" s="3"/>
    </row>
    <row r="4340" spans="1:4">
      <c r="A4340" s="3"/>
      <c r="D4340" s="3"/>
    </row>
    <row r="4341" spans="1:4">
      <c r="A4341" s="3"/>
      <c r="D4341" s="3"/>
    </row>
    <row r="4342" spans="1:4">
      <c r="A4342" s="3"/>
      <c r="D4342" s="3"/>
    </row>
    <row r="4343" spans="1:4">
      <c r="A4343" s="3"/>
      <c r="D4343" s="3"/>
    </row>
    <row r="4344" spans="1:4">
      <c r="A4344" s="3"/>
      <c r="D4344" s="3"/>
    </row>
    <row r="4345" spans="1:4">
      <c r="A4345" s="3"/>
      <c r="D4345" s="3"/>
    </row>
    <row r="4346" spans="1:4">
      <c r="A4346" s="3"/>
      <c r="D4346" s="3"/>
    </row>
    <row r="4347" spans="1:4">
      <c r="A4347" s="3"/>
      <c r="D4347" s="3"/>
    </row>
    <row r="4348" spans="1:4">
      <c r="A4348" s="3"/>
      <c r="D4348" s="3"/>
    </row>
    <row r="4349" spans="1:4">
      <c r="A4349" s="3"/>
      <c r="D4349" s="3"/>
    </row>
    <row r="4350" spans="1:4">
      <c r="A4350" s="3"/>
      <c r="D4350" s="3"/>
    </row>
    <row r="4351" spans="1:4">
      <c r="A4351" s="3"/>
      <c r="D4351" s="3"/>
    </row>
    <row r="4352" spans="1:4">
      <c r="A4352" s="3"/>
      <c r="D4352" s="3"/>
    </row>
    <row r="4353" spans="1:4">
      <c r="A4353" s="3"/>
      <c r="D4353" s="3"/>
    </row>
    <row r="4354" spans="1:4">
      <c r="A4354" s="3"/>
      <c r="D4354" s="3"/>
    </row>
    <row r="4355" spans="1:4">
      <c r="A4355" s="3"/>
      <c r="D4355" s="3"/>
    </row>
    <row r="4356" spans="1:4">
      <c r="A4356" s="3"/>
      <c r="D4356" s="3"/>
    </row>
    <row r="4357" spans="1:4">
      <c r="A4357" s="3"/>
      <c r="D4357" s="3"/>
    </row>
    <row r="4358" spans="1:4">
      <c r="A4358" s="3"/>
      <c r="D4358" s="3"/>
    </row>
    <row r="4359" spans="1:4">
      <c r="A4359" s="3"/>
      <c r="D4359" s="3"/>
    </row>
    <row r="4360" spans="1:4">
      <c r="A4360" s="3"/>
      <c r="D4360" s="3"/>
    </row>
    <row r="4361" spans="1:4">
      <c r="A4361" s="3"/>
      <c r="D4361" s="3"/>
    </row>
    <row r="4362" spans="1:4">
      <c r="A4362" s="3"/>
      <c r="D4362" s="3"/>
    </row>
    <row r="4363" spans="1:4">
      <c r="A4363" s="3"/>
      <c r="D4363" s="3"/>
    </row>
    <row r="4364" spans="1:4">
      <c r="A4364" s="3"/>
      <c r="D4364" s="3"/>
    </row>
    <row r="4365" spans="1:4">
      <c r="A4365" s="3"/>
      <c r="D4365" s="3"/>
    </row>
    <row r="4366" spans="1:4">
      <c r="A4366" s="3"/>
      <c r="D4366" s="3"/>
    </row>
    <row r="4367" spans="1:4">
      <c r="A4367" s="3"/>
      <c r="D4367" s="3"/>
    </row>
    <row r="4368" spans="1:4">
      <c r="A4368" s="3"/>
      <c r="D4368" s="3"/>
    </row>
    <row r="4369" spans="1:4">
      <c r="A4369" s="3"/>
      <c r="D4369" s="3"/>
    </row>
    <row r="4370" spans="1:4">
      <c r="A4370" s="3"/>
      <c r="D4370" s="3"/>
    </row>
    <row r="4371" spans="1:4">
      <c r="A4371" s="3"/>
      <c r="D4371" s="3"/>
    </row>
    <row r="4372" spans="1:4">
      <c r="A4372" s="3"/>
      <c r="D4372" s="3"/>
    </row>
    <row r="4373" spans="1:4">
      <c r="A4373" s="3"/>
      <c r="D4373" s="3"/>
    </row>
    <row r="4374" spans="1:4">
      <c r="A4374" s="3"/>
      <c r="D4374" s="3"/>
    </row>
    <row r="4375" spans="1:4">
      <c r="A4375" s="3"/>
      <c r="D4375" s="3"/>
    </row>
    <row r="4376" spans="1:4">
      <c r="A4376" s="3"/>
      <c r="D4376" s="3"/>
    </row>
    <row r="4377" spans="1:4">
      <c r="A4377" s="3"/>
      <c r="D4377" s="3"/>
    </row>
    <row r="4378" spans="1:4">
      <c r="A4378" s="3"/>
      <c r="D4378" s="3"/>
    </row>
    <row r="4379" spans="1:4">
      <c r="A4379" s="3"/>
      <c r="D4379" s="3"/>
    </row>
    <row r="4380" spans="1:4">
      <c r="A4380" s="3"/>
      <c r="D4380" s="3"/>
    </row>
    <row r="4381" spans="1:4">
      <c r="A4381" s="3"/>
      <c r="D4381" s="3"/>
    </row>
    <row r="4382" spans="1:4">
      <c r="A4382" s="3"/>
      <c r="D4382" s="3"/>
    </row>
    <row r="4383" spans="1:4">
      <c r="A4383" s="3"/>
      <c r="D4383" s="3"/>
    </row>
    <row r="4384" spans="1:4">
      <c r="A4384" s="3"/>
      <c r="D4384" s="3"/>
    </row>
    <row r="4385" spans="1:4">
      <c r="A4385" s="3"/>
      <c r="D4385" s="3"/>
    </row>
    <row r="4386" spans="1:4">
      <c r="A4386" s="3"/>
      <c r="D4386" s="3"/>
    </row>
    <row r="4387" spans="1:4">
      <c r="A4387" s="3"/>
      <c r="D4387" s="3"/>
    </row>
    <row r="4388" spans="1:4">
      <c r="A4388" s="3"/>
      <c r="D4388" s="3"/>
    </row>
    <row r="4389" spans="1:4">
      <c r="A4389" s="3"/>
      <c r="D4389" s="3"/>
    </row>
    <row r="4390" spans="1:4">
      <c r="A4390" s="3"/>
      <c r="D4390" s="3"/>
    </row>
    <row r="4391" spans="1:4">
      <c r="A4391" s="3"/>
      <c r="D4391" s="3"/>
    </row>
    <row r="4392" spans="1:4">
      <c r="A4392" s="3"/>
      <c r="D4392" s="3"/>
    </row>
    <row r="4393" spans="1:4">
      <c r="A4393" s="3"/>
      <c r="D4393" s="3"/>
    </row>
    <row r="4394" spans="1:4">
      <c r="A4394" s="3"/>
      <c r="D4394" s="3"/>
    </row>
    <row r="4395" spans="1:4">
      <c r="A4395" s="3"/>
      <c r="D4395" s="3"/>
    </row>
    <row r="4396" spans="1:4">
      <c r="A4396" s="3"/>
      <c r="D4396" s="3"/>
    </row>
    <row r="4397" spans="1:4">
      <c r="A4397" s="3"/>
      <c r="D4397" s="3"/>
    </row>
    <row r="4398" spans="1:4">
      <c r="A4398" s="3"/>
      <c r="D4398" s="3"/>
    </row>
    <row r="4399" spans="1:4">
      <c r="A4399" s="3"/>
      <c r="D4399" s="3"/>
    </row>
    <row r="4400" spans="1:4">
      <c r="A4400" s="3"/>
      <c r="D4400" s="3"/>
    </row>
    <row r="4401" spans="1:4">
      <c r="A4401" s="3"/>
      <c r="D4401" s="3"/>
    </row>
    <row r="4402" spans="1:4">
      <c r="A4402" s="3"/>
      <c r="D4402" s="3"/>
    </row>
    <row r="4403" spans="1:4">
      <c r="A4403" s="3"/>
      <c r="D4403" s="3"/>
    </row>
    <row r="4404" spans="1:4">
      <c r="A4404" s="3"/>
      <c r="D4404" s="3"/>
    </row>
    <row r="4405" spans="1:4">
      <c r="A4405" s="3"/>
      <c r="D4405" s="3"/>
    </row>
    <row r="4406" spans="1:4">
      <c r="A4406" s="3"/>
      <c r="D4406" s="3"/>
    </row>
    <row r="4407" spans="1:4">
      <c r="A4407" s="3"/>
      <c r="D4407" s="3"/>
    </row>
    <row r="4408" spans="1:4">
      <c r="A4408" s="3"/>
      <c r="D4408" s="3"/>
    </row>
    <row r="4409" spans="1:4">
      <c r="A4409" s="3"/>
      <c r="D4409" s="3"/>
    </row>
    <row r="4410" spans="1:4">
      <c r="A4410" s="3"/>
      <c r="D4410" s="3"/>
    </row>
    <row r="4411" spans="1:4">
      <c r="A4411" s="3"/>
      <c r="D4411" s="3"/>
    </row>
    <row r="4412" spans="1:4">
      <c r="A4412" s="3"/>
      <c r="D4412" s="3"/>
    </row>
    <row r="4413" spans="1:4">
      <c r="A4413" s="3"/>
      <c r="D4413" s="3"/>
    </row>
    <row r="4414" spans="1:4">
      <c r="A4414" s="3"/>
      <c r="D4414" s="3"/>
    </row>
    <row r="4415" spans="1:4">
      <c r="A4415" s="3"/>
      <c r="D4415" s="3"/>
    </row>
    <row r="4416" spans="1:4">
      <c r="A4416" s="3"/>
      <c r="D4416" s="3"/>
    </row>
    <row r="4417" spans="1:4">
      <c r="A4417" s="3"/>
      <c r="D4417" s="3"/>
    </row>
    <row r="4418" spans="1:4">
      <c r="A4418" s="3"/>
      <c r="D4418" s="3"/>
    </row>
    <row r="4419" spans="1:4">
      <c r="A4419" s="3"/>
      <c r="D4419" s="3"/>
    </row>
    <row r="4420" spans="1:4">
      <c r="A4420" s="3"/>
      <c r="D4420" s="3"/>
    </row>
    <row r="4421" spans="1:4">
      <c r="A4421" s="3"/>
      <c r="D4421" s="3"/>
    </row>
    <row r="4422" spans="1:4">
      <c r="A4422" s="3"/>
      <c r="D4422" s="3"/>
    </row>
    <row r="4423" spans="1:4">
      <c r="A4423" s="3"/>
      <c r="D4423" s="3"/>
    </row>
    <row r="4424" spans="1:4">
      <c r="A4424" s="3"/>
      <c r="D4424" s="3"/>
    </row>
    <row r="4425" spans="1:4">
      <c r="A4425" s="3"/>
      <c r="D4425" s="3"/>
    </row>
    <row r="4426" spans="1:4">
      <c r="A4426" s="3"/>
      <c r="D4426" s="3"/>
    </row>
    <row r="4427" spans="1:4">
      <c r="A4427" s="3"/>
      <c r="D4427" s="3"/>
    </row>
    <row r="4428" spans="1:4">
      <c r="A4428" s="3"/>
      <c r="D4428" s="3"/>
    </row>
    <row r="4429" spans="1:4">
      <c r="A4429" s="3"/>
      <c r="D4429" s="3"/>
    </row>
    <row r="4430" spans="1:4">
      <c r="A4430" s="3"/>
      <c r="D4430" s="3"/>
    </row>
    <row r="4431" spans="1:4">
      <c r="A4431" s="3"/>
      <c r="D4431" s="3"/>
    </row>
    <row r="4432" spans="1:4">
      <c r="A4432" s="3"/>
      <c r="D4432" s="3"/>
    </row>
    <row r="4433" spans="1:4">
      <c r="A4433" s="3"/>
      <c r="D4433" s="3"/>
    </row>
    <row r="4434" spans="1:4">
      <c r="A4434" s="3"/>
      <c r="D4434" s="3"/>
    </row>
    <row r="4435" spans="1:4">
      <c r="A4435" s="3"/>
      <c r="D4435" s="3"/>
    </row>
    <row r="4436" spans="1:4">
      <c r="A4436" s="3"/>
      <c r="D4436" s="3"/>
    </row>
    <row r="4437" spans="1:4">
      <c r="A4437" s="3"/>
      <c r="D4437" s="3"/>
    </row>
    <row r="4438" spans="1:4">
      <c r="A4438" s="3"/>
      <c r="D4438" s="3"/>
    </row>
    <row r="4439" spans="1:4">
      <c r="A4439" s="3"/>
      <c r="D4439" s="3"/>
    </row>
    <row r="4440" spans="1:4">
      <c r="A4440" s="3"/>
      <c r="D4440" s="3"/>
    </row>
    <row r="4441" spans="1:4">
      <c r="A4441" s="3"/>
      <c r="D4441" s="3"/>
    </row>
    <row r="4442" spans="1:4">
      <c r="A4442" s="3"/>
      <c r="D4442" s="3"/>
    </row>
    <row r="4443" spans="1:4">
      <c r="A4443" s="3"/>
      <c r="D4443" s="3"/>
    </row>
    <row r="4444" spans="1:4">
      <c r="A4444" s="3"/>
      <c r="D4444" s="3"/>
    </row>
    <row r="4445" spans="1:4">
      <c r="A4445" s="3"/>
      <c r="D4445" s="3"/>
    </row>
    <row r="4446" spans="1:4">
      <c r="A4446" s="3"/>
      <c r="D4446" s="3"/>
    </row>
    <row r="4447" spans="1:4">
      <c r="A4447" s="3"/>
      <c r="D4447" s="3"/>
    </row>
    <row r="4448" spans="1:4">
      <c r="A4448" s="3"/>
      <c r="D4448" s="3"/>
    </row>
    <row r="4449" spans="1:4">
      <c r="A4449" s="3"/>
      <c r="D4449" s="3"/>
    </row>
    <row r="4450" spans="1:4">
      <c r="A4450" s="3"/>
      <c r="D4450" s="3"/>
    </row>
    <row r="4451" spans="1:4">
      <c r="A4451" s="3"/>
      <c r="D4451" s="3"/>
    </row>
    <row r="4452" spans="1:4">
      <c r="A4452" s="3"/>
      <c r="D4452" s="3"/>
    </row>
    <row r="4453" spans="1:4">
      <c r="A4453" s="3"/>
      <c r="D4453" s="3"/>
    </row>
    <row r="4454" spans="1:4">
      <c r="A4454" s="3"/>
      <c r="D4454" s="3"/>
    </row>
    <row r="4455" spans="1:4">
      <c r="A4455" s="3"/>
      <c r="D4455" s="3"/>
    </row>
    <row r="4456" spans="1:4">
      <c r="A4456" s="3"/>
      <c r="D4456" s="3"/>
    </row>
    <row r="4457" spans="1:4">
      <c r="A4457" s="3"/>
      <c r="D4457" s="3"/>
    </row>
    <row r="4458" spans="1:4">
      <c r="A4458" s="3"/>
      <c r="D4458" s="3"/>
    </row>
    <row r="4459" spans="1:4">
      <c r="A4459" s="3"/>
      <c r="D4459" s="3"/>
    </row>
    <row r="4460" spans="1:4">
      <c r="A4460" s="3"/>
      <c r="D4460" s="3"/>
    </row>
    <row r="4461" spans="1:4">
      <c r="A4461" s="3"/>
      <c r="D4461" s="3"/>
    </row>
    <row r="4462" spans="1:4">
      <c r="A4462" s="3"/>
      <c r="D4462" s="3"/>
    </row>
    <row r="4463" spans="1:4">
      <c r="A4463" s="3"/>
      <c r="D4463" s="3"/>
    </row>
    <row r="4464" spans="1:4">
      <c r="A4464" s="3"/>
      <c r="D4464" s="3"/>
    </row>
    <row r="4465" spans="1:4">
      <c r="A4465" s="3"/>
      <c r="D4465" s="3"/>
    </row>
    <row r="4466" spans="1:4">
      <c r="A4466" s="3"/>
      <c r="D4466" s="3"/>
    </row>
    <row r="4467" spans="1:4">
      <c r="A4467" s="3"/>
      <c r="D4467" s="3"/>
    </row>
    <row r="4468" spans="1:4">
      <c r="A4468" s="3"/>
      <c r="D4468" s="3"/>
    </row>
    <row r="4469" spans="1:4">
      <c r="A4469" s="3"/>
      <c r="D4469" s="3"/>
    </row>
    <row r="4470" spans="1:4">
      <c r="A4470" s="3"/>
      <c r="D4470" s="3"/>
    </row>
    <row r="4471" spans="1:4">
      <c r="A4471" s="3"/>
      <c r="D4471" s="3"/>
    </row>
    <row r="4472" spans="1:4">
      <c r="A4472" s="3"/>
      <c r="D4472" s="3"/>
    </row>
    <row r="4473" spans="1:4">
      <c r="A4473" s="3"/>
      <c r="D4473" s="3"/>
    </row>
    <row r="4474" spans="1:4">
      <c r="A4474" s="3"/>
      <c r="D4474" s="3"/>
    </row>
    <row r="4475" spans="1:4">
      <c r="A4475" s="3"/>
      <c r="D4475" s="3"/>
    </row>
    <row r="4476" spans="1:4">
      <c r="A4476" s="3"/>
      <c r="D4476" s="3"/>
    </row>
    <row r="4477" spans="1:4">
      <c r="A4477" s="3"/>
      <c r="D4477" s="3"/>
    </row>
    <row r="4478" spans="1:4">
      <c r="A4478" s="3"/>
      <c r="D4478" s="3"/>
    </row>
    <row r="4479" spans="1:4">
      <c r="A4479" s="3"/>
      <c r="D4479" s="3"/>
    </row>
    <row r="4480" spans="1:4">
      <c r="A4480" s="3"/>
      <c r="D4480" s="3"/>
    </row>
    <row r="4481" spans="1:4">
      <c r="A4481" s="3"/>
      <c r="D4481" s="3"/>
    </row>
    <row r="4482" spans="1:4">
      <c r="A4482" s="3"/>
      <c r="D4482" s="3"/>
    </row>
    <row r="4483" spans="1:4">
      <c r="A4483" s="3"/>
      <c r="D4483" s="3"/>
    </row>
    <row r="4484" spans="1:4">
      <c r="A4484" s="3"/>
      <c r="D4484" s="3"/>
    </row>
    <row r="4485" spans="1:4">
      <c r="A4485" s="3"/>
      <c r="D4485" s="3"/>
    </row>
    <row r="4486" spans="1:4">
      <c r="A4486" s="3"/>
      <c r="D4486" s="3"/>
    </row>
    <row r="4487" spans="1:4">
      <c r="A4487" s="3"/>
      <c r="D4487" s="3"/>
    </row>
    <row r="4488" spans="1:4">
      <c r="A4488" s="3"/>
      <c r="D4488" s="3"/>
    </row>
    <row r="4489" spans="1:4">
      <c r="A4489" s="3"/>
      <c r="D4489" s="3"/>
    </row>
    <row r="4490" spans="1:4">
      <c r="A4490" s="3"/>
      <c r="D4490" s="3"/>
    </row>
    <row r="4491" spans="1:4">
      <c r="A4491" s="3"/>
      <c r="D4491" s="3"/>
    </row>
    <row r="4492" spans="1:4">
      <c r="A4492" s="3"/>
      <c r="D4492" s="3"/>
    </row>
    <row r="4493" spans="1:4">
      <c r="A4493" s="3"/>
      <c r="D4493" s="3"/>
    </row>
    <row r="4494" spans="1:4">
      <c r="A4494" s="3"/>
      <c r="D4494" s="3"/>
    </row>
    <row r="4495" spans="1:4">
      <c r="A4495" s="3"/>
      <c r="D4495" s="3"/>
    </row>
    <row r="4496" spans="1:4">
      <c r="A4496" s="3"/>
      <c r="D4496" s="3"/>
    </row>
    <row r="4497" spans="1:4">
      <c r="A4497" s="3"/>
      <c r="D4497" s="3"/>
    </row>
    <row r="4498" spans="1:4">
      <c r="A4498" s="3"/>
      <c r="D4498" s="3"/>
    </row>
    <row r="4499" spans="1:4">
      <c r="A4499" s="3"/>
      <c r="D4499" s="3"/>
    </row>
    <row r="4500" spans="1:4">
      <c r="A4500" s="3"/>
      <c r="D4500" s="3"/>
    </row>
    <row r="4501" spans="1:4">
      <c r="A4501" s="3"/>
      <c r="D4501" s="3"/>
    </row>
    <row r="4502" spans="1:4">
      <c r="A4502" s="3"/>
      <c r="D4502" s="3"/>
    </row>
    <row r="4503" spans="1:4">
      <c r="A4503" s="3"/>
      <c r="D4503" s="3"/>
    </row>
    <row r="4504" spans="1:4">
      <c r="A4504" s="3"/>
      <c r="D4504" s="3"/>
    </row>
    <row r="4505" spans="1:4">
      <c r="A4505" s="3"/>
      <c r="D4505" s="3"/>
    </row>
    <row r="4506" spans="1:4">
      <c r="A4506" s="3"/>
      <c r="D4506" s="3"/>
    </row>
    <row r="4507" spans="1:4">
      <c r="A4507" s="3"/>
      <c r="D4507" s="3"/>
    </row>
    <row r="4508" spans="1:4">
      <c r="A4508" s="3"/>
      <c r="D4508" s="3"/>
    </row>
    <row r="4509" spans="1:4">
      <c r="A4509" s="3"/>
      <c r="D4509" s="3"/>
    </row>
    <row r="4510" spans="1:4">
      <c r="A4510" s="3"/>
      <c r="D4510" s="3"/>
    </row>
    <row r="4511" spans="1:4">
      <c r="A4511" s="3"/>
      <c r="D4511" s="3"/>
    </row>
    <row r="4512" spans="1:4">
      <c r="A4512" s="3"/>
      <c r="D4512" s="3"/>
    </row>
    <row r="4513" spans="1:4">
      <c r="A4513" s="3"/>
      <c r="D4513" s="3"/>
    </row>
    <row r="4514" spans="1:4">
      <c r="A4514" s="3"/>
      <c r="D4514" s="3"/>
    </row>
    <row r="4515" spans="1:4">
      <c r="A4515" s="3"/>
      <c r="D4515" s="3"/>
    </row>
    <row r="4516" spans="1:4">
      <c r="A4516" s="3"/>
      <c r="D4516" s="3"/>
    </row>
    <row r="4517" spans="1:4">
      <c r="A4517" s="3"/>
      <c r="D4517" s="3"/>
    </row>
    <row r="4518" spans="1:4">
      <c r="A4518" s="3"/>
      <c r="D4518" s="3"/>
    </row>
    <row r="4519" spans="1:4">
      <c r="A4519" s="3"/>
      <c r="D4519" s="3"/>
    </row>
    <row r="4520" spans="1:4">
      <c r="A4520" s="3"/>
      <c r="D4520" s="3"/>
    </row>
    <row r="4521" spans="1:4">
      <c r="A4521" s="3"/>
      <c r="D4521" s="3"/>
    </row>
    <row r="4522" spans="1:4">
      <c r="A4522" s="3"/>
      <c r="D4522" s="3"/>
    </row>
    <row r="4523" spans="1:4">
      <c r="A4523" s="3"/>
      <c r="D4523" s="3"/>
    </row>
    <row r="4524" spans="1:4">
      <c r="A4524" s="3"/>
      <c r="D4524" s="3"/>
    </row>
    <row r="4525" spans="1:4">
      <c r="A4525" s="3"/>
      <c r="D4525" s="3"/>
    </row>
    <row r="4526" spans="1:4">
      <c r="A4526" s="3"/>
      <c r="D4526" s="3"/>
    </row>
    <row r="4527" spans="1:4">
      <c r="A4527" s="3"/>
      <c r="D4527" s="3"/>
    </row>
    <row r="4528" spans="1:4">
      <c r="A4528" s="3"/>
      <c r="D4528" s="3"/>
    </row>
    <row r="4529" spans="1:4">
      <c r="A4529" s="3"/>
      <c r="D4529" s="3"/>
    </row>
    <row r="4530" spans="1:4">
      <c r="A4530" s="3"/>
      <c r="D4530" s="3"/>
    </row>
    <row r="4531" spans="1:4">
      <c r="A4531" s="3"/>
      <c r="D4531" s="3"/>
    </row>
    <row r="4532" spans="1:4">
      <c r="A4532" s="3"/>
      <c r="D4532" s="3"/>
    </row>
    <row r="4533" spans="1:4">
      <c r="A4533" s="3"/>
      <c r="D4533" s="3"/>
    </row>
    <row r="4534" spans="1:4">
      <c r="A4534" s="3"/>
      <c r="D4534" s="3"/>
    </row>
    <row r="4535" spans="1:4">
      <c r="A4535" s="3"/>
      <c r="D4535" s="3"/>
    </row>
    <row r="4536" spans="1:4">
      <c r="A4536" s="3"/>
      <c r="D4536" s="3"/>
    </row>
    <row r="4537" spans="1:4">
      <c r="A4537" s="3"/>
      <c r="D4537" s="3"/>
    </row>
    <row r="4538" spans="1:4">
      <c r="A4538" s="3"/>
      <c r="D4538" s="3"/>
    </row>
    <row r="4539" spans="1:4">
      <c r="A4539" s="3"/>
      <c r="D4539" s="3"/>
    </row>
    <row r="4540" spans="1:4">
      <c r="A4540" s="3"/>
      <c r="D4540" s="3"/>
    </row>
    <row r="4541" spans="1:4">
      <c r="A4541" s="3"/>
      <c r="D4541" s="3"/>
    </row>
    <row r="4542" spans="1:4">
      <c r="A4542" s="3"/>
      <c r="D4542" s="3"/>
    </row>
    <row r="4543" spans="1:4">
      <c r="A4543" s="3"/>
      <c r="D4543" s="3"/>
    </row>
    <row r="4544" spans="1:4">
      <c r="A4544" s="3"/>
      <c r="D4544" s="3"/>
    </row>
    <row r="4545" spans="1:4">
      <c r="A4545" s="3"/>
      <c r="D4545" s="3"/>
    </row>
    <row r="4546" spans="1:4">
      <c r="A4546" s="3"/>
      <c r="D4546" s="3"/>
    </row>
    <row r="4547" spans="1:4">
      <c r="A4547" s="3"/>
      <c r="D4547" s="3"/>
    </row>
    <row r="4548" spans="1:4">
      <c r="A4548" s="3"/>
      <c r="D4548" s="3"/>
    </row>
    <row r="4549" spans="1:4">
      <c r="A4549" s="3"/>
      <c r="D4549" s="3"/>
    </row>
    <row r="4550" spans="1:4">
      <c r="A4550" s="3"/>
      <c r="D4550" s="3"/>
    </row>
    <row r="4551" spans="1:4">
      <c r="A4551" s="3"/>
      <c r="D4551" s="3"/>
    </row>
    <row r="4552" spans="1:4">
      <c r="A4552" s="3"/>
      <c r="D4552" s="3"/>
    </row>
    <row r="4553" spans="1:4">
      <c r="A4553" s="3"/>
      <c r="D4553" s="3"/>
    </row>
    <row r="4554" spans="1:4">
      <c r="A4554" s="3"/>
      <c r="D4554" s="3"/>
    </row>
    <row r="4555" spans="1:4">
      <c r="A4555" s="3"/>
      <c r="D4555" s="3"/>
    </row>
    <row r="4556" spans="1:4">
      <c r="A4556" s="3"/>
      <c r="D4556" s="3"/>
    </row>
    <row r="4557" spans="1:4">
      <c r="A4557" s="3"/>
      <c r="D4557" s="3"/>
    </row>
    <row r="4558" spans="1:4">
      <c r="A4558" s="3"/>
      <c r="D4558" s="3"/>
    </row>
    <row r="4559" spans="1:4">
      <c r="A4559" s="3"/>
      <c r="D4559" s="3"/>
    </row>
    <row r="4560" spans="1:4">
      <c r="A4560" s="3"/>
      <c r="D4560" s="3"/>
    </row>
    <row r="4561" spans="1:4">
      <c r="A4561" s="3"/>
      <c r="D4561" s="3"/>
    </row>
    <row r="4562" spans="1:4">
      <c r="A4562" s="3"/>
      <c r="D4562" s="3"/>
    </row>
    <row r="4563" spans="1:4">
      <c r="A4563" s="3"/>
      <c r="D4563" s="3"/>
    </row>
    <row r="4564" spans="1:4">
      <c r="A4564" s="3"/>
      <c r="D4564" s="3"/>
    </row>
    <row r="4565" spans="1:4">
      <c r="A4565" s="3"/>
      <c r="D4565" s="3"/>
    </row>
    <row r="4566" spans="1:4">
      <c r="A4566" s="3"/>
      <c r="D4566" s="3"/>
    </row>
    <row r="4567" spans="1:4">
      <c r="A4567" s="3"/>
      <c r="D4567" s="3"/>
    </row>
    <row r="4568" spans="1:4">
      <c r="A4568" s="3"/>
      <c r="D4568" s="3"/>
    </row>
    <row r="4569" spans="1:4">
      <c r="A4569" s="3"/>
      <c r="D4569" s="3"/>
    </row>
    <row r="4570" spans="1:4">
      <c r="A4570" s="3"/>
      <c r="D4570" s="3"/>
    </row>
    <row r="4571" spans="1:4">
      <c r="A4571" s="3"/>
      <c r="D4571" s="3"/>
    </row>
    <row r="4572" spans="1:4">
      <c r="A4572" s="3"/>
      <c r="D4572" s="3"/>
    </row>
    <row r="4573" spans="1:4">
      <c r="A4573" s="3"/>
      <c r="D4573" s="3"/>
    </row>
    <row r="4574" spans="1:4">
      <c r="A4574" s="3"/>
      <c r="D4574" s="3"/>
    </row>
    <row r="4575" spans="1:4">
      <c r="A4575" s="3"/>
      <c r="D4575" s="3"/>
    </row>
    <row r="4576" spans="1:4">
      <c r="A4576" s="3"/>
      <c r="D4576" s="3"/>
    </row>
    <row r="4577" spans="1:4">
      <c r="A4577" s="3"/>
      <c r="D4577" s="3"/>
    </row>
    <row r="4578" spans="1:4">
      <c r="A4578" s="3"/>
      <c r="D4578" s="3"/>
    </row>
    <row r="4579" spans="1:4">
      <c r="A4579" s="3"/>
      <c r="D4579" s="3"/>
    </row>
    <row r="4580" spans="1:4">
      <c r="A4580" s="3"/>
      <c r="D4580" s="3"/>
    </row>
    <row r="4581" spans="1:4">
      <c r="A4581" s="3"/>
      <c r="D4581" s="3"/>
    </row>
    <row r="4582" spans="1:4">
      <c r="A4582" s="3"/>
      <c r="D4582" s="3"/>
    </row>
    <row r="4583" spans="1:4">
      <c r="A4583" s="3"/>
      <c r="D4583" s="3"/>
    </row>
    <row r="4584" spans="1:4">
      <c r="A4584" s="3"/>
      <c r="D4584" s="3"/>
    </row>
    <row r="4585" spans="1:4">
      <c r="A4585" s="3"/>
      <c r="D4585" s="3"/>
    </row>
    <row r="4586" spans="1:4">
      <c r="A4586" s="3"/>
      <c r="D4586" s="3"/>
    </row>
    <row r="4587" spans="1:4">
      <c r="A4587" s="3"/>
      <c r="D4587" s="3"/>
    </row>
    <row r="4588" spans="1:4">
      <c r="A4588" s="3"/>
      <c r="D4588" s="3"/>
    </row>
    <row r="4589" spans="1:4">
      <c r="A4589" s="3"/>
      <c r="D4589" s="3"/>
    </row>
    <row r="4590" spans="1:4">
      <c r="A4590" s="3"/>
      <c r="D4590" s="3"/>
    </row>
    <row r="4591" spans="1:4">
      <c r="A4591" s="3"/>
      <c r="D4591" s="3"/>
    </row>
    <row r="4592" spans="1:4">
      <c r="A4592" s="3"/>
      <c r="D4592" s="3"/>
    </row>
    <row r="4593" spans="1:4">
      <c r="A4593" s="3"/>
      <c r="D4593" s="3"/>
    </row>
    <row r="4594" spans="1:4">
      <c r="A4594" s="3"/>
      <c r="D4594" s="3"/>
    </row>
    <row r="4595" spans="1:4">
      <c r="A4595" s="3"/>
      <c r="D4595" s="3"/>
    </row>
    <row r="4596" spans="1:4">
      <c r="A4596" s="3"/>
      <c r="D4596" s="3"/>
    </row>
    <row r="4597" spans="1:4">
      <c r="A4597" s="3"/>
      <c r="D4597" s="3"/>
    </row>
    <row r="4598" spans="1:4">
      <c r="A4598" s="3"/>
      <c r="D4598" s="3"/>
    </row>
    <row r="4599" spans="1:4">
      <c r="A4599" s="3"/>
      <c r="D4599" s="3"/>
    </row>
    <row r="4600" spans="1:4">
      <c r="A4600" s="3"/>
      <c r="D4600" s="3"/>
    </row>
    <row r="4601" spans="1:4">
      <c r="A4601" s="3"/>
      <c r="D4601" s="3"/>
    </row>
    <row r="4602" spans="1:4">
      <c r="A4602" s="3"/>
      <c r="D4602" s="3"/>
    </row>
    <row r="4603" spans="1:4">
      <c r="A4603" s="3"/>
      <c r="D4603" s="3"/>
    </row>
    <row r="4604" spans="1:4">
      <c r="A4604" s="3"/>
      <c r="D4604" s="3"/>
    </row>
    <row r="4605" spans="1:4">
      <c r="A4605" s="3"/>
      <c r="D4605" s="3"/>
    </row>
    <row r="4606" spans="1:4">
      <c r="A4606" s="3"/>
      <c r="D4606" s="3"/>
    </row>
    <row r="4607" spans="1:4">
      <c r="A4607" s="3"/>
      <c r="D4607" s="3"/>
    </row>
    <row r="4608" spans="1:4">
      <c r="A4608" s="3"/>
      <c r="D4608" s="3"/>
    </row>
    <row r="4609" spans="1:4">
      <c r="A4609" s="3"/>
      <c r="D4609" s="3"/>
    </row>
    <row r="4610" spans="1:4">
      <c r="A4610" s="3"/>
      <c r="D4610" s="3"/>
    </row>
    <row r="4611" spans="1:4">
      <c r="A4611" s="3"/>
      <c r="D4611" s="3"/>
    </row>
    <row r="4612" spans="1:4">
      <c r="A4612" s="3"/>
      <c r="D4612" s="3"/>
    </row>
    <row r="4613" spans="1:4">
      <c r="A4613" s="3"/>
      <c r="D4613" s="3"/>
    </row>
    <row r="4614" spans="1:4">
      <c r="A4614" s="3"/>
      <c r="D4614" s="3"/>
    </row>
    <row r="4615" spans="1:4">
      <c r="A4615" s="3"/>
      <c r="D4615" s="3"/>
    </row>
    <row r="4616" spans="1:4">
      <c r="A4616" s="3"/>
      <c r="D4616" s="3"/>
    </row>
    <row r="4617" spans="1:4">
      <c r="A4617" s="3"/>
      <c r="D4617" s="3"/>
    </row>
    <row r="4618" spans="1:4">
      <c r="A4618" s="3"/>
      <c r="D4618" s="3"/>
    </row>
    <row r="4619" spans="1:4">
      <c r="A4619" s="3"/>
      <c r="D4619" s="3"/>
    </row>
    <row r="4620" spans="1:4">
      <c r="A4620" s="3"/>
      <c r="D4620" s="3"/>
    </row>
    <row r="4621" spans="1:4">
      <c r="A4621" s="3"/>
      <c r="D4621" s="3"/>
    </row>
    <row r="4622" spans="1:4">
      <c r="A4622" s="3"/>
      <c r="D4622" s="3"/>
    </row>
    <row r="4623" spans="1:4">
      <c r="A4623" s="3"/>
      <c r="D4623" s="3"/>
    </row>
    <row r="4624" spans="1:4">
      <c r="A4624" s="3"/>
      <c r="D4624" s="3"/>
    </row>
    <row r="4625" spans="1:4">
      <c r="A4625" s="3"/>
      <c r="D4625" s="3"/>
    </row>
    <row r="4626" spans="1:4">
      <c r="A4626" s="3"/>
      <c r="D4626" s="3"/>
    </row>
    <row r="4627" spans="1:4">
      <c r="A4627" s="3"/>
      <c r="D4627" s="3"/>
    </row>
    <row r="4628" spans="1:4">
      <c r="A4628" s="3"/>
      <c r="D4628" s="3"/>
    </row>
    <row r="4629" spans="1:4">
      <c r="A4629" s="3"/>
      <c r="D4629" s="3"/>
    </row>
    <row r="4630" spans="1:4">
      <c r="A4630" s="3"/>
      <c r="D4630" s="3"/>
    </row>
    <row r="4631" spans="1:4">
      <c r="A4631" s="3"/>
      <c r="D4631" s="3"/>
    </row>
    <row r="4632" spans="1:4">
      <c r="A4632" s="3"/>
      <c r="D4632" s="3"/>
    </row>
    <row r="4633" spans="1:4">
      <c r="A4633" s="3"/>
      <c r="D4633" s="3"/>
    </row>
    <row r="4634" spans="1:4">
      <c r="A4634" s="3"/>
      <c r="D4634" s="3"/>
    </row>
    <row r="4635" spans="1:4">
      <c r="A4635" s="3"/>
      <c r="D4635" s="3"/>
    </row>
    <row r="4636" spans="1:4">
      <c r="A4636" s="3"/>
      <c r="D4636" s="3"/>
    </row>
    <row r="4637" spans="1:4">
      <c r="A4637" s="3"/>
      <c r="D4637" s="3"/>
    </row>
    <row r="4638" spans="1:4">
      <c r="A4638" s="3"/>
      <c r="D4638" s="3"/>
    </row>
    <row r="4639" spans="1:4">
      <c r="A4639" s="3"/>
      <c r="D4639" s="3"/>
    </row>
    <row r="4640" spans="1:4">
      <c r="A4640" s="3"/>
      <c r="D4640" s="3"/>
    </row>
    <row r="4641" spans="1:4">
      <c r="A4641" s="3"/>
      <c r="D4641" s="3"/>
    </row>
    <row r="4642" spans="1:4">
      <c r="A4642" s="3"/>
      <c r="D4642" s="3"/>
    </row>
    <row r="4643" spans="1:4">
      <c r="A4643" s="3"/>
      <c r="D4643" s="3"/>
    </row>
    <row r="4644" spans="1:4">
      <c r="A4644" s="3"/>
      <c r="D4644" s="3"/>
    </row>
    <row r="4645" spans="1:4">
      <c r="A4645" s="3"/>
      <c r="D4645" s="3"/>
    </row>
    <row r="4646" spans="1:4">
      <c r="A4646" s="3"/>
      <c r="D4646" s="3"/>
    </row>
    <row r="4647" spans="1:4">
      <c r="A4647" s="3"/>
      <c r="D4647" s="3"/>
    </row>
    <row r="4648" spans="1:4">
      <c r="A4648" s="3"/>
      <c r="D4648" s="3"/>
    </row>
    <row r="4649" spans="1:4">
      <c r="A4649" s="3"/>
      <c r="D4649" s="3"/>
    </row>
    <row r="4650" spans="1:4">
      <c r="A4650" s="3"/>
      <c r="D4650" s="3"/>
    </row>
    <row r="4651" spans="1:4">
      <c r="A4651" s="3"/>
      <c r="D4651" s="3"/>
    </row>
    <row r="4652" spans="1:4">
      <c r="A4652" s="3"/>
      <c r="D4652" s="3"/>
    </row>
    <row r="4653" spans="1:4">
      <c r="A4653" s="3"/>
      <c r="D4653" s="3"/>
    </row>
    <row r="4654" spans="1:4">
      <c r="A4654" s="3"/>
      <c r="D4654" s="3"/>
    </row>
    <row r="4655" spans="1:4">
      <c r="A4655" s="3"/>
      <c r="D4655" s="3"/>
    </row>
    <row r="4656" spans="1:4">
      <c r="A4656" s="3"/>
      <c r="D4656" s="3"/>
    </row>
    <row r="4657" spans="1:4">
      <c r="A4657" s="3"/>
      <c r="D4657" s="3"/>
    </row>
    <row r="4658" spans="1:4">
      <c r="A4658" s="3"/>
      <c r="D4658" s="3"/>
    </row>
    <row r="4659" spans="1:4">
      <c r="A4659" s="3"/>
      <c r="D4659" s="3"/>
    </row>
    <row r="4660" spans="1:4">
      <c r="A4660" s="3"/>
      <c r="D4660" s="3"/>
    </row>
    <row r="4661" spans="1:4">
      <c r="A4661" s="3"/>
      <c r="D4661" s="3"/>
    </row>
    <row r="4662" spans="1:4">
      <c r="A4662" s="3"/>
      <c r="D4662" s="3"/>
    </row>
    <row r="4663" spans="1:4">
      <c r="A4663" s="3"/>
      <c r="D4663" s="3"/>
    </row>
    <row r="4664" spans="1:4">
      <c r="A4664" s="3"/>
      <c r="D4664" s="3"/>
    </row>
    <row r="4665" spans="1:4">
      <c r="A4665" s="3"/>
      <c r="D4665" s="3"/>
    </row>
    <row r="4666" spans="1:4">
      <c r="A4666" s="3"/>
      <c r="D4666" s="3"/>
    </row>
    <row r="4667" spans="1:4">
      <c r="A4667" s="3"/>
      <c r="D4667" s="3"/>
    </row>
    <row r="4668" spans="1:4">
      <c r="A4668" s="3"/>
      <c r="D4668" s="3"/>
    </row>
    <row r="4669" spans="1:4">
      <c r="A4669" s="3"/>
      <c r="D4669" s="3"/>
    </row>
    <row r="4670" spans="1:4">
      <c r="A4670" s="3"/>
      <c r="D4670" s="3"/>
    </row>
    <row r="4671" spans="1:4">
      <c r="A4671" s="3"/>
      <c r="D4671" s="3"/>
    </row>
    <row r="4672" spans="1:4">
      <c r="A4672" s="3"/>
      <c r="D4672" s="3"/>
    </row>
    <row r="4673" spans="1:4">
      <c r="A4673" s="3"/>
      <c r="D4673" s="3"/>
    </row>
    <row r="4674" spans="1:4">
      <c r="A4674" s="3"/>
      <c r="D4674" s="3"/>
    </row>
    <row r="4675" spans="1:4">
      <c r="A4675" s="3"/>
      <c r="D4675" s="3"/>
    </row>
    <row r="4676" spans="1:4">
      <c r="A4676" s="3"/>
      <c r="D4676" s="3"/>
    </row>
    <row r="4677" spans="1:4">
      <c r="A4677" s="3"/>
      <c r="D4677" s="3"/>
    </row>
    <row r="4678" spans="1:4">
      <c r="A4678" s="3"/>
      <c r="D4678" s="3"/>
    </row>
    <row r="4679" spans="1:4">
      <c r="A4679" s="3"/>
      <c r="D4679" s="3"/>
    </row>
    <row r="4680" spans="1:4">
      <c r="A4680" s="3"/>
      <c r="D4680" s="3"/>
    </row>
    <row r="4681" spans="1:4">
      <c r="A4681" s="3"/>
      <c r="D4681" s="3"/>
    </row>
    <row r="4682" spans="1:4">
      <c r="A4682" s="3"/>
      <c r="D4682" s="3"/>
    </row>
    <row r="4683" spans="1:4">
      <c r="A4683" s="3"/>
      <c r="D4683" s="3"/>
    </row>
    <row r="4684" spans="1:4">
      <c r="A4684" s="3"/>
      <c r="D4684" s="3"/>
    </row>
    <row r="4685" spans="1:4">
      <c r="A4685" s="3"/>
      <c r="D4685" s="3"/>
    </row>
    <row r="4686" spans="1:4">
      <c r="A4686" s="3"/>
      <c r="D4686" s="3"/>
    </row>
    <row r="4687" spans="1:4">
      <c r="A4687" s="3"/>
      <c r="D4687" s="3"/>
    </row>
    <row r="4688" spans="1:4">
      <c r="A4688" s="3"/>
      <c r="D4688" s="3"/>
    </row>
    <row r="4689" spans="1:4">
      <c r="A4689" s="3"/>
      <c r="D4689" s="3"/>
    </row>
    <row r="4690" spans="1:4">
      <c r="A4690" s="3"/>
      <c r="D4690" s="3"/>
    </row>
    <row r="4691" spans="1:4">
      <c r="A4691" s="3"/>
      <c r="D4691" s="3"/>
    </row>
    <row r="4692" spans="1:4">
      <c r="A4692" s="3"/>
      <c r="D4692" s="3"/>
    </row>
    <row r="4693" spans="1:4">
      <c r="A4693" s="3"/>
      <c r="D4693" s="3"/>
    </row>
    <row r="4694" spans="1:4">
      <c r="A4694" s="3"/>
      <c r="D4694" s="3"/>
    </row>
    <row r="4695" spans="1:4">
      <c r="A4695" s="3"/>
      <c r="D4695" s="3"/>
    </row>
    <row r="4696" spans="1:4">
      <c r="A4696" s="3"/>
      <c r="D4696" s="3"/>
    </row>
    <row r="4697" spans="1:4">
      <c r="A4697" s="3"/>
      <c r="D4697" s="3"/>
    </row>
    <row r="4698" spans="1:4">
      <c r="A4698" s="3"/>
      <c r="D4698" s="3"/>
    </row>
    <row r="4699" spans="1:4">
      <c r="A4699" s="3"/>
      <c r="D4699" s="3"/>
    </row>
    <row r="4700" spans="1:4">
      <c r="A4700" s="3"/>
      <c r="D4700" s="3"/>
    </row>
    <row r="4701" spans="1:4">
      <c r="A4701" s="3"/>
      <c r="D4701" s="3"/>
    </row>
    <row r="4702" spans="1:4">
      <c r="A4702" s="3"/>
      <c r="D4702" s="3"/>
    </row>
    <row r="4703" spans="1:4">
      <c r="A4703" s="3"/>
      <c r="D4703" s="3"/>
    </row>
    <row r="4704" spans="1:4">
      <c r="A4704" s="3"/>
      <c r="D4704" s="3"/>
    </row>
    <row r="4705" spans="1:4">
      <c r="A4705" s="3"/>
      <c r="D4705" s="3"/>
    </row>
    <row r="4706" spans="1:4">
      <c r="A4706" s="3"/>
      <c r="D4706" s="3"/>
    </row>
    <row r="4707" spans="1:4">
      <c r="A4707" s="3"/>
      <c r="D4707" s="3"/>
    </row>
    <row r="4708" spans="1:4">
      <c r="A4708" s="3"/>
      <c r="D4708" s="3"/>
    </row>
    <row r="4709" spans="1:4">
      <c r="A4709" s="3"/>
      <c r="D4709" s="3"/>
    </row>
    <row r="4710" spans="1:4">
      <c r="A4710" s="3"/>
      <c r="D4710" s="3"/>
    </row>
    <row r="4711" spans="1:4">
      <c r="A4711" s="3"/>
      <c r="D4711" s="3"/>
    </row>
    <row r="4712" spans="1:4">
      <c r="A4712" s="3"/>
      <c r="D4712" s="3"/>
    </row>
    <row r="4713" spans="1:4">
      <c r="A4713" s="3"/>
      <c r="D4713" s="3"/>
    </row>
    <row r="4714" spans="1:4">
      <c r="A4714" s="3"/>
      <c r="D4714" s="3"/>
    </row>
    <row r="4715" spans="1:4">
      <c r="A4715" s="3"/>
      <c r="D4715" s="3"/>
    </row>
    <row r="4716" spans="1:4">
      <c r="A4716" s="3"/>
      <c r="D4716" s="3"/>
    </row>
    <row r="4717" spans="1:4">
      <c r="A4717" s="3"/>
      <c r="D4717" s="3"/>
    </row>
    <row r="4718" spans="1:4">
      <c r="A4718" s="3"/>
      <c r="D4718" s="3"/>
    </row>
    <row r="4719" spans="1:4">
      <c r="A4719" s="3"/>
      <c r="D4719" s="3"/>
    </row>
    <row r="4720" spans="1:4">
      <c r="A4720" s="3"/>
      <c r="D4720" s="3"/>
    </row>
    <row r="4721" spans="1:4">
      <c r="A4721" s="3"/>
      <c r="D4721" s="3"/>
    </row>
    <row r="4722" spans="1:4">
      <c r="A4722" s="3"/>
      <c r="D4722" s="3"/>
    </row>
    <row r="4723" spans="1:4">
      <c r="A4723" s="3"/>
      <c r="D4723" s="3"/>
    </row>
    <row r="4724" spans="1:4">
      <c r="A4724" s="3"/>
      <c r="D4724" s="3"/>
    </row>
    <row r="4725" spans="1:4">
      <c r="A4725" s="3"/>
      <c r="D4725" s="3"/>
    </row>
    <row r="4726" spans="1:4">
      <c r="A4726" s="3"/>
      <c r="D4726" s="3"/>
    </row>
    <row r="4727" spans="1:4">
      <c r="A4727" s="3"/>
      <c r="D4727" s="3"/>
    </row>
    <row r="4728" spans="1:4">
      <c r="A4728" s="3"/>
      <c r="D4728" s="3"/>
    </row>
    <row r="4729" spans="1:4">
      <c r="A4729" s="3"/>
      <c r="D4729" s="3"/>
    </row>
    <row r="4730" spans="1:4">
      <c r="A4730" s="3"/>
      <c r="D4730" s="3"/>
    </row>
    <row r="4731" spans="1:4">
      <c r="A4731" s="3"/>
      <c r="D4731" s="3"/>
    </row>
    <row r="4732" spans="1:4">
      <c r="A4732" s="3"/>
      <c r="D4732" s="3"/>
    </row>
    <row r="4733" spans="1:4">
      <c r="A4733" s="3"/>
      <c r="D4733" s="3"/>
    </row>
    <row r="4734" spans="1:4">
      <c r="A4734" s="3"/>
      <c r="D4734" s="3"/>
    </row>
    <row r="4735" spans="1:4">
      <c r="A4735" s="3"/>
      <c r="D4735" s="3"/>
    </row>
    <row r="4736" spans="1:4">
      <c r="A4736" s="3"/>
      <c r="D4736" s="3"/>
    </row>
    <row r="4737" spans="1:4">
      <c r="A4737" s="3"/>
      <c r="D4737" s="3"/>
    </row>
    <row r="4738" spans="1:4">
      <c r="A4738" s="3"/>
      <c r="D4738" s="3"/>
    </row>
    <row r="4739" spans="1:4">
      <c r="A4739" s="3"/>
      <c r="D4739" s="3"/>
    </row>
    <row r="4740" spans="1:4">
      <c r="A4740" s="3"/>
      <c r="D4740" s="3"/>
    </row>
    <row r="4741" spans="1:4">
      <c r="A4741" s="3"/>
      <c r="D4741" s="3"/>
    </row>
    <row r="4742" spans="1:4">
      <c r="A4742" s="3"/>
      <c r="D4742" s="3"/>
    </row>
    <row r="4743" spans="1:4">
      <c r="A4743" s="3"/>
      <c r="D4743" s="3"/>
    </row>
    <row r="4744" spans="1:4">
      <c r="A4744" s="3"/>
      <c r="D4744" s="3"/>
    </row>
    <row r="4745" spans="1:4">
      <c r="A4745" s="3"/>
      <c r="D4745" s="3"/>
    </row>
    <row r="4746" spans="1:4">
      <c r="A4746" s="3"/>
      <c r="D4746" s="3"/>
    </row>
    <row r="4747" spans="1:4">
      <c r="A4747" s="3"/>
      <c r="D4747" s="3"/>
    </row>
    <row r="4748" spans="1:4">
      <c r="A4748" s="3"/>
      <c r="D4748" s="3"/>
    </row>
    <row r="4749" spans="1:4">
      <c r="A4749" s="3"/>
      <c r="D4749" s="3"/>
    </row>
    <row r="4750" spans="1:4">
      <c r="A4750" s="3"/>
      <c r="D4750" s="3"/>
    </row>
    <row r="4751" spans="1:4">
      <c r="A4751" s="3"/>
      <c r="D4751" s="3"/>
    </row>
    <row r="4752" spans="1:4">
      <c r="A4752" s="3"/>
      <c r="D4752" s="3"/>
    </row>
    <row r="4753" spans="1:4">
      <c r="A4753" s="3"/>
      <c r="D4753" s="3"/>
    </row>
    <row r="4754" spans="1:4">
      <c r="A4754" s="3"/>
      <c r="D4754" s="3"/>
    </row>
    <row r="4755" spans="1:4">
      <c r="A4755" s="3"/>
      <c r="D4755" s="3"/>
    </row>
    <row r="4756" spans="1:4">
      <c r="A4756" s="3"/>
      <c r="D4756" s="3"/>
    </row>
    <row r="4757" spans="1:4">
      <c r="A4757" s="3"/>
      <c r="D4757" s="3"/>
    </row>
    <row r="4758" spans="1:4">
      <c r="A4758" s="3"/>
      <c r="D4758" s="3"/>
    </row>
    <row r="4759" spans="1:4">
      <c r="A4759" s="3"/>
      <c r="D4759" s="3"/>
    </row>
    <row r="4760" spans="1:4">
      <c r="A4760" s="3"/>
      <c r="D4760" s="3"/>
    </row>
    <row r="4761" spans="1:4">
      <c r="A4761" s="3"/>
      <c r="D4761" s="3"/>
    </row>
    <row r="4762" spans="1:4">
      <c r="A4762" s="3"/>
      <c r="D4762" s="3"/>
    </row>
    <row r="4763" spans="1:4">
      <c r="A4763" s="3"/>
      <c r="D4763" s="3"/>
    </row>
    <row r="4764" spans="1:4">
      <c r="A4764" s="3"/>
      <c r="D4764" s="3"/>
    </row>
    <row r="4765" spans="1:4">
      <c r="A4765" s="3"/>
      <c r="D4765" s="3"/>
    </row>
    <row r="4766" spans="1:4">
      <c r="A4766" s="3"/>
      <c r="D4766" s="3"/>
    </row>
    <row r="4767" spans="1:4">
      <c r="A4767" s="3"/>
      <c r="D4767" s="3"/>
    </row>
    <row r="4768" spans="1:4">
      <c r="A4768" s="3"/>
      <c r="D4768" s="3"/>
    </row>
    <row r="4769" spans="1:4">
      <c r="A4769" s="3"/>
      <c r="D4769" s="3"/>
    </row>
    <row r="4770" spans="1:4">
      <c r="A4770" s="3"/>
      <c r="D4770" s="3"/>
    </row>
    <row r="4771" spans="1:4">
      <c r="A4771" s="3"/>
      <c r="D4771" s="3"/>
    </row>
    <row r="4772" spans="1:4">
      <c r="A4772" s="3"/>
      <c r="D4772" s="3"/>
    </row>
    <row r="4773" spans="1:4">
      <c r="A4773" s="3"/>
      <c r="D4773" s="3"/>
    </row>
    <row r="4774" spans="1:4">
      <c r="A4774" s="3"/>
      <c r="D4774" s="3"/>
    </row>
    <row r="4775" spans="1:4">
      <c r="A4775" s="3"/>
      <c r="D4775" s="3"/>
    </row>
    <row r="4776" spans="1:4">
      <c r="A4776" s="3"/>
      <c r="D4776" s="3"/>
    </row>
    <row r="4777" spans="1:4">
      <c r="A4777" s="3"/>
      <c r="D4777" s="3"/>
    </row>
    <row r="4778" spans="1:4">
      <c r="A4778" s="3"/>
      <c r="D4778" s="3"/>
    </row>
    <row r="4779" spans="1:4">
      <c r="A4779" s="3"/>
      <c r="D4779" s="3"/>
    </row>
    <row r="4780" spans="1:4">
      <c r="A4780" s="3"/>
      <c r="D4780" s="3"/>
    </row>
    <row r="4781" spans="1:4">
      <c r="A4781" s="3"/>
      <c r="D4781" s="3"/>
    </row>
    <row r="4782" spans="1:4">
      <c r="A4782" s="3"/>
      <c r="D4782" s="3"/>
    </row>
    <row r="4783" spans="1:4">
      <c r="A4783" s="3"/>
      <c r="D4783" s="3"/>
    </row>
    <row r="4784" spans="1:4">
      <c r="A4784" s="3"/>
      <c r="D4784" s="3"/>
    </row>
    <row r="4785" spans="1:4">
      <c r="A4785" s="3"/>
      <c r="D4785" s="3"/>
    </row>
    <row r="4786" spans="1:4">
      <c r="A4786" s="3"/>
      <c r="D4786" s="3"/>
    </row>
    <row r="4787" spans="1:4">
      <c r="A4787" s="3"/>
      <c r="D4787" s="3"/>
    </row>
    <row r="4788" spans="1:4">
      <c r="A4788" s="3"/>
      <c r="D4788" s="3"/>
    </row>
    <row r="4789" spans="1:4">
      <c r="A4789" s="3"/>
      <c r="D4789" s="3"/>
    </row>
    <row r="4790" spans="1:4">
      <c r="A4790" s="3"/>
      <c r="D4790" s="3"/>
    </row>
    <row r="4791" spans="1:4">
      <c r="A4791" s="3"/>
      <c r="D4791" s="3"/>
    </row>
    <row r="4792" spans="1:4">
      <c r="A4792" s="3"/>
      <c r="D4792" s="3"/>
    </row>
    <row r="4793" spans="1:4">
      <c r="A4793" s="3"/>
      <c r="D4793" s="3"/>
    </row>
    <row r="4794" spans="1:4">
      <c r="A4794" s="3"/>
      <c r="D4794" s="3"/>
    </row>
    <row r="4795" spans="1:4">
      <c r="A4795" s="3"/>
      <c r="D4795" s="3"/>
    </row>
    <row r="4796" spans="1:4">
      <c r="A4796" s="3"/>
      <c r="D4796" s="3"/>
    </row>
    <row r="4797" spans="1:4">
      <c r="A4797" s="3"/>
      <c r="D4797" s="3"/>
    </row>
    <row r="4798" spans="1:4">
      <c r="A4798" s="3"/>
      <c r="D4798" s="3"/>
    </row>
    <row r="4799" spans="1:4">
      <c r="A4799" s="3"/>
      <c r="D4799" s="3"/>
    </row>
    <row r="4800" spans="1:4">
      <c r="A4800" s="3"/>
      <c r="D4800" s="3"/>
    </row>
    <row r="4801" spans="1:4">
      <c r="A4801" s="3"/>
      <c r="D4801" s="3"/>
    </row>
    <row r="4802" spans="1:4">
      <c r="A4802" s="3"/>
      <c r="D4802" s="3"/>
    </row>
    <row r="4803" spans="1:4">
      <c r="A4803" s="3"/>
      <c r="D4803" s="3"/>
    </row>
    <row r="4804" spans="1:4">
      <c r="A4804" s="3"/>
      <c r="D4804" s="3"/>
    </row>
    <row r="4805" spans="1:4">
      <c r="A4805" s="3"/>
      <c r="D4805" s="3"/>
    </row>
    <row r="4806" spans="1:4">
      <c r="A4806" s="3"/>
      <c r="D4806" s="3"/>
    </row>
    <row r="4807" spans="1:4">
      <c r="A4807" s="3"/>
      <c r="D4807" s="3"/>
    </row>
    <row r="4808" spans="1:4">
      <c r="A4808" s="3"/>
      <c r="D4808" s="3"/>
    </row>
    <row r="4809" spans="1:4">
      <c r="A4809" s="3"/>
      <c r="D4809" s="3"/>
    </row>
    <row r="4810" spans="1:4">
      <c r="A4810" s="3"/>
      <c r="D4810" s="3"/>
    </row>
    <row r="4811" spans="1:4">
      <c r="A4811" s="3"/>
      <c r="D4811" s="3"/>
    </row>
    <row r="4812" spans="1:4">
      <c r="A4812" s="3"/>
      <c r="D4812" s="3"/>
    </row>
    <row r="4813" spans="1:4">
      <c r="A4813" s="3"/>
      <c r="D4813" s="3"/>
    </row>
    <row r="4814" spans="1:4">
      <c r="A4814" s="3"/>
      <c r="D4814" s="3"/>
    </row>
    <row r="4815" spans="1:4">
      <c r="A4815" s="3"/>
      <c r="D4815" s="3"/>
    </row>
    <row r="4816" spans="1:4">
      <c r="A4816" s="3"/>
      <c r="D4816" s="3"/>
    </row>
    <row r="4817" spans="1:4">
      <c r="A4817" s="3"/>
      <c r="D4817" s="3"/>
    </row>
    <row r="4818" spans="1:4">
      <c r="A4818" s="3"/>
      <c r="D4818" s="3"/>
    </row>
    <row r="4819" spans="1:4">
      <c r="A4819" s="3"/>
      <c r="D4819" s="3"/>
    </row>
    <row r="4820" spans="1:4">
      <c r="A4820" s="3"/>
      <c r="D4820" s="3"/>
    </row>
    <row r="4821" spans="1:4">
      <c r="A4821" s="3"/>
      <c r="D4821" s="3"/>
    </row>
    <row r="4822" spans="1:4">
      <c r="A4822" s="3"/>
      <c r="D4822" s="3"/>
    </row>
    <row r="4823" spans="1:4">
      <c r="A4823" s="3"/>
      <c r="D4823" s="3"/>
    </row>
    <row r="4824" spans="1:4">
      <c r="A4824" s="3"/>
      <c r="D4824" s="3"/>
    </row>
    <row r="4825" spans="1:4">
      <c r="A4825" s="3"/>
      <c r="D4825" s="3"/>
    </row>
    <row r="4826" spans="1:4">
      <c r="A4826" s="3"/>
      <c r="D4826" s="3"/>
    </row>
    <row r="4827" spans="1:4">
      <c r="A4827" s="3"/>
      <c r="D4827" s="3"/>
    </row>
    <row r="4828" spans="1:4">
      <c r="A4828" s="3"/>
      <c r="D4828" s="3"/>
    </row>
    <row r="4829" spans="1:4">
      <c r="A4829" s="3"/>
      <c r="D4829" s="3"/>
    </row>
    <row r="4830" spans="1:4">
      <c r="A4830" s="3"/>
      <c r="D4830" s="3"/>
    </row>
    <row r="4831" spans="1:4">
      <c r="A4831" s="3"/>
      <c r="D4831" s="3"/>
    </row>
    <row r="4832" spans="1:4">
      <c r="A4832" s="3"/>
      <c r="D4832" s="3"/>
    </row>
    <row r="4833" spans="1:4">
      <c r="A4833" s="3"/>
      <c r="D4833" s="3"/>
    </row>
    <row r="4834" spans="1:4">
      <c r="A4834" s="3"/>
      <c r="D4834" s="3"/>
    </row>
    <row r="4835" spans="1:4">
      <c r="A4835" s="3"/>
      <c r="D4835" s="3"/>
    </row>
    <row r="4836" spans="1:4">
      <c r="A4836" s="3"/>
      <c r="D4836" s="3"/>
    </row>
    <row r="4837" spans="1:4">
      <c r="A4837" s="3"/>
      <c r="D4837" s="3"/>
    </row>
    <row r="4838" spans="1:4">
      <c r="A4838" s="3"/>
      <c r="D4838" s="3"/>
    </row>
    <row r="4839" spans="1:4">
      <c r="A4839" s="3"/>
      <c r="D4839" s="3"/>
    </row>
    <row r="4840" spans="1:4">
      <c r="A4840" s="3"/>
      <c r="D4840" s="3"/>
    </row>
    <row r="4841" spans="1:4">
      <c r="A4841" s="3"/>
      <c r="D4841" s="3"/>
    </row>
    <row r="4842" spans="1:4">
      <c r="A4842" s="3"/>
      <c r="D4842" s="3"/>
    </row>
    <row r="4843" spans="1:4">
      <c r="A4843" s="3"/>
      <c r="D4843" s="3"/>
    </row>
    <row r="4844" spans="1:4">
      <c r="A4844" s="3"/>
      <c r="D4844" s="3"/>
    </row>
    <row r="4845" spans="1:4">
      <c r="A4845" s="3"/>
      <c r="D4845" s="3"/>
    </row>
    <row r="4846" spans="1:4">
      <c r="A4846" s="3"/>
      <c r="D4846" s="3"/>
    </row>
    <row r="4847" spans="1:4">
      <c r="A4847" s="3"/>
      <c r="D4847" s="3"/>
    </row>
    <row r="4848" spans="1:4">
      <c r="A4848" s="3"/>
      <c r="D4848" s="3"/>
    </row>
    <row r="4849" spans="1:4">
      <c r="A4849" s="3"/>
      <c r="D4849" s="3"/>
    </row>
    <row r="4850" spans="1:4">
      <c r="A4850" s="3"/>
      <c r="D4850" s="3"/>
    </row>
    <row r="4851" spans="1:4">
      <c r="A4851" s="3"/>
      <c r="D4851" s="3"/>
    </row>
    <row r="4852" spans="1:4">
      <c r="A4852" s="3"/>
      <c r="D4852" s="3"/>
    </row>
    <row r="4853" spans="1:4">
      <c r="A4853" s="3"/>
      <c r="D4853" s="3"/>
    </row>
    <row r="4854" spans="1:4">
      <c r="A4854" s="3"/>
      <c r="D4854" s="3"/>
    </row>
    <row r="4855" spans="1:4">
      <c r="A4855" s="3"/>
      <c r="D4855" s="3"/>
    </row>
    <row r="4856" spans="1:4">
      <c r="A4856" s="3"/>
      <c r="D4856" s="3"/>
    </row>
    <row r="4857" spans="1:4">
      <c r="A4857" s="3"/>
      <c r="D4857" s="3"/>
    </row>
    <row r="4858" spans="1:4">
      <c r="A4858" s="3"/>
      <c r="D4858" s="3"/>
    </row>
    <row r="4859" spans="1:4">
      <c r="A4859" s="3"/>
      <c r="D4859" s="3"/>
    </row>
    <row r="4860" spans="1:4">
      <c r="A4860" s="3"/>
      <c r="D4860" s="3"/>
    </row>
    <row r="4861" spans="1:4">
      <c r="A4861" s="3"/>
      <c r="D4861" s="3"/>
    </row>
    <row r="4862" spans="1:4">
      <c r="A4862" s="3"/>
      <c r="D4862" s="3"/>
    </row>
    <row r="4863" spans="1:4">
      <c r="A4863" s="3"/>
      <c r="D4863" s="3"/>
    </row>
    <row r="4864" spans="1:4">
      <c r="A4864" s="3"/>
      <c r="D4864" s="3"/>
    </row>
    <row r="4865" spans="1:4">
      <c r="A4865" s="3"/>
      <c r="D4865" s="3"/>
    </row>
    <row r="4866" spans="1:4">
      <c r="A4866" s="3"/>
      <c r="D4866" s="3"/>
    </row>
    <row r="4867" spans="1:4">
      <c r="A4867" s="3"/>
      <c r="D4867" s="3"/>
    </row>
    <row r="4868" spans="1:4">
      <c r="A4868" s="3"/>
      <c r="D4868" s="3"/>
    </row>
    <row r="4869" spans="1:4">
      <c r="A4869" s="3"/>
      <c r="D4869" s="3"/>
    </row>
    <row r="4870" spans="1:4">
      <c r="A4870" s="3"/>
      <c r="D4870" s="3"/>
    </row>
    <row r="4871" spans="1:4">
      <c r="A4871" s="3"/>
      <c r="D4871" s="3"/>
    </row>
    <row r="4872" spans="1:4">
      <c r="A4872" s="3"/>
      <c r="D4872" s="3"/>
    </row>
    <row r="4873" spans="1:4">
      <c r="A4873" s="3"/>
      <c r="D4873" s="3"/>
    </row>
    <row r="4874" spans="1:4">
      <c r="A4874" s="3"/>
      <c r="D4874" s="3"/>
    </row>
    <row r="4875" spans="1:4">
      <c r="A4875" s="3"/>
      <c r="D4875" s="3"/>
    </row>
    <row r="4876" spans="1:4">
      <c r="A4876" s="3"/>
      <c r="D4876" s="3"/>
    </row>
    <row r="4877" spans="1:4">
      <c r="A4877" s="3"/>
      <c r="D4877" s="3"/>
    </row>
    <row r="4878" spans="1:4">
      <c r="A4878" s="3"/>
      <c r="D4878" s="3"/>
    </row>
    <row r="4879" spans="1:4">
      <c r="A4879" s="3"/>
      <c r="D4879" s="3"/>
    </row>
    <row r="4880" spans="1:4">
      <c r="A4880" s="3"/>
      <c r="D4880" s="3"/>
    </row>
    <row r="4881" spans="1:4">
      <c r="A4881" s="3"/>
      <c r="D4881" s="3"/>
    </row>
    <row r="4882" spans="1:4">
      <c r="A4882" s="3"/>
      <c r="D4882" s="3"/>
    </row>
    <row r="4883" spans="1:4">
      <c r="A4883" s="3"/>
      <c r="D4883" s="3"/>
    </row>
    <row r="4884" spans="1:4">
      <c r="A4884" s="3"/>
      <c r="D4884" s="3"/>
    </row>
    <row r="4885" spans="1:4">
      <c r="A4885" s="3"/>
      <c r="D4885" s="3"/>
    </row>
    <row r="4886" spans="1:4">
      <c r="A4886" s="3"/>
      <c r="D4886" s="3"/>
    </row>
    <row r="4887" spans="1:4">
      <c r="A4887" s="3"/>
      <c r="D4887" s="3"/>
    </row>
    <row r="4888" spans="1:4">
      <c r="A4888" s="3"/>
      <c r="D4888" s="3"/>
    </row>
    <row r="4889" spans="1:4">
      <c r="A4889" s="3"/>
      <c r="D4889" s="3"/>
    </row>
    <row r="4890" spans="1:4">
      <c r="A4890" s="3"/>
      <c r="D4890" s="3"/>
    </row>
    <row r="4891" spans="1:4">
      <c r="A4891" s="3"/>
      <c r="D4891" s="3"/>
    </row>
    <row r="4892" spans="1:4">
      <c r="A4892" s="3"/>
      <c r="D4892" s="3"/>
    </row>
    <row r="4893" spans="1:4">
      <c r="A4893" s="3"/>
      <c r="D4893" s="3"/>
    </row>
    <row r="4894" spans="1:4">
      <c r="A4894" s="3"/>
      <c r="D4894" s="3"/>
    </row>
    <row r="4895" spans="1:4">
      <c r="A4895" s="3"/>
      <c r="D4895" s="3"/>
    </row>
    <row r="4896" spans="1:4">
      <c r="A4896" s="3"/>
      <c r="D4896" s="3"/>
    </row>
    <row r="4897" spans="1:4">
      <c r="A4897" s="3"/>
      <c r="D4897" s="3"/>
    </row>
    <row r="4898" spans="1:4">
      <c r="A4898" s="3"/>
      <c r="D4898" s="3"/>
    </row>
    <row r="4899" spans="1:4">
      <c r="A4899" s="3"/>
      <c r="D4899" s="3"/>
    </row>
    <row r="4900" spans="1:4">
      <c r="A4900" s="3"/>
      <c r="D4900" s="3"/>
    </row>
    <row r="4901" spans="1:4">
      <c r="A4901" s="3"/>
      <c r="D4901" s="3"/>
    </row>
    <row r="4902" spans="1:4">
      <c r="A4902" s="3"/>
      <c r="D4902" s="3"/>
    </row>
    <row r="4903" spans="1:4">
      <c r="A4903" s="3"/>
      <c r="D4903" s="3"/>
    </row>
    <row r="4904" spans="1:4">
      <c r="A4904" s="3"/>
      <c r="D4904" s="3"/>
    </row>
    <row r="4905" spans="1:4">
      <c r="A4905" s="3"/>
      <c r="D4905" s="3"/>
    </row>
    <row r="4906" spans="1:4">
      <c r="A4906" s="3"/>
      <c r="D4906" s="3"/>
    </row>
    <row r="4907" spans="1:4">
      <c r="A4907" s="3"/>
      <c r="D4907" s="3"/>
    </row>
    <row r="4908" spans="1:4">
      <c r="A4908" s="3"/>
      <c r="D4908" s="3"/>
    </row>
    <row r="4909" spans="1:4">
      <c r="A4909" s="3"/>
      <c r="D4909" s="3"/>
    </row>
    <row r="4910" spans="1:4">
      <c r="A4910" s="3"/>
      <c r="D4910" s="3"/>
    </row>
    <row r="4911" spans="1:4">
      <c r="A4911" s="3"/>
      <c r="D4911" s="3"/>
    </row>
    <row r="4912" spans="1:4">
      <c r="A4912" s="3"/>
      <c r="D4912" s="3"/>
    </row>
    <row r="4913" spans="1:4">
      <c r="A4913" s="3"/>
      <c r="D4913" s="3"/>
    </row>
    <row r="4914" spans="1:4">
      <c r="A4914" s="3"/>
      <c r="D4914" s="3"/>
    </row>
    <row r="4915" spans="1:4">
      <c r="A4915" s="3"/>
      <c r="D4915" s="3"/>
    </row>
    <row r="4916" spans="1:4">
      <c r="A4916" s="3"/>
      <c r="D4916" s="3"/>
    </row>
    <row r="4917" spans="1:4">
      <c r="A4917" s="3"/>
      <c r="D4917" s="3"/>
    </row>
    <row r="4918" spans="1:4">
      <c r="A4918" s="3"/>
      <c r="D4918" s="3"/>
    </row>
    <row r="4919" spans="1:4">
      <c r="A4919" s="3"/>
      <c r="D4919" s="3"/>
    </row>
    <row r="4920" spans="1:4">
      <c r="A4920" s="3"/>
      <c r="D4920" s="3"/>
    </row>
    <row r="4921" spans="1:4">
      <c r="A4921" s="3"/>
      <c r="D4921" s="3"/>
    </row>
    <row r="4922" spans="1:4">
      <c r="A4922" s="3"/>
      <c r="D4922" s="3"/>
    </row>
    <row r="4923" spans="1:4">
      <c r="A4923" s="3"/>
      <c r="D4923" s="3"/>
    </row>
    <row r="4924" spans="1:4">
      <c r="A4924" s="3"/>
      <c r="D4924" s="3"/>
    </row>
    <row r="4925" spans="1:4">
      <c r="A4925" s="3"/>
      <c r="D4925" s="3"/>
    </row>
    <row r="4926" spans="1:4">
      <c r="A4926" s="3"/>
      <c r="D4926" s="3"/>
    </row>
    <row r="4927" spans="1:4">
      <c r="A4927" s="3"/>
      <c r="D4927" s="3"/>
    </row>
    <row r="4928" spans="1:4">
      <c r="A4928" s="3"/>
      <c r="D4928" s="3"/>
    </row>
    <row r="4929" spans="1:4">
      <c r="A4929" s="3"/>
      <c r="D4929" s="3"/>
    </row>
    <row r="4930" spans="1:4">
      <c r="A4930" s="3"/>
      <c r="D4930" s="3"/>
    </row>
    <row r="4931" spans="1:4">
      <c r="A4931" s="3"/>
      <c r="D4931" s="3"/>
    </row>
    <row r="4932" spans="1:4">
      <c r="A4932" s="3"/>
      <c r="D4932" s="3"/>
    </row>
    <row r="4933" spans="1:4">
      <c r="A4933" s="3"/>
      <c r="D4933" s="3"/>
    </row>
    <row r="4934" spans="1:4">
      <c r="A4934" s="3"/>
      <c r="D4934" s="3"/>
    </row>
    <row r="4935" spans="1:4">
      <c r="A4935" s="3"/>
      <c r="D4935" s="3"/>
    </row>
    <row r="4936" spans="1:4">
      <c r="A4936" s="3"/>
      <c r="D4936" s="3"/>
    </row>
    <row r="4937" spans="1:4">
      <c r="A4937" s="3"/>
      <c r="D4937" s="3"/>
    </row>
    <row r="4938" spans="1:4">
      <c r="A4938" s="3"/>
      <c r="D4938" s="3"/>
    </row>
    <row r="4939" spans="1:4">
      <c r="A4939" s="3"/>
      <c r="D4939" s="3"/>
    </row>
    <row r="4940" spans="1:4">
      <c r="A4940" s="3"/>
      <c r="D4940" s="3"/>
    </row>
    <row r="4941" spans="1:4">
      <c r="A4941" s="3"/>
      <c r="D4941" s="3"/>
    </row>
    <row r="4942" spans="1:4">
      <c r="A4942" s="3"/>
      <c r="D4942" s="3"/>
    </row>
    <row r="4943" spans="1:4">
      <c r="A4943" s="3"/>
      <c r="D4943" s="3"/>
    </row>
    <row r="4944" spans="1:4">
      <c r="A4944" s="3"/>
      <c r="D4944" s="3"/>
    </row>
    <row r="4945" spans="1:4">
      <c r="A4945" s="3"/>
      <c r="D4945" s="3"/>
    </row>
    <row r="4946" spans="1:4">
      <c r="A4946" s="3"/>
      <c r="D4946" s="3"/>
    </row>
    <row r="4947" spans="1:4">
      <c r="A4947" s="3"/>
      <c r="D4947" s="3"/>
    </row>
    <row r="4948" spans="1:4">
      <c r="A4948" s="3"/>
      <c r="D4948" s="3"/>
    </row>
    <row r="4949" spans="1:4">
      <c r="A4949" s="3"/>
      <c r="D4949" s="3"/>
    </row>
    <row r="4950" spans="1:4">
      <c r="A4950" s="3"/>
      <c r="D4950" s="3"/>
    </row>
    <row r="4951" spans="1:4">
      <c r="A4951" s="3"/>
      <c r="D4951" s="3"/>
    </row>
    <row r="4952" spans="1:4">
      <c r="A4952" s="3"/>
      <c r="D4952" s="3"/>
    </row>
    <row r="4953" spans="1:4">
      <c r="A4953" s="3"/>
      <c r="D4953" s="3"/>
    </row>
    <row r="4954" spans="1:4">
      <c r="A4954" s="3"/>
      <c r="D4954" s="3"/>
    </row>
    <row r="4955" spans="1:4">
      <c r="A4955" s="3"/>
      <c r="D4955" s="3"/>
    </row>
    <row r="4956" spans="1:4">
      <c r="A4956" s="3"/>
      <c r="D4956" s="3"/>
    </row>
    <row r="4957" spans="1:4">
      <c r="A4957" s="3"/>
      <c r="D4957" s="3"/>
    </row>
    <row r="4958" spans="1:4">
      <c r="A4958" s="3"/>
      <c r="D4958" s="3"/>
    </row>
    <row r="4959" spans="1:4">
      <c r="A4959" s="3"/>
      <c r="D4959" s="3"/>
    </row>
    <row r="4960" spans="1:4">
      <c r="A4960" s="3"/>
      <c r="D4960" s="3"/>
    </row>
    <row r="4961" spans="1:4">
      <c r="A4961" s="3"/>
      <c r="D4961" s="3"/>
    </row>
    <row r="4962" spans="1:4">
      <c r="A4962" s="3"/>
      <c r="D4962" s="3"/>
    </row>
    <row r="4963" spans="1:4">
      <c r="A4963" s="3"/>
      <c r="D4963" s="3"/>
    </row>
    <row r="4964" spans="1:4">
      <c r="A4964" s="3"/>
      <c r="D4964" s="3"/>
    </row>
    <row r="4965" spans="1:4">
      <c r="A4965" s="3"/>
      <c r="D4965" s="3"/>
    </row>
    <row r="4966" spans="1:4">
      <c r="A4966" s="3"/>
      <c r="D4966" s="3"/>
    </row>
    <row r="4967" spans="1:4">
      <c r="A4967" s="3"/>
      <c r="D4967" s="3"/>
    </row>
    <row r="4968" spans="1:4">
      <c r="A4968" s="3"/>
      <c r="D4968" s="3"/>
    </row>
    <row r="4969" spans="1:4">
      <c r="A4969" s="3"/>
      <c r="D4969" s="3"/>
    </row>
    <row r="4970" spans="1:4">
      <c r="A4970" s="3"/>
      <c r="D4970" s="3"/>
    </row>
    <row r="4971" spans="1:4">
      <c r="A4971" s="3"/>
      <c r="D4971" s="3"/>
    </row>
    <row r="4972" spans="1:4">
      <c r="A4972" s="3"/>
      <c r="D4972" s="3"/>
    </row>
    <row r="4973" spans="1:4">
      <c r="A4973" s="3"/>
      <c r="D4973" s="3"/>
    </row>
    <row r="4974" spans="1:4">
      <c r="A4974" s="3"/>
      <c r="D4974" s="3"/>
    </row>
    <row r="4975" spans="1:4">
      <c r="A4975" s="3"/>
      <c r="D4975" s="3"/>
    </row>
    <row r="4976" spans="1:4">
      <c r="A4976" s="3"/>
      <c r="D4976" s="3"/>
    </row>
    <row r="4977" spans="1:4">
      <c r="A4977" s="3"/>
      <c r="D4977" s="3"/>
    </row>
    <row r="4978" spans="1:4">
      <c r="A4978" s="3"/>
      <c r="D4978" s="3"/>
    </row>
    <row r="4979" spans="1:4">
      <c r="A4979" s="3"/>
      <c r="D4979" s="3"/>
    </row>
    <row r="4980" spans="1:4">
      <c r="A4980" s="3"/>
      <c r="D4980" s="3"/>
    </row>
    <row r="4981" spans="1:4">
      <c r="A4981" s="3"/>
      <c r="D4981" s="3"/>
    </row>
    <row r="4982" spans="1:4">
      <c r="A4982" s="3"/>
      <c r="D4982" s="3"/>
    </row>
    <row r="4983" spans="1:4">
      <c r="A4983" s="3"/>
      <c r="D4983" s="3"/>
    </row>
    <row r="4984" spans="1:4">
      <c r="A4984" s="3"/>
      <c r="D4984" s="3"/>
    </row>
    <row r="4985" spans="1:4">
      <c r="A4985" s="3"/>
      <c r="D4985" s="3"/>
    </row>
    <row r="4986" spans="1:4">
      <c r="A4986" s="3"/>
      <c r="D4986" s="3"/>
    </row>
    <row r="4987" spans="1:4">
      <c r="A4987" s="3"/>
      <c r="D4987" s="3"/>
    </row>
    <row r="4988" spans="1:4">
      <c r="A4988" s="3"/>
      <c r="D4988" s="3"/>
    </row>
    <row r="4989" spans="1:4">
      <c r="A4989" s="3"/>
      <c r="D4989" s="3"/>
    </row>
    <row r="4990" spans="1:4">
      <c r="A4990" s="3"/>
      <c r="D4990" s="3"/>
    </row>
    <row r="4991" spans="1:4">
      <c r="A4991" s="3"/>
      <c r="D4991" s="3"/>
    </row>
    <row r="4992" spans="1:4">
      <c r="A4992" s="3"/>
      <c r="D4992" s="3"/>
    </row>
    <row r="4993" spans="1:4">
      <c r="A4993" s="3"/>
      <c r="D4993" s="3"/>
    </row>
    <row r="4994" spans="1:4">
      <c r="A4994" s="3"/>
      <c r="D4994" s="3"/>
    </row>
    <row r="4995" spans="1:4">
      <c r="A4995" s="3"/>
      <c r="D4995" s="3"/>
    </row>
    <row r="4996" spans="1:4">
      <c r="A4996" s="3"/>
      <c r="D4996" s="3"/>
    </row>
    <row r="4997" spans="1:4">
      <c r="A4997" s="3"/>
      <c r="D4997" s="3"/>
    </row>
    <row r="4998" spans="1:4">
      <c r="A4998" s="3"/>
      <c r="D4998" s="3"/>
    </row>
    <row r="4999" spans="1:4">
      <c r="A4999" s="3"/>
      <c r="D4999" s="3"/>
    </row>
    <row r="5000" spans="1:4">
      <c r="A5000" s="3"/>
      <c r="D5000" s="3"/>
    </row>
    <row r="5001" spans="1:4">
      <c r="A5001" s="3"/>
      <c r="D5001" s="3"/>
    </row>
    <row r="5002" spans="1:4">
      <c r="A5002" s="3"/>
      <c r="D5002" s="3"/>
    </row>
    <row r="5003" spans="1:4">
      <c r="A5003" s="3"/>
      <c r="D5003" s="3"/>
    </row>
    <row r="5004" spans="1:4">
      <c r="A5004" s="3"/>
      <c r="D5004" s="3"/>
    </row>
    <row r="5005" spans="1:4">
      <c r="A5005" s="3"/>
      <c r="D5005" s="3"/>
    </row>
    <row r="5006" spans="1:4">
      <c r="A5006" s="3"/>
      <c r="D5006" s="3"/>
    </row>
    <row r="5007" spans="1:4">
      <c r="A5007" s="3"/>
      <c r="D5007" s="3"/>
    </row>
    <row r="5008" spans="1:4">
      <c r="A5008" s="3"/>
      <c r="D5008" s="3"/>
    </row>
    <row r="5009" spans="1:4">
      <c r="A5009" s="3"/>
      <c r="D5009" s="3"/>
    </row>
    <row r="5010" spans="1:4">
      <c r="A5010" s="3"/>
      <c r="D5010" s="3"/>
    </row>
    <row r="5011" spans="1:4">
      <c r="A5011" s="3"/>
      <c r="D5011" s="3"/>
    </row>
    <row r="5012" spans="1:4">
      <c r="A5012" s="3"/>
      <c r="D5012" s="3"/>
    </row>
    <row r="5013" spans="1:4">
      <c r="A5013" s="3"/>
      <c r="D5013" s="3"/>
    </row>
    <row r="5014" spans="1:4">
      <c r="A5014" s="3"/>
      <c r="D5014" s="3"/>
    </row>
    <row r="5015" spans="1:4">
      <c r="A5015" s="3"/>
      <c r="D5015" s="3"/>
    </row>
    <row r="5016" spans="1:4">
      <c r="A5016" s="3"/>
      <c r="D5016" s="3"/>
    </row>
    <row r="5017" spans="1:4">
      <c r="A5017" s="3"/>
      <c r="D5017" s="3"/>
    </row>
    <row r="5018" spans="1:4">
      <c r="A5018" s="3"/>
      <c r="D5018" s="3"/>
    </row>
    <row r="5019" spans="1:4">
      <c r="A5019" s="3"/>
      <c r="D5019" s="3"/>
    </row>
    <row r="5020" spans="1:4">
      <c r="A5020" s="3"/>
      <c r="D5020" s="3"/>
    </row>
    <row r="5021" spans="1:4">
      <c r="A5021" s="3"/>
      <c r="D5021" s="3"/>
    </row>
    <row r="5022" spans="1:4">
      <c r="A5022" s="3"/>
      <c r="D5022" s="3"/>
    </row>
    <row r="5023" spans="1:4">
      <c r="A5023" s="3"/>
      <c r="D5023" s="3"/>
    </row>
    <row r="5024" spans="1:4">
      <c r="A5024" s="3"/>
      <c r="D5024" s="3"/>
    </row>
    <row r="5025" spans="1:4">
      <c r="A5025" s="3"/>
      <c r="D5025" s="3"/>
    </row>
    <row r="5026" spans="1:4">
      <c r="A5026" s="3"/>
      <c r="D5026" s="3"/>
    </row>
    <row r="5027" spans="1:4">
      <c r="A5027" s="3"/>
      <c r="D5027" s="3"/>
    </row>
    <row r="5028" spans="1:4">
      <c r="A5028" s="3"/>
      <c r="D5028" s="3"/>
    </row>
    <row r="5029" spans="1:4">
      <c r="A5029" s="3"/>
      <c r="D5029" s="3"/>
    </row>
    <row r="5030" spans="1:4">
      <c r="A5030" s="3"/>
      <c r="D5030" s="3"/>
    </row>
    <row r="5031" spans="1:4">
      <c r="A5031" s="3"/>
      <c r="D5031" s="3"/>
    </row>
    <row r="5032" spans="1:4">
      <c r="A5032" s="3"/>
      <c r="D5032" s="3"/>
    </row>
    <row r="5033" spans="1:4">
      <c r="A5033" s="3"/>
      <c r="D5033" s="3"/>
    </row>
    <row r="5034" spans="1:4">
      <c r="A5034" s="3"/>
      <c r="D5034" s="3"/>
    </row>
    <row r="5035" spans="1:4">
      <c r="A5035" s="3"/>
      <c r="D5035" s="3"/>
    </row>
    <row r="5036" spans="1:4">
      <c r="A5036" s="3"/>
      <c r="D5036" s="3"/>
    </row>
    <row r="5037" spans="1:4">
      <c r="A5037" s="3"/>
      <c r="D5037" s="3"/>
    </row>
    <row r="5038" spans="1:4">
      <c r="A5038" s="3"/>
      <c r="D5038" s="3"/>
    </row>
    <row r="5039" spans="1:4">
      <c r="A5039" s="3"/>
      <c r="D5039" s="3"/>
    </row>
    <row r="5040" spans="1:4">
      <c r="A5040" s="3"/>
      <c r="D5040" s="3"/>
    </row>
    <row r="5041" spans="1:4">
      <c r="A5041" s="3"/>
      <c r="D5041" s="3"/>
    </row>
    <row r="5042" spans="1:4">
      <c r="A5042" s="3"/>
      <c r="D5042" s="3"/>
    </row>
    <row r="5043" spans="1:4">
      <c r="A5043" s="3"/>
      <c r="D5043" s="3"/>
    </row>
    <row r="5044" spans="1:4">
      <c r="A5044" s="3"/>
      <c r="D5044" s="3"/>
    </row>
    <row r="5045" spans="1:4">
      <c r="A5045" s="3"/>
      <c r="D5045" s="3"/>
    </row>
    <row r="5046" spans="1:4">
      <c r="A5046" s="3"/>
      <c r="D5046" s="3"/>
    </row>
    <row r="5047" spans="1:4">
      <c r="A5047" s="3"/>
      <c r="D5047" s="3"/>
    </row>
    <row r="5048" spans="1:4">
      <c r="A5048" s="3"/>
      <c r="D5048" s="3"/>
    </row>
    <row r="5049" spans="1:4">
      <c r="A5049" s="3"/>
      <c r="D5049" s="3"/>
    </row>
    <row r="5050" spans="1:4">
      <c r="A5050" s="3"/>
      <c r="D5050" s="3"/>
    </row>
    <row r="5051" spans="1:4">
      <c r="A5051" s="3"/>
      <c r="D5051" s="3"/>
    </row>
    <row r="5052" spans="1:4">
      <c r="A5052" s="3"/>
      <c r="D5052" s="3"/>
    </row>
    <row r="5053" spans="1:4">
      <c r="A5053" s="3"/>
      <c r="D5053" s="3"/>
    </row>
    <row r="5054" spans="1:4">
      <c r="A5054" s="3"/>
      <c r="D5054" s="3"/>
    </row>
    <row r="5055" spans="1:4">
      <c r="A5055" s="3"/>
      <c r="D5055" s="3"/>
    </row>
    <row r="5056" spans="1:4">
      <c r="A5056" s="3"/>
      <c r="D5056" s="3"/>
    </row>
    <row r="5057" spans="1:4">
      <c r="A5057" s="3"/>
      <c r="D5057" s="3"/>
    </row>
    <row r="5058" spans="1:4">
      <c r="A5058" s="3"/>
      <c r="D5058" s="3"/>
    </row>
    <row r="5059" spans="1:4">
      <c r="A5059" s="3"/>
      <c r="D5059" s="3"/>
    </row>
    <row r="5060" spans="1:4">
      <c r="A5060" s="3"/>
      <c r="D5060" s="3"/>
    </row>
    <row r="5061" spans="1:4">
      <c r="A5061" s="3"/>
      <c r="D5061" s="3"/>
    </row>
    <row r="5062" spans="1:4">
      <c r="A5062" s="3"/>
      <c r="D5062" s="3"/>
    </row>
    <row r="5063" spans="1:4">
      <c r="A5063" s="3"/>
      <c r="D5063" s="3"/>
    </row>
    <row r="5064" spans="1:4">
      <c r="A5064" s="3"/>
      <c r="D5064" s="3"/>
    </row>
    <row r="5065" spans="1:4">
      <c r="A5065" s="3"/>
      <c r="D5065" s="3"/>
    </row>
    <row r="5066" spans="1:4">
      <c r="A5066" s="3"/>
      <c r="D5066" s="3"/>
    </row>
    <row r="5067" spans="1:4">
      <c r="A5067" s="3"/>
      <c r="D5067" s="3"/>
    </row>
    <row r="5068" spans="1:4">
      <c r="A5068" s="3"/>
      <c r="D5068" s="3"/>
    </row>
    <row r="5069" spans="1:4">
      <c r="A5069" s="3"/>
      <c r="D5069" s="3"/>
    </row>
    <row r="5070" spans="1:4">
      <c r="A5070" s="3"/>
      <c r="D5070" s="3"/>
    </row>
    <row r="5071" spans="1:4">
      <c r="A5071" s="3"/>
      <c r="D5071" s="3"/>
    </row>
    <row r="5072" spans="1:4">
      <c r="A5072" s="3"/>
      <c r="D5072" s="3"/>
    </row>
    <row r="5073" spans="1:4">
      <c r="A5073" s="3"/>
      <c r="D5073" s="3"/>
    </row>
    <row r="5074" spans="1:4">
      <c r="A5074" s="3"/>
      <c r="D5074" s="3"/>
    </row>
    <row r="5075" spans="1:4">
      <c r="A5075" s="3"/>
      <c r="D5075" s="3"/>
    </row>
    <row r="5076" spans="1:4">
      <c r="A5076" s="3"/>
      <c r="D5076" s="3"/>
    </row>
    <row r="5077" spans="1:4">
      <c r="A5077" s="3"/>
      <c r="D5077" s="3"/>
    </row>
    <row r="5078" spans="1:4">
      <c r="A5078" s="3"/>
      <c r="D5078" s="3"/>
    </row>
    <row r="5079" spans="1:4">
      <c r="A5079" s="3"/>
      <c r="D5079" s="3"/>
    </row>
    <row r="5080" spans="1:4">
      <c r="A5080" s="3"/>
      <c r="D5080" s="3"/>
    </row>
    <row r="5081" spans="1:4">
      <c r="A5081" s="3"/>
      <c r="D5081" s="3"/>
    </row>
    <row r="5082" spans="1:4">
      <c r="A5082" s="3"/>
      <c r="D5082" s="3"/>
    </row>
    <row r="5083" spans="1:4">
      <c r="A5083" s="3"/>
      <c r="D5083" s="3"/>
    </row>
    <row r="5084" spans="1:4">
      <c r="A5084" s="3"/>
      <c r="D5084" s="3"/>
    </row>
    <row r="5085" spans="1:4">
      <c r="A5085" s="3"/>
      <c r="D5085" s="3"/>
    </row>
    <row r="5086" spans="1:4">
      <c r="A5086" s="3"/>
      <c r="D5086" s="3"/>
    </row>
    <row r="5087" spans="1:4">
      <c r="A5087" s="3"/>
      <c r="D5087" s="3"/>
    </row>
    <row r="5088" spans="1:4">
      <c r="A5088" s="3"/>
      <c r="D5088" s="3"/>
    </row>
    <row r="5089" spans="1:4">
      <c r="A5089" s="3"/>
      <c r="D5089" s="3"/>
    </row>
    <row r="5090" spans="1:4">
      <c r="A5090" s="3"/>
      <c r="D5090" s="3"/>
    </row>
    <row r="5091" spans="1:4">
      <c r="A5091" s="3"/>
      <c r="D5091" s="3"/>
    </row>
    <row r="5092" spans="1:4">
      <c r="A5092" s="3"/>
      <c r="D5092" s="3"/>
    </row>
    <row r="5093" spans="1:4">
      <c r="A5093" s="3"/>
      <c r="D5093" s="3"/>
    </row>
    <row r="5094" spans="1:4">
      <c r="A5094" s="3"/>
      <c r="D5094" s="3"/>
    </row>
    <row r="5095" spans="1:4">
      <c r="A5095" s="3"/>
      <c r="D5095" s="3"/>
    </row>
    <row r="5096" spans="1:4">
      <c r="A5096" s="3"/>
      <c r="D5096" s="3"/>
    </row>
    <row r="5097" spans="1:4">
      <c r="A5097" s="3"/>
      <c r="D5097" s="3"/>
    </row>
    <row r="5098" spans="1:4">
      <c r="A5098" s="3"/>
      <c r="D5098" s="3"/>
    </row>
    <row r="5099" spans="1:4">
      <c r="A5099" s="3"/>
      <c r="D5099" s="3"/>
    </row>
    <row r="5100" spans="1:4">
      <c r="A5100" s="3"/>
      <c r="D5100" s="3"/>
    </row>
    <row r="5101" spans="1:4">
      <c r="A5101" s="3"/>
      <c r="D5101" s="3"/>
    </row>
    <row r="5102" spans="1:4">
      <c r="A5102" s="3"/>
      <c r="D5102" s="3"/>
    </row>
    <row r="5103" spans="1:4">
      <c r="A5103" s="3"/>
      <c r="D5103" s="3"/>
    </row>
    <row r="5104" spans="1:4">
      <c r="A5104" s="3"/>
      <c r="D5104" s="3"/>
    </row>
    <row r="5105" spans="1:4">
      <c r="A5105" s="3"/>
      <c r="D5105" s="3"/>
    </row>
    <row r="5106" spans="1:4">
      <c r="A5106" s="3"/>
      <c r="D5106" s="3"/>
    </row>
    <row r="5107" spans="1:4">
      <c r="A5107" s="3"/>
      <c r="D5107" s="3"/>
    </row>
    <row r="5108" spans="1:4">
      <c r="A5108" s="3"/>
      <c r="D5108" s="3"/>
    </row>
    <row r="5109" spans="1:4">
      <c r="A5109" s="3"/>
      <c r="D5109" s="3"/>
    </row>
    <row r="5110" spans="1:4">
      <c r="A5110" s="3"/>
      <c r="D5110" s="3"/>
    </row>
    <row r="5111" spans="1:4">
      <c r="A5111" s="3"/>
      <c r="D5111" s="3"/>
    </row>
    <row r="5112" spans="1:4">
      <c r="A5112" s="3"/>
      <c r="D5112" s="3"/>
    </row>
    <row r="5113" spans="1:4">
      <c r="A5113" s="3"/>
      <c r="D5113" s="3"/>
    </row>
    <row r="5114" spans="1:4">
      <c r="A5114" s="3"/>
      <c r="D5114" s="3"/>
    </row>
    <row r="5115" spans="1:4">
      <c r="A5115" s="3"/>
      <c r="D5115" s="3"/>
    </row>
    <row r="5116" spans="1:4">
      <c r="A5116" s="3"/>
      <c r="D5116" s="3"/>
    </row>
    <row r="5117" spans="1:4">
      <c r="A5117" s="3"/>
      <c r="D5117" s="3"/>
    </row>
    <row r="5118" spans="1:4">
      <c r="A5118" s="3"/>
      <c r="D5118" s="3"/>
    </row>
    <row r="5119" spans="1:4">
      <c r="A5119" s="3"/>
      <c r="D5119" s="3"/>
    </row>
    <row r="5120" spans="1:4">
      <c r="A5120" s="3"/>
      <c r="D5120" s="3"/>
    </row>
    <row r="5121" spans="1:4">
      <c r="A5121" s="3"/>
      <c r="D5121" s="3"/>
    </row>
    <row r="5122" spans="1:4">
      <c r="A5122" s="3"/>
      <c r="D5122" s="3"/>
    </row>
    <row r="5123" spans="1:4">
      <c r="A5123" s="3"/>
      <c r="D5123" s="3"/>
    </row>
    <row r="5124" spans="1:4">
      <c r="A5124" s="3"/>
      <c r="D5124" s="3"/>
    </row>
    <row r="5125" spans="1:4">
      <c r="A5125" s="3"/>
      <c r="D5125" s="3"/>
    </row>
    <row r="5126" spans="1:4">
      <c r="A5126" s="3"/>
      <c r="D5126" s="3"/>
    </row>
    <row r="5127" spans="1:4">
      <c r="A5127" s="3"/>
      <c r="D5127" s="3"/>
    </row>
    <row r="5128" spans="1:4">
      <c r="A5128" s="3"/>
      <c r="D5128" s="3"/>
    </row>
    <row r="5129" spans="1:4">
      <c r="A5129" s="3"/>
      <c r="D5129" s="3"/>
    </row>
    <row r="5130" spans="1:4">
      <c r="A5130" s="3"/>
      <c r="D5130" s="3"/>
    </row>
    <row r="5131" spans="1:4">
      <c r="A5131" s="3"/>
      <c r="D5131" s="3"/>
    </row>
    <row r="5132" spans="1:4">
      <c r="A5132" s="3"/>
      <c r="D5132" s="3"/>
    </row>
    <row r="5133" spans="1:4">
      <c r="A5133" s="3"/>
      <c r="D5133" s="3"/>
    </row>
    <row r="5134" spans="1:4">
      <c r="A5134" s="3"/>
      <c r="D5134" s="3"/>
    </row>
    <row r="5135" spans="1:4">
      <c r="A5135" s="3"/>
      <c r="D5135" s="3"/>
    </row>
    <row r="5136" spans="1:4">
      <c r="A5136" s="3"/>
      <c r="D5136" s="3"/>
    </row>
    <row r="5137" spans="1:4">
      <c r="A5137" s="3"/>
      <c r="D5137" s="3"/>
    </row>
    <row r="5138" spans="1:4">
      <c r="A5138" s="3"/>
      <c r="D5138" s="3"/>
    </row>
    <row r="5139" spans="1:4">
      <c r="A5139" s="3"/>
      <c r="D5139" s="3"/>
    </row>
    <row r="5140" spans="1:4">
      <c r="A5140" s="3"/>
      <c r="D5140" s="3"/>
    </row>
    <row r="5141" spans="1:4">
      <c r="A5141" s="3"/>
      <c r="D5141" s="3"/>
    </row>
    <row r="5142" spans="1:4">
      <c r="A5142" s="3"/>
      <c r="D5142" s="3"/>
    </row>
    <row r="5143" spans="1:4">
      <c r="A5143" s="3"/>
      <c r="D5143" s="3"/>
    </row>
    <row r="5144" spans="1:4">
      <c r="A5144" s="3"/>
      <c r="D5144" s="3"/>
    </row>
    <row r="5145" spans="1:4">
      <c r="A5145" s="3"/>
      <c r="D5145" s="3"/>
    </row>
    <row r="5146" spans="1:4">
      <c r="A5146" s="3"/>
      <c r="D5146" s="3"/>
    </row>
    <row r="5147" spans="1:4">
      <c r="A5147" s="3"/>
      <c r="D5147" s="3"/>
    </row>
    <row r="5148" spans="1:4">
      <c r="A5148" s="3"/>
      <c r="D5148" s="3"/>
    </row>
    <row r="5149" spans="1:4">
      <c r="A5149" s="3"/>
      <c r="D5149" s="3"/>
    </row>
    <row r="5150" spans="1:4">
      <c r="A5150" s="3"/>
      <c r="D5150" s="3"/>
    </row>
    <row r="5151" spans="1:4">
      <c r="A5151" s="3"/>
      <c r="D5151" s="3"/>
    </row>
    <row r="5152" spans="1:4">
      <c r="A5152" s="3"/>
      <c r="D5152" s="3"/>
    </row>
    <row r="5153" spans="1:4">
      <c r="A5153" s="3"/>
      <c r="D5153" s="3"/>
    </row>
    <row r="5154" spans="1:4">
      <c r="A5154" s="3"/>
      <c r="D5154" s="3"/>
    </row>
    <row r="5155" spans="1:4">
      <c r="A5155" s="3"/>
      <c r="D5155" s="3"/>
    </row>
    <row r="5156" spans="1:4">
      <c r="A5156" s="3"/>
      <c r="D5156" s="3"/>
    </row>
    <row r="5157" spans="1:4">
      <c r="A5157" s="3"/>
      <c r="D5157" s="3"/>
    </row>
    <row r="5158" spans="1:4">
      <c r="A5158" s="3"/>
      <c r="D5158" s="3"/>
    </row>
    <row r="5159" spans="1:4">
      <c r="A5159" s="3"/>
      <c r="D5159" s="3"/>
    </row>
    <row r="5160" spans="1:4">
      <c r="A5160" s="3"/>
      <c r="D5160" s="3"/>
    </row>
    <row r="5161" spans="1:4">
      <c r="A5161" s="3"/>
      <c r="D5161" s="3"/>
    </row>
    <row r="5162" spans="1:4">
      <c r="A5162" s="3"/>
      <c r="D5162" s="3"/>
    </row>
    <row r="5163" spans="1:4">
      <c r="A5163" s="3"/>
      <c r="D5163" s="3"/>
    </row>
    <row r="5164" spans="1:4">
      <c r="A5164" s="3"/>
      <c r="D5164" s="3"/>
    </row>
    <row r="5165" spans="1:4">
      <c r="A5165" s="3"/>
      <c r="D5165" s="3"/>
    </row>
    <row r="5166" spans="1:4">
      <c r="A5166" s="3"/>
      <c r="D5166" s="3"/>
    </row>
    <row r="5167" spans="1:4">
      <c r="A5167" s="3"/>
      <c r="D5167" s="3"/>
    </row>
    <row r="5168" spans="1:4">
      <c r="A5168" s="3"/>
      <c r="D5168" s="3"/>
    </row>
    <row r="5169" spans="1:4">
      <c r="A5169" s="3"/>
      <c r="D5169" s="3"/>
    </row>
    <row r="5170" spans="1:4">
      <c r="A5170" s="3"/>
      <c r="D5170" s="3"/>
    </row>
    <row r="5171" spans="1:4">
      <c r="A5171" s="3"/>
      <c r="D5171" s="3"/>
    </row>
    <row r="5172" spans="1:4">
      <c r="A5172" s="3"/>
      <c r="D5172" s="3"/>
    </row>
    <row r="5173" spans="1:4">
      <c r="A5173" s="3"/>
      <c r="D5173" s="3"/>
    </row>
    <row r="5174" spans="1:4">
      <c r="A5174" s="3"/>
      <c r="D5174" s="3"/>
    </row>
    <row r="5175" spans="1:4">
      <c r="A5175" s="3"/>
      <c r="D5175" s="3"/>
    </row>
    <row r="5176" spans="1:4">
      <c r="A5176" s="3"/>
      <c r="D5176" s="3"/>
    </row>
    <row r="5177" spans="1:4">
      <c r="A5177" s="3"/>
      <c r="D5177" s="3"/>
    </row>
    <row r="5178" spans="1:4">
      <c r="A5178" s="3"/>
      <c r="D5178" s="3"/>
    </row>
    <row r="5179" spans="1:4">
      <c r="A5179" s="3"/>
      <c r="D5179" s="3"/>
    </row>
    <row r="5180" spans="1:4">
      <c r="A5180" s="3"/>
      <c r="D5180" s="3"/>
    </row>
    <row r="5181" spans="1:4">
      <c r="A5181" s="3"/>
      <c r="D5181" s="3"/>
    </row>
    <row r="5182" spans="1:4">
      <c r="A5182" s="3"/>
      <c r="D5182" s="3"/>
    </row>
    <row r="5183" spans="1:4">
      <c r="A5183" s="3"/>
      <c r="D5183" s="3"/>
    </row>
    <row r="5184" spans="1:4">
      <c r="A5184" s="3"/>
      <c r="D5184" s="3"/>
    </row>
    <row r="5185" spans="1:4">
      <c r="A5185" s="3"/>
      <c r="D5185" s="3"/>
    </row>
    <row r="5186" spans="1:4">
      <c r="A5186" s="3"/>
      <c r="D5186" s="3"/>
    </row>
    <row r="5187" spans="1:4">
      <c r="A5187" s="3"/>
      <c r="D5187" s="3"/>
    </row>
    <row r="5188" spans="1:4">
      <c r="A5188" s="3"/>
      <c r="D5188" s="3"/>
    </row>
    <row r="5189" spans="1:4">
      <c r="A5189" s="3"/>
      <c r="D5189" s="3"/>
    </row>
    <row r="5190" spans="1:4">
      <c r="A5190" s="3"/>
      <c r="D5190" s="3"/>
    </row>
    <row r="5191" spans="1:4">
      <c r="A5191" s="3"/>
      <c r="D5191" s="3"/>
    </row>
    <row r="5192" spans="1:4">
      <c r="A5192" s="3"/>
      <c r="D5192" s="3"/>
    </row>
    <row r="5193" spans="1:4">
      <c r="A5193" s="3"/>
      <c r="D5193" s="3"/>
    </row>
    <row r="5194" spans="1:4">
      <c r="A5194" s="3"/>
      <c r="D5194" s="3"/>
    </row>
    <row r="5195" spans="1:4">
      <c r="A5195" s="3"/>
      <c r="D5195" s="3"/>
    </row>
    <row r="5196" spans="1:4">
      <c r="A5196" s="3"/>
      <c r="D5196" s="3"/>
    </row>
    <row r="5197" spans="1:4">
      <c r="A5197" s="3"/>
      <c r="D5197" s="3"/>
    </row>
    <row r="5198" spans="1:4">
      <c r="A5198" s="3"/>
      <c r="D5198" s="3"/>
    </row>
    <row r="5199" spans="1:4">
      <c r="A5199" s="3"/>
      <c r="D5199" s="3"/>
    </row>
    <row r="5200" spans="1:4">
      <c r="A5200" s="3"/>
      <c r="D5200" s="3"/>
    </row>
    <row r="5201" spans="1:4">
      <c r="A5201" s="3"/>
      <c r="D5201" s="3"/>
    </row>
    <row r="5202" spans="1:4">
      <c r="A5202" s="3"/>
      <c r="D5202" s="3"/>
    </row>
    <row r="5203" spans="1:4">
      <c r="A5203" s="3"/>
      <c r="D5203" s="3"/>
    </row>
    <row r="5204" spans="1:4">
      <c r="A5204" s="3"/>
      <c r="D5204" s="3"/>
    </row>
    <row r="5205" spans="1:4">
      <c r="A5205" s="3"/>
      <c r="D5205" s="3"/>
    </row>
    <row r="5206" spans="1:4">
      <c r="A5206" s="3"/>
      <c r="D5206" s="3"/>
    </row>
    <row r="5207" spans="1:4">
      <c r="A5207" s="3"/>
      <c r="D5207" s="3"/>
    </row>
    <row r="5208" spans="1:4">
      <c r="A5208" s="3"/>
      <c r="D5208" s="3"/>
    </row>
    <row r="5209" spans="1:4">
      <c r="A5209" s="3"/>
      <c r="D5209" s="3"/>
    </row>
    <row r="5210" spans="1:4">
      <c r="A5210" s="3"/>
      <c r="D5210" s="3"/>
    </row>
    <row r="5211" spans="1:4">
      <c r="A5211" s="3"/>
      <c r="D5211" s="3"/>
    </row>
    <row r="5212" spans="1:4">
      <c r="A5212" s="3"/>
      <c r="D5212" s="3"/>
    </row>
    <row r="5213" spans="1:4">
      <c r="A5213" s="3"/>
      <c r="D5213" s="3"/>
    </row>
    <row r="5214" spans="1:4">
      <c r="A5214" s="3"/>
      <c r="D5214" s="3"/>
    </row>
    <row r="5215" spans="1:4">
      <c r="A5215" s="3"/>
      <c r="D5215" s="3"/>
    </row>
    <row r="5216" spans="1:4">
      <c r="A5216" s="3"/>
      <c r="D5216" s="3"/>
    </row>
    <row r="5217" spans="1:4">
      <c r="A5217" s="3"/>
      <c r="D5217" s="3"/>
    </row>
    <row r="5218" spans="1:4">
      <c r="A5218" s="3"/>
      <c r="D5218" s="3"/>
    </row>
    <row r="5219" spans="1:4">
      <c r="A5219" s="3"/>
      <c r="D5219" s="3"/>
    </row>
    <row r="5220" spans="1:4">
      <c r="A5220" s="3"/>
      <c r="D5220" s="3"/>
    </row>
    <row r="5221" spans="1:4">
      <c r="A5221" s="3"/>
      <c r="D5221" s="3"/>
    </row>
    <row r="5222" spans="1:4">
      <c r="A5222" s="3"/>
      <c r="D5222" s="3"/>
    </row>
    <row r="5223" spans="1:4">
      <c r="A5223" s="3"/>
      <c r="D5223" s="3"/>
    </row>
    <row r="5224" spans="1:4">
      <c r="A5224" s="3"/>
      <c r="D5224" s="3"/>
    </row>
    <row r="5225" spans="1:4">
      <c r="A5225" s="3"/>
      <c r="D5225" s="3"/>
    </row>
    <row r="5226" spans="1:4">
      <c r="A5226" s="3"/>
      <c r="D5226" s="3"/>
    </row>
    <row r="5227" spans="1:4">
      <c r="A5227" s="3"/>
      <c r="D5227" s="3"/>
    </row>
    <row r="5228" spans="1:4">
      <c r="A5228" s="3"/>
      <c r="D5228" s="3"/>
    </row>
    <row r="5229" spans="1:4">
      <c r="A5229" s="3"/>
      <c r="D5229" s="3"/>
    </row>
    <row r="5230" spans="1:4">
      <c r="A5230" s="3"/>
      <c r="D5230" s="3"/>
    </row>
    <row r="5231" spans="1:4">
      <c r="A5231" s="3"/>
      <c r="D5231" s="3"/>
    </row>
    <row r="5232" spans="1:4">
      <c r="A5232" s="3"/>
      <c r="D5232" s="3"/>
    </row>
    <row r="5233" spans="1:4">
      <c r="A5233" s="3"/>
      <c r="D5233" s="3"/>
    </row>
    <row r="5234" spans="1:4">
      <c r="A5234" s="3"/>
      <c r="D5234" s="3"/>
    </row>
    <row r="5235" spans="1:4">
      <c r="A5235" s="3"/>
      <c r="D5235" s="3"/>
    </row>
    <row r="5236" spans="1:4">
      <c r="A5236" s="3"/>
      <c r="D5236" s="3"/>
    </row>
    <row r="5237" spans="1:4">
      <c r="A5237" s="3"/>
      <c r="D5237" s="3"/>
    </row>
    <row r="5238" spans="1:4">
      <c r="A5238" s="3"/>
      <c r="D5238" s="3"/>
    </row>
    <row r="5239" spans="1:4">
      <c r="A5239" s="3"/>
      <c r="D5239" s="3"/>
    </row>
    <row r="5240" spans="1:4">
      <c r="A5240" s="3"/>
      <c r="D5240" s="3"/>
    </row>
    <row r="5241" spans="1:4">
      <c r="A5241" s="3"/>
      <c r="D5241" s="3"/>
    </row>
    <row r="5242" spans="1:4">
      <c r="A5242" s="3"/>
      <c r="D5242" s="3"/>
    </row>
    <row r="5243" spans="1:4">
      <c r="A5243" s="3"/>
      <c r="D5243" s="3"/>
    </row>
    <row r="5244" spans="1:4">
      <c r="A5244" s="3"/>
      <c r="D5244" s="3"/>
    </row>
    <row r="5245" spans="1:4">
      <c r="A5245" s="3"/>
      <c r="D5245" s="3"/>
    </row>
    <row r="5246" spans="1:4">
      <c r="A5246" s="3"/>
      <c r="D5246" s="3"/>
    </row>
    <row r="5247" spans="1:4">
      <c r="A5247" s="3"/>
      <c r="D5247" s="3"/>
    </row>
    <row r="5248" spans="1:4">
      <c r="A5248" s="3"/>
      <c r="D5248" s="3"/>
    </row>
    <row r="5249" spans="1:4">
      <c r="A5249" s="3"/>
      <c r="D5249" s="3"/>
    </row>
    <row r="5250" spans="1:4">
      <c r="A5250" s="3"/>
      <c r="D5250" s="3"/>
    </row>
    <row r="5251" spans="1:4">
      <c r="A5251" s="3"/>
      <c r="D5251" s="3"/>
    </row>
    <row r="5252" spans="1:4">
      <c r="A5252" s="3"/>
      <c r="D5252" s="3"/>
    </row>
    <row r="5253" spans="1:4">
      <c r="A5253" s="3"/>
      <c r="D5253" s="3"/>
    </row>
    <row r="5254" spans="1:4">
      <c r="A5254" s="3"/>
      <c r="D5254" s="3"/>
    </row>
    <row r="5255" spans="1:4">
      <c r="A5255" s="3"/>
      <c r="D5255" s="3"/>
    </row>
    <row r="5256" spans="1:4">
      <c r="A5256" s="3"/>
      <c r="D5256" s="3"/>
    </row>
    <row r="5257" spans="1:4">
      <c r="A5257" s="3"/>
      <c r="D5257" s="3"/>
    </row>
    <row r="5258" spans="1:4">
      <c r="A5258" s="3"/>
      <c r="D5258" s="3"/>
    </row>
    <row r="5259" spans="1:4">
      <c r="A5259" s="3"/>
      <c r="D5259" s="3"/>
    </row>
    <row r="5260" spans="1:4">
      <c r="A5260" s="3"/>
      <c r="D5260" s="3"/>
    </row>
    <row r="5261" spans="1:4">
      <c r="A5261" s="3"/>
      <c r="D5261" s="3"/>
    </row>
    <row r="5262" spans="1:4">
      <c r="A5262" s="3"/>
      <c r="D5262" s="3"/>
    </row>
    <row r="5263" spans="1:4">
      <c r="A5263" s="3"/>
      <c r="D5263" s="3"/>
    </row>
    <row r="5264" spans="1:4">
      <c r="A5264" s="3"/>
      <c r="D5264" s="3"/>
    </row>
    <row r="5265" spans="1:4">
      <c r="A5265" s="3"/>
      <c r="D5265" s="3"/>
    </row>
    <row r="5266" spans="1:4">
      <c r="A5266" s="3"/>
      <c r="D5266" s="3"/>
    </row>
    <row r="5267" spans="1:4">
      <c r="A5267" s="3"/>
      <c r="D5267" s="3"/>
    </row>
    <row r="5268" spans="1:4">
      <c r="A5268" s="3"/>
      <c r="D5268" s="3"/>
    </row>
    <row r="5269" spans="1:4">
      <c r="A5269" s="3"/>
      <c r="D5269" s="3"/>
    </row>
    <row r="5270" spans="1:4">
      <c r="A5270" s="3"/>
      <c r="D5270" s="3"/>
    </row>
    <row r="5271" spans="1:4">
      <c r="A5271" s="3"/>
      <c r="D5271" s="3"/>
    </row>
    <row r="5272" spans="1:4">
      <c r="A5272" s="3"/>
      <c r="D5272" s="3"/>
    </row>
    <row r="5273" spans="1:4">
      <c r="A5273" s="3"/>
      <c r="D5273" s="3"/>
    </row>
    <row r="5274" spans="1:4">
      <c r="A5274" s="3"/>
      <c r="D5274" s="3"/>
    </row>
    <row r="5275" spans="1:4">
      <c r="A5275" s="3"/>
      <c r="D5275" s="3"/>
    </row>
    <row r="5276" spans="1:4">
      <c r="A5276" s="3"/>
      <c r="D5276" s="3"/>
    </row>
    <row r="5277" spans="1:4">
      <c r="A5277" s="3"/>
      <c r="D5277" s="3"/>
    </row>
    <row r="5278" spans="1:4">
      <c r="A5278" s="3"/>
      <c r="D5278" s="3"/>
    </row>
    <row r="5279" spans="1:4">
      <c r="A5279" s="3"/>
      <c r="D5279" s="3"/>
    </row>
    <row r="5280" spans="1:4">
      <c r="A5280" s="3"/>
      <c r="D5280" s="3"/>
    </row>
    <row r="5281" spans="1:4">
      <c r="A5281" s="3"/>
      <c r="D5281" s="3"/>
    </row>
    <row r="5282" spans="1:4">
      <c r="A5282" s="3"/>
      <c r="D5282" s="3"/>
    </row>
    <row r="5283" spans="1:4">
      <c r="A5283" s="3"/>
      <c r="D5283" s="3"/>
    </row>
    <row r="5284" spans="1:4">
      <c r="A5284" s="3"/>
      <c r="D5284" s="3"/>
    </row>
    <row r="5285" spans="1:4">
      <c r="A5285" s="3"/>
      <c r="D5285" s="3"/>
    </row>
    <row r="5286" spans="1:4">
      <c r="A5286" s="3"/>
      <c r="D5286" s="3"/>
    </row>
    <row r="5287" spans="1:4">
      <c r="A5287" s="3"/>
      <c r="D5287" s="3"/>
    </row>
    <row r="5288" spans="1:4">
      <c r="A5288" s="3"/>
      <c r="D5288" s="3"/>
    </row>
    <row r="5289" spans="1:4">
      <c r="A5289" s="3"/>
      <c r="D5289" s="3"/>
    </row>
    <row r="5290" spans="1:4">
      <c r="A5290" s="3"/>
      <c r="D5290" s="3"/>
    </row>
    <row r="5291" spans="1:4">
      <c r="A5291" s="3"/>
      <c r="D5291" s="3"/>
    </row>
    <row r="5292" spans="1:4">
      <c r="A5292" s="3"/>
      <c r="D5292" s="3"/>
    </row>
    <row r="5293" spans="1:4">
      <c r="A5293" s="3"/>
      <c r="D5293" s="3"/>
    </row>
    <row r="5294" spans="1:4">
      <c r="A5294" s="3"/>
      <c r="D5294" s="3"/>
    </row>
    <row r="5295" spans="1:4">
      <c r="A5295" s="3"/>
      <c r="D5295" s="3"/>
    </row>
    <row r="5296" spans="1:4">
      <c r="A5296" s="3"/>
      <c r="D5296" s="3"/>
    </row>
    <row r="5297" spans="1:4">
      <c r="A5297" s="3"/>
      <c r="D5297" s="3"/>
    </row>
    <row r="5298" spans="1:4">
      <c r="A5298" s="3"/>
      <c r="D5298" s="3"/>
    </row>
    <row r="5299" spans="1:4">
      <c r="A5299" s="3"/>
      <c r="D5299" s="3"/>
    </row>
    <row r="5300" spans="1:4">
      <c r="A5300" s="3"/>
      <c r="D5300" s="3"/>
    </row>
    <row r="5301" spans="1:4">
      <c r="A5301" s="3"/>
      <c r="D5301" s="3"/>
    </row>
    <row r="5302" spans="1:4">
      <c r="A5302" s="3"/>
      <c r="D5302" s="3"/>
    </row>
    <row r="5303" spans="1:4">
      <c r="A5303" s="3"/>
      <c r="D5303" s="3"/>
    </row>
    <row r="5304" spans="1:4">
      <c r="A5304" s="3"/>
      <c r="D5304" s="3"/>
    </row>
    <row r="5305" spans="1:4">
      <c r="A5305" s="3"/>
      <c r="D5305" s="3"/>
    </row>
    <row r="5306" spans="1:4">
      <c r="A5306" s="3"/>
      <c r="D5306" s="3"/>
    </row>
    <row r="5307" spans="1:4">
      <c r="A5307" s="3"/>
      <c r="D5307" s="3"/>
    </row>
    <row r="5308" spans="1:4">
      <c r="A5308" s="3"/>
      <c r="D5308" s="3"/>
    </row>
    <row r="5309" spans="1:4">
      <c r="A5309" s="3"/>
      <c r="D5309" s="3"/>
    </row>
    <row r="5310" spans="1:4">
      <c r="A5310" s="3"/>
      <c r="D5310" s="3"/>
    </row>
    <row r="5311" spans="1:4">
      <c r="A5311" s="3"/>
      <c r="D5311" s="3"/>
    </row>
    <row r="5312" spans="1:4">
      <c r="A5312" s="3"/>
      <c r="D5312" s="3"/>
    </row>
    <row r="5313" spans="1:4">
      <c r="A5313" s="3"/>
      <c r="D5313" s="3"/>
    </row>
    <row r="5314" spans="1:4">
      <c r="A5314" s="3"/>
      <c r="D5314" s="3"/>
    </row>
    <row r="5315" spans="1:4">
      <c r="A5315" s="3"/>
      <c r="D5315" s="3"/>
    </row>
    <row r="5316" spans="1:4">
      <c r="A5316" s="3"/>
      <c r="D5316" s="3"/>
    </row>
    <row r="5317" spans="1:4">
      <c r="A5317" s="3"/>
      <c r="D5317" s="3"/>
    </row>
    <row r="5318" spans="1:4">
      <c r="A5318" s="3"/>
      <c r="D5318" s="3"/>
    </row>
    <row r="5319" spans="1:4">
      <c r="A5319" s="3"/>
      <c r="D5319" s="3"/>
    </row>
    <row r="5320" spans="1:4">
      <c r="A5320" s="3"/>
      <c r="D5320" s="3"/>
    </row>
    <row r="5321" spans="1:4">
      <c r="A5321" s="3"/>
      <c r="D5321" s="3"/>
    </row>
    <row r="5322" spans="1:4">
      <c r="A5322" s="3"/>
      <c r="D5322" s="3"/>
    </row>
    <row r="5323" spans="1:4">
      <c r="A5323" s="3"/>
      <c r="D5323" s="3"/>
    </row>
    <row r="5324" spans="1:4">
      <c r="A5324" s="3"/>
      <c r="D5324" s="3"/>
    </row>
    <row r="5325" spans="1:4">
      <c r="A5325" s="3"/>
      <c r="D5325" s="3"/>
    </row>
    <row r="5326" spans="1:4">
      <c r="A5326" s="3"/>
      <c r="D5326" s="3"/>
    </row>
    <row r="5327" spans="1:4">
      <c r="A5327" s="3"/>
      <c r="D5327" s="3"/>
    </row>
    <row r="5328" spans="1:4">
      <c r="A5328" s="3"/>
      <c r="D5328" s="3"/>
    </row>
    <row r="5329" spans="1:4">
      <c r="A5329" s="3"/>
      <c r="D5329" s="3"/>
    </row>
    <row r="5330" spans="1:4">
      <c r="A5330" s="3"/>
      <c r="D5330" s="3"/>
    </row>
    <row r="5331" spans="1:4">
      <c r="A5331" s="3"/>
      <c r="D5331" s="3"/>
    </row>
    <row r="5332" spans="1:4">
      <c r="A5332" s="3"/>
      <c r="D5332" s="3"/>
    </row>
    <row r="5333" spans="1:4">
      <c r="A5333" s="3"/>
      <c r="D5333" s="3"/>
    </row>
    <row r="5334" spans="1:4">
      <c r="A5334" s="3"/>
      <c r="D5334" s="3"/>
    </row>
    <row r="5335" spans="1:4">
      <c r="A5335" s="3"/>
      <c r="D5335" s="3"/>
    </row>
    <row r="5336" spans="1:4">
      <c r="A5336" s="3"/>
      <c r="D5336" s="3"/>
    </row>
    <row r="5337" spans="1:4">
      <c r="A5337" s="3"/>
      <c r="D5337" s="3"/>
    </row>
    <row r="5338" spans="1:4">
      <c r="A5338" s="3"/>
      <c r="D5338" s="3"/>
    </row>
    <row r="5339" spans="1:4">
      <c r="A5339" s="3"/>
      <c r="D5339" s="3"/>
    </row>
    <row r="5340" spans="1:4">
      <c r="A5340" s="3"/>
      <c r="D5340" s="3"/>
    </row>
    <row r="5341" spans="1:4">
      <c r="A5341" s="3"/>
      <c r="D5341" s="3"/>
    </row>
    <row r="5342" spans="1:4">
      <c r="A5342" s="3"/>
      <c r="D5342" s="3"/>
    </row>
    <row r="5343" spans="1:4">
      <c r="A5343" s="3"/>
      <c r="D5343" s="3"/>
    </row>
    <row r="5344" spans="1:4">
      <c r="A5344" s="3"/>
      <c r="D5344" s="3"/>
    </row>
    <row r="5345" spans="1:4">
      <c r="A5345" s="3"/>
      <c r="D5345" s="3"/>
    </row>
    <row r="5346" spans="1:4">
      <c r="A5346" s="3"/>
      <c r="D5346" s="3"/>
    </row>
    <row r="5347" spans="1:4">
      <c r="A5347" s="3"/>
      <c r="D5347" s="3"/>
    </row>
    <row r="5348" spans="1:4">
      <c r="A5348" s="3"/>
      <c r="D5348" s="3"/>
    </row>
    <row r="5349" spans="1:4">
      <c r="A5349" s="3"/>
      <c r="D5349" s="3"/>
    </row>
    <row r="5350" spans="1:4">
      <c r="A5350" s="3"/>
      <c r="D5350" s="3"/>
    </row>
    <row r="5351" spans="1:4">
      <c r="A5351" s="3"/>
      <c r="D5351" s="3"/>
    </row>
    <row r="5352" spans="1:4">
      <c r="A5352" s="3"/>
      <c r="D5352" s="3"/>
    </row>
    <row r="5353" spans="1:4">
      <c r="A5353" s="3"/>
      <c r="D5353" s="3"/>
    </row>
    <row r="5354" spans="1:4">
      <c r="A5354" s="3"/>
      <c r="D5354" s="3"/>
    </row>
    <row r="5355" spans="1:4">
      <c r="A5355" s="3"/>
      <c r="D5355" s="3"/>
    </row>
    <row r="5356" spans="1:4">
      <c r="A5356" s="3"/>
      <c r="D5356" s="3"/>
    </row>
    <row r="5357" spans="1:4">
      <c r="A5357" s="3"/>
      <c r="D5357" s="3"/>
    </row>
    <row r="5358" spans="1:4">
      <c r="A5358" s="3"/>
      <c r="D5358" s="3"/>
    </row>
    <row r="5359" spans="1:4">
      <c r="A5359" s="3"/>
      <c r="D5359" s="3"/>
    </row>
    <row r="5360" spans="1:4">
      <c r="A5360" s="3"/>
      <c r="D5360" s="3"/>
    </row>
    <row r="5361" spans="1:4">
      <c r="A5361" s="3"/>
      <c r="D5361" s="3"/>
    </row>
    <row r="5362" spans="1:4">
      <c r="A5362" s="3"/>
      <c r="D5362" s="3"/>
    </row>
    <row r="5363" spans="1:4">
      <c r="A5363" s="3"/>
      <c r="D5363" s="3"/>
    </row>
    <row r="5364" spans="1:4">
      <c r="A5364" s="3"/>
      <c r="D5364" s="3"/>
    </row>
    <row r="5365" spans="1:4">
      <c r="A5365" s="3"/>
      <c r="D5365" s="3"/>
    </row>
    <row r="5366" spans="1:4">
      <c r="A5366" s="3"/>
      <c r="D5366" s="3"/>
    </row>
    <row r="5367" spans="1:4">
      <c r="A5367" s="3"/>
      <c r="D5367" s="3"/>
    </row>
    <row r="5368" spans="1:4">
      <c r="A5368" s="3"/>
      <c r="D5368" s="3"/>
    </row>
    <row r="5369" spans="1:4">
      <c r="A5369" s="3"/>
      <c r="D5369" s="3"/>
    </row>
    <row r="5370" spans="1:4">
      <c r="A5370" s="3"/>
      <c r="D5370" s="3"/>
    </row>
    <row r="5371" spans="1:4">
      <c r="A5371" s="3"/>
      <c r="D5371" s="3"/>
    </row>
    <row r="5372" spans="1:4">
      <c r="A5372" s="3"/>
      <c r="D5372" s="3"/>
    </row>
    <row r="5373" spans="1:4">
      <c r="A5373" s="3"/>
      <c r="D5373" s="3"/>
    </row>
    <row r="5374" spans="1:4">
      <c r="A5374" s="3"/>
      <c r="D5374" s="3"/>
    </row>
    <row r="5375" spans="1:4">
      <c r="A5375" s="3"/>
      <c r="D5375" s="3"/>
    </row>
    <row r="5376" spans="1:4">
      <c r="A5376" s="3"/>
      <c r="D5376" s="3"/>
    </row>
    <row r="5377" spans="1:4">
      <c r="A5377" s="3"/>
      <c r="D5377" s="3"/>
    </row>
    <row r="5378" spans="1:4">
      <c r="A5378" s="3"/>
      <c r="D5378" s="3"/>
    </row>
    <row r="5379" spans="1:4">
      <c r="A5379" s="3"/>
      <c r="D5379" s="3"/>
    </row>
    <row r="5380" spans="1:4">
      <c r="A5380" s="3"/>
      <c r="D5380" s="3"/>
    </row>
    <row r="5381" spans="1:4">
      <c r="A5381" s="3"/>
      <c r="D5381" s="3"/>
    </row>
    <row r="5382" spans="1:4">
      <c r="A5382" s="3"/>
      <c r="D5382" s="3"/>
    </row>
    <row r="5383" spans="1:4">
      <c r="A5383" s="3"/>
      <c r="D5383" s="3"/>
    </row>
    <row r="5384" spans="1:4">
      <c r="A5384" s="3"/>
      <c r="D5384" s="3"/>
    </row>
    <row r="5385" spans="1:4">
      <c r="A5385" s="3"/>
      <c r="D5385" s="3"/>
    </row>
    <row r="5386" spans="1:4">
      <c r="A5386" s="3"/>
      <c r="D5386" s="3"/>
    </row>
    <row r="5387" spans="1:4">
      <c r="A5387" s="3"/>
      <c r="D5387" s="3"/>
    </row>
    <row r="5388" spans="1:4">
      <c r="A5388" s="3"/>
      <c r="D5388" s="3"/>
    </row>
    <row r="5389" spans="1:4">
      <c r="A5389" s="3"/>
      <c r="D5389" s="3"/>
    </row>
    <row r="5390" spans="1:4">
      <c r="A5390" s="3"/>
      <c r="D5390" s="3"/>
    </row>
    <row r="5391" spans="1:4">
      <c r="A5391" s="3"/>
      <c r="D5391" s="3"/>
    </row>
    <row r="5392" spans="1:4">
      <c r="A5392" s="3"/>
      <c r="D5392" s="3"/>
    </row>
    <row r="5393" spans="1:4">
      <c r="A5393" s="3"/>
      <c r="D5393" s="3"/>
    </row>
    <row r="5394" spans="1:4">
      <c r="A5394" s="3"/>
      <c r="D5394" s="3"/>
    </row>
    <row r="5395" spans="1:4">
      <c r="A5395" s="3"/>
      <c r="D5395" s="3"/>
    </row>
    <row r="5396" spans="1:4">
      <c r="A5396" s="3"/>
      <c r="D5396" s="3"/>
    </row>
    <row r="5397" spans="1:4">
      <c r="A5397" s="3"/>
      <c r="D5397" s="3"/>
    </row>
    <row r="5398" spans="1:4">
      <c r="A5398" s="3"/>
      <c r="D5398" s="3"/>
    </row>
    <row r="5399" spans="1:4">
      <c r="A5399" s="3"/>
      <c r="D5399" s="3"/>
    </row>
    <row r="5400" spans="1:4">
      <c r="A5400" s="3"/>
      <c r="D5400" s="3"/>
    </row>
    <row r="5401" spans="1:4">
      <c r="A5401" s="3"/>
      <c r="D5401" s="3"/>
    </row>
    <row r="5402" spans="1:4">
      <c r="A5402" s="3"/>
      <c r="D5402" s="3"/>
    </row>
    <row r="5403" spans="1:4">
      <c r="A5403" s="3"/>
      <c r="D5403" s="3"/>
    </row>
    <row r="5404" spans="1:4">
      <c r="A5404" s="3"/>
      <c r="D5404" s="3"/>
    </row>
    <row r="5405" spans="1:4">
      <c r="A5405" s="3"/>
      <c r="D5405" s="3"/>
    </row>
    <row r="5406" spans="1:4">
      <c r="A5406" s="3"/>
      <c r="D5406" s="3"/>
    </row>
    <row r="5407" spans="1:4">
      <c r="A5407" s="3"/>
      <c r="D5407" s="3"/>
    </row>
    <row r="5408" spans="1:4">
      <c r="A5408" s="3"/>
      <c r="D5408" s="3"/>
    </row>
    <row r="5409" spans="1:4">
      <c r="A5409" s="3"/>
      <c r="D5409" s="3"/>
    </row>
    <row r="5410" spans="1:4">
      <c r="A5410" s="3"/>
      <c r="D5410" s="3"/>
    </row>
    <row r="5411" spans="1:4">
      <c r="A5411" s="3"/>
      <c r="D5411" s="3"/>
    </row>
    <row r="5412" spans="1:4">
      <c r="A5412" s="3"/>
      <c r="D5412" s="3"/>
    </row>
    <row r="5413" spans="1:4">
      <c r="A5413" s="3"/>
      <c r="D5413" s="3"/>
    </row>
    <row r="5414" spans="1:4">
      <c r="A5414" s="3"/>
      <c r="D5414" s="3"/>
    </row>
    <row r="5415" spans="1:4">
      <c r="A5415" s="3"/>
      <c r="D5415" s="3"/>
    </row>
    <row r="5416" spans="1:4">
      <c r="A5416" s="3"/>
      <c r="D5416" s="3"/>
    </row>
    <row r="5417" spans="1:4">
      <c r="A5417" s="3"/>
      <c r="D5417" s="3"/>
    </row>
    <row r="5418" spans="1:4">
      <c r="A5418" s="3"/>
      <c r="D5418" s="3"/>
    </row>
    <row r="5419" spans="1:4">
      <c r="A5419" s="3"/>
      <c r="D5419" s="3"/>
    </row>
    <row r="5420" spans="1:4">
      <c r="A5420" s="3"/>
      <c r="D5420" s="3"/>
    </row>
    <row r="5421" spans="1:4">
      <c r="A5421" s="3"/>
      <c r="D5421" s="3"/>
    </row>
    <row r="5422" spans="1:4">
      <c r="A5422" s="3"/>
      <c r="D5422" s="3"/>
    </row>
    <row r="5423" spans="1:4">
      <c r="A5423" s="3"/>
      <c r="D5423" s="3"/>
    </row>
    <row r="5424" spans="1:4">
      <c r="A5424" s="3"/>
      <c r="D5424" s="3"/>
    </row>
    <row r="5425" spans="1:4">
      <c r="A5425" s="3"/>
      <c r="D5425" s="3"/>
    </row>
    <row r="5426" spans="1:4">
      <c r="A5426" s="3"/>
      <c r="D5426" s="3"/>
    </row>
    <row r="5427" spans="1:4">
      <c r="A5427" s="3"/>
      <c r="D5427" s="3"/>
    </row>
    <row r="5428" spans="1:4">
      <c r="A5428" s="3"/>
      <c r="D5428" s="3"/>
    </row>
    <row r="5429" spans="1:4">
      <c r="A5429" s="3"/>
      <c r="D5429" s="3"/>
    </row>
    <row r="5430" spans="1:4">
      <c r="A5430" s="3"/>
      <c r="D5430" s="3"/>
    </row>
    <row r="5431" spans="1:4">
      <c r="A5431" s="3"/>
      <c r="D5431" s="3"/>
    </row>
    <row r="5432" spans="1:4">
      <c r="A5432" s="3"/>
      <c r="D5432" s="3"/>
    </row>
    <row r="5433" spans="1:4">
      <c r="A5433" s="3"/>
      <c r="D5433" s="3"/>
    </row>
    <row r="5434" spans="1:4">
      <c r="A5434" s="3"/>
      <c r="D5434" s="3"/>
    </row>
    <row r="5435" spans="1:4">
      <c r="A5435" s="3"/>
      <c r="D5435" s="3"/>
    </row>
    <row r="5436" spans="1:4">
      <c r="A5436" s="3"/>
      <c r="D5436" s="3"/>
    </row>
    <row r="5437" spans="1:4">
      <c r="A5437" s="3"/>
      <c r="D5437" s="3"/>
    </row>
    <row r="5438" spans="1:4">
      <c r="A5438" s="3"/>
      <c r="D5438" s="3"/>
    </row>
    <row r="5439" spans="1:4">
      <c r="A5439" s="3"/>
      <c r="D5439" s="3"/>
    </row>
    <row r="5440" spans="1:4">
      <c r="A5440" s="3"/>
      <c r="D5440" s="3"/>
    </row>
    <row r="5441" spans="1:4">
      <c r="A5441" s="3"/>
      <c r="D5441" s="3"/>
    </row>
    <row r="5442" spans="1:4">
      <c r="A5442" s="3"/>
      <c r="D5442" s="3"/>
    </row>
    <row r="5443" spans="1:4">
      <c r="A5443" s="3"/>
      <c r="D5443" s="3"/>
    </row>
    <row r="5444" spans="1:4">
      <c r="A5444" s="3"/>
      <c r="D5444" s="3"/>
    </row>
    <row r="5445" spans="1:4">
      <c r="A5445" s="3"/>
      <c r="D5445" s="3"/>
    </row>
    <row r="5446" spans="1:4">
      <c r="A5446" s="3"/>
      <c r="D5446" s="3"/>
    </row>
    <row r="5447" spans="1:4">
      <c r="A5447" s="3"/>
      <c r="D5447" s="3"/>
    </row>
    <row r="5448" spans="1:4">
      <c r="A5448" s="3"/>
      <c r="D5448" s="3"/>
    </row>
    <row r="5449" spans="1:4">
      <c r="A5449" s="3"/>
      <c r="D5449" s="3"/>
    </row>
    <row r="5450" spans="1:4">
      <c r="A5450" s="3"/>
      <c r="D5450" s="3"/>
    </row>
    <row r="5451" spans="1:4">
      <c r="A5451" s="3"/>
      <c r="D5451" s="3"/>
    </row>
    <row r="5452" spans="1:4">
      <c r="A5452" s="3"/>
      <c r="D5452" s="3"/>
    </row>
    <row r="5453" spans="1:4">
      <c r="A5453" s="3"/>
      <c r="D5453" s="3"/>
    </row>
    <row r="5454" spans="1:4">
      <c r="A5454" s="3"/>
      <c r="D5454" s="3"/>
    </row>
    <row r="5455" spans="1:4">
      <c r="A5455" s="3"/>
      <c r="D5455" s="3"/>
    </row>
    <row r="5456" spans="1:4">
      <c r="A5456" s="3"/>
      <c r="D5456" s="3"/>
    </row>
    <row r="5457" spans="1:4">
      <c r="A5457" s="3"/>
      <c r="D5457" s="3"/>
    </row>
    <row r="5458" spans="1:4">
      <c r="A5458" s="3"/>
      <c r="D5458" s="3"/>
    </row>
    <row r="5459" spans="1:4">
      <c r="A5459" s="3"/>
      <c r="D5459" s="3"/>
    </row>
    <row r="5460" spans="1:4">
      <c r="A5460" s="3"/>
      <c r="D5460" s="3"/>
    </row>
    <row r="5461" spans="1:4">
      <c r="A5461" s="3"/>
      <c r="D5461" s="3"/>
    </row>
    <row r="5462" spans="1:4">
      <c r="A5462" s="3"/>
      <c r="D5462" s="3"/>
    </row>
    <row r="5463" spans="1:4">
      <c r="A5463" s="3"/>
      <c r="D5463" s="3"/>
    </row>
    <row r="5464" spans="1:4">
      <c r="A5464" s="3"/>
      <c r="D5464" s="3"/>
    </row>
    <row r="5465" spans="1:4">
      <c r="A5465" s="3"/>
      <c r="D5465" s="3"/>
    </row>
    <row r="5466" spans="1:4">
      <c r="A5466" s="3"/>
      <c r="D5466" s="3"/>
    </row>
    <row r="5467" spans="1:4">
      <c r="A5467" s="3"/>
      <c r="D5467" s="3"/>
    </row>
    <row r="5468" spans="1:4">
      <c r="A5468" s="3"/>
      <c r="D5468" s="3"/>
    </row>
    <row r="5469" spans="1:4">
      <c r="A5469" s="3"/>
      <c r="D5469" s="3"/>
    </row>
    <row r="5470" spans="1:4">
      <c r="A5470" s="3"/>
      <c r="D5470" s="3"/>
    </row>
    <row r="5471" spans="1:4">
      <c r="A5471" s="3"/>
      <c r="D5471" s="3"/>
    </row>
    <row r="5472" spans="1:4">
      <c r="A5472" s="3"/>
      <c r="D5472" s="3"/>
    </row>
    <row r="5473" spans="1:4">
      <c r="A5473" s="3"/>
      <c r="D5473" s="3"/>
    </row>
    <row r="5474" spans="1:4">
      <c r="A5474" s="3"/>
      <c r="D5474" s="3"/>
    </row>
    <row r="5475" spans="1:4">
      <c r="A5475" s="3"/>
      <c r="D5475" s="3"/>
    </row>
    <row r="5476" spans="1:4">
      <c r="A5476" s="3"/>
      <c r="D5476" s="3"/>
    </row>
    <row r="5477" spans="1:4">
      <c r="A5477" s="3"/>
      <c r="D5477" s="3"/>
    </row>
    <row r="5478" spans="1:4">
      <c r="A5478" s="3"/>
      <c r="D5478" s="3"/>
    </row>
    <row r="5479" spans="1:4">
      <c r="A5479" s="3"/>
      <c r="D5479" s="3"/>
    </row>
    <row r="5480" spans="1:4">
      <c r="A5480" s="3"/>
      <c r="D5480" s="3"/>
    </row>
    <row r="5481" spans="1:4">
      <c r="A5481" s="3"/>
      <c r="D5481" s="3"/>
    </row>
    <row r="5482" spans="1:4">
      <c r="A5482" s="3"/>
      <c r="D5482" s="3"/>
    </row>
    <row r="5483" spans="1:4">
      <c r="A5483" s="3"/>
      <c r="D5483" s="3"/>
    </row>
    <row r="5484" spans="1:4">
      <c r="A5484" s="3"/>
      <c r="D5484" s="3"/>
    </row>
    <row r="5485" spans="1:4">
      <c r="A5485" s="3"/>
      <c r="D5485" s="3"/>
    </row>
    <row r="5486" spans="1:4">
      <c r="A5486" s="3"/>
      <c r="D5486" s="3"/>
    </row>
    <row r="5487" spans="1:4">
      <c r="A5487" s="3"/>
      <c r="D5487" s="3"/>
    </row>
    <row r="5488" spans="1:4">
      <c r="A5488" s="3"/>
      <c r="D5488" s="3"/>
    </row>
    <row r="5489" spans="1:4">
      <c r="A5489" s="3"/>
      <c r="D5489" s="3"/>
    </row>
    <row r="5490" spans="1:4">
      <c r="A5490" s="3"/>
      <c r="D5490" s="3"/>
    </row>
    <row r="5491" spans="1:4">
      <c r="A5491" s="3"/>
      <c r="D5491" s="3"/>
    </row>
    <row r="5492" spans="1:4">
      <c r="A5492" s="3"/>
      <c r="D5492" s="3"/>
    </row>
    <row r="5493" spans="1:4">
      <c r="A5493" s="3"/>
      <c r="D5493" s="3"/>
    </row>
    <row r="5494" spans="1:4">
      <c r="A5494" s="3"/>
      <c r="D5494" s="3"/>
    </row>
    <row r="5495" spans="1:4">
      <c r="A5495" s="3"/>
      <c r="D5495" s="3"/>
    </row>
    <row r="5496" spans="1:4">
      <c r="A5496" s="3"/>
      <c r="D5496" s="3"/>
    </row>
    <row r="5497" spans="1:4">
      <c r="A5497" s="3"/>
      <c r="D5497" s="3"/>
    </row>
    <row r="5498" spans="1:4">
      <c r="A5498" s="3"/>
      <c r="D5498" s="3"/>
    </row>
    <row r="5499" spans="1:4">
      <c r="A5499" s="3"/>
      <c r="D5499" s="3"/>
    </row>
    <row r="5500" spans="1:4">
      <c r="A5500" s="3"/>
      <c r="D5500" s="3"/>
    </row>
    <row r="5501" spans="1:4">
      <c r="A5501" s="3"/>
      <c r="D5501" s="3"/>
    </row>
    <row r="5502" spans="1:4">
      <c r="A5502" s="3"/>
      <c r="D5502" s="3"/>
    </row>
    <row r="5503" spans="1:4">
      <c r="A5503" s="3"/>
      <c r="D5503" s="3"/>
    </row>
    <row r="5504" spans="1:4">
      <c r="A5504" s="3"/>
      <c r="D5504" s="3"/>
    </row>
    <row r="5505" spans="1:4">
      <c r="A5505" s="3"/>
      <c r="D5505" s="3"/>
    </row>
    <row r="5506" spans="1:4">
      <c r="A5506" s="3"/>
      <c r="D5506" s="3"/>
    </row>
    <row r="5507" spans="1:4">
      <c r="A5507" s="3"/>
      <c r="D5507" s="3"/>
    </row>
    <row r="5508" spans="1:4">
      <c r="A5508" s="3"/>
      <c r="D5508" s="3"/>
    </row>
    <row r="5509" spans="1:4">
      <c r="A5509" s="3"/>
      <c r="D5509" s="3"/>
    </row>
    <row r="5510" spans="1:4">
      <c r="A5510" s="3"/>
      <c r="D5510" s="3"/>
    </row>
    <row r="5511" spans="1:4">
      <c r="A5511" s="3"/>
      <c r="D5511" s="3"/>
    </row>
    <row r="5512" spans="1:4">
      <c r="A5512" s="3"/>
      <c r="D5512" s="3"/>
    </row>
    <row r="5513" spans="1:4">
      <c r="A5513" s="3"/>
      <c r="D5513" s="3"/>
    </row>
    <row r="5514" spans="1:4">
      <c r="A5514" s="3"/>
      <c r="D5514" s="3"/>
    </row>
    <row r="5515" spans="1:4">
      <c r="A5515" s="3"/>
      <c r="D5515" s="3"/>
    </row>
    <row r="5516" spans="1:4">
      <c r="A5516" s="3"/>
      <c r="D5516" s="3"/>
    </row>
    <row r="5517" spans="1:4">
      <c r="A5517" s="3"/>
      <c r="D5517" s="3"/>
    </row>
    <row r="5518" spans="1:4">
      <c r="A5518" s="3"/>
      <c r="D5518" s="3"/>
    </row>
    <row r="5519" spans="1:4">
      <c r="A5519" s="3"/>
      <c r="D5519" s="3"/>
    </row>
    <row r="5520" spans="1:4">
      <c r="A5520" s="3"/>
      <c r="D5520" s="3"/>
    </row>
    <row r="5521" spans="1:4">
      <c r="A5521" s="3"/>
      <c r="D5521" s="3"/>
    </row>
    <row r="5522" spans="1:4">
      <c r="A5522" s="3"/>
      <c r="D5522" s="3"/>
    </row>
    <row r="5523" spans="1:4">
      <c r="A5523" s="3"/>
      <c r="D5523" s="3"/>
    </row>
    <row r="5524" spans="1:4">
      <c r="A5524" s="3"/>
      <c r="D5524" s="3"/>
    </row>
    <row r="5525" spans="1:4">
      <c r="A5525" s="3"/>
      <c r="D5525" s="3"/>
    </row>
    <row r="5526" spans="1:4">
      <c r="A5526" s="3"/>
      <c r="D5526" s="3"/>
    </row>
    <row r="5527" spans="1:4">
      <c r="A5527" s="3"/>
      <c r="D5527" s="3"/>
    </row>
    <row r="5528" spans="1:4">
      <c r="A5528" s="3"/>
      <c r="D5528" s="3"/>
    </row>
    <row r="5529" spans="1:4">
      <c r="A5529" s="3"/>
      <c r="D5529" s="3"/>
    </row>
    <row r="5530" spans="1:4">
      <c r="A5530" s="3"/>
      <c r="D5530" s="3"/>
    </row>
    <row r="5531" spans="1:4">
      <c r="A5531" s="3"/>
      <c r="D5531" s="3"/>
    </row>
    <row r="5532" spans="1:4">
      <c r="A5532" s="3"/>
      <c r="D5532" s="3"/>
    </row>
    <row r="5533" spans="1:4">
      <c r="A5533" s="3"/>
      <c r="D5533" s="3"/>
    </row>
    <row r="5534" spans="1:4">
      <c r="A5534" s="3"/>
      <c r="D5534" s="3"/>
    </row>
    <row r="5535" spans="1:4">
      <c r="A5535" s="3"/>
      <c r="D5535" s="3"/>
    </row>
    <row r="5536" spans="1:4">
      <c r="A5536" s="3"/>
      <c r="D5536" s="3"/>
    </row>
    <row r="5537" spans="1:4">
      <c r="A5537" s="3"/>
      <c r="D5537" s="3"/>
    </row>
    <row r="5538" spans="1:4">
      <c r="A5538" s="3"/>
      <c r="D5538" s="3"/>
    </row>
    <row r="5539" spans="1:4">
      <c r="A5539" s="3"/>
      <c r="D5539" s="3"/>
    </row>
    <row r="5540" spans="1:4">
      <c r="A5540" s="3"/>
      <c r="D5540" s="3"/>
    </row>
    <row r="5541" spans="1:4">
      <c r="A5541" s="3"/>
      <c r="D5541" s="3"/>
    </row>
    <row r="5542" spans="1:4">
      <c r="A5542" s="3"/>
      <c r="D5542" s="3"/>
    </row>
    <row r="5543" spans="1:4">
      <c r="A5543" s="3"/>
      <c r="D5543" s="3"/>
    </row>
    <row r="5544" spans="1:4">
      <c r="A5544" s="3"/>
      <c r="D5544" s="3"/>
    </row>
    <row r="5545" spans="1:4">
      <c r="A5545" s="3"/>
      <c r="D5545" s="3"/>
    </row>
    <row r="5546" spans="1:4">
      <c r="A5546" s="3"/>
      <c r="D5546" s="3"/>
    </row>
    <row r="5547" spans="1:4">
      <c r="A5547" s="3"/>
      <c r="D5547" s="3"/>
    </row>
    <row r="5548" spans="1:4">
      <c r="A5548" s="3"/>
      <c r="D5548" s="3"/>
    </row>
    <row r="5549" spans="1:4">
      <c r="A5549" s="3"/>
      <c r="D5549" s="3"/>
    </row>
    <row r="5550" spans="1:4">
      <c r="A5550" s="3"/>
      <c r="D5550" s="3"/>
    </row>
    <row r="5551" spans="1:4">
      <c r="A5551" s="3"/>
      <c r="D5551" s="3"/>
    </row>
    <row r="5552" spans="1:4">
      <c r="A5552" s="3"/>
      <c r="D5552" s="3"/>
    </row>
    <row r="5553" spans="1:4">
      <c r="A5553" s="3"/>
      <c r="D5553" s="3"/>
    </row>
    <row r="5554" spans="1:4">
      <c r="A5554" s="3"/>
      <c r="D5554" s="3"/>
    </row>
    <row r="5555" spans="1:4">
      <c r="A5555" s="3"/>
      <c r="D5555" s="3"/>
    </row>
    <row r="5556" spans="1:4">
      <c r="A5556" s="3"/>
      <c r="D5556" s="3"/>
    </row>
    <row r="5557" spans="1:4">
      <c r="A5557" s="3"/>
      <c r="D5557" s="3"/>
    </row>
    <row r="5558" spans="1:4">
      <c r="A5558" s="3"/>
      <c r="D5558" s="3"/>
    </row>
    <row r="5559" spans="1:4">
      <c r="A5559" s="3"/>
      <c r="D5559" s="3"/>
    </row>
    <row r="5560" spans="1:4">
      <c r="A5560" s="3"/>
      <c r="D5560" s="3"/>
    </row>
    <row r="5561" spans="1:4">
      <c r="A5561" s="3"/>
      <c r="D5561" s="3"/>
    </row>
    <row r="5562" spans="1:4">
      <c r="A5562" s="3"/>
      <c r="D5562" s="3"/>
    </row>
    <row r="5563" spans="1:4">
      <c r="A5563" s="3"/>
      <c r="D5563" s="3"/>
    </row>
    <row r="5564" spans="1:4">
      <c r="A5564" s="3"/>
      <c r="D5564" s="3"/>
    </row>
    <row r="5565" spans="1:4">
      <c r="A5565" s="3"/>
      <c r="D5565" s="3"/>
    </row>
    <row r="5566" spans="1:4">
      <c r="A5566" s="3"/>
      <c r="D5566" s="3"/>
    </row>
    <row r="5567" spans="1:4">
      <c r="A5567" s="3"/>
      <c r="D5567" s="3"/>
    </row>
    <row r="5568" spans="1:4">
      <c r="A5568" s="3"/>
      <c r="D5568" s="3"/>
    </row>
    <row r="5569" spans="1:4">
      <c r="A5569" s="3"/>
      <c r="D5569" s="3"/>
    </row>
    <row r="5570" spans="1:4">
      <c r="A5570" s="3"/>
      <c r="D5570" s="3"/>
    </row>
    <row r="5571" spans="1:4">
      <c r="A5571" s="3"/>
      <c r="D5571" s="3"/>
    </row>
    <row r="5572" spans="1:4">
      <c r="A5572" s="3"/>
      <c r="D5572" s="3"/>
    </row>
    <row r="5573" spans="1:4">
      <c r="A5573" s="3"/>
      <c r="D5573" s="3"/>
    </row>
    <row r="5574" spans="1:4">
      <c r="A5574" s="3"/>
      <c r="D5574" s="3"/>
    </row>
    <row r="5575" spans="1:4">
      <c r="A5575" s="3"/>
      <c r="D5575" s="3"/>
    </row>
    <row r="5576" spans="1:4">
      <c r="A5576" s="3"/>
      <c r="D5576" s="3"/>
    </row>
    <row r="5577" spans="1:4">
      <c r="A5577" s="3"/>
      <c r="D5577" s="3"/>
    </row>
    <row r="5578" spans="1:4">
      <c r="A5578" s="3"/>
      <c r="D5578" s="3"/>
    </row>
    <row r="5579" spans="1:4">
      <c r="A5579" s="3"/>
      <c r="D5579" s="3"/>
    </row>
    <row r="5580" spans="1:4">
      <c r="A5580" s="3"/>
      <c r="D5580" s="3"/>
    </row>
    <row r="5581" spans="1:4">
      <c r="A5581" s="3"/>
      <c r="D5581" s="3"/>
    </row>
    <row r="5582" spans="1:4">
      <c r="A5582" s="3"/>
      <c r="D5582" s="3"/>
    </row>
    <row r="5583" spans="1:4">
      <c r="A5583" s="3"/>
      <c r="D5583" s="3"/>
    </row>
    <row r="5584" spans="1:4">
      <c r="A5584" s="3"/>
      <c r="D5584" s="3"/>
    </row>
    <row r="5585" spans="1:4">
      <c r="A5585" s="3"/>
      <c r="D5585" s="3"/>
    </row>
    <row r="5586" spans="1:4">
      <c r="A5586" s="3"/>
      <c r="D5586" s="3"/>
    </row>
    <row r="5587" spans="1:4">
      <c r="A5587" s="3"/>
      <c r="D5587" s="3"/>
    </row>
    <row r="5588" spans="1:4">
      <c r="A5588" s="3"/>
      <c r="D5588" s="3"/>
    </row>
    <row r="5589" spans="1:4">
      <c r="A5589" s="3"/>
      <c r="D5589" s="3"/>
    </row>
    <row r="5590" spans="1:4">
      <c r="A5590" s="3"/>
      <c r="D5590" s="3"/>
    </row>
    <row r="5591" spans="1:4">
      <c r="A5591" s="3"/>
      <c r="D5591" s="3"/>
    </row>
    <row r="5592" spans="1:4">
      <c r="A5592" s="3"/>
      <c r="D5592" s="3"/>
    </row>
    <row r="5593" spans="1:4">
      <c r="A5593" s="3"/>
      <c r="D5593" s="3"/>
    </row>
    <row r="5594" spans="1:4">
      <c r="A5594" s="3"/>
      <c r="D5594" s="3"/>
    </row>
    <row r="5595" spans="1:4">
      <c r="A5595" s="3"/>
      <c r="D5595" s="3"/>
    </row>
    <row r="5596" spans="1:4">
      <c r="A5596" s="3"/>
      <c r="D5596" s="3"/>
    </row>
    <row r="5597" spans="1:4">
      <c r="A5597" s="3"/>
      <c r="D5597" s="3"/>
    </row>
    <row r="5598" spans="1:4">
      <c r="A5598" s="3"/>
      <c r="D5598" s="3"/>
    </row>
    <row r="5599" spans="1:4">
      <c r="A5599" s="3"/>
      <c r="D5599" s="3"/>
    </row>
    <row r="5600" spans="1:4">
      <c r="A5600" s="3"/>
      <c r="D5600" s="3"/>
    </row>
    <row r="5601" spans="1:4">
      <c r="A5601" s="3"/>
      <c r="D5601" s="3"/>
    </row>
    <row r="5602" spans="1:4">
      <c r="A5602" s="3"/>
      <c r="D5602" s="3"/>
    </row>
    <row r="5603" spans="1:4">
      <c r="A5603" s="3"/>
      <c r="D5603" s="3"/>
    </row>
    <row r="5604" spans="1:4">
      <c r="A5604" s="3"/>
      <c r="D5604" s="3"/>
    </row>
    <row r="5605" spans="1:4">
      <c r="A5605" s="3"/>
      <c r="D5605" s="3"/>
    </row>
    <row r="5606" spans="1:4">
      <c r="A5606" s="3"/>
      <c r="D5606" s="3"/>
    </row>
    <row r="5607" spans="1:4">
      <c r="A5607" s="3"/>
      <c r="D5607" s="3"/>
    </row>
    <row r="5608" spans="1:4">
      <c r="A5608" s="3"/>
      <c r="D5608" s="3"/>
    </row>
    <row r="5609" spans="1:4">
      <c r="A5609" s="3"/>
      <c r="D5609" s="3"/>
    </row>
    <row r="5610" spans="1:4">
      <c r="A5610" s="3"/>
      <c r="D5610" s="3"/>
    </row>
    <row r="5611" spans="1:4">
      <c r="A5611" s="3"/>
      <c r="D5611" s="3"/>
    </row>
    <row r="5612" spans="1:4">
      <c r="A5612" s="3"/>
      <c r="D5612" s="3"/>
    </row>
    <row r="5613" spans="1:4">
      <c r="A5613" s="3"/>
      <c r="D5613" s="3"/>
    </row>
    <row r="5614" spans="1:4">
      <c r="A5614" s="3"/>
      <c r="D5614" s="3"/>
    </row>
    <row r="5615" spans="1:4">
      <c r="A5615" s="3"/>
      <c r="D5615" s="3"/>
    </row>
    <row r="5616" spans="1:4">
      <c r="A5616" s="3"/>
      <c r="D5616" s="3"/>
    </row>
    <row r="5617" spans="1:4">
      <c r="A5617" s="3"/>
      <c r="D5617" s="3"/>
    </row>
    <row r="5618" spans="1:4">
      <c r="A5618" s="3"/>
      <c r="D5618" s="3"/>
    </row>
    <row r="5619" spans="1:4">
      <c r="A5619" s="3"/>
      <c r="D5619" s="3"/>
    </row>
    <row r="5620" spans="1:4">
      <c r="A5620" s="3"/>
      <c r="D5620" s="3"/>
    </row>
    <row r="5621" spans="1:4">
      <c r="A5621" s="3"/>
      <c r="D5621" s="3"/>
    </row>
    <row r="5622" spans="1:4">
      <c r="A5622" s="3"/>
      <c r="D5622" s="3"/>
    </row>
    <row r="5623" spans="1:4">
      <c r="A5623" s="3"/>
      <c r="D5623" s="3"/>
    </row>
    <row r="5624" spans="1:4">
      <c r="A5624" s="3"/>
      <c r="D5624" s="3"/>
    </row>
    <row r="5625" spans="1:4">
      <c r="A5625" s="3"/>
      <c r="D5625" s="3"/>
    </row>
    <row r="5626" spans="1:4">
      <c r="A5626" s="3"/>
      <c r="D5626" s="3"/>
    </row>
    <row r="5627" spans="1:4">
      <c r="A5627" s="3"/>
      <c r="D5627" s="3"/>
    </row>
    <row r="5628" spans="1:4">
      <c r="A5628" s="3"/>
      <c r="D5628" s="3"/>
    </row>
    <row r="5629" spans="1:4">
      <c r="A5629" s="3"/>
      <c r="D5629" s="3"/>
    </row>
    <row r="5630" spans="1:4">
      <c r="A5630" s="3"/>
      <c r="D5630" s="3"/>
    </row>
    <row r="5631" spans="1:4">
      <c r="A5631" s="3"/>
      <c r="D5631" s="3"/>
    </row>
    <row r="5632" spans="1:4">
      <c r="A5632" s="3"/>
      <c r="D5632" s="3"/>
    </row>
    <row r="5633" spans="1:4">
      <c r="A5633" s="3"/>
      <c r="D5633" s="3"/>
    </row>
    <row r="5634" spans="1:4">
      <c r="A5634" s="3"/>
      <c r="D5634" s="3"/>
    </row>
    <row r="5635" spans="1:4">
      <c r="A5635" s="3"/>
      <c r="D5635" s="3"/>
    </row>
    <row r="5636" spans="1:4">
      <c r="A5636" s="3"/>
      <c r="D5636" s="3"/>
    </row>
    <row r="5637" spans="1:4">
      <c r="A5637" s="3"/>
      <c r="D5637" s="3"/>
    </row>
    <row r="5638" spans="1:4">
      <c r="A5638" s="3"/>
      <c r="D5638" s="3"/>
    </row>
    <row r="5639" spans="1:4">
      <c r="A5639" s="3"/>
      <c r="D5639" s="3"/>
    </row>
    <row r="5640" spans="1:4">
      <c r="A5640" s="3"/>
      <c r="D5640" s="3"/>
    </row>
    <row r="5641" spans="1:4">
      <c r="A5641" s="3"/>
      <c r="D5641" s="3"/>
    </row>
    <row r="5642" spans="1:4">
      <c r="A5642" s="3"/>
      <c r="D5642" s="3"/>
    </row>
    <row r="5643" spans="1:4">
      <c r="A5643" s="3"/>
      <c r="D5643" s="3"/>
    </row>
    <row r="5644" spans="1:4">
      <c r="A5644" s="3"/>
      <c r="D5644" s="3"/>
    </row>
    <row r="5645" spans="1:4">
      <c r="A5645" s="3"/>
      <c r="D5645" s="3"/>
    </row>
    <row r="5646" spans="1:4">
      <c r="A5646" s="3"/>
      <c r="D5646" s="3"/>
    </row>
    <row r="5647" spans="1:4">
      <c r="A5647" s="3"/>
      <c r="D5647" s="3"/>
    </row>
    <row r="5648" spans="1:4">
      <c r="A5648" s="3"/>
      <c r="D5648" s="3"/>
    </row>
    <row r="5649" spans="1:4">
      <c r="A5649" s="3"/>
      <c r="D5649" s="3"/>
    </row>
    <row r="5650" spans="1:4">
      <c r="A5650" s="3"/>
      <c r="D5650" s="3"/>
    </row>
    <row r="5651" spans="1:4">
      <c r="A5651" s="3"/>
      <c r="D5651" s="3"/>
    </row>
    <row r="5652" spans="1:4">
      <c r="A5652" s="3"/>
      <c r="D5652" s="3"/>
    </row>
    <row r="5653" spans="1:4">
      <c r="A5653" s="3"/>
      <c r="D5653" s="3"/>
    </row>
    <row r="5654" spans="1:4">
      <c r="A5654" s="3"/>
      <c r="D5654" s="3"/>
    </row>
    <row r="5655" spans="1:4">
      <c r="A5655" s="3"/>
      <c r="D5655" s="3"/>
    </row>
    <row r="5656" spans="1:4">
      <c r="A5656" s="3"/>
      <c r="D5656" s="3"/>
    </row>
    <row r="5657" spans="1:4">
      <c r="A5657" s="3"/>
      <c r="D5657" s="3"/>
    </row>
    <row r="5658" spans="1:4">
      <c r="A5658" s="3"/>
      <c r="D5658" s="3"/>
    </row>
    <row r="5659" spans="1:4">
      <c r="A5659" s="3"/>
      <c r="D5659" s="3"/>
    </row>
    <row r="5660" spans="1:4">
      <c r="A5660" s="3"/>
      <c r="D5660" s="3"/>
    </row>
    <row r="5661" spans="1:4">
      <c r="A5661" s="3"/>
      <c r="D5661" s="3"/>
    </row>
    <row r="5662" spans="1:4">
      <c r="A5662" s="3"/>
      <c r="D5662" s="3"/>
    </row>
    <row r="5663" spans="1:4">
      <c r="A5663" s="3"/>
      <c r="D5663" s="3"/>
    </row>
    <row r="5664" spans="1:4">
      <c r="A5664" s="3"/>
      <c r="D5664" s="3"/>
    </row>
    <row r="5665" spans="1:4">
      <c r="A5665" s="3"/>
      <c r="D5665" s="3"/>
    </row>
    <row r="5666" spans="1:4">
      <c r="A5666" s="3"/>
      <c r="D5666" s="3"/>
    </row>
    <row r="5667" spans="1:4">
      <c r="A5667" s="3"/>
      <c r="D5667" s="3"/>
    </row>
    <row r="5668" spans="1:4">
      <c r="A5668" s="3"/>
      <c r="D5668" s="3"/>
    </row>
    <row r="5669" spans="1:4">
      <c r="A5669" s="3"/>
      <c r="D5669" s="3"/>
    </row>
    <row r="5670" spans="1:4">
      <c r="A5670" s="3"/>
      <c r="D5670" s="3"/>
    </row>
    <row r="5671" spans="1:4">
      <c r="A5671" s="3"/>
      <c r="D5671" s="3"/>
    </row>
    <row r="5672" spans="1:4">
      <c r="A5672" s="3"/>
      <c r="D5672" s="3"/>
    </row>
    <row r="5673" spans="1:4">
      <c r="A5673" s="3"/>
      <c r="D5673" s="3"/>
    </row>
    <row r="5674" spans="1:4">
      <c r="A5674" s="3"/>
      <c r="D5674" s="3"/>
    </row>
    <row r="5675" spans="1:4">
      <c r="A5675" s="3"/>
      <c r="D5675" s="3"/>
    </row>
    <row r="5676" spans="1:4">
      <c r="A5676" s="3"/>
      <c r="D5676" s="3"/>
    </row>
    <row r="5677" spans="1:4">
      <c r="A5677" s="3"/>
      <c r="D5677" s="3"/>
    </row>
    <row r="5678" spans="1:4">
      <c r="A5678" s="3"/>
      <c r="D5678" s="3"/>
    </row>
    <row r="5679" spans="1:4">
      <c r="A5679" s="3"/>
      <c r="D5679" s="3"/>
    </row>
    <row r="5680" spans="1:4">
      <c r="A5680" s="3"/>
      <c r="D5680" s="3"/>
    </row>
    <row r="5681" spans="1:4">
      <c r="A5681" s="3"/>
      <c r="D5681" s="3"/>
    </row>
    <row r="5682" spans="1:4">
      <c r="A5682" s="3"/>
      <c r="D5682" s="3"/>
    </row>
    <row r="5683" spans="1:4">
      <c r="A5683" s="3"/>
      <c r="D5683" s="3"/>
    </row>
    <row r="5684" spans="1:4">
      <c r="A5684" s="3"/>
      <c r="D5684" s="3"/>
    </row>
    <row r="5685" spans="1:4">
      <c r="A5685" s="3"/>
      <c r="D5685" s="3"/>
    </row>
    <row r="5686" spans="1:4">
      <c r="A5686" s="3"/>
      <c r="D5686" s="3"/>
    </row>
    <row r="5687" spans="1:4">
      <c r="A5687" s="3"/>
      <c r="D5687" s="3"/>
    </row>
    <row r="5688" spans="1:4">
      <c r="A5688" s="3"/>
      <c r="D5688" s="3"/>
    </row>
    <row r="5689" spans="1:4">
      <c r="A5689" s="3"/>
      <c r="D5689" s="3"/>
    </row>
    <row r="5690" spans="1:4">
      <c r="A5690" s="3"/>
      <c r="D5690" s="3"/>
    </row>
    <row r="5691" spans="1:4">
      <c r="A5691" s="3"/>
      <c r="D5691" s="3"/>
    </row>
    <row r="5692" spans="1:4">
      <c r="A5692" s="3"/>
      <c r="D5692" s="3"/>
    </row>
    <row r="5693" spans="1:4">
      <c r="A5693" s="3"/>
      <c r="D5693" s="3"/>
    </row>
    <row r="5694" spans="1:4">
      <c r="A5694" s="3"/>
      <c r="D5694" s="3"/>
    </row>
    <row r="5695" spans="1:4">
      <c r="A5695" s="3"/>
      <c r="D5695" s="3"/>
    </row>
    <row r="5696" spans="1:4">
      <c r="A5696" s="3"/>
      <c r="D5696" s="3"/>
    </row>
    <row r="5697" spans="1:4">
      <c r="A5697" s="3"/>
      <c r="D5697" s="3"/>
    </row>
    <row r="5698" spans="1:4">
      <c r="A5698" s="3"/>
      <c r="D5698" s="3"/>
    </row>
    <row r="5699" spans="1:4">
      <c r="A5699" s="3"/>
      <c r="D5699" s="3"/>
    </row>
    <row r="5700" spans="1:4">
      <c r="A5700" s="3"/>
      <c r="D5700" s="3"/>
    </row>
    <row r="5701" spans="1:4">
      <c r="A5701" s="3"/>
      <c r="D5701" s="3"/>
    </row>
    <row r="5702" spans="1:4">
      <c r="A5702" s="3"/>
      <c r="D5702" s="3"/>
    </row>
    <row r="5703" spans="1:4">
      <c r="A5703" s="3"/>
      <c r="D5703" s="3"/>
    </row>
    <row r="5704" spans="1:4">
      <c r="A5704" s="3"/>
      <c r="D5704" s="3"/>
    </row>
    <row r="5705" spans="1:4">
      <c r="A5705" s="3"/>
      <c r="D5705" s="3"/>
    </row>
    <row r="5706" spans="1:4">
      <c r="A5706" s="3"/>
      <c r="D5706" s="3"/>
    </row>
    <row r="5707" spans="1:4">
      <c r="A5707" s="3"/>
      <c r="D5707" s="3"/>
    </row>
    <row r="5708" spans="1:4">
      <c r="A5708" s="3"/>
      <c r="D5708" s="3"/>
    </row>
    <row r="5709" spans="1:4">
      <c r="A5709" s="3"/>
      <c r="D5709" s="3"/>
    </row>
    <row r="5710" spans="1:4">
      <c r="A5710" s="3"/>
      <c r="D5710" s="3"/>
    </row>
    <row r="5711" spans="1:4">
      <c r="A5711" s="3"/>
      <c r="D5711" s="3"/>
    </row>
    <row r="5712" spans="1:4">
      <c r="A5712" s="3"/>
      <c r="D5712" s="3"/>
    </row>
    <row r="5713" spans="1:4">
      <c r="A5713" s="3"/>
      <c r="D5713" s="3"/>
    </row>
    <row r="5714" spans="1:4">
      <c r="A5714" s="3"/>
      <c r="D5714" s="3"/>
    </row>
    <row r="5715" spans="1:4">
      <c r="A5715" s="3"/>
      <c r="D5715" s="3"/>
    </row>
    <row r="5716" spans="1:4">
      <c r="A5716" s="3"/>
      <c r="D5716" s="3"/>
    </row>
    <row r="5717" spans="1:4">
      <c r="A5717" s="3"/>
      <c r="D5717" s="3"/>
    </row>
    <row r="5718" spans="1:4">
      <c r="A5718" s="3"/>
      <c r="D5718" s="3"/>
    </row>
    <row r="5719" spans="1:4">
      <c r="A5719" s="3"/>
      <c r="D5719" s="3"/>
    </row>
    <row r="5720" spans="1:4">
      <c r="A5720" s="3"/>
      <c r="D5720" s="3"/>
    </row>
    <row r="5721" spans="1:4">
      <c r="A5721" s="3"/>
      <c r="D5721" s="3"/>
    </row>
    <row r="5722" spans="1:4">
      <c r="A5722" s="3"/>
      <c r="D5722" s="3"/>
    </row>
    <row r="5723" spans="1:4">
      <c r="A5723" s="3"/>
      <c r="D5723" s="3"/>
    </row>
    <row r="5724" spans="1:4">
      <c r="A5724" s="3"/>
      <c r="D5724" s="3"/>
    </row>
    <row r="5725" spans="1:4">
      <c r="A5725" s="3"/>
      <c r="D5725" s="3"/>
    </row>
    <row r="5726" spans="1:4">
      <c r="A5726" s="3"/>
      <c r="D5726" s="3"/>
    </row>
    <row r="5727" spans="1:4">
      <c r="A5727" s="3"/>
      <c r="D5727" s="3"/>
    </row>
    <row r="5728" spans="1:4">
      <c r="A5728" s="3"/>
      <c r="D5728" s="3"/>
    </row>
    <row r="5729" spans="1:4">
      <c r="A5729" s="3"/>
      <c r="D5729" s="3"/>
    </row>
    <row r="5730" spans="1:4">
      <c r="A5730" s="3"/>
      <c r="D5730" s="3"/>
    </row>
    <row r="5731" spans="1:4">
      <c r="A5731" s="3"/>
      <c r="D5731" s="3"/>
    </row>
    <row r="5732" spans="1:4">
      <c r="A5732" s="3"/>
      <c r="D5732" s="3"/>
    </row>
    <row r="5733" spans="1:4">
      <c r="A5733" s="3"/>
      <c r="D5733" s="3"/>
    </row>
    <row r="5734" spans="1:4">
      <c r="A5734" s="3"/>
      <c r="D5734" s="3"/>
    </row>
    <row r="5735" spans="1:4">
      <c r="A5735" s="3"/>
      <c r="D5735" s="3"/>
    </row>
    <row r="5736" spans="1:4">
      <c r="A5736" s="3"/>
      <c r="D5736" s="3"/>
    </row>
    <row r="5737" spans="1:4">
      <c r="A5737" s="3"/>
      <c r="D5737" s="3"/>
    </row>
    <row r="5738" spans="1:4">
      <c r="A5738" s="3"/>
      <c r="D5738" s="3"/>
    </row>
    <row r="5739" spans="1:4">
      <c r="A5739" s="3"/>
      <c r="D5739" s="3"/>
    </row>
    <row r="5740" spans="1:4">
      <c r="A5740" s="3"/>
      <c r="D5740" s="3"/>
    </row>
    <row r="5741" spans="1:4">
      <c r="A5741" s="3"/>
      <c r="D5741" s="3"/>
    </row>
    <row r="5742" spans="1:4">
      <c r="A5742" s="3"/>
      <c r="D5742" s="3"/>
    </row>
    <row r="5743" spans="1:4">
      <c r="A5743" s="3"/>
      <c r="D5743" s="3"/>
    </row>
    <row r="5744" spans="1:4">
      <c r="A5744" s="3"/>
      <c r="D5744" s="3"/>
    </row>
    <row r="5745" spans="1:4">
      <c r="A5745" s="3"/>
      <c r="D5745" s="3"/>
    </row>
    <row r="5746" spans="1:4">
      <c r="A5746" s="3"/>
      <c r="D5746" s="3"/>
    </row>
    <row r="5747" spans="1:4">
      <c r="A5747" s="3"/>
      <c r="D5747" s="3"/>
    </row>
    <row r="5748" spans="1:4">
      <c r="A5748" s="3"/>
      <c r="D5748" s="3"/>
    </row>
    <row r="5749" spans="1:4">
      <c r="A5749" s="3"/>
      <c r="D5749" s="3"/>
    </row>
    <row r="5750" spans="1:4">
      <c r="A5750" s="3"/>
      <c r="D5750" s="3"/>
    </row>
    <row r="5751" spans="1:4">
      <c r="A5751" s="3"/>
      <c r="D5751" s="3"/>
    </row>
    <row r="5752" spans="1:4">
      <c r="A5752" s="3"/>
      <c r="D5752" s="3"/>
    </row>
    <row r="5753" spans="1:4">
      <c r="A5753" s="3"/>
      <c r="D5753" s="3"/>
    </row>
    <row r="5754" spans="1:4">
      <c r="A5754" s="3"/>
      <c r="D5754" s="3"/>
    </row>
    <row r="5755" spans="1:4">
      <c r="A5755" s="3"/>
      <c r="D5755" s="3"/>
    </row>
    <row r="5756" spans="1:4">
      <c r="A5756" s="3"/>
      <c r="D5756" s="3"/>
    </row>
    <row r="5757" spans="1:4">
      <c r="A5757" s="3"/>
      <c r="D5757" s="3"/>
    </row>
    <row r="5758" spans="1:4">
      <c r="A5758" s="3"/>
      <c r="D5758" s="3"/>
    </row>
    <row r="5759" spans="1:4">
      <c r="A5759" s="3"/>
      <c r="D5759" s="3"/>
    </row>
    <row r="5760" spans="1:4">
      <c r="A5760" s="3"/>
      <c r="D5760" s="3"/>
    </row>
    <row r="5761" spans="1:4">
      <c r="A5761" s="3"/>
      <c r="D5761" s="3"/>
    </row>
    <row r="5762" spans="1:4">
      <c r="A5762" s="3"/>
      <c r="D5762" s="3"/>
    </row>
    <row r="5763" spans="1:4">
      <c r="A5763" s="3"/>
      <c r="D5763" s="3"/>
    </row>
    <row r="5764" spans="1:4">
      <c r="A5764" s="3"/>
      <c r="D5764" s="3"/>
    </row>
    <row r="5765" spans="1:4">
      <c r="A5765" s="3"/>
      <c r="D5765" s="3"/>
    </row>
    <row r="5766" spans="1:4">
      <c r="A5766" s="3"/>
      <c r="D5766" s="3"/>
    </row>
    <row r="5767" spans="1:4">
      <c r="A5767" s="3"/>
      <c r="D5767" s="3"/>
    </row>
    <row r="5768" spans="1:4">
      <c r="A5768" s="3"/>
      <c r="D5768" s="3"/>
    </row>
    <row r="5769" spans="1:4">
      <c r="A5769" s="3"/>
      <c r="D5769" s="3"/>
    </row>
    <row r="5770" spans="1:4">
      <c r="A5770" s="3"/>
      <c r="D5770" s="3"/>
    </row>
    <row r="5771" spans="1:4">
      <c r="A5771" s="3"/>
      <c r="D5771" s="3"/>
    </row>
    <row r="5772" spans="1:4">
      <c r="A5772" s="3"/>
      <c r="D5772" s="3"/>
    </row>
    <row r="5773" spans="1:4">
      <c r="A5773" s="3"/>
      <c r="D5773" s="3"/>
    </row>
    <row r="5774" spans="1:4">
      <c r="A5774" s="3"/>
      <c r="D5774" s="3"/>
    </row>
    <row r="5775" spans="1:4">
      <c r="A5775" s="3"/>
      <c r="D5775" s="3"/>
    </row>
    <row r="5776" spans="1:4">
      <c r="A5776" s="3"/>
      <c r="D5776" s="3"/>
    </row>
    <row r="5777" spans="1:4">
      <c r="A5777" s="3"/>
      <c r="D5777" s="3"/>
    </row>
    <row r="5778" spans="1:4">
      <c r="A5778" s="3"/>
      <c r="D5778" s="3"/>
    </row>
    <row r="5779" spans="1:4">
      <c r="A5779" s="3"/>
      <c r="D5779" s="3"/>
    </row>
    <row r="5780" spans="1:4">
      <c r="A5780" s="3"/>
      <c r="D5780" s="3"/>
    </row>
    <row r="5781" spans="1:4">
      <c r="A5781" s="3"/>
      <c r="D5781" s="3"/>
    </row>
    <row r="5782" spans="1:4">
      <c r="A5782" s="3"/>
      <c r="D5782" s="3"/>
    </row>
    <row r="5783" spans="1:4">
      <c r="A5783" s="3"/>
      <c r="D5783" s="3"/>
    </row>
    <row r="5784" spans="1:4">
      <c r="A5784" s="3"/>
      <c r="D5784" s="3"/>
    </row>
    <row r="5785" spans="1:4">
      <c r="A5785" s="3"/>
      <c r="D5785" s="3"/>
    </row>
    <row r="5786" spans="1:4">
      <c r="A5786" s="3"/>
      <c r="D5786" s="3"/>
    </row>
    <row r="5787" spans="1:4">
      <c r="A5787" s="3"/>
      <c r="D5787" s="3"/>
    </row>
    <row r="5788" spans="1:4">
      <c r="A5788" s="3"/>
      <c r="D5788" s="3"/>
    </row>
    <row r="5789" spans="1:4">
      <c r="A5789" s="3"/>
      <c r="D5789" s="3"/>
    </row>
    <row r="5790" spans="1:4">
      <c r="A5790" s="3"/>
      <c r="D5790" s="3"/>
    </row>
    <row r="5791" spans="1:4">
      <c r="A5791" s="3"/>
      <c r="D5791" s="3"/>
    </row>
    <row r="5792" spans="1:4">
      <c r="A5792" s="3"/>
      <c r="D5792" s="3"/>
    </row>
    <row r="5793" spans="1:4">
      <c r="A5793" s="3"/>
      <c r="D5793" s="3"/>
    </row>
    <row r="5794" spans="1:4">
      <c r="A5794" s="3"/>
      <c r="D5794" s="3"/>
    </row>
    <row r="5795" spans="1:4">
      <c r="A5795" s="3"/>
      <c r="D5795" s="3"/>
    </row>
    <row r="5796" spans="1:4">
      <c r="A5796" s="3"/>
      <c r="D5796" s="3"/>
    </row>
    <row r="5797" spans="1:4">
      <c r="A5797" s="3"/>
      <c r="D5797" s="3"/>
    </row>
    <row r="5798" spans="1:4">
      <c r="A5798" s="3"/>
      <c r="D5798" s="3"/>
    </row>
    <row r="5799" spans="1:4">
      <c r="A5799" s="3"/>
      <c r="D5799" s="3"/>
    </row>
    <row r="5800" spans="1:4">
      <c r="A5800" s="3"/>
      <c r="D5800" s="3"/>
    </row>
    <row r="5801" spans="1:4">
      <c r="A5801" s="3"/>
      <c r="D5801" s="3"/>
    </row>
    <row r="5802" spans="1:4">
      <c r="A5802" s="3"/>
      <c r="D5802" s="3"/>
    </row>
    <row r="5803" spans="1:4">
      <c r="A5803" s="3"/>
      <c r="D5803" s="3"/>
    </row>
    <row r="5804" spans="1:4">
      <c r="A5804" s="3"/>
      <c r="D5804" s="3"/>
    </row>
    <row r="5805" spans="1:4">
      <c r="A5805" s="3"/>
      <c r="D5805" s="3"/>
    </row>
    <row r="5806" spans="1:4">
      <c r="A5806" s="3"/>
      <c r="D5806" s="3"/>
    </row>
    <row r="5807" spans="1:4">
      <c r="A5807" s="3"/>
      <c r="D5807" s="3"/>
    </row>
    <row r="5808" spans="1:4">
      <c r="A5808" s="3"/>
      <c r="D5808" s="3"/>
    </row>
    <row r="5809" spans="1:4">
      <c r="A5809" s="3"/>
      <c r="D5809" s="3"/>
    </row>
    <row r="5810" spans="1:4">
      <c r="A5810" s="3"/>
      <c r="D5810" s="3"/>
    </row>
    <row r="5811" spans="1:4">
      <c r="A5811" s="3"/>
      <c r="D5811" s="3"/>
    </row>
    <row r="5812" spans="1:4">
      <c r="A5812" s="3"/>
      <c r="D5812" s="3"/>
    </row>
    <row r="5813" spans="1:4">
      <c r="A5813" s="3"/>
      <c r="D5813" s="3"/>
    </row>
    <row r="5814" spans="1:4">
      <c r="A5814" s="3"/>
      <c r="D5814" s="3"/>
    </row>
    <row r="5815" spans="1:4">
      <c r="A5815" s="3"/>
      <c r="D5815" s="3"/>
    </row>
    <row r="5816" spans="1:4">
      <c r="A5816" s="3"/>
      <c r="D5816" s="3"/>
    </row>
    <row r="5817" spans="1:4">
      <c r="A5817" s="3"/>
      <c r="D5817" s="3"/>
    </row>
    <row r="5818" spans="1:4">
      <c r="A5818" s="3"/>
      <c r="D5818" s="3"/>
    </row>
    <row r="5819" spans="1:4">
      <c r="A5819" s="3"/>
      <c r="D5819" s="3"/>
    </row>
    <row r="5820" spans="1:4">
      <c r="A5820" s="3"/>
      <c r="D5820" s="3"/>
    </row>
    <row r="5821" spans="1:4">
      <c r="A5821" s="3"/>
      <c r="D5821" s="3"/>
    </row>
    <row r="5822" spans="1:4">
      <c r="A5822" s="3"/>
      <c r="D5822" s="3"/>
    </row>
    <row r="5823" spans="1:4">
      <c r="A5823" s="3"/>
      <c r="D5823" s="3"/>
    </row>
    <row r="5824" spans="1:4">
      <c r="A5824" s="3"/>
      <c r="D5824" s="3"/>
    </row>
    <row r="5825" spans="1:4">
      <c r="A5825" s="3"/>
      <c r="D5825" s="3"/>
    </row>
    <row r="5826" spans="1:4">
      <c r="A5826" s="3"/>
      <c r="D5826" s="3"/>
    </row>
    <row r="5827" spans="1:4">
      <c r="A5827" s="3"/>
      <c r="D5827" s="3"/>
    </row>
    <row r="5828" spans="1:4">
      <c r="A5828" s="3"/>
      <c r="D5828" s="3"/>
    </row>
    <row r="5829" spans="1:4">
      <c r="A5829" s="3"/>
      <c r="D5829" s="3"/>
    </row>
    <row r="5830" spans="1:4">
      <c r="A5830" s="3"/>
      <c r="D5830" s="3"/>
    </row>
    <row r="5831" spans="1:4">
      <c r="A5831" s="3"/>
      <c r="D5831" s="3"/>
    </row>
    <row r="5832" spans="1:4">
      <c r="A5832" s="3"/>
      <c r="D5832" s="3"/>
    </row>
    <row r="5833" spans="1:4">
      <c r="A5833" s="3"/>
      <c r="D5833" s="3"/>
    </row>
    <row r="5834" spans="1:4">
      <c r="A5834" s="3"/>
      <c r="D5834" s="3"/>
    </row>
    <row r="5835" spans="1:4">
      <c r="A5835" s="3"/>
      <c r="D5835" s="3"/>
    </row>
    <row r="5836" spans="1:4">
      <c r="A5836" s="3"/>
      <c r="D5836" s="3"/>
    </row>
    <row r="5837" spans="1:4">
      <c r="A5837" s="3"/>
      <c r="D5837" s="3"/>
    </row>
    <row r="5838" spans="1:4">
      <c r="A5838" s="3"/>
      <c r="D5838" s="3"/>
    </row>
    <row r="5839" spans="1:4">
      <c r="A5839" s="3"/>
      <c r="D5839" s="3"/>
    </row>
    <row r="5840" spans="1:4">
      <c r="A5840" s="3"/>
      <c r="D5840" s="3"/>
    </row>
    <row r="5841" spans="1:4">
      <c r="A5841" s="3"/>
      <c r="D5841" s="3"/>
    </row>
    <row r="5842" spans="1:4">
      <c r="A5842" s="3"/>
      <c r="D5842" s="3"/>
    </row>
    <row r="5843" spans="1:4">
      <c r="A5843" s="3"/>
      <c r="D5843" s="3"/>
    </row>
    <row r="5844" spans="1:4">
      <c r="A5844" s="3"/>
      <c r="D5844" s="3"/>
    </row>
    <row r="5845" spans="1:4">
      <c r="A5845" s="3"/>
      <c r="D5845" s="3"/>
    </row>
    <row r="5846" spans="1:4">
      <c r="A5846" s="3"/>
      <c r="D5846" s="3"/>
    </row>
    <row r="5847" spans="1:4">
      <c r="A5847" s="3"/>
      <c r="D5847" s="3"/>
    </row>
    <row r="5848" spans="1:4">
      <c r="A5848" s="3"/>
      <c r="D5848" s="3"/>
    </row>
    <row r="5849" spans="1:4">
      <c r="A5849" s="3"/>
      <c r="D5849" s="3"/>
    </row>
    <row r="5850" spans="1:4">
      <c r="A5850" s="3"/>
      <c r="D5850" s="3"/>
    </row>
    <row r="5851" spans="1:4">
      <c r="A5851" s="3"/>
      <c r="D5851" s="3"/>
    </row>
    <row r="5852" spans="1:4">
      <c r="A5852" s="3"/>
      <c r="D5852" s="3"/>
    </row>
    <row r="5853" spans="1:4">
      <c r="A5853" s="3"/>
      <c r="D5853" s="3"/>
    </row>
    <row r="5854" spans="1:4">
      <c r="A5854" s="3"/>
      <c r="D5854" s="3"/>
    </row>
    <row r="5855" spans="1:4">
      <c r="A5855" s="3"/>
      <c r="D5855" s="3"/>
    </row>
    <row r="5856" spans="1:4">
      <c r="A5856" s="3"/>
      <c r="D5856" s="3"/>
    </row>
    <row r="5857" spans="1:4">
      <c r="A5857" s="3"/>
      <c r="D5857" s="3"/>
    </row>
    <row r="5858" spans="1:4">
      <c r="A5858" s="3"/>
      <c r="D5858" s="3"/>
    </row>
    <row r="5859" spans="1:4">
      <c r="A5859" s="3"/>
      <c r="D5859" s="3"/>
    </row>
    <row r="5860" spans="1:4">
      <c r="A5860" s="3"/>
      <c r="D5860" s="3"/>
    </row>
    <row r="5861" spans="1:4">
      <c r="A5861" s="3"/>
      <c r="D5861" s="3"/>
    </row>
    <row r="5862" spans="1:4">
      <c r="A5862" s="3"/>
      <c r="D5862" s="3"/>
    </row>
    <row r="5863" spans="1:4">
      <c r="A5863" s="3"/>
      <c r="D5863" s="3"/>
    </row>
    <row r="5864" spans="1:4">
      <c r="A5864" s="3"/>
      <c r="D5864" s="3"/>
    </row>
    <row r="5865" spans="1:4">
      <c r="A5865" s="3"/>
      <c r="D5865" s="3"/>
    </row>
    <row r="5866" spans="1:4">
      <c r="A5866" s="3"/>
      <c r="D5866" s="3"/>
    </row>
    <row r="5867" spans="1:4">
      <c r="A5867" s="3"/>
      <c r="D5867" s="3"/>
    </row>
    <row r="5868" spans="1:4">
      <c r="A5868" s="3"/>
      <c r="D5868" s="3"/>
    </row>
    <row r="5869" spans="1:4">
      <c r="A5869" s="3"/>
      <c r="D5869" s="3"/>
    </row>
    <row r="5870" spans="1:4">
      <c r="A5870" s="3"/>
      <c r="D5870" s="3"/>
    </row>
    <row r="5871" spans="1:4">
      <c r="A5871" s="3"/>
      <c r="D5871" s="3"/>
    </row>
    <row r="5872" spans="1:4">
      <c r="A5872" s="3"/>
      <c r="D5872" s="3"/>
    </row>
    <row r="5873" spans="1:4">
      <c r="A5873" s="3"/>
      <c r="D5873" s="3"/>
    </row>
    <row r="5874" spans="1:4">
      <c r="A5874" s="3"/>
      <c r="D5874" s="3"/>
    </row>
    <row r="5875" spans="1:4">
      <c r="A5875" s="3"/>
      <c r="D5875" s="3"/>
    </row>
    <row r="5876" spans="1:4">
      <c r="A5876" s="3"/>
      <c r="D5876" s="3"/>
    </row>
    <row r="5877" spans="1:4">
      <c r="A5877" s="3"/>
      <c r="D5877" s="3"/>
    </row>
    <row r="5878" spans="1:4">
      <c r="A5878" s="3"/>
      <c r="D5878" s="3"/>
    </row>
    <row r="5879" spans="1:4">
      <c r="A5879" s="3"/>
      <c r="D5879" s="3"/>
    </row>
    <row r="5880" spans="1:4">
      <c r="A5880" s="3"/>
      <c r="D5880" s="3"/>
    </row>
    <row r="5881" spans="1:4">
      <c r="A5881" s="3"/>
      <c r="D5881" s="3"/>
    </row>
    <row r="5882" spans="1:4">
      <c r="A5882" s="3"/>
      <c r="D5882" s="3"/>
    </row>
    <row r="5883" spans="1:4">
      <c r="A5883" s="3"/>
      <c r="D5883" s="3"/>
    </row>
    <row r="5884" spans="1:4">
      <c r="A5884" s="3"/>
      <c r="D5884" s="3"/>
    </row>
    <row r="5885" spans="1:4">
      <c r="A5885" s="3"/>
      <c r="D5885" s="3"/>
    </row>
    <row r="5886" spans="1:4">
      <c r="A5886" s="3"/>
      <c r="D5886" s="3"/>
    </row>
    <row r="5887" spans="1:4">
      <c r="A5887" s="3"/>
      <c r="D5887" s="3"/>
    </row>
    <row r="5888" spans="1:4">
      <c r="A5888" s="3"/>
      <c r="D5888" s="3"/>
    </row>
    <row r="5889" spans="1:4">
      <c r="A5889" s="3"/>
      <c r="D5889" s="3"/>
    </row>
    <row r="5890" spans="1:4">
      <c r="A5890" s="3"/>
      <c r="D5890" s="3"/>
    </row>
    <row r="5891" spans="1:4">
      <c r="A5891" s="3"/>
      <c r="D5891" s="3"/>
    </row>
    <row r="5892" spans="1:4">
      <c r="A5892" s="3"/>
      <c r="D5892" s="3"/>
    </row>
    <row r="5893" spans="1:4">
      <c r="A5893" s="3"/>
      <c r="D5893" s="3"/>
    </row>
    <row r="5894" spans="1:4">
      <c r="A5894" s="3"/>
      <c r="D5894" s="3"/>
    </row>
    <row r="5895" spans="1:4">
      <c r="A5895" s="3"/>
      <c r="D5895" s="3"/>
    </row>
    <row r="5896" spans="1:4">
      <c r="A5896" s="3"/>
      <c r="D5896" s="3"/>
    </row>
    <row r="5897" spans="1:4">
      <c r="A5897" s="3"/>
      <c r="D5897" s="3"/>
    </row>
    <row r="5898" spans="1:4">
      <c r="A5898" s="3"/>
      <c r="D5898" s="3"/>
    </row>
    <row r="5899" spans="1:4">
      <c r="A5899" s="3"/>
      <c r="D5899" s="3"/>
    </row>
    <row r="5900" spans="1:4">
      <c r="A5900" s="3"/>
      <c r="D5900" s="3"/>
    </row>
    <row r="5901" spans="1:4">
      <c r="A5901" s="3"/>
      <c r="D5901" s="3"/>
    </row>
    <row r="5902" spans="1:4">
      <c r="A5902" s="3"/>
      <c r="D5902" s="3"/>
    </row>
    <row r="5903" spans="1:4">
      <c r="A5903" s="3"/>
      <c r="D5903" s="3"/>
    </row>
    <row r="5904" spans="1:4">
      <c r="A5904" s="3"/>
      <c r="D5904" s="3"/>
    </row>
    <row r="5905" spans="1:4">
      <c r="A5905" s="3"/>
      <c r="D5905" s="3"/>
    </row>
    <row r="5906" spans="1:4">
      <c r="A5906" s="3"/>
      <c r="D5906" s="3"/>
    </row>
    <row r="5907" spans="1:4">
      <c r="A5907" s="3"/>
      <c r="D5907" s="3"/>
    </row>
    <row r="5908" spans="1:4">
      <c r="A5908" s="3"/>
      <c r="D5908" s="3"/>
    </row>
    <row r="5909" spans="1:4">
      <c r="A5909" s="3"/>
      <c r="D5909" s="3"/>
    </row>
    <row r="5910" spans="1:4">
      <c r="A5910" s="3"/>
      <c r="D5910" s="3"/>
    </row>
    <row r="5911" spans="1:4">
      <c r="A5911" s="3"/>
      <c r="D5911" s="3"/>
    </row>
    <row r="5912" spans="1:4">
      <c r="A5912" s="3"/>
      <c r="D5912" s="3"/>
    </row>
    <row r="5913" spans="1:4">
      <c r="A5913" s="3"/>
      <c r="D5913" s="3"/>
    </row>
    <row r="5914" spans="1:4">
      <c r="A5914" s="3"/>
      <c r="D5914" s="3"/>
    </row>
    <row r="5915" spans="1:4">
      <c r="A5915" s="3"/>
      <c r="D5915" s="3"/>
    </row>
    <row r="5916" spans="1:4">
      <c r="A5916" s="3"/>
      <c r="D5916" s="3"/>
    </row>
    <row r="5917" spans="1:4">
      <c r="A5917" s="3"/>
      <c r="D5917" s="3"/>
    </row>
    <row r="5918" spans="1:4">
      <c r="A5918" s="3"/>
      <c r="D5918" s="3"/>
    </row>
    <row r="5919" spans="1:4">
      <c r="A5919" s="3"/>
      <c r="D5919" s="3"/>
    </row>
    <row r="5920" spans="1:4">
      <c r="A5920" s="3"/>
      <c r="D5920" s="3"/>
    </row>
    <row r="5921" spans="1:4">
      <c r="A5921" s="3"/>
      <c r="D5921" s="3"/>
    </row>
    <row r="5922" spans="1:4">
      <c r="A5922" s="3"/>
      <c r="D5922" s="3"/>
    </row>
    <row r="5923" spans="1:4">
      <c r="A5923" s="3"/>
      <c r="D5923" s="3"/>
    </row>
    <row r="5924" spans="1:4">
      <c r="A5924" s="3"/>
      <c r="D5924" s="3"/>
    </row>
    <row r="5925" spans="1:4">
      <c r="A5925" s="3"/>
      <c r="D5925" s="3"/>
    </row>
    <row r="5926" spans="1:4">
      <c r="A5926" s="3"/>
      <c r="D5926" s="3"/>
    </row>
    <row r="5927" spans="1:4">
      <c r="A5927" s="3"/>
      <c r="D5927" s="3"/>
    </row>
    <row r="5928" spans="1:4">
      <c r="A5928" s="3"/>
      <c r="D5928" s="3"/>
    </row>
    <row r="5929" spans="1:4">
      <c r="A5929" s="3"/>
      <c r="D5929" s="3"/>
    </row>
    <row r="5930" spans="1:4">
      <c r="A5930" s="3"/>
      <c r="D5930" s="3"/>
    </row>
    <row r="5931" spans="1:4">
      <c r="A5931" s="3"/>
      <c r="D5931" s="3"/>
    </row>
    <row r="5932" spans="1:4">
      <c r="A5932" s="3"/>
      <c r="D5932" s="3"/>
    </row>
    <row r="5933" spans="1:4">
      <c r="A5933" s="3"/>
      <c r="D5933" s="3"/>
    </row>
    <row r="5934" spans="1:4">
      <c r="A5934" s="3"/>
      <c r="D5934" s="3"/>
    </row>
    <row r="5935" spans="1:4">
      <c r="A5935" s="3"/>
      <c r="D5935" s="3"/>
    </row>
    <row r="5936" spans="1:4">
      <c r="A5936" s="3"/>
      <c r="D5936" s="3"/>
    </row>
    <row r="5937" spans="1:4">
      <c r="A5937" s="3"/>
      <c r="D5937" s="3"/>
    </row>
    <row r="5938" spans="1:4">
      <c r="A5938" s="3"/>
      <c r="D5938" s="3"/>
    </row>
    <row r="5939" spans="1:4">
      <c r="A5939" s="3"/>
      <c r="D5939" s="3"/>
    </row>
    <row r="5940" spans="1:4">
      <c r="A5940" s="3"/>
      <c r="D5940" s="3"/>
    </row>
    <row r="5941" spans="1:4">
      <c r="A5941" s="3"/>
      <c r="D5941" s="3"/>
    </row>
    <row r="5942" spans="1:4">
      <c r="A5942" s="3"/>
      <c r="D5942" s="3"/>
    </row>
    <row r="5943" spans="1:4">
      <c r="A5943" s="3"/>
      <c r="D5943" s="3"/>
    </row>
    <row r="5944" spans="1:4">
      <c r="A5944" s="3"/>
      <c r="D5944" s="3"/>
    </row>
    <row r="5945" spans="1:4">
      <c r="A5945" s="3"/>
      <c r="D5945" s="3"/>
    </row>
    <row r="5946" spans="1:4">
      <c r="A5946" s="3"/>
      <c r="D5946" s="3"/>
    </row>
    <row r="5947" spans="1:4">
      <c r="A5947" s="3"/>
      <c r="D5947" s="3"/>
    </row>
    <row r="5948" spans="1:4">
      <c r="A5948" s="3"/>
      <c r="D5948" s="3"/>
    </row>
    <row r="5949" spans="1:4">
      <c r="A5949" s="3"/>
      <c r="D5949" s="3"/>
    </row>
    <row r="5950" spans="1:4">
      <c r="A5950" s="3"/>
      <c r="D5950" s="3"/>
    </row>
    <row r="5951" spans="1:4">
      <c r="A5951" s="3"/>
      <c r="D5951" s="3"/>
    </row>
    <row r="5952" spans="1:4">
      <c r="A5952" s="3"/>
      <c r="D5952" s="3"/>
    </row>
    <row r="5953" spans="1:4">
      <c r="A5953" s="3"/>
      <c r="D5953" s="3"/>
    </row>
    <row r="5954" spans="1:4">
      <c r="A5954" s="3"/>
      <c r="D5954" s="3"/>
    </row>
    <row r="5955" spans="1:4">
      <c r="A5955" s="3"/>
      <c r="D5955" s="3"/>
    </row>
    <row r="5956" spans="1:4">
      <c r="A5956" s="3"/>
      <c r="D5956" s="3"/>
    </row>
    <row r="5957" spans="1:4">
      <c r="A5957" s="3"/>
      <c r="D5957" s="3"/>
    </row>
    <row r="5958" spans="1:4">
      <c r="A5958" s="3"/>
      <c r="D5958" s="3"/>
    </row>
    <row r="5959" spans="1:4">
      <c r="A5959" s="3"/>
      <c r="D5959" s="3"/>
    </row>
    <row r="5960" spans="1:4">
      <c r="A5960" s="3"/>
      <c r="D5960" s="3"/>
    </row>
    <row r="5961" spans="1:4">
      <c r="A5961" s="3"/>
      <c r="D5961" s="3"/>
    </row>
    <row r="5962" spans="1:4">
      <c r="A5962" s="3"/>
      <c r="D5962" s="3"/>
    </row>
    <row r="5963" spans="1:4">
      <c r="A5963" s="3"/>
      <c r="D5963" s="3"/>
    </row>
    <row r="5964" spans="1:4">
      <c r="A5964" s="3"/>
      <c r="D5964" s="3"/>
    </row>
    <row r="5965" spans="1:4">
      <c r="A5965" s="3"/>
      <c r="D5965" s="3"/>
    </row>
    <row r="5966" spans="1:4">
      <c r="A5966" s="3"/>
      <c r="D5966" s="3"/>
    </row>
    <row r="5967" spans="1:4">
      <c r="A5967" s="3"/>
      <c r="D5967" s="3"/>
    </row>
    <row r="5968" spans="1:4">
      <c r="A5968" s="3"/>
      <c r="D5968" s="3"/>
    </row>
    <row r="5969" spans="1:4">
      <c r="A5969" s="3"/>
      <c r="D5969" s="3"/>
    </row>
    <row r="5970" spans="1:4">
      <c r="A5970" s="3"/>
      <c r="D5970" s="3"/>
    </row>
    <row r="5971" spans="1:4">
      <c r="A5971" s="3"/>
      <c r="D5971" s="3"/>
    </row>
    <row r="5972" spans="1:4">
      <c r="A5972" s="3"/>
      <c r="D5972" s="3"/>
    </row>
    <row r="5973" spans="1:4">
      <c r="A5973" s="3"/>
      <c r="D5973" s="3"/>
    </row>
    <row r="5974" spans="1:4">
      <c r="A5974" s="3"/>
      <c r="D5974" s="3"/>
    </row>
    <row r="5975" spans="1:4">
      <c r="A5975" s="3"/>
      <c r="D5975" s="3"/>
    </row>
    <row r="5976" spans="1:4">
      <c r="A5976" s="3"/>
      <c r="D5976" s="3"/>
    </row>
    <row r="5977" spans="1:4">
      <c r="A5977" s="3"/>
      <c r="D5977" s="3"/>
    </row>
    <row r="5978" spans="1:4">
      <c r="A5978" s="3"/>
      <c r="D5978" s="3"/>
    </row>
    <row r="5979" spans="1:4">
      <c r="A5979" s="3"/>
      <c r="D5979" s="3"/>
    </row>
    <row r="5980" spans="1:4">
      <c r="A5980" s="3"/>
      <c r="D5980" s="3"/>
    </row>
    <row r="5981" spans="1:4">
      <c r="A5981" s="3"/>
      <c r="D5981" s="3"/>
    </row>
    <row r="5982" spans="1:4">
      <c r="A5982" s="3"/>
      <c r="D5982" s="3"/>
    </row>
    <row r="5983" spans="1:4">
      <c r="A5983" s="3"/>
      <c r="D5983" s="3"/>
    </row>
    <row r="5984" spans="1:4">
      <c r="A5984" s="3"/>
      <c r="D5984" s="3"/>
    </row>
    <row r="5985" spans="1:4">
      <c r="A5985" s="3"/>
      <c r="D5985" s="3"/>
    </row>
    <row r="5986" spans="1:4">
      <c r="A5986" s="3"/>
      <c r="D5986" s="3"/>
    </row>
    <row r="5987" spans="1:4">
      <c r="A5987" s="3"/>
      <c r="D5987" s="3"/>
    </row>
    <row r="5988" spans="1:4">
      <c r="A5988" s="3"/>
      <c r="D5988" s="3"/>
    </row>
    <row r="5989" spans="1:4">
      <c r="A5989" s="3"/>
      <c r="D5989" s="3"/>
    </row>
    <row r="5990" spans="1:4">
      <c r="A5990" s="3"/>
      <c r="D5990" s="3"/>
    </row>
    <row r="5991" spans="1:4">
      <c r="A5991" s="3"/>
      <c r="D5991" s="3"/>
    </row>
    <row r="5992" spans="1:4">
      <c r="A5992" s="3"/>
      <c r="D5992" s="3"/>
    </row>
    <row r="5993" spans="1:4">
      <c r="A5993" s="3"/>
      <c r="D5993" s="3"/>
    </row>
    <row r="5994" spans="1:4">
      <c r="A5994" s="3"/>
      <c r="D5994" s="3"/>
    </row>
    <row r="5995" spans="1:4">
      <c r="A5995" s="3"/>
      <c r="D5995" s="3"/>
    </row>
    <row r="5996" spans="1:4">
      <c r="A5996" s="3"/>
      <c r="D5996" s="3"/>
    </row>
    <row r="5997" spans="1:4">
      <c r="A5997" s="3"/>
      <c r="D5997" s="3"/>
    </row>
    <row r="5998" spans="1:4">
      <c r="A5998" s="3"/>
      <c r="D5998" s="3"/>
    </row>
    <row r="5999" spans="1:4">
      <c r="A5999" s="3"/>
      <c r="D5999" s="3"/>
    </row>
    <row r="6000" spans="1:4">
      <c r="A6000" s="3"/>
      <c r="D6000" s="3"/>
    </row>
    <row r="6001" spans="1:4">
      <c r="A6001" s="3"/>
      <c r="D6001" s="3"/>
    </row>
    <row r="6002" spans="1:4">
      <c r="A6002" s="3"/>
      <c r="D6002" s="3"/>
    </row>
    <row r="6003" spans="1:4">
      <c r="A6003" s="3"/>
      <c r="D6003" s="3"/>
    </row>
    <row r="6004" spans="1:4">
      <c r="A6004" s="3"/>
      <c r="D6004" s="3"/>
    </row>
    <row r="6005" spans="1:4">
      <c r="A6005" s="3"/>
      <c r="D6005" s="3"/>
    </row>
    <row r="6006" spans="1:4">
      <c r="A6006" s="3"/>
      <c r="D6006" s="3"/>
    </row>
    <row r="6007" spans="1:4">
      <c r="A6007" s="3"/>
      <c r="D6007" s="3"/>
    </row>
    <row r="6008" spans="1:4">
      <c r="A6008" s="3"/>
      <c r="D6008" s="3"/>
    </row>
    <row r="6009" spans="1:4">
      <c r="A6009" s="3"/>
      <c r="D6009" s="3"/>
    </row>
    <row r="6010" spans="1:4">
      <c r="A6010" s="3"/>
      <c r="D6010" s="3"/>
    </row>
    <row r="6011" spans="1:4">
      <c r="A6011" s="3"/>
      <c r="D6011" s="3"/>
    </row>
    <row r="6012" spans="1:4">
      <c r="A6012" s="3"/>
      <c r="D6012" s="3"/>
    </row>
    <row r="6013" spans="1:4">
      <c r="A6013" s="3"/>
      <c r="D6013" s="3"/>
    </row>
    <row r="6014" spans="1:4">
      <c r="A6014" s="3"/>
      <c r="D6014" s="3"/>
    </row>
    <row r="6015" spans="1:4">
      <c r="A6015" s="3"/>
      <c r="D6015" s="3"/>
    </row>
    <row r="6016" spans="1:4">
      <c r="A6016" s="3"/>
      <c r="D6016" s="3"/>
    </row>
    <row r="6017" spans="1:4">
      <c r="A6017" s="3"/>
      <c r="D6017" s="3"/>
    </row>
    <row r="6018" spans="1:4">
      <c r="A6018" s="3"/>
      <c r="D6018" s="3"/>
    </row>
    <row r="6019" spans="1:4">
      <c r="A6019" s="3"/>
      <c r="D6019" s="3"/>
    </row>
    <row r="6020" spans="1:4">
      <c r="A6020" s="3"/>
      <c r="D6020" s="3"/>
    </row>
    <row r="6021" spans="1:4">
      <c r="A6021" s="3"/>
      <c r="D6021" s="3"/>
    </row>
    <row r="6022" spans="1:4">
      <c r="A6022" s="3"/>
      <c r="D6022" s="3"/>
    </row>
    <row r="6023" spans="1:4">
      <c r="A6023" s="3"/>
      <c r="D6023" s="3"/>
    </row>
    <row r="6024" spans="1:4">
      <c r="A6024" s="3"/>
      <c r="D6024" s="3"/>
    </row>
    <row r="6025" spans="1:4">
      <c r="A6025" s="3"/>
      <c r="D6025" s="3"/>
    </row>
    <row r="6026" spans="1:4">
      <c r="A6026" s="3"/>
      <c r="D6026" s="3"/>
    </row>
    <row r="6027" spans="1:4">
      <c r="A6027" s="3"/>
      <c r="D6027" s="3"/>
    </row>
    <row r="6028" spans="1:4">
      <c r="A6028" s="3"/>
      <c r="D6028" s="3"/>
    </row>
    <row r="6029" spans="1:4">
      <c r="A6029" s="3"/>
      <c r="D6029" s="3"/>
    </row>
    <row r="6030" spans="1:4">
      <c r="A6030" s="3"/>
      <c r="D6030" s="3"/>
    </row>
    <row r="6031" spans="1:4">
      <c r="A6031" s="3"/>
      <c r="D6031" s="3"/>
    </row>
    <row r="6032" spans="1:4">
      <c r="A6032" s="3"/>
      <c r="D6032" s="3"/>
    </row>
    <row r="6033" spans="1:4">
      <c r="A6033" s="3"/>
      <c r="D6033" s="3"/>
    </row>
    <row r="6034" spans="1:4">
      <c r="A6034" s="3"/>
      <c r="D6034" s="3"/>
    </row>
    <row r="6035" spans="1:4">
      <c r="A6035" s="3"/>
      <c r="D6035" s="3"/>
    </row>
    <row r="6036" spans="1:4">
      <c r="A6036" s="3"/>
      <c r="D6036" s="3"/>
    </row>
    <row r="6037" spans="1:4">
      <c r="A6037" s="3"/>
      <c r="D6037" s="3"/>
    </row>
    <row r="6038" spans="1:4">
      <c r="A6038" s="3"/>
      <c r="D6038" s="3"/>
    </row>
    <row r="6039" spans="1:4">
      <c r="A6039" s="3"/>
      <c r="D6039" s="3"/>
    </row>
    <row r="6040" spans="1:4">
      <c r="A6040" s="3"/>
      <c r="D6040" s="3"/>
    </row>
    <row r="6041" spans="1:4">
      <c r="A6041" s="3"/>
      <c r="D6041" s="3"/>
    </row>
    <row r="6042" spans="1:4">
      <c r="A6042" s="3"/>
      <c r="D6042" s="3"/>
    </row>
    <row r="6043" spans="1:4">
      <c r="A6043" s="3"/>
      <c r="D6043" s="3"/>
    </row>
    <row r="6044" spans="1:4">
      <c r="A6044" s="3"/>
      <c r="D6044" s="3"/>
    </row>
    <row r="6045" spans="1:4">
      <c r="A6045" s="3"/>
      <c r="D6045" s="3"/>
    </row>
    <row r="6046" spans="1:4">
      <c r="A6046" s="3"/>
      <c r="D6046" s="3"/>
    </row>
    <row r="6047" spans="1:4">
      <c r="A6047" s="3"/>
      <c r="D6047" s="3"/>
    </row>
    <row r="6048" spans="1:4">
      <c r="A6048" s="3"/>
      <c r="D6048" s="3"/>
    </row>
    <row r="6049" spans="1:4">
      <c r="A6049" s="3"/>
      <c r="D6049" s="3"/>
    </row>
    <row r="6050" spans="1:4">
      <c r="A6050" s="3"/>
      <c r="D6050" s="3"/>
    </row>
    <row r="6051" spans="1:4">
      <c r="A6051" s="3"/>
      <c r="D6051" s="3"/>
    </row>
    <row r="6052" spans="1:4">
      <c r="A6052" s="3"/>
      <c r="D6052" s="3"/>
    </row>
    <row r="6053" spans="1:4">
      <c r="A6053" s="3"/>
      <c r="D6053" s="3"/>
    </row>
    <row r="6054" spans="1:4">
      <c r="A6054" s="3"/>
      <c r="D6054" s="3"/>
    </row>
    <row r="6055" spans="1:4">
      <c r="A6055" s="3"/>
      <c r="D6055" s="3"/>
    </row>
    <row r="6056" spans="1:4">
      <c r="A6056" s="3"/>
      <c r="D6056" s="3"/>
    </row>
    <row r="6057" spans="1:4">
      <c r="A6057" s="3"/>
      <c r="D6057" s="3"/>
    </row>
    <row r="6058" spans="1:4">
      <c r="A6058" s="3"/>
      <c r="D6058" s="3"/>
    </row>
    <row r="6059" spans="1:4">
      <c r="A6059" s="3"/>
      <c r="D6059" s="3"/>
    </row>
    <row r="6060" spans="1:4">
      <c r="A6060" s="3"/>
      <c r="D6060" s="3"/>
    </row>
    <row r="6061" spans="1:4">
      <c r="A6061" s="3"/>
      <c r="D6061" s="3"/>
    </row>
    <row r="6062" spans="1:4">
      <c r="A6062" s="3"/>
      <c r="D6062" s="3"/>
    </row>
    <row r="6063" spans="1:4">
      <c r="A6063" s="3"/>
      <c r="D6063" s="3"/>
    </row>
    <row r="6064" spans="1:4">
      <c r="A6064" s="3"/>
      <c r="D6064" s="3"/>
    </row>
    <row r="6065" spans="1:4">
      <c r="A6065" s="3"/>
      <c r="D6065" s="3"/>
    </row>
    <row r="6066" spans="1:4">
      <c r="A6066" s="3"/>
      <c r="D6066" s="3"/>
    </row>
    <row r="6067" spans="1:4">
      <c r="A6067" s="3"/>
      <c r="D6067" s="3"/>
    </row>
    <row r="6068" spans="1:4">
      <c r="A6068" s="3"/>
      <c r="D6068" s="3"/>
    </row>
    <row r="6069" spans="1:4">
      <c r="A6069" s="3"/>
      <c r="D6069" s="3"/>
    </row>
    <row r="6070" spans="1:4">
      <c r="A6070" s="3"/>
      <c r="D6070" s="3"/>
    </row>
    <row r="6071" spans="1:4">
      <c r="A6071" s="3"/>
      <c r="D6071" s="3"/>
    </row>
    <row r="6072" spans="1:4">
      <c r="A6072" s="3"/>
      <c r="D6072" s="3"/>
    </row>
    <row r="6073" spans="1:4">
      <c r="A6073" s="3"/>
      <c r="D6073" s="3"/>
    </row>
    <row r="6074" spans="1:4">
      <c r="A6074" s="3"/>
      <c r="D6074" s="3"/>
    </row>
    <row r="6075" spans="1:4">
      <c r="A6075" s="3"/>
      <c r="D6075" s="3"/>
    </row>
    <row r="6076" spans="1:4">
      <c r="A6076" s="3"/>
      <c r="D6076" s="3"/>
    </row>
    <row r="6077" spans="1:4">
      <c r="A6077" s="3"/>
      <c r="D6077" s="3"/>
    </row>
    <row r="6078" spans="1:4">
      <c r="A6078" s="3"/>
      <c r="D6078" s="3"/>
    </row>
    <row r="6079" spans="1:4">
      <c r="A6079" s="3"/>
      <c r="D6079" s="3"/>
    </row>
    <row r="6080" spans="1:4">
      <c r="A6080" s="3"/>
      <c r="D6080" s="3"/>
    </row>
    <row r="6081" spans="1:4">
      <c r="A6081" s="3"/>
      <c r="D6081" s="3"/>
    </row>
    <row r="6082" spans="1:4">
      <c r="A6082" s="3"/>
      <c r="D6082" s="3"/>
    </row>
    <row r="6083" spans="1:4">
      <c r="A6083" s="3"/>
      <c r="D6083" s="3"/>
    </row>
    <row r="6084" spans="1:4">
      <c r="A6084" s="3"/>
      <c r="D6084" s="3"/>
    </row>
    <row r="6085" spans="1:4">
      <c r="A6085" s="3"/>
      <c r="D6085" s="3"/>
    </row>
    <row r="6086" spans="1:4">
      <c r="A6086" s="3"/>
      <c r="D6086" s="3"/>
    </row>
    <row r="6087" spans="1:4">
      <c r="A6087" s="3"/>
      <c r="D6087" s="3"/>
    </row>
    <row r="6088" spans="1:4">
      <c r="A6088" s="3"/>
      <c r="D6088" s="3"/>
    </row>
    <row r="6089" spans="1:4">
      <c r="A6089" s="3"/>
      <c r="D6089" s="3"/>
    </row>
    <row r="6090" spans="1:4">
      <c r="A6090" s="3"/>
      <c r="D6090" s="3"/>
    </row>
    <row r="6091" spans="1:4">
      <c r="A6091" s="3"/>
      <c r="D6091" s="3"/>
    </row>
    <row r="6092" spans="1:4">
      <c r="A6092" s="3"/>
      <c r="D6092" s="3"/>
    </row>
    <row r="6093" spans="1:4">
      <c r="A6093" s="3"/>
      <c r="D6093" s="3"/>
    </row>
    <row r="6094" spans="1:4">
      <c r="A6094" s="3"/>
      <c r="D6094" s="3"/>
    </row>
    <row r="6095" spans="1:4">
      <c r="A6095" s="3"/>
      <c r="D6095" s="3"/>
    </row>
    <row r="6096" spans="1:4">
      <c r="A6096" s="3"/>
      <c r="D6096" s="3"/>
    </row>
    <row r="6097" spans="1:4">
      <c r="A6097" s="3"/>
      <c r="D6097" s="3"/>
    </row>
    <row r="6098" spans="1:4">
      <c r="A6098" s="3"/>
      <c r="D6098" s="3"/>
    </row>
    <row r="6099" spans="1:4">
      <c r="A6099" s="3"/>
      <c r="D6099" s="3"/>
    </row>
    <row r="6100" spans="1:4">
      <c r="A6100" s="3"/>
      <c r="D6100" s="3"/>
    </row>
    <row r="6101" spans="1:4">
      <c r="A6101" s="3"/>
      <c r="D6101" s="3"/>
    </row>
    <row r="6102" spans="1:4">
      <c r="A6102" s="3"/>
      <c r="D6102" s="3"/>
    </row>
    <row r="6103" spans="1:4">
      <c r="A6103" s="3"/>
      <c r="D6103" s="3"/>
    </row>
    <row r="6104" spans="1:4">
      <c r="A6104" s="3"/>
      <c r="D6104" s="3"/>
    </row>
    <row r="6105" spans="1:4">
      <c r="A6105" s="3"/>
      <c r="D6105" s="3"/>
    </row>
    <row r="6106" spans="1:4">
      <c r="A6106" s="3"/>
      <c r="D6106" s="3"/>
    </row>
    <row r="6107" spans="1:4">
      <c r="A6107" s="3"/>
      <c r="D6107" s="3"/>
    </row>
    <row r="6108" spans="1:4">
      <c r="A6108" s="3"/>
      <c r="D6108" s="3"/>
    </row>
    <row r="6109" spans="1:4">
      <c r="A6109" s="3"/>
      <c r="D6109" s="3"/>
    </row>
    <row r="6110" spans="1:4">
      <c r="A6110" s="3"/>
      <c r="D6110" s="3"/>
    </row>
    <row r="6111" spans="1:4">
      <c r="A6111" s="3"/>
      <c r="D6111" s="3"/>
    </row>
    <row r="6112" spans="1:4">
      <c r="A6112" s="3"/>
      <c r="D6112" s="3"/>
    </row>
    <row r="6113" spans="1:4">
      <c r="A6113" s="3"/>
      <c r="D6113" s="3"/>
    </row>
    <row r="6114" spans="1:4">
      <c r="A6114" s="3"/>
      <c r="D6114" s="3"/>
    </row>
    <row r="6115" spans="1:4">
      <c r="A6115" s="3"/>
      <c r="D6115" s="3"/>
    </row>
    <row r="6116" spans="1:4">
      <c r="A6116" s="3"/>
      <c r="D6116" s="3"/>
    </row>
    <row r="6117" spans="1:4">
      <c r="A6117" s="3"/>
      <c r="D6117" s="3"/>
    </row>
    <row r="6118" spans="1:4">
      <c r="A6118" s="3"/>
      <c r="D6118" s="3"/>
    </row>
    <row r="6119" spans="1:4">
      <c r="A6119" s="3"/>
      <c r="D6119" s="3"/>
    </row>
    <row r="6120" spans="1:4">
      <c r="A6120" s="3"/>
      <c r="D6120" s="3"/>
    </row>
    <row r="6121" spans="1:4">
      <c r="A6121" s="3"/>
      <c r="D6121" s="3"/>
    </row>
    <row r="6122" spans="1:4">
      <c r="A6122" s="3"/>
      <c r="D6122" s="3"/>
    </row>
    <row r="6123" spans="1:4">
      <c r="A6123" s="3"/>
      <c r="D6123" s="3"/>
    </row>
    <row r="6124" spans="1:4">
      <c r="A6124" s="3"/>
      <c r="D6124" s="3"/>
    </row>
    <row r="6125" spans="1:4">
      <c r="A6125" s="3"/>
      <c r="D6125" s="3"/>
    </row>
    <row r="6126" spans="1:4">
      <c r="A6126" s="3"/>
      <c r="D6126" s="3"/>
    </row>
    <row r="6127" spans="1:4">
      <c r="A6127" s="3"/>
      <c r="D6127" s="3"/>
    </row>
    <row r="6128" spans="1:4">
      <c r="A6128" s="3"/>
      <c r="D6128" s="3"/>
    </row>
    <row r="6129" spans="1:4">
      <c r="A6129" s="3"/>
      <c r="D6129" s="3"/>
    </row>
    <row r="6130" spans="1:4">
      <c r="A6130" s="3"/>
      <c r="D6130" s="3"/>
    </row>
    <row r="6131" spans="1:4">
      <c r="A6131" s="3"/>
      <c r="D6131" s="3"/>
    </row>
    <row r="6132" spans="1:4">
      <c r="A6132" s="3"/>
      <c r="D6132" s="3"/>
    </row>
    <row r="6133" spans="1:4">
      <c r="A6133" s="3"/>
      <c r="D6133" s="3"/>
    </row>
    <row r="6134" spans="1:4">
      <c r="A6134" s="3"/>
      <c r="D6134" s="3"/>
    </row>
    <row r="6135" spans="1:4">
      <c r="A6135" s="3"/>
      <c r="D6135" s="3"/>
    </row>
    <row r="6136" spans="1:4">
      <c r="A6136" s="3"/>
      <c r="D6136" s="3"/>
    </row>
    <row r="6137" spans="1:4">
      <c r="A6137" s="3"/>
      <c r="D6137" s="3"/>
    </row>
    <row r="6138" spans="1:4">
      <c r="A6138" s="3"/>
      <c r="D6138" s="3"/>
    </row>
    <row r="6139" spans="1:4">
      <c r="A6139" s="3"/>
      <c r="D6139" s="3"/>
    </row>
    <row r="6140" spans="1:4">
      <c r="A6140" s="3"/>
      <c r="D6140" s="3"/>
    </row>
    <row r="6141" spans="1:4">
      <c r="A6141" s="3"/>
      <c r="D6141" s="3"/>
    </row>
    <row r="6142" spans="1:4">
      <c r="A6142" s="3"/>
      <c r="D6142" s="3"/>
    </row>
    <row r="6143" spans="1:4">
      <c r="A6143" s="3"/>
      <c r="D6143" s="3"/>
    </row>
    <row r="6144" spans="1:4">
      <c r="A6144" s="3"/>
      <c r="D6144" s="3"/>
    </row>
    <row r="6145" spans="1:4">
      <c r="A6145" s="3"/>
      <c r="D6145" s="3"/>
    </row>
    <row r="6146" spans="1:4">
      <c r="A6146" s="3"/>
      <c r="D6146" s="3"/>
    </row>
    <row r="6147" spans="1:4">
      <c r="A6147" s="3"/>
      <c r="D6147" s="3"/>
    </row>
    <row r="6148" spans="1:4">
      <c r="A6148" s="3"/>
      <c r="D6148" s="3"/>
    </row>
    <row r="6149" spans="1:4">
      <c r="A6149" s="3"/>
      <c r="D6149" s="3"/>
    </row>
    <row r="6150" spans="1:4">
      <c r="A6150" s="3"/>
      <c r="D6150" s="3"/>
    </row>
    <row r="6151" spans="1:4">
      <c r="A6151" s="3"/>
      <c r="D6151" s="3"/>
    </row>
    <row r="6152" spans="1:4">
      <c r="A6152" s="3"/>
      <c r="D6152" s="3"/>
    </row>
    <row r="6153" spans="1:4">
      <c r="A6153" s="3"/>
      <c r="D6153" s="3"/>
    </row>
    <row r="6154" spans="1:4">
      <c r="A6154" s="3"/>
      <c r="D6154" s="3"/>
    </row>
    <row r="6155" spans="1:4">
      <c r="A6155" s="3"/>
      <c r="D6155" s="3"/>
    </row>
    <row r="6156" spans="1:4">
      <c r="A6156" s="3"/>
      <c r="D6156" s="3"/>
    </row>
    <row r="6157" spans="1:4">
      <c r="A6157" s="3"/>
      <c r="D6157" s="3"/>
    </row>
    <row r="6158" spans="1:4">
      <c r="A6158" s="3"/>
      <c r="D6158" s="3"/>
    </row>
    <row r="6159" spans="1:4">
      <c r="A6159" s="3"/>
      <c r="D6159" s="3"/>
    </row>
    <row r="6160" spans="1:4">
      <c r="A6160" s="3"/>
      <c r="D6160" s="3"/>
    </row>
    <row r="6161" spans="1:4">
      <c r="A6161" s="3"/>
      <c r="D6161" s="3"/>
    </row>
    <row r="6162" spans="1:4">
      <c r="A6162" s="3"/>
      <c r="D6162" s="3"/>
    </row>
    <row r="6163" spans="1:4">
      <c r="A6163" s="3"/>
      <c r="D6163" s="3"/>
    </row>
    <row r="6164" spans="1:4">
      <c r="A6164" s="3"/>
      <c r="D6164" s="3"/>
    </row>
    <row r="6165" spans="1:4">
      <c r="A6165" s="3"/>
      <c r="D6165" s="3"/>
    </row>
    <row r="6166" spans="1:4">
      <c r="A6166" s="3"/>
      <c r="D6166" s="3"/>
    </row>
    <row r="6167" spans="1:4">
      <c r="A6167" s="3"/>
      <c r="D6167" s="3"/>
    </row>
    <row r="6168" spans="1:4">
      <c r="A6168" s="3"/>
      <c r="D6168" s="3"/>
    </row>
    <row r="6169" spans="1:4">
      <c r="A6169" s="3"/>
      <c r="D6169" s="3"/>
    </row>
    <row r="6170" spans="1:4">
      <c r="A6170" s="3"/>
      <c r="D6170" s="3"/>
    </row>
    <row r="6171" spans="1:4">
      <c r="A6171" s="3"/>
      <c r="D6171" s="3"/>
    </row>
    <row r="6172" spans="1:4">
      <c r="A6172" s="3"/>
      <c r="D6172" s="3"/>
    </row>
    <row r="6173" spans="1:4">
      <c r="A6173" s="3"/>
      <c r="D6173" s="3"/>
    </row>
    <row r="6174" spans="1:4">
      <c r="A6174" s="3"/>
      <c r="D6174" s="3"/>
    </row>
    <row r="6175" spans="1:4">
      <c r="A6175" s="3"/>
      <c r="D6175" s="3"/>
    </row>
    <row r="6176" spans="1:4">
      <c r="A6176" s="3"/>
      <c r="D6176" s="3"/>
    </row>
    <row r="6177" spans="1:4">
      <c r="A6177" s="3"/>
      <c r="D6177" s="3"/>
    </row>
    <row r="6178" spans="1:4">
      <c r="A6178" s="3"/>
      <c r="D6178" s="3"/>
    </row>
    <row r="6179" spans="1:4">
      <c r="A6179" s="3"/>
      <c r="D6179" s="3"/>
    </row>
    <row r="6180" spans="1:4">
      <c r="A6180" s="3"/>
      <c r="D6180" s="3"/>
    </row>
    <row r="6181" spans="1:4">
      <c r="A6181" s="3"/>
      <c r="D6181" s="3"/>
    </row>
    <row r="6182" spans="1:4">
      <c r="A6182" s="3"/>
      <c r="D6182" s="3"/>
    </row>
    <row r="6183" spans="1:4">
      <c r="A6183" s="3"/>
      <c r="D6183" s="3"/>
    </row>
    <row r="6184" spans="1:4">
      <c r="A6184" s="3"/>
      <c r="D6184" s="3"/>
    </row>
    <row r="6185" spans="1:4">
      <c r="A6185" s="3"/>
      <c r="D6185" s="3"/>
    </row>
    <row r="6186" spans="1:4">
      <c r="A6186" s="3"/>
      <c r="D6186" s="3"/>
    </row>
    <row r="6187" spans="1:4">
      <c r="A6187" s="3"/>
      <c r="D6187" s="3"/>
    </row>
    <row r="6188" spans="1:4">
      <c r="A6188" s="3"/>
      <c r="D6188" s="3"/>
    </row>
    <row r="6189" spans="1:4">
      <c r="A6189" s="3"/>
      <c r="D6189" s="3"/>
    </row>
    <row r="6190" spans="1:4">
      <c r="A6190" s="3"/>
      <c r="D6190" s="3"/>
    </row>
    <row r="6191" spans="1:4">
      <c r="A6191" s="3"/>
      <c r="D6191" s="3"/>
    </row>
    <row r="6192" spans="1:4">
      <c r="A6192" s="3"/>
      <c r="D6192" s="3"/>
    </row>
    <row r="6193" spans="1:4">
      <c r="A6193" s="3"/>
      <c r="D6193" s="3"/>
    </row>
    <row r="6194" spans="1:4">
      <c r="A6194" s="3"/>
      <c r="D6194" s="3"/>
    </row>
    <row r="6195" spans="1:4">
      <c r="A6195" s="3"/>
      <c r="D6195" s="3"/>
    </row>
    <row r="6196" spans="1:4">
      <c r="A6196" s="3"/>
      <c r="D6196" s="3"/>
    </row>
    <row r="6197" spans="1:4">
      <c r="A6197" s="3"/>
      <c r="D6197" s="3"/>
    </row>
    <row r="6198" spans="1:4">
      <c r="A6198" s="3"/>
      <c r="D6198" s="3"/>
    </row>
    <row r="6199" spans="1:4">
      <c r="A6199" s="3"/>
      <c r="D6199" s="3"/>
    </row>
    <row r="6200" spans="1:4">
      <c r="A6200" s="3"/>
      <c r="D6200" s="3"/>
    </row>
    <row r="6201" spans="1:4">
      <c r="A6201" s="3"/>
      <c r="D6201" s="3"/>
    </row>
    <row r="6202" spans="1:4">
      <c r="A6202" s="3"/>
      <c r="D6202" s="3"/>
    </row>
    <row r="6203" spans="1:4">
      <c r="A6203" s="3"/>
      <c r="D6203" s="3"/>
    </row>
    <row r="6204" spans="1:4">
      <c r="A6204" s="3"/>
      <c r="D6204" s="3"/>
    </row>
    <row r="6205" spans="1:4">
      <c r="A6205" s="3"/>
      <c r="D6205" s="3"/>
    </row>
    <row r="6206" spans="1:4">
      <c r="A6206" s="3"/>
      <c r="D6206" s="3"/>
    </row>
    <row r="6207" spans="1:4">
      <c r="A6207" s="3"/>
      <c r="D6207" s="3"/>
    </row>
    <row r="6208" spans="1:4">
      <c r="A6208" s="3"/>
      <c r="D6208" s="3"/>
    </row>
    <row r="6209" spans="1:4">
      <c r="A6209" s="3"/>
      <c r="D6209" s="3"/>
    </row>
    <row r="6210" spans="1:4">
      <c r="A6210" s="3"/>
      <c r="D6210" s="3"/>
    </row>
    <row r="6211" spans="1:4">
      <c r="A6211" s="3"/>
      <c r="D6211" s="3"/>
    </row>
    <row r="6212" spans="1:4">
      <c r="A6212" s="3"/>
      <c r="D6212" s="3"/>
    </row>
    <row r="6213" spans="1:4">
      <c r="A6213" s="3"/>
      <c r="D6213" s="3"/>
    </row>
    <row r="6214" spans="1:4">
      <c r="A6214" s="3"/>
      <c r="D6214" s="3"/>
    </row>
    <row r="6215" spans="1:4">
      <c r="A6215" s="3"/>
      <c r="D6215" s="3"/>
    </row>
    <row r="6216" spans="1:4">
      <c r="A6216" s="3"/>
      <c r="D6216" s="3"/>
    </row>
    <row r="6217" spans="1:4">
      <c r="A6217" s="3"/>
      <c r="D6217" s="3"/>
    </row>
    <row r="6218" spans="1:4">
      <c r="A6218" s="3"/>
      <c r="D6218" s="3"/>
    </row>
    <row r="6219" spans="1:4">
      <c r="A6219" s="3"/>
      <c r="D6219" s="3"/>
    </row>
    <row r="6220" spans="1:4">
      <c r="A6220" s="3"/>
      <c r="D6220" s="3"/>
    </row>
    <row r="6221" spans="1:4">
      <c r="A6221" s="3"/>
      <c r="D6221" s="3"/>
    </row>
    <row r="6222" spans="1:4">
      <c r="A6222" s="3"/>
      <c r="D6222" s="3"/>
    </row>
    <row r="6223" spans="1:4">
      <c r="A6223" s="3"/>
      <c r="D6223" s="3"/>
    </row>
    <row r="6224" spans="1:4">
      <c r="A6224" s="3"/>
      <c r="D6224" s="3"/>
    </row>
    <row r="6225" spans="1:4">
      <c r="A6225" s="3"/>
      <c r="D6225" s="3"/>
    </row>
    <row r="6226" spans="1:4">
      <c r="A6226" s="3"/>
      <c r="D6226" s="3"/>
    </row>
    <row r="6227" spans="1:4">
      <c r="A6227" s="3"/>
      <c r="D6227" s="3"/>
    </row>
    <row r="6228" spans="1:4">
      <c r="A6228" s="3"/>
      <c r="D6228" s="3"/>
    </row>
    <row r="6229" spans="1:4">
      <c r="A6229" s="3"/>
      <c r="D6229" s="3"/>
    </row>
    <row r="6230" spans="1:4">
      <c r="A6230" s="3"/>
      <c r="D6230" s="3"/>
    </row>
    <row r="6231" spans="1:4">
      <c r="A6231" s="3"/>
      <c r="D6231" s="3"/>
    </row>
    <row r="6232" spans="1:4">
      <c r="A6232" s="3"/>
      <c r="D6232" s="3"/>
    </row>
    <row r="6233" spans="1:4">
      <c r="A6233" s="3"/>
      <c r="D6233" s="3"/>
    </row>
    <row r="6234" spans="1:4">
      <c r="A6234" s="3"/>
      <c r="D6234" s="3"/>
    </row>
    <row r="6235" spans="1:4">
      <c r="A6235" s="3"/>
      <c r="D6235" s="3"/>
    </row>
    <row r="6236" spans="1:4">
      <c r="A6236" s="3"/>
      <c r="D6236" s="3"/>
    </row>
    <row r="6237" spans="1:4">
      <c r="A6237" s="3"/>
      <c r="D6237" s="3"/>
    </row>
    <row r="6238" spans="1:4">
      <c r="A6238" s="3"/>
      <c r="D6238" s="3"/>
    </row>
    <row r="6239" spans="1:4">
      <c r="A6239" s="3"/>
      <c r="D6239" s="3"/>
    </row>
    <row r="6240" spans="1:4">
      <c r="A6240" s="3"/>
      <c r="D6240" s="3"/>
    </row>
    <row r="6241" spans="1:4">
      <c r="A6241" s="3"/>
      <c r="D6241" s="3"/>
    </row>
    <row r="6242" spans="1:4">
      <c r="A6242" s="3"/>
      <c r="D6242" s="3"/>
    </row>
    <row r="6243" spans="1:4">
      <c r="A6243" s="3"/>
      <c r="D6243" s="3"/>
    </row>
    <row r="6244" spans="1:4">
      <c r="A6244" s="3"/>
      <c r="D6244" s="3"/>
    </row>
    <row r="6245" spans="1:4">
      <c r="A6245" s="3"/>
      <c r="D6245" s="3"/>
    </row>
    <row r="6246" spans="1:4">
      <c r="A6246" s="3"/>
      <c r="D6246" s="3"/>
    </row>
    <row r="6247" spans="1:4">
      <c r="A6247" s="3"/>
      <c r="D6247" s="3"/>
    </row>
    <row r="6248" spans="1:4">
      <c r="A6248" s="3"/>
      <c r="D6248" s="3"/>
    </row>
    <row r="6249" spans="1:4">
      <c r="A6249" s="3"/>
      <c r="D6249" s="3"/>
    </row>
    <row r="6250" spans="1:4">
      <c r="A6250" s="3"/>
      <c r="D6250" s="3"/>
    </row>
    <row r="6251" spans="1:4">
      <c r="A6251" s="3"/>
      <c r="D6251" s="3"/>
    </row>
    <row r="6252" spans="1:4">
      <c r="A6252" s="3"/>
      <c r="D6252" s="3"/>
    </row>
    <row r="6253" spans="1:4">
      <c r="A6253" s="3"/>
      <c r="D6253" s="3"/>
    </row>
    <row r="6254" spans="1:4">
      <c r="A6254" s="3"/>
      <c r="D6254" s="3"/>
    </row>
    <row r="6255" spans="1:4">
      <c r="A6255" s="3"/>
      <c r="D6255" s="3"/>
    </row>
    <row r="6256" spans="1:4">
      <c r="A6256" s="3"/>
      <c r="D6256" s="3"/>
    </row>
    <row r="6257" spans="1:4">
      <c r="A6257" s="3"/>
      <c r="D6257" s="3"/>
    </row>
    <row r="6258" spans="1:4">
      <c r="A6258" s="3"/>
      <c r="D6258" s="3"/>
    </row>
    <row r="6259" spans="1:4">
      <c r="A6259" s="3"/>
      <c r="D6259" s="3"/>
    </row>
    <row r="6260" spans="1:4">
      <c r="A6260" s="3"/>
      <c r="D6260" s="3"/>
    </row>
    <row r="6261" spans="1:4">
      <c r="A6261" s="3"/>
      <c r="D6261" s="3"/>
    </row>
    <row r="6262" spans="1:4">
      <c r="A6262" s="3"/>
      <c r="D6262" s="3"/>
    </row>
    <row r="6263" spans="1:4">
      <c r="A6263" s="3"/>
      <c r="D6263" s="3"/>
    </row>
    <row r="6264" spans="1:4">
      <c r="A6264" s="3"/>
      <c r="D6264" s="3"/>
    </row>
    <row r="6265" spans="1:4">
      <c r="A6265" s="3"/>
      <c r="D6265" s="3"/>
    </row>
    <row r="6266" spans="1:4">
      <c r="A6266" s="3"/>
      <c r="D6266" s="3"/>
    </row>
    <row r="6267" spans="1:4">
      <c r="A6267" s="3"/>
      <c r="D6267" s="3"/>
    </row>
    <row r="6268" spans="1:4">
      <c r="A6268" s="3"/>
      <c r="D6268" s="3"/>
    </row>
    <row r="6269" spans="1:4">
      <c r="A6269" s="3"/>
      <c r="D6269" s="3"/>
    </row>
    <row r="6270" spans="1:4">
      <c r="A6270" s="3"/>
      <c r="D6270" s="3"/>
    </row>
    <row r="6271" spans="1:4">
      <c r="A6271" s="3"/>
      <c r="D6271" s="3"/>
    </row>
    <row r="6272" spans="1:4">
      <c r="A6272" s="3"/>
      <c r="D6272" s="3"/>
    </row>
    <row r="6273" spans="1:4">
      <c r="A6273" s="3"/>
      <c r="D6273" s="3"/>
    </row>
    <row r="6274" spans="1:4">
      <c r="A6274" s="3"/>
      <c r="D6274" s="3"/>
    </row>
    <row r="6275" spans="1:4">
      <c r="A6275" s="3"/>
      <c r="D6275" s="3"/>
    </row>
    <row r="6276" spans="1:4">
      <c r="A6276" s="3"/>
      <c r="D6276" s="3"/>
    </row>
    <row r="6277" spans="1:4">
      <c r="A6277" s="3"/>
      <c r="D6277" s="3"/>
    </row>
    <row r="6278" spans="1:4">
      <c r="A6278" s="3"/>
      <c r="D6278" s="3"/>
    </row>
    <row r="6279" spans="1:4">
      <c r="A6279" s="3"/>
      <c r="D6279" s="3"/>
    </row>
    <row r="6280" spans="1:4">
      <c r="A6280" s="3"/>
      <c r="D6280" s="3"/>
    </row>
    <row r="6281" spans="1:4">
      <c r="A6281" s="3"/>
      <c r="D6281" s="3"/>
    </row>
    <row r="6282" spans="1:4">
      <c r="A6282" s="3"/>
      <c r="D6282" s="3"/>
    </row>
    <row r="6283" spans="1:4">
      <c r="A6283" s="3"/>
      <c r="D6283" s="3"/>
    </row>
    <row r="6284" spans="1:4">
      <c r="A6284" s="3"/>
      <c r="D6284" s="3"/>
    </row>
    <row r="6285" spans="1:4">
      <c r="A6285" s="3"/>
      <c r="D6285" s="3"/>
    </row>
    <row r="6286" spans="1:4">
      <c r="A6286" s="3"/>
      <c r="D6286" s="3"/>
    </row>
    <row r="6287" spans="1:4">
      <c r="A6287" s="3"/>
      <c r="D6287" s="3"/>
    </row>
    <row r="6288" spans="1:4">
      <c r="A6288" s="3"/>
      <c r="D6288" s="3"/>
    </row>
    <row r="6289" spans="1:4">
      <c r="A6289" s="3"/>
      <c r="D6289" s="3"/>
    </row>
    <row r="6290" spans="1:4">
      <c r="A6290" s="3"/>
      <c r="D6290" s="3"/>
    </row>
    <row r="6291" spans="1:4">
      <c r="A6291" s="3"/>
      <c r="D6291" s="3"/>
    </row>
    <row r="6292" spans="1:4">
      <c r="A6292" s="3"/>
      <c r="D6292" s="3"/>
    </row>
    <row r="6293" spans="1:4">
      <c r="A6293" s="3"/>
      <c r="D6293" s="3"/>
    </row>
    <row r="6294" spans="1:4">
      <c r="A6294" s="3"/>
      <c r="D6294" s="3"/>
    </row>
    <row r="6295" spans="1:4">
      <c r="A6295" s="3"/>
      <c r="D6295" s="3"/>
    </row>
    <row r="6296" spans="1:4">
      <c r="A6296" s="3"/>
      <c r="D6296" s="3"/>
    </row>
    <row r="6297" spans="1:4">
      <c r="A6297" s="3"/>
      <c r="D6297" s="3"/>
    </row>
    <row r="6298" spans="1:4">
      <c r="A6298" s="3"/>
      <c r="D6298" s="3"/>
    </row>
    <row r="6299" spans="1:4">
      <c r="A6299" s="3"/>
      <c r="D6299" s="3"/>
    </row>
    <row r="6300" spans="1:4">
      <c r="A6300" s="3"/>
      <c r="D6300" s="3"/>
    </row>
    <row r="6301" spans="1:4">
      <c r="A6301" s="3"/>
      <c r="D6301" s="3"/>
    </row>
    <row r="6302" spans="1:4">
      <c r="A6302" s="3"/>
      <c r="D6302" s="3"/>
    </row>
    <row r="6303" spans="1:4">
      <c r="A6303" s="3"/>
      <c r="D6303" s="3"/>
    </row>
    <row r="6304" spans="1:4">
      <c r="A6304" s="3"/>
      <c r="D6304" s="3"/>
    </row>
    <row r="6305" spans="1:4">
      <c r="A6305" s="3"/>
      <c r="D6305" s="3"/>
    </row>
    <row r="6306" spans="1:4">
      <c r="A6306" s="3"/>
      <c r="D6306" s="3"/>
    </row>
    <row r="6307" spans="1:4">
      <c r="A6307" s="3"/>
      <c r="D6307" s="3"/>
    </row>
    <row r="6308" spans="1:4">
      <c r="A6308" s="3"/>
      <c r="D6308" s="3"/>
    </row>
    <row r="6309" spans="1:4">
      <c r="A6309" s="3"/>
      <c r="D6309" s="3"/>
    </row>
    <row r="6310" spans="1:4">
      <c r="A6310" s="3"/>
      <c r="D6310" s="3"/>
    </row>
    <row r="6311" spans="1:4">
      <c r="A6311" s="3"/>
      <c r="D6311" s="3"/>
    </row>
    <row r="6312" spans="1:4">
      <c r="A6312" s="3"/>
      <c r="D6312" s="3"/>
    </row>
    <row r="6313" spans="1:4">
      <c r="A6313" s="3"/>
      <c r="D6313" s="3"/>
    </row>
    <row r="6314" spans="1:4">
      <c r="A6314" s="3"/>
      <c r="D6314" s="3"/>
    </row>
    <row r="6315" spans="1:4">
      <c r="A6315" s="3"/>
      <c r="D6315" s="3"/>
    </row>
    <row r="6316" spans="1:4">
      <c r="A6316" s="3"/>
      <c r="D6316" s="3"/>
    </row>
    <row r="6317" spans="1:4">
      <c r="A6317" s="3"/>
      <c r="D6317" s="3"/>
    </row>
    <row r="6318" spans="1:4">
      <c r="A6318" s="3"/>
      <c r="D6318" s="3"/>
    </row>
    <row r="6319" spans="1:4">
      <c r="A6319" s="3"/>
      <c r="D6319" s="3"/>
    </row>
    <row r="6320" spans="1:4">
      <c r="A6320" s="3"/>
      <c r="D6320" s="3"/>
    </row>
    <row r="6321" spans="1:4">
      <c r="A6321" s="3"/>
      <c r="D6321" s="3"/>
    </row>
    <row r="6322" spans="1:4">
      <c r="A6322" s="3"/>
      <c r="D6322" s="3"/>
    </row>
    <row r="6323" spans="1:4">
      <c r="A6323" s="3"/>
      <c r="D6323" s="3"/>
    </row>
    <row r="6324" spans="1:4">
      <c r="A6324" s="3"/>
      <c r="D6324" s="3"/>
    </row>
    <row r="6325" spans="1:4">
      <c r="A6325" s="3"/>
      <c r="D6325" s="3"/>
    </row>
    <row r="6326" spans="1:4">
      <c r="A6326" s="3"/>
      <c r="D6326" s="3"/>
    </row>
    <row r="6327" spans="1:4">
      <c r="A6327" s="3"/>
      <c r="D6327" s="3"/>
    </row>
    <row r="6328" spans="1:4">
      <c r="A6328" s="3"/>
      <c r="D6328" s="3"/>
    </row>
    <row r="6329" spans="1:4">
      <c r="A6329" s="3"/>
      <c r="D6329" s="3"/>
    </row>
    <row r="6330" spans="1:4">
      <c r="A6330" s="3"/>
      <c r="D6330" s="3"/>
    </row>
    <row r="6331" spans="1:4">
      <c r="A6331" s="3"/>
      <c r="D6331" s="3"/>
    </row>
    <row r="6332" spans="1:4">
      <c r="A6332" s="3"/>
      <c r="D6332" s="3"/>
    </row>
    <row r="6333" spans="1:4">
      <c r="A6333" s="3"/>
      <c r="D6333" s="3"/>
    </row>
    <row r="6334" spans="1:4">
      <c r="A6334" s="3"/>
      <c r="D6334" s="3"/>
    </row>
    <row r="6335" spans="1:4">
      <c r="A6335" s="3"/>
      <c r="D6335" s="3"/>
    </row>
    <row r="6336" spans="1:4">
      <c r="A6336" s="3"/>
      <c r="D6336" s="3"/>
    </row>
    <row r="6337" spans="1:4">
      <c r="A6337" s="3"/>
      <c r="D6337" s="3"/>
    </row>
    <row r="6338" spans="1:4">
      <c r="A6338" s="3"/>
      <c r="D6338" s="3"/>
    </row>
    <row r="6339" spans="1:4">
      <c r="A6339" s="3"/>
      <c r="D6339" s="3"/>
    </row>
    <row r="6340" spans="1:4">
      <c r="A6340" s="3"/>
      <c r="D6340" s="3"/>
    </row>
    <row r="6341" spans="1:4">
      <c r="A6341" s="3"/>
      <c r="D6341" s="3"/>
    </row>
    <row r="6342" spans="1:4">
      <c r="A6342" s="3"/>
      <c r="D6342" s="3"/>
    </row>
    <row r="6343" spans="1:4">
      <c r="A6343" s="3"/>
      <c r="D6343" s="3"/>
    </row>
    <row r="6344" spans="1:4">
      <c r="A6344" s="3"/>
      <c r="D6344" s="3"/>
    </row>
    <row r="6345" spans="1:4">
      <c r="A6345" s="3"/>
      <c r="D6345" s="3"/>
    </row>
    <row r="6346" spans="1:4">
      <c r="A6346" s="3"/>
      <c r="D6346" s="3"/>
    </row>
    <row r="6347" spans="1:4">
      <c r="A6347" s="3"/>
      <c r="D6347" s="3"/>
    </row>
    <row r="6348" spans="1:4">
      <c r="A6348" s="3"/>
      <c r="D6348" s="3"/>
    </row>
    <row r="6349" spans="1:4">
      <c r="A6349" s="3"/>
      <c r="D6349" s="3"/>
    </row>
    <row r="6350" spans="1:4">
      <c r="A6350" s="3"/>
      <c r="D6350" s="3"/>
    </row>
    <row r="6351" spans="1:4">
      <c r="A6351" s="3"/>
      <c r="D6351" s="3"/>
    </row>
    <row r="6352" spans="1:4">
      <c r="A6352" s="3"/>
      <c r="D6352" s="3"/>
    </row>
    <row r="6353" spans="1:4">
      <c r="A6353" s="3"/>
      <c r="D6353" s="3"/>
    </row>
    <row r="6354" spans="1:4">
      <c r="A6354" s="3"/>
      <c r="D6354" s="3"/>
    </row>
    <row r="6355" spans="1:4">
      <c r="A6355" s="3"/>
      <c r="D6355" s="3"/>
    </row>
    <row r="6356" spans="1:4">
      <c r="A6356" s="3"/>
      <c r="D6356" s="3"/>
    </row>
    <row r="6357" spans="1:4">
      <c r="A6357" s="3"/>
      <c r="D6357" s="3"/>
    </row>
    <row r="6358" spans="1:4">
      <c r="A6358" s="3"/>
      <c r="D6358" s="3"/>
    </row>
    <row r="6359" spans="1:4">
      <c r="A6359" s="3"/>
      <c r="D6359" s="3"/>
    </row>
    <row r="6360" spans="1:4">
      <c r="A6360" s="3"/>
      <c r="D6360" s="3"/>
    </row>
    <row r="6361" spans="1:4">
      <c r="A6361" s="3"/>
      <c r="D6361" s="3"/>
    </row>
    <row r="6362" spans="1:4">
      <c r="A6362" s="3"/>
      <c r="D6362" s="3"/>
    </row>
    <row r="6363" spans="1:4">
      <c r="A6363" s="3"/>
      <c r="D6363" s="3"/>
    </row>
    <row r="6364" spans="1:4">
      <c r="A6364" s="3"/>
      <c r="D6364" s="3"/>
    </row>
    <row r="6365" spans="1:4">
      <c r="A6365" s="3"/>
      <c r="D6365" s="3"/>
    </row>
    <row r="6366" spans="1:4">
      <c r="A6366" s="3"/>
      <c r="D6366" s="3"/>
    </row>
    <row r="6367" spans="1:4">
      <c r="A6367" s="3"/>
      <c r="D6367" s="3"/>
    </row>
    <row r="6368" spans="1:4">
      <c r="A6368" s="3"/>
      <c r="D6368" s="3"/>
    </row>
    <row r="6369" spans="1:4">
      <c r="A6369" s="3"/>
      <c r="D6369" s="3"/>
    </row>
    <row r="6370" spans="1:4">
      <c r="A6370" s="3"/>
      <c r="D6370" s="3"/>
    </row>
    <row r="6371" spans="1:4">
      <c r="A6371" s="3"/>
      <c r="D6371" s="3"/>
    </row>
    <row r="6372" spans="1:4">
      <c r="A6372" s="3"/>
      <c r="D6372" s="3"/>
    </row>
    <row r="6373" spans="1:4">
      <c r="A6373" s="3"/>
      <c r="D6373" s="3"/>
    </row>
    <row r="6374" spans="1:4">
      <c r="A6374" s="3"/>
      <c r="D6374" s="3"/>
    </row>
    <row r="6375" spans="1:4">
      <c r="A6375" s="3"/>
      <c r="D6375" s="3"/>
    </row>
    <row r="6376" spans="1:4">
      <c r="A6376" s="3"/>
      <c r="D6376" s="3"/>
    </row>
    <row r="6377" spans="1:4">
      <c r="A6377" s="3"/>
      <c r="D6377" s="3"/>
    </row>
    <row r="6378" spans="1:4">
      <c r="A6378" s="3"/>
      <c r="D6378" s="3"/>
    </row>
    <row r="6379" spans="1:4">
      <c r="A6379" s="3"/>
      <c r="D6379" s="3"/>
    </row>
    <row r="6380" spans="1:4">
      <c r="A6380" s="3"/>
      <c r="D6380" s="3"/>
    </row>
    <row r="6381" spans="1:4">
      <c r="A6381" s="3"/>
      <c r="D6381" s="3"/>
    </row>
    <row r="6382" spans="1:4">
      <c r="A6382" s="3"/>
      <c r="D6382" s="3"/>
    </row>
    <row r="6383" spans="1:4">
      <c r="A6383" s="3"/>
      <c r="D6383" s="3"/>
    </row>
    <row r="6384" spans="1:4">
      <c r="A6384" s="3"/>
      <c r="D6384" s="3"/>
    </row>
    <row r="6385" spans="1:4">
      <c r="A6385" s="3"/>
      <c r="D6385" s="3"/>
    </row>
    <row r="6386" spans="1:4">
      <c r="A6386" s="3"/>
      <c r="D6386" s="3"/>
    </row>
    <row r="6387" spans="1:4">
      <c r="A6387" s="3"/>
      <c r="D6387" s="3"/>
    </row>
    <row r="6388" spans="1:4">
      <c r="A6388" s="3"/>
      <c r="D6388" s="3"/>
    </row>
    <row r="6389" spans="1:4">
      <c r="A6389" s="3"/>
      <c r="D6389" s="3"/>
    </row>
    <row r="6390" spans="1:4">
      <c r="A6390" s="3"/>
      <c r="D6390" s="3"/>
    </row>
    <row r="6391" spans="1:4">
      <c r="A6391" s="3"/>
      <c r="D6391" s="3"/>
    </row>
    <row r="6392" spans="1:4">
      <c r="A6392" s="3"/>
      <c r="D6392" s="3"/>
    </row>
    <row r="6393" spans="1:4">
      <c r="A6393" s="3"/>
      <c r="D6393" s="3"/>
    </row>
    <row r="6394" spans="1:4">
      <c r="A6394" s="3"/>
      <c r="D6394" s="3"/>
    </row>
    <row r="6395" spans="1:4">
      <c r="A6395" s="3"/>
      <c r="D6395" s="3"/>
    </row>
    <row r="6396" spans="1:4">
      <c r="A6396" s="3"/>
      <c r="D6396" s="3"/>
    </row>
    <row r="6397" spans="1:4">
      <c r="A6397" s="3"/>
      <c r="D6397" s="3"/>
    </row>
    <row r="6398" spans="1:4">
      <c r="A6398" s="3"/>
      <c r="D6398" s="3"/>
    </row>
    <row r="6399" spans="1:4">
      <c r="A6399" s="3"/>
      <c r="D6399" s="3"/>
    </row>
    <row r="6400" spans="1:4">
      <c r="A6400" s="3"/>
      <c r="D6400" s="3"/>
    </row>
    <row r="6401" spans="1:4">
      <c r="A6401" s="3"/>
      <c r="D6401" s="3"/>
    </row>
    <row r="6402" spans="1:4">
      <c r="A6402" s="3"/>
      <c r="D6402" s="3"/>
    </row>
    <row r="6403" spans="1:4">
      <c r="A6403" s="3"/>
      <c r="D6403" s="3"/>
    </row>
    <row r="6404" spans="1:4">
      <c r="A6404" s="3"/>
      <c r="D6404" s="3"/>
    </row>
    <row r="6405" spans="1:4">
      <c r="A6405" s="3"/>
      <c r="D6405" s="3"/>
    </row>
    <row r="6406" spans="1:4">
      <c r="A6406" s="3"/>
      <c r="D6406" s="3"/>
    </row>
    <row r="6407" spans="1:4">
      <c r="A6407" s="3"/>
      <c r="D6407" s="3"/>
    </row>
    <row r="6408" spans="1:4">
      <c r="A6408" s="3"/>
      <c r="D6408" s="3"/>
    </row>
    <row r="6409" spans="1:4">
      <c r="A6409" s="3"/>
      <c r="D6409" s="3"/>
    </row>
    <row r="6410" spans="1:4">
      <c r="A6410" s="3"/>
      <c r="D6410" s="3"/>
    </row>
    <row r="6411" spans="1:4">
      <c r="A6411" s="3"/>
      <c r="D6411" s="3"/>
    </row>
    <row r="6412" spans="1:4">
      <c r="A6412" s="3"/>
      <c r="D6412" s="3"/>
    </row>
    <row r="6413" spans="1:4">
      <c r="A6413" s="3"/>
      <c r="D6413" s="3"/>
    </row>
    <row r="6414" spans="1:4">
      <c r="A6414" s="3"/>
      <c r="D6414" s="3"/>
    </row>
    <row r="6415" spans="1:4">
      <c r="A6415" s="3"/>
      <c r="D6415" s="3"/>
    </row>
    <row r="6416" spans="1:4">
      <c r="A6416" s="3"/>
      <c r="D6416" s="3"/>
    </row>
    <row r="6417" spans="1:4">
      <c r="A6417" s="3"/>
      <c r="D6417" s="3"/>
    </row>
    <row r="6418" spans="1:4">
      <c r="A6418" s="3"/>
      <c r="D6418" s="3"/>
    </row>
    <row r="6419" spans="1:4">
      <c r="A6419" s="3"/>
      <c r="D6419" s="3"/>
    </row>
    <row r="6420" spans="1:4">
      <c r="A6420" s="3"/>
      <c r="D6420" s="3"/>
    </row>
    <row r="6421" spans="1:4">
      <c r="A6421" s="3"/>
      <c r="D6421" s="3"/>
    </row>
    <row r="6422" spans="1:4">
      <c r="A6422" s="3"/>
      <c r="D6422" s="3"/>
    </row>
    <row r="6423" spans="1:4">
      <c r="A6423" s="3"/>
      <c r="D6423" s="3"/>
    </row>
    <row r="6424" spans="1:4">
      <c r="A6424" s="3"/>
      <c r="D6424" s="3"/>
    </row>
    <row r="6425" spans="1:4">
      <c r="A6425" s="3"/>
      <c r="D6425" s="3"/>
    </row>
    <row r="6426" spans="1:4">
      <c r="A6426" s="3"/>
      <c r="D6426" s="3"/>
    </row>
    <row r="6427" spans="1:4">
      <c r="A6427" s="3"/>
      <c r="D6427" s="3"/>
    </row>
    <row r="6428" spans="1:4">
      <c r="A6428" s="3"/>
      <c r="D6428" s="3"/>
    </row>
    <row r="6429" spans="1:4">
      <c r="A6429" s="3"/>
      <c r="D6429" s="3"/>
    </row>
    <row r="6430" spans="1:4">
      <c r="A6430" s="3"/>
      <c r="D6430" s="3"/>
    </row>
    <row r="6431" spans="1:4">
      <c r="A6431" s="3"/>
      <c r="D6431" s="3"/>
    </row>
    <row r="6432" spans="1:4">
      <c r="A6432" s="3"/>
      <c r="D6432" s="3"/>
    </row>
    <row r="6433" spans="1:4">
      <c r="A6433" s="3"/>
      <c r="D6433" s="3"/>
    </row>
    <row r="6434" spans="1:4">
      <c r="A6434" s="3"/>
      <c r="D6434" s="3"/>
    </row>
    <row r="6435" spans="1:4">
      <c r="A6435" s="3"/>
      <c r="D6435" s="3"/>
    </row>
    <row r="6436" spans="1:4">
      <c r="A6436" s="3"/>
      <c r="D6436" s="3"/>
    </row>
    <row r="6437" spans="1:4">
      <c r="A6437" s="3"/>
      <c r="D6437" s="3"/>
    </row>
    <row r="6438" spans="1:4">
      <c r="A6438" s="3"/>
      <c r="D6438" s="3"/>
    </row>
    <row r="6439" spans="1:4">
      <c r="A6439" s="3"/>
      <c r="D6439" s="3"/>
    </row>
    <row r="6440" spans="1:4">
      <c r="A6440" s="3"/>
      <c r="D6440" s="3"/>
    </row>
    <row r="6441" spans="1:4">
      <c r="A6441" s="3"/>
      <c r="D6441" s="3"/>
    </row>
    <row r="6442" spans="1:4">
      <c r="A6442" s="3"/>
      <c r="D6442" s="3"/>
    </row>
    <row r="6443" spans="1:4">
      <c r="A6443" s="3"/>
      <c r="D6443" s="3"/>
    </row>
    <row r="6444" spans="1:4">
      <c r="A6444" s="3"/>
      <c r="D6444" s="3"/>
    </row>
    <row r="6445" spans="1:4">
      <c r="A6445" s="3"/>
      <c r="D6445" s="3"/>
    </row>
    <row r="6446" spans="1:4">
      <c r="A6446" s="3"/>
      <c r="D6446" s="3"/>
    </row>
    <row r="6447" spans="1:4">
      <c r="A6447" s="3"/>
      <c r="D6447" s="3"/>
    </row>
    <row r="6448" spans="1:4">
      <c r="A6448" s="3"/>
      <c r="D6448" s="3"/>
    </row>
    <row r="6449" spans="1:4">
      <c r="A6449" s="3"/>
      <c r="D6449" s="3"/>
    </row>
    <row r="6450" spans="1:4">
      <c r="A6450" s="3"/>
      <c r="D6450" s="3"/>
    </row>
    <row r="6451" spans="1:4">
      <c r="A6451" s="3"/>
      <c r="D6451" s="3"/>
    </row>
    <row r="6452" spans="1:4">
      <c r="A6452" s="3"/>
      <c r="D6452" s="3"/>
    </row>
    <row r="6453" spans="1:4">
      <c r="A6453" s="3"/>
      <c r="D6453" s="3"/>
    </row>
    <row r="6454" spans="1:4">
      <c r="A6454" s="3"/>
      <c r="D6454" s="3"/>
    </row>
    <row r="6455" spans="1:4">
      <c r="A6455" s="3"/>
      <c r="D6455" s="3"/>
    </row>
    <row r="6456" spans="1:4">
      <c r="A6456" s="3"/>
      <c r="D6456" s="3"/>
    </row>
    <row r="6457" spans="1:4">
      <c r="A6457" s="3"/>
      <c r="D6457" s="3"/>
    </row>
    <row r="6458" spans="1:4">
      <c r="A6458" s="3"/>
      <c r="D6458" s="3"/>
    </row>
    <row r="6459" spans="1:4">
      <c r="A6459" s="3"/>
      <c r="D6459" s="3"/>
    </row>
    <row r="6460" spans="1:4">
      <c r="A6460" s="3"/>
      <c r="D6460" s="3"/>
    </row>
    <row r="6461" spans="1:4">
      <c r="A6461" s="3"/>
      <c r="D6461" s="3"/>
    </row>
    <row r="6462" spans="1:4">
      <c r="A6462" s="3"/>
      <c r="D6462" s="3"/>
    </row>
    <row r="6463" spans="1:4">
      <c r="A6463" s="3"/>
      <c r="D6463" s="3"/>
    </row>
    <row r="6464" spans="1:4">
      <c r="A6464" s="3"/>
      <c r="D6464" s="3"/>
    </row>
    <row r="6465" spans="1:4">
      <c r="A6465" s="3"/>
      <c r="D6465" s="3"/>
    </row>
    <row r="6466" spans="1:4">
      <c r="A6466" s="3"/>
      <c r="D6466" s="3"/>
    </row>
    <row r="6467" spans="1:4">
      <c r="A6467" s="3"/>
      <c r="D6467" s="3"/>
    </row>
    <row r="6468" spans="1:4">
      <c r="A6468" s="3"/>
      <c r="D6468" s="3"/>
    </row>
    <row r="6469" spans="1:4">
      <c r="A6469" s="3"/>
      <c r="D6469" s="3"/>
    </row>
    <row r="6470" spans="1:4">
      <c r="A6470" s="3"/>
      <c r="D6470" s="3"/>
    </row>
    <row r="6471" spans="1:4">
      <c r="A6471" s="3"/>
      <c r="D6471" s="3"/>
    </row>
    <row r="6472" spans="1:4">
      <c r="A6472" s="3"/>
      <c r="D6472" s="3"/>
    </row>
    <row r="6473" spans="1:4">
      <c r="A6473" s="3"/>
      <c r="D6473" s="3"/>
    </row>
    <row r="6474" spans="1:4">
      <c r="A6474" s="3"/>
      <c r="D6474" s="3"/>
    </row>
    <row r="6475" spans="1:4">
      <c r="A6475" s="3"/>
      <c r="D6475" s="3"/>
    </row>
    <row r="6476" spans="1:4">
      <c r="A6476" s="3"/>
      <c r="D6476" s="3"/>
    </row>
    <row r="6477" spans="1:4">
      <c r="A6477" s="3"/>
      <c r="D6477" s="3"/>
    </row>
    <row r="6478" spans="1:4">
      <c r="A6478" s="3"/>
      <c r="D6478" s="3"/>
    </row>
    <row r="6479" spans="1:4">
      <c r="A6479" s="3"/>
      <c r="D6479" s="3"/>
    </row>
    <row r="6480" spans="1:4">
      <c r="A6480" s="3"/>
      <c r="D6480" s="3"/>
    </row>
    <row r="6481" spans="1:4">
      <c r="A6481" s="3"/>
      <c r="D6481" s="3"/>
    </row>
    <row r="6482" spans="1:4">
      <c r="A6482" s="3"/>
      <c r="D6482" s="3"/>
    </row>
    <row r="6483" spans="1:4">
      <c r="A6483" s="3"/>
      <c r="D6483" s="3"/>
    </row>
    <row r="6484" spans="1:4">
      <c r="A6484" s="3"/>
      <c r="D6484" s="3"/>
    </row>
    <row r="6485" spans="1:4">
      <c r="A6485" s="3"/>
      <c r="D6485" s="3"/>
    </row>
    <row r="6486" spans="1:4">
      <c r="A6486" s="3"/>
      <c r="D6486" s="3"/>
    </row>
    <row r="6487" spans="1:4">
      <c r="A6487" s="3"/>
      <c r="D6487" s="3"/>
    </row>
    <row r="6488" spans="1:4">
      <c r="A6488" s="3"/>
      <c r="D6488" s="3"/>
    </row>
    <row r="6489" spans="1:4">
      <c r="A6489" s="3"/>
      <c r="D6489" s="3"/>
    </row>
    <row r="6490" spans="1:4">
      <c r="A6490" s="3"/>
      <c r="D6490" s="3"/>
    </row>
    <row r="6491" spans="1:4">
      <c r="A6491" s="3"/>
      <c r="D6491" s="3"/>
    </row>
    <row r="6492" spans="1:4">
      <c r="A6492" s="3"/>
      <c r="D6492" s="3"/>
    </row>
    <row r="6493" spans="1:4">
      <c r="A6493" s="3"/>
      <c r="D6493" s="3"/>
    </row>
    <row r="6494" spans="1:4">
      <c r="A6494" s="3"/>
      <c r="D6494" s="3"/>
    </row>
    <row r="6495" spans="1:4">
      <c r="A6495" s="3"/>
      <c r="D6495" s="3"/>
    </row>
    <row r="6496" spans="1:4">
      <c r="A6496" s="3"/>
      <c r="D6496" s="3"/>
    </row>
    <row r="6497" spans="1:4">
      <c r="A6497" s="3"/>
      <c r="D6497" s="3"/>
    </row>
    <row r="6498" spans="1:4">
      <c r="A6498" s="3"/>
      <c r="D6498" s="3"/>
    </row>
    <row r="6499" spans="1:4">
      <c r="A6499" s="3"/>
      <c r="D6499" s="3"/>
    </row>
    <row r="6500" spans="1:4">
      <c r="A6500" s="3"/>
      <c r="D6500" s="3"/>
    </row>
    <row r="6501" spans="1:4">
      <c r="A6501" s="3"/>
      <c r="D6501" s="3"/>
    </row>
    <row r="6502" spans="1:4">
      <c r="A6502" s="3"/>
      <c r="D6502" s="3"/>
    </row>
    <row r="6503" spans="1:4">
      <c r="A6503" s="3"/>
      <c r="D6503" s="3"/>
    </row>
    <row r="6504" spans="1:4">
      <c r="A6504" s="3"/>
      <c r="D6504" s="3"/>
    </row>
    <row r="6505" spans="1:4">
      <c r="A6505" s="3"/>
      <c r="D6505" s="3"/>
    </row>
    <row r="6506" spans="1:4">
      <c r="A6506" s="3"/>
      <c r="D6506" s="3"/>
    </row>
    <row r="6507" spans="1:4">
      <c r="A6507" s="3"/>
      <c r="D6507" s="3"/>
    </row>
    <row r="6508" spans="1:4">
      <c r="A6508" s="3"/>
      <c r="D6508" s="3"/>
    </row>
    <row r="6509" spans="1:4">
      <c r="A6509" s="3"/>
      <c r="D6509" s="3"/>
    </row>
    <row r="6510" spans="1:4">
      <c r="A6510" s="3"/>
      <c r="D6510" s="3"/>
    </row>
    <row r="6511" spans="1:4">
      <c r="A6511" s="3"/>
      <c r="D6511" s="3"/>
    </row>
    <row r="6512" spans="1:4">
      <c r="A6512" s="3"/>
      <c r="D6512" s="3"/>
    </row>
    <row r="6513" spans="1:4">
      <c r="A6513" s="3"/>
      <c r="D6513" s="3"/>
    </row>
    <row r="6514" spans="1:4">
      <c r="A6514" s="3"/>
      <c r="D6514" s="3"/>
    </row>
    <row r="6515" spans="1:4">
      <c r="A6515" s="3"/>
      <c r="D6515" s="3"/>
    </row>
    <row r="6516" spans="1:4">
      <c r="A6516" s="3"/>
      <c r="D6516" s="3"/>
    </row>
    <row r="6517" spans="1:4">
      <c r="A6517" s="3"/>
      <c r="D6517" s="3"/>
    </row>
    <row r="6518" spans="1:4">
      <c r="A6518" s="3"/>
      <c r="D6518" s="3"/>
    </row>
    <row r="6519" spans="1:4">
      <c r="A6519" s="3"/>
      <c r="D6519" s="3"/>
    </row>
    <row r="6520" spans="1:4">
      <c r="A6520" s="3"/>
      <c r="D6520" s="3"/>
    </row>
    <row r="6521" spans="1:4">
      <c r="A6521" s="3"/>
      <c r="D6521" s="3"/>
    </row>
    <row r="6522" spans="1:4">
      <c r="A6522" s="3"/>
      <c r="D6522" s="3"/>
    </row>
    <row r="6523" spans="1:4">
      <c r="A6523" s="3"/>
      <c r="D6523" s="3"/>
    </row>
    <row r="6524" spans="1:4">
      <c r="A6524" s="3"/>
      <c r="D6524" s="3"/>
    </row>
    <row r="6525" spans="1:4">
      <c r="A6525" s="3"/>
      <c r="D6525" s="3"/>
    </row>
    <row r="6526" spans="1:4">
      <c r="A6526" s="3"/>
      <c r="D6526" s="3"/>
    </row>
    <row r="6527" spans="1:4">
      <c r="A6527" s="3"/>
      <c r="D6527" s="3"/>
    </row>
    <row r="6528" spans="1:4">
      <c r="A6528" s="3"/>
      <c r="D6528" s="3"/>
    </row>
    <row r="6529" spans="1:4">
      <c r="A6529" s="3"/>
      <c r="D6529" s="3"/>
    </row>
    <row r="6530" spans="1:4">
      <c r="A6530" s="3"/>
      <c r="D6530" s="3"/>
    </row>
    <row r="6531" spans="1:4">
      <c r="A6531" s="3"/>
      <c r="D6531" s="3"/>
    </row>
    <row r="6532" spans="1:4">
      <c r="A6532" s="3"/>
      <c r="D6532" s="3"/>
    </row>
    <row r="6533" spans="1:4">
      <c r="A6533" s="3"/>
      <c r="D6533" s="3"/>
    </row>
    <row r="6534" spans="1:4">
      <c r="A6534" s="3"/>
      <c r="D6534" s="3"/>
    </row>
    <row r="6535" spans="1:4">
      <c r="A6535" s="3"/>
      <c r="D6535" s="3"/>
    </row>
    <row r="6536" spans="1:4">
      <c r="A6536" s="3"/>
      <c r="D6536" s="3"/>
    </row>
    <row r="6537" spans="1:4">
      <c r="A6537" s="3"/>
      <c r="D6537" s="3"/>
    </row>
    <row r="6538" spans="1:4">
      <c r="A6538" s="3"/>
      <c r="D6538" s="3"/>
    </row>
    <row r="6539" spans="1:4">
      <c r="A6539" s="3"/>
      <c r="D6539" s="3"/>
    </row>
    <row r="6540" spans="1:4">
      <c r="A6540" s="3"/>
      <c r="D6540" s="3"/>
    </row>
    <row r="6541" spans="1:4">
      <c r="A6541" s="3"/>
      <c r="D6541" s="3"/>
    </row>
    <row r="6542" spans="1:4">
      <c r="A6542" s="3"/>
      <c r="D6542" s="3"/>
    </row>
    <row r="6543" spans="1:4">
      <c r="A6543" s="3"/>
      <c r="D6543" s="3"/>
    </row>
    <row r="6544" spans="1:4">
      <c r="A6544" s="3"/>
      <c r="D6544" s="3"/>
    </row>
    <row r="6545" spans="1:4">
      <c r="A6545" s="3"/>
      <c r="D6545" s="3"/>
    </row>
    <row r="6546" spans="1:4">
      <c r="A6546" s="3"/>
      <c r="D6546" s="3"/>
    </row>
    <row r="6547" spans="1:4">
      <c r="A6547" s="3"/>
      <c r="D6547" s="3"/>
    </row>
    <row r="6548" spans="1:4">
      <c r="A6548" s="3"/>
      <c r="D6548" s="3"/>
    </row>
    <row r="6549" spans="1:4">
      <c r="A6549" s="3"/>
      <c r="D6549" s="3"/>
    </row>
    <row r="6550" spans="1:4">
      <c r="A6550" s="3"/>
      <c r="D6550" s="3"/>
    </row>
    <row r="6551" spans="1:4">
      <c r="A6551" s="3"/>
      <c r="D6551" s="3"/>
    </row>
    <row r="6552" spans="1:4">
      <c r="A6552" s="3"/>
      <c r="D6552" s="3"/>
    </row>
    <row r="6553" spans="1:4">
      <c r="A6553" s="3"/>
      <c r="D6553" s="3"/>
    </row>
    <row r="6554" spans="1:4">
      <c r="A6554" s="3"/>
      <c r="D6554" s="3"/>
    </row>
    <row r="6555" spans="1:4">
      <c r="A6555" s="3"/>
      <c r="D6555" s="3"/>
    </row>
    <row r="6556" spans="1:4">
      <c r="A6556" s="3"/>
      <c r="D6556" s="3"/>
    </row>
    <row r="6557" spans="1:4">
      <c r="A6557" s="3"/>
      <c r="D6557" s="3"/>
    </row>
    <row r="6558" spans="1:4">
      <c r="A6558" s="3"/>
      <c r="D6558" s="3"/>
    </row>
    <row r="6559" spans="1:4">
      <c r="A6559" s="3"/>
      <c r="D6559" s="3"/>
    </row>
    <row r="6560" spans="1:4">
      <c r="A6560" s="3"/>
      <c r="D6560" s="3"/>
    </row>
    <row r="6561" spans="1:4">
      <c r="A6561" s="3"/>
      <c r="D6561" s="3"/>
    </row>
    <row r="6562" spans="1:4">
      <c r="A6562" s="3"/>
      <c r="D6562" s="3"/>
    </row>
    <row r="6563" spans="1:4">
      <c r="A6563" s="3"/>
      <c r="D6563" s="3"/>
    </row>
    <row r="6564" spans="1:4">
      <c r="A6564" s="3"/>
      <c r="D6564" s="3"/>
    </row>
    <row r="6565" spans="1:4">
      <c r="A6565" s="3"/>
      <c r="D6565" s="3"/>
    </row>
    <row r="6566" spans="1:4">
      <c r="A6566" s="3"/>
      <c r="D6566" s="3"/>
    </row>
    <row r="6567" spans="1:4">
      <c r="A6567" s="3"/>
      <c r="D6567" s="3"/>
    </row>
    <row r="6568" spans="1:4">
      <c r="A6568" s="3"/>
      <c r="D6568" s="3"/>
    </row>
    <row r="6569" spans="1:4">
      <c r="A6569" s="3"/>
      <c r="D6569" s="3"/>
    </row>
    <row r="6570" spans="1:4">
      <c r="A6570" s="3"/>
      <c r="D6570" s="3"/>
    </row>
    <row r="6571" spans="1:4">
      <c r="A6571" s="3"/>
      <c r="D6571" s="3"/>
    </row>
    <row r="6572" spans="1:4">
      <c r="A6572" s="3"/>
      <c r="D6572" s="3"/>
    </row>
    <row r="6573" spans="1:4">
      <c r="A6573" s="3"/>
      <c r="D6573" s="3"/>
    </row>
    <row r="6574" spans="1:4">
      <c r="A6574" s="3"/>
      <c r="D6574" s="3"/>
    </row>
    <row r="6575" spans="1:4">
      <c r="A6575" s="3"/>
      <c r="D6575" s="3"/>
    </row>
    <row r="6576" spans="1:4">
      <c r="A6576" s="3"/>
      <c r="D6576" s="3"/>
    </row>
    <row r="6577" spans="1:4">
      <c r="A6577" s="3"/>
      <c r="D6577" s="3"/>
    </row>
    <row r="6578" spans="1:4">
      <c r="A6578" s="3"/>
      <c r="D6578" s="3"/>
    </row>
    <row r="6579" spans="1:4">
      <c r="A6579" s="3"/>
      <c r="D6579" s="3"/>
    </row>
    <row r="6580" spans="1:4">
      <c r="A6580" s="3"/>
      <c r="D6580" s="3"/>
    </row>
    <row r="6581" spans="1:4">
      <c r="A6581" s="3"/>
      <c r="D6581" s="3"/>
    </row>
    <row r="6582" spans="1:4">
      <c r="A6582" s="3"/>
      <c r="D6582" s="3"/>
    </row>
    <row r="6583" spans="1:4">
      <c r="A6583" s="3"/>
      <c r="D6583" s="3"/>
    </row>
    <row r="6584" spans="1:4">
      <c r="A6584" s="3"/>
      <c r="D6584" s="3"/>
    </row>
    <row r="6585" spans="1:4">
      <c r="A6585" s="3"/>
      <c r="D6585" s="3"/>
    </row>
    <row r="6586" spans="1:4">
      <c r="A6586" s="3"/>
      <c r="D6586" s="3"/>
    </row>
    <row r="6587" spans="1:4">
      <c r="A6587" s="3"/>
      <c r="D6587" s="3"/>
    </row>
    <row r="6588" spans="1:4">
      <c r="A6588" s="3"/>
      <c r="D6588" s="3"/>
    </row>
    <row r="6589" spans="1:4">
      <c r="A6589" s="3"/>
      <c r="D6589" s="3"/>
    </row>
    <row r="6590" spans="1:4">
      <c r="A6590" s="3"/>
      <c r="D6590" s="3"/>
    </row>
    <row r="6591" spans="1:4">
      <c r="A6591" s="3"/>
      <c r="D6591" s="3"/>
    </row>
    <row r="6592" spans="1:4">
      <c r="A6592" s="3"/>
      <c r="D6592" s="3"/>
    </row>
    <row r="6593" spans="1:4">
      <c r="A6593" s="3"/>
      <c r="D6593" s="3"/>
    </row>
    <row r="6594" spans="1:4">
      <c r="A6594" s="3"/>
      <c r="D6594" s="3"/>
    </row>
    <row r="6595" spans="1:4">
      <c r="A6595" s="3"/>
      <c r="D6595" s="3"/>
    </row>
    <row r="6596" spans="1:4">
      <c r="A6596" s="3"/>
      <c r="D6596" s="3"/>
    </row>
    <row r="6597" spans="1:4">
      <c r="A6597" s="3"/>
      <c r="D6597" s="3"/>
    </row>
    <row r="6598" spans="1:4">
      <c r="A6598" s="3"/>
      <c r="D6598" s="3"/>
    </row>
    <row r="6599" spans="1:4">
      <c r="A6599" s="3"/>
      <c r="D6599" s="3"/>
    </row>
    <row r="6600" spans="1:4">
      <c r="A6600" s="3"/>
      <c r="D6600" s="3"/>
    </row>
    <row r="6601" spans="1:4">
      <c r="A6601" s="3"/>
      <c r="D6601" s="3"/>
    </row>
    <row r="6602" spans="1:4">
      <c r="A6602" s="3"/>
      <c r="D6602" s="3"/>
    </row>
    <row r="6603" spans="1:4">
      <c r="A6603" s="3"/>
      <c r="D6603" s="3"/>
    </row>
    <row r="6604" spans="1:4">
      <c r="A6604" s="3"/>
      <c r="D6604" s="3"/>
    </row>
    <row r="6605" spans="1:4">
      <c r="A6605" s="3"/>
      <c r="D6605" s="3"/>
    </row>
    <row r="6606" spans="1:4">
      <c r="A6606" s="3"/>
      <c r="D6606" s="3"/>
    </row>
    <row r="6607" spans="1:4">
      <c r="A6607" s="3"/>
      <c r="D6607" s="3"/>
    </row>
    <row r="6608" spans="1:4">
      <c r="A6608" s="3"/>
      <c r="D6608" s="3"/>
    </row>
    <row r="6609" spans="1:4">
      <c r="A6609" s="3"/>
      <c r="D6609" s="3"/>
    </row>
    <row r="6610" spans="1:4">
      <c r="A6610" s="3"/>
      <c r="D6610" s="3"/>
    </row>
    <row r="6611" spans="1:4">
      <c r="A6611" s="3"/>
      <c r="D6611" s="3"/>
    </row>
    <row r="6612" spans="1:4">
      <c r="A6612" s="3"/>
      <c r="D6612" s="3"/>
    </row>
    <row r="6613" spans="1:4">
      <c r="A6613" s="3"/>
      <c r="D6613" s="3"/>
    </row>
    <row r="6614" spans="1:4">
      <c r="A6614" s="3"/>
      <c r="D6614" s="3"/>
    </row>
    <row r="6615" spans="1:4">
      <c r="A6615" s="3"/>
      <c r="D6615" s="3"/>
    </row>
    <row r="6616" spans="1:4">
      <c r="A6616" s="3"/>
      <c r="D6616" s="3"/>
    </row>
    <row r="6617" spans="1:4">
      <c r="A6617" s="3"/>
      <c r="D6617" s="3"/>
    </row>
    <row r="6618" spans="1:4">
      <c r="A6618" s="3"/>
      <c r="D6618" s="3"/>
    </row>
    <row r="6619" spans="1:4">
      <c r="A6619" s="3"/>
      <c r="D6619" s="3"/>
    </row>
    <row r="6620" spans="1:4">
      <c r="A6620" s="3"/>
      <c r="D6620" s="3"/>
    </row>
    <row r="6621" spans="1:4">
      <c r="A6621" s="3"/>
      <c r="D6621" s="3"/>
    </row>
    <row r="6622" spans="1:4">
      <c r="A6622" s="3"/>
      <c r="D6622" s="3"/>
    </row>
    <row r="6623" spans="1:4">
      <c r="A6623" s="3"/>
      <c r="D6623" s="3"/>
    </row>
    <row r="6624" spans="1:4">
      <c r="A6624" s="3"/>
      <c r="D6624" s="3"/>
    </row>
    <row r="6625" spans="1:4">
      <c r="A6625" s="3"/>
      <c r="D6625" s="3"/>
    </row>
    <row r="6626" spans="1:4">
      <c r="A6626" s="3"/>
      <c r="D6626" s="3"/>
    </row>
    <row r="6627" spans="1:4">
      <c r="A6627" s="3"/>
      <c r="D6627" s="3"/>
    </row>
    <row r="6628" spans="1:4">
      <c r="A6628" s="3"/>
      <c r="D6628" s="3"/>
    </row>
    <row r="6629" spans="1:4">
      <c r="A6629" s="3"/>
      <c r="D6629" s="3"/>
    </row>
    <row r="6630" spans="1:4">
      <c r="A6630" s="3"/>
      <c r="D6630" s="3"/>
    </row>
    <row r="6631" spans="1:4">
      <c r="A6631" s="3"/>
      <c r="D6631" s="3"/>
    </row>
    <row r="6632" spans="1:4">
      <c r="A6632" s="3"/>
      <c r="D6632" s="3"/>
    </row>
    <row r="6633" spans="1:4">
      <c r="A6633" s="3"/>
      <c r="D6633" s="3"/>
    </row>
    <row r="6634" spans="1:4">
      <c r="A6634" s="3"/>
      <c r="D6634" s="3"/>
    </row>
    <row r="6635" spans="1:4">
      <c r="A6635" s="3"/>
      <c r="D6635" s="3"/>
    </row>
    <row r="6636" spans="1:4">
      <c r="A6636" s="3"/>
      <c r="D6636" s="3"/>
    </row>
    <row r="6637" spans="1:4">
      <c r="A6637" s="3"/>
      <c r="D6637" s="3"/>
    </row>
    <row r="6638" spans="1:4">
      <c r="A6638" s="3"/>
      <c r="D6638" s="3"/>
    </row>
    <row r="6639" spans="1:4">
      <c r="A6639" s="3"/>
      <c r="D6639" s="3"/>
    </row>
    <row r="6640" spans="1:4">
      <c r="A6640" s="3"/>
      <c r="D6640" s="3"/>
    </row>
    <row r="6641" spans="1:4">
      <c r="A6641" s="3"/>
      <c r="D6641" s="3"/>
    </row>
    <row r="6642" spans="1:4">
      <c r="A6642" s="3"/>
      <c r="D6642" s="3"/>
    </row>
    <row r="6643" spans="1:4">
      <c r="A6643" s="3"/>
      <c r="D6643" s="3"/>
    </row>
    <row r="6644" spans="1:4">
      <c r="A6644" s="3"/>
      <c r="D6644" s="3"/>
    </row>
    <row r="6645" spans="1:4">
      <c r="A6645" s="3"/>
      <c r="D6645" s="3"/>
    </row>
    <row r="6646" spans="1:4">
      <c r="A6646" s="3"/>
      <c r="D6646" s="3"/>
    </row>
    <row r="6647" spans="1:4">
      <c r="A6647" s="3"/>
      <c r="D6647" s="3"/>
    </row>
    <row r="6648" spans="1:4">
      <c r="A6648" s="3"/>
      <c r="D6648" s="3"/>
    </row>
    <row r="6649" spans="1:4">
      <c r="A6649" s="3"/>
      <c r="D6649" s="3"/>
    </row>
    <row r="6650" spans="1:4">
      <c r="A6650" s="3"/>
      <c r="D6650" s="3"/>
    </row>
    <row r="6651" spans="1:4">
      <c r="A6651" s="3"/>
      <c r="D6651" s="3"/>
    </row>
    <row r="6652" spans="1:4">
      <c r="A6652" s="3"/>
      <c r="D6652" s="3"/>
    </row>
    <row r="6653" spans="1:4">
      <c r="A6653" s="3"/>
      <c r="D6653" s="3"/>
    </row>
    <row r="6654" spans="1:4">
      <c r="A6654" s="3"/>
      <c r="D6654" s="3"/>
    </row>
    <row r="6655" spans="1:4">
      <c r="A6655" s="3"/>
      <c r="D6655" s="3"/>
    </row>
    <row r="6656" spans="1:4">
      <c r="A6656" s="3"/>
      <c r="D6656" s="3"/>
    </row>
    <row r="6657" spans="1:4">
      <c r="A6657" s="3"/>
      <c r="D6657" s="3"/>
    </row>
    <row r="6658" spans="1:4">
      <c r="A6658" s="3"/>
      <c r="D6658" s="3"/>
    </row>
    <row r="6659" spans="1:4">
      <c r="A6659" s="3"/>
      <c r="D6659" s="3"/>
    </row>
    <row r="6660" spans="1:4">
      <c r="A6660" s="3"/>
      <c r="D6660" s="3"/>
    </row>
    <row r="6661" spans="1:4">
      <c r="A6661" s="3"/>
      <c r="D6661" s="3"/>
    </row>
    <row r="6662" spans="1:4">
      <c r="A6662" s="3"/>
      <c r="D6662" s="3"/>
    </row>
    <row r="6663" spans="1:4">
      <c r="A6663" s="3"/>
      <c r="D6663" s="3"/>
    </row>
    <row r="6664" spans="1:4">
      <c r="A6664" s="3"/>
      <c r="D6664" s="3"/>
    </row>
    <row r="6665" spans="1:4">
      <c r="A6665" s="3"/>
      <c r="D6665" s="3"/>
    </row>
    <row r="6666" spans="1:4">
      <c r="A6666" s="3"/>
      <c r="D6666" s="3"/>
    </row>
    <row r="6667" spans="1:4">
      <c r="A6667" s="3"/>
      <c r="D6667" s="3"/>
    </row>
    <row r="6668" spans="1:4">
      <c r="A6668" s="3"/>
      <c r="D6668" s="3"/>
    </row>
    <row r="6669" spans="1:4">
      <c r="A6669" s="3"/>
      <c r="D6669" s="3"/>
    </row>
    <row r="6670" spans="1:4">
      <c r="A6670" s="3"/>
      <c r="D6670" s="3"/>
    </row>
    <row r="6671" spans="1:4">
      <c r="A6671" s="3"/>
      <c r="D6671" s="3"/>
    </row>
    <row r="6672" spans="1:4">
      <c r="A6672" s="3"/>
      <c r="D6672" s="3"/>
    </row>
    <row r="6673" spans="1:4">
      <c r="A6673" s="3"/>
      <c r="D6673" s="3"/>
    </row>
    <row r="6674" spans="1:4">
      <c r="A6674" s="3"/>
      <c r="D6674" s="3"/>
    </row>
    <row r="6675" spans="1:4">
      <c r="A6675" s="3"/>
      <c r="D6675" s="3"/>
    </row>
    <row r="6676" spans="1:4">
      <c r="A6676" s="3"/>
      <c r="D6676" s="3"/>
    </row>
    <row r="6677" spans="1:4">
      <c r="A6677" s="3"/>
      <c r="D6677" s="3"/>
    </row>
    <row r="6678" spans="1:4">
      <c r="A6678" s="3"/>
      <c r="D6678" s="3"/>
    </row>
    <row r="6679" spans="1:4">
      <c r="A6679" s="3"/>
      <c r="D6679" s="3"/>
    </row>
    <row r="6680" spans="1:4">
      <c r="A6680" s="3"/>
      <c r="D6680" s="3"/>
    </row>
    <row r="6681" spans="1:4">
      <c r="A6681" s="3"/>
      <c r="D6681" s="3"/>
    </row>
    <row r="6682" spans="1:4">
      <c r="A6682" s="3"/>
      <c r="D6682" s="3"/>
    </row>
    <row r="6683" spans="1:4">
      <c r="A6683" s="3"/>
      <c r="D6683" s="3"/>
    </row>
    <row r="6684" spans="1:4">
      <c r="A6684" s="3"/>
      <c r="D6684" s="3"/>
    </row>
    <row r="6685" spans="1:4">
      <c r="A6685" s="3"/>
      <c r="D6685" s="3"/>
    </row>
    <row r="6686" spans="1:4">
      <c r="A6686" s="3"/>
      <c r="D6686" s="3"/>
    </row>
    <row r="6687" spans="1:4">
      <c r="A6687" s="3"/>
      <c r="D6687" s="3"/>
    </row>
    <row r="6688" spans="1:4">
      <c r="A6688" s="3"/>
      <c r="D6688" s="3"/>
    </row>
    <row r="6689" spans="1:4">
      <c r="A6689" s="3"/>
      <c r="D6689" s="3"/>
    </row>
    <row r="6690" spans="1:4">
      <c r="A6690" s="3"/>
      <c r="D6690" s="3"/>
    </row>
    <row r="6691" spans="1:4">
      <c r="A6691" s="3"/>
      <c r="D6691" s="3"/>
    </row>
    <row r="6692" spans="1:4">
      <c r="A6692" s="3"/>
      <c r="D6692" s="3"/>
    </row>
    <row r="6693" spans="1:4">
      <c r="A6693" s="3"/>
      <c r="D6693" s="3"/>
    </row>
    <row r="6694" spans="1:4">
      <c r="A6694" s="3"/>
      <c r="D6694" s="3"/>
    </row>
    <row r="6695" spans="1:4">
      <c r="A6695" s="3"/>
      <c r="D6695" s="3"/>
    </row>
    <row r="6696" spans="1:4">
      <c r="A6696" s="3"/>
      <c r="D6696" s="3"/>
    </row>
    <row r="6697" spans="1:4">
      <c r="A6697" s="3"/>
      <c r="D6697" s="3"/>
    </row>
    <row r="6698" spans="1:4">
      <c r="A6698" s="3"/>
      <c r="D6698" s="3"/>
    </row>
    <row r="6699" spans="1:4">
      <c r="A6699" s="3"/>
      <c r="D6699" s="3"/>
    </row>
    <row r="6700" spans="1:4">
      <c r="A6700" s="3"/>
      <c r="D6700" s="3"/>
    </row>
    <row r="6701" spans="1:4">
      <c r="A6701" s="3"/>
      <c r="D6701" s="3"/>
    </row>
    <row r="6702" spans="1:4">
      <c r="A6702" s="3"/>
      <c r="D6702" s="3"/>
    </row>
    <row r="6703" spans="1:4">
      <c r="A6703" s="3"/>
      <c r="D6703" s="3"/>
    </row>
    <row r="6704" spans="1:4">
      <c r="A6704" s="3"/>
      <c r="D6704" s="3"/>
    </row>
    <row r="6705" spans="1:4">
      <c r="A6705" s="3"/>
      <c r="D6705" s="3"/>
    </row>
    <row r="6706" spans="1:4">
      <c r="A6706" s="3"/>
      <c r="D6706" s="3"/>
    </row>
    <row r="6707" spans="1:4">
      <c r="A6707" s="3"/>
      <c r="D6707" s="3"/>
    </row>
    <row r="6708" spans="1:4">
      <c r="A6708" s="3"/>
      <c r="D6708" s="3"/>
    </row>
    <row r="6709" spans="1:4">
      <c r="A6709" s="3"/>
      <c r="D6709" s="3"/>
    </row>
    <row r="6710" spans="1:4">
      <c r="A6710" s="3"/>
      <c r="D6710" s="3"/>
    </row>
    <row r="6711" spans="1:4">
      <c r="A6711" s="3"/>
      <c r="D6711" s="3"/>
    </row>
    <row r="6712" spans="1:4">
      <c r="A6712" s="3"/>
      <c r="D6712" s="3"/>
    </row>
    <row r="6713" spans="1:4">
      <c r="A6713" s="3"/>
      <c r="D6713" s="3"/>
    </row>
    <row r="6714" spans="1:4">
      <c r="A6714" s="3"/>
      <c r="D6714" s="3"/>
    </row>
    <row r="6715" spans="1:4">
      <c r="A6715" s="3"/>
      <c r="D6715" s="3"/>
    </row>
    <row r="6716" spans="1:4">
      <c r="A6716" s="3"/>
      <c r="D6716" s="3"/>
    </row>
    <row r="6717" spans="1:4">
      <c r="A6717" s="3"/>
      <c r="D6717" s="3"/>
    </row>
    <row r="6718" spans="1:4">
      <c r="A6718" s="3"/>
      <c r="D6718" s="3"/>
    </row>
    <row r="6719" spans="1:4">
      <c r="A6719" s="3"/>
      <c r="D6719" s="3"/>
    </row>
    <row r="6720" spans="1:4">
      <c r="A6720" s="3"/>
      <c r="D6720" s="3"/>
    </row>
    <row r="6721" spans="1:4">
      <c r="A6721" s="3"/>
      <c r="D6721" s="3"/>
    </row>
    <row r="6722" spans="1:4">
      <c r="A6722" s="3"/>
      <c r="D6722" s="3"/>
    </row>
    <row r="6723" spans="1:4">
      <c r="A6723" s="3"/>
      <c r="D6723" s="3"/>
    </row>
    <row r="6724" spans="1:4">
      <c r="A6724" s="3"/>
      <c r="D6724" s="3"/>
    </row>
    <row r="6725" spans="1:4">
      <c r="A6725" s="3"/>
      <c r="D6725" s="3"/>
    </row>
    <row r="6726" spans="1:4">
      <c r="A6726" s="3"/>
      <c r="D6726" s="3"/>
    </row>
    <row r="6727" spans="1:4">
      <c r="A6727" s="3"/>
      <c r="D6727" s="3"/>
    </row>
    <row r="6728" spans="1:4">
      <c r="A6728" s="3"/>
      <c r="D6728" s="3"/>
    </row>
    <row r="6729" spans="1:4">
      <c r="A6729" s="3"/>
      <c r="D6729" s="3"/>
    </row>
    <row r="6730" spans="1:4">
      <c r="A6730" s="3"/>
      <c r="D6730" s="3"/>
    </row>
    <row r="6731" spans="1:4">
      <c r="A6731" s="3"/>
      <c r="D6731" s="3"/>
    </row>
    <row r="6732" spans="1:4">
      <c r="A6732" s="3"/>
      <c r="D6732" s="3"/>
    </row>
    <row r="6733" spans="1:4">
      <c r="A6733" s="3"/>
      <c r="D6733" s="3"/>
    </row>
    <row r="6734" spans="1:4">
      <c r="A6734" s="3"/>
      <c r="D6734" s="3"/>
    </row>
    <row r="6735" spans="1:4">
      <c r="A6735" s="3"/>
      <c r="D6735" s="3"/>
    </row>
    <row r="6736" spans="1:4">
      <c r="A6736" s="3"/>
      <c r="D6736" s="3"/>
    </row>
    <row r="6737" spans="1:4">
      <c r="A6737" s="3"/>
      <c r="D6737" s="3"/>
    </row>
    <row r="6738" spans="1:4">
      <c r="A6738" s="3"/>
      <c r="D6738" s="3"/>
    </row>
    <row r="6739" spans="1:4">
      <c r="A6739" s="3"/>
      <c r="D6739" s="3"/>
    </row>
    <row r="6740" spans="1:4">
      <c r="A6740" s="3"/>
      <c r="D6740" s="3"/>
    </row>
    <row r="6741" spans="1:4">
      <c r="A6741" s="3"/>
      <c r="D6741" s="3"/>
    </row>
    <row r="6742" spans="1:4">
      <c r="A6742" s="3"/>
      <c r="D6742" s="3"/>
    </row>
    <row r="6743" spans="1:4">
      <c r="A6743" s="3"/>
      <c r="D6743" s="3"/>
    </row>
    <row r="6744" spans="1:4">
      <c r="A6744" s="3"/>
      <c r="D6744" s="3"/>
    </row>
    <row r="6745" spans="1:4">
      <c r="A6745" s="3"/>
      <c r="D6745" s="3"/>
    </row>
    <row r="6746" spans="1:4">
      <c r="A6746" s="3"/>
      <c r="D6746" s="3"/>
    </row>
    <row r="6747" spans="1:4">
      <c r="A6747" s="3"/>
      <c r="D6747" s="3"/>
    </row>
    <row r="6748" spans="1:4">
      <c r="A6748" s="3"/>
      <c r="D6748" s="3"/>
    </row>
    <row r="6749" spans="1:4">
      <c r="A6749" s="3"/>
      <c r="D6749" s="3"/>
    </row>
    <row r="6750" spans="1:4">
      <c r="A6750" s="3"/>
      <c r="D6750" s="3"/>
    </row>
    <row r="6751" spans="1:4">
      <c r="A6751" s="3"/>
      <c r="D6751" s="3"/>
    </row>
    <row r="6752" spans="1:4">
      <c r="A6752" s="3"/>
      <c r="D6752" s="3"/>
    </row>
    <row r="6753" spans="1:4">
      <c r="A6753" s="3"/>
      <c r="D6753" s="3"/>
    </row>
    <row r="6754" spans="1:4">
      <c r="A6754" s="3"/>
      <c r="D6754" s="3"/>
    </row>
    <row r="6755" spans="1:4">
      <c r="A6755" s="3"/>
      <c r="D6755" s="3"/>
    </row>
    <row r="6756" spans="1:4">
      <c r="A6756" s="3"/>
      <c r="D6756" s="3"/>
    </row>
    <row r="6757" spans="1:4">
      <c r="A6757" s="3"/>
      <c r="D6757" s="3"/>
    </row>
    <row r="6758" spans="1:4">
      <c r="A6758" s="3"/>
      <c r="D6758" s="3"/>
    </row>
    <row r="6759" spans="1:4">
      <c r="A6759" s="3"/>
      <c r="D6759" s="3"/>
    </row>
    <row r="6760" spans="1:4">
      <c r="A6760" s="3"/>
      <c r="D6760" s="3"/>
    </row>
    <row r="6761" spans="1:4">
      <c r="A6761" s="3"/>
      <c r="D6761" s="3"/>
    </row>
    <row r="6762" spans="1:4">
      <c r="A6762" s="3"/>
      <c r="D6762" s="3"/>
    </row>
    <row r="6763" spans="1:4">
      <c r="A6763" s="3"/>
      <c r="D6763" s="3"/>
    </row>
    <row r="6764" spans="1:4">
      <c r="A6764" s="3"/>
      <c r="D6764" s="3"/>
    </row>
    <row r="6765" spans="1:4">
      <c r="A6765" s="3"/>
      <c r="D6765" s="3"/>
    </row>
    <row r="6766" spans="1:4">
      <c r="A6766" s="3"/>
      <c r="D6766" s="3"/>
    </row>
    <row r="6767" spans="1:4">
      <c r="A6767" s="3"/>
      <c r="D6767" s="3"/>
    </row>
    <row r="6768" spans="1:4">
      <c r="A6768" s="3"/>
      <c r="D6768" s="3"/>
    </row>
    <row r="6769" spans="1:4">
      <c r="A6769" s="3"/>
      <c r="D6769" s="3"/>
    </row>
    <row r="6770" spans="1:4">
      <c r="A6770" s="3"/>
      <c r="D6770" s="3"/>
    </row>
    <row r="6771" spans="1:4">
      <c r="A6771" s="3"/>
      <c r="D6771" s="3"/>
    </row>
    <row r="6772" spans="1:4">
      <c r="A6772" s="3"/>
      <c r="D6772" s="3"/>
    </row>
    <row r="6773" spans="1:4">
      <c r="A6773" s="3"/>
      <c r="D6773" s="3"/>
    </row>
    <row r="6774" spans="1:4">
      <c r="A6774" s="3"/>
      <c r="D6774" s="3"/>
    </row>
    <row r="6775" spans="1:4">
      <c r="A6775" s="3"/>
      <c r="D6775" s="3"/>
    </row>
    <row r="6776" spans="1:4">
      <c r="A6776" s="3"/>
      <c r="D6776" s="3"/>
    </row>
    <row r="6777" spans="1:4">
      <c r="A6777" s="3"/>
      <c r="D6777" s="3"/>
    </row>
    <row r="6778" spans="1:4">
      <c r="A6778" s="3"/>
      <c r="D6778" s="3"/>
    </row>
    <row r="6779" spans="1:4">
      <c r="A6779" s="3"/>
      <c r="D6779" s="3"/>
    </row>
    <row r="6780" spans="1:4">
      <c r="A6780" s="3"/>
      <c r="D6780" s="3"/>
    </row>
    <row r="6781" spans="1:4">
      <c r="A6781" s="3"/>
      <c r="D6781" s="3"/>
    </row>
    <row r="6782" spans="1:4">
      <c r="A6782" s="3"/>
      <c r="D6782" s="3"/>
    </row>
    <row r="6783" spans="1:4">
      <c r="A6783" s="3"/>
      <c r="D6783" s="3"/>
    </row>
    <row r="6784" spans="1:4">
      <c r="A6784" s="3"/>
      <c r="D6784" s="3"/>
    </row>
    <row r="6785" spans="1:4">
      <c r="A6785" s="3"/>
      <c r="D6785" s="3"/>
    </row>
    <row r="6786" spans="1:4">
      <c r="A6786" s="3"/>
      <c r="D6786" s="3"/>
    </row>
    <row r="6787" spans="1:4">
      <c r="A6787" s="3"/>
      <c r="D6787" s="3"/>
    </row>
    <row r="6788" spans="1:4">
      <c r="A6788" s="3"/>
      <c r="D6788" s="3"/>
    </row>
    <row r="6789" spans="1:4">
      <c r="A6789" s="3"/>
      <c r="D6789" s="3"/>
    </row>
    <row r="6790" spans="1:4">
      <c r="A6790" s="3"/>
      <c r="D6790" s="3"/>
    </row>
    <row r="6791" spans="1:4">
      <c r="A6791" s="3"/>
      <c r="D6791" s="3"/>
    </row>
    <row r="6792" spans="1:4">
      <c r="A6792" s="3"/>
      <c r="D6792" s="3"/>
    </row>
    <row r="6793" spans="1:4">
      <c r="A6793" s="3"/>
      <c r="D6793" s="3"/>
    </row>
    <row r="6794" spans="1:4">
      <c r="A6794" s="3"/>
      <c r="D6794" s="3"/>
    </row>
    <row r="6795" spans="1:4">
      <c r="A6795" s="3"/>
      <c r="D6795" s="3"/>
    </row>
    <row r="6796" spans="1:4">
      <c r="A6796" s="3"/>
      <c r="D6796" s="3"/>
    </row>
    <row r="6797" spans="1:4">
      <c r="A6797" s="3"/>
      <c r="D6797" s="3"/>
    </row>
    <row r="6798" spans="1:4">
      <c r="A6798" s="3"/>
      <c r="D6798" s="3"/>
    </row>
    <row r="6799" spans="1:4">
      <c r="A6799" s="3"/>
      <c r="D6799" s="3"/>
    </row>
    <row r="6800" spans="1:4">
      <c r="A6800" s="3"/>
      <c r="D6800" s="3"/>
    </row>
    <row r="6801" spans="1:4">
      <c r="A6801" s="3"/>
      <c r="D6801" s="3"/>
    </row>
    <row r="6802" spans="1:4">
      <c r="A6802" s="3"/>
      <c r="D6802" s="3"/>
    </row>
    <row r="6803" spans="1:4">
      <c r="A6803" s="3"/>
      <c r="D6803" s="3"/>
    </row>
    <row r="6804" spans="1:4">
      <c r="A6804" s="3"/>
      <c r="D6804" s="3"/>
    </row>
    <row r="6805" spans="1:4">
      <c r="A6805" s="3"/>
      <c r="D6805" s="3"/>
    </row>
    <row r="6806" spans="1:4">
      <c r="A6806" s="3"/>
      <c r="D6806" s="3"/>
    </row>
    <row r="6807" spans="1:4">
      <c r="A6807" s="3"/>
      <c r="D6807" s="3"/>
    </row>
    <row r="6808" spans="1:4">
      <c r="A6808" s="3"/>
      <c r="D6808" s="3"/>
    </row>
    <row r="6809" spans="1:4">
      <c r="A6809" s="3"/>
      <c r="D6809" s="3"/>
    </row>
    <row r="6810" spans="1:4">
      <c r="A6810" s="3"/>
      <c r="D6810" s="3"/>
    </row>
    <row r="6811" spans="1:4">
      <c r="A6811" s="3"/>
      <c r="D6811" s="3"/>
    </row>
    <row r="6812" spans="1:4">
      <c r="A6812" s="3"/>
      <c r="D6812" s="3"/>
    </row>
    <row r="6813" spans="1:4">
      <c r="A6813" s="3"/>
      <c r="D6813" s="3"/>
    </row>
    <row r="6814" spans="1:4">
      <c r="A6814" s="3"/>
      <c r="D6814" s="3"/>
    </row>
    <row r="6815" spans="1:4">
      <c r="A6815" s="3"/>
      <c r="D6815" s="3"/>
    </row>
    <row r="6816" spans="1:4">
      <c r="A6816" s="3"/>
      <c r="D6816" s="3"/>
    </row>
    <row r="6817" spans="1:4">
      <c r="A6817" s="3"/>
      <c r="D6817" s="3"/>
    </row>
    <row r="6818" spans="1:4">
      <c r="A6818" s="3"/>
      <c r="D6818" s="3"/>
    </row>
    <row r="6819" spans="1:4">
      <c r="A6819" s="3"/>
      <c r="D6819" s="3"/>
    </row>
    <row r="6820" spans="1:4">
      <c r="A6820" s="3"/>
      <c r="D6820" s="3"/>
    </row>
    <row r="6821" spans="1:4">
      <c r="A6821" s="3"/>
      <c r="D6821" s="3"/>
    </row>
    <row r="6822" spans="1:4">
      <c r="A6822" s="3"/>
      <c r="D6822" s="3"/>
    </row>
    <row r="6823" spans="1:4">
      <c r="A6823" s="3"/>
      <c r="D6823" s="3"/>
    </row>
    <row r="6824" spans="1:4">
      <c r="A6824" s="3"/>
      <c r="D6824" s="3"/>
    </row>
    <row r="6825" spans="1:4">
      <c r="A6825" s="3"/>
      <c r="D6825" s="3"/>
    </row>
    <row r="6826" spans="1:4">
      <c r="A6826" s="3"/>
      <c r="D6826" s="3"/>
    </row>
    <row r="6827" spans="1:4">
      <c r="A6827" s="3"/>
      <c r="D6827" s="3"/>
    </row>
    <row r="6828" spans="1:4">
      <c r="A6828" s="3"/>
      <c r="D6828" s="3"/>
    </row>
    <row r="6829" spans="1:4">
      <c r="A6829" s="3"/>
      <c r="D6829" s="3"/>
    </row>
    <row r="6830" spans="1:4">
      <c r="A6830" s="3"/>
      <c r="D6830" s="3"/>
    </row>
    <row r="6831" spans="1:4">
      <c r="A6831" s="3"/>
      <c r="D6831" s="3"/>
    </row>
    <row r="6832" spans="1:4">
      <c r="A6832" s="3"/>
      <c r="D6832" s="3"/>
    </row>
    <row r="6833" spans="1:4">
      <c r="A6833" s="3"/>
      <c r="D6833" s="3"/>
    </row>
    <row r="6834" spans="1:4">
      <c r="A6834" s="3"/>
      <c r="D6834" s="3"/>
    </row>
    <row r="6835" spans="1:4">
      <c r="A6835" s="3"/>
      <c r="D6835" s="3"/>
    </row>
    <row r="6836" spans="1:4">
      <c r="A6836" s="3"/>
      <c r="D6836" s="3"/>
    </row>
    <row r="6837" spans="1:4">
      <c r="A6837" s="3"/>
      <c r="D6837" s="3"/>
    </row>
    <row r="6838" spans="1:4">
      <c r="A6838" s="3"/>
      <c r="D6838" s="3"/>
    </row>
    <row r="6839" spans="1:4">
      <c r="A6839" s="3"/>
      <c r="D6839" s="3"/>
    </row>
    <row r="6840" spans="1:4">
      <c r="A6840" s="3"/>
      <c r="D6840" s="3"/>
    </row>
    <row r="6841" spans="1:4">
      <c r="A6841" s="3"/>
      <c r="D6841" s="3"/>
    </row>
    <row r="6842" spans="1:4">
      <c r="A6842" s="3"/>
      <c r="D6842" s="3"/>
    </row>
    <row r="6843" spans="1:4">
      <c r="A6843" s="3"/>
      <c r="D6843" s="3"/>
    </row>
    <row r="6844" spans="1:4">
      <c r="A6844" s="3"/>
      <c r="D6844" s="3"/>
    </row>
    <row r="6845" spans="1:4">
      <c r="A6845" s="3"/>
      <c r="D6845" s="3"/>
    </row>
    <row r="6846" spans="1:4">
      <c r="A6846" s="3"/>
      <c r="D6846" s="3"/>
    </row>
    <row r="6847" spans="1:4">
      <c r="A6847" s="3"/>
      <c r="D6847" s="3"/>
    </row>
    <row r="6848" spans="1:4">
      <c r="A6848" s="3"/>
      <c r="D6848" s="3"/>
    </row>
    <row r="6849" spans="1:4">
      <c r="A6849" s="3"/>
      <c r="D6849" s="3"/>
    </row>
    <row r="6850" spans="1:4">
      <c r="A6850" s="3"/>
      <c r="D6850" s="3"/>
    </row>
    <row r="6851" spans="1:4">
      <c r="A6851" s="3"/>
      <c r="D6851" s="3"/>
    </row>
    <row r="6852" spans="1:4">
      <c r="A6852" s="3"/>
      <c r="D6852" s="3"/>
    </row>
    <row r="6853" spans="1:4">
      <c r="A6853" s="3"/>
      <c r="D6853" s="3"/>
    </row>
    <row r="6854" spans="1:4">
      <c r="A6854" s="3"/>
      <c r="D6854" s="3"/>
    </row>
    <row r="6855" spans="1:4">
      <c r="A6855" s="3"/>
      <c r="D6855" s="3"/>
    </row>
    <row r="6856" spans="1:4">
      <c r="A6856" s="3"/>
      <c r="D6856" s="3"/>
    </row>
    <row r="6857" spans="1:4">
      <c r="A6857" s="3"/>
      <c r="D6857" s="3"/>
    </row>
    <row r="6858" spans="1:4">
      <c r="A6858" s="3"/>
      <c r="D6858" s="3"/>
    </row>
    <row r="6859" spans="1:4">
      <c r="A6859" s="3"/>
      <c r="D6859" s="3"/>
    </row>
    <row r="6860" spans="1:4">
      <c r="A6860" s="3"/>
      <c r="D6860" s="3"/>
    </row>
    <row r="6861" spans="1:4">
      <c r="A6861" s="3"/>
      <c r="D6861" s="3"/>
    </row>
    <row r="6862" spans="1:4">
      <c r="A6862" s="3"/>
      <c r="D6862" s="3"/>
    </row>
    <row r="6863" spans="1:4">
      <c r="A6863" s="3"/>
      <c r="D6863" s="3"/>
    </row>
    <row r="6864" spans="1:4">
      <c r="A6864" s="3"/>
      <c r="D6864" s="3"/>
    </row>
    <row r="6865" spans="1:4">
      <c r="A6865" s="3"/>
      <c r="D6865" s="3"/>
    </row>
    <row r="6866" spans="1:4">
      <c r="A6866" s="3"/>
      <c r="D6866" s="3"/>
    </row>
    <row r="6867" spans="1:4">
      <c r="A6867" s="3"/>
      <c r="D6867" s="3"/>
    </row>
    <row r="6868" spans="1:4">
      <c r="A6868" s="3"/>
      <c r="D6868" s="3"/>
    </row>
    <row r="6869" spans="1:4">
      <c r="A6869" s="3"/>
      <c r="D6869" s="3"/>
    </row>
    <row r="6870" spans="1:4">
      <c r="A6870" s="3"/>
      <c r="D6870" s="3"/>
    </row>
    <row r="6871" spans="1:4">
      <c r="A6871" s="3"/>
      <c r="D6871" s="3"/>
    </row>
    <row r="6872" spans="1:4">
      <c r="A6872" s="3"/>
      <c r="D6872" s="3"/>
    </row>
    <row r="6873" spans="1:4">
      <c r="A6873" s="3"/>
      <c r="D6873" s="3"/>
    </row>
    <row r="6874" spans="1:4">
      <c r="A6874" s="3"/>
      <c r="D6874" s="3"/>
    </row>
    <row r="6875" spans="1:4">
      <c r="A6875" s="3"/>
      <c r="D6875" s="3"/>
    </row>
    <row r="6876" spans="1:4">
      <c r="A6876" s="3"/>
      <c r="D6876" s="3"/>
    </row>
    <row r="6877" spans="1:4">
      <c r="A6877" s="3"/>
      <c r="D6877" s="3"/>
    </row>
    <row r="6878" spans="1:4">
      <c r="A6878" s="3"/>
      <c r="D6878" s="3"/>
    </row>
    <row r="6879" spans="1:4">
      <c r="A6879" s="3"/>
      <c r="D6879" s="3"/>
    </row>
    <row r="6880" spans="1:4">
      <c r="A6880" s="3"/>
      <c r="D6880" s="3"/>
    </row>
    <row r="6881" spans="1:4">
      <c r="A6881" s="3"/>
      <c r="D6881" s="3"/>
    </row>
    <row r="6882" spans="1:4">
      <c r="A6882" s="3"/>
      <c r="D6882" s="3"/>
    </row>
    <row r="6883" spans="1:4">
      <c r="A6883" s="3"/>
      <c r="D6883" s="3"/>
    </row>
    <row r="6884" spans="1:4">
      <c r="A6884" s="3"/>
      <c r="D6884" s="3"/>
    </row>
    <row r="6885" spans="1:4">
      <c r="A6885" s="3"/>
      <c r="D6885" s="3"/>
    </row>
    <row r="6886" spans="1:4">
      <c r="A6886" s="3"/>
      <c r="D6886" s="3"/>
    </row>
    <row r="6887" spans="1:4">
      <c r="A6887" s="3"/>
      <c r="D6887" s="3"/>
    </row>
    <row r="6888" spans="1:4">
      <c r="A6888" s="3"/>
      <c r="D6888" s="3"/>
    </row>
    <row r="6889" spans="1:4">
      <c r="A6889" s="3"/>
      <c r="D6889" s="3"/>
    </row>
    <row r="6890" spans="1:4">
      <c r="A6890" s="3"/>
      <c r="D6890" s="3"/>
    </row>
    <row r="6891" spans="1:4">
      <c r="A6891" s="3"/>
      <c r="D6891" s="3"/>
    </row>
    <row r="6892" spans="1:4">
      <c r="A6892" s="3"/>
      <c r="D6892" s="3"/>
    </row>
    <row r="6893" spans="1:4">
      <c r="A6893" s="3"/>
      <c r="D6893" s="3"/>
    </row>
    <row r="6894" spans="1:4">
      <c r="A6894" s="3"/>
      <c r="D6894" s="3"/>
    </row>
    <row r="6895" spans="1:4">
      <c r="A6895" s="3"/>
      <c r="D6895" s="3"/>
    </row>
    <row r="6896" spans="1:4">
      <c r="A6896" s="3"/>
      <c r="D6896" s="3"/>
    </row>
    <row r="6897" spans="1:4">
      <c r="A6897" s="3"/>
      <c r="D6897" s="3"/>
    </row>
    <row r="6898" spans="1:4">
      <c r="A6898" s="3"/>
      <c r="D6898" s="3"/>
    </row>
    <row r="6899" spans="1:4">
      <c r="A6899" s="3"/>
      <c r="D6899" s="3"/>
    </row>
    <row r="6900" spans="1:4">
      <c r="A6900" s="3"/>
      <c r="D6900" s="3"/>
    </row>
    <row r="6901" spans="1:4">
      <c r="A6901" s="3"/>
      <c r="D6901" s="3"/>
    </row>
    <row r="6902" spans="1:4">
      <c r="A6902" s="3"/>
      <c r="D6902" s="3"/>
    </row>
    <row r="6903" spans="1:4">
      <c r="A6903" s="3"/>
      <c r="D6903" s="3"/>
    </row>
    <row r="6904" spans="1:4">
      <c r="A6904" s="3"/>
      <c r="D6904" s="3"/>
    </row>
    <row r="6905" spans="1:4">
      <c r="A6905" s="3"/>
      <c r="D6905" s="3"/>
    </row>
    <row r="6906" spans="1:4">
      <c r="A6906" s="3"/>
      <c r="D6906" s="3"/>
    </row>
    <row r="6907" spans="1:4">
      <c r="A6907" s="3"/>
      <c r="D6907" s="3"/>
    </row>
    <row r="6908" spans="1:4">
      <c r="A6908" s="3"/>
      <c r="D6908" s="3"/>
    </row>
    <row r="6909" spans="1:4">
      <c r="A6909" s="3"/>
      <c r="D6909" s="3"/>
    </row>
    <row r="6910" spans="1:4">
      <c r="A6910" s="3"/>
      <c r="D6910" s="3"/>
    </row>
    <row r="6911" spans="1:4">
      <c r="A6911" s="3"/>
      <c r="D6911" s="3"/>
    </row>
    <row r="6912" spans="1:4">
      <c r="A6912" s="3"/>
      <c r="D6912" s="3"/>
    </row>
    <row r="6913" spans="1:4">
      <c r="A6913" s="3"/>
      <c r="D6913" s="3"/>
    </row>
    <row r="6914" spans="1:4">
      <c r="A6914" s="3"/>
      <c r="D6914" s="3"/>
    </row>
    <row r="6915" spans="1:4">
      <c r="A6915" s="3"/>
      <c r="D6915" s="3"/>
    </row>
    <row r="6916" spans="1:4">
      <c r="A6916" s="3"/>
      <c r="D6916" s="3"/>
    </row>
    <row r="6917" spans="1:4">
      <c r="A6917" s="3"/>
      <c r="D6917" s="3"/>
    </row>
    <row r="6918" spans="1:4">
      <c r="A6918" s="3"/>
      <c r="D6918" s="3"/>
    </row>
    <row r="6919" spans="1:4">
      <c r="A6919" s="3"/>
      <c r="D6919" s="3"/>
    </row>
    <row r="6920" spans="1:4">
      <c r="A6920" s="3"/>
      <c r="D6920" s="3"/>
    </row>
    <row r="6921" spans="1:4">
      <c r="A6921" s="3"/>
      <c r="D6921" s="3"/>
    </row>
    <row r="6922" spans="1:4">
      <c r="A6922" s="3"/>
      <c r="D6922" s="3"/>
    </row>
    <row r="6923" spans="1:4">
      <c r="A6923" s="3"/>
      <c r="D6923" s="3"/>
    </row>
    <row r="6924" spans="1:4">
      <c r="A6924" s="3"/>
      <c r="D6924" s="3"/>
    </row>
    <row r="6925" spans="1:4">
      <c r="A6925" s="3"/>
      <c r="D6925" s="3"/>
    </row>
    <row r="6926" spans="1:4">
      <c r="A6926" s="3"/>
      <c r="D6926" s="3"/>
    </row>
    <row r="6927" spans="1:4">
      <c r="A6927" s="3"/>
      <c r="D6927" s="3"/>
    </row>
    <row r="6928" spans="1:4">
      <c r="A6928" s="3"/>
      <c r="D6928" s="3"/>
    </row>
    <row r="6929" spans="1:4">
      <c r="A6929" s="3"/>
      <c r="D6929" s="3"/>
    </row>
    <row r="6930" spans="1:4">
      <c r="A6930" s="3"/>
      <c r="D6930" s="3"/>
    </row>
    <row r="6931" spans="1:4">
      <c r="A6931" s="3"/>
      <c r="D6931" s="3"/>
    </row>
    <row r="6932" spans="1:4">
      <c r="A6932" s="3"/>
      <c r="D6932" s="3"/>
    </row>
    <row r="6933" spans="1:4">
      <c r="A6933" s="3"/>
      <c r="D6933" s="3"/>
    </row>
    <row r="6934" spans="1:4">
      <c r="A6934" s="3"/>
      <c r="D6934" s="3"/>
    </row>
    <row r="6935" spans="1:4">
      <c r="A6935" s="3"/>
      <c r="D6935" s="3"/>
    </row>
    <row r="6936" spans="1:4">
      <c r="A6936" s="3"/>
      <c r="D6936" s="3"/>
    </row>
    <row r="6937" spans="1:4">
      <c r="A6937" s="3"/>
      <c r="D6937" s="3"/>
    </row>
    <row r="6938" spans="1:4">
      <c r="A6938" s="3"/>
      <c r="D6938" s="3"/>
    </row>
    <row r="6939" spans="1:4">
      <c r="A6939" s="3"/>
      <c r="D6939" s="3"/>
    </row>
    <row r="6940" spans="1:4">
      <c r="A6940" s="3"/>
      <c r="D6940" s="3"/>
    </row>
    <row r="6941" spans="1:4">
      <c r="A6941" s="3"/>
      <c r="D6941" s="3"/>
    </row>
    <row r="6942" spans="1:4">
      <c r="A6942" s="3"/>
      <c r="D6942" s="3"/>
    </row>
    <row r="6943" spans="1:4">
      <c r="A6943" s="3"/>
      <c r="D6943" s="3"/>
    </row>
    <row r="6944" spans="1:4">
      <c r="A6944" s="3"/>
      <c r="D6944" s="3"/>
    </row>
    <row r="6945" spans="1:4">
      <c r="A6945" s="3"/>
      <c r="D6945" s="3"/>
    </row>
    <row r="6946" spans="1:4">
      <c r="A6946" s="3"/>
      <c r="D6946" s="3"/>
    </row>
    <row r="6947" spans="1:4">
      <c r="A6947" s="3"/>
      <c r="D6947" s="3"/>
    </row>
    <row r="6948" spans="1:4">
      <c r="A6948" s="3"/>
      <c r="D6948" s="3"/>
    </row>
    <row r="6949" spans="1:4">
      <c r="A6949" s="3"/>
      <c r="D6949" s="3"/>
    </row>
    <row r="6950" spans="1:4">
      <c r="A6950" s="3"/>
      <c r="D6950" s="3"/>
    </row>
    <row r="6951" spans="1:4">
      <c r="A6951" s="3"/>
      <c r="D6951" s="3"/>
    </row>
    <row r="6952" spans="1:4">
      <c r="A6952" s="3"/>
      <c r="D6952" s="3"/>
    </row>
    <row r="6953" spans="1:4">
      <c r="A6953" s="3"/>
      <c r="D6953" s="3"/>
    </row>
    <row r="6954" spans="1:4">
      <c r="A6954" s="3"/>
      <c r="D6954" s="3"/>
    </row>
    <row r="6955" spans="1:4">
      <c r="A6955" s="3"/>
      <c r="D6955" s="3"/>
    </row>
    <row r="6956" spans="1:4">
      <c r="A6956" s="3"/>
      <c r="D6956" s="3"/>
    </row>
    <row r="6957" spans="1:4">
      <c r="A6957" s="3"/>
      <c r="D6957" s="3"/>
    </row>
    <row r="6958" spans="1:4">
      <c r="A6958" s="3"/>
      <c r="D6958" s="3"/>
    </row>
    <row r="6959" spans="1:4">
      <c r="A6959" s="3"/>
      <c r="D6959" s="3"/>
    </row>
    <row r="6960" spans="1:4">
      <c r="A6960" s="3"/>
      <c r="D6960" s="3"/>
    </row>
    <row r="6961" spans="1:4">
      <c r="A6961" s="3"/>
      <c r="D6961" s="3"/>
    </row>
    <row r="6962" spans="1:4">
      <c r="A6962" s="3"/>
      <c r="D6962" s="3"/>
    </row>
    <row r="6963" spans="1:4">
      <c r="A6963" s="3"/>
      <c r="D6963" s="3"/>
    </row>
    <row r="6964" spans="1:4">
      <c r="A6964" s="3"/>
      <c r="D6964" s="3"/>
    </row>
    <row r="6965" spans="1:4">
      <c r="A6965" s="3"/>
      <c r="D6965" s="3"/>
    </row>
    <row r="6966" spans="1:4">
      <c r="A6966" s="3"/>
      <c r="D6966" s="3"/>
    </row>
    <row r="6967" spans="1:4">
      <c r="A6967" s="3"/>
      <c r="D6967" s="3"/>
    </row>
    <row r="6968" spans="1:4">
      <c r="A6968" s="3"/>
      <c r="D6968" s="3"/>
    </row>
    <row r="6969" spans="1:4">
      <c r="A6969" s="3"/>
      <c r="D6969" s="3"/>
    </row>
    <row r="6970" spans="1:4">
      <c r="A6970" s="3"/>
      <c r="D6970" s="3"/>
    </row>
    <row r="6971" spans="1:4">
      <c r="A6971" s="3"/>
      <c r="D6971" s="3"/>
    </row>
    <row r="6972" spans="1:4">
      <c r="A6972" s="3"/>
      <c r="D6972" s="3"/>
    </row>
    <row r="6973" spans="1:4">
      <c r="A6973" s="3"/>
      <c r="D6973" s="3"/>
    </row>
    <row r="6974" spans="1:4">
      <c r="A6974" s="3"/>
      <c r="D6974" s="3"/>
    </row>
    <row r="6975" spans="1:4">
      <c r="A6975" s="3"/>
      <c r="D6975" s="3"/>
    </row>
    <row r="6976" spans="1:4">
      <c r="A6976" s="3"/>
      <c r="D6976" s="3"/>
    </row>
    <row r="6977" spans="1:4">
      <c r="A6977" s="3"/>
      <c r="D6977" s="3"/>
    </row>
    <row r="6978" spans="1:4">
      <c r="A6978" s="3"/>
      <c r="D6978" s="3"/>
    </row>
    <row r="6979" spans="1:4">
      <c r="A6979" s="3"/>
      <c r="D6979" s="3"/>
    </row>
    <row r="6980" spans="1:4">
      <c r="A6980" s="3"/>
      <c r="D6980" s="3"/>
    </row>
    <row r="6981" spans="1:4">
      <c r="A6981" s="3"/>
      <c r="D6981" s="3"/>
    </row>
    <row r="6982" spans="1:4">
      <c r="A6982" s="3"/>
      <c r="D6982" s="3"/>
    </row>
    <row r="6983" spans="1:4">
      <c r="A6983" s="3"/>
      <c r="D6983" s="3"/>
    </row>
    <row r="6984" spans="1:4">
      <c r="A6984" s="3"/>
      <c r="D6984" s="3"/>
    </row>
    <row r="6985" spans="1:4">
      <c r="A6985" s="3"/>
      <c r="D6985" s="3"/>
    </row>
    <row r="6986" spans="1:4">
      <c r="A6986" s="3"/>
      <c r="D6986" s="3"/>
    </row>
    <row r="6987" spans="1:4">
      <c r="A6987" s="3"/>
      <c r="D6987" s="3"/>
    </row>
    <row r="6988" spans="1:4">
      <c r="A6988" s="3"/>
      <c r="D6988" s="3"/>
    </row>
    <row r="6989" spans="1:4">
      <c r="A6989" s="3"/>
      <c r="D6989" s="3"/>
    </row>
    <row r="6990" spans="1:4">
      <c r="A6990" s="3"/>
      <c r="D6990" s="3"/>
    </row>
    <row r="6991" spans="1:4">
      <c r="A6991" s="3"/>
      <c r="D6991" s="3"/>
    </row>
    <row r="6992" spans="1:4">
      <c r="A6992" s="3"/>
      <c r="D6992" s="3"/>
    </row>
    <row r="6993" spans="1:4">
      <c r="A6993" s="3"/>
      <c r="D6993" s="3"/>
    </row>
    <row r="6994" spans="1:4">
      <c r="A6994" s="3"/>
      <c r="D6994" s="3"/>
    </row>
    <row r="6995" spans="1:4">
      <c r="A6995" s="3"/>
      <c r="D6995" s="3"/>
    </row>
    <row r="6996" spans="1:4">
      <c r="A6996" s="3"/>
      <c r="D6996" s="3"/>
    </row>
    <row r="6997" spans="1:4">
      <c r="A6997" s="3"/>
      <c r="D6997" s="3"/>
    </row>
    <row r="6998" spans="1:4">
      <c r="A6998" s="3"/>
      <c r="D6998" s="3"/>
    </row>
    <row r="6999" spans="1:4">
      <c r="A6999" s="3"/>
      <c r="D6999" s="3"/>
    </row>
    <row r="7000" spans="1:4">
      <c r="A7000" s="3"/>
      <c r="D7000" s="3"/>
    </row>
    <row r="7001" spans="1:4">
      <c r="A7001" s="3"/>
      <c r="D7001" s="3"/>
    </row>
    <row r="7002" spans="1:4">
      <c r="A7002" s="3"/>
      <c r="D7002" s="3"/>
    </row>
    <row r="7003" spans="1:4">
      <c r="A7003" s="3"/>
      <c r="D7003" s="3"/>
    </row>
    <row r="7004" spans="1:4">
      <c r="A7004" s="3"/>
      <c r="D7004" s="3"/>
    </row>
    <row r="7005" spans="1:4">
      <c r="A7005" s="3"/>
      <c r="D7005" s="3"/>
    </row>
    <row r="7006" spans="1:4">
      <c r="A7006" s="3"/>
      <c r="D7006" s="3"/>
    </row>
    <row r="7007" spans="1:4">
      <c r="A7007" s="3"/>
      <c r="D7007" s="3"/>
    </row>
    <row r="7008" spans="1:4">
      <c r="A7008" s="3"/>
      <c r="D7008" s="3"/>
    </row>
    <row r="7009" spans="1:4">
      <c r="A7009" s="3"/>
      <c r="D7009" s="3"/>
    </row>
    <row r="7010" spans="1:4">
      <c r="A7010" s="3"/>
      <c r="D7010" s="3"/>
    </row>
    <row r="7011" spans="1:4">
      <c r="A7011" s="3"/>
      <c r="D7011" s="3"/>
    </row>
    <row r="7012" spans="1:4">
      <c r="A7012" s="3"/>
      <c r="D7012" s="3"/>
    </row>
    <row r="7013" spans="1:4">
      <c r="A7013" s="3"/>
      <c r="D7013" s="3"/>
    </row>
    <row r="7014" spans="1:4">
      <c r="A7014" s="3"/>
      <c r="D7014" s="3"/>
    </row>
    <row r="7015" spans="1:4">
      <c r="A7015" s="3"/>
      <c r="D7015" s="3"/>
    </row>
    <row r="7016" spans="1:4">
      <c r="A7016" s="3"/>
      <c r="D7016" s="3"/>
    </row>
    <row r="7017" spans="1:4">
      <c r="A7017" s="3"/>
      <c r="D7017" s="3"/>
    </row>
    <row r="7018" spans="1:4">
      <c r="A7018" s="3"/>
      <c r="D7018" s="3"/>
    </row>
    <row r="7019" spans="1:4">
      <c r="A7019" s="3"/>
      <c r="D7019" s="3"/>
    </row>
    <row r="7020" spans="1:4">
      <c r="A7020" s="3"/>
      <c r="D7020" s="3"/>
    </row>
    <row r="7021" spans="1:4">
      <c r="A7021" s="3"/>
      <c r="D7021" s="3"/>
    </row>
    <row r="7022" spans="1:4">
      <c r="A7022" s="3"/>
      <c r="D7022" s="3"/>
    </row>
    <row r="7023" spans="1:4">
      <c r="A7023" s="3"/>
      <c r="D7023" s="3"/>
    </row>
    <row r="7024" spans="1:4">
      <c r="A7024" s="3"/>
      <c r="D7024" s="3"/>
    </row>
    <row r="7025" spans="1:4">
      <c r="A7025" s="3"/>
      <c r="D7025" s="3"/>
    </row>
    <row r="7026" spans="1:4">
      <c r="A7026" s="3"/>
      <c r="D7026" s="3"/>
    </row>
    <row r="7027" spans="1:4">
      <c r="A7027" s="3"/>
      <c r="D7027" s="3"/>
    </row>
    <row r="7028" spans="1:4">
      <c r="A7028" s="3"/>
      <c r="D7028" s="3"/>
    </row>
    <row r="7029" spans="1:4">
      <c r="A7029" s="3"/>
      <c r="D7029" s="3"/>
    </row>
    <row r="7030" spans="1:4">
      <c r="A7030" s="3"/>
      <c r="D7030" s="3"/>
    </row>
    <row r="7031" spans="1:4">
      <c r="A7031" s="3"/>
      <c r="D7031" s="3"/>
    </row>
    <row r="7032" spans="1:4">
      <c r="A7032" s="3"/>
      <c r="D7032" s="3"/>
    </row>
    <row r="7033" spans="1:4">
      <c r="A7033" s="3"/>
      <c r="D7033" s="3"/>
    </row>
    <row r="7034" spans="1:4">
      <c r="A7034" s="3"/>
      <c r="D7034" s="3"/>
    </row>
    <row r="7035" spans="1:4">
      <c r="A7035" s="3"/>
      <c r="D7035" s="3"/>
    </row>
    <row r="7036" spans="1:4">
      <c r="A7036" s="3"/>
      <c r="D7036" s="3"/>
    </row>
    <row r="7037" spans="1:4">
      <c r="A7037" s="3"/>
      <c r="D7037" s="3"/>
    </row>
    <row r="7038" spans="1:4">
      <c r="A7038" s="3"/>
      <c r="D7038" s="3"/>
    </row>
    <row r="7039" spans="1:4">
      <c r="A7039" s="3"/>
      <c r="D7039" s="3"/>
    </row>
    <row r="7040" spans="1:4">
      <c r="A7040" s="3"/>
      <c r="D7040" s="3"/>
    </row>
    <row r="7041" spans="1:4">
      <c r="A7041" s="3"/>
      <c r="D7041" s="3"/>
    </row>
    <row r="7042" spans="1:4">
      <c r="A7042" s="3"/>
      <c r="D7042" s="3"/>
    </row>
    <row r="7043" spans="1:4">
      <c r="A7043" s="3"/>
      <c r="D7043" s="3"/>
    </row>
    <row r="7044" spans="1:4">
      <c r="A7044" s="3"/>
      <c r="D7044" s="3"/>
    </row>
    <row r="7045" spans="1:4">
      <c r="A7045" s="3"/>
      <c r="D7045" s="3"/>
    </row>
    <row r="7046" spans="1:4">
      <c r="A7046" s="3"/>
      <c r="D7046" s="3"/>
    </row>
    <row r="7047" spans="1:4">
      <c r="A7047" s="3"/>
      <c r="D7047" s="3"/>
    </row>
    <row r="7048" spans="1:4">
      <c r="A7048" s="3"/>
      <c r="D7048" s="3"/>
    </row>
    <row r="7049" spans="1:4">
      <c r="A7049" s="3"/>
      <c r="D7049" s="3"/>
    </row>
    <row r="7050" spans="1:4">
      <c r="A7050" s="3"/>
      <c r="D7050" s="3"/>
    </row>
    <row r="7051" spans="1:4">
      <c r="A7051" s="3"/>
      <c r="D7051" s="3"/>
    </row>
    <row r="7052" spans="1:4">
      <c r="A7052" s="3"/>
      <c r="D7052" s="3"/>
    </row>
    <row r="7053" spans="1:4">
      <c r="A7053" s="3"/>
      <c r="D7053" s="3"/>
    </row>
    <row r="7054" spans="1:4">
      <c r="A7054" s="3"/>
      <c r="D7054" s="3"/>
    </row>
    <row r="7055" spans="1:4">
      <c r="A7055" s="3"/>
      <c r="D7055" s="3"/>
    </row>
    <row r="7056" spans="1:4">
      <c r="A7056" s="3"/>
      <c r="D7056" s="3"/>
    </row>
    <row r="7057" spans="1:4">
      <c r="A7057" s="3"/>
      <c r="D7057" s="3"/>
    </row>
    <row r="7058" spans="1:4">
      <c r="A7058" s="3"/>
      <c r="D7058" s="3"/>
    </row>
    <row r="7059" spans="1:4">
      <c r="A7059" s="3"/>
      <c r="D7059" s="3"/>
    </row>
    <row r="7060" spans="1:4">
      <c r="A7060" s="3"/>
      <c r="D7060" s="3"/>
    </row>
    <row r="7061" spans="1:4">
      <c r="A7061" s="3"/>
      <c r="D7061" s="3"/>
    </row>
    <row r="7062" spans="1:4">
      <c r="A7062" s="3"/>
      <c r="D7062" s="3"/>
    </row>
    <row r="7063" spans="1:4">
      <c r="A7063" s="3"/>
      <c r="D7063" s="3"/>
    </row>
    <row r="7064" spans="1:4">
      <c r="A7064" s="3"/>
      <c r="D7064" s="3"/>
    </row>
    <row r="7065" spans="1:4">
      <c r="A7065" s="3"/>
      <c r="D7065" s="3"/>
    </row>
    <row r="7066" spans="1:4">
      <c r="A7066" s="3"/>
      <c r="D7066" s="3"/>
    </row>
    <row r="7067" spans="1:4">
      <c r="A7067" s="3"/>
      <c r="D7067" s="3"/>
    </row>
    <row r="7068" spans="1:4">
      <c r="A7068" s="3"/>
      <c r="D7068" s="3"/>
    </row>
    <row r="7069" spans="1:4">
      <c r="A7069" s="3"/>
      <c r="D7069" s="3"/>
    </row>
    <row r="7070" spans="1:4">
      <c r="A7070" s="3"/>
      <c r="D7070" s="3"/>
    </row>
    <row r="7071" spans="1:4">
      <c r="A7071" s="3"/>
      <c r="D7071" s="3"/>
    </row>
    <row r="7072" spans="1:4">
      <c r="A7072" s="3"/>
      <c r="D7072" s="3"/>
    </row>
    <row r="7073" spans="1:4">
      <c r="A7073" s="3"/>
      <c r="D7073" s="3"/>
    </row>
    <row r="7074" spans="1:4">
      <c r="A7074" s="3"/>
      <c r="D7074" s="3"/>
    </row>
    <row r="7075" spans="1:4">
      <c r="A7075" s="3"/>
      <c r="D7075" s="3"/>
    </row>
    <row r="7076" spans="1:4">
      <c r="A7076" s="3"/>
      <c r="D7076" s="3"/>
    </row>
    <row r="7077" spans="1:4">
      <c r="A7077" s="3"/>
      <c r="D7077" s="3"/>
    </row>
    <row r="7078" spans="1:4">
      <c r="A7078" s="3"/>
      <c r="D7078" s="3"/>
    </row>
    <row r="7079" spans="1:4">
      <c r="A7079" s="3"/>
      <c r="D7079" s="3"/>
    </row>
    <row r="7080" spans="1:4">
      <c r="A7080" s="3"/>
      <c r="D7080" s="3"/>
    </row>
    <row r="7081" spans="1:4">
      <c r="A7081" s="3"/>
      <c r="D7081" s="3"/>
    </row>
    <row r="7082" spans="1:4">
      <c r="A7082" s="3"/>
      <c r="D7082" s="3"/>
    </row>
    <row r="7083" spans="1:4">
      <c r="A7083" s="3"/>
      <c r="D7083" s="3"/>
    </row>
    <row r="7084" spans="1:4">
      <c r="A7084" s="3"/>
      <c r="D7084" s="3"/>
    </row>
    <row r="7085" spans="1:4">
      <c r="A7085" s="3"/>
      <c r="D7085" s="3"/>
    </row>
    <row r="7086" spans="1:4">
      <c r="A7086" s="3"/>
      <c r="D7086" s="3"/>
    </row>
    <row r="7087" spans="1:4">
      <c r="A7087" s="3"/>
      <c r="D7087" s="3"/>
    </row>
    <row r="7088" spans="1:4">
      <c r="A7088" s="3"/>
      <c r="D7088" s="3"/>
    </row>
    <row r="7089" spans="1:4">
      <c r="A7089" s="3"/>
      <c r="D7089" s="3"/>
    </row>
    <row r="7090" spans="1:4">
      <c r="A7090" s="3"/>
      <c r="D7090" s="3"/>
    </row>
    <row r="7091" spans="1:4">
      <c r="A7091" s="3"/>
      <c r="D7091" s="3"/>
    </row>
    <row r="7092" spans="1:4">
      <c r="A7092" s="3"/>
      <c r="D7092" s="3"/>
    </row>
    <row r="7093" spans="1:4">
      <c r="A7093" s="3"/>
      <c r="D7093" s="3"/>
    </row>
    <row r="7094" spans="1:4">
      <c r="A7094" s="3"/>
      <c r="D7094" s="3"/>
    </row>
    <row r="7095" spans="1:4">
      <c r="A7095" s="3"/>
      <c r="D7095" s="3"/>
    </row>
    <row r="7096" spans="1:4">
      <c r="A7096" s="3"/>
      <c r="D7096" s="3"/>
    </row>
    <row r="7097" spans="1:4">
      <c r="A7097" s="3"/>
      <c r="D7097" s="3"/>
    </row>
    <row r="7098" spans="1:4">
      <c r="A7098" s="3"/>
      <c r="D7098" s="3"/>
    </row>
    <row r="7099" spans="1:4">
      <c r="A7099" s="3"/>
      <c r="D7099" s="3"/>
    </row>
    <row r="7100" spans="1:4">
      <c r="A7100" s="3"/>
      <c r="D7100" s="3"/>
    </row>
    <row r="7101" spans="1:4">
      <c r="A7101" s="3"/>
      <c r="D7101" s="3"/>
    </row>
    <row r="7102" spans="1:4">
      <c r="A7102" s="3"/>
      <c r="D7102" s="3"/>
    </row>
    <row r="7103" spans="1:4">
      <c r="A7103" s="3"/>
      <c r="D7103" s="3"/>
    </row>
    <row r="7104" spans="1:4">
      <c r="A7104" s="3"/>
      <c r="D7104" s="3"/>
    </row>
    <row r="7105" spans="1:4">
      <c r="A7105" s="3"/>
      <c r="D7105" s="3"/>
    </row>
    <row r="7106" spans="1:4">
      <c r="A7106" s="3"/>
      <c r="D7106" s="3"/>
    </row>
    <row r="7107" spans="1:4">
      <c r="A7107" s="3"/>
      <c r="D7107" s="3"/>
    </row>
    <row r="7108" spans="1:4">
      <c r="A7108" s="3"/>
      <c r="D7108" s="3"/>
    </row>
    <row r="7109" spans="1:4">
      <c r="A7109" s="3"/>
      <c r="D7109" s="3"/>
    </row>
    <row r="7110" spans="1:4">
      <c r="A7110" s="3"/>
      <c r="D7110" s="3"/>
    </row>
    <row r="7111" spans="1:4">
      <c r="A7111" s="3"/>
      <c r="D7111" s="3"/>
    </row>
    <row r="7112" spans="1:4">
      <c r="A7112" s="3"/>
      <c r="D7112" s="3"/>
    </row>
    <row r="7113" spans="1:4">
      <c r="A7113" s="3"/>
      <c r="D7113" s="3"/>
    </row>
    <row r="7114" spans="1:4">
      <c r="A7114" s="3"/>
      <c r="D7114" s="3"/>
    </row>
    <row r="7115" spans="1:4">
      <c r="A7115" s="3"/>
      <c r="D7115" s="3"/>
    </row>
    <row r="7116" spans="1:4">
      <c r="A7116" s="3"/>
      <c r="D7116" s="3"/>
    </row>
    <row r="7117" spans="1:4">
      <c r="A7117" s="3"/>
      <c r="D7117" s="3"/>
    </row>
    <row r="7118" spans="1:4">
      <c r="A7118" s="3"/>
      <c r="D7118" s="3"/>
    </row>
    <row r="7119" spans="1:4">
      <c r="A7119" s="3"/>
      <c r="D7119" s="3"/>
    </row>
    <row r="7120" spans="1:4">
      <c r="A7120" s="3"/>
      <c r="D7120" s="3"/>
    </row>
    <row r="7121" spans="1:4">
      <c r="A7121" s="3"/>
      <c r="D7121" s="3"/>
    </row>
    <row r="7122" spans="1:4">
      <c r="A7122" s="3"/>
      <c r="D7122" s="3"/>
    </row>
    <row r="7123" spans="1:4">
      <c r="A7123" s="3"/>
      <c r="D7123" s="3"/>
    </row>
    <row r="7124" spans="1:4">
      <c r="A7124" s="3"/>
      <c r="D7124" s="3"/>
    </row>
    <row r="7125" spans="1:4">
      <c r="A7125" s="3"/>
      <c r="D7125" s="3"/>
    </row>
    <row r="7126" spans="1:4">
      <c r="A7126" s="3"/>
      <c r="D7126" s="3"/>
    </row>
    <row r="7127" spans="1:4">
      <c r="A7127" s="3"/>
      <c r="D7127" s="3"/>
    </row>
    <row r="7128" spans="1:4">
      <c r="A7128" s="3"/>
      <c r="D7128" s="3"/>
    </row>
    <row r="7129" spans="1:4">
      <c r="A7129" s="3"/>
      <c r="D7129" s="3"/>
    </row>
    <row r="7130" spans="1:4">
      <c r="A7130" s="3"/>
      <c r="D7130" s="3"/>
    </row>
    <row r="7131" spans="1:4">
      <c r="A7131" s="3"/>
      <c r="D7131" s="3"/>
    </row>
    <row r="7132" spans="1:4">
      <c r="A7132" s="3"/>
      <c r="D7132" s="3"/>
    </row>
    <row r="7133" spans="1:4">
      <c r="A7133" s="3"/>
      <c r="D7133" s="3"/>
    </row>
    <row r="7134" spans="1:4">
      <c r="A7134" s="3"/>
      <c r="D7134" s="3"/>
    </row>
    <row r="7135" spans="1:4">
      <c r="A7135" s="3"/>
      <c r="D7135" s="3"/>
    </row>
    <row r="7136" spans="1:4">
      <c r="A7136" s="3"/>
      <c r="D7136" s="3"/>
    </row>
    <row r="7137" spans="1:4">
      <c r="A7137" s="3"/>
      <c r="D7137" s="3"/>
    </row>
    <row r="7138" spans="1:4">
      <c r="A7138" s="3"/>
      <c r="D7138" s="3"/>
    </row>
    <row r="7139" spans="1:4">
      <c r="A7139" s="3"/>
      <c r="D7139" s="3"/>
    </row>
    <row r="7140" spans="1:4">
      <c r="A7140" s="3"/>
      <c r="D7140" s="3"/>
    </row>
    <row r="7141" spans="1:4">
      <c r="A7141" s="3"/>
      <c r="D7141" s="3"/>
    </row>
    <row r="7142" spans="1:4">
      <c r="A7142" s="3"/>
      <c r="D7142" s="3"/>
    </row>
    <row r="7143" spans="1:4">
      <c r="A7143" s="3"/>
      <c r="D7143" s="3"/>
    </row>
    <row r="7144" spans="1:4">
      <c r="A7144" s="3"/>
      <c r="D7144" s="3"/>
    </row>
    <row r="7145" spans="1:4">
      <c r="A7145" s="3"/>
      <c r="D7145" s="3"/>
    </row>
    <row r="7146" spans="1:4">
      <c r="A7146" s="3"/>
      <c r="D7146" s="3"/>
    </row>
    <row r="7147" spans="1:4">
      <c r="A7147" s="3"/>
      <c r="D7147" s="3"/>
    </row>
    <row r="7148" spans="1:4">
      <c r="A7148" s="3"/>
      <c r="D7148" s="3"/>
    </row>
    <row r="7149" spans="1:4">
      <c r="A7149" s="3"/>
      <c r="D7149" s="3"/>
    </row>
    <row r="7150" spans="1:4">
      <c r="A7150" s="3"/>
      <c r="D7150" s="3"/>
    </row>
    <row r="7151" spans="1:4">
      <c r="A7151" s="3"/>
      <c r="D7151" s="3"/>
    </row>
    <row r="7152" spans="1:4">
      <c r="A7152" s="3"/>
      <c r="D7152" s="3"/>
    </row>
    <row r="7153" spans="1:4">
      <c r="A7153" s="3"/>
      <c r="D7153" s="3"/>
    </row>
    <row r="7154" spans="1:4">
      <c r="A7154" s="3"/>
      <c r="D7154" s="3"/>
    </row>
    <row r="7155" spans="1:4">
      <c r="A7155" s="3"/>
      <c r="D7155" s="3"/>
    </row>
    <row r="7156" spans="1:4">
      <c r="A7156" s="3"/>
      <c r="D7156" s="3"/>
    </row>
    <row r="7157" spans="1:4">
      <c r="A7157" s="3"/>
      <c r="D7157" s="3"/>
    </row>
    <row r="7158" spans="1:4">
      <c r="A7158" s="3"/>
      <c r="D7158" s="3"/>
    </row>
    <row r="7159" spans="1:4">
      <c r="A7159" s="3"/>
      <c r="D7159" s="3"/>
    </row>
    <row r="7160" spans="1:4">
      <c r="A7160" s="3"/>
      <c r="D7160" s="3"/>
    </row>
    <row r="7161" spans="1:4">
      <c r="A7161" s="3"/>
      <c r="D7161" s="3"/>
    </row>
    <row r="7162" spans="1:4">
      <c r="A7162" s="3"/>
      <c r="D7162" s="3"/>
    </row>
    <row r="7163" spans="1:4">
      <c r="A7163" s="3"/>
      <c r="D7163" s="3"/>
    </row>
    <row r="7164" spans="1:4">
      <c r="A7164" s="3"/>
      <c r="D7164" s="3"/>
    </row>
    <row r="7165" spans="1:4">
      <c r="A7165" s="3"/>
      <c r="D7165" s="3"/>
    </row>
    <row r="7166" spans="1:4">
      <c r="A7166" s="3"/>
      <c r="D7166" s="3"/>
    </row>
    <row r="7167" spans="1:4">
      <c r="A7167" s="3"/>
      <c r="D7167" s="3"/>
    </row>
    <row r="7168" spans="1:4">
      <c r="A7168" s="3"/>
      <c r="D7168" s="3"/>
    </row>
    <row r="7169" spans="1:4">
      <c r="A7169" s="3"/>
      <c r="D7169" s="3"/>
    </row>
    <row r="7170" spans="1:4">
      <c r="A7170" s="3"/>
      <c r="D7170" s="3"/>
    </row>
    <row r="7171" spans="1:4">
      <c r="A7171" s="3"/>
      <c r="D7171" s="3"/>
    </row>
    <row r="7172" spans="1:4">
      <c r="A7172" s="3"/>
      <c r="D7172" s="3"/>
    </row>
    <row r="7173" spans="1:4">
      <c r="A7173" s="3"/>
      <c r="D7173" s="3"/>
    </row>
    <row r="7174" spans="1:4">
      <c r="A7174" s="3"/>
      <c r="D7174" s="3"/>
    </row>
    <row r="7175" spans="1:4">
      <c r="A7175" s="3"/>
      <c r="D7175" s="3"/>
    </row>
    <row r="7176" spans="1:4">
      <c r="A7176" s="3"/>
      <c r="D7176" s="3"/>
    </row>
    <row r="7177" spans="1:4">
      <c r="A7177" s="3"/>
      <c r="D7177" s="3"/>
    </row>
    <row r="7178" spans="1:4">
      <c r="A7178" s="3"/>
      <c r="D7178" s="3"/>
    </row>
    <row r="7179" spans="1:4">
      <c r="A7179" s="3"/>
      <c r="D7179" s="3"/>
    </row>
    <row r="7180" spans="1:4">
      <c r="A7180" s="3"/>
      <c r="D7180" s="3"/>
    </row>
    <row r="7181" spans="1:4">
      <c r="A7181" s="3"/>
      <c r="D7181" s="3"/>
    </row>
    <row r="7182" spans="1:4">
      <c r="A7182" s="3"/>
      <c r="D7182" s="3"/>
    </row>
    <row r="7183" spans="1:4">
      <c r="A7183" s="3"/>
      <c r="D7183" s="3"/>
    </row>
    <row r="7184" spans="1:4">
      <c r="A7184" s="3"/>
      <c r="D7184" s="3"/>
    </row>
    <row r="7185" spans="1:4">
      <c r="A7185" s="3"/>
      <c r="D7185" s="3"/>
    </row>
    <row r="7186" spans="1:4">
      <c r="A7186" s="3"/>
      <c r="D7186" s="3"/>
    </row>
    <row r="7187" spans="1:4">
      <c r="A7187" s="3"/>
      <c r="D7187" s="3"/>
    </row>
    <row r="7188" spans="1:4">
      <c r="A7188" s="3"/>
      <c r="D7188" s="3"/>
    </row>
    <row r="7189" spans="1:4">
      <c r="A7189" s="3"/>
      <c r="D7189" s="3"/>
    </row>
    <row r="7190" spans="1:4">
      <c r="A7190" s="3"/>
      <c r="D7190" s="3"/>
    </row>
    <row r="7191" spans="1:4">
      <c r="A7191" s="3"/>
      <c r="D7191" s="3"/>
    </row>
    <row r="7192" spans="1:4">
      <c r="A7192" s="3"/>
      <c r="D7192" s="3"/>
    </row>
    <row r="7193" spans="1:4">
      <c r="A7193" s="3"/>
      <c r="D7193" s="3"/>
    </row>
    <row r="7194" spans="1:4">
      <c r="A7194" s="3"/>
      <c r="D7194" s="3"/>
    </row>
    <row r="7195" spans="1:4">
      <c r="A7195" s="3"/>
      <c r="D7195" s="3"/>
    </row>
    <row r="7196" spans="1:4">
      <c r="A7196" s="3"/>
      <c r="D7196" s="3"/>
    </row>
    <row r="7197" spans="1:4">
      <c r="A7197" s="3"/>
      <c r="D7197" s="3"/>
    </row>
    <row r="7198" spans="1:4">
      <c r="A7198" s="3"/>
      <c r="D7198" s="3"/>
    </row>
    <row r="7199" spans="1:4">
      <c r="A7199" s="3"/>
      <c r="D7199" s="3"/>
    </row>
    <row r="7200" spans="1:4">
      <c r="A7200" s="3"/>
      <c r="D7200" s="3"/>
    </row>
    <row r="7201" spans="1:4">
      <c r="A7201" s="3"/>
      <c r="D7201" s="3"/>
    </row>
    <row r="7202" spans="1:4">
      <c r="A7202" s="3"/>
      <c r="D7202" s="3"/>
    </row>
    <row r="7203" spans="1:4">
      <c r="A7203" s="3"/>
      <c r="D7203" s="3"/>
    </row>
    <row r="7204" spans="1:4">
      <c r="A7204" s="3"/>
      <c r="D7204" s="3"/>
    </row>
    <row r="7205" spans="1:4">
      <c r="A7205" s="3"/>
      <c r="D7205" s="3"/>
    </row>
    <row r="7206" spans="1:4">
      <c r="A7206" s="3"/>
      <c r="D7206" s="3"/>
    </row>
    <row r="7207" spans="1:4">
      <c r="A7207" s="3"/>
      <c r="D7207" s="3"/>
    </row>
    <row r="7208" spans="1:4">
      <c r="A7208" s="3"/>
      <c r="D7208" s="3"/>
    </row>
    <row r="7209" spans="1:4">
      <c r="A7209" s="3"/>
      <c r="D7209" s="3"/>
    </row>
    <row r="7210" spans="1:4">
      <c r="A7210" s="3"/>
      <c r="D7210" s="3"/>
    </row>
    <row r="7211" spans="1:4">
      <c r="A7211" s="3"/>
      <c r="D7211" s="3"/>
    </row>
    <row r="7212" spans="1:4">
      <c r="A7212" s="3"/>
      <c r="D7212" s="3"/>
    </row>
    <row r="7213" spans="1:4">
      <c r="A7213" s="3"/>
      <c r="D7213" s="3"/>
    </row>
    <row r="7214" spans="1:4">
      <c r="A7214" s="3"/>
      <c r="D7214" s="3"/>
    </row>
    <row r="7215" spans="1:4">
      <c r="A7215" s="3"/>
      <c r="D7215" s="3"/>
    </row>
    <row r="7216" spans="1:4">
      <c r="A7216" s="3"/>
      <c r="D7216" s="3"/>
    </row>
    <row r="7217" spans="1:4">
      <c r="A7217" s="3"/>
      <c r="D7217" s="3"/>
    </row>
    <row r="7218" spans="1:4">
      <c r="A7218" s="3"/>
      <c r="D7218" s="3"/>
    </row>
    <row r="7219" spans="1:4">
      <c r="A7219" s="3"/>
      <c r="D7219" s="3"/>
    </row>
    <row r="7220" spans="1:4">
      <c r="A7220" s="3"/>
      <c r="D7220" s="3"/>
    </row>
    <row r="7221" spans="1:4">
      <c r="A7221" s="3"/>
      <c r="D7221" s="3"/>
    </row>
    <row r="7222" spans="1:4">
      <c r="A7222" s="3"/>
      <c r="D7222" s="3"/>
    </row>
    <row r="7223" spans="1:4">
      <c r="A7223" s="3"/>
      <c r="D7223" s="3"/>
    </row>
    <row r="7224" spans="1:4">
      <c r="A7224" s="3"/>
      <c r="D7224" s="3"/>
    </row>
    <row r="7225" spans="1:4">
      <c r="A7225" s="3"/>
      <c r="D7225" s="3"/>
    </row>
    <row r="7226" spans="1:4">
      <c r="A7226" s="3"/>
      <c r="D7226" s="3"/>
    </row>
    <row r="7227" spans="1:4">
      <c r="A7227" s="3"/>
      <c r="D7227" s="3"/>
    </row>
    <row r="7228" spans="1:4">
      <c r="A7228" s="3"/>
      <c r="D7228" s="3"/>
    </row>
    <row r="7229" spans="1:4">
      <c r="A7229" s="3"/>
      <c r="D7229" s="3"/>
    </row>
    <row r="7230" spans="1:4">
      <c r="A7230" s="3"/>
      <c r="D7230" s="3"/>
    </row>
    <row r="7231" spans="1:4">
      <c r="A7231" s="3"/>
      <c r="D7231" s="3"/>
    </row>
    <row r="7232" spans="1:4">
      <c r="A7232" s="3"/>
      <c r="D7232" s="3"/>
    </row>
    <row r="7233" spans="1:4">
      <c r="A7233" s="3"/>
      <c r="D7233" s="3"/>
    </row>
    <row r="7234" spans="1:4">
      <c r="A7234" s="3"/>
      <c r="D7234" s="3"/>
    </row>
    <row r="7235" spans="1:4">
      <c r="A7235" s="3"/>
      <c r="D7235" s="3"/>
    </row>
    <row r="7236" spans="1:4">
      <c r="A7236" s="3"/>
      <c r="D7236" s="3"/>
    </row>
    <row r="7237" spans="1:4">
      <c r="A7237" s="3"/>
      <c r="D7237" s="3"/>
    </row>
    <row r="7238" spans="1:4">
      <c r="A7238" s="3"/>
      <c r="D7238" s="3"/>
    </row>
    <row r="7239" spans="1:4">
      <c r="A7239" s="3"/>
      <c r="D7239" s="3"/>
    </row>
    <row r="7240" spans="1:4">
      <c r="A7240" s="3"/>
      <c r="D7240" s="3"/>
    </row>
    <row r="7241" spans="1:4">
      <c r="A7241" s="3"/>
      <c r="D7241" s="3"/>
    </row>
    <row r="7242" spans="1:4">
      <c r="A7242" s="3"/>
      <c r="D7242" s="3"/>
    </row>
    <row r="7243" spans="1:4">
      <c r="A7243" s="3"/>
      <c r="D7243" s="3"/>
    </row>
    <row r="7244" spans="1:4">
      <c r="A7244" s="3"/>
      <c r="D7244" s="3"/>
    </row>
    <row r="7245" spans="1:4">
      <c r="A7245" s="3"/>
      <c r="D7245" s="3"/>
    </row>
    <row r="7246" spans="1:4">
      <c r="A7246" s="3"/>
      <c r="D7246" s="3"/>
    </row>
    <row r="7247" spans="1:4">
      <c r="A7247" s="3"/>
      <c r="D7247" s="3"/>
    </row>
    <row r="7248" spans="1:4">
      <c r="A7248" s="3"/>
      <c r="D7248" s="3"/>
    </row>
    <row r="7249" spans="1:4">
      <c r="A7249" s="3"/>
      <c r="D7249" s="3"/>
    </row>
    <row r="7250" spans="1:4">
      <c r="A7250" s="3"/>
      <c r="D7250" s="3"/>
    </row>
    <row r="7251" spans="1:4">
      <c r="A7251" s="3"/>
      <c r="D7251" s="3"/>
    </row>
    <row r="7252" spans="1:4">
      <c r="A7252" s="3"/>
      <c r="D7252" s="3"/>
    </row>
    <row r="7253" spans="1:4">
      <c r="A7253" s="3"/>
      <c r="D7253" s="3"/>
    </row>
    <row r="7254" spans="1:4">
      <c r="A7254" s="3"/>
      <c r="D7254" s="3"/>
    </row>
    <row r="7255" spans="1:4">
      <c r="A7255" s="3"/>
      <c r="D7255" s="3"/>
    </row>
    <row r="7256" spans="1:4">
      <c r="A7256" s="3"/>
      <c r="D7256" s="3"/>
    </row>
    <row r="7257" spans="1:4">
      <c r="A7257" s="3"/>
      <c r="D7257" s="3"/>
    </row>
    <row r="7258" spans="1:4">
      <c r="A7258" s="3"/>
      <c r="D7258" s="3"/>
    </row>
    <row r="7259" spans="1:4">
      <c r="A7259" s="3"/>
      <c r="D7259" s="3"/>
    </row>
    <row r="7260" spans="1:4">
      <c r="A7260" s="3"/>
      <c r="D7260" s="3"/>
    </row>
    <row r="7261" spans="1:4">
      <c r="A7261" s="3"/>
      <c r="D7261" s="3"/>
    </row>
    <row r="7262" spans="1:4">
      <c r="A7262" s="3"/>
      <c r="D7262" s="3"/>
    </row>
    <row r="7263" spans="1:4">
      <c r="A7263" s="3"/>
      <c r="D7263" s="3"/>
    </row>
    <row r="7264" spans="1:4">
      <c r="A7264" s="3"/>
      <c r="D7264" s="3"/>
    </row>
    <row r="7265" spans="1:4">
      <c r="A7265" s="3"/>
      <c r="D7265" s="3"/>
    </row>
    <row r="7266" spans="1:4">
      <c r="A7266" s="3"/>
      <c r="D7266" s="3"/>
    </row>
    <row r="7267" spans="1:4">
      <c r="A7267" s="3"/>
      <c r="D7267" s="3"/>
    </row>
    <row r="7268" spans="1:4">
      <c r="A7268" s="3"/>
      <c r="D7268" s="3"/>
    </row>
    <row r="7269" spans="1:4">
      <c r="A7269" s="3"/>
      <c r="D7269" s="3"/>
    </row>
    <row r="7270" spans="1:4">
      <c r="A7270" s="3"/>
      <c r="D7270" s="3"/>
    </row>
    <row r="7271" spans="1:4">
      <c r="A7271" s="3"/>
      <c r="D7271" s="3"/>
    </row>
    <row r="7272" spans="1:4">
      <c r="A7272" s="3"/>
      <c r="D7272" s="3"/>
    </row>
    <row r="7273" spans="1:4">
      <c r="A7273" s="3"/>
      <c r="D7273" s="3"/>
    </row>
    <row r="7274" spans="1:4">
      <c r="A7274" s="3"/>
      <c r="D7274" s="3"/>
    </row>
    <row r="7275" spans="1:4">
      <c r="A7275" s="3"/>
      <c r="D7275" s="3"/>
    </row>
    <row r="7276" spans="1:4">
      <c r="A7276" s="3"/>
      <c r="D7276" s="3"/>
    </row>
    <row r="7277" spans="1:4">
      <c r="A7277" s="3"/>
      <c r="D7277" s="3"/>
    </row>
    <row r="7278" spans="1:4">
      <c r="A7278" s="3"/>
      <c r="D7278" s="3"/>
    </row>
    <row r="7279" spans="1:4">
      <c r="A7279" s="3"/>
      <c r="D7279" s="3"/>
    </row>
    <row r="7280" spans="1:4">
      <c r="A7280" s="3"/>
      <c r="D7280" s="3"/>
    </row>
    <row r="7281" spans="1:4">
      <c r="A7281" s="3"/>
      <c r="D7281" s="3"/>
    </row>
    <row r="7282" spans="1:4">
      <c r="A7282" s="3"/>
      <c r="D7282" s="3"/>
    </row>
    <row r="7283" spans="1:4">
      <c r="A7283" s="3"/>
      <c r="D7283" s="3"/>
    </row>
    <row r="7284" spans="1:4">
      <c r="A7284" s="3"/>
      <c r="D7284" s="3"/>
    </row>
    <row r="7285" spans="1:4">
      <c r="A7285" s="3"/>
      <c r="D7285" s="3"/>
    </row>
    <row r="7286" spans="1:4">
      <c r="A7286" s="3"/>
      <c r="D7286" s="3"/>
    </row>
    <row r="7287" spans="1:4">
      <c r="A7287" s="3"/>
      <c r="D7287" s="3"/>
    </row>
    <row r="7288" spans="1:4">
      <c r="A7288" s="3"/>
      <c r="D7288" s="3"/>
    </row>
    <row r="7289" spans="1:4">
      <c r="A7289" s="3"/>
      <c r="D7289" s="3"/>
    </row>
    <row r="7290" spans="1:4">
      <c r="A7290" s="3"/>
      <c r="D7290" s="3"/>
    </row>
    <row r="7291" spans="1:4">
      <c r="A7291" s="3"/>
      <c r="D7291" s="3"/>
    </row>
    <row r="7292" spans="1:4">
      <c r="A7292" s="3"/>
      <c r="D7292" s="3"/>
    </row>
    <row r="7293" spans="1:4">
      <c r="A7293" s="3"/>
      <c r="D7293" s="3"/>
    </row>
    <row r="7294" spans="1:4">
      <c r="A7294" s="3"/>
      <c r="D7294" s="3"/>
    </row>
    <row r="7295" spans="1:4">
      <c r="A7295" s="3"/>
      <c r="D7295" s="3"/>
    </row>
    <row r="7296" spans="1:4">
      <c r="A7296" s="3"/>
      <c r="D7296" s="3"/>
    </row>
    <row r="7297" spans="1:4">
      <c r="A7297" s="3"/>
      <c r="D7297" s="3"/>
    </row>
    <row r="7298" spans="1:4">
      <c r="A7298" s="3"/>
      <c r="D7298" s="3"/>
    </row>
    <row r="7299" spans="1:4">
      <c r="A7299" s="3"/>
      <c r="D7299" s="3"/>
    </row>
    <row r="7300" spans="1:4">
      <c r="A7300" s="3"/>
      <c r="D7300" s="3"/>
    </row>
    <row r="7301" spans="1:4">
      <c r="A7301" s="3"/>
      <c r="D7301" s="3"/>
    </row>
    <row r="7302" spans="1:4">
      <c r="A7302" s="3"/>
      <c r="D7302" s="3"/>
    </row>
    <row r="7303" spans="1:4">
      <c r="A7303" s="3"/>
      <c r="D7303" s="3"/>
    </row>
    <row r="7304" spans="1:4">
      <c r="A7304" s="3"/>
      <c r="D7304" s="3"/>
    </row>
    <row r="7305" spans="1:4">
      <c r="A7305" s="3"/>
      <c r="D7305" s="3"/>
    </row>
    <row r="7306" spans="1:4">
      <c r="A7306" s="3"/>
      <c r="D7306" s="3"/>
    </row>
    <row r="7307" spans="1:4">
      <c r="A7307" s="3"/>
      <c r="D7307" s="3"/>
    </row>
    <row r="7308" spans="1:4">
      <c r="A7308" s="3"/>
      <c r="D7308" s="3"/>
    </row>
    <row r="7309" spans="1:4">
      <c r="A7309" s="3"/>
      <c r="D7309" s="3"/>
    </row>
    <row r="7310" spans="1:4">
      <c r="A7310" s="3"/>
      <c r="D7310" s="3"/>
    </row>
    <row r="7311" spans="1:4">
      <c r="A7311" s="3"/>
      <c r="D7311" s="3"/>
    </row>
    <row r="7312" spans="1:4">
      <c r="A7312" s="3"/>
      <c r="D7312" s="3"/>
    </row>
    <row r="7313" spans="1:4">
      <c r="A7313" s="3"/>
      <c r="D7313" s="3"/>
    </row>
    <row r="7314" spans="1:4">
      <c r="A7314" s="3"/>
      <c r="D7314" s="3"/>
    </row>
    <row r="7315" spans="1:4">
      <c r="A7315" s="3"/>
      <c r="D7315" s="3"/>
    </row>
    <row r="7316" spans="1:4">
      <c r="A7316" s="3"/>
      <c r="D7316" s="3"/>
    </row>
    <row r="7317" spans="1:4">
      <c r="A7317" s="3"/>
      <c r="D7317" s="3"/>
    </row>
    <row r="7318" spans="1:4">
      <c r="A7318" s="3"/>
      <c r="D7318" s="3"/>
    </row>
    <row r="7319" spans="1:4">
      <c r="A7319" s="3"/>
      <c r="D7319" s="3"/>
    </row>
    <row r="7320" spans="1:4">
      <c r="A7320" s="3"/>
      <c r="D7320" s="3"/>
    </row>
    <row r="7321" spans="1:4">
      <c r="A7321" s="3"/>
      <c r="D7321" s="3"/>
    </row>
    <row r="7322" spans="1:4">
      <c r="A7322" s="3"/>
      <c r="D7322" s="3"/>
    </row>
    <row r="7323" spans="1:4">
      <c r="A7323" s="3"/>
      <c r="D7323" s="3"/>
    </row>
    <row r="7324" spans="1:4">
      <c r="A7324" s="3"/>
      <c r="D7324" s="3"/>
    </row>
    <row r="7325" spans="1:4">
      <c r="A7325" s="3"/>
      <c r="D7325" s="3"/>
    </row>
    <row r="7326" spans="1:4">
      <c r="A7326" s="3"/>
      <c r="D7326" s="3"/>
    </row>
    <row r="7327" spans="1:4">
      <c r="A7327" s="3"/>
      <c r="D7327" s="3"/>
    </row>
    <row r="7328" spans="1:4">
      <c r="A7328" s="3"/>
      <c r="D7328" s="3"/>
    </row>
    <row r="7329" spans="1:4">
      <c r="A7329" s="3"/>
      <c r="D7329" s="3"/>
    </row>
    <row r="7330" spans="1:4">
      <c r="A7330" s="3"/>
      <c r="D7330" s="3"/>
    </row>
    <row r="7331" spans="1:4">
      <c r="A7331" s="3"/>
      <c r="D7331" s="3"/>
    </row>
    <row r="7332" spans="1:4">
      <c r="A7332" s="3"/>
      <c r="D7332" s="3"/>
    </row>
    <row r="7333" spans="1:4">
      <c r="A7333" s="3"/>
      <c r="D7333" s="3"/>
    </row>
    <row r="7334" spans="1:4">
      <c r="A7334" s="3"/>
      <c r="D7334" s="3"/>
    </row>
    <row r="7335" spans="1:4">
      <c r="A7335" s="3"/>
      <c r="D7335" s="3"/>
    </row>
    <row r="7336" spans="1:4">
      <c r="A7336" s="3"/>
      <c r="D7336" s="3"/>
    </row>
    <row r="7337" spans="1:4">
      <c r="A7337" s="3"/>
      <c r="D7337" s="3"/>
    </row>
    <row r="7338" spans="1:4">
      <c r="A7338" s="3"/>
      <c r="D7338" s="3"/>
    </row>
    <row r="7339" spans="1:4">
      <c r="A7339" s="3"/>
      <c r="D7339" s="3"/>
    </row>
    <row r="7340" spans="1:4">
      <c r="A7340" s="3"/>
      <c r="D7340" s="3"/>
    </row>
    <row r="7341" spans="1:4">
      <c r="A7341" s="3"/>
      <c r="D7341" s="3"/>
    </row>
    <row r="7342" spans="1:4">
      <c r="A7342" s="3"/>
      <c r="D7342" s="3"/>
    </row>
    <row r="7343" spans="1:4">
      <c r="A7343" s="3"/>
      <c r="D7343" s="3"/>
    </row>
    <row r="7344" spans="1:4">
      <c r="A7344" s="3"/>
      <c r="D7344" s="3"/>
    </row>
    <row r="7345" spans="1:4">
      <c r="A7345" s="3"/>
      <c r="D7345" s="3"/>
    </row>
    <row r="7346" spans="1:4">
      <c r="A7346" s="3"/>
      <c r="D7346" s="3"/>
    </row>
    <row r="7347" spans="1:4">
      <c r="A7347" s="3"/>
      <c r="D7347" s="3"/>
    </row>
    <row r="7348" spans="1:4">
      <c r="A7348" s="3"/>
      <c r="D7348" s="3"/>
    </row>
    <row r="7349" spans="1:4">
      <c r="A7349" s="3"/>
      <c r="D7349" s="3"/>
    </row>
    <row r="7350" spans="1:4">
      <c r="A7350" s="3"/>
      <c r="D7350" s="3"/>
    </row>
    <row r="7351" spans="1:4">
      <c r="A7351" s="3"/>
      <c r="D7351" s="3"/>
    </row>
    <row r="7352" spans="1:4">
      <c r="A7352" s="3"/>
      <c r="D7352" s="3"/>
    </row>
    <row r="7353" spans="1:4">
      <c r="A7353" s="3"/>
      <c r="D7353" s="3"/>
    </row>
    <row r="7354" spans="1:4">
      <c r="A7354" s="3"/>
      <c r="D7354" s="3"/>
    </row>
    <row r="7355" spans="1:4">
      <c r="A7355" s="3"/>
      <c r="D7355" s="3"/>
    </row>
    <row r="7356" spans="1:4">
      <c r="A7356" s="3"/>
      <c r="D7356" s="3"/>
    </row>
    <row r="7357" spans="1:4">
      <c r="A7357" s="3"/>
      <c r="D7357" s="3"/>
    </row>
    <row r="7358" spans="1:4">
      <c r="A7358" s="3"/>
      <c r="D7358" s="3"/>
    </row>
    <row r="7359" spans="1:4">
      <c r="A7359" s="3"/>
      <c r="D7359" s="3"/>
    </row>
    <row r="7360" spans="1:4">
      <c r="A7360" s="3"/>
      <c r="D7360" s="3"/>
    </row>
    <row r="7361" spans="1:4">
      <c r="A7361" s="3"/>
      <c r="D7361" s="3"/>
    </row>
    <row r="7362" spans="1:4">
      <c r="A7362" s="3"/>
      <c r="D7362" s="3"/>
    </row>
    <row r="7363" spans="1:4">
      <c r="A7363" s="3"/>
      <c r="D7363" s="3"/>
    </row>
    <row r="7364" spans="1:4">
      <c r="A7364" s="3"/>
      <c r="D7364" s="3"/>
    </row>
    <row r="7365" spans="1:4">
      <c r="A7365" s="3"/>
      <c r="D7365" s="3"/>
    </row>
    <row r="7366" spans="1:4">
      <c r="A7366" s="3"/>
      <c r="D7366" s="3"/>
    </row>
    <row r="7367" spans="1:4">
      <c r="A7367" s="3"/>
      <c r="D7367" s="3"/>
    </row>
    <row r="7368" spans="1:4">
      <c r="A7368" s="3"/>
      <c r="D7368" s="3"/>
    </row>
    <row r="7369" spans="1:4">
      <c r="A7369" s="3"/>
      <c r="D7369" s="3"/>
    </row>
    <row r="7370" spans="1:4">
      <c r="A7370" s="3"/>
      <c r="D7370" s="3"/>
    </row>
    <row r="7371" spans="1:4">
      <c r="A7371" s="3"/>
      <c r="D7371" s="3"/>
    </row>
    <row r="7372" spans="1:4">
      <c r="A7372" s="3"/>
      <c r="D7372" s="3"/>
    </row>
    <row r="7373" spans="1:4">
      <c r="A7373" s="3"/>
      <c r="D7373" s="3"/>
    </row>
    <row r="7374" spans="1:4">
      <c r="A7374" s="3"/>
      <c r="D7374" s="3"/>
    </row>
    <row r="7375" spans="1:4">
      <c r="A7375" s="3"/>
      <c r="D7375" s="3"/>
    </row>
    <row r="7376" spans="1:4">
      <c r="A7376" s="3"/>
      <c r="D7376" s="3"/>
    </row>
    <row r="7377" spans="1:4">
      <c r="A7377" s="3"/>
      <c r="D7377" s="3"/>
    </row>
    <row r="7378" spans="1:4">
      <c r="A7378" s="3"/>
      <c r="D7378" s="3"/>
    </row>
    <row r="7379" spans="1:4">
      <c r="A7379" s="3"/>
      <c r="D7379" s="3"/>
    </row>
    <row r="7380" spans="1:4">
      <c r="A7380" s="3"/>
      <c r="D7380" s="3"/>
    </row>
    <row r="7381" spans="1:4">
      <c r="A7381" s="3"/>
      <c r="D7381" s="3"/>
    </row>
    <row r="7382" spans="1:4">
      <c r="A7382" s="3"/>
      <c r="D7382" s="3"/>
    </row>
    <row r="7383" spans="1:4">
      <c r="A7383" s="3"/>
      <c r="D7383" s="3"/>
    </row>
    <row r="7384" spans="1:4">
      <c r="A7384" s="3"/>
      <c r="D7384" s="3"/>
    </row>
    <row r="7385" spans="1:4">
      <c r="A7385" s="3"/>
      <c r="D7385" s="3"/>
    </row>
    <row r="7386" spans="1:4">
      <c r="A7386" s="3"/>
      <c r="D7386" s="3"/>
    </row>
    <row r="7387" spans="1:4">
      <c r="A7387" s="3"/>
      <c r="D7387" s="3"/>
    </row>
    <row r="7388" spans="1:4">
      <c r="A7388" s="3"/>
      <c r="D7388" s="3"/>
    </row>
    <row r="7389" spans="1:4">
      <c r="A7389" s="3"/>
      <c r="D7389" s="3"/>
    </row>
    <row r="7390" spans="1:4">
      <c r="A7390" s="3"/>
      <c r="D7390" s="3"/>
    </row>
    <row r="7391" spans="1:4">
      <c r="A7391" s="3"/>
      <c r="D7391" s="3"/>
    </row>
    <row r="7392" spans="1:4">
      <c r="A7392" s="3"/>
      <c r="D7392" s="3"/>
    </row>
    <row r="7393" spans="1:4">
      <c r="A7393" s="3"/>
      <c r="D7393" s="3"/>
    </row>
    <row r="7394" spans="1:4">
      <c r="A7394" s="3"/>
      <c r="D7394" s="3"/>
    </row>
    <row r="7395" spans="1:4">
      <c r="A7395" s="3"/>
      <c r="D7395" s="3"/>
    </row>
    <row r="7396" spans="1:4">
      <c r="A7396" s="3"/>
      <c r="D7396" s="3"/>
    </row>
    <row r="7397" spans="1:4">
      <c r="A7397" s="3"/>
      <c r="D7397" s="3"/>
    </row>
    <row r="7398" spans="1:4">
      <c r="A7398" s="3"/>
      <c r="D7398" s="3"/>
    </row>
    <row r="7399" spans="1:4">
      <c r="A7399" s="3"/>
      <c r="D7399" s="3"/>
    </row>
    <row r="7400" spans="1:4">
      <c r="A7400" s="3"/>
      <c r="D7400" s="3"/>
    </row>
    <row r="7401" spans="1:4">
      <c r="A7401" s="3"/>
      <c r="D7401" s="3"/>
    </row>
    <row r="7402" spans="1:4">
      <c r="A7402" s="3"/>
      <c r="D7402" s="3"/>
    </row>
    <row r="7403" spans="1:4">
      <c r="A7403" s="3"/>
      <c r="D7403" s="3"/>
    </row>
    <row r="7404" spans="1:4">
      <c r="A7404" s="3"/>
      <c r="D7404" s="3"/>
    </row>
    <row r="7405" spans="1:4">
      <c r="A7405" s="3"/>
      <c r="D7405" s="3"/>
    </row>
    <row r="7406" spans="1:4">
      <c r="A7406" s="3"/>
      <c r="D7406" s="3"/>
    </row>
    <row r="7407" spans="1:4">
      <c r="A7407" s="3"/>
      <c r="D7407" s="3"/>
    </row>
    <row r="7408" spans="1:4">
      <c r="A7408" s="3"/>
      <c r="D7408" s="3"/>
    </row>
    <row r="7409" spans="1:4">
      <c r="A7409" s="3"/>
      <c r="D7409" s="3"/>
    </row>
    <row r="7410" spans="1:4">
      <c r="A7410" s="3"/>
      <c r="D7410" s="3"/>
    </row>
    <row r="7411" spans="1:4">
      <c r="A7411" s="3"/>
      <c r="D7411" s="3"/>
    </row>
    <row r="7412" spans="1:4">
      <c r="A7412" s="3"/>
      <c r="D7412" s="3"/>
    </row>
    <row r="7413" spans="1:4">
      <c r="A7413" s="3"/>
      <c r="D7413" s="3"/>
    </row>
    <row r="7414" spans="1:4">
      <c r="A7414" s="3"/>
      <c r="D7414" s="3"/>
    </row>
    <row r="7415" spans="1:4">
      <c r="A7415" s="3"/>
      <c r="D7415" s="3"/>
    </row>
    <row r="7416" spans="1:4">
      <c r="A7416" s="3"/>
      <c r="D7416" s="3"/>
    </row>
    <row r="7417" spans="1:4">
      <c r="A7417" s="3"/>
      <c r="D7417" s="3"/>
    </row>
    <row r="7418" spans="1:4">
      <c r="A7418" s="3"/>
      <c r="D7418" s="3"/>
    </row>
    <row r="7419" spans="1:4">
      <c r="A7419" s="3"/>
      <c r="D7419" s="3"/>
    </row>
    <row r="7420" spans="1:4">
      <c r="A7420" s="3"/>
      <c r="D7420" s="3"/>
    </row>
    <row r="7421" spans="1:4">
      <c r="A7421" s="3"/>
      <c r="D7421" s="3"/>
    </row>
    <row r="7422" spans="1:4">
      <c r="A7422" s="3"/>
      <c r="D7422" s="3"/>
    </row>
    <row r="7423" spans="1:4">
      <c r="A7423" s="3"/>
      <c r="D7423" s="3"/>
    </row>
    <row r="7424" spans="1:4">
      <c r="A7424" s="3"/>
      <c r="D7424" s="3"/>
    </row>
    <row r="7425" spans="1:4">
      <c r="A7425" s="3"/>
      <c r="D7425" s="3"/>
    </row>
    <row r="7426" spans="1:4">
      <c r="A7426" s="3"/>
      <c r="D7426" s="3"/>
    </row>
    <row r="7427" spans="1:4">
      <c r="A7427" s="3"/>
      <c r="D7427" s="3"/>
    </row>
    <row r="7428" spans="1:4">
      <c r="A7428" s="3"/>
      <c r="D7428" s="3"/>
    </row>
    <row r="7429" spans="1:4">
      <c r="A7429" s="3"/>
      <c r="D7429" s="3"/>
    </row>
    <row r="7430" spans="1:4">
      <c r="A7430" s="3"/>
      <c r="D7430" s="3"/>
    </row>
    <row r="7431" spans="1:4">
      <c r="A7431" s="3"/>
      <c r="D7431" s="3"/>
    </row>
    <row r="7432" spans="1:4">
      <c r="A7432" s="3"/>
      <c r="D7432" s="3"/>
    </row>
    <row r="7433" spans="1:4">
      <c r="A7433" s="3"/>
      <c r="D7433" s="3"/>
    </row>
    <row r="7434" spans="1:4">
      <c r="A7434" s="3"/>
      <c r="D7434" s="3"/>
    </row>
    <row r="7435" spans="1:4">
      <c r="A7435" s="3"/>
      <c r="D7435" s="3"/>
    </row>
    <row r="7436" spans="1:4">
      <c r="A7436" s="3"/>
      <c r="D7436" s="3"/>
    </row>
    <row r="7437" spans="1:4">
      <c r="A7437" s="3"/>
      <c r="D7437" s="3"/>
    </row>
    <row r="7438" spans="1:4">
      <c r="A7438" s="3"/>
      <c r="D7438" s="3"/>
    </row>
    <row r="7439" spans="1:4">
      <c r="A7439" s="3"/>
      <c r="D7439" s="3"/>
    </row>
    <row r="7440" spans="1:4">
      <c r="A7440" s="3"/>
      <c r="D7440" s="3"/>
    </row>
    <row r="7441" spans="1:4">
      <c r="A7441" s="3"/>
      <c r="D7441" s="3"/>
    </row>
    <row r="7442" spans="1:4">
      <c r="A7442" s="3"/>
      <c r="D7442" s="3"/>
    </row>
    <row r="7443" spans="1:4">
      <c r="A7443" s="3"/>
      <c r="D7443" s="3"/>
    </row>
    <row r="7444" spans="1:4">
      <c r="A7444" s="3"/>
      <c r="D7444" s="3"/>
    </row>
    <row r="7445" spans="1:4">
      <c r="A7445" s="3"/>
      <c r="D7445" s="3"/>
    </row>
    <row r="7446" spans="1:4">
      <c r="A7446" s="3"/>
      <c r="D7446" s="3"/>
    </row>
    <row r="7447" spans="1:4">
      <c r="A7447" s="3"/>
      <c r="D7447" s="3"/>
    </row>
    <row r="7448" spans="1:4">
      <c r="A7448" s="3"/>
      <c r="D7448" s="3"/>
    </row>
    <row r="7449" spans="1:4">
      <c r="A7449" s="3"/>
      <c r="D7449" s="3"/>
    </row>
    <row r="7450" spans="1:4">
      <c r="A7450" s="3"/>
      <c r="D7450" s="3"/>
    </row>
    <row r="7451" spans="1:4">
      <c r="A7451" s="3"/>
      <c r="D7451" s="3"/>
    </row>
    <row r="7452" spans="1:4">
      <c r="A7452" s="3"/>
      <c r="D7452" s="3"/>
    </row>
    <row r="7453" spans="1:4">
      <c r="A7453" s="3"/>
      <c r="D7453" s="3"/>
    </row>
    <row r="7454" spans="1:4">
      <c r="A7454" s="3"/>
      <c r="D7454" s="3"/>
    </row>
    <row r="7455" spans="1:4">
      <c r="A7455" s="3"/>
      <c r="D7455" s="3"/>
    </row>
    <row r="7456" spans="1:4">
      <c r="A7456" s="3"/>
      <c r="D7456" s="3"/>
    </row>
    <row r="7457" spans="1:4">
      <c r="A7457" s="3"/>
      <c r="D7457" s="3"/>
    </row>
    <row r="7458" spans="1:4">
      <c r="A7458" s="3"/>
      <c r="D7458" s="3"/>
    </row>
    <row r="7459" spans="1:4">
      <c r="A7459" s="3"/>
      <c r="D7459" s="3"/>
    </row>
    <row r="7460" spans="1:4">
      <c r="A7460" s="3"/>
      <c r="D7460" s="3"/>
    </row>
    <row r="7461" spans="1:4">
      <c r="A7461" s="3"/>
      <c r="D7461" s="3"/>
    </row>
    <row r="7462" spans="1:4">
      <c r="A7462" s="3"/>
      <c r="D7462" s="3"/>
    </row>
    <row r="7463" spans="1:4">
      <c r="A7463" s="3"/>
      <c r="D7463" s="3"/>
    </row>
    <row r="7464" spans="1:4">
      <c r="A7464" s="3"/>
      <c r="D7464" s="3"/>
    </row>
    <row r="7465" spans="1:4">
      <c r="A7465" s="3"/>
      <c r="D7465" s="3"/>
    </row>
    <row r="7466" spans="1:4">
      <c r="A7466" s="3"/>
      <c r="D7466" s="3"/>
    </row>
    <row r="7467" spans="1:4">
      <c r="A7467" s="3"/>
      <c r="D7467" s="3"/>
    </row>
    <row r="7468" spans="1:4">
      <c r="A7468" s="3"/>
      <c r="D7468" s="3"/>
    </row>
    <row r="7469" spans="1:4">
      <c r="A7469" s="3"/>
      <c r="D7469" s="3"/>
    </row>
    <row r="7470" spans="1:4">
      <c r="A7470" s="3"/>
      <c r="D7470" s="3"/>
    </row>
    <row r="7471" spans="1:4">
      <c r="A7471" s="3"/>
      <c r="D7471" s="3"/>
    </row>
    <row r="7472" spans="1:4">
      <c r="A7472" s="3"/>
      <c r="D7472" s="3"/>
    </row>
    <row r="7473" spans="1:4">
      <c r="A7473" s="3"/>
      <c r="D7473" s="3"/>
    </row>
    <row r="7474" spans="1:4">
      <c r="A7474" s="3"/>
      <c r="D7474" s="3"/>
    </row>
    <row r="7475" spans="1:4">
      <c r="A7475" s="3"/>
      <c r="D7475" s="3"/>
    </row>
    <row r="7476" spans="1:4">
      <c r="A7476" s="3"/>
      <c r="D7476" s="3"/>
    </row>
    <row r="7477" spans="1:4">
      <c r="A7477" s="3"/>
      <c r="D7477" s="3"/>
    </row>
    <row r="7478" spans="1:4">
      <c r="A7478" s="3"/>
      <c r="D7478" s="3"/>
    </row>
    <row r="7479" spans="1:4">
      <c r="A7479" s="3"/>
      <c r="D7479" s="3"/>
    </row>
    <row r="7480" spans="1:4">
      <c r="A7480" s="3"/>
      <c r="D7480" s="3"/>
    </row>
    <row r="7481" spans="1:4">
      <c r="A7481" s="3"/>
      <c r="D7481" s="3"/>
    </row>
    <row r="7482" spans="1:4">
      <c r="A7482" s="3"/>
      <c r="D7482" s="3"/>
    </row>
    <row r="7483" spans="1:4">
      <c r="A7483" s="3"/>
      <c r="D7483" s="3"/>
    </row>
    <row r="7484" spans="1:4">
      <c r="A7484" s="3"/>
      <c r="D7484" s="3"/>
    </row>
    <row r="7485" spans="1:4">
      <c r="A7485" s="3"/>
      <c r="D7485" s="3"/>
    </row>
    <row r="7486" spans="1:4">
      <c r="A7486" s="3"/>
      <c r="D7486" s="3"/>
    </row>
    <row r="7487" spans="1:4">
      <c r="A7487" s="3"/>
      <c r="D7487" s="3"/>
    </row>
    <row r="7488" spans="1:4">
      <c r="A7488" s="3"/>
      <c r="D7488" s="3"/>
    </row>
    <row r="7489" spans="1:4">
      <c r="A7489" s="3"/>
      <c r="D7489" s="3"/>
    </row>
    <row r="7490" spans="1:4">
      <c r="A7490" s="3"/>
      <c r="D7490" s="3"/>
    </row>
    <row r="7491" spans="1:4">
      <c r="A7491" s="3"/>
      <c r="D7491" s="3"/>
    </row>
    <row r="7492" spans="1:4">
      <c r="A7492" s="3"/>
      <c r="D7492" s="3"/>
    </row>
    <row r="7493" spans="1:4">
      <c r="A7493" s="3"/>
      <c r="D7493" s="3"/>
    </row>
    <row r="7494" spans="1:4">
      <c r="A7494" s="3"/>
      <c r="D7494" s="3"/>
    </row>
    <row r="7495" spans="1:4">
      <c r="A7495" s="3"/>
      <c r="D7495" s="3"/>
    </row>
    <row r="7496" spans="1:4">
      <c r="A7496" s="3"/>
      <c r="D7496" s="3"/>
    </row>
    <row r="7497" spans="1:4">
      <c r="A7497" s="3"/>
      <c r="D7497" s="3"/>
    </row>
    <row r="7498" spans="1:4">
      <c r="A7498" s="3"/>
      <c r="D7498" s="3"/>
    </row>
    <row r="7499" spans="1:4">
      <c r="A7499" s="3"/>
      <c r="D7499" s="3"/>
    </row>
    <row r="7500" spans="1:4">
      <c r="A7500" s="3"/>
      <c r="D7500" s="3"/>
    </row>
    <row r="7501" spans="1:4">
      <c r="A7501" s="3"/>
      <c r="D7501" s="3"/>
    </row>
    <row r="7502" spans="1:4">
      <c r="A7502" s="3"/>
      <c r="D7502" s="3"/>
    </row>
    <row r="7503" spans="1:4">
      <c r="A7503" s="3"/>
      <c r="D7503" s="3"/>
    </row>
    <row r="7504" spans="1:4">
      <c r="A7504" s="3"/>
      <c r="D7504" s="3"/>
    </row>
    <row r="7505" spans="1:4">
      <c r="A7505" s="3"/>
      <c r="D7505" s="3"/>
    </row>
    <row r="7506" spans="1:4">
      <c r="A7506" s="3"/>
      <c r="D7506" s="3"/>
    </row>
    <row r="7507" spans="1:4">
      <c r="A7507" s="3"/>
      <c r="D7507" s="3"/>
    </row>
    <row r="7508" spans="1:4">
      <c r="A7508" s="3"/>
      <c r="D7508" s="3"/>
    </row>
    <row r="7509" spans="1:4">
      <c r="A7509" s="3"/>
      <c r="D7509" s="3"/>
    </row>
    <row r="7510" spans="1:4">
      <c r="A7510" s="3"/>
      <c r="D7510" s="3"/>
    </row>
    <row r="7511" spans="1:4">
      <c r="A7511" s="3"/>
      <c r="D7511" s="3"/>
    </row>
    <row r="7512" spans="1:4">
      <c r="A7512" s="3"/>
      <c r="D7512" s="3"/>
    </row>
    <row r="7513" spans="1:4">
      <c r="A7513" s="3"/>
      <c r="D7513" s="3"/>
    </row>
    <row r="7514" spans="1:4">
      <c r="A7514" s="3"/>
      <c r="D7514" s="3"/>
    </row>
    <row r="7515" spans="1:4">
      <c r="A7515" s="3"/>
      <c r="D7515" s="3"/>
    </row>
    <row r="7516" spans="1:4">
      <c r="A7516" s="3"/>
      <c r="D7516" s="3"/>
    </row>
    <row r="7517" spans="1:4">
      <c r="A7517" s="3"/>
      <c r="D7517" s="3"/>
    </row>
    <row r="7518" spans="1:4">
      <c r="A7518" s="3"/>
      <c r="D7518" s="3"/>
    </row>
    <row r="7519" spans="1:4">
      <c r="A7519" s="3"/>
      <c r="D7519" s="3"/>
    </row>
    <row r="7520" spans="1:4">
      <c r="A7520" s="3"/>
      <c r="D7520" s="3"/>
    </row>
    <row r="7521" spans="1:4">
      <c r="A7521" s="3"/>
      <c r="D7521" s="3"/>
    </row>
    <row r="7522" spans="1:4">
      <c r="A7522" s="3"/>
      <c r="D7522" s="3"/>
    </row>
    <row r="7523" spans="1:4">
      <c r="A7523" s="3"/>
      <c r="D7523" s="3"/>
    </row>
    <row r="7524" spans="1:4">
      <c r="A7524" s="3"/>
      <c r="D7524" s="3"/>
    </row>
    <row r="7525" spans="1:4">
      <c r="A7525" s="3"/>
      <c r="D7525" s="3"/>
    </row>
    <row r="7526" spans="1:4">
      <c r="A7526" s="3"/>
      <c r="D7526" s="3"/>
    </row>
    <row r="7527" spans="1:4">
      <c r="A7527" s="3"/>
      <c r="D7527" s="3"/>
    </row>
    <row r="7528" spans="1:4">
      <c r="A7528" s="3"/>
      <c r="D7528" s="3"/>
    </row>
    <row r="7529" spans="1:4">
      <c r="A7529" s="3"/>
      <c r="D7529" s="3"/>
    </row>
    <row r="7530" spans="1:4">
      <c r="A7530" s="3"/>
      <c r="D7530" s="3"/>
    </row>
    <row r="7531" spans="1:4">
      <c r="A7531" s="3"/>
      <c r="D7531" s="3"/>
    </row>
    <row r="7532" spans="1:4">
      <c r="A7532" s="3"/>
      <c r="D7532" s="3"/>
    </row>
    <row r="7533" spans="1:4">
      <c r="A7533" s="3"/>
      <c r="D7533" s="3"/>
    </row>
    <row r="7534" spans="1:4">
      <c r="A7534" s="3"/>
      <c r="D7534" s="3"/>
    </row>
    <row r="7535" spans="1:4">
      <c r="A7535" s="3"/>
      <c r="D7535" s="3"/>
    </row>
    <row r="7536" spans="1:4">
      <c r="A7536" s="3"/>
      <c r="D7536" s="3"/>
    </row>
    <row r="7537" spans="1:4">
      <c r="A7537" s="3"/>
      <c r="D7537" s="3"/>
    </row>
    <row r="7538" spans="1:4">
      <c r="A7538" s="3"/>
      <c r="D7538" s="3"/>
    </row>
    <row r="7539" spans="1:4">
      <c r="A7539" s="3"/>
      <c r="D7539" s="3"/>
    </row>
    <row r="7540" spans="1:4">
      <c r="A7540" s="3"/>
      <c r="D7540" s="3"/>
    </row>
    <row r="7541" spans="1:4">
      <c r="A7541" s="3"/>
      <c r="D7541" s="3"/>
    </row>
    <row r="7542" spans="1:4">
      <c r="A7542" s="3"/>
      <c r="D7542" s="3"/>
    </row>
    <row r="7543" spans="1:4">
      <c r="A7543" s="3"/>
      <c r="D7543" s="3"/>
    </row>
    <row r="7544" spans="1:4">
      <c r="A7544" s="3"/>
      <c r="D7544" s="3"/>
    </row>
    <row r="7545" spans="1:4">
      <c r="A7545" s="3"/>
      <c r="D7545" s="3"/>
    </row>
    <row r="7546" spans="1:4">
      <c r="A7546" s="3"/>
      <c r="D7546" s="3"/>
    </row>
    <row r="7547" spans="1:4">
      <c r="A7547" s="3"/>
      <c r="D7547" s="3"/>
    </row>
    <row r="7548" spans="1:4">
      <c r="A7548" s="3"/>
      <c r="D7548" s="3"/>
    </row>
    <row r="7549" spans="1:4">
      <c r="A7549" s="3"/>
      <c r="D7549" s="3"/>
    </row>
    <row r="7550" spans="1:4">
      <c r="A7550" s="3"/>
      <c r="D7550" s="3"/>
    </row>
    <row r="7551" spans="1:4">
      <c r="A7551" s="3"/>
      <c r="D7551" s="3"/>
    </row>
    <row r="7552" spans="1:4">
      <c r="A7552" s="3"/>
      <c r="D7552" s="3"/>
    </row>
    <row r="7553" spans="1:4">
      <c r="A7553" s="3"/>
      <c r="D7553" s="3"/>
    </row>
    <row r="7554" spans="1:4">
      <c r="A7554" s="3"/>
      <c r="D7554" s="3"/>
    </row>
    <row r="7555" spans="1:4">
      <c r="A7555" s="3"/>
      <c r="D7555" s="3"/>
    </row>
    <row r="7556" spans="1:4">
      <c r="A7556" s="3"/>
      <c r="D7556" s="3"/>
    </row>
    <row r="7557" spans="1:4">
      <c r="A7557" s="3"/>
      <c r="D7557" s="3"/>
    </row>
    <row r="7558" spans="1:4">
      <c r="A7558" s="3"/>
      <c r="D7558" s="3"/>
    </row>
    <row r="7559" spans="1:4">
      <c r="A7559" s="3"/>
      <c r="D7559" s="3"/>
    </row>
    <row r="7560" spans="1:4">
      <c r="A7560" s="3"/>
      <c r="D7560" s="3"/>
    </row>
    <row r="7561" spans="1:4">
      <c r="A7561" s="3"/>
      <c r="D7561" s="3"/>
    </row>
    <row r="7562" spans="1:4">
      <c r="A7562" s="3"/>
      <c r="D7562" s="3"/>
    </row>
    <row r="7563" spans="1:4">
      <c r="A7563" s="3"/>
      <c r="D7563" s="3"/>
    </row>
    <row r="7564" spans="1:4">
      <c r="A7564" s="3"/>
      <c r="D7564" s="3"/>
    </row>
    <row r="7565" spans="1:4">
      <c r="A7565" s="3"/>
      <c r="D7565" s="3"/>
    </row>
    <row r="7566" spans="1:4">
      <c r="A7566" s="3"/>
      <c r="D7566" s="3"/>
    </row>
    <row r="7567" spans="1:4">
      <c r="A7567" s="3"/>
      <c r="D7567" s="3"/>
    </row>
    <row r="7568" spans="1:4">
      <c r="A7568" s="3"/>
      <c r="D7568" s="3"/>
    </row>
    <row r="7569" spans="1:4">
      <c r="A7569" s="3"/>
      <c r="D7569" s="3"/>
    </row>
    <row r="7570" spans="1:4">
      <c r="A7570" s="3"/>
      <c r="D7570" s="3"/>
    </row>
    <row r="7571" spans="1:4">
      <c r="A7571" s="3"/>
      <c r="D7571" s="3"/>
    </row>
    <row r="7572" spans="1:4">
      <c r="A7572" s="3"/>
      <c r="D7572" s="3"/>
    </row>
    <row r="7573" spans="1:4">
      <c r="A7573" s="3"/>
      <c r="D7573" s="3"/>
    </row>
    <row r="7574" spans="1:4">
      <c r="A7574" s="3"/>
      <c r="D7574" s="3"/>
    </row>
    <row r="7575" spans="1:4">
      <c r="A7575" s="3"/>
      <c r="D7575" s="3"/>
    </row>
    <row r="7576" spans="1:4">
      <c r="A7576" s="3"/>
      <c r="D7576" s="3"/>
    </row>
    <row r="7577" spans="1:4">
      <c r="A7577" s="3"/>
      <c r="D7577" s="3"/>
    </row>
    <row r="7578" spans="1:4">
      <c r="A7578" s="3"/>
      <c r="D7578" s="3"/>
    </row>
    <row r="7579" spans="1:4">
      <c r="A7579" s="3"/>
      <c r="D7579" s="3"/>
    </row>
    <row r="7580" spans="1:4">
      <c r="A7580" s="3"/>
      <c r="D7580" s="3"/>
    </row>
    <row r="7581" spans="1:4">
      <c r="A7581" s="3"/>
      <c r="D7581" s="3"/>
    </row>
    <row r="7582" spans="1:4">
      <c r="A7582" s="3"/>
      <c r="D7582" s="3"/>
    </row>
    <row r="7583" spans="1:4">
      <c r="A7583" s="3"/>
      <c r="D7583" s="3"/>
    </row>
    <row r="7584" spans="1:4">
      <c r="A7584" s="3"/>
      <c r="D7584" s="3"/>
    </row>
    <row r="7585" spans="1:4">
      <c r="A7585" s="3"/>
      <c r="D7585" s="3"/>
    </row>
    <row r="7586" spans="1:4">
      <c r="A7586" s="3"/>
      <c r="D7586" s="3"/>
    </row>
    <row r="7587" spans="1:4">
      <c r="A7587" s="3"/>
      <c r="D7587" s="3"/>
    </row>
    <row r="7588" spans="1:4">
      <c r="A7588" s="3"/>
      <c r="D7588" s="3"/>
    </row>
    <row r="7589" spans="1:4">
      <c r="A7589" s="3"/>
      <c r="D7589" s="3"/>
    </row>
    <row r="7590" spans="1:4">
      <c r="A7590" s="3"/>
      <c r="D7590" s="3"/>
    </row>
    <row r="7591" spans="1:4">
      <c r="A7591" s="3"/>
      <c r="D7591" s="3"/>
    </row>
    <row r="7592" spans="1:4">
      <c r="A7592" s="3"/>
      <c r="D7592" s="3"/>
    </row>
    <row r="7593" spans="1:4">
      <c r="A7593" s="3"/>
      <c r="D7593" s="3"/>
    </row>
    <row r="7594" spans="1:4">
      <c r="A7594" s="3"/>
      <c r="D7594" s="3"/>
    </row>
    <row r="7595" spans="1:4">
      <c r="A7595" s="3"/>
      <c r="D7595" s="3"/>
    </row>
    <row r="7596" spans="1:4">
      <c r="A7596" s="3"/>
      <c r="D7596" s="3"/>
    </row>
    <row r="7597" spans="1:4">
      <c r="A7597" s="3"/>
      <c r="D7597" s="3"/>
    </row>
    <row r="7598" spans="1:4">
      <c r="A7598" s="3"/>
      <c r="D7598" s="3"/>
    </row>
    <row r="7599" spans="1:4">
      <c r="A7599" s="3"/>
      <c r="D7599" s="3"/>
    </row>
    <row r="7600" spans="1:4">
      <c r="A7600" s="3"/>
      <c r="D7600" s="3"/>
    </row>
    <row r="7601" spans="1:4">
      <c r="A7601" s="3"/>
      <c r="D7601" s="3"/>
    </row>
    <row r="7602" spans="1:4">
      <c r="A7602" s="3"/>
      <c r="D7602" s="3"/>
    </row>
    <row r="7603" spans="1:4">
      <c r="A7603" s="3"/>
      <c r="D7603" s="3"/>
    </row>
    <row r="7604" spans="1:4">
      <c r="A7604" s="3"/>
      <c r="D7604" s="3"/>
    </row>
    <row r="7605" spans="1:4">
      <c r="A7605" s="3"/>
      <c r="D7605" s="3"/>
    </row>
    <row r="7606" spans="1:4">
      <c r="A7606" s="3"/>
      <c r="D7606" s="3"/>
    </row>
    <row r="7607" spans="1:4">
      <c r="A7607" s="3"/>
      <c r="D7607" s="3"/>
    </row>
    <row r="7608" spans="1:4">
      <c r="A7608" s="3"/>
      <c r="D7608" s="3"/>
    </row>
    <row r="7609" spans="1:4">
      <c r="A7609" s="3"/>
      <c r="D7609" s="3"/>
    </row>
    <row r="7610" spans="1:4">
      <c r="A7610" s="3"/>
      <c r="D7610" s="3"/>
    </row>
    <row r="7611" spans="1:4">
      <c r="A7611" s="3"/>
      <c r="D7611" s="3"/>
    </row>
    <row r="7612" spans="1:4">
      <c r="A7612" s="3"/>
      <c r="D7612" s="3"/>
    </row>
    <row r="7613" spans="1:4">
      <c r="A7613" s="3"/>
      <c r="D7613" s="3"/>
    </row>
    <row r="7614" spans="1:4">
      <c r="A7614" s="3"/>
      <c r="D7614" s="3"/>
    </row>
    <row r="7615" spans="1:4">
      <c r="A7615" s="3"/>
      <c r="D7615" s="3"/>
    </row>
    <row r="7616" spans="1:4">
      <c r="A7616" s="3"/>
      <c r="D7616" s="3"/>
    </row>
    <row r="7617" spans="1:4">
      <c r="A7617" s="3"/>
      <c r="D7617" s="3"/>
    </row>
    <row r="7618" spans="1:4">
      <c r="A7618" s="3"/>
      <c r="D7618" s="3"/>
    </row>
    <row r="7619" spans="1:4">
      <c r="A7619" s="3"/>
      <c r="D7619" s="3"/>
    </row>
    <row r="7620" spans="1:4">
      <c r="A7620" s="3"/>
      <c r="D7620" s="3"/>
    </row>
    <row r="7621" spans="1:4">
      <c r="A7621" s="3"/>
      <c r="D7621" s="3"/>
    </row>
    <row r="7622" spans="1:4">
      <c r="A7622" s="3"/>
      <c r="D7622" s="3"/>
    </row>
    <row r="7623" spans="1:4">
      <c r="A7623" s="3"/>
      <c r="D7623" s="3"/>
    </row>
    <row r="7624" spans="1:4">
      <c r="A7624" s="3"/>
      <c r="D7624" s="3"/>
    </row>
    <row r="7625" spans="1:4">
      <c r="A7625" s="3"/>
      <c r="D7625" s="3"/>
    </row>
    <row r="7626" spans="1:4">
      <c r="A7626" s="3"/>
      <c r="D7626" s="3"/>
    </row>
    <row r="7627" spans="1:4">
      <c r="A7627" s="3"/>
      <c r="D7627" s="3"/>
    </row>
    <row r="7628" spans="1:4">
      <c r="A7628" s="3"/>
      <c r="D7628" s="3"/>
    </row>
    <row r="7629" spans="1:4">
      <c r="A7629" s="3"/>
      <c r="D7629" s="3"/>
    </row>
    <row r="7630" spans="1:4">
      <c r="A7630" s="3"/>
      <c r="D7630" s="3"/>
    </row>
    <row r="7631" spans="1:4">
      <c r="A7631" s="3"/>
      <c r="D7631" s="3"/>
    </row>
    <row r="7632" spans="1:4">
      <c r="A7632" s="3"/>
      <c r="D7632" s="3"/>
    </row>
    <row r="7633" spans="1:4">
      <c r="A7633" s="3"/>
      <c r="D7633" s="3"/>
    </row>
    <row r="7634" spans="1:4">
      <c r="A7634" s="3"/>
      <c r="D7634" s="3"/>
    </row>
    <row r="7635" spans="1:4">
      <c r="A7635" s="3"/>
      <c r="D7635" s="3"/>
    </row>
    <row r="7636" spans="1:4">
      <c r="A7636" s="3"/>
      <c r="D7636" s="3"/>
    </row>
    <row r="7637" spans="1:4">
      <c r="A7637" s="3"/>
      <c r="D7637" s="3"/>
    </row>
    <row r="7638" spans="1:4">
      <c r="A7638" s="3"/>
      <c r="D7638" s="3"/>
    </row>
    <row r="7639" spans="1:4">
      <c r="A7639" s="3"/>
      <c r="D7639" s="3"/>
    </row>
    <row r="7640" spans="1:4">
      <c r="A7640" s="3"/>
      <c r="D7640" s="3"/>
    </row>
    <row r="7641" spans="1:4">
      <c r="A7641" s="3"/>
      <c r="D7641" s="3"/>
    </row>
    <row r="7642" spans="1:4">
      <c r="A7642" s="3"/>
      <c r="D7642" s="3"/>
    </row>
    <row r="7643" spans="1:4">
      <c r="A7643" s="3"/>
      <c r="D7643" s="3"/>
    </row>
    <row r="7644" spans="1:4">
      <c r="A7644" s="3"/>
      <c r="D7644" s="3"/>
    </row>
    <row r="7645" spans="1:4">
      <c r="A7645" s="3"/>
      <c r="D7645" s="3"/>
    </row>
    <row r="7646" spans="1:4">
      <c r="A7646" s="3"/>
      <c r="D7646" s="3"/>
    </row>
    <row r="7647" spans="1:4">
      <c r="A7647" s="3"/>
      <c r="D7647" s="3"/>
    </row>
    <row r="7648" spans="1:4">
      <c r="A7648" s="3"/>
      <c r="D7648" s="3"/>
    </row>
    <row r="7649" spans="1:4">
      <c r="A7649" s="3"/>
      <c r="D7649" s="3"/>
    </row>
    <row r="7650" spans="1:4">
      <c r="A7650" s="3"/>
      <c r="D7650" s="3"/>
    </row>
    <row r="7651" spans="1:4">
      <c r="A7651" s="3"/>
      <c r="D7651" s="3"/>
    </row>
    <row r="7652" spans="1:4">
      <c r="A7652" s="3"/>
      <c r="D7652" s="3"/>
    </row>
    <row r="7653" spans="1:4">
      <c r="A7653" s="3"/>
      <c r="D7653" s="3"/>
    </row>
    <row r="7654" spans="1:4">
      <c r="A7654" s="3"/>
      <c r="D7654" s="3"/>
    </row>
    <row r="7655" spans="1:4">
      <c r="A7655" s="3"/>
      <c r="D7655" s="3"/>
    </row>
    <row r="7656" spans="1:4">
      <c r="A7656" s="3"/>
      <c r="D7656" s="3"/>
    </row>
    <row r="7657" spans="1:4">
      <c r="A7657" s="3"/>
      <c r="D7657" s="3"/>
    </row>
    <row r="7658" spans="1:4">
      <c r="A7658" s="3"/>
      <c r="D7658" s="3"/>
    </row>
    <row r="7659" spans="1:4">
      <c r="A7659" s="3"/>
      <c r="D7659" s="3"/>
    </row>
    <row r="7660" spans="1:4">
      <c r="A7660" s="3"/>
      <c r="D7660" s="3"/>
    </row>
    <row r="7661" spans="1:4">
      <c r="A7661" s="3"/>
      <c r="D7661" s="3"/>
    </row>
    <row r="7662" spans="1:4">
      <c r="A7662" s="3"/>
      <c r="D7662" s="3"/>
    </row>
    <row r="7663" spans="1:4">
      <c r="A7663" s="3"/>
      <c r="D7663" s="3"/>
    </row>
    <row r="7664" spans="1:4">
      <c r="A7664" s="3"/>
      <c r="D7664" s="3"/>
    </row>
    <row r="7665" spans="1:4">
      <c r="A7665" s="3"/>
      <c r="D7665" s="3"/>
    </row>
    <row r="7666" spans="1:4">
      <c r="A7666" s="3"/>
      <c r="D7666" s="3"/>
    </row>
    <row r="7667" spans="1:4">
      <c r="A7667" s="3"/>
      <c r="D7667" s="3"/>
    </row>
    <row r="7668" spans="1:4">
      <c r="A7668" s="3"/>
      <c r="D7668" s="3"/>
    </row>
    <row r="7669" spans="1:4">
      <c r="A7669" s="3"/>
      <c r="D7669" s="3"/>
    </row>
    <row r="7670" spans="1:4">
      <c r="A7670" s="3"/>
      <c r="D7670" s="3"/>
    </row>
    <row r="7671" spans="1:4">
      <c r="A7671" s="3"/>
      <c r="D7671" s="3"/>
    </row>
    <row r="7672" spans="1:4">
      <c r="A7672" s="3"/>
      <c r="D7672" s="3"/>
    </row>
    <row r="7673" spans="1:4">
      <c r="A7673" s="3"/>
      <c r="D7673" s="3"/>
    </row>
    <row r="7674" spans="1:4">
      <c r="A7674" s="3"/>
      <c r="D7674" s="3"/>
    </row>
    <row r="7675" spans="1:4">
      <c r="A7675" s="3"/>
      <c r="D7675" s="3"/>
    </row>
    <row r="7676" spans="1:4">
      <c r="A7676" s="3"/>
      <c r="D7676" s="3"/>
    </row>
    <row r="7677" spans="1:4">
      <c r="A7677" s="3"/>
      <c r="D7677" s="3"/>
    </row>
    <row r="7678" spans="1:4">
      <c r="A7678" s="3"/>
      <c r="D7678" s="3"/>
    </row>
    <row r="7679" spans="1:4">
      <c r="A7679" s="3"/>
      <c r="D7679" s="3"/>
    </row>
    <row r="7680" spans="1:4">
      <c r="A7680" s="3"/>
      <c r="D7680" s="3"/>
    </row>
    <row r="7681" spans="1:4">
      <c r="A7681" s="3"/>
      <c r="D7681" s="3"/>
    </row>
    <row r="7682" spans="1:4">
      <c r="A7682" s="3"/>
      <c r="D7682" s="3"/>
    </row>
    <row r="7683" spans="1:4">
      <c r="A7683" s="3"/>
      <c r="D7683" s="3"/>
    </row>
    <row r="7684" spans="1:4">
      <c r="A7684" s="3"/>
      <c r="D7684" s="3"/>
    </row>
    <row r="7685" spans="1:4">
      <c r="A7685" s="3"/>
      <c r="D7685" s="3"/>
    </row>
    <row r="7686" spans="1:4">
      <c r="A7686" s="3"/>
      <c r="D7686" s="3"/>
    </row>
    <row r="7687" spans="1:4">
      <c r="A7687" s="3"/>
      <c r="D7687" s="3"/>
    </row>
    <row r="7688" spans="1:4">
      <c r="A7688" s="3"/>
      <c r="D7688" s="3"/>
    </row>
    <row r="7689" spans="1:4">
      <c r="A7689" s="3"/>
      <c r="D7689" s="3"/>
    </row>
    <row r="7690" spans="1:4">
      <c r="A7690" s="3"/>
      <c r="D7690" s="3"/>
    </row>
    <row r="7691" spans="1:4">
      <c r="A7691" s="3"/>
      <c r="D7691" s="3"/>
    </row>
    <row r="7692" spans="1:4">
      <c r="A7692" s="3"/>
      <c r="D7692" s="3"/>
    </row>
    <row r="7693" spans="1:4">
      <c r="A7693" s="3"/>
      <c r="D7693" s="3"/>
    </row>
    <row r="7694" spans="1:4">
      <c r="A7694" s="3"/>
      <c r="D7694" s="3"/>
    </row>
    <row r="7695" spans="1:4">
      <c r="A7695" s="3"/>
      <c r="D7695" s="3"/>
    </row>
    <row r="7696" spans="1:4">
      <c r="A7696" s="3"/>
      <c r="D7696" s="3"/>
    </row>
    <row r="7697" spans="1:4">
      <c r="A7697" s="3"/>
      <c r="D7697" s="3"/>
    </row>
    <row r="7698" spans="1:4">
      <c r="A7698" s="3"/>
      <c r="D7698" s="3"/>
    </row>
    <row r="7699" spans="1:4">
      <c r="A7699" s="3"/>
      <c r="D7699" s="3"/>
    </row>
    <row r="7700" spans="1:4">
      <c r="A7700" s="3"/>
      <c r="D7700" s="3"/>
    </row>
    <row r="7701" spans="1:4">
      <c r="A7701" s="3"/>
      <c r="D7701" s="3"/>
    </row>
    <row r="7702" spans="1:4">
      <c r="A7702" s="3"/>
      <c r="D7702" s="3"/>
    </row>
    <row r="7703" spans="1:4">
      <c r="A7703" s="3"/>
      <c r="D7703" s="3"/>
    </row>
    <row r="7704" spans="1:4">
      <c r="A7704" s="3"/>
      <c r="D7704" s="3"/>
    </row>
    <row r="7705" spans="1:4">
      <c r="A7705" s="3"/>
      <c r="D7705" s="3"/>
    </row>
    <row r="7706" spans="1:4">
      <c r="A7706" s="3"/>
      <c r="D7706" s="3"/>
    </row>
    <row r="7707" spans="1:4">
      <c r="A7707" s="3"/>
      <c r="D7707" s="3"/>
    </row>
    <row r="7708" spans="1:4">
      <c r="A7708" s="3"/>
      <c r="D7708" s="3"/>
    </row>
    <row r="7709" spans="1:4">
      <c r="A7709" s="3"/>
      <c r="D7709" s="3"/>
    </row>
    <row r="7710" spans="1:4">
      <c r="A7710" s="3"/>
      <c r="D7710" s="3"/>
    </row>
    <row r="7711" spans="1:4">
      <c r="A7711" s="3"/>
      <c r="D7711" s="3"/>
    </row>
    <row r="7712" spans="1:4">
      <c r="A7712" s="3"/>
      <c r="D7712" s="3"/>
    </row>
    <row r="7713" spans="1:4">
      <c r="A7713" s="3"/>
      <c r="D7713" s="3"/>
    </row>
    <row r="7714" spans="1:4">
      <c r="A7714" s="3"/>
      <c r="D7714" s="3"/>
    </row>
    <row r="7715" spans="1:4">
      <c r="A7715" s="3"/>
      <c r="D7715" s="3"/>
    </row>
    <row r="7716" spans="1:4">
      <c r="A7716" s="3"/>
      <c r="D7716" s="3"/>
    </row>
    <row r="7717" spans="1:4">
      <c r="A7717" s="3"/>
      <c r="D7717" s="3"/>
    </row>
    <row r="7718" spans="1:4">
      <c r="A7718" s="3"/>
      <c r="D7718" s="3"/>
    </row>
    <row r="7719" spans="1:4">
      <c r="A7719" s="3"/>
      <c r="D7719" s="3"/>
    </row>
    <row r="7720" spans="1:4">
      <c r="A7720" s="3"/>
      <c r="D7720" s="3"/>
    </row>
    <row r="7721" spans="1:4">
      <c r="A7721" s="3"/>
      <c r="D7721" s="3"/>
    </row>
    <row r="7722" spans="1:4">
      <c r="A7722" s="3"/>
      <c r="D7722" s="3"/>
    </row>
    <row r="7723" spans="1:4">
      <c r="A7723" s="3"/>
      <c r="D7723" s="3"/>
    </row>
    <row r="7724" spans="1:4">
      <c r="A7724" s="3"/>
      <c r="D7724" s="3"/>
    </row>
    <row r="7725" spans="1:4">
      <c r="A7725" s="3"/>
      <c r="D7725" s="3"/>
    </row>
    <row r="7726" spans="1:4">
      <c r="A7726" s="3"/>
      <c r="D7726" s="3"/>
    </row>
    <row r="7727" spans="1:4">
      <c r="A7727" s="3"/>
      <c r="D7727" s="3"/>
    </row>
    <row r="7728" spans="1:4">
      <c r="A7728" s="3"/>
      <c r="D7728" s="3"/>
    </row>
    <row r="7729" spans="1:4">
      <c r="A7729" s="3"/>
      <c r="D7729" s="3"/>
    </row>
    <row r="7730" spans="1:4">
      <c r="A7730" s="3"/>
      <c r="D7730" s="3"/>
    </row>
    <row r="7731" spans="1:4">
      <c r="A7731" s="3"/>
      <c r="D7731" s="3"/>
    </row>
    <row r="7732" spans="1:4">
      <c r="A7732" s="3"/>
      <c r="D7732" s="3"/>
    </row>
    <row r="7733" spans="1:4">
      <c r="A7733" s="3"/>
      <c r="D7733" s="3"/>
    </row>
    <row r="7734" spans="1:4">
      <c r="A7734" s="3"/>
      <c r="D7734" s="3"/>
    </row>
    <row r="7735" spans="1:4">
      <c r="A7735" s="3"/>
      <c r="D7735" s="3"/>
    </row>
    <row r="7736" spans="1:4">
      <c r="A7736" s="3"/>
      <c r="D7736" s="3"/>
    </row>
    <row r="7737" spans="1:4">
      <c r="A7737" s="3"/>
      <c r="D7737" s="3"/>
    </row>
    <row r="7738" spans="1:4">
      <c r="A7738" s="3"/>
      <c r="D7738" s="3"/>
    </row>
    <row r="7739" spans="1:4">
      <c r="A7739" s="3"/>
      <c r="D7739" s="3"/>
    </row>
    <row r="7740" spans="1:4">
      <c r="A7740" s="3"/>
      <c r="D7740" s="3"/>
    </row>
    <row r="7741" spans="1:4">
      <c r="A7741" s="3"/>
      <c r="D7741" s="3"/>
    </row>
    <row r="7742" spans="1:4">
      <c r="A7742" s="3"/>
      <c r="D7742" s="3"/>
    </row>
    <row r="7743" spans="1:4">
      <c r="A7743" s="3"/>
      <c r="D7743" s="3"/>
    </row>
    <row r="7744" spans="1:4">
      <c r="A7744" s="3"/>
      <c r="D7744" s="3"/>
    </row>
    <row r="7745" spans="1:4">
      <c r="A7745" s="3"/>
      <c r="D7745" s="3"/>
    </row>
    <row r="7746" spans="1:4">
      <c r="A7746" s="3"/>
      <c r="D7746" s="3"/>
    </row>
    <row r="7747" spans="1:4">
      <c r="A7747" s="3"/>
      <c r="D7747" s="3"/>
    </row>
    <row r="7748" spans="1:4">
      <c r="A7748" s="3"/>
      <c r="D7748" s="3"/>
    </row>
    <row r="7749" spans="1:4">
      <c r="A7749" s="3"/>
      <c r="D7749" s="3"/>
    </row>
    <row r="7750" spans="1:4">
      <c r="A7750" s="3"/>
      <c r="D7750" s="3"/>
    </row>
    <row r="7751" spans="1:4">
      <c r="A7751" s="3"/>
      <c r="D7751" s="3"/>
    </row>
    <row r="7752" spans="1:4">
      <c r="A7752" s="3"/>
      <c r="D7752" s="3"/>
    </row>
    <row r="7753" spans="1:4">
      <c r="A7753" s="3"/>
      <c r="D7753" s="3"/>
    </row>
    <row r="7754" spans="1:4">
      <c r="A7754" s="3"/>
      <c r="D7754" s="3"/>
    </row>
    <row r="7755" spans="1:4">
      <c r="A7755" s="3"/>
      <c r="D7755" s="3"/>
    </row>
    <row r="7756" spans="1:4">
      <c r="A7756" s="3"/>
      <c r="D7756" s="3"/>
    </row>
    <row r="7757" spans="1:4">
      <c r="A7757" s="3"/>
      <c r="D7757" s="3"/>
    </row>
    <row r="7758" spans="1:4">
      <c r="A7758" s="3"/>
      <c r="D7758" s="3"/>
    </row>
    <row r="7759" spans="1:4">
      <c r="A7759" s="3"/>
      <c r="D7759" s="3"/>
    </row>
    <row r="7760" spans="1:4">
      <c r="A7760" s="3"/>
      <c r="D7760" s="3"/>
    </row>
    <row r="7761" spans="1:4">
      <c r="A7761" s="3"/>
      <c r="D7761" s="3"/>
    </row>
    <row r="7762" spans="1:4">
      <c r="A7762" s="3"/>
      <c r="D7762" s="3"/>
    </row>
    <row r="7763" spans="1:4">
      <c r="A7763" s="3"/>
      <c r="D7763" s="3"/>
    </row>
    <row r="7764" spans="1:4">
      <c r="A7764" s="3"/>
      <c r="D7764" s="3"/>
    </row>
    <row r="7765" spans="1:4">
      <c r="A7765" s="3"/>
      <c r="D7765" s="3"/>
    </row>
    <row r="7766" spans="1:4">
      <c r="A7766" s="3"/>
      <c r="D7766" s="3"/>
    </row>
    <row r="7767" spans="1:4">
      <c r="A7767" s="3"/>
      <c r="D7767" s="3"/>
    </row>
    <row r="7768" spans="1:4">
      <c r="A7768" s="3"/>
      <c r="D7768" s="3"/>
    </row>
    <row r="7769" spans="1:4">
      <c r="A7769" s="3"/>
      <c r="D7769" s="3"/>
    </row>
    <row r="7770" spans="1:4">
      <c r="A7770" s="3"/>
      <c r="D7770" s="3"/>
    </row>
    <row r="7771" spans="1:4">
      <c r="A7771" s="3"/>
      <c r="D7771" s="3"/>
    </row>
    <row r="7772" spans="1:4">
      <c r="A7772" s="3"/>
      <c r="D7772" s="3"/>
    </row>
    <row r="7773" spans="1:4">
      <c r="A7773" s="3"/>
      <c r="D7773" s="3"/>
    </row>
    <row r="7774" spans="1:4">
      <c r="A7774" s="3"/>
      <c r="D7774" s="3"/>
    </row>
    <row r="7775" spans="1:4">
      <c r="A7775" s="3"/>
      <c r="D7775" s="3"/>
    </row>
    <row r="7776" spans="1:4">
      <c r="A7776" s="3"/>
      <c r="D7776" s="3"/>
    </row>
    <row r="7777" spans="1:4">
      <c r="A7777" s="3"/>
      <c r="D7777" s="3"/>
    </row>
    <row r="7778" spans="1:4">
      <c r="A7778" s="3"/>
      <c r="D7778" s="3"/>
    </row>
    <row r="7779" spans="1:4">
      <c r="A7779" s="3"/>
      <c r="D7779" s="3"/>
    </row>
    <row r="7780" spans="1:4">
      <c r="A7780" s="3"/>
      <c r="D7780" s="3"/>
    </row>
    <row r="7781" spans="1:4">
      <c r="A7781" s="3"/>
      <c r="D7781" s="3"/>
    </row>
    <row r="7782" spans="1:4">
      <c r="A7782" s="3"/>
      <c r="D7782" s="3"/>
    </row>
    <row r="7783" spans="1:4">
      <c r="A7783" s="3"/>
      <c r="D7783" s="3"/>
    </row>
    <row r="7784" spans="1:4">
      <c r="A7784" s="3"/>
      <c r="D7784" s="3"/>
    </row>
    <row r="7785" spans="1:4">
      <c r="A7785" s="3"/>
      <c r="D7785" s="3"/>
    </row>
    <row r="7786" spans="1:4">
      <c r="A7786" s="3"/>
      <c r="D7786" s="3"/>
    </row>
    <row r="7787" spans="1:4">
      <c r="A7787" s="3"/>
      <c r="D7787" s="3"/>
    </row>
    <row r="7788" spans="1:4">
      <c r="A7788" s="3"/>
      <c r="D7788" s="3"/>
    </row>
    <row r="7789" spans="1:4">
      <c r="A7789" s="3"/>
      <c r="D7789" s="3"/>
    </row>
    <row r="7790" spans="1:4">
      <c r="A7790" s="3"/>
      <c r="D7790" s="3"/>
    </row>
    <row r="7791" spans="1:4">
      <c r="A7791" s="3"/>
      <c r="D7791" s="3"/>
    </row>
    <row r="7792" spans="1:4">
      <c r="A7792" s="3"/>
      <c r="D7792" s="3"/>
    </row>
    <row r="7793" spans="1:4">
      <c r="A7793" s="3"/>
      <c r="D7793" s="3"/>
    </row>
    <row r="7794" spans="1:4">
      <c r="A7794" s="3"/>
      <c r="D7794" s="3"/>
    </row>
    <row r="7795" spans="1:4">
      <c r="A7795" s="3"/>
      <c r="D7795" s="3"/>
    </row>
    <row r="7796" spans="1:4">
      <c r="A7796" s="3"/>
      <c r="D7796" s="3"/>
    </row>
    <row r="7797" spans="1:4">
      <c r="A7797" s="3"/>
      <c r="D7797" s="3"/>
    </row>
    <row r="7798" spans="1:4">
      <c r="A7798" s="3"/>
      <c r="D7798" s="3"/>
    </row>
    <row r="7799" spans="1:4">
      <c r="A7799" s="3"/>
      <c r="D7799" s="3"/>
    </row>
    <row r="7800" spans="1:4">
      <c r="A7800" s="3"/>
      <c r="D7800" s="3"/>
    </row>
    <row r="7801" spans="1:4">
      <c r="A7801" s="3"/>
      <c r="D7801" s="3"/>
    </row>
    <row r="7802" spans="1:4">
      <c r="A7802" s="3"/>
      <c r="D7802" s="3"/>
    </row>
    <row r="7803" spans="1:4">
      <c r="A7803" s="3"/>
      <c r="D7803" s="3"/>
    </row>
    <row r="7804" spans="1:4">
      <c r="A7804" s="3"/>
      <c r="D7804" s="3"/>
    </row>
    <row r="7805" spans="1:4">
      <c r="A7805" s="3"/>
      <c r="D7805" s="3"/>
    </row>
    <row r="7806" spans="1:4">
      <c r="A7806" s="3"/>
      <c r="D7806" s="3"/>
    </row>
    <row r="7807" spans="1:4">
      <c r="A7807" s="3"/>
      <c r="D7807" s="3"/>
    </row>
    <row r="7808" spans="1:4">
      <c r="A7808" s="3"/>
      <c r="D7808" s="3"/>
    </row>
    <row r="7809" spans="1:4">
      <c r="A7809" s="3"/>
      <c r="D7809" s="3"/>
    </row>
    <row r="7810" spans="1:4">
      <c r="A7810" s="3"/>
      <c r="D7810" s="3"/>
    </row>
    <row r="7811" spans="1:4">
      <c r="A7811" s="3"/>
      <c r="D7811" s="3"/>
    </row>
    <row r="7812" spans="1:4">
      <c r="A7812" s="3"/>
      <c r="D7812" s="3"/>
    </row>
    <row r="7813" spans="1:4">
      <c r="A7813" s="3"/>
      <c r="D7813" s="3"/>
    </row>
    <row r="7814" spans="1:4">
      <c r="A7814" s="3"/>
      <c r="D7814" s="3"/>
    </row>
    <row r="7815" spans="1:4">
      <c r="A7815" s="3"/>
      <c r="D7815" s="3"/>
    </row>
    <row r="7816" spans="1:4">
      <c r="A7816" s="3"/>
      <c r="D7816" s="3"/>
    </row>
    <row r="7817" spans="1:4">
      <c r="A7817" s="3"/>
      <c r="D7817" s="3"/>
    </row>
    <row r="7818" spans="1:4">
      <c r="A7818" s="3"/>
      <c r="D7818" s="3"/>
    </row>
    <row r="7819" spans="1:4">
      <c r="A7819" s="3"/>
      <c r="D7819" s="3"/>
    </row>
    <row r="7820" spans="1:4">
      <c r="A7820" s="3"/>
      <c r="D7820" s="3"/>
    </row>
    <row r="7821" spans="1:4">
      <c r="A7821" s="3"/>
      <c r="D7821" s="3"/>
    </row>
    <row r="7822" spans="1:4">
      <c r="A7822" s="3"/>
      <c r="D7822" s="3"/>
    </row>
    <row r="7823" spans="1:4">
      <c r="A7823" s="3"/>
      <c r="D7823" s="3"/>
    </row>
    <row r="7824" spans="1:4">
      <c r="A7824" s="3"/>
      <c r="D7824" s="3"/>
    </row>
    <row r="7825" spans="1:4">
      <c r="A7825" s="3"/>
      <c r="D7825" s="3"/>
    </row>
    <row r="7826" spans="1:4">
      <c r="A7826" s="3"/>
      <c r="D7826" s="3"/>
    </row>
    <row r="7827" spans="1:4">
      <c r="A7827" s="3"/>
      <c r="D7827" s="3"/>
    </row>
    <row r="7828" spans="1:4">
      <c r="A7828" s="3"/>
      <c r="D7828" s="3"/>
    </row>
    <row r="7829" spans="1:4">
      <c r="A7829" s="3"/>
      <c r="D7829" s="3"/>
    </row>
    <row r="7830" spans="1:4">
      <c r="A7830" s="3"/>
      <c r="D7830" s="3"/>
    </row>
    <row r="7831" spans="1:4">
      <c r="A7831" s="3"/>
      <c r="D7831" s="3"/>
    </row>
    <row r="7832" spans="1:4">
      <c r="A7832" s="3"/>
      <c r="D7832" s="3"/>
    </row>
    <row r="7833" spans="1:4">
      <c r="A7833" s="3"/>
      <c r="D7833" s="3"/>
    </row>
    <row r="7834" spans="1:4">
      <c r="A7834" s="3"/>
      <c r="D7834" s="3"/>
    </row>
    <row r="7835" spans="1:4">
      <c r="A7835" s="3"/>
      <c r="D7835" s="3"/>
    </row>
    <row r="7836" spans="1:4">
      <c r="A7836" s="3"/>
      <c r="D7836" s="3"/>
    </row>
    <row r="7837" spans="1:4">
      <c r="A7837" s="3"/>
      <c r="D7837" s="3"/>
    </row>
    <row r="7838" spans="1:4">
      <c r="A7838" s="3"/>
      <c r="D7838" s="3"/>
    </row>
    <row r="7839" spans="1:4">
      <c r="A7839" s="3"/>
      <c r="D7839" s="3"/>
    </row>
    <row r="7840" spans="1:4">
      <c r="A7840" s="3"/>
      <c r="D7840" s="3"/>
    </row>
    <row r="7841" spans="1:4">
      <c r="A7841" s="3"/>
      <c r="D7841" s="3"/>
    </row>
    <row r="7842" spans="1:4">
      <c r="A7842" s="3"/>
      <c r="D7842" s="3"/>
    </row>
    <row r="7843" spans="1:4">
      <c r="A7843" s="3"/>
      <c r="D7843" s="3"/>
    </row>
    <row r="7844" spans="1:4">
      <c r="A7844" s="3"/>
      <c r="D7844" s="3"/>
    </row>
    <row r="7845" spans="1:4">
      <c r="A7845" s="3"/>
      <c r="D7845" s="3"/>
    </row>
    <row r="7846" spans="1:4">
      <c r="A7846" s="3"/>
      <c r="D7846" s="3"/>
    </row>
    <row r="7847" spans="1:4">
      <c r="A7847" s="3"/>
      <c r="D7847" s="3"/>
    </row>
    <row r="7848" spans="1:4">
      <c r="A7848" s="3"/>
      <c r="D7848" s="3"/>
    </row>
    <row r="7849" spans="1:4">
      <c r="A7849" s="3"/>
      <c r="D7849" s="3"/>
    </row>
    <row r="7850" spans="1:4">
      <c r="A7850" s="3"/>
      <c r="D7850" s="3"/>
    </row>
    <row r="7851" spans="1:4">
      <c r="A7851" s="3"/>
      <c r="D7851" s="3"/>
    </row>
    <row r="7852" spans="1:4">
      <c r="A7852" s="3"/>
      <c r="D7852" s="3"/>
    </row>
    <row r="7853" spans="1:4">
      <c r="A7853" s="3"/>
      <c r="D7853" s="3"/>
    </row>
    <row r="7854" spans="1:4">
      <c r="A7854" s="3"/>
      <c r="D7854" s="3"/>
    </row>
    <row r="7855" spans="1:4">
      <c r="A7855" s="3"/>
      <c r="D7855" s="3"/>
    </row>
    <row r="7856" spans="1:4">
      <c r="A7856" s="3"/>
      <c r="D7856" s="3"/>
    </row>
    <row r="7857" spans="1:4">
      <c r="A7857" s="3"/>
      <c r="D7857" s="3"/>
    </row>
    <row r="7858" spans="1:4">
      <c r="A7858" s="3"/>
      <c r="D7858" s="3"/>
    </row>
    <row r="7859" spans="1:4">
      <c r="A7859" s="3"/>
      <c r="D7859" s="3"/>
    </row>
    <row r="7860" spans="1:4">
      <c r="A7860" s="3"/>
      <c r="D7860" s="3"/>
    </row>
    <row r="7861" spans="1:4">
      <c r="A7861" s="3"/>
      <c r="D7861" s="3"/>
    </row>
    <row r="7862" spans="1:4">
      <c r="A7862" s="3"/>
      <c r="D7862" s="3"/>
    </row>
    <row r="7863" spans="1:4">
      <c r="A7863" s="3"/>
      <c r="D7863" s="3"/>
    </row>
    <row r="7864" spans="1:4">
      <c r="A7864" s="3"/>
      <c r="D7864" s="3"/>
    </row>
    <row r="7865" spans="1:4">
      <c r="A7865" s="3"/>
      <c r="D7865" s="3"/>
    </row>
    <row r="7866" spans="1:4">
      <c r="A7866" s="3"/>
      <c r="D7866" s="3"/>
    </row>
    <row r="7867" spans="1:4">
      <c r="A7867" s="3"/>
      <c r="D7867" s="3"/>
    </row>
    <row r="7868" spans="1:4">
      <c r="A7868" s="3"/>
      <c r="D7868" s="3"/>
    </row>
    <row r="7869" spans="1:4">
      <c r="A7869" s="3"/>
      <c r="D7869" s="3"/>
    </row>
    <row r="7870" spans="1:4">
      <c r="A7870" s="3"/>
      <c r="D7870" s="3"/>
    </row>
    <row r="7871" spans="1:4">
      <c r="A7871" s="3"/>
      <c r="D7871" s="3"/>
    </row>
    <row r="7872" spans="1:4">
      <c r="A7872" s="3"/>
      <c r="D7872" s="3"/>
    </row>
    <row r="7873" spans="1:4">
      <c r="A7873" s="3"/>
      <c r="D7873" s="3"/>
    </row>
    <row r="7874" spans="1:4">
      <c r="A7874" s="3"/>
      <c r="D7874" s="3"/>
    </row>
    <row r="7875" spans="1:4">
      <c r="A7875" s="3"/>
      <c r="D7875" s="3"/>
    </row>
    <row r="7876" spans="1:4">
      <c r="A7876" s="3"/>
      <c r="D7876" s="3"/>
    </row>
    <row r="7877" spans="1:4">
      <c r="A7877" s="3"/>
      <c r="D7877" s="3"/>
    </row>
    <row r="7878" spans="1:4">
      <c r="A7878" s="3"/>
      <c r="D7878" s="3"/>
    </row>
    <row r="7879" spans="1:4">
      <c r="A7879" s="3"/>
      <c r="D7879" s="3"/>
    </row>
    <row r="7880" spans="1:4">
      <c r="A7880" s="3"/>
      <c r="D7880" s="3"/>
    </row>
    <row r="7881" spans="1:4">
      <c r="A7881" s="3"/>
      <c r="D7881" s="3"/>
    </row>
    <row r="7882" spans="1:4">
      <c r="A7882" s="3"/>
      <c r="D7882" s="3"/>
    </row>
    <row r="7883" spans="1:4">
      <c r="A7883" s="3"/>
      <c r="D7883" s="3"/>
    </row>
    <row r="7884" spans="1:4">
      <c r="A7884" s="3"/>
      <c r="D7884" s="3"/>
    </row>
    <row r="7885" spans="1:4">
      <c r="A7885" s="3"/>
      <c r="D7885" s="3"/>
    </row>
    <row r="7886" spans="1:4">
      <c r="A7886" s="3"/>
      <c r="D7886" s="3"/>
    </row>
    <row r="7887" spans="1:4">
      <c r="A7887" s="3"/>
      <c r="D7887" s="3"/>
    </row>
    <row r="7888" spans="1:4">
      <c r="A7888" s="3"/>
      <c r="D7888" s="3"/>
    </row>
    <row r="7889" spans="1:4">
      <c r="A7889" s="3"/>
      <c r="D7889" s="3"/>
    </row>
    <row r="7890" spans="1:4">
      <c r="A7890" s="3"/>
      <c r="D7890" s="3"/>
    </row>
    <row r="7891" spans="1:4">
      <c r="A7891" s="3"/>
      <c r="D7891" s="3"/>
    </row>
    <row r="7892" spans="1:4">
      <c r="A7892" s="3"/>
      <c r="D7892" s="3"/>
    </row>
    <row r="7893" spans="1:4">
      <c r="A7893" s="3"/>
      <c r="D7893" s="3"/>
    </row>
    <row r="7894" spans="1:4">
      <c r="A7894" s="3"/>
      <c r="D7894" s="3"/>
    </row>
    <row r="7895" spans="1:4">
      <c r="A7895" s="3"/>
      <c r="D7895" s="3"/>
    </row>
    <row r="7896" spans="1:4">
      <c r="A7896" s="3"/>
      <c r="D7896" s="3"/>
    </row>
    <row r="7897" spans="1:4">
      <c r="A7897" s="3"/>
      <c r="D7897" s="3"/>
    </row>
    <row r="7898" spans="1:4">
      <c r="A7898" s="3"/>
      <c r="D7898" s="3"/>
    </row>
    <row r="7899" spans="1:4">
      <c r="A7899" s="3"/>
      <c r="D7899" s="3"/>
    </row>
    <row r="7900" spans="1:4">
      <c r="A7900" s="3"/>
      <c r="D7900" s="3"/>
    </row>
    <row r="7901" spans="1:4">
      <c r="A7901" s="3"/>
      <c r="D7901" s="3"/>
    </row>
    <row r="7902" spans="1:4">
      <c r="A7902" s="3"/>
      <c r="D7902" s="3"/>
    </row>
    <row r="7903" spans="1:4">
      <c r="A7903" s="3"/>
      <c r="D7903" s="3"/>
    </row>
    <row r="7904" spans="1:4">
      <c r="A7904" s="3"/>
      <c r="D7904" s="3"/>
    </row>
    <row r="7905" spans="1:4">
      <c r="A7905" s="3"/>
      <c r="D7905" s="3"/>
    </row>
    <row r="7906" spans="1:4">
      <c r="A7906" s="3"/>
      <c r="D7906" s="3"/>
    </row>
    <row r="7907" spans="1:4">
      <c r="A7907" s="3"/>
      <c r="D7907" s="3"/>
    </row>
    <row r="7908" spans="1:4">
      <c r="A7908" s="3"/>
      <c r="D7908" s="3"/>
    </row>
    <row r="7909" spans="1:4">
      <c r="A7909" s="3"/>
      <c r="D7909" s="3"/>
    </row>
    <row r="7910" spans="1:4">
      <c r="A7910" s="3"/>
      <c r="D7910" s="3"/>
    </row>
    <row r="7911" spans="1:4">
      <c r="A7911" s="3"/>
      <c r="D7911" s="3"/>
    </row>
    <row r="7912" spans="1:4">
      <c r="A7912" s="3"/>
      <c r="D7912" s="3"/>
    </row>
    <row r="7913" spans="1:4">
      <c r="A7913" s="3"/>
      <c r="D7913" s="3"/>
    </row>
    <row r="7914" spans="1:4">
      <c r="A7914" s="3"/>
      <c r="D7914" s="3"/>
    </row>
    <row r="7915" spans="1:4">
      <c r="A7915" s="3"/>
      <c r="D7915" s="3"/>
    </row>
    <row r="7916" spans="1:4">
      <c r="A7916" s="3"/>
      <c r="D7916" s="3"/>
    </row>
    <row r="7917" spans="1:4">
      <c r="A7917" s="3"/>
      <c r="D7917" s="3"/>
    </row>
    <row r="7918" spans="1:4">
      <c r="A7918" s="3"/>
      <c r="D7918" s="3"/>
    </row>
    <row r="7919" spans="1:4">
      <c r="A7919" s="3"/>
      <c r="D7919" s="3"/>
    </row>
    <row r="7920" spans="1:4">
      <c r="A7920" s="3"/>
      <c r="D7920" s="3"/>
    </row>
    <row r="7921" spans="1:4">
      <c r="A7921" s="3"/>
      <c r="D7921" s="3"/>
    </row>
    <row r="7922" spans="1:4">
      <c r="A7922" s="3"/>
      <c r="D7922" s="3"/>
    </row>
    <row r="7923" spans="1:4">
      <c r="A7923" s="3"/>
      <c r="D7923" s="3"/>
    </row>
    <row r="7924" spans="1:4">
      <c r="A7924" s="3"/>
      <c r="D7924" s="3"/>
    </row>
    <row r="7925" spans="1:4">
      <c r="A7925" s="3"/>
      <c r="D7925" s="3"/>
    </row>
    <row r="7926" spans="1:4">
      <c r="A7926" s="3"/>
      <c r="D7926" s="3"/>
    </row>
    <row r="7927" spans="1:4">
      <c r="A7927" s="3"/>
      <c r="D7927" s="3"/>
    </row>
    <row r="7928" spans="1:4">
      <c r="A7928" s="3"/>
      <c r="D7928" s="3"/>
    </row>
    <row r="7929" spans="1:4">
      <c r="A7929" s="3"/>
      <c r="D7929" s="3"/>
    </row>
    <row r="7930" spans="1:4">
      <c r="A7930" s="3"/>
      <c r="D7930" s="3"/>
    </row>
    <row r="7931" spans="1:4">
      <c r="A7931" s="3"/>
      <c r="D7931" s="3"/>
    </row>
    <row r="7932" spans="1:4">
      <c r="A7932" s="3"/>
      <c r="D7932" s="3"/>
    </row>
    <row r="7933" spans="1:4">
      <c r="A7933" s="3"/>
      <c r="D7933" s="3"/>
    </row>
    <row r="7934" spans="1:4">
      <c r="A7934" s="3"/>
      <c r="D7934" s="3"/>
    </row>
    <row r="7935" spans="1:4">
      <c r="A7935" s="3"/>
      <c r="D7935" s="3"/>
    </row>
    <row r="7936" spans="1:4">
      <c r="A7936" s="3"/>
      <c r="D7936" s="3"/>
    </row>
    <row r="7937" spans="1:4">
      <c r="A7937" s="3"/>
      <c r="D7937" s="3"/>
    </row>
    <row r="7938" spans="1:4">
      <c r="A7938" s="3"/>
      <c r="D7938" s="3"/>
    </row>
    <row r="7939" spans="1:4">
      <c r="A7939" s="3"/>
      <c r="D7939" s="3"/>
    </row>
    <row r="7940" spans="1:4">
      <c r="A7940" s="3"/>
      <c r="D7940" s="3"/>
    </row>
    <row r="7941" spans="1:4">
      <c r="A7941" s="3"/>
      <c r="D7941" s="3"/>
    </row>
    <row r="7942" spans="1:4">
      <c r="A7942" s="3"/>
      <c r="D7942" s="3"/>
    </row>
    <row r="7943" spans="1:4">
      <c r="A7943" s="3"/>
      <c r="D7943" s="3"/>
    </row>
    <row r="7944" spans="1:4">
      <c r="A7944" s="3"/>
      <c r="D7944" s="3"/>
    </row>
    <row r="7945" spans="1:4">
      <c r="A7945" s="3"/>
      <c r="D7945" s="3"/>
    </row>
    <row r="7946" spans="1:4">
      <c r="A7946" s="3"/>
      <c r="D7946" s="3"/>
    </row>
    <row r="7947" spans="1:4">
      <c r="A7947" s="3"/>
      <c r="D7947" s="3"/>
    </row>
    <row r="7948" spans="1:4">
      <c r="A7948" s="3"/>
      <c r="D7948" s="3"/>
    </row>
    <row r="7949" spans="1:4">
      <c r="A7949" s="3"/>
      <c r="D7949" s="3"/>
    </row>
    <row r="7950" spans="1:4">
      <c r="A7950" s="3"/>
      <c r="D7950" s="3"/>
    </row>
    <row r="7951" spans="1:4">
      <c r="A7951" s="3"/>
      <c r="D7951" s="3"/>
    </row>
    <row r="7952" spans="1:4">
      <c r="A7952" s="3"/>
      <c r="D7952" s="3"/>
    </row>
    <row r="7953" spans="1:4">
      <c r="A7953" s="3"/>
      <c r="D7953" s="3"/>
    </row>
    <row r="7954" spans="1:4">
      <c r="A7954" s="3"/>
      <c r="D7954" s="3"/>
    </row>
    <row r="7955" spans="1:4">
      <c r="A7955" s="3"/>
      <c r="D7955" s="3"/>
    </row>
    <row r="7956" spans="1:4">
      <c r="A7956" s="3"/>
      <c r="D7956" s="3"/>
    </row>
    <row r="7957" spans="1:4">
      <c r="A7957" s="3"/>
      <c r="D7957" s="3"/>
    </row>
    <row r="7958" spans="1:4">
      <c r="A7958" s="3"/>
      <c r="D7958" s="3"/>
    </row>
    <row r="7959" spans="1:4">
      <c r="A7959" s="3"/>
      <c r="D7959" s="3"/>
    </row>
    <row r="7960" spans="1:4">
      <c r="A7960" s="3"/>
      <c r="D7960" s="3"/>
    </row>
    <row r="7961" spans="1:4">
      <c r="A7961" s="3"/>
      <c r="D7961" s="3"/>
    </row>
    <row r="7962" spans="1:4">
      <c r="A7962" s="3"/>
      <c r="D7962" s="3"/>
    </row>
    <row r="7963" spans="1:4">
      <c r="A7963" s="3"/>
      <c r="D7963" s="3"/>
    </row>
    <row r="7964" spans="1:4">
      <c r="A7964" s="3"/>
      <c r="D7964" s="3"/>
    </row>
    <row r="7965" spans="1:4">
      <c r="A7965" s="3"/>
      <c r="D7965" s="3"/>
    </row>
    <row r="7966" spans="1:4">
      <c r="A7966" s="3"/>
      <c r="D7966" s="3"/>
    </row>
    <row r="7967" spans="1:4">
      <c r="A7967" s="3"/>
      <c r="D7967" s="3"/>
    </row>
    <row r="7968" spans="1:4">
      <c r="A7968" s="3"/>
      <c r="D7968" s="3"/>
    </row>
    <row r="7969" spans="1:4">
      <c r="A7969" s="3"/>
      <c r="D7969" s="3"/>
    </row>
    <row r="7970" spans="1:4">
      <c r="A7970" s="3"/>
      <c r="D7970" s="3"/>
    </row>
    <row r="7971" spans="1:4">
      <c r="A7971" s="3"/>
      <c r="D7971" s="3"/>
    </row>
    <row r="7972" spans="1:4">
      <c r="A7972" s="3"/>
      <c r="D7972" s="3"/>
    </row>
    <row r="7973" spans="1:4">
      <c r="A7973" s="3"/>
      <c r="D7973" s="3"/>
    </row>
    <row r="7974" spans="1:4">
      <c r="A7974" s="3"/>
      <c r="D7974" s="3"/>
    </row>
    <row r="7975" spans="1:4">
      <c r="A7975" s="3"/>
      <c r="D7975" s="3"/>
    </row>
    <row r="7976" spans="1:4">
      <c r="A7976" s="3"/>
      <c r="D7976" s="3"/>
    </row>
    <row r="7977" spans="1:4">
      <c r="A7977" s="3"/>
      <c r="D7977" s="3"/>
    </row>
    <row r="7978" spans="1:4">
      <c r="A7978" s="3"/>
      <c r="D7978" s="3"/>
    </row>
    <row r="7979" spans="1:4">
      <c r="A7979" s="3"/>
      <c r="D7979" s="3"/>
    </row>
    <row r="7980" spans="1:4">
      <c r="A7980" s="3"/>
      <c r="D7980" s="3"/>
    </row>
    <row r="7981" spans="1:4">
      <c r="A7981" s="3"/>
      <c r="D7981" s="3"/>
    </row>
    <row r="7982" spans="1:4">
      <c r="A7982" s="3"/>
      <c r="D7982" s="3"/>
    </row>
    <row r="7983" spans="1:4">
      <c r="A7983" s="3"/>
      <c r="D7983" s="3"/>
    </row>
    <row r="7984" spans="1:4">
      <c r="A7984" s="3"/>
      <c r="D7984" s="3"/>
    </row>
    <row r="7985" spans="1:4">
      <c r="A7985" s="3"/>
      <c r="D7985" s="3"/>
    </row>
    <row r="7986" spans="1:4">
      <c r="A7986" s="3"/>
      <c r="D7986" s="3"/>
    </row>
    <row r="7987" spans="1:4">
      <c r="A7987" s="3"/>
      <c r="D7987" s="3"/>
    </row>
    <row r="7988" spans="1:4">
      <c r="A7988" s="3"/>
      <c r="D7988" s="3"/>
    </row>
    <row r="7989" spans="1:4">
      <c r="A7989" s="3"/>
      <c r="D7989" s="3"/>
    </row>
    <row r="7990" spans="1:4">
      <c r="A7990" s="3"/>
      <c r="D7990" s="3"/>
    </row>
    <row r="7991" spans="1:4">
      <c r="A7991" s="3"/>
      <c r="D7991" s="3"/>
    </row>
    <row r="7992" spans="1:4">
      <c r="A7992" s="3"/>
      <c r="D7992" s="3"/>
    </row>
    <row r="7993" spans="1:4">
      <c r="A7993" s="3"/>
      <c r="D7993" s="3"/>
    </row>
    <row r="7994" spans="1:4">
      <c r="A7994" s="3"/>
      <c r="D7994" s="3"/>
    </row>
    <row r="7995" spans="1:4">
      <c r="A7995" s="3"/>
      <c r="D7995" s="3"/>
    </row>
    <row r="7996" spans="1:4">
      <c r="A7996" s="3"/>
      <c r="D7996" s="3"/>
    </row>
    <row r="7997" spans="1:4">
      <c r="A7997" s="3"/>
      <c r="D7997" s="3"/>
    </row>
    <row r="7998" spans="1:4">
      <c r="A7998" s="3"/>
      <c r="D7998" s="3"/>
    </row>
    <row r="7999" spans="1:4">
      <c r="A7999" s="3"/>
      <c r="D7999" s="3"/>
    </row>
    <row r="8000" spans="1:4">
      <c r="A8000" s="3"/>
      <c r="D8000" s="3"/>
    </row>
    <row r="8001" spans="1:4">
      <c r="A8001" s="3"/>
      <c r="D8001" s="3"/>
    </row>
    <row r="8002" spans="1:4">
      <c r="A8002" s="3"/>
      <c r="D8002" s="3"/>
    </row>
    <row r="8003" spans="1:4">
      <c r="A8003" s="3"/>
      <c r="D8003" s="3"/>
    </row>
    <row r="8004" spans="1:4">
      <c r="A8004" s="3"/>
      <c r="D8004" s="3"/>
    </row>
    <row r="8005" spans="1:4">
      <c r="A8005" s="3"/>
      <c r="D8005" s="3"/>
    </row>
    <row r="8006" spans="1:4">
      <c r="A8006" s="3"/>
      <c r="D8006" s="3"/>
    </row>
    <row r="8007" spans="1:4">
      <c r="A8007" s="3"/>
      <c r="D8007" s="3"/>
    </row>
    <row r="8008" spans="1:4">
      <c r="A8008" s="3"/>
      <c r="D8008" s="3"/>
    </row>
    <row r="8009" spans="1:4">
      <c r="A8009" s="3"/>
      <c r="D8009" s="3"/>
    </row>
    <row r="8010" spans="1:4">
      <c r="A8010" s="3"/>
      <c r="D8010" s="3"/>
    </row>
    <row r="8011" spans="1:4">
      <c r="A8011" s="3"/>
      <c r="D8011" s="3"/>
    </row>
    <row r="8012" spans="1:4">
      <c r="A8012" s="3"/>
      <c r="D8012" s="3"/>
    </row>
    <row r="8013" spans="1:4">
      <c r="A8013" s="3"/>
      <c r="D8013" s="3"/>
    </row>
    <row r="8014" spans="1:4">
      <c r="A8014" s="3"/>
      <c r="D8014" s="3"/>
    </row>
    <row r="8015" spans="1:4">
      <c r="A8015" s="3"/>
      <c r="D8015" s="3"/>
    </row>
    <row r="8016" spans="1:4">
      <c r="A8016" s="3"/>
      <c r="D8016" s="3"/>
    </row>
    <row r="8017" spans="1:4">
      <c r="A8017" s="3"/>
      <c r="D8017" s="3"/>
    </row>
    <row r="8018" spans="1:4">
      <c r="A8018" s="3"/>
      <c r="D8018" s="3"/>
    </row>
    <row r="8019" spans="1:4">
      <c r="A8019" s="3"/>
      <c r="D8019" s="3"/>
    </row>
    <row r="8020" spans="1:4">
      <c r="A8020" s="3"/>
      <c r="D8020" s="3"/>
    </row>
    <row r="8021" spans="1:4">
      <c r="A8021" s="3"/>
      <c r="D8021" s="3"/>
    </row>
    <row r="8022" spans="1:4">
      <c r="A8022" s="3"/>
      <c r="D8022" s="3"/>
    </row>
    <row r="8023" spans="1:4">
      <c r="A8023" s="3"/>
      <c r="D8023" s="3"/>
    </row>
    <row r="8024" spans="1:4">
      <c r="A8024" s="3"/>
      <c r="D8024" s="3"/>
    </row>
    <row r="8025" spans="1:4">
      <c r="A8025" s="3"/>
      <c r="D8025" s="3"/>
    </row>
    <row r="8026" spans="1:4">
      <c r="A8026" s="3"/>
      <c r="D8026" s="3"/>
    </row>
    <row r="8027" spans="1:4">
      <c r="A8027" s="3"/>
      <c r="D8027" s="3"/>
    </row>
    <row r="8028" spans="1:4">
      <c r="A8028" s="3"/>
      <c r="D8028" s="3"/>
    </row>
    <row r="8029" spans="1:4">
      <c r="A8029" s="3"/>
      <c r="D8029" s="3"/>
    </row>
    <row r="8030" spans="1:4">
      <c r="A8030" s="3"/>
      <c r="D8030" s="3"/>
    </row>
    <row r="8031" spans="1:4">
      <c r="A8031" s="3"/>
      <c r="D8031" s="3"/>
    </row>
    <row r="8032" spans="1:4">
      <c r="A8032" s="3"/>
      <c r="D8032" s="3"/>
    </row>
    <row r="8033" spans="1:4">
      <c r="A8033" s="3"/>
      <c r="D8033" s="3"/>
    </row>
    <row r="8034" spans="1:4">
      <c r="A8034" s="3"/>
      <c r="D8034" s="3"/>
    </row>
    <row r="8035" spans="1:4">
      <c r="A8035" s="3"/>
      <c r="D8035" s="3"/>
    </row>
    <row r="8036" spans="1:4">
      <c r="A8036" s="3"/>
      <c r="D8036" s="3"/>
    </row>
    <row r="8037" spans="1:4">
      <c r="A8037" s="3"/>
      <c r="D8037" s="3"/>
    </row>
    <row r="8038" spans="1:4">
      <c r="A8038" s="3"/>
      <c r="D8038" s="3"/>
    </row>
    <row r="8039" spans="1:4">
      <c r="A8039" s="3"/>
      <c r="D8039" s="3"/>
    </row>
    <row r="8040" spans="1:4">
      <c r="A8040" s="3"/>
      <c r="D8040" s="3"/>
    </row>
    <row r="8041" spans="1:4">
      <c r="A8041" s="3"/>
      <c r="D8041" s="3"/>
    </row>
    <row r="8042" spans="1:4">
      <c r="A8042" s="3"/>
      <c r="D8042" s="3"/>
    </row>
    <row r="8043" spans="1:4">
      <c r="A8043" s="3"/>
      <c r="D8043" s="3"/>
    </row>
    <row r="8044" spans="1:4">
      <c r="A8044" s="3"/>
      <c r="D8044" s="3"/>
    </row>
    <row r="8045" spans="1:4">
      <c r="A8045" s="3"/>
      <c r="D8045" s="3"/>
    </row>
    <row r="8046" spans="1:4">
      <c r="A8046" s="3"/>
      <c r="D8046" s="3"/>
    </row>
    <row r="8047" spans="1:4">
      <c r="A8047" s="3"/>
      <c r="D8047" s="3"/>
    </row>
    <row r="8048" spans="1:4">
      <c r="A8048" s="3"/>
      <c r="D8048" s="3"/>
    </row>
    <row r="8049" spans="1:4">
      <c r="A8049" s="3"/>
      <c r="D8049" s="3"/>
    </row>
    <row r="8050" spans="1:4">
      <c r="A8050" s="3"/>
      <c r="D8050" s="3"/>
    </row>
    <row r="8051" spans="1:4">
      <c r="A8051" s="3"/>
      <c r="D8051" s="3"/>
    </row>
    <row r="8052" spans="1:4">
      <c r="A8052" s="3"/>
      <c r="D8052" s="3"/>
    </row>
    <row r="8053" spans="1:4">
      <c r="A8053" s="3"/>
      <c r="D8053" s="3"/>
    </row>
    <row r="8054" spans="1:4">
      <c r="A8054" s="3"/>
      <c r="D8054" s="3"/>
    </row>
    <row r="8055" spans="1:4">
      <c r="A8055" s="3"/>
      <c r="D8055" s="3"/>
    </row>
    <row r="8056" spans="1:4">
      <c r="A8056" s="3"/>
      <c r="D8056" s="3"/>
    </row>
    <row r="8057" spans="1:4">
      <c r="A8057" s="3"/>
      <c r="D8057" s="3"/>
    </row>
    <row r="8058" spans="1:4">
      <c r="A8058" s="3"/>
      <c r="D8058" s="3"/>
    </row>
    <row r="8059" spans="1:4">
      <c r="A8059" s="3"/>
      <c r="D8059" s="3"/>
    </row>
    <row r="8060" spans="1:4">
      <c r="A8060" s="3"/>
      <c r="D8060" s="3"/>
    </row>
    <row r="8061" spans="1:4">
      <c r="A8061" s="3"/>
      <c r="D8061" s="3"/>
    </row>
    <row r="8062" spans="1:4">
      <c r="A8062" s="3"/>
      <c r="D8062" s="3"/>
    </row>
    <row r="8063" spans="1:4">
      <c r="A8063" s="3"/>
      <c r="D8063" s="3"/>
    </row>
    <row r="8064" spans="1:4">
      <c r="A8064" s="3"/>
      <c r="D8064" s="3"/>
    </row>
    <row r="8065" spans="1:4">
      <c r="A8065" s="3"/>
      <c r="D8065" s="3"/>
    </row>
    <row r="8066" spans="1:4">
      <c r="A8066" s="3"/>
      <c r="D8066" s="3"/>
    </row>
    <row r="8067" spans="1:4">
      <c r="A8067" s="3"/>
      <c r="D8067" s="3"/>
    </row>
    <row r="8068" spans="1:4">
      <c r="A8068" s="3"/>
      <c r="D8068" s="3"/>
    </row>
    <row r="8069" spans="1:4">
      <c r="A8069" s="3"/>
      <c r="D8069" s="3"/>
    </row>
    <row r="8070" spans="1:4">
      <c r="A8070" s="3"/>
      <c r="D8070" s="3"/>
    </row>
    <row r="8071" spans="1:4">
      <c r="A8071" s="3"/>
      <c r="D8071" s="3"/>
    </row>
    <row r="8072" spans="1:4">
      <c r="A8072" s="3"/>
      <c r="D8072" s="3"/>
    </row>
    <row r="8073" spans="1:4">
      <c r="A8073" s="3"/>
      <c r="D8073" s="3"/>
    </row>
    <row r="8074" spans="1:4">
      <c r="A8074" s="3"/>
      <c r="D8074" s="3"/>
    </row>
    <row r="8075" spans="1:4">
      <c r="A8075" s="3"/>
      <c r="D8075" s="3"/>
    </row>
    <row r="8076" spans="1:4">
      <c r="A8076" s="3"/>
      <c r="D8076" s="3"/>
    </row>
    <row r="8077" spans="1:4">
      <c r="A8077" s="3"/>
      <c r="D8077" s="3"/>
    </row>
    <row r="8078" spans="1:4">
      <c r="A8078" s="3"/>
      <c r="D8078" s="3"/>
    </row>
    <row r="8079" spans="1:4">
      <c r="A8079" s="3"/>
      <c r="D8079" s="3"/>
    </row>
    <row r="8080" spans="1:4">
      <c r="A8080" s="3"/>
      <c r="D8080" s="3"/>
    </row>
    <row r="8081" spans="1:4">
      <c r="A8081" s="3"/>
      <c r="D8081" s="3"/>
    </row>
    <row r="8082" spans="1:4">
      <c r="A8082" s="3"/>
      <c r="D8082" s="3"/>
    </row>
    <row r="8083" spans="1:4">
      <c r="A8083" s="3"/>
      <c r="D8083" s="3"/>
    </row>
    <row r="8084" spans="1:4">
      <c r="A8084" s="3"/>
      <c r="D8084" s="3"/>
    </row>
    <row r="8085" spans="1:4">
      <c r="A8085" s="3"/>
      <c r="D8085" s="3"/>
    </row>
    <row r="8086" spans="1:4">
      <c r="A8086" s="3"/>
      <c r="D8086" s="3"/>
    </row>
    <row r="8087" spans="1:4">
      <c r="A8087" s="3"/>
      <c r="D8087" s="3"/>
    </row>
    <row r="8088" spans="1:4">
      <c r="A8088" s="3"/>
      <c r="D8088" s="3"/>
    </row>
    <row r="8089" spans="1:4">
      <c r="A8089" s="3"/>
      <c r="D8089" s="3"/>
    </row>
    <row r="8090" spans="1:4">
      <c r="A8090" s="3"/>
      <c r="D8090" s="3"/>
    </row>
    <row r="8091" spans="1:4">
      <c r="A8091" s="3"/>
      <c r="D8091" s="3"/>
    </row>
    <row r="8092" spans="1:4">
      <c r="A8092" s="3"/>
      <c r="D8092" s="3"/>
    </row>
    <row r="8093" spans="1:4">
      <c r="A8093" s="3"/>
      <c r="D8093" s="3"/>
    </row>
    <row r="8094" spans="1:4">
      <c r="A8094" s="3"/>
      <c r="D8094" s="3"/>
    </row>
    <row r="8095" spans="1:4">
      <c r="A8095" s="3"/>
      <c r="D8095" s="3"/>
    </row>
    <row r="8096" spans="1:4">
      <c r="A8096" s="3"/>
      <c r="D8096" s="3"/>
    </row>
    <row r="8097" spans="1:4">
      <c r="A8097" s="3"/>
      <c r="D8097" s="3"/>
    </row>
    <row r="8098" spans="1:4">
      <c r="A8098" s="3"/>
      <c r="D8098" s="3"/>
    </row>
    <row r="8099" spans="1:4">
      <c r="A8099" s="3"/>
      <c r="D8099" s="3"/>
    </row>
    <row r="8100" spans="1:4">
      <c r="A8100" s="3"/>
      <c r="D8100" s="3"/>
    </row>
    <row r="8101" spans="1:4">
      <c r="A8101" s="3"/>
      <c r="D8101" s="3"/>
    </row>
    <row r="8102" spans="1:4">
      <c r="A8102" s="3"/>
      <c r="D8102" s="3"/>
    </row>
    <row r="8103" spans="1:4">
      <c r="A8103" s="3"/>
      <c r="D8103" s="3"/>
    </row>
    <row r="8104" spans="1:4">
      <c r="A8104" s="3"/>
      <c r="D8104" s="3"/>
    </row>
    <row r="8105" spans="1:4">
      <c r="A8105" s="3"/>
      <c r="D8105" s="3"/>
    </row>
    <row r="8106" spans="1:4">
      <c r="A8106" s="3"/>
      <c r="D8106" s="3"/>
    </row>
    <row r="8107" spans="1:4">
      <c r="A8107" s="3"/>
      <c r="D8107" s="3"/>
    </row>
    <row r="8108" spans="1:4">
      <c r="A8108" s="3"/>
      <c r="D8108" s="3"/>
    </row>
    <row r="8109" spans="1:4">
      <c r="A8109" s="3"/>
      <c r="D8109" s="3"/>
    </row>
    <row r="8110" spans="1:4">
      <c r="A8110" s="3"/>
      <c r="D8110" s="3"/>
    </row>
    <row r="8111" spans="1:4">
      <c r="A8111" s="3"/>
      <c r="D8111" s="3"/>
    </row>
    <row r="8112" spans="1:4">
      <c r="A8112" s="3"/>
      <c r="D8112" s="3"/>
    </row>
    <row r="8113" spans="1:4">
      <c r="A8113" s="3"/>
      <c r="D8113" s="3"/>
    </row>
    <row r="8114" spans="1:4">
      <c r="A8114" s="3"/>
      <c r="D8114" s="3"/>
    </row>
    <row r="8115" spans="1:4">
      <c r="A8115" s="3"/>
      <c r="D8115" s="3"/>
    </row>
    <row r="8116" spans="1:4">
      <c r="A8116" s="3"/>
      <c r="D8116" s="3"/>
    </row>
    <row r="8117" spans="1:4">
      <c r="A8117" s="3"/>
      <c r="D8117" s="3"/>
    </row>
    <row r="8118" spans="1:4">
      <c r="A8118" s="3"/>
      <c r="D8118" s="3"/>
    </row>
    <row r="8119" spans="1:4">
      <c r="A8119" s="3"/>
      <c r="D8119" s="3"/>
    </row>
    <row r="8120" spans="1:4">
      <c r="A8120" s="3"/>
      <c r="D8120" s="3"/>
    </row>
    <row r="8121" spans="1:4">
      <c r="A8121" s="3"/>
      <c r="D8121" s="3"/>
    </row>
    <row r="8122" spans="1:4">
      <c r="A8122" s="3"/>
      <c r="D8122" s="3"/>
    </row>
    <row r="8123" spans="1:4">
      <c r="A8123" s="3"/>
      <c r="D8123" s="3"/>
    </row>
    <row r="8124" spans="1:4">
      <c r="A8124" s="3"/>
      <c r="D8124" s="3"/>
    </row>
    <row r="8125" spans="1:4">
      <c r="A8125" s="3"/>
      <c r="D8125" s="3"/>
    </row>
    <row r="8126" spans="1:4">
      <c r="A8126" s="3"/>
      <c r="D8126" s="3"/>
    </row>
    <row r="8127" spans="1:4">
      <c r="A8127" s="3"/>
      <c r="D8127" s="3"/>
    </row>
    <row r="8128" spans="1:4">
      <c r="A8128" s="3"/>
      <c r="D8128" s="3"/>
    </row>
    <row r="8129" spans="1:4">
      <c r="A8129" s="3"/>
      <c r="D8129" s="3"/>
    </row>
    <row r="8130" spans="1:4">
      <c r="A8130" s="3"/>
      <c r="D8130" s="3"/>
    </row>
    <row r="8131" spans="1:4">
      <c r="A8131" s="3"/>
      <c r="D8131" s="3"/>
    </row>
    <row r="8132" spans="1:4">
      <c r="A8132" s="3"/>
      <c r="D8132" s="3"/>
    </row>
    <row r="8133" spans="1:4">
      <c r="A8133" s="3"/>
      <c r="D8133" s="3"/>
    </row>
    <row r="8134" spans="1:4">
      <c r="A8134" s="3"/>
      <c r="D8134" s="3"/>
    </row>
    <row r="8135" spans="1:4">
      <c r="A8135" s="3"/>
      <c r="D8135" s="3"/>
    </row>
    <row r="8136" spans="1:4">
      <c r="A8136" s="3"/>
      <c r="D8136" s="3"/>
    </row>
    <row r="8137" spans="1:4">
      <c r="A8137" s="3"/>
      <c r="D8137" s="3"/>
    </row>
    <row r="8138" spans="1:4">
      <c r="A8138" s="3"/>
      <c r="D8138" s="3"/>
    </row>
    <row r="8139" spans="1:4">
      <c r="A8139" s="3"/>
      <c r="D8139" s="3"/>
    </row>
    <row r="8140" spans="1:4">
      <c r="A8140" s="3"/>
      <c r="D8140" s="3"/>
    </row>
    <row r="8141" spans="1:4">
      <c r="A8141" s="3"/>
      <c r="D8141" s="3"/>
    </row>
    <row r="8142" spans="1:4">
      <c r="A8142" s="3"/>
      <c r="D8142" s="3"/>
    </row>
    <row r="8143" spans="1:4">
      <c r="A8143" s="3"/>
      <c r="D8143" s="3"/>
    </row>
    <row r="8144" spans="1:4">
      <c r="A8144" s="3"/>
      <c r="D8144" s="3"/>
    </row>
    <row r="8145" spans="1:4">
      <c r="A8145" s="3"/>
      <c r="D8145" s="3"/>
    </row>
    <row r="8146" spans="1:4">
      <c r="A8146" s="3"/>
      <c r="D8146" s="3"/>
    </row>
    <row r="8147" spans="1:4">
      <c r="A8147" s="3"/>
      <c r="D8147" s="3"/>
    </row>
    <row r="8148" spans="1:4">
      <c r="A8148" s="3"/>
      <c r="D8148" s="3"/>
    </row>
    <row r="8149" spans="1:4">
      <c r="A8149" s="3"/>
      <c r="D8149" s="3"/>
    </row>
    <row r="8150" spans="1:4">
      <c r="A8150" s="3"/>
      <c r="D8150" s="3"/>
    </row>
    <row r="8151" spans="1:4">
      <c r="A8151" s="3"/>
      <c r="D8151" s="3"/>
    </row>
    <row r="8152" spans="1:4">
      <c r="A8152" s="3"/>
      <c r="D8152" s="3"/>
    </row>
    <row r="8153" spans="1:4">
      <c r="A8153" s="3"/>
      <c r="D8153" s="3"/>
    </row>
    <row r="8154" spans="1:4">
      <c r="A8154" s="3"/>
      <c r="D8154" s="3"/>
    </row>
    <row r="8155" spans="1:4">
      <c r="A8155" s="3"/>
      <c r="D8155" s="3"/>
    </row>
    <row r="8156" spans="1:4">
      <c r="A8156" s="3"/>
      <c r="D8156" s="3"/>
    </row>
    <row r="8157" spans="1:4">
      <c r="A8157" s="3"/>
      <c r="D8157" s="3"/>
    </row>
    <row r="8158" spans="1:4">
      <c r="A8158" s="3"/>
      <c r="D8158" s="3"/>
    </row>
    <row r="8159" spans="1:4">
      <c r="A8159" s="3"/>
      <c r="D8159" s="3"/>
    </row>
    <row r="8160" spans="1:4">
      <c r="A8160" s="3"/>
      <c r="D8160" s="3"/>
    </row>
    <row r="8161" spans="1:4">
      <c r="A8161" s="3"/>
      <c r="D8161" s="3"/>
    </row>
    <row r="8162" spans="1:4">
      <c r="A8162" s="3"/>
      <c r="D8162" s="3"/>
    </row>
    <row r="8163" spans="1:4">
      <c r="A8163" s="3"/>
      <c r="D8163" s="3"/>
    </row>
    <row r="8164" spans="1:4">
      <c r="A8164" s="3"/>
      <c r="D8164" s="3"/>
    </row>
    <row r="8165" spans="1:4">
      <c r="A8165" s="3"/>
      <c r="D8165" s="3"/>
    </row>
    <row r="8166" spans="1:4">
      <c r="A8166" s="3"/>
      <c r="D8166" s="3"/>
    </row>
    <row r="8167" spans="1:4">
      <c r="A8167" s="3"/>
      <c r="D8167" s="3"/>
    </row>
    <row r="8168" spans="1:4">
      <c r="A8168" s="3"/>
      <c r="D8168" s="3"/>
    </row>
    <row r="8169" spans="1:4">
      <c r="A8169" s="3"/>
      <c r="D8169" s="3"/>
    </row>
    <row r="8170" spans="1:4">
      <c r="A8170" s="3"/>
      <c r="D8170" s="3"/>
    </row>
    <row r="8171" spans="1:4">
      <c r="A8171" s="3"/>
      <c r="D8171" s="3"/>
    </row>
    <row r="8172" spans="1:4">
      <c r="A8172" s="3"/>
      <c r="D8172" s="3"/>
    </row>
    <row r="8173" spans="1:4">
      <c r="A8173" s="3"/>
      <c r="D8173" s="3"/>
    </row>
    <row r="8174" spans="1:4">
      <c r="A8174" s="3"/>
      <c r="D8174" s="3"/>
    </row>
    <row r="8175" spans="1:4">
      <c r="A8175" s="3"/>
      <c r="D8175" s="3"/>
    </row>
    <row r="8176" spans="1:4">
      <c r="A8176" s="3"/>
      <c r="D8176" s="3"/>
    </row>
    <row r="8177" spans="1:4">
      <c r="A8177" s="3"/>
      <c r="D8177" s="3"/>
    </row>
    <row r="8178" spans="1:4">
      <c r="A8178" s="3"/>
      <c r="D8178" s="3"/>
    </row>
    <row r="8179" spans="1:4">
      <c r="A8179" s="3"/>
      <c r="D8179" s="3"/>
    </row>
    <row r="8180" spans="1:4">
      <c r="A8180" s="3"/>
      <c r="D8180" s="3"/>
    </row>
    <row r="8181" spans="1:4">
      <c r="A8181" s="3"/>
      <c r="D8181" s="3"/>
    </row>
    <row r="8182" spans="1:4">
      <c r="A8182" s="3"/>
      <c r="D8182" s="3"/>
    </row>
    <row r="8183" spans="1:4">
      <c r="A8183" s="3"/>
      <c r="D8183" s="3"/>
    </row>
    <row r="8184" spans="1:4">
      <c r="A8184" s="3"/>
      <c r="D8184" s="3"/>
    </row>
    <row r="8185" spans="1:4">
      <c r="A8185" s="3"/>
      <c r="D8185" s="3"/>
    </row>
    <row r="8186" spans="1:4">
      <c r="A8186" s="3"/>
      <c r="D8186" s="3"/>
    </row>
    <row r="8187" spans="1:4">
      <c r="A8187" s="3"/>
      <c r="D8187" s="3"/>
    </row>
    <row r="8188" spans="1:4">
      <c r="A8188" s="3"/>
      <c r="D8188" s="3"/>
    </row>
    <row r="8189" spans="1:4">
      <c r="A8189" s="3"/>
      <c r="D8189" s="3"/>
    </row>
    <row r="8190" spans="1:4">
      <c r="A8190" s="3"/>
      <c r="D8190" s="3"/>
    </row>
    <row r="8191" spans="1:4">
      <c r="A8191" s="3"/>
      <c r="D8191" s="3"/>
    </row>
    <row r="8192" spans="1:4">
      <c r="A8192" s="3"/>
      <c r="D8192" s="3"/>
    </row>
    <row r="8193" spans="1:4">
      <c r="A8193" s="3"/>
      <c r="D8193" s="3"/>
    </row>
    <row r="8194" spans="1:4">
      <c r="A8194" s="3"/>
      <c r="D8194" s="3"/>
    </row>
    <row r="8195" spans="1:4">
      <c r="A8195" s="3"/>
      <c r="D8195" s="3"/>
    </row>
    <row r="8196" spans="1:4">
      <c r="A8196" s="3"/>
      <c r="D8196" s="3"/>
    </row>
    <row r="8197" spans="1:4">
      <c r="A8197" s="3"/>
      <c r="D8197" s="3"/>
    </row>
    <row r="8198" spans="1:4">
      <c r="A8198" s="3"/>
      <c r="D8198" s="3"/>
    </row>
    <row r="8199" spans="1:4">
      <c r="A8199" s="3"/>
      <c r="D8199" s="3"/>
    </row>
    <row r="8200" spans="1:4">
      <c r="A8200" s="3"/>
      <c r="D8200" s="3"/>
    </row>
    <row r="8201" spans="1:4">
      <c r="A8201" s="3"/>
      <c r="D8201" s="3"/>
    </row>
    <row r="8202" spans="1:4">
      <c r="A8202" s="3"/>
      <c r="D8202" s="3"/>
    </row>
    <row r="8203" spans="1:4">
      <c r="A8203" s="3"/>
      <c r="D8203" s="3"/>
    </row>
    <row r="8204" spans="1:4">
      <c r="A8204" s="3"/>
      <c r="D8204" s="3"/>
    </row>
    <row r="8205" spans="1:4">
      <c r="A8205" s="3"/>
      <c r="D8205" s="3"/>
    </row>
    <row r="8206" spans="1:4">
      <c r="A8206" s="3"/>
      <c r="D8206" s="3"/>
    </row>
    <row r="8207" spans="1:4">
      <c r="A8207" s="3"/>
      <c r="D8207" s="3"/>
    </row>
    <row r="8208" spans="1:4">
      <c r="A8208" s="3"/>
      <c r="D8208" s="3"/>
    </row>
    <row r="8209" spans="1:4">
      <c r="A8209" s="3"/>
      <c r="D8209" s="3"/>
    </row>
    <row r="8210" spans="1:4">
      <c r="A8210" s="3"/>
      <c r="D8210" s="3"/>
    </row>
    <row r="8211" spans="1:4">
      <c r="A8211" s="3"/>
      <c r="D8211" s="3"/>
    </row>
    <row r="8212" spans="1:4">
      <c r="A8212" s="3"/>
      <c r="D8212" s="3"/>
    </row>
    <row r="8213" spans="1:4">
      <c r="A8213" s="3"/>
      <c r="D8213" s="3"/>
    </row>
    <row r="8214" spans="1:4">
      <c r="A8214" s="3"/>
      <c r="D8214" s="3"/>
    </row>
    <row r="8215" spans="1:4">
      <c r="A8215" s="3"/>
      <c r="D8215" s="3"/>
    </row>
    <row r="8216" spans="1:4">
      <c r="A8216" s="3"/>
      <c r="D8216" s="3"/>
    </row>
    <row r="8217" spans="1:4">
      <c r="A8217" s="3"/>
      <c r="D8217" s="3"/>
    </row>
    <row r="8218" spans="1:4">
      <c r="A8218" s="3"/>
      <c r="D8218" s="3"/>
    </row>
    <row r="8219" spans="1:4">
      <c r="A8219" s="3"/>
      <c r="D8219" s="3"/>
    </row>
    <row r="8220" spans="1:4">
      <c r="A8220" s="3"/>
      <c r="D8220" s="3"/>
    </row>
    <row r="8221" spans="1:4">
      <c r="A8221" s="3"/>
      <c r="D8221" s="3"/>
    </row>
    <row r="8222" spans="1:4">
      <c r="A8222" s="3"/>
      <c r="D8222" s="3"/>
    </row>
    <row r="8223" spans="1:4">
      <c r="A8223" s="3"/>
      <c r="D8223" s="3"/>
    </row>
    <row r="8224" spans="1:4">
      <c r="A8224" s="3"/>
      <c r="D8224" s="3"/>
    </row>
    <row r="8225" spans="1:4">
      <c r="A8225" s="3"/>
      <c r="D8225" s="3"/>
    </row>
    <row r="8226" spans="1:4">
      <c r="A8226" s="3"/>
      <c r="D8226" s="3"/>
    </row>
    <row r="8227" spans="1:4">
      <c r="A8227" s="3"/>
      <c r="D8227" s="3"/>
    </row>
    <row r="8228" spans="1:4">
      <c r="A8228" s="3"/>
      <c r="D8228" s="3"/>
    </row>
    <row r="8229" spans="1:4">
      <c r="A8229" s="3"/>
      <c r="D8229" s="3"/>
    </row>
    <row r="8230" spans="1:4">
      <c r="A8230" s="3"/>
      <c r="D8230" s="3"/>
    </row>
    <row r="8231" spans="1:4">
      <c r="A8231" s="3"/>
      <c r="D8231" s="3"/>
    </row>
    <row r="8232" spans="1:4">
      <c r="A8232" s="3"/>
      <c r="D8232" s="3"/>
    </row>
    <row r="8233" spans="1:4">
      <c r="A8233" s="3"/>
      <c r="D8233" s="3"/>
    </row>
    <row r="8234" spans="1:4">
      <c r="A8234" s="3"/>
      <c r="D8234" s="3"/>
    </row>
    <row r="8235" spans="1:4">
      <c r="A8235" s="3"/>
      <c r="D8235" s="3"/>
    </row>
    <row r="8236" spans="1:4">
      <c r="A8236" s="3"/>
      <c r="D8236" s="3"/>
    </row>
    <row r="8237" spans="1:4">
      <c r="A8237" s="3"/>
      <c r="D8237" s="3"/>
    </row>
    <row r="8238" spans="1:4">
      <c r="A8238" s="3"/>
      <c r="D8238" s="3"/>
    </row>
    <row r="8239" spans="1:4">
      <c r="A8239" s="3"/>
      <c r="D8239" s="3"/>
    </row>
    <row r="8240" spans="1:4">
      <c r="A8240" s="3"/>
      <c r="D8240" s="3"/>
    </row>
    <row r="8241" spans="1:4">
      <c r="A8241" s="3"/>
      <c r="D8241" s="3"/>
    </row>
    <row r="8242" spans="1:4">
      <c r="A8242" s="3"/>
      <c r="D8242" s="3"/>
    </row>
    <row r="8243" spans="1:4">
      <c r="A8243" s="3"/>
      <c r="D8243" s="3"/>
    </row>
    <row r="8244" spans="1:4">
      <c r="A8244" s="3"/>
      <c r="D8244" s="3"/>
    </row>
    <row r="8245" spans="1:4">
      <c r="A8245" s="3"/>
      <c r="D8245" s="3"/>
    </row>
    <row r="8246" spans="1:4">
      <c r="A8246" s="3"/>
      <c r="D8246" s="3"/>
    </row>
    <row r="8247" spans="1:4">
      <c r="A8247" s="3"/>
      <c r="D8247" s="3"/>
    </row>
    <row r="8248" spans="1:4">
      <c r="A8248" s="3"/>
      <c r="D8248" s="3"/>
    </row>
    <row r="8249" spans="1:4">
      <c r="A8249" s="3"/>
      <c r="D8249" s="3"/>
    </row>
    <row r="8250" spans="1:4">
      <c r="A8250" s="3"/>
      <c r="D8250" s="3"/>
    </row>
    <row r="8251" spans="1:4">
      <c r="A8251" s="3"/>
      <c r="D8251" s="3"/>
    </row>
    <row r="8252" spans="1:4">
      <c r="A8252" s="3"/>
      <c r="D8252" s="3"/>
    </row>
    <row r="8253" spans="1:4">
      <c r="A8253" s="3"/>
      <c r="D8253" s="3"/>
    </row>
    <row r="8254" spans="1:4">
      <c r="A8254" s="3"/>
      <c r="D8254" s="3"/>
    </row>
    <row r="8255" spans="1:4">
      <c r="A8255" s="3"/>
      <c r="D8255" s="3"/>
    </row>
    <row r="8256" spans="1:4">
      <c r="A8256" s="3"/>
      <c r="D8256" s="3"/>
    </row>
    <row r="8257" spans="1:4">
      <c r="A8257" s="3"/>
      <c r="D8257" s="3"/>
    </row>
    <row r="8258" spans="1:4">
      <c r="A8258" s="3"/>
      <c r="D8258" s="3"/>
    </row>
    <row r="8259" spans="1:4">
      <c r="A8259" s="3"/>
      <c r="D8259" s="3"/>
    </row>
    <row r="8260" spans="1:4">
      <c r="A8260" s="3"/>
      <c r="D8260" s="3"/>
    </row>
    <row r="8261" spans="1:4">
      <c r="A8261" s="3"/>
      <c r="D8261" s="3"/>
    </row>
    <row r="8262" spans="1:4">
      <c r="A8262" s="3"/>
      <c r="D8262" s="3"/>
    </row>
    <row r="8263" spans="1:4">
      <c r="A8263" s="3"/>
      <c r="D8263" s="3"/>
    </row>
    <row r="8264" spans="1:4">
      <c r="A8264" s="3"/>
      <c r="D8264" s="3"/>
    </row>
    <row r="8265" spans="1:4">
      <c r="A8265" s="3"/>
      <c r="D8265" s="3"/>
    </row>
    <row r="8266" spans="1:4">
      <c r="A8266" s="3"/>
      <c r="D8266" s="3"/>
    </row>
    <row r="8267" spans="1:4">
      <c r="A8267" s="3"/>
      <c r="D8267" s="3"/>
    </row>
    <row r="8268" spans="1:4">
      <c r="A8268" s="3"/>
      <c r="D8268" s="3"/>
    </row>
    <row r="8269" spans="1:4">
      <c r="A8269" s="3"/>
      <c r="D8269" s="3"/>
    </row>
    <row r="8270" spans="1:4">
      <c r="A8270" s="3"/>
      <c r="D8270" s="3"/>
    </row>
    <row r="8271" spans="1:4">
      <c r="A8271" s="3"/>
      <c r="D8271" s="3"/>
    </row>
    <row r="8272" spans="1:4">
      <c r="A8272" s="3"/>
      <c r="D8272" s="3"/>
    </row>
    <row r="8273" spans="1:4">
      <c r="A8273" s="3"/>
      <c r="D8273" s="3"/>
    </row>
    <row r="8274" spans="1:4">
      <c r="A8274" s="3"/>
      <c r="D8274" s="3"/>
    </row>
    <row r="8275" spans="1:4">
      <c r="A8275" s="3"/>
      <c r="D8275" s="3"/>
    </row>
    <row r="8276" spans="1:4">
      <c r="A8276" s="3"/>
      <c r="D8276" s="3"/>
    </row>
    <row r="8277" spans="1:4">
      <c r="A8277" s="3"/>
      <c r="D8277" s="3"/>
    </row>
    <row r="8278" spans="1:4">
      <c r="A8278" s="3"/>
      <c r="D8278" s="3"/>
    </row>
    <row r="8279" spans="1:4">
      <c r="A8279" s="3"/>
      <c r="D8279" s="3"/>
    </row>
    <row r="8280" spans="1:4">
      <c r="A8280" s="3"/>
      <c r="D8280" s="3"/>
    </row>
    <row r="8281" spans="1:4">
      <c r="A8281" s="3"/>
      <c r="D8281" s="3"/>
    </row>
    <row r="8282" spans="1:4">
      <c r="A8282" s="3"/>
      <c r="D8282" s="3"/>
    </row>
    <row r="8283" spans="1:4">
      <c r="A8283" s="3"/>
      <c r="D8283" s="3"/>
    </row>
    <row r="8284" spans="1:4">
      <c r="A8284" s="3"/>
      <c r="D8284" s="3"/>
    </row>
    <row r="8285" spans="1:4">
      <c r="A8285" s="3"/>
      <c r="D8285" s="3"/>
    </row>
    <row r="8286" spans="1:4">
      <c r="A8286" s="3"/>
      <c r="D8286" s="3"/>
    </row>
    <row r="8287" spans="1:4">
      <c r="A8287" s="3"/>
      <c r="D8287" s="3"/>
    </row>
    <row r="8288" spans="1:4">
      <c r="A8288" s="3"/>
      <c r="D8288" s="3"/>
    </row>
    <row r="8289" spans="1:4">
      <c r="A8289" s="3"/>
      <c r="D8289" s="3"/>
    </row>
    <row r="8290" spans="1:4">
      <c r="A8290" s="3"/>
      <c r="D8290" s="3"/>
    </row>
    <row r="8291" spans="1:4">
      <c r="A8291" s="3"/>
      <c r="D8291" s="3"/>
    </row>
    <row r="8292" spans="1:4">
      <c r="A8292" s="3"/>
      <c r="D8292" s="3"/>
    </row>
    <row r="8293" spans="1:4">
      <c r="A8293" s="3"/>
      <c r="D8293" s="3"/>
    </row>
    <row r="8294" spans="1:4">
      <c r="A8294" s="3"/>
      <c r="D8294" s="3"/>
    </row>
    <row r="8295" spans="1:4">
      <c r="A8295" s="3"/>
      <c r="D8295" s="3"/>
    </row>
    <row r="8296" spans="1:4">
      <c r="A8296" s="3"/>
      <c r="D8296" s="3"/>
    </row>
    <row r="8297" spans="1:4">
      <c r="A8297" s="3"/>
      <c r="D8297" s="3"/>
    </row>
    <row r="8298" spans="1:4">
      <c r="A8298" s="3"/>
      <c r="D8298" s="3"/>
    </row>
    <row r="8299" spans="1:4">
      <c r="A8299" s="3"/>
      <c r="D8299" s="3"/>
    </row>
    <row r="8300" spans="1:4">
      <c r="A8300" s="3"/>
      <c r="D8300" s="3"/>
    </row>
    <row r="8301" spans="1:4">
      <c r="A8301" s="3"/>
      <c r="D8301" s="3"/>
    </row>
    <row r="8302" spans="1:4">
      <c r="A8302" s="3"/>
      <c r="D8302" s="3"/>
    </row>
    <row r="8303" spans="1:4">
      <c r="A8303" s="3"/>
      <c r="D8303" s="3"/>
    </row>
    <row r="8304" spans="1:4">
      <c r="A8304" s="3"/>
      <c r="D8304" s="3"/>
    </row>
    <row r="8305" spans="1:4">
      <c r="A8305" s="3"/>
      <c r="D8305" s="3"/>
    </row>
    <row r="8306" spans="1:4">
      <c r="A8306" s="3"/>
      <c r="D8306" s="3"/>
    </row>
    <row r="8307" spans="1:4">
      <c r="A8307" s="3"/>
      <c r="D8307" s="3"/>
    </row>
    <row r="8308" spans="1:4">
      <c r="A8308" s="3"/>
      <c r="D8308" s="3"/>
    </row>
    <row r="8309" spans="1:4">
      <c r="A8309" s="3"/>
      <c r="D8309" s="3"/>
    </row>
    <row r="8310" spans="1:4">
      <c r="A8310" s="3"/>
      <c r="D8310" s="3"/>
    </row>
    <row r="8311" spans="1:4">
      <c r="A8311" s="3"/>
      <c r="D8311" s="3"/>
    </row>
    <row r="8312" spans="1:4">
      <c r="A8312" s="3"/>
      <c r="D8312" s="3"/>
    </row>
    <row r="8313" spans="1:4">
      <c r="A8313" s="3"/>
      <c r="D8313" s="3"/>
    </row>
    <row r="8314" spans="1:4">
      <c r="A8314" s="3"/>
      <c r="D8314" s="3"/>
    </row>
    <row r="8315" spans="1:4">
      <c r="A8315" s="3"/>
      <c r="D8315" s="3"/>
    </row>
    <row r="8316" spans="1:4">
      <c r="A8316" s="3"/>
      <c r="D8316" s="3"/>
    </row>
    <row r="8317" spans="1:4">
      <c r="A8317" s="3"/>
      <c r="D8317" s="3"/>
    </row>
    <row r="8318" spans="1:4">
      <c r="A8318" s="3"/>
      <c r="D8318" s="3"/>
    </row>
    <row r="8319" spans="1:4">
      <c r="A8319" s="3"/>
      <c r="D8319" s="3"/>
    </row>
    <row r="8320" spans="1:4">
      <c r="A8320" s="3"/>
      <c r="D8320" s="3"/>
    </row>
    <row r="8321" spans="1:4">
      <c r="A8321" s="3"/>
      <c r="D8321" s="3"/>
    </row>
    <row r="8322" spans="1:4">
      <c r="A8322" s="3"/>
      <c r="D8322" s="3"/>
    </row>
    <row r="8323" spans="1:4">
      <c r="A8323" s="3"/>
      <c r="D8323" s="3"/>
    </row>
    <row r="8324" spans="1:4">
      <c r="A8324" s="3"/>
      <c r="D8324" s="3"/>
    </row>
    <row r="8325" spans="1:4">
      <c r="A8325" s="3"/>
      <c r="D8325" s="3"/>
    </row>
    <row r="8326" spans="1:4">
      <c r="A8326" s="3"/>
      <c r="D8326" s="3"/>
    </row>
    <row r="8327" spans="1:4">
      <c r="A8327" s="3"/>
      <c r="D8327" s="3"/>
    </row>
    <row r="8328" spans="1:4">
      <c r="A8328" s="3"/>
      <c r="D8328" s="3"/>
    </row>
    <row r="8329" spans="1:4">
      <c r="A8329" s="3"/>
      <c r="D8329" s="3"/>
    </row>
    <row r="8330" spans="1:4">
      <c r="A8330" s="3"/>
      <c r="D8330" s="3"/>
    </row>
    <row r="8331" spans="1:4">
      <c r="A8331" s="3"/>
      <c r="D8331" s="3"/>
    </row>
    <row r="8332" spans="1:4">
      <c r="A8332" s="3"/>
      <c r="D8332" s="3"/>
    </row>
    <row r="8333" spans="1:4">
      <c r="A8333" s="3"/>
      <c r="D8333" s="3"/>
    </row>
    <row r="8334" spans="1:4">
      <c r="A8334" s="3"/>
      <c r="D8334" s="3"/>
    </row>
    <row r="8335" spans="1:4">
      <c r="A8335" s="3"/>
      <c r="D8335" s="3"/>
    </row>
    <row r="8336" spans="1:4">
      <c r="A8336" s="3"/>
      <c r="D8336" s="3"/>
    </row>
    <row r="8337" spans="1:4">
      <c r="A8337" s="3"/>
      <c r="D8337" s="3"/>
    </row>
    <row r="8338" spans="1:4">
      <c r="A8338" s="3"/>
      <c r="D8338" s="3"/>
    </row>
    <row r="8339" spans="1:4">
      <c r="A8339" s="3"/>
      <c r="D8339" s="3"/>
    </row>
    <row r="8340" spans="1:4">
      <c r="A8340" s="3"/>
      <c r="D8340" s="3"/>
    </row>
    <row r="8341" spans="1:4">
      <c r="A8341" s="3"/>
      <c r="D8341" s="3"/>
    </row>
    <row r="8342" spans="1:4">
      <c r="A8342" s="3"/>
      <c r="D8342" s="3"/>
    </row>
    <row r="8343" spans="1:4">
      <c r="A8343" s="3"/>
      <c r="D8343" s="3"/>
    </row>
    <row r="8344" spans="1:4">
      <c r="A8344" s="3"/>
      <c r="D8344" s="3"/>
    </row>
    <row r="8345" spans="1:4">
      <c r="A8345" s="3"/>
      <c r="D8345" s="3"/>
    </row>
    <row r="8346" spans="1:4">
      <c r="A8346" s="3"/>
      <c r="D8346" s="3"/>
    </row>
    <row r="8347" spans="1:4">
      <c r="A8347" s="3"/>
      <c r="D8347" s="3"/>
    </row>
    <row r="8348" spans="1:4">
      <c r="A8348" s="3"/>
      <c r="D8348" s="3"/>
    </row>
    <row r="8349" spans="1:4">
      <c r="A8349" s="3"/>
      <c r="D8349" s="3"/>
    </row>
    <row r="8350" spans="1:4">
      <c r="A8350" s="3"/>
      <c r="D8350" s="3"/>
    </row>
    <row r="8351" spans="1:4">
      <c r="A8351" s="3"/>
      <c r="D8351" s="3"/>
    </row>
    <row r="8352" spans="1:4">
      <c r="A8352" s="3"/>
      <c r="D8352" s="3"/>
    </row>
    <row r="8353" spans="1:4">
      <c r="A8353" s="3"/>
      <c r="D8353" s="3"/>
    </row>
    <row r="8354" spans="1:4">
      <c r="A8354" s="3"/>
      <c r="D8354" s="3"/>
    </row>
    <row r="8355" spans="1:4">
      <c r="A8355" s="3"/>
      <c r="D8355" s="3"/>
    </row>
    <row r="8356" spans="1:4">
      <c r="A8356" s="3"/>
      <c r="D8356" s="3"/>
    </row>
    <row r="8357" spans="1:4">
      <c r="A8357" s="3"/>
      <c r="D8357" s="3"/>
    </row>
    <row r="8358" spans="1:4">
      <c r="A8358" s="3"/>
      <c r="D8358" s="3"/>
    </row>
    <row r="8359" spans="1:4">
      <c r="A8359" s="3"/>
      <c r="D8359" s="3"/>
    </row>
    <row r="8360" spans="1:4">
      <c r="A8360" s="3"/>
      <c r="D8360" s="3"/>
    </row>
    <row r="8361" spans="1:4">
      <c r="A8361" s="3"/>
      <c r="D8361" s="3"/>
    </row>
    <row r="8362" spans="1:4">
      <c r="A8362" s="3"/>
      <c r="D8362" s="3"/>
    </row>
    <row r="8363" spans="1:4">
      <c r="A8363" s="3"/>
      <c r="D8363" s="3"/>
    </row>
    <row r="8364" spans="1:4">
      <c r="A8364" s="3"/>
      <c r="D8364" s="3"/>
    </row>
    <row r="8365" spans="1:4">
      <c r="A8365" s="3"/>
      <c r="D8365" s="3"/>
    </row>
    <row r="8366" spans="1:4">
      <c r="A8366" s="3"/>
      <c r="D8366" s="3"/>
    </row>
    <row r="8367" spans="1:4">
      <c r="A8367" s="3"/>
      <c r="D8367" s="3"/>
    </row>
    <row r="8368" spans="1:4">
      <c r="A8368" s="3"/>
      <c r="D8368" s="3"/>
    </row>
    <row r="8369" spans="1:4">
      <c r="A8369" s="3"/>
      <c r="D8369" s="3"/>
    </row>
    <row r="8370" spans="1:4">
      <c r="A8370" s="3"/>
      <c r="D8370" s="3"/>
    </row>
    <row r="8371" spans="1:4">
      <c r="A8371" s="3"/>
      <c r="D8371" s="3"/>
    </row>
    <row r="8372" spans="1:4">
      <c r="A8372" s="3"/>
      <c r="D8372" s="3"/>
    </row>
    <row r="8373" spans="1:4">
      <c r="A8373" s="3"/>
      <c r="D8373" s="3"/>
    </row>
    <row r="8374" spans="1:4">
      <c r="A8374" s="3"/>
      <c r="D8374" s="3"/>
    </row>
    <row r="8375" spans="1:4">
      <c r="A8375" s="3"/>
      <c r="D8375" s="3"/>
    </row>
    <row r="8376" spans="1:4">
      <c r="A8376" s="3"/>
      <c r="D8376" s="3"/>
    </row>
    <row r="8377" spans="1:4">
      <c r="A8377" s="3"/>
      <c r="D8377" s="3"/>
    </row>
    <row r="8378" spans="1:4">
      <c r="A8378" s="3"/>
      <c r="D8378" s="3"/>
    </row>
    <row r="8379" spans="1:4">
      <c r="A8379" s="3"/>
      <c r="D8379" s="3"/>
    </row>
    <row r="8380" spans="1:4">
      <c r="A8380" s="3"/>
      <c r="D8380" s="3"/>
    </row>
    <row r="8381" spans="1:4">
      <c r="A8381" s="3"/>
      <c r="D8381" s="3"/>
    </row>
    <row r="8382" spans="1:4">
      <c r="A8382" s="3"/>
      <c r="D8382" s="3"/>
    </row>
    <row r="8383" spans="1:4">
      <c r="A8383" s="3"/>
      <c r="D8383" s="3"/>
    </row>
    <row r="8384" spans="1:4">
      <c r="A8384" s="3"/>
      <c r="D8384" s="3"/>
    </row>
    <row r="8385" spans="1:4">
      <c r="A8385" s="3"/>
      <c r="D8385" s="3"/>
    </row>
    <row r="8386" spans="1:4">
      <c r="A8386" s="3"/>
      <c r="D8386" s="3"/>
    </row>
    <row r="8387" spans="1:4">
      <c r="A8387" s="3"/>
      <c r="D8387" s="3"/>
    </row>
    <row r="8388" spans="1:4">
      <c r="A8388" s="3"/>
      <c r="D8388" s="3"/>
    </row>
    <row r="8389" spans="1:4">
      <c r="A8389" s="3"/>
      <c r="D8389" s="3"/>
    </row>
    <row r="8390" spans="1:4">
      <c r="A8390" s="3"/>
      <c r="D8390" s="3"/>
    </row>
    <row r="8391" spans="1:4">
      <c r="A8391" s="3"/>
      <c r="D8391" s="3"/>
    </row>
    <row r="8392" spans="1:4">
      <c r="A8392" s="3"/>
      <c r="D8392" s="3"/>
    </row>
    <row r="8393" spans="1:4">
      <c r="A8393" s="3"/>
      <c r="D8393" s="3"/>
    </row>
    <row r="8394" spans="1:4">
      <c r="A8394" s="3"/>
      <c r="D8394" s="3"/>
    </row>
    <row r="8395" spans="1:4">
      <c r="A8395" s="3"/>
      <c r="D8395" s="3"/>
    </row>
    <row r="8396" spans="1:4">
      <c r="A8396" s="3"/>
      <c r="D8396" s="3"/>
    </row>
    <row r="8397" spans="1:4">
      <c r="A8397" s="3"/>
      <c r="D8397" s="3"/>
    </row>
    <row r="8398" spans="1:4">
      <c r="A8398" s="3"/>
      <c r="D8398" s="3"/>
    </row>
    <row r="8399" spans="1:4">
      <c r="A8399" s="3"/>
      <c r="D8399" s="3"/>
    </row>
    <row r="8400" spans="1:4">
      <c r="A8400" s="3"/>
      <c r="D8400" s="3"/>
    </row>
    <row r="8401" spans="1:4">
      <c r="A8401" s="3"/>
      <c r="D8401" s="3"/>
    </row>
    <row r="8402" spans="1:4">
      <c r="A8402" s="3"/>
      <c r="D8402" s="3"/>
    </row>
    <row r="8403" spans="1:4">
      <c r="A8403" s="3"/>
      <c r="D8403" s="3"/>
    </row>
    <row r="8404" spans="1:4">
      <c r="A8404" s="3"/>
      <c r="D8404" s="3"/>
    </row>
    <row r="8405" spans="1:4">
      <c r="A8405" s="3"/>
      <c r="D8405" s="3"/>
    </row>
    <row r="8406" spans="1:4">
      <c r="A8406" s="3"/>
      <c r="D8406" s="3"/>
    </row>
    <row r="8407" spans="1:4">
      <c r="A8407" s="3"/>
      <c r="D8407" s="3"/>
    </row>
    <row r="8408" spans="1:4">
      <c r="A8408" s="3"/>
      <c r="D8408" s="3"/>
    </row>
    <row r="8409" spans="1:4">
      <c r="A8409" s="3"/>
      <c r="D8409" s="3"/>
    </row>
    <row r="8410" spans="1:4">
      <c r="A8410" s="3"/>
      <c r="D8410" s="3"/>
    </row>
    <row r="8411" spans="1:4">
      <c r="A8411" s="3"/>
      <c r="D8411" s="3"/>
    </row>
    <row r="8412" spans="1:4">
      <c r="A8412" s="3"/>
      <c r="D8412" s="3"/>
    </row>
    <row r="8413" spans="1:4">
      <c r="A8413" s="3"/>
      <c r="D8413" s="3"/>
    </row>
    <row r="8414" spans="1:4">
      <c r="A8414" s="3"/>
      <c r="D8414" s="3"/>
    </row>
    <row r="8415" spans="1:4">
      <c r="A8415" s="3"/>
      <c r="D8415" s="3"/>
    </row>
    <row r="8416" spans="1:4">
      <c r="A8416" s="3"/>
      <c r="D8416" s="3"/>
    </row>
    <row r="8417" spans="1:4">
      <c r="A8417" s="3"/>
      <c r="D8417" s="3"/>
    </row>
    <row r="8418" spans="1:4">
      <c r="A8418" s="3"/>
      <c r="D8418" s="3"/>
    </row>
    <row r="8419" spans="1:4">
      <c r="A8419" s="3"/>
      <c r="D8419" s="3"/>
    </row>
    <row r="8420" spans="1:4">
      <c r="A8420" s="3"/>
      <c r="D8420" s="3"/>
    </row>
    <row r="8421" spans="1:4">
      <c r="A8421" s="3"/>
      <c r="D8421" s="3"/>
    </row>
    <row r="8422" spans="1:4">
      <c r="A8422" s="3"/>
      <c r="D8422" s="3"/>
    </row>
    <row r="8423" spans="1:4">
      <c r="A8423" s="3"/>
      <c r="D8423" s="3"/>
    </row>
    <row r="8424" spans="1:4">
      <c r="A8424" s="3"/>
      <c r="D8424" s="3"/>
    </row>
    <row r="8425" spans="1:4">
      <c r="A8425" s="3"/>
      <c r="D8425" s="3"/>
    </row>
    <row r="8426" spans="1:4">
      <c r="A8426" s="3"/>
      <c r="D8426" s="3"/>
    </row>
    <row r="8427" spans="1:4">
      <c r="A8427" s="3"/>
      <c r="D8427" s="3"/>
    </row>
    <row r="8428" spans="1:4">
      <c r="A8428" s="3"/>
      <c r="D8428" s="3"/>
    </row>
    <row r="8429" spans="1:4">
      <c r="A8429" s="3"/>
      <c r="D8429" s="3"/>
    </row>
    <row r="8430" spans="1:4">
      <c r="A8430" s="3"/>
      <c r="D8430" s="3"/>
    </row>
    <row r="8431" spans="1:4">
      <c r="A8431" s="3"/>
      <c r="D8431" s="3"/>
    </row>
    <row r="8432" spans="1:4">
      <c r="A8432" s="3"/>
      <c r="D8432" s="3"/>
    </row>
    <row r="8433" spans="1:4">
      <c r="A8433" s="3"/>
      <c r="D8433" s="3"/>
    </row>
    <row r="8434" spans="1:4">
      <c r="A8434" s="3"/>
      <c r="D8434" s="3"/>
    </row>
    <row r="8435" spans="1:4">
      <c r="A8435" s="3"/>
      <c r="D8435" s="3"/>
    </row>
    <row r="8436" spans="1:4">
      <c r="A8436" s="3"/>
      <c r="D8436" s="3"/>
    </row>
    <row r="8437" spans="1:4">
      <c r="A8437" s="3"/>
      <c r="D8437" s="3"/>
    </row>
    <row r="8438" spans="1:4">
      <c r="A8438" s="3"/>
      <c r="D8438" s="3"/>
    </row>
    <row r="8439" spans="1:4">
      <c r="A8439" s="3"/>
      <c r="D8439" s="3"/>
    </row>
    <row r="8440" spans="1:4">
      <c r="A8440" s="3"/>
      <c r="D8440" s="3"/>
    </row>
    <row r="8441" spans="1:4">
      <c r="A8441" s="3"/>
      <c r="D8441" s="3"/>
    </row>
    <row r="8442" spans="1:4">
      <c r="A8442" s="3"/>
      <c r="D8442" s="3"/>
    </row>
    <row r="8443" spans="1:4">
      <c r="A8443" s="3"/>
      <c r="D8443" s="3"/>
    </row>
    <row r="8444" spans="1:4">
      <c r="A8444" s="3"/>
      <c r="D8444" s="3"/>
    </row>
    <row r="8445" spans="1:4">
      <c r="A8445" s="3"/>
      <c r="D8445" s="3"/>
    </row>
    <row r="8446" spans="1:4">
      <c r="A8446" s="3"/>
      <c r="D8446" s="3"/>
    </row>
    <row r="8447" spans="1:4">
      <c r="A8447" s="3"/>
      <c r="D8447" s="3"/>
    </row>
    <row r="8448" spans="1:4">
      <c r="A8448" s="3"/>
      <c r="D8448" s="3"/>
    </row>
    <row r="8449" spans="1:4">
      <c r="A8449" s="3"/>
      <c r="D8449" s="3"/>
    </row>
    <row r="8450" spans="1:4">
      <c r="A8450" s="3"/>
      <c r="D8450" s="3"/>
    </row>
    <row r="8451" spans="1:4">
      <c r="A8451" s="3"/>
      <c r="D8451" s="3"/>
    </row>
    <row r="8452" spans="1:4">
      <c r="A8452" s="3"/>
      <c r="D8452" s="3"/>
    </row>
    <row r="8453" spans="1:4">
      <c r="A8453" s="3"/>
      <c r="D8453" s="3"/>
    </row>
    <row r="8454" spans="1:4">
      <c r="A8454" s="3"/>
      <c r="D8454" s="3"/>
    </row>
    <row r="8455" spans="1:4">
      <c r="A8455" s="3"/>
      <c r="D8455" s="3"/>
    </row>
    <row r="8456" spans="1:4">
      <c r="A8456" s="3"/>
      <c r="D8456" s="3"/>
    </row>
    <row r="8457" spans="1:4">
      <c r="A8457" s="3"/>
      <c r="D8457" s="3"/>
    </row>
    <row r="8458" spans="1:4">
      <c r="A8458" s="3"/>
      <c r="D8458" s="3"/>
    </row>
    <row r="8459" spans="1:4">
      <c r="A8459" s="3"/>
      <c r="D8459" s="3"/>
    </row>
    <row r="8460" spans="1:4">
      <c r="A8460" s="3"/>
      <c r="D8460" s="3"/>
    </row>
    <row r="8461" spans="1:4">
      <c r="A8461" s="3"/>
      <c r="D8461" s="3"/>
    </row>
    <row r="8462" spans="1:4">
      <c r="A8462" s="3"/>
      <c r="D8462" s="3"/>
    </row>
    <row r="8463" spans="1:4">
      <c r="A8463" s="3"/>
      <c r="D8463" s="3"/>
    </row>
    <row r="8464" spans="1:4">
      <c r="A8464" s="3"/>
      <c r="D8464" s="3"/>
    </row>
    <row r="8465" spans="1:4">
      <c r="A8465" s="3"/>
      <c r="D8465" s="3"/>
    </row>
    <row r="8466" spans="1:4">
      <c r="A8466" s="3"/>
      <c r="D8466" s="3"/>
    </row>
    <row r="8467" spans="1:4">
      <c r="A8467" s="3"/>
      <c r="D8467" s="3"/>
    </row>
    <row r="8468" spans="1:4">
      <c r="A8468" s="3"/>
      <c r="D8468" s="3"/>
    </row>
    <row r="8469" spans="1:4">
      <c r="A8469" s="3"/>
      <c r="D8469" s="3"/>
    </row>
    <row r="8470" spans="1:4">
      <c r="A8470" s="3"/>
      <c r="D8470" s="3"/>
    </row>
    <row r="8471" spans="1:4">
      <c r="A8471" s="3"/>
      <c r="D8471" s="3"/>
    </row>
    <row r="8472" spans="1:4">
      <c r="A8472" s="3"/>
      <c r="D8472" s="3"/>
    </row>
    <row r="8473" spans="1:4">
      <c r="A8473" s="3"/>
      <c r="D8473" s="3"/>
    </row>
    <row r="8474" spans="1:4">
      <c r="A8474" s="3"/>
      <c r="D8474" s="3"/>
    </row>
    <row r="8475" spans="1:4">
      <c r="A8475" s="3"/>
      <c r="D8475" s="3"/>
    </row>
    <row r="8476" spans="1:4">
      <c r="A8476" s="3"/>
      <c r="D8476" s="3"/>
    </row>
    <row r="8477" spans="1:4">
      <c r="A8477" s="3"/>
      <c r="D8477" s="3"/>
    </row>
    <row r="8478" spans="1:4">
      <c r="A8478" s="3"/>
      <c r="D8478" s="3"/>
    </row>
    <row r="8479" spans="1:4">
      <c r="A8479" s="3"/>
      <c r="D8479" s="3"/>
    </row>
    <row r="8480" spans="1:4">
      <c r="A8480" s="3"/>
      <c r="D8480" s="3"/>
    </row>
    <row r="8481" spans="1:4">
      <c r="A8481" s="3"/>
      <c r="D8481" s="3"/>
    </row>
    <row r="8482" spans="1:4">
      <c r="A8482" s="3"/>
      <c r="D8482" s="3"/>
    </row>
    <row r="8483" spans="1:4">
      <c r="A8483" s="3"/>
      <c r="D8483" s="3"/>
    </row>
    <row r="8484" spans="1:4">
      <c r="A8484" s="3"/>
      <c r="D8484" s="3"/>
    </row>
    <row r="8485" spans="1:4">
      <c r="A8485" s="3"/>
      <c r="D8485" s="3"/>
    </row>
    <row r="8486" spans="1:4">
      <c r="A8486" s="3"/>
      <c r="D8486" s="3"/>
    </row>
    <row r="8487" spans="1:4">
      <c r="A8487" s="3"/>
      <c r="D8487" s="3"/>
    </row>
    <row r="8488" spans="1:4">
      <c r="A8488" s="3"/>
      <c r="D8488" s="3"/>
    </row>
    <row r="8489" spans="1:4">
      <c r="A8489" s="3"/>
      <c r="D8489" s="3"/>
    </row>
    <row r="8490" spans="1:4">
      <c r="A8490" s="3"/>
      <c r="D8490" s="3"/>
    </row>
    <row r="8491" spans="1:4">
      <c r="A8491" s="3"/>
      <c r="D8491" s="3"/>
    </row>
    <row r="8492" spans="1:4">
      <c r="A8492" s="3"/>
      <c r="D8492" s="3"/>
    </row>
    <row r="8493" spans="1:4">
      <c r="A8493" s="3"/>
      <c r="D8493" s="3"/>
    </row>
    <row r="8494" spans="1:4">
      <c r="A8494" s="3"/>
      <c r="D8494" s="3"/>
    </row>
    <row r="8495" spans="1:4">
      <c r="A8495" s="3"/>
      <c r="D8495" s="3"/>
    </row>
    <row r="8496" spans="1:4">
      <c r="A8496" s="3"/>
      <c r="D8496" s="3"/>
    </row>
    <row r="8497" spans="1:4">
      <c r="A8497" s="3"/>
      <c r="D8497" s="3"/>
    </row>
    <row r="8498" spans="1:4">
      <c r="A8498" s="3"/>
      <c r="D8498" s="3"/>
    </row>
    <row r="8499" spans="1:4">
      <c r="A8499" s="3"/>
      <c r="D8499" s="3"/>
    </row>
    <row r="8500" spans="1:4">
      <c r="A8500" s="3"/>
      <c r="D8500" s="3"/>
    </row>
    <row r="8501" spans="1:4">
      <c r="A8501" s="3"/>
      <c r="D8501" s="3"/>
    </row>
    <row r="8502" spans="1:4">
      <c r="A8502" s="3"/>
      <c r="D8502" s="3"/>
    </row>
    <row r="8503" spans="1:4">
      <c r="A8503" s="3"/>
      <c r="D8503" s="3"/>
    </row>
    <row r="8504" spans="1:4">
      <c r="A8504" s="3"/>
      <c r="D8504" s="3"/>
    </row>
    <row r="8505" spans="1:4">
      <c r="A8505" s="3"/>
      <c r="D8505" s="3"/>
    </row>
    <row r="8506" spans="1:4">
      <c r="A8506" s="3"/>
      <c r="D8506" s="3"/>
    </row>
    <row r="8507" spans="1:4">
      <c r="A8507" s="3"/>
      <c r="D8507" s="3"/>
    </row>
    <row r="8508" spans="1:4">
      <c r="A8508" s="3"/>
      <c r="D8508" s="3"/>
    </row>
    <row r="8509" spans="1:4">
      <c r="A8509" s="3"/>
      <c r="D8509" s="3"/>
    </row>
    <row r="8510" spans="1:4">
      <c r="A8510" s="3"/>
      <c r="D8510" s="3"/>
    </row>
    <row r="8511" spans="1:4">
      <c r="A8511" s="3"/>
      <c r="D8511" s="3"/>
    </row>
    <row r="8512" spans="1:4">
      <c r="A8512" s="3"/>
      <c r="D8512" s="3"/>
    </row>
    <row r="8513" spans="1:4">
      <c r="A8513" s="3"/>
      <c r="D8513" s="3"/>
    </row>
    <row r="8514" spans="1:4">
      <c r="A8514" s="3"/>
      <c r="D8514" s="3"/>
    </row>
    <row r="8515" spans="1:4">
      <c r="A8515" s="3"/>
      <c r="D8515" s="3"/>
    </row>
    <row r="8516" spans="1:4">
      <c r="A8516" s="3"/>
      <c r="D8516" s="3"/>
    </row>
    <row r="8517" spans="1:4">
      <c r="A8517" s="3"/>
      <c r="D8517" s="3"/>
    </row>
    <row r="8518" spans="1:4">
      <c r="A8518" s="3"/>
      <c r="D8518" s="3"/>
    </row>
    <row r="8519" spans="1:4">
      <c r="A8519" s="3"/>
      <c r="D8519" s="3"/>
    </row>
    <row r="8520" spans="1:4">
      <c r="A8520" s="3"/>
      <c r="D8520" s="3"/>
    </row>
    <row r="8521" spans="1:4">
      <c r="A8521" s="3"/>
      <c r="D8521" s="3"/>
    </row>
    <row r="8522" spans="1:4">
      <c r="A8522" s="3"/>
      <c r="D8522" s="3"/>
    </row>
    <row r="8523" spans="1:4">
      <c r="A8523" s="3"/>
      <c r="D8523" s="3"/>
    </row>
    <row r="8524" spans="1:4">
      <c r="A8524" s="3"/>
      <c r="D8524" s="3"/>
    </row>
    <row r="8525" spans="1:4">
      <c r="A8525" s="3"/>
      <c r="D8525" s="3"/>
    </row>
    <row r="8526" spans="1:4">
      <c r="A8526" s="3"/>
      <c r="D8526" s="3"/>
    </row>
    <row r="8527" spans="1:4">
      <c r="A8527" s="3"/>
      <c r="D8527" s="3"/>
    </row>
    <row r="8528" spans="1:4">
      <c r="A8528" s="3"/>
      <c r="D8528" s="3"/>
    </row>
    <row r="8529" spans="1:4">
      <c r="A8529" s="3"/>
      <c r="D8529" s="3"/>
    </row>
    <row r="8530" spans="1:4">
      <c r="A8530" s="3"/>
      <c r="D8530" s="3"/>
    </row>
    <row r="8531" spans="1:4">
      <c r="A8531" s="3"/>
      <c r="D8531" s="3"/>
    </row>
    <row r="8532" spans="1:4">
      <c r="A8532" s="3"/>
      <c r="D8532" s="3"/>
    </row>
    <row r="8533" spans="1:4">
      <c r="A8533" s="3"/>
      <c r="D8533" s="3"/>
    </row>
    <row r="8534" spans="1:4">
      <c r="A8534" s="3"/>
      <c r="D8534" s="3"/>
    </row>
    <row r="8535" spans="1:4">
      <c r="A8535" s="3"/>
      <c r="D8535" s="3"/>
    </row>
    <row r="8536" spans="1:4">
      <c r="A8536" s="3"/>
      <c r="D8536" s="3"/>
    </row>
    <row r="8537" spans="1:4">
      <c r="A8537" s="3"/>
      <c r="D8537" s="3"/>
    </row>
    <row r="8538" spans="1:4">
      <c r="A8538" s="3"/>
      <c r="D8538" s="3"/>
    </row>
    <row r="8539" spans="1:4">
      <c r="A8539" s="3"/>
      <c r="D8539" s="3"/>
    </row>
    <row r="8540" spans="1:4">
      <c r="A8540" s="3"/>
      <c r="D8540" s="3"/>
    </row>
    <row r="8541" spans="1:4">
      <c r="A8541" s="3"/>
      <c r="D8541" s="3"/>
    </row>
    <row r="8542" spans="1:4">
      <c r="A8542" s="3"/>
      <c r="D8542" s="3"/>
    </row>
    <row r="8543" spans="1:4">
      <c r="A8543" s="3"/>
      <c r="D8543" s="3"/>
    </row>
    <row r="8544" spans="1:4">
      <c r="A8544" s="3"/>
      <c r="D8544" s="3"/>
    </row>
    <row r="8545" spans="1:4">
      <c r="A8545" s="3"/>
      <c r="D8545" s="3"/>
    </row>
    <row r="8546" spans="1:4">
      <c r="A8546" s="3"/>
      <c r="D8546" s="3"/>
    </row>
    <row r="8547" spans="1:4">
      <c r="A8547" s="3"/>
      <c r="D8547" s="3"/>
    </row>
    <row r="8548" spans="1:4">
      <c r="A8548" s="3"/>
      <c r="D8548" s="3"/>
    </row>
    <row r="8549" spans="1:4">
      <c r="A8549" s="3"/>
      <c r="D8549" s="3"/>
    </row>
    <row r="8550" spans="1:4">
      <c r="A8550" s="3"/>
      <c r="D8550" s="3"/>
    </row>
    <row r="8551" spans="1:4">
      <c r="A8551" s="3"/>
      <c r="D8551" s="3"/>
    </row>
    <row r="8552" spans="1:4">
      <c r="A8552" s="3"/>
      <c r="D8552" s="3"/>
    </row>
    <row r="8553" spans="1:4">
      <c r="A8553" s="3"/>
      <c r="D8553" s="3"/>
    </row>
    <row r="8554" spans="1:4">
      <c r="A8554" s="3"/>
      <c r="D8554" s="3"/>
    </row>
    <row r="8555" spans="1:4">
      <c r="A8555" s="3"/>
      <c r="D8555" s="3"/>
    </row>
    <row r="8556" spans="1:4">
      <c r="A8556" s="3"/>
      <c r="D8556" s="3"/>
    </row>
    <row r="8557" spans="1:4">
      <c r="A8557" s="3"/>
      <c r="D8557" s="3"/>
    </row>
    <row r="8558" spans="1:4">
      <c r="A8558" s="3"/>
      <c r="D8558" s="3"/>
    </row>
    <row r="8559" spans="1:4">
      <c r="A8559" s="3"/>
      <c r="D8559" s="3"/>
    </row>
    <row r="8560" spans="1:4">
      <c r="A8560" s="3"/>
      <c r="D8560" s="3"/>
    </row>
    <row r="8561" spans="1:4">
      <c r="A8561" s="3"/>
      <c r="D8561" s="3"/>
    </row>
    <row r="8562" spans="1:4">
      <c r="A8562" s="3"/>
      <c r="D8562" s="3"/>
    </row>
    <row r="8563" spans="1:4">
      <c r="A8563" s="3"/>
      <c r="D8563" s="3"/>
    </row>
    <row r="8564" spans="1:4">
      <c r="A8564" s="3"/>
      <c r="D8564" s="3"/>
    </row>
    <row r="8565" spans="1:4">
      <c r="A8565" s="3"/>
      <c r="D8565" s="3"/>
    </row>
    <row r="8566" spans="1:4">
      <c r="A8566" s="3"/>
      <c r="D8566" s="3"/>
    </row>
    <row r="8567" spans="1:4">
      <c r="A8567" s="3"/>
      <c r="D8567" s="3"/>
    </row>
    <row r="8568" spans="1:4">
      <c r="A8568" s="3"/>
      <c r="D8568" s="3"/>
    </row>
    <row r="8569" spans="1:4">
      <c r="A8569" s="3"/>
      <c r="D8569" s="3"/>
    </row>
    <row r="8570" spans="1:4">
      <c r="A8570" s="3"/>
      <c r="D8570" s="3"/>
    </row>
    <row r="8571" spans="1:4">
      <c r="A8571" s="3"/>
      <c r="D8571" s="3"/>
    </row>
    <row r="8572" spans="1:4">
      <c r="A8572" s="3"/>
      <c r="D8572" s="3"/>
    </row>
    <row r="8573" spans="1:4">
      <c r="A8573" s="3"/>
      <c r="D8573" s="3"/>
    </row>
    <row r="8574" spans="1:4">
      <c r="A8574" s="3"/>
      <c r="D8574" s="3"/>
    </row>
    <row r="8575" spans="1:4">
      <c r="A8575" s="3"/>
      <c r="D8575" s="3"/>
    </row>
    <row r="8576" spans="1:4">
      <c r="A8576" s="3"/>
      <c r="D8576" s="3"/>
    </row>
    <row r="8577" spans="1:4">
      <c r="A8577" s="3"/>
      <c r="D8577" s="3"/>
    </row>
    <row r="8578" spans="1:4">
      <c r="A8578" s="3"/>
      <c r="D8578" s="3"/>
    </row>
    <row r="8579" spans="1:4">
      <c r="A8579" s="3"/>
      <c r="D8579" s="3"/>
    </row>
    <row r="8580" spans="1:4">
      <c r="A8580" s="3"/>
      <c r="D8580" s="3"/>
    </row>
    <row r="8581" spans="1:4">
      <c r="A8581" s="3"/>
      <c r="D8581" s="3"/>
    </row>
    <row r="8582" spans="1:4">
      <c r="A8582" s="3"/>
      <c r="D8582" s="3"/>
    </row>
    <row r="8583" spans="1:4">
      <c r="A8583" s="3"/>
      <c r="D8583" s="3"/>
    </row>
    <row r="8584" spans="1:4">
      <c r="A8584" s="3"/>
      <c r="D8584" s="3"/>
    </row>
    <row r="8585" spans="1:4">
      <c r="A8585" s="3"/>
      <c r="D8585" s="3"/>
    </row>
    <row r="8586" spans="1:4">
      <c r="A8586" s="3"/>
      <c r="D8586" s="3"/>
    </row>
    <row r="8587" spans="1:4">
      <c r="A8587" s="3"/>
      <c r="D8587" s="3"/>
    </row>
    <row r="8588" spans="1:4">
      <c r="A8588" s="3"/>
      <c r="D8588" s="3"/>
    </row>
    <row r="8589" spans="1:4">
      <c r="A8589" s="3"/>
      <c r="D8589" s="3"/>
    </row>
    <row r="8590" spans="1:4">
      <c r="A8590" s="3"/>
      <c r="D8590" s="3"/>
    </row>
    <row r="8591" spans="1:4">
      <c r="A8591" s="3"/>
      <c r="D8591" s="3"/>
    </row>
    <row r="8592" spans="1:4">
      <c r="A8592" s="3"/>
      <c r="D8592" s="3"/>
    </row>
    <row r="8593" spans="1:4">
      <c r="A8593" s="3"/>
      <c r="D8593" s="3"/>
    </row>
    <row r="8594" spans="1:4">
      <c r="A8594" s="3"/>
      <c r="D8594" s="3"/>
    </row>
    <row r="8595" spans="1:4">
      <c r="A8595" s="3"/>
      <c r="D8595" s="3"/>
    </row>
    <row r="8596" spans="1:4">
      <c r="A8596" s="3"/>
      <c r="D8596" s="3"/>
    </row>
    <row r="8597" spans="1:4">
      <c r="A8597" s="3"/>
      <c r="D8597" s="3"/>
    </row>
    <row r="8598" spans="1:4">
      <c r="A8598" s="3"/>
      <c r="D8598" s="3"/>
    </row>
    <row r="8599" spans="1:4">
      <c r="A8599" s="3"/>
      <c r="D8599" s="3"/>
    </row>
    <row r="8600" spans="1:4">
      <c r="A8600" s="3"/>
      <c r="D8600" s="3"/>
    </row>
    <row r="8601" spans="1:4">
      <c r="A8601" s="3"/>
      <c r="D8601" s="3"/>
    </row>
    <row r="8602" spans="1:4">
      <c r="A8602" s="3"/>
      <c r="D8602" s="3"/>
    </row>
    <row r="8603" spans="1:4">
      <c r="A8603" s="3"/>
      <c r="D8603" s="3"/>
    </row>
    <row r="8604" spans="1:4">
      <c r="A8604" s="3"/>
      <c r="D8604" s="3"/>
    </row>
    <row r="8605" spans="1:4">
      <c r="A8605" s="3"/>
      <c r="D8605" s="3"/>
    </row>
    <row r="8606" spans="1:4">
      <c r="A8606" s="3"/>
      <c r="D8606" s="3"/>
    </row>
    <row r="8607" spans="1:4">
      <c r="A8607" s="3"/>
      <c r="D8607" s="3"/>
    </row>
    <row r="8608" spans="1:4">
      <c r="A8608" s="3"/>
      <c r="D8608" s="3"/>
    </row>
    <row r="8609" spans="1:4">
      <c r="A8609" s="3"/>
      <c r="D8609" s="3"/>
    </row>
    <row r="8610" spans="1:4">
      <c r="A8610" s="3"/>
      <c r="D8610" s="3"/>
    </row>
    <row r="8611" spans="1:4">
      <c r="A8611" s="3"/>
      <c r="D8611" s="3"/>
    </row>
    <row r="8612" spans="1:4">
      <c r="A8612" s="3"/>
      <c r="D8612" s="3"/>
    </row>
    <row r="8613" spans="1:4">
      <c r="A8613" s="3"/>
      <c r="D8613" s="3"/>
    </row>
    <row r="8614" spans="1:4">
      <c r="A8614" s="3"/>
      <c r="D8614" s="3"/>
    </row>
    <row r="8615" spans="1:4">
      <c r="A8615" s="3"/>
      <c r="D8615" s="3"/>
    </row>
    <row r="8616" spans="1:4">
      <c r="A8616" s="3"/>
      <c r="D8616" s="3"/>
    </row>
    <row r="8617" spans="1:4">
      <c r="A8617" s="3"/>
      <c r="D8617" s="3"/>
    </row>
    <row r="8618" spans="1:4">
      <c r="A8618" s="3"/>
      <c r="D8618" s="3"/>
    </row>
    <row r="8619" spans="1:4">
      <c r="A8619" s="3"/>
      <c r="D8619" s="3"/>
    </row>
    <row r="8620" spans="1:4">
      <c r="A8620" s="3"/>
      <c r="D8620" s="3"/>
    </row>
    <row r="8621" spans="1:4">
      <c r="A8621" s="3"/>
      <c r="D8621" s="3"/>
    </row>
    <row r="8622" spans="1:4">
      <c r="A8622" s="3"/>
      <c r="D8622" s="3"/>
    </row>
    <row r="8623" spans="1:4">
      <c r="A8623" s="3"/>
      <c r="D8623" s="3"/>
    </row>
    <row r="8624" spans="1:4">
      <c r="A8624" s="3"/>
      <c r="D8624" s="3"/>
    </row>
    <row r="8625" spans="1:4">
      <c r="A8625" s="3"/>
      <c r="D8625" s="3"/>
    </row>
    <row r="8626" spans="1:4">
      <c r="A8626" s="3"/>
      <c r="D8626" s="3"/>
    </row>
    <row r="8627" spans="1:4">
      <c r="A8627" s="3"/>
      <c r="D8627" s="3"/>
    </row>
    <row r="8628" spans="1:4">
      <c r="A8628" s="3"/>
      <c r="D8628" s="3"/>
    </row>
    <row r="8629" spans="1:4">
      <c r="A8629" s="3"/>
      <c r="D8629" s="3"/>
    </row>
    <row r="8630" spans="1:4">
      <c r="A8630" s="3"/>
      <c r="D8630" s="3"/>
    </row>
    <row r="8631" spans="1:4">
      <c r="A8631" s="3"/>
      <c r="D8631" s="3"/>
    </row>
    <row r="8632" spans="1:4">
      <c r="A8632" s="3"/>
      <c r="D8632" s="3"/>
    </row>
    <row r="8633" spans="1:4">
      <c r="A8633" s="3"/>
      <c r="D8633" s="3"/>
    </row>
    <row r="8634" spans="1:4">
      <c r="A8634" s="3"/>
      <c r="D8634" s="3"/>
    </row>
    <row r="8635" spans="1:4">
      <c r="A8635" s="3"/>
      <c r="D8635" s="3"/>
    </row>
    <row r="8636" spans="1:4">
      <c r="A8636" s="3"/>
      <c r="D8636" s="3"/>
    </row>
    <row r="8637" spans="1:4">
      <c r="A8637" s="3"/>
      <c r="D8637" s="3"/>
    </row>
    <row r="8638" spans="1:4">
      <c r="A8638" s="3"/>
      <c r="D8638" s="3"/>
    </row>
    <row r="8639" spans="1:4">
      <c r="A8639" s="3"/>
      <c r="D8639" s="3"/>
    </row>
    <row r="8640" spans="1:4">
      <c r="A8640" s="3"/>
      <c r="D8640" s="3"/>
    </row>
    <row r="8641" spans="1:4">
      <c r="A8641" s="3"/>
      <c r="D8641" s="3"/>
    </row>
    <row r="8642" spans="1:4">
      <c r="A8642" s="3"/>
      <c r="D8642" s="3"/>
    </row>
    <row r="8643" spans="1:4">
      <c r="A8643" s="3"/>
      <c r="D8643" s="3"/>
    </row>
    <row r="8644" spans="1:4">
      <c r="A8644" s="3"/>
      <c r="D8644" s="3"/>
    </row>
    <row r="8645" spans="1:4">
      <c r="A8645" s="3"/>
      <c r="D8645" s="3"/>
    </row>
    <row r="8646" spans="1:4">
      <c r="A8646" s="3"/>
      <c r="D8646" s="3"/>
    </row>
    <row r="8647" spans="1:4">
      <c r="A8647" s="3"/>
      <c r="D8647" s="3"/>
    </row>
    <row r="8648" spans="1:4">
      <c r="A8648" s="3"/>
      <c r="D8648" s="3"/>
    </row>
    <row r="8649" spans="1:4">
      <c r="A8649" s="3"/>
      <c r="D8649" s="3"/>
    </row>
    <row r="8650" spans="1:4">
      <c r="A8650" s="3"/>
      <c r="D8650" s="3"/>
    </row>
    <row r="8651" spans="1:4">
      <c r="A8651" s="3"/>
      <c r="D8651" s="3"/>
    </row>
    <row r="8652" spans="1:4">
      <c r="A8652" s="3"/>
      <c r="D8652" s="3"/>
    </row>
    <row r="8653" spans="1:4">
      <c r="A8653" s="3"/>
      <c r="D8653" s="3"/>
    </row>
    <row r="8654" spans="1:4">
      <c r="A8654" s="3"/>
      <c r="D8654" s="3"/>
    </row>
    <row r="8655" spans="1:4">
      <c r="A8655" s="3"/>
      <c r="D8655" s="3"/>
    </row>
    <row r="8656" spans="1:4">
      <c r="A8656" s="3"/>
      <c r="D8656" s="3"/>
    </row>
    <row r="8657" spans="1:4">
      <c r="A8657" s="3"/>
      <c r="D8657" s="3"/>
    </row>
    <row r="8658" spans="1:4">
      <c r="A8658" s="3"/>
      <c r="D8658" s="3"/>
    </row>
    <row r="8659" spans="1:4">
      <c r="A8659" s="3"/>
      <c r="D8659" s="3"/>
    </row>
    <row r="8660" spans="1:4">
      <c r="A8660" s="3"/>
      <c r="D8660" s="3"/>
    </row>
    <row r="8661" spans="1:4">
      <c r="A8661" s="3"/>
      <c r="D8661" s="3"/>
    </row>
    <row r="8662" spans="1:4">
      <c r="A8662" s="3"/>
      <c r="D8662" s="3"/>
    </row>
    <row r="8663" spans="1:4">
      <c r="A8663" s="3"/>
      <c r="D8663" s="3"/>
    </row>
    <row r="8664" spans="1:4">
      <c r="A8664" s="3"/>
      <c r="D8664" s="3"/>
    </row>
    <row r="8665" spans="1:4">
      <c r="A8665" s="3"/>
      <c r="D8665" s="3"/>
    </row>
    <row r="8666" spans="1:4">
      <c r="A8666" s="3"/>
      <c r="D8666" s="3"/>
    </row>
    <row r="8667" spans="1:4">
      <c r="A8667" s="3"/>
      <c r="D8667" s="3"/>
    </row>
    <row r="8668" spans="1:4">
      <c r="A8668" s="3"/>
      <c r="D8668" s="3"/>
    </row>
    <row r="8669" spans="1:4">
      <c r="A8669" s="3"/>
      <c r="D8669" s="3"/>
    </row>
    <row r="8670" spans="1:4">
      <c r="A8670" s="3"/>
      <c r="D8670" s="3"/>
    </row>
    <row r="8671" spans="1:4">
      <c r="A8671" s="3"/>
      <c r="D8671" s="3"/>
    </row>
    <row r="8672" spans="1:4">
      <c r="A8672" s="3"/>
      <c r="D8672" s="3"/>
    </row>
    <row r="8673" spans="1:4">
      <c r="A8673" s="3"/>
      <c r="D8673" s="3"/>
    </row>
    <row r="8674" spans="1:4">
      <c r="A8674" s="3"/>
      <c r="D8674" s="3"/>
    </row>
    <row r="8675" spans="1:4">
      <c r="A8675" s="3"/>
      <c r="D8675" s="3"/>
    </row>
    <row r="8676" spans="1:4">
      <c r="A8676" s="3"/>
      <c r="D8676" s="3"/>
    </row>
    <row r="8677" spans="1:4">
      <c r="A8677" s="3"/>
      <c r="D8677" s="3"/>
    </row>
    <row r="8678" spans="1:4">
      <c r="A8678" s="3"/>
      <c r="D8678" s="3"/>
    </row>
    <row r="8679" spans="1:4">
      <c r="A8679" s="3"/>
      <c r="D8679" s="3"/>
    </row>
    <row r="8680" spans="1:4">
      <c r="A8680" s="3"/>
      <c r="D8680" s="3"/>
    </row>
    <row r="8681" spans="1:4">
      <c r="A8681" s="3"/>
      <c r="D8681" s="3"/>
    </row>
    <row r="8682" spans="1:4">
      <c r="A8682" s="3"/>
      <c r="D8682" s="3"/>
    </row>
    <row r="8683" spans="1:4">
      <c r="A8683" s="3"/>
      <c r="D8683" s="3"/>
    </row>
    <row r="8684" spans="1:4">
      <c r="A8684" s="3"/>
      <c r="D8684" s="3"/>
    </row>
    <row r="8685" spans="1:4">
      <c r="A8685" s="3"/>
      <c r="D8685" s="3"/>
    </row>
    <row r="8686" spans="1:4">
      <c r="A8686" s="3"/>
      <c r="D8686" s="3"/>
    </row>
    <row r="8687" spans="1:4">
      <c r="A8687" s="3"/>
      <c r="D8687" s="3"/>
    </row>
    <row r="8688" spans="1:4">
      <c r="A8688" s="3"/>
      <c r="D8688" s="3"/>
    </row>
    <row r="8689" spans="1:4">
      <c r="A8689" s="3"/>
      <c r="D8689" s="3"/>
    </row>
    <row r="8690" spans="1:4">
      <c r="A8690" s="3"/>
      <c r="D8690" s="3"/>
    </row>
    <row r="8691" spans="1:4">
      <c r="A8691" s="3"/>
      <c r="D8691" s="3"/>
    </row>
    <row r="8692" spans="1:4">
      <c r="A8692" s="3"/>
      <c r="D8692" s="3"/>
    </row>
    <row r="8693" spans="1:4">
      <c r="A8693" s="3"/>
      <c r="D8693" s="3"/>
    </row>
    <row r="8694" spans="1:4">
      <c r="A8694" s="3"/>
      <c r="D8694" s="3"/>
    </row>
    <row r="8695" spans="1:4">
      <c r="A8695" s="3"/>
      <c r="D8695" s="3"/>
    </row>
    <row r="8696" spans="1:4">
      <c r="A8696" s="3"/>
      <c r="D8696" s="3"/>
    </row>
    <row r="8697" spans="1:4">
      <c r="A8697" s="3"/>
      <c r="D8697" s="3"/>
    </row>
    <row r="8698" spans="1:4">
      <c r="A8698" s="3"/>
      <c r="D8698" s="3"/>
    </row>
    <row r="8699" spans="1:4">
      <c r="A8699" s="3"/>
      <c r="D8699" s="3"/>
    </row>
    <row r="8700" spans="1:4">
      <c r="A8700" s="3"/>
      <c r="D8700" s="3"/>
    </row>
    <row r="8701" spans="1:4">
      <c r="A8701" s="3"/>
      <c r="D8701" s="3"/>
    </row>
    <row r="8702" spans="1:4">
      <c r="A8702" s="3"/>
      <c r="D8702" s="3"/>
    </row>
    <row r="8703" spans="1:4">
      <c r="A8703" s="3"/>
      <c r="D8703" s="3"/>
    </row>
    <row r="8704" spans="1:4">
      <c r="A8704" s="3"/>
      <c r="D8704" s="3"/>
    </row>
    <row r="8705" spans="1:4">
      <c r="A8705" s="3"/>
      <c r="D8705" s="3"/>
    </row>
    <row r="8706" spans="1:4">
      <c r="A8706" s="3"/>
      <c r="D8706" s="3"/>
    </row>
    <row r="8707" spans="1:4">
      <c r="A8707" s="3"/>
      <c r="D8707" s="3"/>
    </row>
    <row r="8708" spans="1:4">
      <c r="A8708" s="3"/>
      <c r="D8708" s="3"/>
    </row>
    <row r="8709" spans="1:4">
      <c r="A8709" s="3"/>
      <c r="D8709" s="3"/>
    </row>
    <row r="8710" spans="1:4">
      <c r="A8710" s="3"/>
      <c r="D8710" s="3"/>
    </row>
    <row r="8711" spans="1:4">
      <c r="A8711" s="3"/>
      <c r="D8711" s="3"/>
    </row>
    <row r="8712" spans="1:4">
      <c r="A8712" s="3"/>
      <c r="D8712" s="3"/>
    </row>
    <row r="8713" spans="1:4">
      <c r="A8713" s="3"/>
      <c r="D8713" s="3"/>
    </row>
    <row r="8714" spans="1:4">
      <c r="A8714" s="3"/>
      <c r="D8714" s="3"/>
    </row>
    <row r="8715" spans="1:4">
      <c r="A8715" s="3"/>
      <c r="D8715" s="3"/>
    </row>
    <row r="8716" spans="1:4">
      <c r="A8716" s="3"/>
      <c r="D8716" s="3"/>
    </row>
    <row r="8717" spans="1:4">
      <c r="A8717" s="3"/>
      <c r="D8717" s="3"/>
    </row>
    <row r="8718" spans="1:4">
      <c r="A8718" s="3"/>
      <c r="D8718" s="3"/>
    </row>
    <row r="8719" spans="1:4">
      <c r="A8719" s="3"/>
      <c r="D8719" s="3"/>
    </row>
    <row r="8720" spans="1:4">
      <c r="A8720" s="3"/>
      <c r="D8720" s="3"/>
    </row>
    <row r="8721" spans="1:4">
      <c r="A8721" s="3"/>
      <c r="D8721" s="3"/>
    </row>
    <row r="8722" spans="1:4">
      <c r="A8722" s="3"/>
      <c r="D8722" s="3"/>
    </row>
    <row r="8723" spans="1:4">
      <c r="A8723" s="3"/>
      <c r="D8723" s="3"/>
    </row>
    <row r="8724" spans="1:4">
      <c r="A8724" s="3"/>
      <c r="D8724" s="3"/>
    </row>
    <row r="8725" spans="1:4">
      <c r="A8725" s="3"/>
      <c r="D8725" s="3"/>
    </row>
    <row r="8726" spans="1:4">
      <c r="A8726" s="3"/>
      <c r="D8726" s="3"/>
    </row>
    <row r="8727" spans="1:4">
      <c r="A8727" s="3"/>
      <c r="D8727" s="3"/>
    </row>
    <row r="8728" spans="1:4">
      <c r="A8728" s="3"/>
      <c r="D8728" s="3"/>
    </row>
    <row r="8729" spans="1:4">
      <c r="A8729" s="3"/>
      <c r="D8729" s="3"/>
    </row>
    <row r="8730" spans="1:4">
      <c r="A8730" s="3"/>
      <c r="D8730" s="3"/>
    </row>
    <row r="8731" spans="1:4">
      <c r="A8731" s="3"/>
      <c r="D8731" s="3"/>
    </row>
    <row r="8732" spans="1:4">
      <c r="A8732" s="3"/>
      <c r="D8732" s="3"/>
    </row>
    <row r="8733" spans="1:4">
      <c r="A8733" s="3"/>
      <c r="D8733" s="3"/>
    </row>
    <row r="8734" spans="1:4">
      <c r="A8734" s="3"/>
      <c r="D8734" s="3"/>
    </row>
    <row r="8735" spans="1:4">
      <c r="A8735" s="3"/>
      <c r="D8735" s="3"/>
    </row>
    <row r="8736" spans="1:4">
      <c r="A8736" s="3"/>
      <c r="D8736" s="3"/>
    </row>
    <row r="8737" spans="1:4">
      <c r="A8737" s="3"/>
      <c r="D8737" s="3"/>
    </row>
    <row r="8738" spans="1:4">
      <c r="A8738" s="3"/>
      <c r="D8738" s="3"/>
    </row>
    <row r="8739" spans="1:4">
      <c r="A8739" s="3"/>
      <c r="D8739" s="3"/>
    </row>
    <row r="8740" spans="1:4">
      <c r="A8740" s="3"/>
      <c r="D8740" s="3"/>
    </row>
    <row r="8741" spans="1:4">
      <c r="A8741" s="3"/>
      <c r="D8741" s="3"/>
    </row>
    <row r="8742" spans="1:4">
      <c r="A8742" s="3"/>
      <c r="D8742" s="3"/>
    </row>
    <row r="8743" spans="1:4">
      <c r="A8743" s="3"/>
      <c r="D8743" s="3"/>
    </row>
    <row r="8744" spans="1:4">
      <c r="A8744" s="3"/>
      <c r="D8744" s="3"/>
    </row>
    <row r="8745" spans="1:4">
      <c r="A8745" s="3"/>
      <c r="D8745" s="3"/>
    </row>
    <row r="8746" spans="1:4">
      <c r="A8746" s="3"/>
      <c r="D8746" s="3"/>
    </row>
    <row r="8747" spans="1:4">
      <c r="A8747" s="3"/>
      <c r="D8747" s="3"/>
    </row>
    <row r="8748" spans="1:4">
      <c r="A8748" s="3"/>
      <c r="D8748" s="3"/>
    </row>
    <row r="8749" spans="1:4">
      <c r="A8749" s="3"/>
      <c r="D8749" s="3"/>
    </row>
    <row r="8750" spans="1:4">
      <c r="A8750" s="3"/>
      <c r="D8750" s="3"/>
    </row>
    <row r="8751" spans="1:4">
      <c r="A8751" s="3"/>
      <c r="D8751" s="3"/>
    </row>
    <row r="8752" spans="1:4">
      <c r="A8752" s="3"/>
      <c r="D8752" s="3"/>
    </row>
    <row r="8753" spans="1:4">
      <c r="A8753" s="3"/>
      <c r="D8753" s="3"/>
    </row>
    <row r="8754" spans="1:4">
      <c r="A8754" s="3"/>
      <c r="D8754" s="3"/>
    </row>
    <row r="8755" spans="1:4">
      <c r="A8755" s="3"/>
      <c r="D8755" s="3"/>
    </row>
    <row r="8756" spans="1:4">
      <c r="A8756" s="3"/>
      <c r="D8756" s="3"/>
    </row>
    <row r="8757" spans="1:4">
      <c r="A8757" s="3"/>
      <c r="D8757" s="3"/>
    </row>
    <row r="8758" spans="1:4">
      <c r="A8758" s="3"/>
      <c r="D8758" s="3"/>
    </row>
    <row r="8759" spans="1:4">
      <c r="A8759" s="3"/>
      <c r="D8759" s="3"/>
    </row>
    <row r="8760" spans="1:4">
      <c r="A8760" s="3"/>
      <c r="D8760" s="3"/>
    </row>
    <row r="8761" spans="1:4">
      <c r="A8761" s="3"/>
      <c r="D8761" s="3"/>
    </row>
    <row r="8762" spans="1:4">
      <c r="A8762" s="3"/>
      <c r="D8762" s="3"/>
    </row>
    <row r="8763" spans="1:4">
      <c r="A8763" s="3"/>
      <c r="D8763" s="3"/>
    </row>
    <row r="8764" spans="1:4">
      <c r="A8764" s="3"/>
      <c r="D8764" s="3"/>
    </row>
    <row r="8765" spans="1:4">
      <c r="A8765" s="3"/>
      <c r="D8765" s="3"/>
    </row>
    <row r="8766" spans="1:4">
      <c r="A8766" s="3"/>
      <c r="D8766" s="3"/>
    </row>
    <row r="8767" spans="1:4">
      <c r="A8767" s="3"/>
      <c r="D8767" s="3"/>
    </row>
    <row r="8768" spans="1:4">
      <c r="A8768" s="3"/>
      <c r="D8768" s="3"/>
    </row>
    <row r="8769" spans="1:4">
      <c r="A8769" s="3"/>
      <c r="D8769" s="3"/>
    </row>
    <row r="8770" spans="1:4">
      <c r="A8770" s="3"/>
      <c r="D8770" s="3"/>
    </row>
    <row r="8771" spans="1:4">
      <c r="A8771" s="3"/>
      <c r="D8771" s="3"/>
    </row>
    <row r="8772" spans="1:4">
      <c r="A8772" s="3"/>
      <c r="D8772" s="3"/>
    </row>
    <row r="8773" spans="1:4">
      <c r="A8773" s="3"/>
      <c r="D8773" s="3"/>
    </row>
    <row r="8774" spans="1:4">
      <c r="A8774" s="3"/>
      <c r="D8774" s="3"/>
    </row>
    <row r="8775" spans="1:4">
      <c r="A8775" s="3"/>
      <c r="D8775" s="3"/>
    </row>
    <row r="8776" spans="1:4">
      <c r="A8776" s="3"/>
      <c r="D8776" s="3"/>
    </row>
    <row r="8777" spans="1:4">
      <c r="A8777" s="3"/>
      <c r="D8777" s="3"/>
    </row>
    <row r="8778" spans="1:4">
      <c r="A8778" s="3"/>
      <c r="D8778" s="3"/>
    </row>
    <row r="8779" spans="1:4">
      <c r="A8779" s="3"/>
      <c r="D8779" s="3"/>
    </row>
    <row r="8780" spans="1:4">
      <c r="A8780" s="3"/>
      <c r="D8780" s="3"/>
    </row>
    <row r="8781" spans="1:4">
      <c r="A8781" s="3"/>
      <c r="D8781" s="3"/>
    </row>
    <row r="8782" spans="1:4">
      <c r="A8782" s="3"/>
      <c r="D8782" s="3"/>
    </row>
    <row r="8783" spans="1:4">
      <c r="A8783" s="3"/>
      <c r="D8783" s="3"/>
    </row>
    <row r="8784" spans="1:4">
      <c r="A8784" s="3"/>
      <c r="D8784" s="3"/>
    </row>
    <row r="8785" spans="1:4">
      <c r="A8785" s="3"/>
      <c r="D8785" s="3"/>
    </row>
    <row r="8786" spans="1:4">
      <c r="A8786" s="3"/>
      <c r="D8786" s="3"/>
    </row>
    <row r="8787" spans="1:4">
      <c r="A8787" s="3"/>
      <c r="D8787" s="3"/>
    </row>
    <row r="8788" spans="1:4">
      <c r="A8788" s="3"/>
      <c r="D8788" s="3"/>
    </row>
    <row r="8789" spans="1:4">
      <c r="A8789" s="3"/>
      <c r="D8789" s="3"/>
    </row>
    <row r="8790" spans="1:4">
      <c r="A8790" s="3"/>
      <c r="D8790" s="3"/>
    </row>
    <row r="8791" spans="1:4">
      <c r="A8791" s="3"/>
      <c r="D8791" s="3"/>
    </row>
    <row r="8792" spans="1:4">
      <c r="A8792" s="3"/>
      <c r="D8792" s="3"/>
    </row>
    <row r="8793" spans="1:4">
      <c r="A8793" s="3"/>
      <c r="D8793" s="3"/>
    </row>
    <row r="8794" spans="1:4">
      <c r="A8794" s="3"/>
      <c r="D8794" s="3"/>
    </row>
    <row r="8795" spans="1:4">
      <c r="A8795" s="3"/>
      <c r="D8795" s="3"/>
    </row>
    <row r="8796" spans="1:4">
      <c r="A8796" s="3"/>
      <c r="D8796" s="3"/>
    </row>
    <row r="8797" spans="1:4">
      <c r="A8797" s="3"/>
      <c r="D8797" s="3"/>
    </row>
    <row r="8798" spans="1:4">
      <c r="A8798" s="3"/>
      <c r="D8798" s="3"/>
    </row>
    <row r="8799" spans="1:4">
      <c r="A8799" s="3"/>
      <c r="D8799" s="3"/>
    </row>
    <row r="8800" spans="1:4">
      <c r="A8800" s="3"/>
      <c r="D8800" s="3"/>
    </row>
    <row r="8801" spans="1:4">
      <c r="A8801" s="3"/>
      <c r="D8801" s="3"/>
    </row>
    <row r="8802" spans="1:4">
      <c r="A8802" s="3"/>
      <c r="D8802" s="3"/>
    </row>
    <row r="8803" spans="1:4">
      <c r="A8803" s="3"/>
      <c r="D8803" s="3"/>
    </row>
    <row r="8804" spans="1:4">
      <c r="A8804" s="3"/>
      <c r="D8804" s="3"/>
    </row>
    <row r="8805" spans="1:4">
      <c r="A8805" s="3"/>
      <c r="D8805" s="3"/>
    </row>
    <row r="8806" spans="1:4">
      <c r="A8806" s="3"/>
      <c r="D8806" s="3"/>
    </row>
    <row r="8807" spans="1:4">
      <c r="A8807" s="3"/>
      <c r="D8807" s="3"/>
    </row>
    <row r="8808" spans="1:4">
      <c r="A8808" s="3"/>
      <c r="D8808" s="3"/>
    </row>
    <row r="8809" spans="1:4">
      <c r="A8809" s="3"/>
      <c r="D8809" s="3"/>
    </row>
    <row r="8810" spans="1:4">
      <c r="A8810" s="3"/>
      <c r="D8810" s="3"/>
    </row>
    <row r="8811" spans="1:4">
      <c r="A8811" s="3"/>
      <c r="D8811" s="3"/>
    </row>
    <row r="8812" spans="1:4">
      <c r="A8812" s="3"/>
      <c r="D8812" s="3"/>
    </row>
    <row r="8813" spans="1:4">
      <c r="A8813" s="3"/>
      <c r="D8813" s="3"/>
    </row>
    <row r="8814" spans="1:4">
      <c r="A8814" s="3"/>
      <c r="D8814" s="3"/>
    </row>
    <row r="8815" spans="1:4">
      <c r="A8815" s="3"/>
      <c r="D8815" s="3"/>
    </row>
    <row r="8816" spans="1:4">
      <c r="A8816" s="3"/>
      <c r="D8816" s="3"/>
    </row>
    <row r="8817" spans="1:4">
      <c r="A8817" s="3"/>
      <c r="D8817" s="3"/>
    </row>
    <row r="8818" spans="1:4">
      <c r="A8818" s="3"/>
      <c r="D8818" s="3"/>
    </row>
    <row r="8819" spans="1:4">
      <c r="A8819" s="3"/>
      <c r="D8819" s="3"/>
    </row>
    <row r="8820" spans="1:4">
      <c r="A8820" s="3"/>
      <c r="D8820" s="3"/>
    </row>
    <row r="8821" spans="1:4">
      <c r="A8821" s="3"/>
      <c r="D8821" s="3"/>
    </row>
    <row r="8822" spans="1:4">
      <c r="A8822" s="3"/>
      <c r="D8822" s="3"/>
    </row>
    <row r="8823" spans="1:4">
      <c r="A8823" s="3"/>
      <c r="D8823" s="3"/>
    </row>
    <row r="8824" spans="1:4">
      <c r="A8824" s="3"/>
      <c r="D8824" s="3"/>
    </row>
    <row r="8825" spans="1:4">
      <c r="A8825" s="3"/>
      <c r="D8825" s="3"/>
    </row>
    <row r="8826" spans="1:4">
      <c r="A8826" s="3"/>
      <c r="D8826" s="3"/>
    </row>
    <row r="8827" spans="1:4">
      <c r="A8827" s="3"/>
      <c r="D8827" s="3"/>
    </row>
    <row r="8828" spans="1:4">
      <c r="A8828" s="3"/>
      <c r="D8828" s="3"/>
    </row>
    <row r="8829" spans="1:4">
      <c r="A8829" s="3"/>
      <c r="D8829" s="3"/>
    </row>
    <row r="8830" spans="1:4">
      <c r="A8830" s="3"/>
      <c r="D8830" s="3"/>
    </row>
    <row r="8831" spans="1:4">
      <c r="A8831" s="3"/>
      <c r="D8831" s="3"/>
    </row>
    <row r="8832" spans="1:4">
      <c r="A8832" s="3"/>
      <c r="D8832" s="3"/>
    </row>
    <row r="8833" spans="1:4">
      <c r="A8833" s="3"/>
      <c r="D8833" s="3"/>
    </row>
    <row r="8834" spans="1:4">
      <c r="A8834" s="3"/>
      <c r="D8834" s="3"/>
    </row>
    <row r="8835" spans="1:4">
      <c r="A8835" s="3"/>
      <c r="D8835" s="3"/>
    </row>
    <row r="8836" spans="1:4">
      <c r="A8836" s="3"/>
      <c r="D8836" s="3"/>
    </row>
    <row r="8837" spans="1:4">
      <c r="A8837" s="3"/>
      <c r="D8837" s="3"/>
    </row>
    <row r="8838" spans="1:4">
      <c r="A8838" s="3"/>
      <c r="D8838" s="3"/>
    </row>
    <row r="8839" spans="1:4">
      <c r="A8839" s="3"/>
      <c r="D8839" s="3"/>
    </row>
    <row r="8840" spans="1:4">
      <c r="A8840" s="3"/>
      <c r="D8840" s="3"/>
    </row>
    <row r="8841" spans="1:4">
      <c r="A8841" s="3"/>
      <c r="D8841" s="3"/>
    </row>
    <row r="8842" spans="1:4">
      <c r="A8842" s="3"/>
      <c r="D8842" s="3"/>
    </row>
    <row r="8843" spans="1:4">
      <c r="A8843" s="3"/>
      <c r="D8843" s="3"/>
    </row>
    <row r="8844" spans="1:4">
      <c r="A8844" s="3"/>
      <c r="D8844" s="3"/>
    </row>
    <row r="8845" spans="1:4">
      <c r="A8845" s="3"/>
      <c r="D8845" s="3"/>
    </row>
    <row r="8846" spans="1:4">
      <c r="A8846" s="3"/>
      <c r="D8846" s="3"/>
    </row>
    <row r="8847" spans="1:4">
      <c r="A8847" s="3"/>
      <c r="D8847" s="3"/>
    </row>
    <row r="8848" spans="1:4">
      <c r="A8848" s="3"/>
      <c r="D8848" s="3"/>
    </row>
    <row r="8849" spans="1:4">
      <c r="A8849" s="3"/>
      <c r="D8849" s="3"/>
    </row>
    <row r="8850" spans="1:4">
      <c r="A8850" s="3"/>
      <c r="D8850" s="3"/>
    </row>
    <row r="8851" spans="1:4">
      <c r="A8851" s="3"/>
      <c r="D8851" s="3"/>
    </row>
    <row r="8852" spans="1:4">
      <c r="A8852" s="3"/>
      <c r="D8852" s="3"/>
    </row>
    <row r="8853" spans="1:4">
      <c r="A8853" s="3"/>
      <c r="D8853" s="3"/>
    </row>
    <row r="8854" spans="1:4">
      <c r="A8854" s="3"/>
      <c r="D8854" s="3"/>
    </row>
    <row r="8855" spans="1:4">
      <c r="A8855" s="3"/>
      <c r="D8855" s="3"/>
    </row>
    <row r="8856" spans="1:4">
      <c r="A8856" s="3"/>
      <c r="D8856" s="3"/>
    </row>
    <row r="8857" spans="1:4">
      <c r="A8857" s="3"/>
      <c r="D8857" s="3"/>
    </row>
    <row r="8858" spans="1:4">
      <c r="A8858" s="3"/>
      <c r="D8858" s="3"/>
    </row>
    <row r="8859" spans="1:4">
      <c r="A8859" s="3"/>
      <c r="D8859" s="3"/>
    </row>
    <row r="8860" spans="1:4">
      <c r="A8860" s="3"/>
      <c r="D8860" s="3"/>
    </row>
    <row r="8861" spans="1:4">
      <c r="A8861" s="3"/>
      <c r="D8861" s="3"/>
    </row>
    <row r="8862" spans="1:4">
      <c r="A8862" s="3"/>
      <c r="D8862" s="3"/>
    </row>
    <row r="8863" spans="1:4">
      <c r="A8863" s="3"/>
      <c r="D8863" s="3"/>
    </row>
    <row r="8864" spans="1:4">
      <c r="A8864" s="3"/>
      <c r="D8864" s="3"/>
    </row>
    <row r="8865" spans="1:4">
      <c r="A8865" s="3"/>
      <c r="D8865" s="3"/>
    </row>
    <row r="8866" spans="1:4">
      <c r="A8866" s="3"/>
      <c r="D8866" s="3"/>
    </row>
    <row r="8867" spans="1:4">
      <c r="A8867" s="3"/>
      <c r="D8867" s="3"/>
    </row>
    <row r="8868" spans="1:4">
      <c r="A8868" s="3"/>
      <c r="D8868" s="3"/>
    </row>
    <row r="8869" spans="1:4">
      <c r="A8869" s="3"/>
      <c r="D8869" s="3"/>
    </row>
    <row r="8870" spans="1:4">
      <c r="A8870" s="3"/>
      <c r="D8870" s="3"/>
    </row>
    <row r="8871" spans="1:4">
      <c r="A8871" s="3"/>
      <c r="D8871" s="3"/>
    </row>
    <row r="8872" spans="1:4">
      <c r="A8872" s="3"/>
      <c r="D8872" s="3"/>
    </row>
    <row r="8873" spans="1:4">
      <c r="A8873" s="3"/>
      <c r="D8873" s="3"/>
    </row>
    <row r="8874" spans="1:4">
      <c r="A8874" s="3"/>
      <c r="D8874" s="3"/>
    </row>
    <row r="8875" spans="1:4">
      <c r="A8875" s="3"/>
      <c r="D8875" s="3"/>
    </row>
    <row r="8876" spans="1:4">
      <c r="A8876" s="3"/>
      <c r="D8876" s="3"/>
    </row>
    <row r="8877" spans="1:4">
      <c r="A8877" s="3"/>
      <c r="D8877" s="3"/>
    </row>
    <row r="8878" spans="1:4">
      <c r="A8878" s="3"/>
      <c r="D8878" s="3"/>
    </row>
    <row r="8879" spans="1:4">
      <c r="A8879" s="3"/>
      <c r="D8879" s="3"/>
    </row>
    <row r="8880" spans="1:4">
      <c r="A8880" s="3"/>
      <c r="D8880" s="3"/>
    </row>
    <row r="8881" spans="1:4">
      <c r="A8881" s="3"/>
      <c r="D8881" s="3"/>
    </row>
    <row r="8882" spans="1:4">
      <c r="A8882" s="3"/>
      <c r="D8882" s="3"/>
    </row>
    <row r="8883" spans="1:4">
      <c r="A8883" s="3"/>
      <c r="D8883" s="3"/>
    </row>
    <row r="8884" spans="1:4">
      <c r="A8884" s="3"/>
      <c r="D8884" s="3"/>
    </row>
    <row r="8885" spans="1:4">
      <c r="A8885" s="3"/>
      <c r="D8885" s="3"/>
    </row>
    <row r="8886" spans="1:4">
      <c r="A8886" s="3"/>
      <c r="D8886" s="3"/>
    </row>
    <row r="8887" spans="1:4">
      <c r="A8887" s="3"/>
      <c r="D8887" s="3"/>
    </row>
    <row r="8888" spans="1:4">
      <c r="A8888" s="3"/>
      <c r="D8888" s="3"/>
    </row>
    <row r="8889" spans="1:4">
      <c r="A8889" s="3"/>
      <c r="D8889" s="3"/>
    </row>
    <row r="8890" spans="1:4">
      <c r="A8890" s="3"/>
      <c r="D8890" s="3"/>
    </row>
    <row r="8891" spans="1:4">
      <c r="A8891" s="3"/>
      <c r="D8891" s="3"/>
    </row>
    <row r="8892" spans="1:4">
      <c r="A8892" s="3"/>
      <c r="D8892" s="3"/>
    </row>
    <row r="8893" spans="1:4">
      <c r="A8893" s="3"/>
      <c r="D8893" s="3"/>
    </row>
    <row r="8894" spans="1:4">
      <c r="A8894" s="3"/>
      <c r="D8894" s="3"/>
    </row>
    <row r="8895" spans="1:4">
      <c r="A8895" s="3"/>
      <c r="D8895" s="3"/>
    </row>
    <row r="8896" spans="1:4">
      <c r="A8896" s="3"/>
      <c r="D8896" s="3"/>
    </row>
    <row r="8897" spans="1:4">
      <c r="A8897" s="3"/>
      <c r="D8897" s="3"/>
    </row>
    <row r="8898" spans="1:4">
      <c r="A8898" s="3"/>
      <c r="D8898" s="3"/>
    </row>
    <row r="8899" spans="1:4">
      <c r="A8899" s="3"/>
      <c r="D8899" s="3"/>
    </row>
    <row r="8900" spans="1:4">
      <c r="A8900" s="3"/>
      <c r="D8900" s="3"/>
    </row>
    <row r="8901" spans="1:4">
      <c r="A8901" s="3"/>
      <c r="D8901" s="3"/>
    </row>
    <row r="8902" spans="1:4">
      <c r="A8902" s="3"/>
      <c r="D8902" s="3"/>
    </row>
    <row r="8903" spans="1:4">
      <c r="A8903" s="3"/>
      <c r="D8903" s="3"/>
    </row>
    <row r="8904" spans="1:4">
      <c r="A8904" s="3"/>
      <c r="D8904" s="3"/>
    </row>
    <row r="8905" spans="1:4">
      <c r="A8905" s="3"/>
      <c r="D8905" s="3"/>
    </row>
    <row r="8906" spans="1:4">
      <c r="A8906" s="3"/>
      <c r="D8906" s="3"/>
    </row>
    <row r="8907" spans="1:4">
      <c r="A8907" s="3"/>
      <c r="D8907" s="3"/>
    </row>
    <row r="8908" spans="1:4">
      <c r="A8908" s="3"/>
      <c r="D8908" s="3"/>
    </row>
    <row r="8909" spans="1:4">
      <c r="A8909" s="3"/>
      <c r="D8909" s="3"/>
    </row>
    <row r="8910" spans="1:4">
      <c r="A8910" s="3"/>
      <c r="D8910" s="3"/>
    </row>
    <row r="8911" spans="1:4">
      <c r="A8911" s="3"/>
      <c r="D8911" s="3"/>
    </row>
    <row r="8912" spans="1:4">
      <c r="A8912" s="3"/>
      <c r="D8912" s="3"/>
    </row>
    <row r="8913" spans="1:4">
      <c r="A8913" s="3"/>
      <c r="D8913" s="3"/>
    </row>
    <row r="8914" spans="1:4">
      <c r="A8914" s="3"/>
      <c r="D8914" s="3"/>
    </row>
    <row r="8915" spans="1:4">
      <c r="A8915" s="3"/>
      <c r="D8915" s="3"/>
    </row>
    <row r="8916" spans="1:4">
      <c r="A8916" s="3"/>
      <c r="D8916" s="3"/>
    </row>
    <row r="8917" spans="1:4">
      <c r="A8917" s="3"/>
      <c r="D8917" s="3"/>
    </row>
    <row r="8918" spans="1:4">
      <c r="A8918" s="3"/>
      <c r="D8918" s="3"/>
    </row>
    <row r="8919" spans="1:4">
      <c r="A8919" s="3"/>
      <c r="D8919" s="3"/>
    </row>
    <row r="8920" spans="1:4">
      <c r="A8920" s="3"/>
      <c r="D8920" s="3"/>
    </row>
    <row r="8921" spans="1:4">
      <c r="A8921" s="3"/>
      <c r="D8921" s="3"/>
    </row>
    <row r="8922" spans="1:4">
      <c r="A8922" s="3"/>
      <c r="D8922" s="3"/>
    </row>
    <row r="8923" spans="1:4">
      <c r="A8923" s="3"/>
      <c r="D8923" s="3"/>
    </row>
    <row r="8924" spans="1:4">
      <c r="A8924" s="3"/>
      <c r="D8924" s="3"/>
    </row>
    <row r="8925" spans="1:4">
      <c r="A8925" s="3"/>
      <c r="D8925" s="3"/>
    </row>
    <row r="8926" spans="1:4">
      <c r="A8926" s="3"/>
      <c r="D8926" s="3"/>
    </row>
    <row r="8927" spans="1:4">
      <c r="A8927" s="3"/>
      <c r="D8927" s="3"/>
    </row>
    <row r="8928" spans="1:4">
      <c r="A8928" s="3"/>
      <c r="D8928" s="3"/>
    </row>
    <row r="8929" spans="1:4">
      <c r="A8929" s="3"/>
      <c r="D8929" s="3"/>
    </row>
    <row r="8930" spans="1:4">
      <c r="A8930" s="3"/>
      <c r="D8930" s="3"/>
    </row>
    <row r="8931" spans="1:4">
      <c r="A8931" s="3"/>
      <c r="D8931" s="3"/>
    </row>
    <row r="8932" spans="1:4">
      <c r="A8932" s="3"/>
      <c r="D8932" s="3"/>
    </row>
    <row r="8933" spans="1:4">
      <c r="A8933" s="3"/>
      <c r="D8933" s="3"/>
    </row>
    <row r="8934" spans="1:4">
      <c r="A8934" s="3"/>
      <c r="D8934" s="3"/>
    </row>
    <row r="8935" spans="1:4">
      <c r="A8935" s="3"/>
      <c r="D8935" s="3"/>
    </row>
    <row r="8936" spans="1:4">
      <c r="A8936" s="3"/>
      <c r="D8936" s="3"/>
    </row>
    <row r="8937" spans="1:4">
      <c r="A8937" s="3"/>
      <c r="D8937" s="3"/>
    </row>
    <row r="8938" spans="1:4">
      <c r="A8938" s="3"/>
      <c r="D8938" s="3"/>
    </row>
    <row r="8939" spans="1:4">
      <c r="A8939" s="3"/>
      <c r="D8939" s="3"/>
    </row>
    <row r="8940" spans="1:4">
      <c r="A8940" s="3"/>
      <c r="D8940" s="3"/>
    </row>
    <row r="8941" spans="1:4">
      <c r="A8941" s="3"/>
      <c r="D8941" s="3"/>
    </row>
    <row r="8942" spans="1:4">
      <c r="A8942" s="3"/>
      <c r="D8942" s="3"/>
    </row>
    <row r="8943" spans="1:4">
      <c r="A8943" s="3"/>
      <c r="D8943" s="3"/>
    </row>
    <row r="8944" spans="1:4">
      <c r="A8944" s="3"/>
      <c r="D8944" s="3"/>
    </row>
    <row r="8945" spans="1:4">
      <c r="A8945" s="3"/>
      <c r="D8945" s="3"/>
    </row>
    <row r="8946" spans="1:4">
      <c r="A8946" s="3"/>
      <c r="D8946" s="3"/>
    </row>
    <row r="8947" spans="1:4">
      <c r="A8947" s="3"/>
      <c r="D8947" s="3"/>
    </row>
    <row r="8948" spans="1:4">
      <c r="A8948" s="3"/>
      <c r="D8948" s="3"/>
    </row>
    <row r="8949" spans="1:4">
      <c r="A8949" s="3"/>
      <c r="D8949" s="3"/>
    </row>
    <row r="8950" spans="1:4">
      <c r="A8950" s="3"/>
      <c r="D8950" s="3"/>
    </row>
    <row r="8951" spans="1:4">
      <c r="A8951" s="3"/>
      <c r="D8951" s="3"/>
    </row>
    <row r="8952" spans="1:4">
      <c r="A8952" s="3"/>
      <c r="D8952" s="3"/>
    </row>
    <row r="8953" spans="1:4">
      <c r="A8953" s="3"/>
      <c r="D8953" s="3"/>
    </row>
    <row r="8954" spans="1:4">
      <c r="A8954" s="3"/>
      <c r="D8954" s="3"/>
    </row>
    <row r="8955" spans="1:4">
      <c r="A8955" s="3"/>
      <c r="D8955" s="3"/>
    </row>
    <row r="8956" spans="1:4">
      <c r="A8956" s="3"/>
      <c r="D8956" s="3"/>
    </row>
    <row r="8957" spans="1:4">
      <c r="A8957" s="3"/>
      <c r="D8957" s="3"/>
    </row>
    <row r="8958" spans="1:4">
      <c r="A8958" s="3"/>
      <c r="D8958" s="3"/>
    </row>
    <row r="8959" spans="1:4">
      <c r="A8959" s="3"/>
      <c r="D8959" s="3"/>
    </row>
    <row r="8960" spans="1:4">
      <c r="A8960" s="3"/>
      <c r="D8960" s="3"/>
    </row>
    <row r="8961" spans="1:4">
      <c r="A8961" s="3"/>
      <c r="D8961" s="3"/>
    </row>
    <row r="8962" spans="1:4">
      <c r="A8962" s="3"/>
      <c r="D8962" s="3"/>
    </row>
    <row r="8963" spans="1:4">
      <c r="A8963" s="3"/>
      <c r="D8963" s="3"/>
    </row>
    <row r="8964" spans="1:4">
      <c r="A8964" s="3"/>
      <c r="D8964" s="3"/>
    </row>
    <row r="8965" spans="1:4">
      <c r="A8965" s="3"/>
      <c r="D8965" s="3"/>
    </row>
    <row r="8966" spans="1:4">
      <c r="A8966" s="3"/>
      <c r="D8966" s="3"/>
    </row>
    <row r="8967" spans="1:4">
      <c r="A8967" s="3"/>
      <c r="D8967" s="3"/>
    </row>
    <row r="8968" spans="1:4">
      <c r="A8968" s="3"/>
      <c r="D8968" s="3"/>
    </row>
    <row r="8969" spans="1:4">
      <c r="A8969" s="3"/>
      <c r="D8969" s="3"/>
    </row>
    <row r="8970" spans="1:4">
      <c r="A8970" s="3"/>
      <c r="D8970" s="3"/>
    </row>
    <row r="8971" spans="1:4">
      <c r="A8971" s="3"/>
      <c r="D8971" s="3"/>
    </row>
    <row r="8972" spans="1:4">
      <c r="A8972" s="3"/>
      <c r="D8972" s="3"/>
    </row>
    <row r="8973" spans="1:4">
      <c r="A8973" s="3"/>
      <c r="D8973" s="3"/>
    </row>
    <row r="8974" spans="1:4">
      <c r="A8974" s="3"/>
      <c r="D8974" s="3"/>
    </row>
    <row r="8975" spans="1:4">
      <c r="A8975" s="3"/>
      <c r="D8975" s="3"/>
    </row>
    <row r="8976" spans="1:4">
      <c r="A8976" s="3"/>
      <c r="D8976" s="3"/>
    </row>
    <row r="8977" spans="1:4">
      <c r="A8977" s="3"/>
      <c r="D8977" s="3"/>
    </row>
    <row r="8978" spans="1:4">
      <c r="A8978" s="3"/>
      <c r="D8978" s="3"/>
    </row>
    <row r="8979" spans="1:4">
      <c r="A8979" s="3"/>
      <c r="D8979" s="3"/>
    </row>
    <row r="8980" spans="1:4">
      <c r="A8980" s="3"/>
      <c r="D8980" s="3"/>
    </row>
    <row r="8981" spans="1:4">
      <c r="A8981" s="3"/>
      <c r="D8981" s="3"/>
    </row>
    <row r="8982" spans="1:4">
      <c r="A8982" s="3"/>
      <c r="D8982" s="3"/>
    </row>
    <row r="8983" spans="1:4">
      <c r="A8983" s="3"/>
      <c r="D8983" s="3"/>
    </row>
    <row r="8984" spans="1:4">
      <c r="A8984" s="3"/>
      <c r="D8984" s="3"/>
    </row>
    <row r="8985" spans="1:4">
      <c r="A8985" s="3"/>
      <c r="D8985" s="3"/>
    </row>
    <row r="8986" spans="1:4">
      <c r="A8986" s="3"/>
      <c r="D8986" s="3"/>
    </row>
    <row r="8987" spans="1:4">
      <c r="A8987" s="3"/>
      <c r="D8987" s="3"/>
    </row>
    <row r="8988" spans="1:4">
      <c r="A8988" s="3"/>
      <c r="D8988" s="3"/>
    </row>
    <row r="8989" spans="1:4">
      <c r="A8989" s="3"/>
      <c r="D8989" s="3"/>
    </row>
    <row r="8990" spans="1:4">
      <c r="A8990" s="3"/>
      <c r="D8990" s="3"/>
    </row>
    <row r="8991" spans="1:4">
      <c r="A8991" s="3"/>
      <c r="D8991" s="3"/>
    </row>
    <row r="8992" spans="1:4">
      <c r="A8992" s="3"/>
      <c r="D8992" s="3"/>
    </row>
    <row r="8993" spans="1:4">
      <c r="A8993" s="3"/>
      <c r="D8993" s="3"/>
    </row>
    <row r="8994" spans="1:4">
      <c r="A8994" s="3"/>
      <c r="D8994" s="3"/>
    </row>
    <row r="8995" spans="1:4">
      <c r="A8995" s="3"/>
      <c r="D8995" s="3"/>
    </row>
    <row r="8996" spans="1:4">
      <c r="A8996" s="3"/>
      <c r="D8996" s="3"/>
    </row>
    <row r="8997" spans="1:4">
      <c r="A8997" s="3"/>
      <c r="D8997" s="3"/>
    </row>
    <row r="8998" spans="1:4">
      <c r="A8998" s="3"/>
      <c r="D8998" s="3"/>
    </row>
    <row r="8999" spans="1:4">
      <c r="A8999" s="3"/>
      <c r="D8999" s="3"/>
    </row>
    <row r="9000" spans="1:4">
      <c r="A9000" s="3"/>
      <c r="D9000" s="3"/>
    </row>
    <row r="9001" spans="1:4">
      <c r="A9001" s="3"/>
      <c r="D9001" s="3"/>
    </row>
    <row r="9002" spans="1:4">
      <c r="A9002" s="3"/>
      <c r="D9002" s="3"/>
    </row>
    <row r="9003" spans="1:4">
      <c r="A9003" s="3"/>
      <c r="D9003" s="3"/>
    </row>
    <row r="9004" spans="1:4">
      <c r="A9004" s="3"/>
      <c r="D9004" s="3"/>
    </row>
    <row r="9005" spans="1:4">
      <c r="A9005" s="3"/>
      <c r="D9005" s="3"/>
    </row>
    <row r="9006" spans="1:4">
      <c r="A9006" s="3"/>
      <c r="D9006" s="3"/>
    </row>
    <row r="9007" spans="1:4">
      <c r="A9007" s="3"/>
      <c r="D9007" s="3"/>
    </row>
    <row r="9008" spans="1:4">
      <c r="A9008" s="3"/>
      <c r="D9008" s="3"/>
    </row>
    <row r="9009" spans="1:4">
      <c r="A9009" s="3"/>
      <c r="D9009" s="3"/>
    </row>
    <row r="9010" spans="1:4">
      <c r="A9010" s="3"/>
      <c r="D9010" s="3"/>
    </row>
    <row r="9011" spans="1:4">
      <c r="A9011" s="3"/>
      <c r="D9011" s="3"/>
    </row>
    <row r="9012" spans="1:4">
      <c r="A9012" s="3"/>
      <c r="D9012" s="3"/>
    </row>
    <row r="9013" spans="1:4">
      <c r="A9013" s="3"/>
      <c r="D9013" s="3"/>
    </row>
    <row r="9014" spans="1:4">
      <c r="A9014" s="3"/>
      <c r="D9014" s="3"/>
    </row>
    <row r="9015" spans="1:4">
      <c r="A9015" s="3"/>
      <c r="D9015" s="3"/>
    </row>
    <row r="9016" spans="1:4">
      <c r="A9016" s="3"/>
      <c r="D9016" s="3"/>
    </row>
    <row r="9017" spans="1:4">
      <c r="A9017" s="3"/>
      <c r="D9017" s="3"/>
    </row>
    <row r="9018" spans="1:4">
      <c r="A9018" s="3"/>
      <c r="D9018" s="3"/>
    </row>
    <row r="9019" spans="1:4">
      <c r="A9019" s="3"/>
      <c r="D9019" s="3"/>
    </row>
    <row r="9020" spans="1:4">
      <c r="A9020" s="3"/>
      <c r="D9020" s="3"/>
    </row>
    <row r="9021" spans="1:4">
      <c r="A9021" s="3"/>
      <c r="D9021" s="3"/>
    </row>
    <row r="9022" spans="1:4">
      <c r="A9022" s="3"/>
      <c r="D9022" s="3"/>
    </row>
    <row r="9023" spans="1:4">
      <c r="A9023" s="3"/>
      <c r="D9023" s="3"/>
    </row>
    <row r="9024" spans="1:4">
      <c r="A9024" s="3"/>
      <c r="D9024" s="3"/>
    </row>
    <row r="9025" spans="1:4">
      <c r="A9025" s="3"/>
      <c r="D9025" s="3"/>
    </row>
    <row r="9026" spans="1:4">
      <c r="A9026" s="3"/>
      <c r="D9026" s="3"/>
    </row>
    <row r="9027" spans="1:4">
      <c r="A9027" s="3"/>
      <c r="D9027" s="3"/>
    </row>
    <row r="9028" spans="1:4">
      <c r="A9028" s="3"/>
      <c r="D9028" s="3"/>
    </row>
    <row r="9029" spans="1:4">
      <c r="A9029" s="3"/>
      <c r="D9029" s="3"/>
    </row>
    <row r="9030" spans="1:4">
      <c r="A9030" s="3"/>
      <c r="D9030" s="3"/>
    </row>
    <row r="9031" spans="1:4">
      <c r="A9031" s="3"/>
      <c r="D9031" s="3"/>
    </row>
    <row r="9032" spans="1:4">
      <c r="A9032" s="3"/>
      <c r="D9032" s="3"/>
    </row>
    <row r="9033" spans="1:4">
      <c r="A9033" s="3"/>
      <c r="D9033" s="3"/>
    </row>
    <row r="9034" spans="1:4">
      <c r="A9034" s="3"/>
      <c r="D9034" s="3"/>
    </row>
    <row r="9035" spans="1:4">
      <c r="A9035" s="3"/>
      <c r="D9035" s="3"/>
    </row>
    <row r="9036" spans="1:4">
      <c r="A9036" s="3"/>
      <c r="D9036" s="3"/>
    </row>
    <row r="9037" spans="1:4">
      <c r="A9037" s="3"/>
      <c r="D9037" s="3"/>
    </row>
    <row r="9038" spans="1:4">
      <c r="A9038" s="3"/>
      <c r="D9038" s="3"/>
    </row>
    <row r="9039" spans="1:4">
      <c r="A9039" s="3"/>
      <c r="D9039" s="3"/>
    </row>
    <row r="9040" spans="1:4">
      <c r="A9040" s="3"/>
      <c r="D9040" s="3"/>
    </row>
    <row r="9041" spans="1:4">
      <c r="A9041" s="3"/>
      <c r="D9041" s="3"/>
    </row>
    <row r="9042" spans="1:4">
      <c r="A9042" s="3"/>
      <c r="D9042" s="3"/>
    </row>
    <row r="9043" spans="1:4">
      <c r="A9043" s="3"/>
      <c r="D9043" s="3"/>
    </row>
    <row r="9044" spans="1:4">
      <c r="A9044" s="3"/>
      <c r="D9044" s="3"/>
    </row>
    <row r="9045" spans="1:4">
      <c r="A9045" s="3"/>
      <c r="D9045" s="3"/>
    </row>
    <row r="9046" spans="1:4">
      <c r="A9046" s="3"/>
      <c r="D9046" s="3"/>
    </row>
    <row r="9047" spans="1:4">
      <c r="A9047" s="3"/>
      <c r="D9047" s="3"/>
    </row>
    <row r="9048" spans="1:4">
      <c r="A9048" s="3"/>
      <c r="D9048" s="3"/>
    </row>
    <row r="9049" spans="1:4">
      <c r="A9049" s="3"/>
      <c r="D9049" s="3"/>
    </row>
    <row r="9050" spans="1:4">
      <c r="A9050" s="3"/>
      <c r="D9050" s="3"/>
    </row>
    <row r="9051" spans="1:4">
      <c r="A9051" s="3"/>
      <c r="D9051" s="3"/>
    </row>
    <row r="9052" spans="1:4">
      <c r="A9052" s="3"/>
      <c r="D9052" s="3"/>
    </row>
    <row r="9053" spans="1:4">
      <c r="A9053" s="3"/>
      <c r="D9053" s="3"/>
    </row>
    <row r="9054" spans="1:4">
      <c r="A9054" s="3"/>
      <c r="D9054" s="3"/>
    </row>
    <row r="9055" spans="1:4">
      <c r="A9055" s="3"/>
      <c r="D9055" s="3"/>
    </row>
    <row r="9056" spans="1:4">
      <c r="A9056" s="3"/>
      <c r="D9056" s="3"/>
    </row>
    <row r="9057" spans="1:4">
      <c r="A9057" s="3"/>
      <c r="D9057" s="3"/>
    </row>
    <row r="9058" spans="1:4">
      <c r="A9058" s="3"/>
      <c r="D9058" s="3"/>
    </row>
    <row r="9059" spans="1:4">
      <c r="A9059" s="3"/>
      <c r="D9059" s="3"/>
    </row>
    <row r="9060" spans="1:4">
      <c r="A9060" s="3"/>
      <c r="D9060" s="3"/>
    </row>
    <row r="9061" spans="1:4">
      <c r="A9061" s="3"/>
      <c r="D9061" s="3"/>
    </row>
    <row r="9062" spans="1:4">
      <c r="A9062" s="3"/>
      <c r="D9062" s="3"/>
    </row>
    <row r="9063" spans="1:4">
      <c r="A9063" s="3"/>
      <c r="D9063" s="3"/>
    </row>
    <row r="9064" spans="1:4">
      <c r="A9064" s="3"/>
      <c r="D9064" s="3"/>
    </row>
    <row r="9065" spans="1:4">
      <c r="A9065" s="3"/>
      <c r="D9065" s="3"/>
    </row>
    <row r="9066" spans="1:4">
      <c r="A9066" s="3"/>
      <c r="D9066" s="3"/>
    </row>
    <row r="9067" spans="1:4">
      <c r="A9067" s="3"/>
      <c r="D9067" s="3"/>
    </row>
    <row r="9068" spans="1:4">
      <c r="A9068" s="3"/>
      <c r="D9068" s="3"/>
    </row>
    <row r="9069" spans="1:4">
      <c r="A9069" s="3"/>
      <c r="D9069" s="3"/>
    </row>
    <row r="9070" spans="1:4">
      <c r="A9070" s="3"/>
      <c r="D9070" s="3"/>
    </row>
    <row r="9071" spans="1:4">
      <c r="A9071" s="3"/>
      <c r="D9071" s="3"/>
    </row>
    <row r="9072" spans="1:4">
      <c r="A9072" s="3"/>
      <c r="D9072" s="3"/>
    </row>
    <row r="9073" spans="1:4">
      <c r="A9073" s="3"/>
      <c r="D9073" s="3"/>
    </row>
    <row r="9074" spans="1:4">
      <c r="A9074" s="3"/>
      <c r="D9074" s="3"/>
    </row>
    <row r="9075" spans="1:4">
      <c r="A9075" s="3"/>
      <c r="D9075" s="3"/>
    </row>
    <row r="9076" spans="1:4">
      <c r="A9076" s="3"/>
      <c r="D9076" s="3"/>
    </row>
    <row r="9077" spans="1:4">
      <c r="A9077" s="3"/>
      <c r="D9077" s="3"/>
    </row>
    <row r="9078" spans="1:4">
      <c r="A9078" s="3"/>
      <c r="D9078" s="3"/>
    </row>
    <row r="9079" spans="1:4">
      <c r="A9079" s="3"/>
      <c r="D9079" s="3"/>
    </row>
    <row r="9080" spans="1:4">
      <c r="A9080" s="3"/>
      <c r="D9080" s="3"/>
    </row>
    <row r="9081" spans="1:4">
      <c r="A9081" s="3"/>
      <c r="D9081" s="3"/>
    </row>
    <row r="9082" spans="1:4">
      <c r="A9082" s="3"/>
      <c r="D9082" s="3"/>
    </row>
    <row r="9083" spans="1:4">
      <c r="A9083" s="3"/>
      <c r="D9083" s="3"/>
    </row>
    <row r="9084" spans="1:4">
      <c r="A9084" s="3"/>
      <c r="D9084" s="3"/>
    </row>
    <row r="9085" spans="1:4">
      <c r="A9085" s="3"/>
      <c r="D9085" s="3"/>
    </row>
    <row r="9086" spans="1:4">
      <c r="A9086" s="3"/>
      <c r="D9086" s="3"/>
    </row>
    <row r="9087" spans="1:4">
      <c r="A9087" s="3"/>
      <c r="D9087" s="3"/>
    </row>
    <row r="9088" spans="1:4">
      <c r="A9088" s="3"/>
      <c r="D9088" s="3"/>
    </row>
    <row r="9089" spans="1:4">
      <c r="A9089" s="3"/>
      <c r="D9089" s="3"/>
    </row>
    <row r="9090" spans="1:4">
      <c r="A9090" s="3"/>
      <c r="D9090" s="3"/>
    </row>
    <row r="9091" spans="1:4">
      <c r="A9091" s="3"/>
      <c r="D9091" s="3"/>
    </row>
    <row r="9092" spans="1:4">
      <c r="A9092" s="3"/>
      <c r="D9092" s="3"/>
    </row>
    <row r="9093" spans="1:4">
      <c r="A9093" s="3"/>
      <c r="D9093" s="3"/>
    </row>
    <row r="9094" spans="1:4">
      <c r="A9094" s="3"/>
      <c r="D9094" s="3"/>
    </row>
    <row r="9095" spans="1:4">
      <c r="A9095" s="3"/>
      <c r="D9095" s="3"/>
    </row>
    <row r="9096" spans="1:4">
      <c r="A9096" s="3"/>
      <c r="D9096" s="3"/>
    </row>
    <row r="9097" spans="1:4">
      <c r="A9097" s="3"/>
      <c r="D9097" s="3"/>
    </row>
    <row r="9098" spans="1:4">
      <c r="A9098" s="3"/>
      <c r="D9098" s="3"/>
    </row>
    <row r="9099" spans="1:4">
      <c r="A9099" s="3"/>
      <c r="D9099" s="3"/>
    </row>
    <row r="9100" spans="1:4">
      <c r="A9100" s="3"/>
      <c r="D9100" s="3"/>
    </row>
    <row r="9101" spans="1:4">
      <c r="A9101" s="3"/>
      <c r="D9101" s="3"/>
    </row>
    <row r="9102" spans="1:4">
      <c r="A9102" s="3"/>
      <c r="D9102" s="3"/>
    </row>
    <row r="9103" spans="1:4">
      <c r="A9103" s="3"/>
      <c r="D9103" s="3"/>
    </row>
    <row r="9104" spans="1:4">
      <c r="A9104" s="3"/>
      <c r="D9104" s="3"/>
    </row>
    <row r="9105" spans="1:4">
      <c r="A9105" s="3"/>
      <c r="D9105" s="3"/>
    </row>
    <row r="9106" spans="1:4">
      <c r="A9106" s="3"/>
      <c r="D9106" s="3"/>
    </row>
    <row r="9107" spans="1:4">
      <c r="A9107" s="3"/>
      <c r="D9107" s="3"/>
    </row>
    <row r="9108" spans="1:4">
      <c r="A9108" s="3"/>
      <c r="D9108" s="3"/>
    </row>
    <row r="9109" spans="1:4">
      <c r="A9109" s="3"/>
      <c r="D9109" s="3"/>
    </row>
    <row r="9110" spans="1:4">
      <c r="A9110" s="3"/>
      <c r="D9110" s="3"/>
    </row>
    <row r="9111" spans="1:4">
      <c r="A9111" s="3"/>
      <c r="D9111" s="3"/>
    </row>
    <row r="9112" spans="1:4">
      <c r="A9112" s="3"/>
      <c r="D9112" s="3"/>
    </row>
    <row r="9113" spans="1:4">
      <c r="A9113" s="3"/>
      <c r="D9113" s="3"/>
    </row>
    <row r="9114" spans="1:4">
      <c r="A9114" s="3"/>
      <c r="D9114" s="3"/>
    </row>
    <row r="9115" spans="1:4">
      <c r="A9115" s="3"/>
      <c r="D9115" s="3"/>
    </row>
    <row r="9116" spans="1:4">
      <c r="A9116" s="3"/>
      <c r="D9116" s="3"/>
    </row>
    <row r="9117" spans="1:4">
      <c r="A9117" s="3"/>
      <c r="D9117" s="3"/>
    </row>
    <row r="9118" spans="1:4">
      <c r="A9118" s="3"/>
      <c r="D9118" s="3"/>
    </row>
    <row r="9119" spans="1:4">
      <c r="A9119" s="3"/>
      <c r="D9119" s="3"/>
    </row>
    <row r="9120" spans="1:4">
      <c r="A9120" s="3"/>
      <c r="D9120" s="3"/>
    </row>
    <row r="9121" spans="1:4">
      <c r="A9121" s="3"/>
      <c r="D9121" s="3"/>
    </row>
    <row r="9122" spans="1:4">
      <c r="A9122" s="3"/>
      <c r="D9122" s="3"/>
    </row>
    <row r="9123" spans="1:4">
      <c r="A9123" s="3"/>
      <c r="D9123" s="3"/>
    </row>
    <row r="9124" spans="1:4">
      <c r="A9124" s="3"/>
      <c r="D9124" s="3"/>
    </row>
    <row r="9125" spans="1:4">
      <c r="A9125" s="3"/>
      <c r="D9125" s="3"/>
    </row>
    <row r="9126" spans="1:4">
      <c r="A9126" s="3"/>
      <c r="D9126" s="3"/>
    </row>
    <row r="9127" spans="1:4">
      <c r="A9127" s="3"/>
      <c r="D9127" s="3"/>
    </row>
    <row r="9128" spans="1:4">
      <c r="A9128" s="3"/>
      <c r="D9128" s="3"/>
    </row>
    <row r="9129" spans="1:4">
      <c r="A9129" s="3"/>
      <c r="D9129" s="3"/>
    </row>
    <row r="9130" spans="1:4">
      <c r="A9130" s="3"/>
      <c r="D9130" s="3"/>
    </row>
    <row r="9131" spans="1:4">
      <c r="A9131" s="3"/>
      <c r="D9131" s="3"/>
    </row>
    <row r="9132" spans="1:4">
      <c r="A9132" s="3"/>
      <c r="D9132" s="3"/>
    </row>
    <row r="9133" spans="1:4">
      <c r="A9133" s="3"/>
      <c r="D9133" s="3"/>
    </row>
    <row r="9134" spans="1:4">
      <c r="A9134" s="3"/>
      <c r="D9134" s="3"/>
    </row>
    <row r="9135" spans="1:4">
      <c r="A9135" s="3"/>
      <c r="D9135" s="3"/>
    </row>
    <row r="9136" spans="1:4">
      <c r="A9136" s="3"/>
      <c r="D9136" s="3"/>
    </row>
    <row r="9137" spans="1:4">
      <c r="A9137" s="3"/>
      <c r="D9137" s="3"/>
    </row>
    <row r="9138" spans="1:4">
      <c r="A9138" s="3"/>
      <c r="D9138" s="3"/>
    </row>
    <row r="9139" spans="1:4">
      <c r="A9139" s="3"/>
      <c r="D9139" s="3"/>
    </row>
    <row r="9140" spans="1:4">
      <c r="A9140" s="3"/>
      <c r="D9140" s="3"/>
    </row>
    <row r="9141" spans="1:4">
      <c r="A9141" s="3"/>
      <c r="D9141" s="3"/>
    </row>
    <row r="9142" spans="1:4">
      <c r="A9142" s="3"/>
      <c r="D9142" s="3"/>
    </row>
    <row r="9143" spans="1:4">
      <c r="A9143" s="3"/>
      <c r="D9143" s="3"/>
    </row>
    <row r="9144" spans="1:4">
      <c r="A9144" s="3"/>
      <c r="D9144" s="3"/>
    </row>
    <row r="9145" spans="1:4">
      <c r="A9145" s="3"/>
      <c r="D9145" s="3"/>
    </row>
    <row r="9146" spans="1:4">
      <c r="A9146" s="3"/>
      <c r="D9146" s="3"/>
    </row>
    <row r="9147" spans="1:4">
      <c r="A9147" s="3"/>
      <c r="D9147" s="3"/>
    </row>
    <row r="9148" spans="1:4">
      <c r="A9148" s="3"/>
      <c r="D9148" s="3"/>
    </row>
    <row r="9149" spans="1:4">
      <c r="A9149" s="3"/>
      <c r="D9149" s="3"/>
    </row>
    <row r="9150" spans="1:4">
      <c r="A9150" s="3"/>
      <c r="D9150" s="3"/>
    </row>
    <row r="9151" spans="1:4">
      <c r="A9151" s="3"/>
      <c r="D9151" s="3"/>
    </row>
    <row r="9152" spans="1:4">
      <c r="A9152" s="3"/>
      <c r="D9152" s="3"/>
    </row>
    <row r="9153" spans="1:4">
      <c r="A9153" s="3"/>
      <c r="D9153" s="3"/>
    </row>
    <row r="9154" spans="1:4">
      <c r="A9154" s="3"/>
      <c r="D9154" s="3"/>
    </row>
    <row r="9155" spans="1:4">
      <c r="A9155" s="3"/>
      <c r="D9155" s="3"/>
    </row>
    <row r="9156" spans="1:4">
      <c r="A9156" s="3"/>
      <c r="D9156" s="3"/>
    </row>
    <row r="9157" spans="1:4">
      <c r="A9157" s="3"/>
      <c r="D9157" s="3"/>
    </row>
    <row r="9158" spans="1:4">
      <c r="A9158" s="3"/>
      <c r="D9158" s="3"/>
    </row>
    <row r="9159" spans="1:4">
      <c r="A9159" s="3"/>
      <c r="D9159" s="3"/>
    </row>
    <row r="9160" spans="1:4">
      <c r="A9160" s="3"/>
      <c r="D9160" s="3"/>
    </row>
    <row r="9161" spans="1:4">
      <c r="A9161" s="3"/>
      <c r="D9161" s="3"/>
    </row>
    <row r="9162" spans="1:4">
      <c r="A9162" s="3"/>
      <c r="D9162" s="3"/>
    </row>
    <row r="9163" spans="1:4">
      <c r="A9163" s="3"/>
      <c r="D9163" s="3"/>
    </row>
    <row r="9164" spans="1:4">
      <c r="A9164" s="3"/>
      <c r="D9164" s="3"/>
    </row>
    <row r="9165" spans="1:4">
      <c r="A9165" s="3"/>
      <c r="D9165" s="3"/>
    </row>
    <row r="9166" spans="1:4">
      <c r="A9166" s="3"/>
      <c r="D9166" s="3"/>
    </row>
    <row r="9167" spans="1:4">
      <c r="A9167" s="3"/>
      <c r="D9167" s="3"/>
    </row>
    <row r="9168" spans="1:4">
      <c r="A9168" s="3"/>
      <c r="D9168" s="3"/>
    </row>
    <row r="9169" spans="1:4">
      <c r="A9169" s="3"/>
      <c r="D9169" s="3"/>
    </row>
    <row r="9170" spans="1:4">
      <c r="A9170" s="3"/>
      <c r="D9170" s="3"/>
    </row>
    <row r="9171" spans="1:4">
      <c r="A9171" s="3"/>
      <c r="D9171" s="3"/>
    </row>
    <row r="9172" spans="1:4">
      <c r="A9172" s="3"/>
      <c r="D9172" s="3"/>
    </row>
    <row r="9173" spans="1:4">
      <c r="A9173" s="3"/>
      <c r="D9173" s="3"/>
    </row>
    <row r="9174" spans="1:4">
      <c r="A9174" s="3"/>
      <c r="D9174" s="3"/>
    </row>
    <row r="9175" spans="1:4">
      <c r="A9175" s="3"/>
      <c r="D9175" s="3"/>
    </row>
    <row r="9176" spans="1:4">
      <c r="A9176" s="3"/>
      <c r="D9176" s="3"/>
    </row>
    <row r="9177" spans="1:4">
      <c r="A9177" s="3"/>
      <c r="D9177" s="3"/>
    </row>
    <row r="9178" spans="1:4">
      <c r="A9178" s="3"/>
      <c r="D9178" s="3"/>
    </row>
    <row r="9179" spans="1:4">
      <c r="A9179" s="3"/>
      <c r="D9179" s="3"/>
    </row>
    <row r="9180" spans="1:4">
      <c r="A9180" s="3"/>
      <c r="D9180" s="3"/>
    </row>
    <row r="9181" spans="1:4">
      <c r="A9181" s="3"/>
      <c r="D9181" s="3"/>
    </row>
    <row r="9182" spans="1:4">
      <c r="A9182" s="3"/>
      <c r="D9182" s="3"/>
    </row>
    <row r="9183" spans="1:4">
      <c r="A9183" s="3"/>
      <c r="D9183" s="3"/>
    </row>
    <row r="9184" spans="1:4">
      <c r="A9184" s="3"/>
      <c r="D9184" s="3"/>
    </row>
    <row r="9185" spans="1:4">
      <c r="A9185" s="3"/>
      <c r="D9185" s="3"/>
    </row>
    <row r="9186" spans="1:4">
      <c r="A9186" s="3"/>
      <c r="D9186" s="3"/>
    </row>
    <row r="9187" spans="1:4">
      <c r="A9187" s="3"/>
      <c r="D9187" s="3"/>
    </row>
    <row r="9188" spans="1:4">
      <c r="A9188" s="3"/>
      <c r="D9188" s="3"/>
    </row>
    <row r="9189" spans="1:4">
      <c r="A9189" s="3"/>
      <c r="D9189" s="3"/>
    </row>
    <row r="9190" spans="1:4">
      <c r="A9190" s="3"/>
      <c r="D9190" s="3"/>
    </row>
    <row r="9191" spans="1:4">
      <c r="A9191" s="3"/>
      <c r="D9191" s="3"/>
    </row>
    <row r="9192" spans="1:4">
      <c r="A9192" s="3"/>
      <c r="D9192" s="3"/>
    </row>
    <row r="9193" spans="1:4">
      <c r="A9193" s="3"/>
      <c r="D9193" s="3"/>
    </row>
    <row r="9194" spans="1:4">
      <c r="A9194" s="3"/>
      <c r="D9194" s="3"/>
    </row>
    <row r="9195" spans="1:4">
      <c r="A9195" s="3"/>
      <c r="D9195" s="3"/>
    </row>
    <row r="9196" spans="1:4">
      <c r="A9196" s="3"/>
      <c r="D9196" s="3"/>
    </row>
    <row r="9197" spans="1:4">
      <c r="A9197" s="3"/>
      <c r="D9197" s="3"/>
    </row>
    <row r="9198" spans="1:4">
      <c r="A9198" s="3"/>
      <c r="D9198" s="3"/>
    </row>
    <row r="9199" spans="1:4">
      <c r="A9199" s="3"/>
      <c r="D9199" s="3"/>
    </row>
    <row r="9200" spans="1:4">
      <c r="A9200" s="3"/>
      <c r="D9200" s="3"/>
    </row>
    <row r="9201" spans="1:4">
      <c r="A9201" s="3"/>
      <c r="D9201" s="3"/>
    </row>
    <row r="9202" spans="1:4">
      <c r="A9202" s="3"/>
      <c r="D9202" s="3"/>
    </row>
    <row r="9203" spans="1:4">
      <c r="A9203" s="3"/>
      <c r="D9203" s="3"/>
    </row>
    <row r="9204" spans="1:4">
      <c r="A9204" s="3"/>
      <c r="D9204" s="3"/>
    </row>
    <row r="9205" spans="1:4">
      <c r="A9205" s="3"/>
      <c r="D9205" s="3"/>
    </row>
    <row r="9206" spans="1:4">
      <c r="A9206" s="3"/>
      <c r="D9206" s="3"/>
    </row>
    <row r="9207" spans="1:4">
      <c r="A9207" s="3"/>
      <c r="D9207" s="3"/>
    </row>
    <row r="9208" spans="1:4">
      <c r="A9208" s="3"/>
      <c r="D9208" s="3"/>
    </row>
    <row r="9209" spans="1:4">
      <c r="A9209" s="3"/>
      <c r="D9209" s="3"/>
    </row>
    <row r="9210" spans="1:4">
      <c r="A9210" s="3"/>
      <c r="D9210" s="3"/>
    </row>
    <row r="9211" spans="1:4">
      <c r="A9211" s="3"/>
      <c r="D9211" s="3"/>
    </row>
    <row r="9212" spans="1:4">
      <c r="A9212" s="3"/>
      <c r="D9212" s="3"/>
    </row>
    <row r="9213" spans="1:4">
      <c r="A9213" s="3"/>
      <c r="D9213" s="3"/>
    </row>
    <row r="9214" spans="1:4">
      <c r="A9214" s="3"/>
      <c r="D9214" s="3"/>
    </row>
    <row r="9215" spans="1:4">
      <c r="A9215" s="3"/>
      <c r="D9215" s="3"/>
    </row>
    <row r="9216" spans="1:4">
      <c r="A9216" s="3"/>
      <c r="D9216" s="3"/>
    </row>
    <row r="9217" spans="1:4">
      <c r="A9217" s="3"/>
      <c r="D9217" s="3"/>
    </row>
    <row r="9218" spans="1:4">
      <c r="A9218" s="3"/>
      <c r="D9218" s="3"/>
    </row>
    <row r="9219" spans="1:4">
      <c r="A9219" s="3"/>
      <c r="D9219" s="3"/>
    </row>
    <row r="9220" spans="1:4">
      <c r="A9220" s="3"/>
      <c r="D9220" s="3"/>
    </row>
    <row r="9221" spans="1:4">
      <c r="A9221" s="3"/>
      <c r="D9221" s="3"/>
    </row>
    <row r="9222" spans="1:4">
      <c r="A9222" s="3"/>
      <c r="D9222" s="3"/>
    </row>
    <row r="9223" spans="1:4">
      <c r="A9223" s="3"/>
      <c r="D9223" s="3"/>
    </row>
    <row r="9224" spans="1:4">
      <c r="A9224" s="3"/>
      <c r="D9224" s="3"/>
    </row>
    <row r="9225" spans="1:4">
      <c r="A9225" s="3"/>
      <c r="D9225" s="3"/>
    </row>
    <row r="9226" spans="1:4">
      <c r="A9226" s="3"/>
      <c r="D9226" s="3"/>
    </row>
    <row r="9227" spans="1:4">
      <c r="A9227" s="3"/>
      <c r="D9227" s="3"/>
    </row>
    <row r="9228" spans="1:4">
      <c r="A9228" s="3"/>
      <c r="D9228" s="3"/>
    </row>
    <row r="9229" spans="1:4">
      <c r="A9229" s="3"/>
      <c r="D9229" s="3"/>
    </row>
    <row r="9230" spans="1:4">
      <c r="A9230" s="3"/>
      <c r="D9230" s="3"/>
    </row>
    <row r="9231" spans="1:4">
      <c r="A9231" s="3"/>
      <c r="D9231" s="3"/>
    </row>
    <row r="9232" spans="1:4">
      <c r="A9232" s="3"/>
      <c r="D9232" s="3"/>
    </row>
    <row r="9233" spans="1:4">
      <c r="A9233" s="3"/>
      <c r="D9233" s="3"/>
    </row>
    <row r="9234" spans="1:4">
      <c r="A9234" s="3"/>
      <c r="D9234" s="3"/>
    </row>
    <row r="9235" spans="1:4">
      <c r="A9235" s="3"/>
      <c r="D9235" s="3"/>
    </row>
    <row r="9236" spans="1:4">
      <c r="A9236" s="3"/>
      <c r="D9236" s="3"/>
    </row>
    <row r="9237" spans="1:4">
      <c r="A9237" s="3"/>
      <c r="D9237" s="3"/>
    </row>
    <row r="9238" spans="1:4">
      <c r="A9238" s="3"/>
      <c r="D9238" s="3"/>
    </row>
    <row r="9239" spans="1:4">
      <c r="A9239" s="3"/>
      <c r="D9239" s="3"/>
    </row>
    <row r="9240" spans="1:4">
      <c r="A9240" s="3"/>
      <c r="D9240" s="3"/>
    </row>
    <row r="9241" spans="1:4">
      <c r="A9241" s="3"/>
      <c r="D9241" s="3"/>
    </row>
    <row r="9242" spans="1:4">
      <c r="A9242" s="3"/>
      <c r="D9242" s="3"/>
    </row>
    <row r="9243" spans="1:4">
      <c r="A9243" s="3"/>
      <c r="D9243" s="3"/>
    </row>
    <row r="9244" spans="1:4">
      <c r="A9244" s="3"/>
      <c r="D9244" s="3"/>
    </row>
    <row r="9245" spans="1:4">
      <c r="A9245" s="3"/>
      <c r="D9245" s="3"/>
    </row>
    <row r="9246" spans="1:4">
      <c r="A9246" s="3"/>
      <c r="D9246" s="3"/>
    </row>
    <row r="9247" spans="1:4">
      <c r="A9247" s="3"/>
      <c r="D9247" s="3"/>
    </row>
    <row r="9248" spans="1:4">
      <c r="A9248" s="3"/>
      <c r="D9248" s="3"/>
    </row>
    <row r="9249" spans="1:4">
      <c r="A9249" s="3"/>
      <c r="D9249" s="3"/>
    </row>
    <row r="9250" spans="1:4">
      <c r="A9250" s="3"/>
      <c r="D9250" s="3"/>
    </row>
    <row r="9251" spans="1:4">
      <c r="A9251" s="3"/>
      <c r="D9251" s="3"/>
    </row>
    <row r="9252" spans="1:4">
      <c r="A9252" s="3"/>
      <c r="D9252" s="3"/>
    </row>
    <row r="9253" spans="1:4">
      <c r="A9253" s="3"/>
      <c r="D9253" s="3"/>
    </row>
    <row r="9254" spans="1:4">
      <c r="A9254" s="3"/>
      <c r="D9254" s="3"/>
    </row>
    <row r="9255" spans="1:4">
      <c r="A9255" s="3"/>
      <c r="D9255" s="3"/>
    </row>
    <row r="9256" spans="1:4">
      <c r="A9256" s="3"/>
      <c r="D9256" s="3"/>
    </row>
    <row r="9257" spans="1:4">
      <c r="A9257" s="3"/>
      <c r="D9257" s="3"/>
    </row>
    <row r="9258" spans="1:4">
      <c r="A9258" s="3"/>
      <c r="D9258" s="3"/>
    </row>
    <row r="9259" spans="1:4">
      <c r="A9259" s="3"/>
      <c r="D9259" s="3"/>
    </row>
    <row r="9260" spans="1:4">
      <c r="A9260" s="3"/>
      <c r="D9260" s="3"/>
    </row>
    <row r="9261" spans="1:4">
      <c r="A9261" s="3"/>
      <c r="D9261" s="3"/>
    </row>
    <row r="9262" spans="1:4">
      <c r="A9262" s="3"/>
      <c r="D9262" s="3"/>
    </row>
    <row r="9263" spans="1:4">
      <c r="A9263" s="3"/>
      <c r="D9263" s="3"/>
    </row>
    <row r="9264" spans="1:4">
      <c r="A9264" s="3"/>
      <c r="D9264" s="3"/>
    </row>
    <row r="9265" spans="1:4">
      <c r="A9265" s="3"/>
      <c r="D9265" s="3"/>
    </row>
    <row r="9266" spans="1:4">
      <c r="A9266" s="3"/>
      <c r="D9266" s="3"/>
    </row>
    <row r="9267" spans="1:4">
      <c r="A9267" s="3"/>
      <c r="D9267" s="3"/>
    </row>
    <row r="9268" spans="1:4">
      <c r="A9268" s="3"/>
      <c r="D9268" s="3"/>
    </row>
    <row r="9269" spans="1:4">
      <c r="A9269" s="3"/>
      <c r="D9269" s="3"/>
    </row>
    <row r="9270" spans="1:4">
      <c r="A9270" s="3"/>
      <c r="D9270" s="3"/>
    </row>
    <row r="9271" spans="1:4">
      <c r="A9271" s="3"/>
      <c r="D9271" s="3"/>
    </row>
    <row r="9272" spans="1:4">
      <c r="A9272" s="3"/>
      <c r="D9272" s="3"/>
    </row>
    <row r="9273" spans="1:4">
      <c r="A9273" s="3"/>
      <c r="D9273" s="3"/>
    </row>
    <row r="9274" spans="1:4">
      <c r="A9274" s="3"/>
      <c r="D9274" s="3"/>
    </row>
    <row r="9275" spans="1:4">
      <c r="A9275" s="3"/>
      <c r="D9275" s="3"/>
    </row>
    <row r="9276" spans="1:4">
      <c r="A9276" s="3"/>
      <c r="D9276" s="3"/>
    </row>
    <row r="9277" spans="1:4">
      <c r="A9277" s="3"/>
      <c r="D9277" s="3"/>
    </row>
    <row r="9278" spans="1:4">
      <c r="A9278" s="3"/>
      <c r="D9278" s="3"/>
    </row>
    <row r="9279" spans="1:4">
      <c r="A9279" s="3"/>
      <c r="D9279" s="3"/>
    </row>
    <row r="9280" spans="1:4">
      <c r="A9280" s="3"/>
      <c r="D9280" s="3"/>
    </row>
    <row r="9281" spans="1:4">
      <c r="A9281" s="3"/>
      <c r="D9281" s="3"/>
    </row>
    <row r="9282" spans="1:4">
      <c r="A9282" s="3"/>
      <c r="D9282" s="3"/>
    </row>
    <row r="9283" spans="1:4">
      <c r="A9283" s="3"/>
      <c r="D9283" s="3"/>
    </row>
    <row r="9284" spans="1:4">
      <c r="A9284" s="3"/>
      <c r="D9284" s="3"/>
    </row>
    <row r="9285" spans="1:4">
      <c r="A9285" s="3"/>
      <c r="D9285" s="3"/>
    </row>
    <row r="9286" spans="1:4">
      <c r="A9286" s="3"/>
      <c r="D9286" s="3"/>
    </row>
    <row r="9287" spans="1:4">
      <c r="A9287" s="3"/>
      <c r="D9287" s="3"/>
    </row>
    <row r="9288" spans="1:4">
      <c r="A9288" s="3"/>
      <c r="D9288" s="3"/>
    </row>
    <row r="9289" spans="1:4">
      <c r="A9289" s="3"/>
      <c r="D9289" s="3"/>
    </row>
    <row r="9290" spans="1:4">
      <c r="A9290" s="3"/>
      <c r="D9290" s="3"/>
    </row>
    <row r="9291" spans="1:4">
      <c r="A9291" s="3"/>
      <c r="D9291" s="3"/>
    </row>
    <row r="9292" spans="1:4">
      <c r="A9292" s="3"/>
      <c r="D9292" s="3"/>
    </row>
    <row r="9293" spans="1:4">
      <c r="A9293" s="3"/>
      <c r="D9293" s="3"/>
    </row>
    <row r="9294" spans="1:4">
      <c r="A9294" s="3"/>
      <c r="D9294" s="3"/>
    </row>
    <row r="9295" spans="1:4">
      <c r="A9295" s="3"/>
      <c r="D9295" s="3"/>
    </row>
    <row r="9296" spans="1:4">
      <c r="A9296" s="3"/>
      <c r="D9296" s="3"/>
    </row>
    <row r="9297" spans="1:4">
      <c r="A9297" s="3"/>
      <c r="D9297" s="3"/>
    </row>
    <row r="9298" spans="1:4">
      <c r="A9298" s="3"/>
      <c r="D9298" s="3"/>
    </row>
    <row r="9299" spans="1:4">
      <c r="A9299" s="3"/>
      <c r="D9299" s="3"/>
    </row>
    <row r="9300" spans="1:4">
      <c r="A9300" s="3"/>
      <c r="D9300" s="3"/>
    </row>
    <row r="9301" spans="1:4">
      <c r="A9301" s="3"/>
      <c r="D9301" s="3"/>
    </row>
    <row r="9302" spans="1:4">
      <c r="A9302" s="3"/>
      <c r="D9302" s="3"/>
    </row>
    <row r="9303" spans="1:4">
      <c r="A9303" s="3"/>
      <c r="D9303" s="3"/>
    </row>
    <row r="9304" spans="1:4">
      <c r="A9304" s="3"/>
      <c r="D9304" s="3"/>
    </row>
    <row r="9305" spans="1:4">
      <c r="A9305" s="3"/>
      <c r="D9305" s="3"/>
    </row>
    <row r="9306" spans="1:4">
      <c r="A9306" s="3"/>
      <c r="D9306" s="3"/>
    </row>
    <row r="9307" spans="1:4">
      <c r="A9307" s="3"/>
      <c r="D9307" s="3"/>
    </row>
    <row r="9308" spans="1:4">
      <c r="A9308" s="3"/>
      <c r="D9308" s="3"/>
    </row>
    <row r="9309" spans="1:4">
      <c r="A9309" s="3"/>
      <c r="D9309" s="3"/>
    </row>
    <row r="9310" spans="1:4">
      <c r="A9310" s="3"/>
      <c r="D9310" s="3"/>
    </row>
    <row r="9311" spans="1:4">
      <c r="A9311" s="3"/>
      <c r="D9311" s="3"/>
    </row>
    <row r="9312" spans="1:4">
      <c r="A9312" s="3"/>
      <c r="D9312" s="3"/>
    </row>
    <row r="9313" spans="1:4">
      <c r="A9313" s="3"/>
      <c r="D9313" s="3"/>
    </row>
    <row r="9314" spans="1:4">
      <c r="A9314" s="3"/>
      <c r="D9314" s="3"/>
    </row>
    <row r="9315" spans="1:4">
      <c r="A9315" s="3"/>
      <c r="D9315" s="3"/>
    </row>
    <row r="9316" spans="1:4">
      <c r="A9316" s="3"/>
      <c r="D9316" s="3"/>
    </row>
    <row r="9317" spans="1:4">
      <c r="A9317" s="3"/>
      <c r="D9317" s="3"/>
    </row>
    <row r="9318" spans="1:4">
      <c r="A9318" s="3"/>
      <c r="D9318" s="3"/>
    </row>
    <row r="9319" spans="1:4">
      <c r="A9319" s="3"/>
      <c r="D9319" s="3"/>
    </row>
    <row r="9320" spans="1:4">
      <c r="A9320" s="3"/>
      <c r="D9320" s="3"/>
    </row>
    <row r="9321" spans="1:4">
      <c r="A9321" s="3"/>
      <c r="D9321" s="3"/>
    </row>
    <row r="9322" spans="1:4">
      <c r="A9322" s="3"/>
      <c r="D9322" s="3"/>
    </row>
    <row r="9323" spans="1:4">
      <c r="A9323" s="3"/>
      <c r="D9323" s="3"/>
    </row>
    <row r="9324" spans="1:4">
      <c r="A9324" s="3"/>
      <c r="D9324" s="3"/>
    </row>
    <row r="9325" spans="1:4">
      <c r="A9325" s="3"/>
      <c r="D9325" s="3"/>
    </row>
    <row r="9326" spans="1:4">
      <c r="A9326" s="3"/>
      <c r="D9326" s="3"/>
    </row>
    <row r="9327" spans="1:4">
      <c r="A9327" s="3"/>
      <c r="D9327" s="3"/>
    </row>
    <row r="9328" spans="1:4">
      <c r="A9328" s="3"/>
      <c r="D9328" s="3"/>
    </row>
    <row r="9329" spans="1:4">
      <c r="A9329" s="3"/>
      <c r="D9329" s="3"/>
    </row>
    <row r="9330" spans="1:4">
      <c r="A9330" s="3"/>
      <c r="D9330" s="3"/>
    </row>
    <row r="9331" spans="1:4">
      <c r="A9331" s="3"/>
      <c r="D9331" s="3"/>
    </row>
    <row r="9332" spans="1:4">
      <c r="A9332" s="3"/>
      <c r="D9332" s="3"/>
    </row>
    <row r="9333" spans="1:4">
      <c r="A9333" s="3"/>
      <c r="D9333" s="3"/>
    </row>
    <row r="9334" spans="1:4">
      <c r="A9334" s="3"/>
      <c r="D9334" s="3"/>
    </row>
    <row r="9335" spans="1:4">
      <c r="A9335" s="3"/>
      <c r="D9335" s="3"/>
    </row>
    <row r="9336" spans="1:4">
      <c r="A9336" s="3"/>
      <c r="D9336" s="3"/>
    </row>
    <row r="9337" spans="1:4">
      <c r="A9337" s="3"/>
      <c r="D9337" s="3"/>
    </row>
    <row r="9338" spans="1:4">
      <c r="A9338" s="3"/>
      <c r="D9338" s="3"/>
    </row>
    <row r="9339" spans="1:4">
      <c r="A9339" s="3"/>
      <c r="D9339" s="3"/>
    </row>
    <row r="9340" spans="1:4">
      <c r="A9340" s="3"/>
      <c r="D9340" s="3"/>
    </row>
    <row r="9341" spans="1:4">
      <c r="A9341" s="3"/>
      <c r="D9341" s="3"/>
    </row>
    <row r="9342" spans="1:4">
      <c r="A9342" s="3"/>
      <c r="D9342" s="3"/>
    </row>
    <row r="9343" spans="1:4">
      <c r="A9343" s="3"/>
      <c r="D9343" s="3"/>
    </row>
    <row r="9344" spans="1:4">
      <c r="A9344" s="3"/>
      <c r="D9344" s="3"/>
    </row>
    <row r="9345" spans="1:4">
      <c r="A9345" s="3"/>
      <c r="D9345" s="3"/>
    </row>
    <row r="9346" spans="1:4">
      <c r="A9346" s="3"/>
      <c r="D9346" s="3"/>
    </row>
    <row r="9347" spans="1:4">
      <c r="A9347" s="3"/>
      <c r="D9347" s="3"/>
    </row>
    <row r="9348" spans="1:4">
      <c r="A9348" s="3"/>
      <c r="D9348" s="3"/>
    </row>
    <row r="9349" spans="1:4">
      <c r="A9349" s="3"/>
      <c r="D9349" s="3"/>
    </row>
    <row r="9350" spans="1:4">
      <c r="A9350" s="3"/>
      <c r="D9350" s="3"/>
    </row>
    <row r="9351" spans="1:4">
      <c r="A9351" s="3"/>
      <c r="D9351" s="3"/>
    </row>
    <row r="9352" spans="1:4">
      <c r="A9352" s="3"/>
      <c r="D9352" s="3"/>
    </row>
    <row r="9353" spans="1:4">
      <c r="A9353" s="3"/>
      <c r="D9353" s="3"/>
    </row>
    <row r="9354" spans="1:4">
      <c r="A9354" s="3"/>
      <c r="D9354" s="3"/>
    </row>
    <row r="9355" spans="1:4">
      <c r="A9355" s="3"/>
      <c r="D9355" s="3"/>
    </row>
    <row r="9356" spans="1:4">
      <c r="A9356" s="3"/>
      <c r="D9356" s="3"/>
    </row>
    <row r="9357" spans="1:4">
      <c r="A9357" s="3"/>
      <c r="D9357" s="3"/>
    </row>
    <row r="9358" spans="1:4">
      <c r="A9358" s="3"/>
      <c r="D9358" s="3"/>
    </row>
    <row r="9359" spans="1:4">
      <c r="A9359" s="3"/>
      <c r="D9359" s="3"/>
    </row>
    <row r="9360" spans="1:4">
      <c r="A9360" s="3"/>
      <c r="D9360" s="3"/>
    </row>
    <row r="9361" spans="1:4">
      <c r="A9361" s="3"/>
      <c r="D9361" s="3"/>
    </row>
    <row r="9362" spans="1:4">
      <c r="A9362" s="3"/>
      <c r="D9362" s="3"/>
    </row>
    <row r="9363" spans="1:4">
      <c r="A9363" s="3"/>
      <c r="D9363" s="3"/>
    </row>
    <row r="9364" spans="1:4">
      <c r="A9364" s="3"/>
      <c r="D9364" s="3"/>
    </row>
    <row r="9365" spans="1:4">
      <c r="A9365" s="3"/>
      <c r="D9365" s="3"/>
    </row>
    <row r="9366" spans="1:4">
      <c r="A9366" s="3"/>
      <c r="D9366" s="3"/>
    </row>
    <row r="9367" spans="1:4">
      <c r="A9367" s="3"/>
      <c r="D9367" s="3"/>
    </row>
    <row r="9368" spans="1:4">
      <c r="A9368" s="3"/>
      <c r="D9368" s="3"/>
    </row>
    <row r="9369" spans="1:4">
      <c r="A9369" s="3"/>
      <c r="D9369" s="3"/>
    </row>
    <row r="9370" spans="1:4">
      <c r="A9370" s="3"/>
      <c r="D9370" s="3"/>
    </row>
    <row r="9371" spans="1:4">
      <c r="A9371" s="3"/>
      <c r="D9371" s="3"/>
    </row>
    <row r="9372" spans="1:4">
      <c r="A9372" s="3"/>
      <c r="D9372" s="3"/>
    </row>
    <row r="9373" spans="1:4">
      <c r="A9373" s="3"/>
      <c r="D9373" s="3"/>
    </row>
    <row r="9374" spans="1:4">
      <c r="A9374" s="3"/>
      <c r="D9374" s="3"/>
    </row>
    <row r="9375" spans="1:4">
      <c r="A9375" s="3"/>
      <c r="D9375" s="3"/>
    </row>
    <row r="9376" spans="1:4">
      <c r="A9376" s="3"/>
      <c r="D9376" s="3"/>
    </row>
    <row r="9377" spans="1:4">
      <c r="A9377" s="3"/>
      <c r="D9377" s="3"/>
    </row>
    <row r="9378" spans="1:4">
      <c r="A9378" s="3"/>
      <c r="D9378" s="3"/>
    </row>
    <row r="9379" spans="1:4">
      <c r="A9379" s="3"/>
      <c r="D9379" s="3"/>
    </row>
    <row r="9380" spans="1:4">
      <c r="A9380" s="3"/>
      <c r="D9380" s="3"/>
    </row>
    <row r="9381" spans="1:4">
      <c r="A9381" s="3"/>
      <c r="D9381" s="3"/>
    </row>
    <row r="9382" spans="1:4">
      <c r="A9382" s="3"/>
      <c r="D9382" s="3"/>
    </row>
    <row r="9383" spans="1:4">
      <c r="A9383" s="3"/>
      <c r="D9383" s="3"/>
    </row>
    <row r="9384" spans="1:4">
      <c r="A9384" s="3"/>
      <c r="D9384" s="3"/>
    </row>
    <row r="9385" spans="1:4">
      <c r="A9385" s="3"/>
      <c r="D9385" s="3"/>
    </row>
    <row r="9386" spans="1:4">
      <c r="A9386" s="3"/>
      <c r="D9386" s="3"/>
    </row>
    <row r="9387" spans="1:4">
      <c r="A9387" s="3"/>
      <c r="D9387" s="3"/>
    </row>
    <row r="9388" spans="1:4">
      <c r="A9388" s="3"/>
      <c r="D9388" s="3"/>
    </row>
    <row r="9389" spans="1:4">
      <c r="A9389" s="3"/>
      <c r="D9389" s="3"/>
    </row>
    <row r="9390" spans="1:4">
      <c r="A9390" s="3"/>
      <c r="D9390" s="3"/>
    </row>
    <row r="9391" spans="1:4">
      <c r="A9391" s="3"/>
      <c r="D9391" s="3"/>
    </row>
    <row r="9392" spans="1:4">
      <c r="A9392" s="3"/>
      <c r="D9392" s="3"/>
    </row>
    <row r="9393" spans="1:4">
      <c r="A9393" s="3"/>
      <c r="D9393" s="3"/>
    </row>
    <row r="9394" spans="1:4">
      <c r="A9394" s="3"/>
      <c r="D9394" s="3"/>
    </row>
    <row r="9395" spans="1:4">
      <c r="A9395" s="3"/>
      <c r="D9395" s="3"/>
    </row>
    <row r="9396" spans="1:4">
      <c r="A9396" s="3"/>
      <c r="D9396" s="3"/>
    </row>
    <row r="9397" spans="1:4">
      <c r="A9397" s="3"/>
      <c r="D9397" s="3"/>
    </row>
    <row r="9398" spans="1:4">
      <c r="A9398" s="3"/>
      <c r="D9398" s="3"/>
    </row>
    <row r="9399" spans="1:4">
      <c r="A9399" s="3"/>
      <c r="D9399" s="3"/>
    </row>
    <row r="9400" spans="1:4">
      <c r="A9400" s="3"/>
      <c r="D9400" s="3"/>
    </row>
    <row r="9401" spans="1:4">
      <c r="A9401" s="3"/>
      <c r="D9401" s="3"/>
    </row>
    <row r="9402" spans="1:4">
      <c r="A9402" s="3"/>
      <c r="D9402" s="3"/>
    </row>
    <row r="9403" spans="1:4">
      <c r="A9403" s="3"/>
      <c r="D9403" s="3"/>
    </row>
    <row r="9404" spans="1:4">
      <c r="A9404" s="3"/>
      <c r="D9404" s="3"/>
    </row>
    <row r="9405" spans="1:4">
      <c r="A9405" s="3"/>
      <c r="D9405" s="3"/>
    </row>
    <row r="9406" spans="1:4">
      <c r="A9406" s="3"/>
      <c r="D9406" s="3"/>
    </row>
    <row r="9407" spans="1:4">
      <c r="A9407" s="3"/>
      <c r="D9407" s="3"/>
    </row>
    <row r="9408" spans="1:4">
      <c r="A9408" s="3"/>
      <c r="D9408" s="3"/>
    </row>
    <row r="9409" spans="1:4">
      <c r="A9409" s="3"/>
      <c r="D9409" s="3"/>
    </row>
    <row r="9410" spans="1:4">
      <c r="A9410" s="3"/>
      <c r="D9410" s="3"/>
    </row>
    <row r="9411" spans="1:4">
      <c r="A9411" s="3"/>
      <c r="D9411" s="3"/>
    </row>
    <row r="9412" spans="1:4">
      <c r="A9412" s="3"/>
      <c r="D9412" s="3"/>
    </row>
    <row r="9413" spans="1:4">
      <c r="A9413" s="3"/>
      <c r="D9413" s="3"/>
    </row>
    <row r="9414" spans="1:4">
      <c r="A9414" s="3"/>
      <c r="D9414" s="3"/>
    </row>
    <row r="9415" spans="1:4">
      <c r="A9415" s="3"/>
      <c r="D9415" s="3"/>
    </row>
    <row r="9416" spans="1:4">
      <c r="A9416" s="3"/>
      <c r="D9416" s="3"/>
    </row>
    <row r="9417" spans="1:4">
      <c r="A9417" s="3"/>
      <c r="D9417" s="3"/>
    </row>
    <row r="9418" spans="1:4">
      <c r="A9418" s="3"/>
      <c r="D9418" s="3"/>
    </row>
    <row r="9419" spans="1:4">
      <c r="A9419" s="3"/>
      <c r="D9419" s="3"/>
    </row>
    <row r="9420" spans="1:4">
      <c r="A9420" s="3"/>
      <c r="D9420" s="3"/>
    </row>
    <row r="9421" spans="1:4">
      <c r="A9421" s="3"/>
      <c r="D9421" s="3"/>
    </row>
    <row r="9422" spans="1:4">
      <c r="A9422" s="3"/>
      <c r="D9422" s="3"/>
    </row>
    <row r="9423" spans="1:4">
      <c r="A9423" s="3"/>
      <c r="D9423" s="3"/>
    </row>
    <row r="9424" spans="1:4">
      <c r="A9424" s="3"/>
      <c r="D9424" s="3"/>
    </row>
    <row r="9425" spans="1:4">
      <c r="A9425" s="3"/>
      <c r="D9425" s="3"/>
    </row>
    <row r="9426" spans="1:4">
      <c r="A9426" s="3"/>
      <c r="D9426" s="3"/>
    </row>
    <row r="9427" spans="1:4">
      <c r="A9427" s="3"/>
      <c r="D9427" s="3"/>
    </row>
    <row r="9428" spans="1:4">
      <c r="A9428" s="3"/>
      <c r="D9428" s="3"/>
    </row>
    <row r="9429" spans="1:4">
      <c r="A9429" s="3"/>
      <c r="D9429" s="3"/>
    </row>
    <row r="9430" spans="1:4">
      <c r="A9430" s="3"/>
      <c r="D9430" s="3"/>
    </row>
    <row r="9431" spans="1:4">
      <c r="A9431" s="3"/>
      <c r="D9431" s="3"/>
    </row>
    <row r="9432" spans="1:4">
      <c r="A9432" s="3"/>
      <c r="D9432" s="3"/>
    </row>
    <row r="9433" spans="1:4">
      <c r="A9433" s="3"/>
      <c r="D9433" s="3"/>
    </row>
    <row r="9434" spans="1:4">
      <c r="A9434" s="3"/>
      <c r="D9434" s="3"/>
    </row>
    <row r="9435" spans="1:4">
      <c r="A9435" s="3"/>
      <c r="D9435" s="3"/>
    </row>
    <row r="9436" spans="1:4">
      <c r="A9436" s="3"/>
      <c r="D9436" s="3"/>
    </row>
    <row r="9437" spans="1:4">
      <c r="A9437" s="3"/>
      <c r="D9437" s="3"/>
    </row>
    <row r="9438" spans="1:4">
      <c r="A9438" s="3"/>
      <c r="D9438" s="3"/>
    </row>
    <row r="9439" spans="1:4">
      <c r="A9439" s="3"/>
      <c r="D9439" s="3"/>
    </row>
    <row r="9440" spans="1:4">
      <c r="A9440" s="3"/>
      <c r="D9440" s="3"/>
    </row>
    <row r="9441" spans="1:4">
      <c r="A9441" s="3"/>
      <c r="D9441" s="3"/>
    </row>
    <row r="9442" spans="1:4">
      <c r="A9442" s="3"/>
      <c r="D9442" s="3"/>
    </row>
    <row r="9443" spans="1:4">
      <c r="A9443" s="3"/>
      <c r="D9443" s="3"/>
    </row>
    <row r="9444" spans="1:4">
      <c r="A9444" s="3"/>
      <c r="D9444" s="3"/>
    </row>
    <row r="9445" spans="1:4">
      <c r="A9445" s="3"/>
      <c r="D9445" s="3"/>
    </row>
    <row r="9446" spans="1:4">
      <c r="A9446" s="3"/>
      <c r="D9446" s="3"/>
    </row>
    <row r="9447" spans="1:4">
      <c r="A9447" s="3"/>
      <c r="D9447" s="3"/>
    </row>
    <row r="9448" spans="1:4">
      <c r="A9448" s="3"/>
      <c r="D9448" s="3"/>
    </row>
    <row r="9449" spans="1:4">
      <c r="A9449" s="3"/>
      <c r="D9449" s="3"/>
    </row>
    <row r="9450" spans="1:4">
      <c r="A9450" s="3"/>
      <c r="D9450" s="3"/>
    </row>
    <row r="9451" spans="1:4">
      <c r="A9451" s="3"/>
      <c r="D9451" s="3"/>
    </row>
    <row r="9452" spans="1:4">
      <c r="A9452" s="3"/>
      <c r="D9452" s="3"/>
    </row>
    <row r="9453" spans="1:4">
      <c r="A9453" s="3"/>
      <c r="D9453" s="3"/>
    </row>
    <row r="9454" spans="1:4">
      <c r="A9454" s="3"/>
      <c r="D9454" s="3"/>
    </row>
    <row r="9455" spans="1:4">
      <c r="A9455" s="3"/>
      <c r="D9455" s="3"/>
    </row>
    <row r="9456" spans="1:4">
      <c r="A9456" s="3"/>
      <c r="D9456" s="3"/>
    </row>
    <row r="9457" spans="1:4">
      <c r="A9457" s="3"/>
      <c r="D9457" s="3"/>
    </row>
    <row r="9458" spans="1:4">
      <c r="A9458" s="3"/>
      <c r="D9458" s="3"/>
    </row>
    <row r="9459" spans="1:4">
      <c r="A9459" s="3"/>
      <c r="D9459" s="3"/>
    </row>
    <row r="9460" spans="1:4">
      <c r="A9460" s="3"/>
      <c r="D9460" s="3"/>
    </row>
    <row r="9461" spans="1:4">
      <c r="A9461" s="3"/>
      <c r="D9461" s="3"/>
    </row>
    <row r="9462" spans="1:4">
      <c r="A9462" s="3"/>
      <c r="D9462" s="3"/>
    </row>
    <row r="9463" spans="1:4">
      <c r="A9463" s="3"/>
      <c r="D9463" s="3"/>
    </row>
    <row r="9464" spans="1:4">
      <c r="A9464" s="3"/>
      <c r="D9464" s="3"/>
    </row>
    <row r="9465" spans="1:4">
      <c r="A9465" s="3"/>
      <c r="D9465" s="3"/>
    </row>
    <row r="9466" spans="1:4">
      <c r="A9466" s="3"/>
      <c r="D9466" s="3"/>
    </row>
    <row r="9467" spans="1:4">
      <c r="A9467" s="3"/>
      <c r="D9467" s="3"/>
    </row>
    <row r="9468" spans="1:4">
      <c r="A9468" s="3"/>
      <c r="D9468" s="3"/>
    </row>
    <row r="9469" spans="1:4">
      <c r="A9469" s="3"/>
      <c r="D9469" s="3"/>
    </row>
    <row r="9470" spans="1:4">
      <c r="A9470" s="3"/>
      <c r="D9470" s="3"/>
    </row>
    <row r="9471" spans="1:4">
      <c r="A9471" s="3"/>
      <c r="D9471" s="3"/>
    </row>
    <row r="9472" spans="1:4">
      <c r="A9472" s="3"/>
      <c r="D9472" s="3"/>
    </row>
    <row r="9473" spans="1:4">
      <c r="A9473" s="3"/>
      <c r="D9473" s="3"/>
    </row>
    <row r="9474" spans="1:4">
      <c r="A9474" s="3"/>
      <c r="D9474" s="3"/>
    </row>
    <row r="9475" spans="1:4">
      <c r="A9475" s="3"/>
      <c r="D9475" s="3"/>
    </row>
    <row r="9476" spans="1:4">
      <c r="A9476" s="3"/>
      <c r="D9476" s="3"/>
    </row>
    <row r="9477" spans="1:4">
      <c r="A9477" s="3"/>
      <c r="D9477" s="3"/>
    </row>
    <row r="9478" spans="1:4">
      <c r="A9478" s="3"/>
      <c r="D9478" s="3"/>
    </row>
    <row r="9479" spans="1:4">
      <c r="A9479" s="3"/>
      <c r="D9479" s="3"/>
    </row>
    <row r="9480" spans="1:4">
      <c r="A9480" s="3"/>
      <c r="D9480" s="3"/>
    </row>
    <row r="9481" spans="1:4">
      <c r="A9481" s="3"/>
      <c r="D9481" s="3"/>
    </row>
    <row r="9482" spans="1:4">
      <c r="A9482" s="3"/>
      <c r="D9482" s="3"/>
    </row>
    <row r="9483" spans="1:4">
      <c r="A9483" s="3"/>
      <c r="D9483" s="3"/>
    </row>
    <row r="9484" spans="1:4">
      <c r="A9484" s="3"/>
      <c r="D9484" s="3"/>
    </row>
    <row r="9485" spans="1:4">
      <c r="A9485" s="3"/>
      <c r="D9485" s="3"/>
    </row>
    <row r="9486" spans="1:4">
      <c r="A9486" s="3"/>
      <c r="D9486" s="3"/>
    </row>
    <row r="9487" spans="1:4">
      <c r="A9487" s="3"/>
      <c r="D9487" s="3"/>
    </row>
    <row r="9488" spans="1:4">
      <c r="A9488" s="3"/>
      <c r="D9488" s="3"/>
    </row>
    <row r="9489" spans="1:4">
      <c r="A9489" s="3"/>
      <c r="D9489" s="3"/>
    </row>
    <row r="9490" spans="1:4">
      <c r="A9490" s="3"/>
      <c r="D9490" s="3"/>
    </row>
    <row r="9491" spans="1:4">
      <c r="A9491" s="3"/>
      <c r="D9491" s="3"/>
    </row>
    <row r="9492" spans="1:4">
      <c r="A9492" s="3"/>
      <c r="D9492" s="3"/>
    </row>
    <row r="9493" spans="1:4">
      <c r="A9493" s="3"/>
      <c r="D9493" s="3"/>
    </row>
    <row r="9494" spans="1:4">
      <c r="A9494" s="3"/>
      <c r="D9494" s="3"/>
    </row>
    <row r="9495" spans="1:4">
      <c r="A9495" s="3"/>
      <c r="D9495" s="3"/>
    </row>
    <row r="9496" spans="1:4">
      <c r="A9496" s="3"/>
      <c r="D9496" s="3"/>
    </row>
    <row r="9497" spans="1:4">
      <c r="A9497" s="3"/>
      <c r="D9497" s="3"/>
    </row>
    <row r="9498" spans="1:4">
      <c r="A9498" s="3"/>
      <c r="D9498" s="3"/>
    </row>
    <row r="9499" spans="1:4">
      <c r="A9499" s="3"/>
      <c r="D9499" s="3"/>
    </row>
    <row r="9500" spans="1:4">
      <c r="A9500" s="3"/>
      <c r="D9500" s="3"/>
    </row>
    <row r="9501" spans="1:4">
      <c r="A9501" s="3"/>
      <c r="D9501" s="3"/>
    </row>
    <row r="9502" spans="1:4">
      <c r="A9502" s="3"/>
      <c r="D9502" s="3"/>
    </row>
    <row r="9503" spans="1:4">
      <c r="A9503" s="3"/>
      <c r="D9503" s="3"/>
    </row>
    <row r="9504" spans="1:4">
      <c r="A9504" s="3"/>
      <c r="D9504" s="3"/>
    </row>
    <row r="9505" spans="1:4">
      <c r="A9505" s="3"/>
      <c r="D9505" s="3"/>
    </row>
    <row r="9506" spans="1:4">
      <c r="A9506" s="3"/>
      <c r="D9506" s="3"/>
    </row>
    <row r="9507" spans="1:4">
      <c r="A9507" s="3"/>
      <c r="D9507" s="3"/>
    </row>
    <row r="9508" spans="1:4">
      <c r="A9508" s="3"/>
      <c r="D9508" s="3"/>
    </row>
    <row r="9509" spans="1:4">
      <c r="A9509" s="3"/>
      <c r="D9509" s="3"/>
    </row>
    <row r="9510" spans="1:4">
      <c r="A9510" s="3"/>
      <c r="D9510" s="3"/>
    </row>
    <row r="9511" spans="1:4">
      <c r="A9511" s="3"/>
      <c r="D9511" s="3"/>
    </row>
    <row r="9512" spans="1:4">
      <c r="A9512" s="3"/>
      <c r="D9512" s="3"/>
    </row>
    <row r="9513" spans="1:4">
      <c r="A9513" s="3"/>
      <c r="D9513" s="3"/>
    </row>
    <row r="9514" spans="1:4">
      <c r="A9514" s="3"/>
      <c r="D9514" s="3"/>
    </row>
    <row r="9515" spans="1:4">
      <c r="A9515" s="3"/>
      <c r="D9515" s="3"/>
    </row>
    <row r="9516" spans="1:4">
      <c r="A9516" s="3"/>
      <c r="D9516" s="3"/>
    </row>
    <row r="9517" spans="1:4">
      <c r="A9517" s="3"/>
      <c r="D9517" s="3"/>
    </row>
    <row r="9518" spans="1:4">
      <c r="A9518" s="3"/>
      <c r="D9518" s="3"/>
    </row>
    <row r="9519" spans="1:4">
      <c r="A9519" s="3"/>
      <c r="D9519" s="3"/>
    </row>
    <row r="9520" spans="1:4">
      <c r="A9520" s="3"/>
      <c r="D9520" s="3"/>
    </row>
    <row r="9521" spans="1:4">
      <c r="A9521" s="3"/>
      <c r="D9521" s="3"/>
    </row>
    <row r="9522" spans="1:4">
      <c r="A9522" s="3"/>
      <c r="D9522" s="3"/>
    </row>
    <row r="9523" spans="1:4">
      <c r="A9523" s="3"/>
      <c r="D9523" s="3"/>
    </row>
    <row r="9524" spans="1:4">
      <c r="A9524" s="3"/>
      <c r="D9524" s="3"/>
    </row>
    <row r="9525" spans="1:4">
      <c r="A9525" s="3"/>
      <c r="D9525" s="3"/>
    </row>
    <row r="9526" spans="1:4">
      <c r="A9526" s="3"/>
      <c r="D9526" s="3"/>
    </row>
    <row r="9527" spans="1:4">
      <c r="A9527" s="3"/>
      <c r="D9527" s="3"/>
    </row>
    <row r="9528" spans="1:4">
      <c r="A9528" s="3"/>
      <c r="D9528" s="3"/>
    </row>
    <row r="9529" spans="1:4">
      <c r="A9529" s="3"/>
      <c r="D9529" s="3"/>
    </row>
    <row r="9530" spans="1:4">
      <c r="A9530" s="3"/>
      <c r="D9530" s="3"/>
    </row>
    <row r="9531" spans="1:4">
      <c r="A9531" s="3"/>
      <c r="D9531" s="3"/>
    </row>
    <row r="9532" spans="1:4">
      <c r="A9532" s="3"/>
      <c r="D9532" s="3"/>
    </row>
    <row r="9533" spans="1:4">
      <c r="A9533" s="3"/>
      <c r="D9533" s="3"/>
    </row>
    <row r="9534" spans="1:4">
      <c r="A9534" s="3"/>
      <c r="D9534" s="3"/>
    </row>
    <row r="9535" spans="1:4">
      <c r="A9535" s="3"/>
      <c r="D9535" s="3"/>
    </row>
    <row r="9536" spans="1:4">
      <c r="A9536" s="3"/>
      <c r="D9536" s="3"/>
    </row>
    <row r="9537" spans="1:4">
      <c r="A9537" s="3"/>
      <c r="D9537" s="3"/>
    </row>
    <row r="9538" spans="1:4">
      <c r="A9538" s="3"/>
      <c r="D9538" s="3"/>
    </row>
    <row r="9539" spans="1:4">
      <c r="A9539" s="3"/>
      <c r="D9539" s="3"/>
    </row>
    <row r="9540" spans="1:4">
      <c r="A9540" s="3"/>
      <c r="D9540" s="3"/>
    </row>
    <row r="9541" spans="1:4">
      <c r="A9541" s="3"/>
      <c r="D9541" s="3"/>
    </row>
    <row r="9542" spans="1:4">
      <c r="A9542" s="3"/>
      <c r="D9542" s="3"/>
    </row>
    <row r="9543" spans="1:4">
      <c r="A9543" s="3"/>
      <c r="D9543" s="3"/>
    </row>
    <row r="9544" spans="1:4">
      <c r="A9544" s="3"/>
      <c r="D9544" s="3"/>
    </row>
    <row r="9545" spans="1:4">
      <c r="A9545" s="3"/>
      <c r="D9545" s="3"/>
    </row>
    <row r="9546" spans="1:4">
      <c r="A9546" s="3"/>
      <c r="D9546" s="3"/>
    </row>
    <row r="9547" spans="1:4">
      <c r="A9547" s="3"/>
      <c r="D9547" s="3"/>
    </row>
    <row r="9548" spans="1:4">
      <c r="A9548" s="3"/>
      <c r="D9548" s="3"/>
    </row>
    <row r="9549" spans="1:4">
      <c r="A9549" s="3"/>
      <c r="D9549" s="3"/>
    </row>
    <row r="9550" spans="1:4">
      <c r="A9550" s="3"/>
      <c r="D9550" s="3"/>
    </row>
    <row r="9551" spans="1:4">
      <c r="A9551" s="3"/>
      <c r="D9551" s="3"/>
    </row>
    <row r="9552" spans="1:4">
      <c r="A9552" s="3"/>
      <c r="D9552" s="3"/>
    </row>
    <row r="9553" spans="1:4">
      <c r="A9553" s="3"/>
      <c r="D9553" s="3"/>
    </row>
    <row r="9554" spans="1:4">
      <c r="A9554" s="3"/>
      <c r="D9554" s="3"/>
    </row>
    <row r="9555" spans="1:4">
      <c r="A9555" s="3"/>
      <c r="D9555" s="3"/>
    </row>
    <row r="9556" spans="1:4">
      <c r="A9556" s="3"/>
      <c r="D9556" s="3"/>
    </row>
    <row r="9557" spans="1:4">
      <c r="A9557" s="3"/>
      <c r="D9557" s="3"/>
    </row>
    <row r="9558" spans="1:4">
      <c r="A9558" s="3"/>
      <c r="D9558" s="3"/>
    </row>
    <row r="9559" spans="1:4">
      <c r="A9559" s="3"/>
      <c r="D9559" s="3"/>
    </row>
    <row r="9560" spans="1:4">
      <c r="A9560" s="3"/>
      <c r="D9560" s="3"/>
    </row>
    <row r="9561" spans="1:4">
      <c r="A9561" s="3"/>
      <c r="D9561" s="3"/>
    </row>
    <row r="9562" spans="1:4">
      <c r="A9562" s="3"/>
      <c r="D9562" s="3"/>
    </row>
    <row r="9563" spans="1:4">
      <c r="A9563" s="3"/>
      <c r="D9563" s="3"/>
    </row>
    <row r="9564" spans="1:4">
      <c r="A9564" s="3"/>
      <c r="D9564" s="3"/>
    </row>
    <row r="9565" spans="1:4">
      <c r="A9565" s="3"/>
      <c r="D9565" s="3"/>
    </row>
    <row r="9566" spans="1:4">
      <c r="A9566" s="3"/>
      <c r="D9566" s="3"/>
    </row>
    <row r="9567" spans="1:4">
      <c r="A9567" s="3"/>
      <c r="D9567" s="3"/>
    </row>
    <row r="9568" spans="1:4">
      <c r="A9568" s="3"/>
      <c r="D9568" s="3"/>
    </row>
    <row r="9569" spans="1:4">
      <c r="A9569" s="3"/>
      <c r="D9569" s="3"/>
    </row>
    <row r="9570" spans="1:4">
      <c r="A9570" s="3"/>
      <c r="D9570" s="3"/>
    </row>
    <row r="9571" spans="1:4">
      <c r="A9571" s="3"/>
      <c r="D9571" s="3"/>
    </row>
    <row r="9572" spans="1:4">
      <c r="A9572" s="3"/>
      <c r="D9572" s="3"/>
    </row>
    <row r="9573" spans="1:4">
      <c r="A9573" s="3"/>
      <c r="D9573" s="3"/>
    </row>
    <row r="9574" spans="1:4">
      <c r="A9574" s="3"/>
      <c r="D9574" s="3"/>
    </row>
    <row r="9575" spans="1:4">
      <c r="A9575" s="3"/>
      <c r="D9575" s="3"/>
    </row>
    <row r="9576" spans="1:4">
      <c r="A9576" s="3"/>
      <c r="D9576" s="3"/>
    </row>
    <row r="9577" spans="1:4">
      <c r="A9577" s="3"/>
      <c r="D9577" s="3"/>
    </row>
    <row r="9578" spans="1:4">
      <c r="A9578" s="3"/>
      <c r="D9578" s="3"/>
    </row>
    <row r="9579" spans="1:4">
      <c r="A9579" s="3"/>
      <c r="D9579" s="3"/>
    </row>
    <row r="9580" spans="1:4">
      <c r="A9580" s="3"/>
      <c r="D9580" s="3"/>
    </row>
    <row r="9581" spans="1:4">
      <c r="A9581" s="3"/>
      <c r="D9581" s="3"/>
    </row>
    <row r="9582" spans="1:4">
      <c r="A9582" s="3"/>
      <c r="D9582" s="3"/>
    </row>
    <row r="9583" spans="1:4">
      <c r="A9583" s="3"/>
      <c r="D9583" s="3"/>
    </row>
    <row r="9584" spans="1:4">
      <c r="A9584" s="3"/>
      <c r="D9584" s="3"/>
    </row>
    <row r="9585" spans="1:4">
      <c r="A9585" s="3"/>
      <c r="D9585" s="3"/>
    </row>
    <row r="9586" spans="1:4">
      <c r="A9586" s="3"/>
      <c r="D9586" s="3"/>
    </row>
    <row r="9587" spans="1:4">
      <c r="A9587" s="3"/>
      <c r="D9587" s="3"/>
    </row>
    <row r="9588" spans="1:4">
      <c r="A9588" s="3"/>
      <c r="D9588" s="3"/>
    </row>
    <row r="9589" spans="1:4">
      <c r="A9589" s="3"/>
      <c r="D9589" s="3"/>
    </row>
    <row r="9590" spans="1:4">
      <c r="A9590" s="3"/>
      <c r="D9590" s="3"/>
    </row>
    <row r="9591" spans="1:4">
      <c r="A9591" s="3"/>
      <c r="D9591" s="3"/>
    </row>
    <row r="9592" spans="1:4">
      <c r="A9592" s="3"/>
      <c r="D9592" s="3"/>
    </row>
    <row r="9593" spans="1:4">
      <c r="A9593" s="3"/>
      <c r="D9593" s="3"/>
    </row>
    <row r="9594" spans="1:4">
      <c r="A9594" s="3"/>
      <c r="D9594" s="3"/>
    </row>
    <row r="9595" spans="1:4">
      <c r="A9595" s="3"/>
      <c r="D9595" s="3"/>
    </row>
    <row r="9596" spans="1:4">
      <c r="A9596" s="3"/>
      <c r="D9596" s="3"/>
    </row>
    <row r="9597" spans="1:4">
      <c r="A9597" s="3"/>
      <c r="D9597" s="3"/>
    </row>
    <row r="9598" spans="1:4">
      <c r="A9598" s="3"/>
      <c r="D9598" s="3"/>
    </row>
    <row r="9599" spans="1:4">
      <c r="A9599" s="3"/>
      <c r="D9599" s="3"/>
    </row>
    <row r="9600" spans="1:4">
      <c r="A9600" s="3"/>
      <c r="D9600" s="3"/>
    </row>
    <row r="9601" spans="1:4">
      <c r="A9601" s="3"/>
      <c r="D9601" s="3"/>
    </row>
    <row r="9602" spans="1:4">
      <c r="A9602" s="3"/>
      <c r="D9602" s="3"/>
    </row>
    <row r="9603" spans="1:4">
      <c r="A9603" s="3"/>
      <c r="D9603" s="3"/>
    </row>
    <row r="9604" spans="1:4">
      <c r="A9604" s="3"/>
      <c r="D9604" s="3"/>
    </row>
    <row r="9605" spans="1:4">
      <c r="A9605" s="3"/>
      <c r="D9605" s="3"/>
    </row>
    <row r="9606" spans="1:4">
      <c r="A9606" s="3"/>
      <c r="D9606" s="3"/>
    </row>
    <row r="9607" spans="1:4">
      <c r="A9607" s="3"/>
      <c r="D9607" s="3"/>
    </row>
    <row r="9608" spans="1:4">
      <c r="A9608" s="3"/>
      <c r="D9608" s="3"/>
    </row>
    <row r="9609" spans="1:4">
      <c r="A9609" s="3"/>
      <c r="D9609" s="3"/>
    </row>
    <row r="9610" spans="1:4">
      <c r="A9610" s="3"/>
      <c r="D9610" s="3"/>
    </row>
    <row r="9611" spans="1:4">
      <c r="A9611" s="3"/>
      <c r="D9611" s="3"/>
    </row>
    <row r="9612" spans="1:4">
      <c r="A9612" s="3"/>
      <c r="D9612" s="3"/>
    </row>
    <row r="9613" spans="1:4">
      <c r="A9613" s="3"/>
      <c r="D9613" s="3"/>
    </row>
    <row r="9614" spans="1:4">
      <c r="A9614" s="3"/>
      <c r="D9614" s="3"/>
    </row>
    <row r="9615" spans="1:4">
      <c r="A9615" s="3"/>
      <c r="D9615" s="3"/>
    </row>
    <row r="9616" spans="1:4">
      <c r="A9616" s="3"/>
      <c r="D9616" s="3"/>
    </row>
    <row r="9617" spans="1:4">
      <c r="A9617" s="3"/>
      <c r="D9617" s="3"/>
    </row>
    <row r="9618" spans="1:4">
      <c r="A9618" s="3"/>
      <c r="D9618" s="3"/>
    </row>
    <row r="9619" spans="1:4">
      <c r="A9619" s="3"/>
      <c r="D9619" s="3"/>
    </row>
    <row r="9620" spans="1:4">
      <c r="A9620" s="3"/>
      <c r="D9620" s="3"/>
    </row>
    <row r="9621" spans="1:4">
      <c r="A9621" s="3"/>
      <c r="D9621" s="3"/>
    </row>
    <row r="9622" spans="1:4">
      <c r="A9622" s="3"/>
      <c r="D9622" s="3"/>
    </row>
    <row r="9623" spans="1:4">
      <c r="A9623" s="3"/>
      <c r="D9623" s="3"/>
    </row>
    <row r="9624" spans="1:4">
      <c r="A9624" s="3"/>
      <c r="D9624" s="3"/>
    </row>
    <row r="9625" spans="1:4">
      <c r="A9625" s="3"/>
      <c r="D9625" s="3"/>
    </row>
    <row r="9626" spans="1:4">
      <c r="A9626" s="3"/>
      <c r="D9626" s="3"/>
    </row>
    <row r="9627" spans="1:4">
      <c r="A9627" s="3"/>
      <c r="D9627" s="3"/>
    </row>
    <row r="9628" spans="1:4">
      <c r="A9628" s="3"/>
      <c r="D9628" s="3"/>
    </row>
    <row r="9629" spans="1:4">
      <c r="A9629" s="3"/>
      <c r="D9629" s="3"/>
    </row>
    <row r="9630" spans="1:4">
      <c r="A9630" s="3"/>
      <c r="D9630" s="3"/>
    </row>
    <row r="9631" spans="1:4">
      <c r="A9631" s="3"/>
      <c r="D9631" s="3"/>
    </row>
    <row r="9632" spans="1:4">
      <c r="A9632" s="3"/>
      <c r="D9632" s="3"/>
    </row>
    <row r="9633" spans="1:4">
      <c r="A9633" s="3"/>
      <c r="D9633" s="3"/>
    </row>
    <row r="9634" spans="1:4">
      <c r="A9634" s="3"/>
      <c r="D9634" s="3"/>
    </row>
    <row r="9635" spans="1:4">
      <c r="A9635" s="3"/>
      <c r="D9635" s="3"/>
    </row>
    <row r="9636" spans="1:4">
      <c r="A9636" s="3"/>
      <c r="D9636" s="3"/>
    </row>
    <row r="9637" spans="1:4">
      <c r="A9637" s="3"/>
      <c r="D9637" s="3"/>
    </row>
    <row r="9638" spans="1:4">
      <c r="A9638" s="3"/>
      <c r="D9638" s="3"/>
    </row>
    <row r="9639" spans="1:4">
      <c r="A9639" s="3"/>
      <c r="D9639" s="3"/>
    </row>
    <row r="9640" spans="1:4">
      <c r="A9640" s="3"/>
      <c r="D9640" s="3"/>
    </row>
    <row r="9641" spans="1:4">
      <c r="A9641" s="3"/>
      <c r="D9641" s="3"/>
    </row>
    <row r="9642" spans="1:4">
      <c r="A9642" s="3"/>
      <c r="D9642" s="3"/>
    </row>
    <row r="9643" spans="1:4">
      <c r="A9643" s="3"/>
      <c r="D9643" s="3"/>
    </row>
    <row r="9644" spans="1:4">
      <c r="A9644" s="3"/>
      <c r="D9644" s="3"/>
    </row>
    <row r="9645" spans="1:4">
      <c r="A9645" s="3"/>
      <c r="D9645" s="3"/>
    </row>
    <row r="9646" spans="1:4">
      <c r="A9646" s="3"/>
      <c r="D9646" s="3"/>
    </row>
    <row r="9647" spans="1:4">
      <c r="A9647" s="3"/>
      <c r="D9647" s="3"/>
    </row>
    <row r="9648" spans="1:4">
      <c r="A9648" s="3"/>
      <c r="D9648" s="3"/>
    </row>
    <row r="9649" spans="1:4">
      <c r="A9649" s="3"/>
      <c r="D9649" s="3"/>
    </row>
    <row r="9650" spans="1:4">
      <c r="A9650" s="3"/>
      <c r="D9650" s="3"/>
    </row>
    <row r="9651" spans="1:4">
      <c r="A9651" s="3"/>
      <c r="D9651" s="3"/>
    </row>
    <row r="9652" spans="1:4">
      <c r="A9652" s="3"/>
      <c r="D9652" s="3"/>
    </row>
    <row r="9653" spans="1:4">
      <c r="A9653" s="3"/>
      <c r="D9653" s="3"/>
    </row>
    <row r="9654" spans="1:4">
      <c r="A9654" s="3"/>
      <c r="D9654" s="3"/>
    </row>
    <row r="9655" spans="1:4">
      <c r="A9655" s="3"/>
      <c r="D9655" s="3"/>
    </row>
    <row r="9656" spans="1:4">
      <c r="A9656" s="3"/>
      <c r="D9656" s="3"/>
    </row>
    <row r="9657" spans="1:4">
      <c r="A9657" s="3"/>
      <c r="D9657" s="3"/>
    </row>
    <row r="9658" spans="1:4">
      <c r="A9658" s="3"/>
      <c r="D9658" s="3"/>
    </row>
    <row r="9659" spans="1:4">
      <c r="A9659" s="3"/>
      <c r="D9659" s="3"/>
    </row>
    <row r="9660" spans="1:4">
      <c r="A9660" s="3"/>
      <c r="D9660" s="3"/>
    </row>
    <row r="9661" spans="1:4">
      <c r="A9661" s="3"/>
      <c r="D9661" s="3"/>
    </row>
    <row r="9662" spans="1:4">
      <c r="A9662" s="3"/>
      <c r="D9662" s="3"/>
    </row>
    <row r="9663" spans="1:4">
      <c r="A9663" s="3"/>
      <c r="D9663" s="3"/>
    </row>
    <row r="9664" spans="1:4">
      <c r="A9664" s="3"/>
      <c r="D9664" s="3"/>
    </row>
    <row r="9665" spans="1:4">
      <c r="A9665" s="3"/>
      <c r="D9665" s="3"/>
    </row>
    <row r="9666" spans="1:4">
      <c r="A9666" s="3"/>
      <c r="D9666" s="3"/>
    </row>
    <row r="9667" spans="1:4">
      <c r="A9667" s="3"/>
      <c r="D9667" s="3"/>
    </row>
    <row r="9668" spans="1:4">
      <c r="A9668" s="3"/>
      <c r="D9668" s="3"/>
    </row>
    <row r="9669" spans="1:4">
      <c r="A9669" s="3"/>
      <c r="D9669" s="3"/>
    </row>
    <row r="9670" spans="1:4">
      <c r="A9670" s="3"/>
      <c r="D9670" s="3"/>
    </row>
    <row r="9671" spans="1:4">
      <c r="A9671" s="3"/>
      <c r="D9671" s="3"/>
    </row>
    <row r="9672" spans="1:4">
      <c r="A9672" s="3"/>
      <c r="D9672" s="3"/>
    </row>
    <row r="9673" spans="1:4">
      <c r="A9673" s="3"/>
      <c r="D9673" s="3"/>
    </row>
    <row r="9674" spans="1:4">
      <c r="A9674" s="3"/>
      <c r="D9674" s="3"/>
    </row>
    <row r="9675" spans="1:4">
      <c r="A9675" s="3"/>
      <c r="D9675" s="3"/>
    </row>
    <row r="9676" spans="1:4">
      <c r="A9676" s="3"/>
      <c r="D9676" s="3"/>
    </row>
    <row r="9677" spans="1:4">
      <c r="A9677" s="3"/>
      <c r="D9677" s="3"/>
    </row>
    <row r="9678" spans="1:4">
      <c r="A9678" s="3"/>
      <c r="D9678" s="3"/>
    </row>
    <row r="9679" spans="1:4">
      <c r="A9679" s="3"/>
      <c r="D9679" s="3"/>
    </row>
    <row r="9680" spans="1:4">
      <c r="A9680" s="3"/>
      <c r="D9680" s="3"/>
    </row>
    <row r="9681" spans="1:4">
      <c r="A9681" s="3"/>
      <c r="D9681" s="3"/>
    </row>
    <row r="9682" spans="1:4">
      <c r="A9682" s="3"/>
      <c r="D9682" s="3"/>
    </row>
    <row r="9683" spans="1:4">
      <c r="A9683" s="3"/>
      <c r="D9683" s="3"/>
    </row>
    <row r="9684" spans="1:4">
      <c r="A9684" s="3"/>
      <c r="D9684" s="3"/>
    </row>
    <row r="9685" spans="1:4">
      <c r="A9685" s="3"/>
      <c r="D9685" s="3"/>
    </row>
    <row r="9686" spans="1:4">
      <c r="A9686" s="3"/>
      <c r="D9686" s="3"/>
    </row>
    <row r="9687" spans="1:4">
      <c r="A9687" s="3"/>
      <c r="D9687" s="3"/>
    </row>
    <row r="9688" spans="1:4">
      <c r="A9688" s="3"/>
      <c r="D9688" s="3"/>
    </row>
    <row r="9689" spans="1:4">
      <c r="A9689" s="3"/>
      <c r="D9689" s="3"/>
    </row>
    <row r="9690" spans="1:4">
      <c r="A9690" s="3"/>
      <c r="D9690" s="3"/>
    </row>
    <row r="9691" spans="1:4">
      <c r="A9691" s="3"/>
      <c r="D9691" s="3"/>
    </row>
    <row r="9692" spans="1:4">
      <c r="A9692" s="3"/>
      <c r="D9692" s="3"/>
    </row>
    <row r="9693" spans="1:4">
      <c r="A9693" s="3"/>
      <c r="D9693" s="3"/>
    </row>
    <row r="9694" spans="1:4">
      <c r="A9694" s="3"/>
      <c r="D9694" s="3"/>
    </row>
    <row r="9695" spans="1:4">
      <c r="A9695" s="3"/>
      <c r="D9695" s="3"/>
    </row>
    <row r="9696" spans="1:4">
      <c r="A9696" s="3"/>
      <c r="D9696" s="3"/>
    </row>
    <row r="9697" spans="1:4">
      <c r="A9697" s="3"/>
      <c r="D9697" s="3"/>
    </row>
    <row r="9698" spans="1:4">
      <c r="A9698" s="3"/>
      <c r="D9698" s="3"/>
    </row>
    <row r="9699" spans="1:4">
      <c r="A9699" s="3"/>
      <c r="D9699" s="3"/>
    </row>
    <row r="9700" spans="1:4">
      <c r="A9700" s="3"/>
      <c r="D9700" s="3"/>
    </row>
    <row r="9701" spans="1:4">
      <c r="A9701" s="3"/>
      <c r="D9701" s="3"/>
    </row>
    <row r="9702" spans="1:4">
      <c r="A9702" s="3"/>
      <c r="D9702" s="3"/>
    </row>
    <row r="9703" spans="1:4">
      <c r="A9703" s="3"/>
      <c r="D9703" s="3"/>
    </row>
    <row r="9704" spans="1:4">
      <c r="A9704" s="3"/>
      <c r="D9704" s="3"/>
    </row>
    <row r="9705" spans="1:4">
      <c r="A9705" s="3"/>
      <c r="D9705" s="3"/>
    </row>
    <row r="9706" spans="1:4">
      <c r="A9706" s="3"/>
      <c r="D9706" s="3"/>
    </row>
    <row r="9707" spans="1:4">
      <c r="A9707" s="3"/>
      <c r="D9707" s="3"/>
    </row>
    <row r="9708" spans="1:4">
      <c r="A9708" s="3"/>
      <c r="D9708" s="3"/>
    </row>
    <row r="9709" spans="1:4">
      <c r="A9709" s="3"/>
      <c r="D9709" s="3"/>
    </row>
    <row r="9710" spans="1:4">
      <c r="A9710" s="3"/>
      <c r="D9710" s="3"/>
    </row>
    <row r="9711" spans="1:4">
      <c r="A9711" s="3"/>
      <c r="D9711" s="3"/>
    </row>
    <row r="9712" spans="1:4">
      <c r="A9712" s="3"/>
      <c r="D9712" s="3"/>
    </row>
    <row r="9713" spans="1:4">
      <c r="A9713" s="3"/>
      <c r="D9713" s="3"/>
    </row>
    <row r="9714" spans="1:4">
      <c r="A9714" s="3"/>
      <c r="D9714" s="3"/>
    </row>
    <row r="9715" spans="1:4">
      <c r="A9715" s="3"/>
      <c r="D9715" s="3"/>
    </row>
    <row r="9716" spans="1:4">
      <c r="A9716" s="3"/>
      <c r="D9716" s="3"/>
    </row>
    <row r="9717" spans="1:4">
      <c r="A9717" s="3"/>
      <c r="D9717" s="3"/>
    </row>
    <row r="9718" spans="1:4">
      <c r="A9718" s="3"/>
      <c r="D9718" s="3"/>
    </row>
    <row r="9719" spans="1:4">
      <c r="A9719" s="3"/>
      <c r="D9719" s="3"/>
    </row>
    <row r="9720" spans="1:4">
      <c r="A9720" s="3"/>
      <c r="D9720" s="3"/>
    </row>
    <row r="9721" spans="1:4">
      <c r="A9721" s="3"/>
      <c r="D9721" s="3"/>
    </row>
    <row r="9722" spans="1:4">
      <c r="A9722" s="3"/>
      <c r="D9722" s="3"/>
    </row>
    <row r="9723" spans="1:4">
      <c r="A9723" s="3"/>
      <c r="D9723" s="3"/>
    </row>
    <row r="9724" spans="1:4">
      <c r="A9724" s="3"/>
      <c r="D9724" s="3"/>
    </row>
    <row r="9725" spans="1:4">
      <c r="A9725" s="3"/>
      <c r="D9725" s="3"/>
    </row>
    <row r="9726" spans="1:4">
      <c r="A9726" s="3"/>
      <c r="D9726" s="3"/>
    </row>
    <row r="9727" spans="1:4">
      <c r="A9727" s="3"/>
      <c r="D9727" s="3"/>
    </row>
    <row r="9728" spans="1:4">
      <c r="A9728" s="3"/>
      <c r="D9728" s="3"/>
    </row>
    <row r="9729" spans="1:4">
      <c r="A9729" s="3"/>
      <c r="D9729" s="3"/>
    </row>
    <row r="9730" spans="1:4">
      <c r="A9730" s="3"/>
      <c r="D9730" s="3"/>
    </row>
    <row r="9731" spans="1:4">
      <c r="A9731" s="3"/>
      <c r="D9731" s="3"/>
    </row>
    <row r="9732" spans="1:4">
      <c r="A9732" s="3"/>
      <c r="D9732" s="3"/>
    </row>
    <row r="9733" spans="1:4">
      <c r="A9733" s="3"/>
      <c r="D9733" s="3"/>
    </row>
    <row r="9734" spans="1:4">
      <c r="A9734" s="3"/>
      <c r="D9734" s="3"/>
    </row>
    <row r="9735" spans="1:4">
      <c r="A9735" s="3"/>
      <c r="D9735" s="3"/>
    </row>
    <row r="9736" spans="1:4">
      <c r="A9736" s="3"/>
      <c r="D9736" s="3"/>
    </row>
    <row r="9737" spans="1:4">
      <c r="A9737" s="3"/>
      <c r="D9737" s="3"/>
    </row>
    <row r="9738" spans="1:4">
      <c r="A9738" s="3"/>
      <c r="D9738" s="3"/>
    </row>
    <row r="9739" spans="1:4">
      <c r="A9739" s="3"/>
      <c r="D9739" s="3"/>
    </row>
    <row r="9740" spans="1:4">
      <c r="A9740" s="3"/>
      <c r="D9740" s="3"/>
    </row>
    <row r="9741" spans="1:4">
      <c r="A9741" s="3"/>
      <c r="D9741" s="3"/>
    </row>
    <row r="9742" spans="1:4">
      <c r="A9742" s="3"/>
      <c r="D9742" s="3"/>
    </row>
    <row r="9743" spans="1:4">
      <c r="A9743" s="3"/>
      <c r="D9743" s="3"/>
    </row>
    <row r="9744" spans="1:4">
      <c r="A9744" s="3"/>
      <c r="D9744" s="3"/>
    </row>
    <row r="9745" spans="1:4">
      <c r="A9745" s="3"/>
      <c r="D9745" s="3"/>
    </row>
    <row r="9746" spans="1:4">
      <c r="A9746" s="3"/>
      <c r="D9746" s="3"/>
    </row>
    <row r="9747" spans="1:4">
      <c r="A9747" s="3"/>
      <c r="D9747" s="3"/>
    </row>
    <row r="9748" spans="1:4">
      <c r="A9748" s="3"/>
      <c r="D9748" s="3"/>
    </row>
    <row r="9749" spans="1:4">
      <c r="A9749" s="3"/>
      <c r="D9749" s="3"/>
    </row>
    <row r="9750" spans="1:4">
      <c r="A9750" s="3"/>
      <c r="D9750" s="3"/>
    </row>
    <row r="9751" spans="1:4">
      <c r="A9751" s="3"/>
      <c r="D9751" s="3"/>
    </row>
    <row r="9752" spans="1:4">
      <c r="A9752" s="3"/>
      <c r="D9752" s="3"/>
    </row>
    <row r="9753" spans="1:4">
      <c r="A9753" s="3"/>
      <c r="D9753" s="3"/>
    </row>
    <row r="9754" spans="1:4">
      <c r="A9754" s="3"/>
      <c r="D9754" s="3"/>
    </row>
    <row r="9755" spans="1:4">
      <c r="A9755" s="3"/>
      <c r="D9755" s="3"/>
    </row>
    <row r="9756" spans="1:4">
      <c r="A9756" s="3"/>
      <c r="D9756" s="3"/>
    </row>
    <row r="9757" spans="1:4">
      <c r="A9757" s="3"/>
      <c r="D9757" s="3"/>
    </row>
    <row r="9758" spans="1:4">
      <c r="A9758" s="3"/>
      <c r="D9758" s="3"/>
    </row>
    <row r="9759" spans="1:4">
      <c r="A9759" s="3"/>
      <c r="D9759" s="3"/>
    </row>
    <row r="9760" spans="1:4">
      <c r="A9760" s="3"/>
      <c r="D9760" s="3"/>
    </row>
    <row r="9761" spans="1:4">
      <c r="A9761" s="3"/>
      <c r="D9761" s="3"/>
    </row>
    <row r="9762" spans="1:4">
      <c r="A9762" s="3"/>
      <c r="D9762" s="3"/>
    </row>
    <row r="9763" spans="1:4">
      <c r="A9763" s="3"/>
      <c r="D9763" s="3"/>
    </row>
    <row r="9764" spans="1:4">
      <c r="A9764" s="3"/>
      <c r="D9764" s="3"/>
    </row>
    <row r="9765" spans="1:4">
      <c r="A9765" s="3"/>
      <c r="D9765" s="3"/>
    </row>
    <row r="9766" spans="1:4">
      <c r="A9766" s="3"/>
      <c r="D9766" s="3"/>
    </row>
    <row r="9767" spans="1:4">
      <c r="A9767" s="3"/>
      <c r="D9767" s="3"/>
    </row>
    <row r="9768" spans="1:4">
      <c r="A9768" s="3"/>
      <c r="D9768" s="3"/>
    </row>
    <row r="9769" spans="1:4">
      <c r="A9769" s="3"/>
      <c r="D9769" s="3"/>
    </row>
    <row r="9770" spans="1:4">
      <c r="A9770" s="3"/>
      <c r="D9770" s="3"/>
    </row>
    <row r="9771" spans="1:4">
      <c r="A9771" s="3"/>
      <c r="D9771" s="3"/>
    </row>
    <row r="9772" spans="1:4">
      <c r="A9772" s="3"/>
      <c r="D9772" s="3"/>
    </row>
    <row r="9773" spans="1:4">
      <c r="A9773" s="3"/>
      <c r="D9773" s="3"/>
    </row>
    <row r="9774" spans="1:4">
      <c r="A9774" s="3"/>
      <c r="D9774" s="3"/>
    </row>
    <row r="9775" spans="1:4">
      <c r="A9775" s="3"/>
      <c r="D9775" s="3"/>
    </row>
    <row r="9776" spans="1:4">
      <c r="A9776" s="3"/>
      <c r="D9776" s="3"/>
    </row>
    <row r="9777" spans="1:4">
      <c r="A9777" s="3"/>
      <c r="D9777" s="3"/>
    </row>
    <row r="9778" spans="1:4">
      <c r="A9778" s="3"/>
      <c r="D9778" s="3"/>
    </row>
    <row r="9779" spans="1:4">
      <c r="A9779" s="3"/>
      <c r="D9779" s="3"/>
    </row>
    <row r="9780" spans="1:4">
      <c r="A9780" s="3"/>
      <c r="D9780" s="3"/>
    </row>
    <row r="9781" spans="1:4">
      <c r="A9781" s="3"/>
      <c r="D9781" s="3"/>
    </row>
    <row r="9782" spans="1:4">
      <c r="A9782" s="3"/>
      <c r="D9782" s="3"/>
    </row>
    <row r="9783" spans="1:4">
      <c r="A9783" s="3"/>
      <c r="D9783" s="3"/>
    </row>
    <row r="9784" spans="1:4">
      <c r="A9784" s="3"/>
      <c r="D9784" s="3"/>
    </row>
    <row r="9785" spans="1:4">
      <c r="A9785" s="3"/>
      <c r="D9785" s="3"/>
    </row>
    <row r="9786" spans="1:4">
      <c r="A9786" s="3"/>
      <c r="D9786" s="3"/>
    </row>
    <row r="9787" spans="1:4">
      <c r="A9787" s="3"/>
      <c r="D9787" s="3"/>
    </row>
    <row r="9788" spans="1:4">
      <c r="A9788" s="3"/>
      <c r="D9788" s="3"/>
    </row>
    <row r="9789" spans="1:4">
      <c r="A9789" s="3"/>
      <c r="D9789" s="3"/>
    </row>
    <row r="9790" spans="1:4">
      <c r="A9790" s="3"/>
      <c r="D9790" s="3"/>
    </row>
    <row r="9791" spans="1:4">
      <c r="A9791" s="3"/>
      <c r="D9791" s="3"/>
    </row>
    <row r="9792" spans="1:4">
      <c r="A9792" s="3"/>
      <c r="D9792" s="3"/>
    </row>
    <row r="9793" spans="1:4">
      <c r="A9793" s="3"/>
      <c r="D9793" s="3"/>
    </row>
    <row r="9794" spans="1:4">
      <c r="A9794" s="3"/>
      <c r="D9794" s="3"/>
    </row>
    <row r="9795" spans="1:4">
      <c r="A9795" s="3"/>
      <c r="D9795" s="3"/>
    </row>
    <row r="9796" spans="1:4">
      <c r="A9796" s="3"/>
      <c r="D9796" s="3"/>
    </row>
    <row r="9797" spans="1:4">
      <c r="A9797" s="3"/>
      <c r="D9797" s="3"/>
    </row>
    <row r="9798" spans="1:4">
      <c r="A9798" s="3"/>
      <c r="D9798" s="3"/>
    </row>
    <row r="9799" spans="1:4">
      <c r="A9799" s="3"/>
      <c r="D9799" s="3"/>
    </row>
    <row r="9800" spans="1:4">
      <c r="A9800" s="3"/>
      <c r="D9800" s="3"/>
    </row>
    <row r="9801" spans="1:4">
      <c r="A9801" s="3"/>
      <c r="D9801" s="3"/>
    </row>
    <row r="9802" spans="1:4">
      <c r="A9802" s="3"/>
      <c r="D9802" s="3"/>
    </row>
    <row r="9803" spans="1:4">
      <c r="A9803" s="3"/>
      <c r="D9803" s="3"/>
    </row>
    <row r="9804" spans="1:4">
      <c r="A9804" s="3"/>
      <c r="D9804" s="3"/>
    </row>
    <row r="9805" spans="1:4">
      <c r="A9805" s="3"/>
      <c r="D9805" s="3"/>
    </row>
    <row r="9806" spans="1:4">
      <c r="A9806" s="3"/>
      <c r="D9806" s="3"/>
    </row>
    <row r="9807" spans="1:4">
      <c r="A9807" s="3"/>
      <c r="D9807" s="3"/>
    </row>
    <row r="9808" spans="1:4">
      <c r="A9808" s="3"/>
      <c r="D9808" s="3"/>
    </row>
    <row r="9809" spans="1:4">
      <c r="A9809" s="3"/>
      <c r="D9809" s="3"/>
    </row>
    <row r="9810" spans="1:4">
      <c r="A9810" s="3"/>
      <c r="D9810" s="3"/>
    </row>
    <row r="9811" spans="1:4">
      <c r="A9811" s="3"/>
      <c r="D9811" s="3"/>
    </row>
    <row r="9812" spans="1:4">
      <c r="A9812" s="3"/>
      <c r="D9812" s="3"/>
    </row>
    <row r="9813" spans="1:4">
      <c r="A9813" s="3"/>
      <c r="D9813" s="3"/>
    </row>
    <row r="9814" spans="1:4">
      <c r="A9814" s="3"/>
      <c r="D9814" s="3"/>
    </row>
    <row r="9815" spans="1:4">
      <c r="A9815" s="3"/>
      <c r="D9815" s="3"/>
    </row>
    <row r="9816" spans="1:4">
      <c r="A9816" s="3"/>
      <c r="D9816" s="3"/>
    </row>
    <row r="9817" spans="1:4">
      <c r="A9817" s="3"/>
      <c r="D9817" s="3"/>
    </row>
    <row r="9818" spans="1:4">
      <c r="A9818" s="3"/>
      <c r="D9818" s="3"/>
    </row>
    <row r="9819" spans="1:4">
      <c r="A9819" s="3"/>
      <c r="D9819" s="3"/>
    </row>
    <row r="9820" spans="1:4">
      <c r="A9820" s="3"/>
      <c r="D9820" s="3"/>
    </row>
    <row r="9821" spans="1:4">
      <c r="A9821" s="3"/>
      <c r="D9821" s="3"/>
    </row>
    <row r="9822" spans="1:4">
      <c r="A9822" s="3"/>
      <c r="D9822" s="3"/>
    </row>
    <row r="9823" spans="1:4">
      <c r="A9823" s="3"/>
      <c r="D9823" s="3"/>
    </row>
    <row r="9824" spans="1:4">
      <c r="A9824" s="3"/>
      <c r="D9824" s="3"/>
    </row>
    <row r="9825" spans="1:4">
      <c r="A9825" s="3"/>
      <c r="D9825" s="3"/>
    </row>
    <row r="9826" spans="1:4">
      <c r="A9826" s="3"/>
      <c r="D9826" s="3"/>
    </row>
    <row r="9827" spans="1:4">
      <c r="A9827" s="3"/>
      <c r="D9827" s="3"/>
    </row>
    <row r="9828" spans="1:4">
      <c r="A9828" s="3"/>
      <c r="D9828" s="3"/>
    </row>
    <row r="9829" spans="1:4">
      <c r="A9829" s="3"/>
      <c r="D9829" s="3"/>
    </row>
    <row r="9830" spans="1:4">
      <c r="A9830" s="3"/>
      <c r="D9830" s="3"/>
    </row>
    <row r="9831" spans="1:4">
      <c r="A9831" s="3"/>
      <c r="D9831" s="3"/>
    </row>
    <row r="9832" spans="1:4">
      <c r="A9832" s="3"/>
      <c r="D9832" s="3"/>
    </row>
    <row r="9833" spans="1:4">
      <c r="A9833" s="3"/>
      <c r="D9833" s="3"/>
    </row>
    <row r="9834" spans="1:4">
      <c r="A9834" s="3"/>
      <c r="D9834" s="3"/>
    </row>
    <row r="9835" spans="1:4">
      <c r="A9835" s="3"/>
      <c r="D9835" s="3"/>
    </row>
    <row r="9836" spans="1:4">
      <c r="A9836" s="3"/>
      <c r="D9836" s="3"/>
    </row>
    <row r="9837" spans="1:4">
      <c r="A9837" s="3"/>
      <c r="D9837" s="3"/>
    </row>
    <row r="9838" spans="1:4">
      <c r="A9838" s="3"/>
      <c r="D9838" s="3"/>
    </row>
    <row r="9839" spans="1:4">
      <c r="A9839" s="3"/>
      <c r="D9839" s="3"/>
    </row>
    <row r="9840" spans="1:4">
      <c r="A9840" s="3"/>
      <c r="D9840" s="3"/>
    </row>
    <row r="9841" spans="1:4">
      <c r="A9841" s="3"/>
      <c r="D9841" s="3"/>
    </row>
    <row r="9842" spans="1:4">
      <c r="A9842" s="3"/>
      <c r="D9842" s="3"/>
    </row>
    <row r="9843" spans="1:4">
      <c r="A9843" s="3"/>
      <c r="D9843" s="3"/>
    </row>
    <row r="9844" spans="1:4">
      <c r="A9844" s="3"/>
      <c r="D9844" s="3"/>
    </row>
    <row r="9845" spans="1:4">
      <c r="A9845" s="3"/>
      <c r="D9845" s="3"/>
    </row>
    <row r="9846" spans="1:4">
      <c r="A9846" s="3"/>
      <c r="D9846" s="3"/>
    </row>
    <row r="9847" spans="1:4">
      <c r="A9847" s="3"/>
      <c r="D9847" s="3"/>
    </row>
    <row r="9848" spans="1:4">
      <c r="A9848" s="3"/>
      <c r="D9848" s="3"/>
    </row>
    <row r="9849" spans="1:4">
      <c r="A9849" s="3"/>
      <c r="D9849" s="3"/>
    </row>
    <row r="9850" spans="1:4">
      <c r="A9850" s="3"/>
      <c r="D9850" s="3"/>
    </row>
    <row r="9851" spans="1:4">
      <c r="A9851" s="3"/>
      <c r="D9851" s="3"/>
    </row>
    <row r="9852" spans="1:4">
      <c r="A9852" s="3"/>
      <c r="D9852" s="3"/>
    </row>
    <row r="9853" spans="1:4">
      <c r="A9853" s="3"/>
      <c r="D9853" s="3"/>
    </row>
    <row r="9854" spans="1:4">
      <c r="A9854" s="3"/>
      <c r="D9854" s="3"/>
    </row>
    <row r="9855" spans="1:4">
      <c r="A9855" s="3"/>
      <c r="D9855" s="3"/>
    </row>
    <row r="9856" spans="1:4">
      <c r="A9856" s="3"/>
      <c r="D9856" s="3"/>
    </row>
    <row r="9857" spans="1:4">
      <c r="A9857" s="3"/>
      <c r="D9857" s="3"/>
    </row>
    <row r="9858" spans="1:4">
      <c r="A9858" s="3"/>
      <c r="D9858" s="3"/>
    </row>
    <row r="9859" spans="1:4">
      <c r="A9859" s="3"/>
      <c r="D9859" s="3"/>
    </row>
    <row r="9860" spans="1:4">
      <c r="A9860" s="3"/>
      <c r="D9860" s="3"/>
    </row>
    <row r="9861" spans="1:4">
      <c r="A9861" s="3"/>
      <c r="D9861" s="3"/>
    </row>
    <row r="9862" spans="1:4">
      <c r="A9862" s="3"/>
      <c r="D9862" s="3"/>
    </row>
    <row r="9863" spans="1:4">
      <c r="A9863" s="3"/>
      <c r="D9863" s="3"/>
    </row>
    <row r="9864" spans="1:4">
      <c r="A9864" s="3"/>
      <c r="D9864" s="3"/>
    </row>
    <row r="9865" spans="1:4">
      <c r="A9865" s="3"/>
      <c r="D9865" s="3"/>
    </row>
    <row r="9866" spans="1:4">
      <c r="A9866" s="3"/>
      <c r="D9866" s="3"/>
    </row>
    <row r="9867" spans="1:4">
      <c r="A9867" s="3"/>
      <c r="D9867" s="3"/>
    </row>
    <row r="9868" spans="1:4">
      <c r="A9868" s="3"/>
      <c r="D9868" s="3"/>
    </row>
    <row r="9869" spans="1:4">
      <c r="A9869" s="3"/>
      <c r="D9869" s="3"/>
    </row>
    <row r="9870" spans="1:4">
      <c r="A9870" s="3"/>
      <c r="D9870" s="3"/>
    </row>
    <row r="9871" spans="1:4">
      <c r="A9871" s="3"/>
      <c r="D9871" s="3"/>
    </row>
    <row r="9872" spans="1:4">
      <c r="A9872" s="3"/>
      <c r="D9872" s="3"/>
    </row>
    <row r="9873" spans="1:4">
      <c r="A9873" s="3"/>
      <c r="D9873" s="3"/>
    </row>
    <row r="9874" spans="1:4">
      <c r="A9874" s="3"/>
      <c r="D9874" s="3"/>
    </row>
    <row r="9875" spans="1:4">
      <c r="A9875" s="3"/>
      <c r="D9875" s="3"/>
    </row>
    <row r="9876" spans="1:4">
      <c r="A9876" s="3"/>
      <c r="D9876" s="3"/>
    </row>
    <row r="9877" spans="1:4">
      <c r="A9877" s="3"/>
      <c r="D9877" s="3"/>
    </row>
    <row r="9878" spans="1:4">
      <c r="A9878" s="3"/>
      <c r="D9878" s="3"/>
    </row>
    <row r="9879" spans="1:4">
      <c r="A9879" s="3"/>
      <c r="D9879" s="3"/>
    </row>
    <row r="9880" spans="1:4">
      <c r="A9880" s="3"/>
      <c r="D9880" s="3"/>
    </row>
    <row r="9881" spans="1:4">
      <c r="A9881" s="3"/>
      <c r="D9881" s="3"/>
    </row>
    <row r="9882" spans="1:4">
      <c r="A9882" s="3"/>
      <c r="D9882" s="3"/>
    </row>
    <row r="9883" spans="1:4">
      <c r="A9883" s="3"/>
      <c r="D9883" s="3"/>
    </row>
    <row r="9884" spans="1:4">
      <c r="A9884" s="3"/>
      <c r="D9884" s="3"/>
    </row>
    <row r="9885" spans="1:4">
      <c r="A9885" s="3"/>
      <c r="D9885" s="3"/>
    </row>
    <row r="9886" spans="1:4">
      <c r="A9886" s="3"/>
      <c r="D9886" s="3"/>
    </row>
    <row r="9887" spans="1:4">
      <c r="A9887" s="3"/>
      <c r="D9887" s="3"/>
    </row>
    <row r="9888" spans="1:4">
      <c r="A9888" s="3"/>
      <c r="D9888" s="3"/>
    </row>
    <row r="9889" spans="1:4">
      <c r="A9889" s="3"/>
      <c r="D9889" s="3"/>
    </row>
    <row r="9890" spans="1:4">
      <c r="A9890" s="3"/>
      <c r="D9890" s="3"/>
    </row>
    <row r="9891" spans="1:4">
      <c r="A9891" s="3"/>
      <c r="D9891" s="3"/>
    </row>
    <row r="9892" spans="1:4">
      <c r="A9892" s="3"/>
      <c r="D9892" s="3"/>
    </row>
    <row r="9893" spans="1:4">
      <c r="A9893" s="3"/>
      <c r="D9893" s="3"/>
    </row>
    <row r="9894" spans="1:4">
      <c r="A9894" s="3"/>
      <c r="D9894" s="3"/>
    </row>
    <row r="9895" spans="1:4">
      <c r="A9895" s="3"/>
      <c r="D9895" s="3"/>
    </row>
    <row r="9896" spans="1:4">
      <c r="A9896" s="3"/>
      <c r="D9896" s="3"/>
    </row>
    <row r="9897" spans="1:4">
      <c r="A9897" s="3"/>
      <c r="D9897" s="3"/>
    </row>
    <row r="9898" spans="1:4">
      <c r="A9898" s="3"/>
      <c r="D9898" s="3"/>
    </row>
    <row r="9899" spans="1:4">
      <c r="A9899" s="3"/>
      <c r="D9899" s="3"/>
    </row>
    <row r="9900" spans="1:4">
      <c r="A9900" s="3"/>
      <c r="D9900" s="3"/>
    </row>
    <row r="9901" spans="1:4">
      <c r="A9901" s="3"/>
      <c r="D9901" s="3"/>
    </row>
    <row r="9902" spans="1:4">
      <c r="A9902" s="3"/>
      <c r="D9902" s="3"/>
    </row>
    <row r="9903" spans="1:4">
      <c r="A9903" s="3"/>
      <c r="D9903" s="3"/>
    </row>
    <row r="9904" spans="1:4">
      <c r="A9904" s="3"/>
      <c r="D9904" s="3"/>
    </row>
    <row r="9905" spans="1:4">
      <c r="A9905" s="3"/>
      <c r="D9905" s="3"/>
    </row>
    <row r="9906" spans="1:4">
      <c r="A9906" s="3"/>
      <c r="D9906" s="3"/>
    </row>
    <row r="9907" spans="1:4">
      <c r="A9907" s="3"/>
      <c r="D9907" s="3"/>
    </row>
    <row r="9908" spans="1:4">
      <c r="A9908" s="3"/>
      <c r="D9908" s="3"/>
    </row>
    <row r="9909" spans="1:4">
      <c r="A9909" s="3"/>
      <c r="D9909" s="3"/>
    </row>
    <row r="9910" spans="1:4">
      <c r="A9910" s="3"/>
      <c r="D9910" s="3"/>
    </row>
    <row r="9911" spans="1:4">
      <c r="A9911" s="3"/>
      <c r="D9911" s="3"/>
    </row>
    <row r="9912" spans="1:4">
      <c r="A9912" s="3"/>
      <c r="D9912" s="3"/>
    </row>
    <row r="9913" spans="1:4">
      <c r="A9913" s="3"/>
      <c r="D9913" s="3"/>
    </row>
    <row r="9914" spans="1:4">
      <c r="A9914" s="3"/>
      <c r="D9914" s="3"/>
    </row>
    <row r="9915" spans="1:4">
      <c r="A9915" s="3"/>
      <c r="D9915" s="3"/>
    </row>
    <row r="9916" spans="1:4">
      <c r="A9916" s="3"/>
      <c r="D9916" s="3"/>
    </row>
    <row r="9917" spans="1:4">
      <c r="A9917" s="3"/>
      <c r="D9917" s="3"/>
    </row>
    <row r="9918" spans="1:4">
      <c r="A9918" s="3"/>
      <c r="D9918" s="3"/>
    </row>
    <row r="9919" spans="1:4">
      <c r="A9919" s="3"/>
      <c r="D9919" s="3"/>
    </row>
    <row r="9920" spans="1:4">
      <c r="A9920" s="3"/>
      <c r="D9920" s="3"/>
    </row>
    <row r="9921" spans="1:4">
      <c r="A9921" s="3"/>
      <c r="D9921" s="3"/>
    </row>
    <row r="9922" spans="1:4">
      <c r="A9922" s="3"/>
      <c r="D9922" s="3"/>
    </row>
    <row r="9923" spans="1:4">
      <c r="A9923" s="3"/>
      <c r="D9923" s="3"/>
    </row>
    <row r="9924" spans="1:4">
      <c r="A9924" s="3"/>
      <c r="D9924" s="3"/>
    </row>
    <row r="9925" spans="1:4">
      <c r="A9925" s="3"/>
      <c r="D9925" s="3"/>
    </row>
    <row r="9926" spans="1:4">
      <c r="A9926" s="3"/>
      <c r="D9926" s="3"/>
    </row>
    <row r="9927" spans="1:4">
      <c r="A9927" s="3"/>
      <c r="D9927" s="3"/>
    </row>
    <row r="9928" spans="1:4">
      <c r="A9928" s="3"/>
      <c r="D9928" s="3"/>
    </row>
    <row r="9929" spans="1:4">
      <c r="A9929" s="3"/>
      <c r="D9929" s="3"/>
    </row>
    <row r="9930" spans="1:4">
      <c r="A9930" s="3"/>
      <c r="D9930" s="3"/>
    </row>
    <row r="9931" spans="1:4">
      <c r="A9931" s="3"/>
      <c r="D9931" s="3"/>
    </row>
    <row r="9932" spans="1:4">
      <c r="A9932" s="3"/>
      <c r="D9932" s="3"/>
    </row>
    <row r="9933" spans="1:4">
      <c r="A9933" s="3"/>
      <c r="D9933" s="3"/>
    </row>
    <row r="9934" spans="1:4">
      <c r="A9934" s="3"/>
      <c r="D9934" s="3"/>
    </row>
    <row r="9935" spans="1:4">
      <c r="A9935" s="3"/>
      <c r="D9935" s="3"/>
    </row>
    <row r="9936" spans="1:4">
      <c r="A9936" s="3"/>
      <c r="D9936" s="3"/>
    </row>
    <row r="9937" spans="1:4">
      <c r="A9937" s="3"/>
      <c r="D9937" s="3"/>
    </row>
    <row r="9938" spans="1:4">
      <c r="A9938" s="3"/>
      <c r="D9938" s="3"/>
    </row>
    <row r="9939" spans="1:4">
      <c r="A9939" s="3"/>
      <c r="D9939" s="3"/>
    </row>
    <row r="9940" spans="1:4">
      <c r="A9940" s="3"/>
      <c r="D9940" s="3"/>
    </row>
    <row r="9941" spans="1:4">
      <c r="A9941" s="3"/>
      <c r="D9941" s="3"/>
    </row>
    <row r="9942" spans="1:4">
      <c r="A9942" s="3"/>
      <c r="D9942" s="3"/>
    </row>
    <row r="9943" spans="1:4">
      <c r="A9943" s="3"/>
      <c r="D9943" s="3"/>
    </row>
    <row r="9944" spans="1:4">
      <c r="A9944" s="3"/>
      <c r="D9944" s="3"/>
    </row>
    <row r="9945" spans="1:4">
      <c r="A9945" s="3"/>
      <c r="D9945" s="3"/>
    </row>
    <row r="9946" spans="1:4">
      <c r="A9946" s="3"/>
      <c r="D9946" s="3"/>
    </row>
    <row r="9947" spans="1:4">
      <c r="A9947" s="3"/>
      <c r="D9947" s="3"/>
    </row>
    <row r="9948" spans="1:4">
      <c r="A9948" s="3"/>
      <c r="D9948" s="3"/>
    </row>
    <row r="9949" spans="1:4">
      <c r="A9949" s="3"/>
      <c r="D9949" s="3"/>
    </row>
    <row r="9950" spans="1:4">
      <c r="A9950" s="3"/>
      <c r="D9950" s="3"/>
    </row>
    <row r="9951" spans="1:4">
      <c r="A9951" s="3"/>
      <c r="D9951" s="3"/>
    </row>
    <row r="9952" spans="1:4">
      <c r="A9952" s="3"/>
      <c r="D9952" s="3"/>
    </row>
    <row r="9953" spans="1:4">
      <c r="A9953" s="3"/>
      <c r="D9953" s="3"/>
    </row>
    <row r="9954" spans="1:4">
      <c r="A9954" s="3"/>
      <c r="D9954" s="3"/>
    </row>
    <row r="9955" spans="1:4">
      <c r="A9955" s="3"/>
      <c r="D9955" s="3"/>
    </row>
    <row r="9956" spans="1:4">
      <c r="A9956" s="3"/>
      <c r="D9956" s="3"/>
    </row>
    <row r="9957" spans="1:4">
      <c r="A9957" s="3"/>
      <c r="D9957" s="3"/>
    </row>
    <row r="9958" spans="1:4">
      <c r="A9958" s="3"/>
      <c r="D9958" s="3"/>
    </row>
    <row r="9959" spans="1:4">
      <c r="A9959" s="3"/>
      <c r="D9959" s="3"/>
    </row>
    <row r="9960" spans="1:4">
      <c r="A9960" s="3"/>
      <c r="D9960" s="3"/>
    </row>
    <row r="9961" spans="1:4">
      <c r="A9961" s="3"/>
      <c r="D9961" s="3"/>
    </row>
    <row r="9962" spans="1:4">
      <c r="A9962" s="3"/>
      <c r="D9962" s="3"/>
    </row>
    <row r="9963" spans="1:4">
      <c r="A9963" s="3"/>
      <c r="D9963" s="3"/>
    </row>
    <row r="9964" spans="1:4">
      <c r="A9964" s="3"/>
      <c r="D9964" s="3"/>
    </row>
    <row r="9965" spans="1:4">
      <c r="A9965" s="3"/>
      <c r="D9965" s="3"/>
    </row>
    <row r="9966" spans="1:4">
      <c r="A9966" s="3"/>
      <c r="D9966" s="3"/>
    </row>
    <row r="9967" spans="1:4">
      <c r="A9967" s="3"/>
      <c r="D9967" s="3"/>
    </row>
    <row r="9968" spans="1:4">
      <c r="A9968" s="3"/>
      <c r="D9968" s="3"/>
    </row>
    <row r="9969" spans="1:4">
      <c r="A9969" s="3"/>
      <c r="D9969" s="3"/>
    </row>
    <row r="9970" spans="1:4">
      <c r="A9970" s="3"/>
      <c r="D9970" s="3"/>
    </row>
    <row r="9971" spans="1:4">
      <c r="A9971" s="3"/>
      <c r="D9971" s="3"/>
    </row>
    <row r="9972" spans="1:4">
      <c r="A9972" s="3"/>
      <c r="D9972" s="3"/>
    </row>
    <row r="9973" spans="1:4">
      <c r="A9973" s="3"/>
      <c r="D9973" s="3"/>
    </row>
    <row r="9974" spans="1:4">
      <c r="A9974" s="3"/>
      <c r="D9974" s="3"/>
    </row>
    <row r="9975" spans="1:4">
      <c r="A9975" s="3"/>
      <c r="D9975" s="3"/>
    </row>
    <row r="9976" spans="1:4">
      <c r="A9976" s="3"/>
      <c r="D9976" s="3"/>
    </row>
    <row r="9977" spans="1:4">
      <c r="A9977" s="3"/>
      <c r="D9977" s="3"/>
    </row>
    <row r="9978" spans="1:4">
      <c r="A9978" s="3"/>
      <c r="D9978" s="3"/>
    </row>
    <row r="9979" spans="1:4">
      <c r="A9979" s="3"/>
      <c r="D9979" s="3"/>
    </row>
    <row r="9980" spans="1:4">
      <c r="A9980" s="3"/>
      <c r="D9980" s="3"/>
    </row>
    <row r="9981" spans="1:4">
      <c r="A9981" s="3"/>
      <c r="D9981" s="3"/>
    </row>
    <row r="9982" spans="1:4">
      <c r="A9982" s="3"/>
      <c r="D9982" s="3"/>
    </row>
    <row r="9983" spans="1:4">
      <c r="A9983" s="3"/>
      <c r="D9983" s="3"/>
    </row>
    <row r="9984" spans="1:4">
      <c r="A9984" s="3"/>
      <c r="D9984" s="3"/>
    </row>
    <row r="9985" spans="1:4">
      <c r="A9985" s="3"/>
      <c r="D9985" s="3"/>
    </row>
    <row r="9986" spans="1:4">
      <c r="A9986" s="3"/>
      <c r="D9986" s="3"/>
    </row>
    <row r="9987" spans="1:4">
      <c r="A9987" s="3"/>
      <c r="D9987" s="3"/>
    </row>
    <row r="9988" spans="1:4">
      <c r="A9988" s="3"/>
      <c r="D9988" s="3"/>
    </row>
    <row r="9989" spans="1:4">
      <c r="A9989" s="3"/>
      <c r="D9989" s="3"/>
    </row>
    <row r="9990" spans="1:4">
      <c r="A9990" s="3"/>
      <c r="D9990" s="3"/>
    </row>
    <row r="9991" spans="1:4">
      <c r="A9991" s="3"/>
      <c r="D9991" s="3"/>
    </row>
    <row r="9992" spans="1:4">
      <c r="A9992" s="3"/>
      <c r="D9992" s="3"/>
    </row>
    <row r="9993" spans="1:4">
      <c r="A9993" s="3"/>
      <c r="D9993" s="3"/>
    </row>
    <row r="9994" spans="1:4">
      <c r="A9994" s="3"/>
      <c r="D9994" s="3"/>
    </row>
    <row r="9995" spans="1:4">
      <c r="A9995" s="3"/>
      <c r="D9995" s="3"/>
    </row>
    <row r="9996" spans="1:4">
      <c r="A9996" s="3"/>
      <c r="D9996" s="3"/>
    </row>
    <row r="9997" spans="1:4">
      <c r="A9997" s="3"/>
      <c r="D9997" s="3"/>
    </row>
    <row r="9998" spans="1:4">
      <c r="A9998" s="3"/>
      <c r="D9998" s="3"/>
    </row>
    <row r="9999" spans="1:4">
      <c r="A9999" s="3"/>
      <c r="D9999" s="3"/>
    </row>
    <row r="10000" spans="1:4">
      <c r="A10000" s="3"/>
      <c r="D10000" s="3"/>
    </row>
    <row r="10001" spans="1:4">
      <c r="A10001" s="3"/>
      <c r="D10001" s="3"/>
    </row>
    <row r="10002" spans="1:4">
      <c r="A10002" s="3"/>
      <c r="D10002" s="3"/>
    </row>
    <row r="10003" spans="1:4">
      <c r="A10003" s="3"/>
      <c r="D10003" s="3"/>
    </row>
    <row r="10004" spans="1:4">
      <c r="A10004" s="3"/>
      <c r="D10004" s="3"/>
    </row>
    <row r="10005" spans="1:4">
      <c r="A10005" s="3"/>
      <c r="D10005" s="3"/>
    </row>
    <row r="10006" spans="1:4">
      <c r="A10006" s="3"/>
      <c r="D10006" s="3"/>
    </row>
    <row r="10007" spans="1:4">
      <c r="A10007" s="3"/>
      <c r="D10007" s="3"/>
    </row>
    <row r="10008" spans="1:4">
      <c r="A10008" s="3"/>
      <c r="D10008" s="3"/>
    </row>
    <row r="10009" spans="1:4">
      <c r="A10009" s="3"/>
      <c r="D10009" s="3"/>
    </row>
    <row r="10010" spans="1:4">
      <c r="A10010" s="3"/>
      <c r="D10010" s="3"/>
    </row>
    <row r="10011" spans="1:4">
      <c r="A10011" s="3"/>
      <c r="D10011" s="3"/>
    </row>
    <row r="10012" spans="1:4">
      <c r="A10012" s="3"/>
      <c r="D10012" s="3"/>
    </row>
    <row r="10013" spans="1:4">
      <c r="A10013" s="3"/>
      <c r="D10013" s="3"/>
    </row>
    <row r="10014" spans="1:4">
      <c r="A10014" s="3"/>
      <c r="D10014" s="3"/>
    </row>
    <row r="10015" spans="1:4">
      <c r="A10015" s="3"/>
      <c r="D10015" s="3"/>
    </row>
    <row r="10016" spans="1:4">
      <c r="A10016" s="3"/>
      <c r="D10016" s="3"/>
    </row>
    <row r="10017" spans="1:4">
      <c r="A10017" s="3"/>
      <c r="D10017" s="3"/>
    </row>
    <row r="10018" spans="1:4">
      <c r="A10018" s="3"/>
      <c r="D10018" s="3"/>
    </row>
    <row r="10019" spans="1:4">
      <c r="A10019" s="3"/>
      <c r="D10019" s="3"/>
    </row>
    <row r="10020" spans="1:4">
      <c r="A10020" s="3"/>
      <c r="D10020" s="3"/>
    </row>
    <row r="10021" spans="1:4">
      <c r="A10021" s="3"/>
      <c r="D10021" s="3"/>
    </row>
    <row r="10022" spans="1:4">
      <c r="A10022" s="3"/>
      <c r="D10022" s="3"/>
    </row>
    <row r="10023" spans="1:4">
      <c r="A10023" s="3"/>
      <c r="D10023" s="3"/>
    </row>
    <row r="10024" spans="1:4">
      <c r="A10024" s="3"/>
      <c r="D10024" s="3"/>
    </row>
    <row r="10025" spans="1:4">
      <c r="A10025" s="3"/>
      <c r="D10025" s="3"/>
    </row>
    <row r="10026" spans="1:4">
      <c r="A10026" s="3"/>
      <c r="D10026" s="3"/>
    </row>
    <row r="10027" spans="1:4">
      <c r="A10027" s="3"/>
      <c r="D10027" s="3"/>
    </row>
    <row r="10028" spans="1:4">
      <c r="A10028" s="3"/>
      <c r="D10028" s="3"/>
    </row>
    <row r="10029" spans="1:4">
      <c r="A10029" s="3"/>
      <c r="D10029" s="3"/>
    </row>
    <row r="10030" spans="1:4">
      <c r="A10030" s="3"/>
      <c r="D10030" s="3"/>
    </row>
    <row r="10031" spans="1:4">
      <c r="A10031" s="3"/>
      <c r="D10031" s="3"/>
    </row>
    <row r="10032" spans="1:4">
      <c r="A10032" s="3"/>
      <c r="D10032" s="3"/>
    </row>
    <row r="10033" spans="1:4">
      <c r="A10033" s="3"/>
      <c r="D10033" s="3"/>
    </row>
    <row r="10034" spans="1:4">
      <c r="A10034" s="3"/>
      <c r="D10034" s="3"/>
    </row>
    <row r="10035" spans="1:4">
      <c r="A10035" s="3"/>
      <c r="D10035" s="3"/>
    </row>
    <row r="10036" spans="1:4">
      <c r="A10036" s="3"/>
      <c r="D10036" s="3"/>
    </row>
    <row r="10037" spans="1:4">
      <c r="A10037" s="3"/>
      <c r="D10037" s="3"/>
    </row>
    <row r="10038" spans="1:4">
      <c r="A10038" s="3"/>
      <c r="D10038" s="3"/>
    </row>
    <row r="10039" spans="1:4">
      <c r="A10039" s="3"/>
      <c r="D10039" s="3"/>
    </row>
    <row r="10040" spans="1:4">
      <c r="A10040" s="3"/>
      <c r="D10040" s="3"/>
    </row>
    <row r="10041" spans="1:4">
      <c r="A10041" s="3"/>
      <c r="D10041" s="3"/>
    </row>
    <row r="10042" spans="1:4">
      <c r="A10042" s="3"/>
      <c r="D10042" s="3"/>
    </row>
    <row r="10043" spans="1:4">
      <c r="A10043" s="3"/>
      <c r="D10043" s="3"/>
    </row>
    <row r="10044" spans="1:4">
      <c r="A10044" s="3"/>
      <c r="D10044" s="3"/>
    </row>
    <row r="10045" spans="1:4">
      <c r="A10045" s="3"/>
      <c r="D10045" s="3"/>
    </row>
    <row r="10046" spans="1:4">
      <c r="A10046" s="3"/>
      <c r="D10046" s="3"/>
    </row>
    <row r="10047" spans="1:4">
      <c r="A10047" s="3"/>
      <c r="D10047" s="3"/>
    </row>
    <row r="10048" spans="1:4">
      <c r="A10048" s="3"/>
      <c r="D10048" s="3"/>
    </row>
    <row r="10049" spans="1:4">
      <c r="A10049" s="3"/>
      <c r="D10049" s="3"/>
    </row>
    <row r="10050" spans="1:4">
      <c r="A10050" s="3"/>
      <c r="D10050" s="3"/>
    </row>
    <row r="10051" spans="1:4">
      <c r="A10051" s="3"/>
      <c r="D10051" s="3"/>
    </row>
    <row r="10052" spans="1:4">
      <c r="A10052" s="3"/>
      <c r="D10052" s="3"/>
    </row>
    <row r="10053" spans="1:4">
      <c r="A10053" s="3"/>
      <c r="D10053" s="3"/>
    </row>
    <row r="10054" spans="1:4">
      <c r="A10054" s="3"/>
      <c r="D10054" s="3"/>
    </row>
    <row r="10055" spans="1:4">
      <c r="A10055" s="3"/>
      <c r="D10055" s="3"/>
    </row>
    <row r="10056" spans="1:4">
      <c r="A10056" s="3"/>
      <c r="D10056" s="3"/>
    </row>
    <row r="10057" spans="1:4">
      <c r="A10057" s="3"/>
      <c r="D10057" s="3"/>
    </row>
    <row r="10058" spans="1:4">
      <c r="A10058" s="3"/>
      <c r="D10058" s="3"/>
    </row>
    <row r="10059" spans="1:4">
      <c r="A10059" s="3"/>
      <c r="D10059" s="3"/>
    </row>
    <row r="10060" spans="1:4">
      <c r="A10060" s="3"/>
      <c r="D10060" s="3"/>
    </row>
    <row r="10061" spans="1:4">
      <c r="A10061" s="3"/>
      <c r="D10061" s="3"/>
    </row>
    <row r="10062" spans="1:4">
      <c r="A10062" s="3"/>
      <c r="D10062" s="3"/>
    </row>
    <row r="10063" spans="1:4">
      <c r="A10063" s="3"/>
      <c r="D10063" s="3"/>
    </row>
    <row r="10064" spans="1:4">
      <c r="A10064" s="3"/>
      <c r="D10064" s="3"/>
    </row>
    <row r="10065" spans="1:4">
      <c r="A10065" s="3"/>
      <c r="D10065" s="3"/>
    </row>
    <row r="10066" spans="1:4">
      <c r="A10066" s="3"/>
      <c r="D10066" s="3"/>
    </row>
    <row r="10067" spans="1:4">
      <c r="A10067" s="3"/>
      <c r="D10067" s="3"/>
    </row>
    <row r="10068" spans="1:4">
      <c r="A10068" s="3"/>
      <c r="D10068" s="3"/>
    </row>
    <row r="10069" spans="1:4">
      <c r="A10069" s="3"/>
      <c r="D10069" s="3"/>
    </row>
    <row r="10070" spans="1:4">
      <c r="A10070" s="3"/>
      <c r="D10070" s="3"/>
    </row>
    <row r="10071" spans="1:4">
      <c r="A10071" s="3"/>
      <c r="D10071" s="3"/>
    </row>
    <row r="10072" spans="1:4">
      <c r="A10072" s="3"/>
      <c r="D10072" s="3"/>
    </row>
    <row r="10073" spans="1:4">
      <c r="A10073" s="3"/>
      <c r="D10073" s="3"/>
    </row>
    <row r="10074" spans="1:4">
      <c r="A10074" s="3"/>
      <c r="D10074" s="3"/>
    </row>
    <row r="10075" spans="1:4">
      <c r="A10075" s="3"/>
      <c r="D10075" s="3"/>
    </row>
    <row r="10076" spans="1:4">
      <c r="A10076" s="3"/>
      <c r="D10076" s="3"/>
    </row>
    <row r="10077" spans="1:4">
      <c r="A10077" s="3"/>
      <c r="D10077" s="3"/>
    </row>
    <row r="10078" spans="1:4">
      <c r="A10078" s="3"/>
      <c r="D10078" s="3"/>
    </row>
    <row r="10079" spans="1:4">
      <c r="A10079" s="3"/>
      <c r="D10079" s="3"/>
    </row>
    <row r="10080" spans="1:4">
      <c r="A10080" s="3"/>
      <c r="D10080" s="3"/>
    </row>
    <row r="10081" spans="1:4">
      <c r="A10081" s="3"/>
      <c r="D10081" s="3"/>
    </row>
    <row r="10082" spans="1:4">
      <c r="A10082" s="3"/>
      <c r="D10082" s="3"/>
    </row>
    <row r="10083" spans="1:4">
      <c r="A10083" s="3"/>
      <c r="D10083" s="3"/>
    </row>
    <row r="10084" spans="1:4">
      <c r="A10084" s="3"/>
      <c r="D10084" s="3"/>
    </row>
    <row r="10085" spans="1:4">
      <c r="A10085" s="3"/>
      <c r="D10085" s="3"/>
    </row>
    <row r="10086" spans="1:4">
      <c r="A10086" s="3"/>
      <c r="D10086" s="3"/>
    </row>
    <row r="10087" spans="1:4">
      <c r="A10087" s="3"/>
      <c r="D10087" s="3"/>
    </row>
    <row r="10088" spans="1:4">
      <c r="A10088" s="3"/>
      <c r="D10088" s="3"/>
    </row>
    <row r="10089" spans="1:4">
      <c r="A10089" s="3"/>
      <c r="D10089" s="3"/>
    </row>
    <row r="10090" spans="1:4">
      <c r="A10090" s="3"/>
      <c r="D10090" s="3"/>
    </row>
    <row r="10091" spans="1:4">
      <c r="A10091" s="3"/>
      <c r="D10091" s="3"/>
    </row>
    <row r="10092" spans="1:4">
      <c r="A10092" s="3"/>
      <c r="D10092" s="3"/>
    </row>
    <row r="10093" spans="1:4">
      <c r="A10093" s="3"/>
      <c r="D10093" s="3"/>
    </row>
    <row r="10094" spans="1:4">
      <c r="A10094" s="3"/>
      <c r="D10094" s="3"/>
    </row>
    <row r="10095" spans="1:4">
      <c r="A10095" s="3"/>
      <c r="D10095" s="3"/>
    </row>
    <row r="10096" spans="1:4">
      <c r="A10096" s="3"/>
      <c r="D10096" s="3"/>
    </row>
    <row r="10097" spans="1:4">
      <c r="A10097" s="3"/>
      <c r="D10097" s="3"/>
    </row>
    <row r="10098" spans="1:4">
      <c r="A10098" s="3"/>
      <c r="D10098" s="3"/>
    </row>
    <row r="10099" spans="1:4">
      <c r="A10099" s="3"/>
      <c r="D10099" s="3"/>
    </row>
    <row r="10100" spans="1:4">
      <c r="A10100" s="3"/>
      <c r="D10100" s="3"/>
    </row>
    <row r="10101" spans="1:4">
      <c r="A10101" s="3"/>
      <c r="D10101" s="3"/>
    </row>
    <row r="10102" spans="1:4">
      <c r="A10102" s="3"/>
      <c r="D10102" s="3"/>
    </row>
    <row r="10103" spans="1:4">
      <c r="A10103" s="3"/>
      <c r="D10103" s="3"/>
    </row>
    <row r="10104" spans="1:4">
      <c r="A10104" s="3"/>
      <c r="D10104" s="3"/>
    </row>
    <row r="10105" spans="1:4">
      <c r="A10105" s="3"/>
      <c r="D10105" s="3"/>
    </row>
    <row r="10106" spans="1:4">
      <c r="A10106" s="3"/>
      <c r="D10106" s="3"/>
    </row>
    <row r="10107" spans="1:4">
      <c r="A10107" s="3"/>
      <c r="D10107" s="3"/>
    </row>
    <row r="10108" spans="1:4">
      <c r="A10108" s="3"/>
      <c r="D10108" s="3"/>
    </row>
    <row r="10109" spans="1:4">
      <c r="A10109" s="3"/>
      <c r="D10109" s="3"/>
    </row>
    <row r="10110" spans="1:4">
      <c r="A10110" s="3"/>
      <c r="D10110" s="3"/>
    </row>
    <row r="10111" spans="1:4">
      <c r="A10111" s="3"/>
      <c r="D10111" s="3"/>
    </row>
    <row r="10112" spans="1:4">
      <c r="A10112" s="3"/>
      <c r="D10112" s="3"/>
    </row>
    <row r="10113" spans="1:4">
      <c r="A10113" s="3"/>
      <c r="D10113" s="3"/>
    </row>
    <row r="10114" spans="1:4">
      <c r="A10114" s="3"/>
      <c r="D10114" s="3"/>
    </row>
    <row r="10115" spans="1:4">
      <c r="A10115" s="3"/>
      <c r="D10115" s="3"/>
    </row>
    <row r="10116" spans="1:4">
      <c r="A10116" s="3"/>
      <c r="D10116" s="3"/>
    </row>
    <row r="10117" spans="1:4">
      <c r="A10117" s="3"/>
      <c r="D10117" s="3"/>
    </row>
    <row r="10118" spans="1:4">
      <c r="A10118" s="3"/>
      <c r="D10118" s="3"/>
    </row>
    <row r="10119" spans="1:4">
      <c r="A10119" s="3"/>
      <c r="D10119" s="3"/>
    </row>
    <row r="10120" spans="1:4">
      <c r="A10120" s="3"/>
      <c r="D10120" s="3"/>
    </row>
    <row r="10121" spans="1:4">
      <c r="A10121" s="3"/>
      <c r="D10121" s="3"/>
    </row>
    <row r="10122" spans="1:4">
      <c r="A10122" s="3"/>
      <c r="D10122" s="3"/>
    </row>
    <row r="10123" spans="1:4">
      <c r="A10123" s="3"/>
      <c r="D10123" s="3"/>
    </row>
    <row r="10124" spans="1:4">
      <c r="A10124" s="3"/>
      <c r="D10124" s="3"/>
    </row>
    <row r="10125" spans="1:4">
      <c r="A10125" s="3"/>
      <c r="D10125" s="3"/>
    </row>
    <row r="10126" spans="1:4">
      <c r="A10126" s="3"/>
      <c r="D10126" s="3"/>
    </row>
    <row r="10127" spans="1:4">
      <c r="A10127" s="3"/>
      <c r="D10127" s="3"/>
    </row>
    <row r="10128" spans="1:4">
      <c r="A10128" s="3"/>
      <c r="D10128" s="3"/>
    </row>
    <row r="10129" spans="1:4">
      <c r="A10129" s="3"/>
      <c r="D10129" s="3"/>
    </row>
    <row r="10130" spans="1:4">
      <c r="A10130" s="3"/>
      <c r="D10130" s="3"/>
    </row>
    <row r="10131" spans="1:4">
      <c r="A10131" s="3"/>
      <c r="D10131" s="3"/>
    </row>
    <row r="10132" spans="1:4">
      <c r="A10132" s="3"/>
      <c r="D10132" s="3"/>
    </row>
    <row r="10133" spans="1:4">
      <c r="A10133" s="3"/>
      <c r="D10133" s="3"/>
    </row>
    <row r="10134" spans="1:4">
      <c r="A10134" s="3"/>
      <c r="D10134" s="3"/>
    </row>
    <row r="10135" spans="1:4">
      <c r="A10135" s="3"/>
      <c r="D10135" s="3"/>
    </row>
    <row r="10136" spans="1:4">
      <c r="A10136" s="3"/>
      <c r="D10136" s="3"/>
    </row>
    <row r="10137" spans="1:4">
      <c r="A10137" s="3"/>
      <c r="D10137" s="3"/>
    </row>
    <row r="10138" spans="1:4">
      <c r="A10138" s="3"/>
      <c r="D10138" s="3"/>
    </row>
    <row r="10139" spans="1:4">
      <c r="A10139" s="3"/>
      <c r="D10139" s="3"/>
    </row>
    <row r="10140" spans="1:4">
      <c r="A10140" s="3"/>
      <c r="D10140" s="3"/>
    </row>
    <row r="10141" spans="1:4">
      <c r="A10141" s="3"/>
      <c r="D10141" s="3"/>
    </row>
    <row r="10142" spans="1:4">
      <c r="A10142" s="3"/>
      <c r="D10142" s="3"/>
    </row>
    <row r="10143" spans="1:4">
      <c r="A10143" s="3"/>
      <c r="D10143" s="3"/>
    </row>
    <row r="10144" spans="1:4">
      <c r="A10144" s="3"/>
      <c r="D10144" s="3"/>
    </row>
    <row r="10145" spans="1:4">
      <c r="A10145" s="3"/>
      <c r="D10145" s="3"/>
    </row>
    <row r="10146" spans="1:4">
      <c r="A10146" s="3"/>
      <c r="D10146" s="3"/>
    </row>
    <row r="10147" spans="1:4">
      <c r="A10147" s="3"/>
      <c r="D10147" s="3"/>
    </row>
    <row r="10148" spans="1:4">
      <c r="A10148" s="3"/>
      <c r="D10148" s="3"/>
    </row>
    <row r="10149" spans="1:4">
      <c r="A10149" s="3"/>
      <c r="D10149" s="3"/>
    </row>
    <row r="10150" spans="1:4">
      <c r="A10150" s="3"/>
      <c r="D10150" s="3"/>
    </row>
    <row r="10151" spans="1:4">
      <c r="A10151" s="3"/>
      <c r="D10151" s="3"/>
    </row>
    <row r="10152" spans="1:4">
      <c r="A10152" s="3"/>
      <c r="D10152" s="3"/>
    </row>
    <row r="10153" spans="1:4">
      <c r="A10153" s="3"/>
      <c r="D10153" s="3"/>
    </row>
    <row r="10154" spans="1:4">
      <c r="A10154" s="3"/>
      <c r="D10154" s="3"/>
    </row>
    <row r="10155" spans="1:4">
      <c r="A10155" s="3"/>
      <c r="D10155" s="3"/>
    </row>
    <row r="10156" spans="1:4">
      <c r="A10156" s="3"/>
      <c r="D10156" s="3"/>
    </row>
    <row r="10157" spans="1:4">
      <c r="A10157" s="3"/>
      <c r="D10157" s="3"/>
    </row>
    <row r="10158" spans="1:4">
      <c r="A10158" s="3"/>
      <c r="D10158" s="3"/>
    </row>
    <row r="10159" spans="1:4">
      <c r="A10159" s="3"/>
      <c r="D10159" s="3"/>
    </row>
    <row r="10160" spans="1:4">
      <c r="A10160" s="3"/>
      <c r="D10160" s="3"/>
    </row>
    <row r="10161" spans="1:4">
      <c r="A10161" s="3"/>
      <c r="D10161" s="3"/>
    </row>
    <row r="10162" spans="1:4">
      <c r="A10162" s="3"/>
      <c r="D10162" s="3"/>
    </row>
    <row r="10163" spans="1:4">
      <c r="A10163" s="3"/>
      <c r="D10163" s="3"/>
    </row>
    <row r="10164" spans="1:4">
      <c r="A10164" s="3"/>
      <c r="D10164" s="3"/>
    </row>
    <row r="10165" spans="1:4">
      <c r="A10165" s="3"/>
      <c r="D10165" s="3"/>
    </row>
    <row r="10166" spans="1:4">
      <c r="A10166" s="3"/>
      <c r="D10166" s="3"/>
    </row>
    <row r="10167" spans="1:4">
      <c r="A10167" s="3"/>
      <c r="D10167" s="3"/>
    </row>
    <row r="10168" spans="1:4">
      <c r="A10168" s="3"/>
      <c r="D10168" s="3"/>
    </row>
    <row r="10169" spans="1:4">
      <c r="A10169" s="3"/>
      <c r="D10169" s="3"/>
    </row>
    <row r="10170" spans="1:4">
      <c r="A10170" s="3"/>
      <c r="D10170" s="3"/>
    </row>
    <row r="10171" spans="1:4">
      <c r="A10171" s="3"/>
      <c r="D10171" s="3"/>
    </row>
    <row r="10172" spans="1:4">
      <c r="A10172" s="3"/>
      <c r="D10172" s="3"/>
    </row>
    <row r="10173" spans="1:4">
      <c r="A10173" s="3"/>
      <c r="D10173" s="3"/>
    </row>
    <row r="10174" spans="1:4">
      <c r="A10174" s="3"/>
      <c r="D10174" s="3"/>
    </row>
    <row r="10175" spans="1:4">
      <c r="A10175" s="3"/>
      <c r="D10175" s="3"/>
    </row>
    <row r="10176" spans="1:4">
      <c r="A10176" s="3"/>
      <c r="D10176" s="3"/>
    </row>
    <row r="10177" spans="1:4">
      <c r="A10177" s="3"/>
      <c r="D10177" s="3"/>
    </row>
    <row r="10178" spans="1:4">
      <c r="A10178" s="3"/>
      <c r="D10178" s="3"/>
    </row>
    <row r="10179" spans="1:4">
      <c r="A10179" s="3"/>
      <c r="D10179" s="3"/>
    </row>
    <row r="10180" spans="1:4">
      <c r="A10180" s="3"/>
      <c r="D10180" s="3"/>
    </row>
    <row r="10181" spans="1:4">
      <c r="A10181" s="3"/>
      <c r="D10181" s="3"/>
    </row>
    <row r="10182" spans="1:4">
      <c r="A10182" s="3"/>
      <c r="D10182" s="3"/>
    </row>
    <row r="10183" spans="1:4">
      <c r="A10183" s="3"/>
      <c r="D10183" s="3"/>
    </row>
    <row r="10184" spans="1:4">
      <c r="A10184" s="3"/>
      <c r="D10184" s="3"/>
    </row>
    <row r="10185" spans="1:4">
      <c r="A10185" s="3"/>
      <c r="D10185" s="3"/>
    </row>
    <row r="10186" spans="1:4">
      <c r="A10186" s="3"/>
      <c r="D10186" s="3"/>
    </row>
    <row r="10187" spans="1:4">
      <c r="A10187" s="3"/>
      <c r="D10187" s="3"/>
    </row>
    <row r="10188" spans="1:4">
      <c r="A10188" s="3"/>
      <c r="D10188" s="3"/>
    </row>
    <row r="10189" spans="1:4">
      <c r="A10189" s="3"/>
      <c r="D10189" s="3"/>
    </row>
    <row r="10190" spans="1:4">
      <c r="A10190" s="3"/>
      <c r="D10190" s="3"/>
    </row>
    <row r="10191" spans="1:4">
      <c r="A10191" s="3"/>
      <c r="D10191" s="3"/>
    </row>
    <row r="10192" spans="1:4">
      <c r="A10192" s="3"/>
      <c r="D10192" s="3"/>
    </row>
    <row r="10193" spans="1:4">
      <c r="A10193" s="3"/>
      <c r="D10193" s="3"/>
    </row>
    <row r="10194" spans="1:4">
      <c r="A10194" s="3"/>
      <c r="D10194" s="3"/>
    </row>
    <row r="10195" spans="1:4">
      <c r="A10195" s="3"/>
      <c r="D10195" s="3"/>
    </row>
    <row r="10196" spans="1:4">
      <c r="A10196" s="3"/>
      <c r="D10196" s="3"/>
    </row>
    <row r="10197" spans="1:4">
      <c r="A10197" s="3"/>
      <c r="D10197" s="3"/>
    </row>
    <row r="10198" spans="1:4">
      <c r="A10198" s="3"/>
      <c r="D10198" s="3"/>
    </row>
    <row r="10199" spans="1:4">
      <c r="A10199" s="3"/>
      <c r="D10199" s="3"/>
    </row>
    <row r="10200" spans="1:4">
      <c r="A10200" s="3"/>
      <c r="D10200" s="3"/>
    </row>
    <row r="10201" spans="1:4">
      <c r="A10201" s="3"/>
      <c r="D10201" s="3"/>
    </row>
    <row r="10202" spans="1:4">
      <c r="A10202" s="3"/>
      <c r="D10202" s="3"/>
    </row>
    <row r="10203" spans="1:4">
      <c r="A10203" s="3"/>
      <c r="D10203" s="3"/>
    </row>
    <row r="10204" spans="1:4">
      <c r="A10204" s="3"/>
      <c r="D10204" s="3"/>
    </row>
    <row r="10205" spans="1:4">
      <c r="A10205" s="3"/>
      <c r="D10205" s="3"/>
    </row>
    <row r="10206" spans="1:4">
      <c r="A10206" s="3"/>
      <c r="D10206" s="3"/>
    </row>
    <row r="10207" spans="1:4">
      <c r="A10207" s="3"/>
      <c r="D10207" s="3"/>
    </row>
    <row r="10208" spans="1:4">
      <c r="A10208" s="3"/>
      <c r="D10208" s="3"/>
    </row>
    <row r="10209" spans="1:4">
      <c r="A10209" s="3"/>
      <c r="D10209" s="3"/>
    </row>
    <row r="10210" spans="1:4">
      <c r="A10210" s="3"/>
      <c r="D10210" s="3"/>
    </row>
    <row r="10211" spans="1:4">
      <c r="A10211" s="3"/>
      <c r="D10211" s="3"/>
    </row>
    <row r="10212" spans="1:4">
      <c r="A10212" s="3"/>
      <c r="D10212" s="3"/>
    </row>
    <row r="10213" spans="1:4">
      <c r="A10213" s="3"/>
      <c r="D10213" s="3"/>
    </row>
    <row r="10214" spans="1:4">
      <c r="A10214" s="3"/>
      <c r="D10214" s="3"/>
    </row>
    <row r="10215" spans="1:4">
      <c r="A10215" s="3"/>
      <c r="D10215" s="3"/>
    </row>
    <row r="10216" spans="1:4">
      <c r="A10216" s="3"/>
      <c r="D10216" s="3"/>
    </row>
    <row r="10217" spans="1:4">
      <c r="A10217" s="3"/>
      <c r="D10217" s="3"/>
    </row>
    <row r="10218" spans="1:4">
      <c r="A10218" s="3"/>
      <c r="D10218" s="3"/>
    </row>
    <row r="10219" spans="1:4">
      <c r="A10219" s="3"/>
      <c r="D10219" s="3"/>
    </row>
    <row r="10220" spans="1:4">
      <c r="A10220" s="3"/>
      <c r="D10220" s="3"/>
    </row>
    <row r="10221" spans="1:4">
      <c r="A10221" s="3"/>
      <c r="D10221" s="3"/>
    </row>
    <row r="10222" spans="1:4">
      <c r="A10222" s="3"/>
      <c r="D10222" s="3"/>
    </row>
    <row r="10223" spans="1:4">
      <c r="A10223" s="3"/>
      <c r="D10223" s="3"/>
    </row>
    <row r="10224" spans="1:4">
      <c r="A10224" s="3"/>
      <c r="D10224" s="3"/>
    </row>
    <row r="10225" spans="1:4">
      <c r="A10225" s="3"/>
      <c r="D10225" s="3"/>
    </row>
    <row r="10226" spans="1:4">
      <c r="A10226" s="3"/>
      <c r="D10226" s="3"/>
    </row>
    <row r="10227" spans="1:4">
      <c r="A10227" s="3"/>
      <c r="D10227" s="3"/>
    </row>
    <row r="10228" spans="1:4">
      <c r="A10228" s="3"/>
      <c r="D10228" s="3"/>
    </row>
    <row r="10229" spans="1:4">
      <c r="A10229" s="3"/>
      <c r="D10229" s="3"/>
    </row>
    <row r="10230" spans="1:4">
      <c r="A10230" s="3"/>
      <c r="D10230" s="3"/>
    </row>
    <row r="10231" spans="1:4">
      <c r="A10231" s="3"/>
      <c r="D10231" s="3"/>
    </row>
    <row r="10232" spans="1:4">
      <c r="A10232" s="3"/>
      <c r="D10232" s="3"/>
    </row>
    <row r="10233" spans="1:4">
      <c r="A10233" s="3"/>
      <c r="D10233" s="3"/>
    </row>
    <row r="10234" spans="1:4">
      <c r="A10234" s="3"/>
      <c r="D10234" s="3"/>
    </row>
    <row r="10235" spans="1:4">
      <c r="A10235" s="3"/>
      <c r="D10235" s="3"/>
    </row>
    <row r="10236" spans="1:4">
      <c r="A10236" s="3"/>
      <c r="D10236" s="3"/>
    </row>
    <row r="10237" spans="1:4">
      <c r="A10237" s="3"/>
      <c r="D10237" s="3"/>
    </row>
    <row r="10238" spans="1:4">
      <c r="A10238" s="3"/>
      <c r="D10238" s="3"/>
    </row>
    <row r="10239" spans="1:4">
      <c r="A10239" s="3"/>
      <c r="D10239" s="3"/>
    </row>
    <row r="10240" spans="1:4">
      <c r="A10240" s="3"/>
      <c r="D10240" s="3"/>
    </row>
    <row r="10241" spans="1:4">
      <c r="A10241" s="3"/>
      <c r="D10241" s="3"/>
    </row>
    <row r="10242" spans="1:4">
      <c r="A10242" s="3"/>
      <c r="D10242" s="3"/>
    </row>
    <row r="10243" spans="1:4">
      <c r="A10243" s="3"/>
      <c r="D10243" s="3"/>
    </row>
    <row r="10244" spans="1:4">
      <c r="A10244" s="3"/>
      <c r="D10244" s="3"/>
    </row>
    <row r="10245" spans="1:4">
      <c r="A10245" s="3"/>
      <c r="D10245" s="3"/>
    </row>
    <row r="10246" spans="1:4">
      <c r="A10246" s="3"/>
      <c r="D10246" s="3"/>
    </row>
    <row r="10247" spans="1:4">
      <c r="A10247" s="3"/>
      <c r="D10247" s="3"/>
    </row>
    <row r="10248" spans="1:4">
      <c r="A10248" s="3"/>
      <c r="D10248" s="3"/>
    </row>
    <row r="10249" spans="1:4">
      <c r="A10249" s="3"/>
      <c r="D10249" s="3"/>
    </row>
    <row r="10250" spans="1:4">
      <c r="A10250" s="3"/>
      <c r="D10250" s="3"/>
    </row>
    <row r="10251" spans="1:4">
      <c r="A10251" s="3"/>
      <c r="D10251" s="3"/>
    </row>
    <row r="10252" spans="1:4">
      <c r="A10252" s="3"/>
      <c r="D10252" s="3"/>
    </row>
    <row r="10253" spans="1:4">
      <c r="A10253" s="3"/>
      <c r="D10253" s="3"/>
    </row>
    <row r="10254" spans="1:4">
      <c r="A10254" s="3"/>
      <c r="D10254" s="3"/>
    </row>
    <row r="10255" spans="1:4">
      <c r="A10255" s="3"/>
      <c r="D10255" s="3"/>
    </row>
    <row r="10256" spans="1:4">
      <c r="A10256" s="3"/>
      <c r="D10256" s="3"/>
    </row>
    <row r="10257" spans="1:4">
      <c r="A10257" s="3"/>
      <c r="D10257" s="3"/>
    </row>
    <row r="10258" spans="1:4">
      <c r="A10258" s="3"/>
      <c r="D10258" s="3"/>
    </row>
    <row r="10259" spans="1:4">
      <c r="A10259" s="3"/>
      <c r="D10259" s="3"/>
    </row>
    <row r="10260" spans="1:4">
      <c r="A10260" s="3"/>
      <c r="D10260" s="3"/>
    </row>
    <row r="10261" spans="1:4">
      <c r="A10261" s="3"/>
      <c r="D10261" s="3"/>
    </row>
    <row r="10262" spans="1:4">
      <c r="A10262" s="3"/>
      <c r="D10262" s="3"/>
    </row>
    <row r="10263" spans="1:4">
      <c r="A10263" s="3"/>
      <c r="D10263" s="3"/>
    </row>
    <row r="10264" spans="1:4">
      <c r="A10264" s="3"/>
      <c r="D10264" s="3"/>
    </row>
    <row r="10265" spans="1:4">
      <c r="A10265" s="3"/>
      <c r="D10265" s="3"/>
    </row>
    <row r="10266" spans="1:4">
      <c r="A10266" s="3"/>
      <c r="D10266" s="3"/>
    </row>
    <row r="10267" spans="1:4">
      <c r="A10267" s="3"/>
      <c r="D10267" s="3"/>
    </row>
    <row r="10268" spans="1:4">
      <c r="A10268" s="3"/>
      <c r="D10268" s="3"/>
    </row>
    <row r="10269" spans="1:4">
      <c r="A10269" s="3"/>
      <c r="D10269" s="3"/>
    </row>
    <row r="10270" spans="1:4">
      <c r="A10270" s="3"/>
      <c r="D10270" s="3"/>
    </row>
    <row r="10271" spans="1:4">
      <c r="A10271" s="3"/>
      <c r="D10271" s="3"/>
    </row>
    <row r="10272" spans="1:4">
      <c r="A10272" s="3"/>
      <c r="D10272" s="3"/>
    </row>
    <row r="10273" spans="1:4">
      <c r="A10273" s="3"/>
      <c r="D10273" s="3"/>
    </row>
    <row r="10274" spans="1:4">
      <c r="A10274" s="3"/>
      <c r="D10274" s="3"/>
    </row>
    <row r="10275" spans="1:4">
      <c r="A10275" s="3"/>
      <c r="D10275" s="3"/>
    </row>
    <row r="10276" spans="1:4">
      <c r="A10276" s="3"/>
      <c r="D10276" s="3"/>
    </row>
    <row r="10277" spans="1:4">
      <c r="A10277" s="3"/>
      <c r="D10277" s="3"/>
    </row>
    <row r="10278" spans="1:4">
      <c r="A10278" s="3"/>
      <c r="D10278" s="3"/>
    </row>
    <row r="10279" spans="1:4">
      <c r="A10279" s="3"/>
      <c r="D10279" s="3"/>
    </row>
    <row r="10280" spans="1:4">
      <c r="A10280" s="3"/>
      <c r="D10280" s="3"/>
    </row>
    <row r="10281" spans="1:4">
      <c r="A10281" s="3"/>
      <c r="D10281" s="3"/>
    </row>
    <row r="10282" spans="1:4">
      <c r="A10282" s="3"/>
      <c r="D10282" s="3"/>
    </row>
    <row r="10283" spans="1:4">
      <c r="A10283" s="3"/>
      <c r="D10283" s="3"/>
    </row>
    <row r="10284" spans="1:4">
      <c r="A10284" s="3"/>
      <c r="D10284" s="3"/>
    </row>
    <row r="10285" spans="1:4">
      <c r="A10285" s="3"/>
      <c r="D10285" s="3"/>
    </row>
    <row r="10286" spans="1:4">
      <c r="A10286" s="3"/>
      <c r="D10286" s="3"/>
    </row>
    <row r="10287" spans="1:4">
      <c r="A10287" s="3"/>
      <c r="D10287" s="3"/>
    </row>
    <row r="10288" spans="1:4">
      <c r="A10288" s="3"/>
      <c r="D10288" s="3"/>
    </row>
    <row r="10289" spans="1:4">
      <c r="A10289" s="3"/>
      <c r="D10289" s="3"/>
    </row>
    <row r="10290" spans="1:4">
      <c r="A10290" s="3"/>
      <c r="D10290" s="3"/>
    </row>
    <row r="10291" spans="1:4">
      <c r="A10291" s="3"/>
      <c r="D10291" s="3"/>
    </row>
    <row r="10292" spans="1:4">
      <c r="A10292" s="3"/>
      <c r="D10292" s="3"/>
    </row>
    <row r="10293" spans="1:4">
      <c r="A10293" s="3"/>
      <c r="D10293" s="3"/>
    </row>
    <row r="10294" spans="1:4">
      <c r="A10294" s="3"/>
      <c r="D10294" s="3"/>
    </row>
    <row r="10295" spans="1:4">
      <c r="A10295" s="3"/>
      <c r="D10295" s="3"/>
    </row>
    <row r="10296" spans="1:4">
      <c r="A10296" s="3"/>
      <c r="D10296" s="3"/>
    </row>
    <row r="10297" spans="1:4">
      <c r="A10297" s="3"/>
      <c r="D10297" s="3"/>
    </row>
    <row r="10298" spans="1:4">
      <c r="A10298" s="3"/>
      <c r="D10298" s="3"/>
    </row>
    <row r="10299" spans="1:4">
      <c r="A10299" s="3"/>
      <c r="D10299" s="3"/>
    </row>
    <row r="10300" spans="1:4">
      <c r="A10300" s="3"/>
      <c r="D10300" s="3"/>
    </row>
    <row r="10301" spans="1:4">
      <c r="A10301" s="3"/>
      <c r="D10301" s="3"/>
    </row>
    <row r="10302" spans="1:4">
      <c r="A10302" s="3"/>
      <c r="D10302" s="3"/>
    </row>
    <row r="10303" spans="1:4">
      <c r="A10303" s="3"/>
      <c r="D10303" s="3"/>
    </row>
    <row r="10304" spans="1:4">
      <c r="A10304" s="3"/>
      <c r="D10304" s="3"/>
    </row>
    <row r="10305" spans="1:4">
      <c r="A10305" s="3"/>
      <c r="D10305" s="3"/>
    </row>
    <row r="10306" spans="1:4">
      <c r="A10306" s="3"/>
      <c r="D10306" s="3"/>
    </row>
    <row r="10307" spans="1:4">
      <c r="A10307" s="3"/>
      <c r="D10307" s="3"/>
    </row>
    <row r="10308" spans="1:4">
      <c r="A10308" s="3"/>
      <c r="D10308" s="3"/>
    </row>
    <row r="10309" spans="1:4">
      <c r="A10309" s="3"/>
      <c r="D10309" s="3"/>
    </row>
    <row r="10310" spans="1:4">
      <c r="A10310" s="3"/>
      <c r="D10310" s="3"/>
    </row>
    <row r="10311" spans="1:4">
      <c r="A10311" s="3"/>
      <c r="D10311" s="3"/>
    </row>
    <row r="10312" spans="1:4">
      <c r="A10312" s="3"/>
      <c r="D10312" s="3"/>
    </row>
    <row r="10313" spans="1:4">
      <c r="A10313" s="3"/>
      <c r="D10313" s="3"/>
    </row>
    <row r="10314" spans="1:4">
      <c r="A10314" s="3"/>
      <c r="D10314" s="3"/>
    </row>
    <row r="10315" spans="1:4">
      <c r="A10315" s="3"/>
      <c r="D10315" s="3"/>
    </row>
    <row r="10316" spans="1:4">
      <c r="A10316" s="3"/>
      <c r="D10316" s="3"/>
    </row>
    <row r="10317" spans="1:4">
      <c r="A10317" s="3"/>
      <c r="D10317" s="3"/>
    </row>
    <row r="10318" spans="1:4">
      <c r="A10318" s="3"/>
      <c r="D10318" s="3"/>
    </row>
    <row r="10319" spans="1:4">
      <c r="A10319" s="3"/>
      <c r="D10319" s="3"/>
    </row>
    <row r="10320" spans="1:4">
      <c r="A10320" s="3"/>
      <c r="D10320" s="3"/>
    </row>
    <row r="10321" spans="1:4">
      <c r="A10321" s="3"/>
      <c r="D10321" s="3"/>
    </row>
    <row r="10322" spans="1:4">
      <c r="A10322" s="3"/>
      <c r="D10322" s="3"/>
    </row>
    <row r="10323" spans="1:4">
      <c r="A10323" s="3"/>
      <c r="D10323" s="3"/>
    </row>
    <row r="10324" spans="1:4">
      <c r="A10324" s="3"/>
      <c r="D10324" s="3"/>
    </row>
    <row r="10325" spans="1:4">
      <c r="A10325" s="3"/>
      <c r="D10325" s="3"/>
    </row>
    <row r="10326" spans="1:4">
      <c r="A10326" s="3"/>
      <c r="D10326" s="3"/>
    </row>
    <row r="10327" spans="1:4">
      <c r="A10327" s="3"/>
      <c r="D10327" s="3"/>
    </row>
    <row r="10328" spans="1:4">
      <c r="A10328" s="3"/>
      <c r="D10328" s="3"/>
    </row>
    <row r="10329" spans="1:4">
      <c r="A10329" s="3"/>
      <c r="D10329" s="3"/>
    </row>
    <row r="10330" spans="1:4">
      <c r="A10330" s="3"/>
      <c r="D10330" s="3"/>
    </row>
    <row r="10331" spans="1:4">
      <c r="A10331" s="3"/>
      <c r="D10331" s="3"/>
    </row>
    <row r="10332" spans="1:4">
      <c r="A10332" s="3"/>
      <c r="D10332" s="3"/>
    </row>
    <row r="10333" spans="1:4">
      <c r="A10333" s="3"/>
      <c r="D10333" s="3"/>
    </row>
    <row r="10334" spans="1:4">
      <c r="A10334" s="3"/>
      <c r="D10334" s="3"/>
    </row>
    <row r="10335" spans="1:4">
      <c r="A10335" s="3"/>
      <c r="D10335" s="3"/>
    </row>
    <row r="10336" spans="1:4">
      <c r="A10336" s="3"/>
      <c r="D10336" s="3"/>
    </row>
    <row r="10337" spans="1:4">
      <c r="A10337" s="3"/>
      <c r="D10337" s="3"/>
    </row>
    <row r="10338" spans="1:4">
      <c r="A10338" s="3"/>
      <c r="D10338" s="3"/>
    </row>
    <row r="10339" spans="1:4">
      <c r="A10339" s="3"/>
      <c r="D10339" s="3"/>
    </row>
    <row r="10340" spans="1:4">
      <c r="A10340" s="3"/>
      <c r="D10340" s="3"/>
    </row>
    <row r="10341" spans="1:4">
      <c r="A10341" s="3"/>
      <c r="D10341" s="3"/>
    </row>
    <row r="10342" spans="1:4">
      <c r="A10342" s="3"/>
      <c r="D10342" s="3"/>
    </row>
    <row r="10343" spans="1:4">
      <c r="A10343" s="3"/>
      <c r="D10343" s="3"/>
    </row>
    <row r="10344" spans="1:4">
      <c r="A10344" s="3"/>
      <c r="D10344" s="3"/>
    </row>
    <row r="10345" spans="1:4">
      <c r="A10345" s="3"/>
      <c r="D10345" s="3"/>
    </row>
    <row r="10346" spans="1:4">
      <c r="A10346" s="3"/>
      <c r="D10346" s="3"/>
    </row>
    <row r="10347" spans="1:4">
      <c r="A10347" s="3"/>
      <c r="D10347" s="3"/>
    </row>
    <row r="10348" spans="1:4">
      <c r="A10348" s="3"/>
      <c r="D10348" s="3"/>
    </row>
    <row r="10349" spans="1:4">
      <c r="A10349" s="3"/>
      <c r="D10349" s="3"/>
    </row>
    <row r="10350" spans="1:4">
      <c r="A10350" s="3"/>
      <c r="D10350" s="3"/>
    </row>
    <row r="10351" spans="1:4">
      <c r="A10351" s="3"/>
      <c r="D10351" s="3"/>
    </row>
    <row r="10352" spans="1:4">
      <c r="A10352" s="3"/>
      <c r="D10352" s="3"/>
    </row>
    <row r="10353" spans="1:4">
      <c r="A10353" s="3"/>
      <c r="D10353" s="3"/>
    </row>
    <row r="10354" spans="1:4">
      <c r="A10354" s="3"/>
      <c r="D10354" s="3"/>
    </row>
    <row r="10355" spans="1:4">
      <c r="A10355" s="3"/>
      <c r="D10355" s="3"/>
    </row>
    <row r="10356" spans="1:4">
      <c r="A10356" s="3"/>
      <c r="D10356" s="3"/>
    </row>
    <row r="10357" spans="1:4">
      <c r="A10357" s="3"/>
      <c r="D10357" s="3"/>
    </row>
    <row r="10358" spans="1:4">
      <c r="A10358" s="3"/>
      <c r="D10358" s="3"/>
    </row>
    <row r="10359" spans="1:4">
      <c r="A10359" s="3"/>
      <c r="D10359" s="3"/>
    </row>
    <row r="10360" spans="1:4">
      <c r="A10360" s="3"/>
      <c r="D10360" s="3"/>
    </row>
    <row r="10361" spans="1:4">
      <c r="A10361" s="3"/>
      <c r="D10361" s="3"/>
    </row>
    <row r="10362" spans="1:4">
      <c r="A10362" s="3"/>
      <c r="D10362" s="3"/>
    </row>
    <row r="10363" spans="1:4">
      <c r="A10363" s="3"/>
      <c r="D10363" s="3"/>
    </row>
    <row r="10364" spans="1:4">
      <c r="A10364" s="3"/>
      <c r="D10364" s="3"/>
    </row>
    <row r="10365" spans="1:4">
      <c r="A10365" s="3"/>
      <c r="D10365" s="3"/>
    </row>
    <row r="10366" spans="1:4">
      <c r="A10366" s="3"/>
      <c r="D10366" s="3"/>
    </row>
    <row r="10367" spans="1:4">
      <c r="A10367" s="3"/>
      <c r="D10367" s="3"/>
    </row>
    <row r="10368" spans="1:4">
      <c r="A10368" s="3"/>
      <c r="D10368" s="3"/>
    </row>
    <row r="10369" spans="1:4">
      <c r="A10369" s="3"/>
      <c r="D10369" s="3"/>
    </row>
    <row r="10370" spans="1:4">
      <c r="A10370" s="3"/>
      <c r="D10370" s="3"/>
    </row>
    <row r="10371" spans="1:4">
      <c r="A10371" s="3"/>
      <c r="D10371" s="3"/>
    </row>
    <row r="10372" spans="1:4">
      <c r="A10372" s="3"/>
      <c r="D10372" s="3"/>
    </row>
    <row r="10373" spans="1:4">
      <c r="A10373" s="3"/>
      <c r="D10373" s="3"/>
    </row>
    <row r="10374" spans="1:4">
      <c r="A10374" s="3"/>
      <c r="D10374" s="3"/>
    </row>
    <row r="10375" spans="1:4">
      <c r="A10375" s="3"/>
      <c r="D10375" s="3"/>
    </row>
    <row r="10376" spans="1:4">
      <c r="A10376" s="3"/>
      <c r="D10376" s="3"/>
    </row>
    <row r="10377" spans="1:4">
      <c r="A10377" s="3"/>
      <c r="D10377" s="3"/>
    </row>
    <row r="10378" spans="1:4">
      <c r="A10378" s="3"/>
      <c r="D10378" s="3"/>
    </row>
    <row r="10379" spans="1:4">
      <c r="A10379" s="3"/>
      <c r="D10379" s="3"/>
    </row>
    <row r="10380" spans="1:4">
      <c r="A10380" s="3"/>
      <c r="D10380" s="3"/>
    </row>
    <row r="10381" spans="1:4">
      <c r="A10381" s="3"/>
      <c r="D10381" s="3"/>
    </row>
    <row r="10382" spans="1:4">
      <c r="A10382" s="3"/>
      <c r="D10382" s="3"/>
    </row>
    <row r="10383" spans="1:4">
      <c r="A10383" s="3"/>
      <c r="D10383" s="3"/>
    </row>
    <row r="10384" spans="1:4">
      <c r="A10384" s="3"/>
      <c r="D10384" s="3"/>
    </row>
    <row r="10385" spans="1:4">
      <c r="A10385" s="3"/>
      <c r="D10385" s="3"/>
    </row>
    <row r="10386" spans="1:4">
      <c r="A10386" s="3"/>
      <c r="D10386" s="3"/>
    </row>
    <row r="10387" spans="1:4">
      <c r="A10387" s="3"/>
      <c r="D10387" s="3"/>
    </row>
    <row r="10388" spans="1:4">
      <c r="A10388" s="3"/>
      <c r="D10388" s="3"/>
    </row>
    <row r="10389" spans="1:4">
      <c r="A10389" s="3"/>
      <c r="D10389" s="3"/>
    </row>
    <row r="10390" spans="1:4">
      <c r="A10390" s="3"/>
      <c r="D10390" s="3"/>
    </row>
    <row r="10391" spans="1:4">
      <c r="A10391" s="3"/>
      <c r="D10391" s="3"/>
    </row>
    <row r="10392" spans="1:4">
      <c r="A10392" s="3"/>
      <c r="D10392" s="3"/>
    </row>
    <row r="10393" spans="1:4">
      <c r="A10393" s="3"/>
      <c r="D10393" s="3"/>
    </row>
    <row r="10394" spans="1:4">
      <c r="A10394" s="3"/>
      <c r="D10394" s="3"/>
    </row>
    <row r="10395" spans="1:4">
      <c r="A10395" s="3"/>
      <c r="D10395" s="3"/>
    </row>
    <row r="10396" spans="1:4">
      <c r="A10396" s="3"/>
      <c r="D10396" s="3"/>
    </row>
    <row r="10397" spans="1:4">
      <c r="A10397" s="3"/>
      <c r="D10397" s="3"/>
    </row>
    <row r="10398" spans="1:4">
      <c r="A10398" s="3"/>
      <c r="D10398" s="3"/>
    </row>
    <row r="10399" spans="1:4">
      <c r="A10399" s="3"/>
      <c r="D10399" s="3"/>
    </row>
    <row r="10400" spans="1:4">
      <c r="A10400" s="3"/>
      <c r="D10400" s="3"/>
    </row>
    <row r="10401" spans="1:4">
      <c r="A10401" s="3"/>
      <c r="D10401" s="3"/>
    </row>
    <row r="10402" spans="1:4">
      <c r="A10402" s="3"/>
      <c r="D10402" s="3"/>
    </row>
    <row r="10403" spans="1:4">
      <c r="A10403" s="3"/>
      <c r="D10403" s="3"/>
    </row>
    <row r="10404" spans="1:4">
      <c r="A10404" s="3"/>
      <c r="D10404" s="3"/>
    </row>
    <row r="10405" spans="1:4">
      <c r="A10405" s="3"/>
      <c r="D10405" s="3"/>
    </row>
    <row r="10406" spans="1:4">
      <c r="A10406" s="3"/>
      <c r="D10406" s="3"/>
    </row>
    <row r="10407" spans="1:4">
      <c r="A10407" s="3"/>
      <c r="D10407" s="3"/>
    </row>
    <row r="10408" spans="1:4">
      <c r="A10408" s="3"/>
      <c r="D10408" s="3"/>
    </row>
    <row r="10409" spans="1:4">
      <c r="A10409" s="3"/>
      <c r="D10409" s="3"/>
    </row>
    <row r="10410" spans="1:4">
      <c r="A10410" s="3"/>
      <c r="D10410" s="3"/>
    </row>
    <row r="10411" spans="1:4">
      <c r="A10411" s="3"/>
      <c r="D10411" s="3"/>
    </row>
    <row r="10412" spans="1:4">
      <c r="A10412" s="3"/>
      <c r="D10412" s="3"/>
    </row>
    <row r="10413" spans="1:4">
      <c r="A10413" s="3"/>
      <c r="D10413" s="3"/>
    </row>
    <row r="10414" spans="1:4">
      <c r="A10414" s="3"/>
      <c r="D10414" s="3"/>
    </row>
    <row r="10415" spans="1:4">
      <c r="A10415" s="3"/>
      <c r="D10415" s="3"/>
    </row>
    <row r="10416" spans="1:4">
      <c r="A10416" s="3"/>
      <c r="D10416" s="3"/>
    </row>
    <row r="10417" spans="1:4">
      <c r="A10417" s="3"/>
      <c r="D10417" s="3"/>
    </row>
    <row r="10418" spans="1:4">
      <c r="A10418" s="3"/>
      <c r="D10418" s="3"/>
    </row>
    <row r="10419" spans="1:4">
      <c r="A10419" s="3"/>
      <c r="D10419" s="3"/>
    </row>
    <row r="10420" spans="1:4">
      <c r="A10420" s="3"/>
      <c r="D10420" s="3"/>
    </row>
    <row r="10421" spans="1:4">
      <c r="A10421" s="3"/>
      <c r="D10421" s="3"/>
    </row>
    <row r="10422" spans="1:4">
      <c r="A10422" s="3"/>
      <c r="D10422" s="3"/>
    </row>
    <row r="10423" spans="1:4">
      <c r="A10423" s="3"/>
      <c r="D10423" s="3"/>
    </row>
    <row r="10424" spans="1:4">
      <c r="A10424" s="3"/>
      <c r="D10424" s="3"/>
    </row>
    <row r="10425" spans="1:4">
      <c r="A10425" s="3"/>
      <c r="D10425" s="3"/>
    </row>
    <row r="10426" spans="1:4">
      <c r="A10426" s="3"/>
      <c r="D10426" s="3"/>
    </row>
    <row r="10427" spans="1:4">
      <c r="A10427" s="3"/>
      <c r="D10427" s="3"/>
    </row>
    <row r="10428" spans="1:4">
      <c r="A10428" s="3"/>
      <c r="D10428" s="3"/>
    </row>
    <row r="10429" spans="1:4">
      <c r="A10429" s="3"/>
      <c r="D10429" s="3"/>
    </row>
    <row r="10430" spans="1:4">
      <c r="A10430" s="3"/>
      <c r="D10430" s="3"/>
    </row>
    <row r="10431" spans="1:4">
      <c r="A10431" s="3"/>
      <c r="D10431" s="3"/>
    </row>
    <row r="10432" spans="1:4">
      <c r="A10432" s="3"/>
      <c r="D10432" s="3"/>
    </row>
    <row r="10433" spans="1:4">
      <c r="A10433" s="3"/>
      <c r="D10433" s="3"/>
    </row>
    <row r="10434" spans="1:4">
      <c r="A10434" s="3"/>
      <c r="D10434" s="3"/>
    </row>
    <row r="10435" spans="1:4">
      <c r="A10435" s="3"/>
      <c r="D10435" s="3"/>
    </row>
    <row r="10436" spans="1:4">
      <c r="A10436" s="3"/>
      <c r="D10436" s="3"/>
    </row>
    <row r="10437" spans="1:4">
      <c r="A10437" s="3"/>
      <c r="D10437" s="3"/>
    </row>
    <row r="10438" spans="1:4">
      <c r="A10438" s="3"/>
      <c r="D10438" s="3"/>
    </row>
    <row r="10439" spans="1:4">
      <c r="A10439" s="3"/>
      <c r="D10439" s="3"/>
    </row>
    <row r="10440" spans="1:4">
      <c r="A10440" s="3"/>
      <c r="D10440" s="3"/>
    </row>
    <row r="10441" spans="1:4">
      <c r="A10441" s="3"/>
      <c r="D10441" s="3"/>
    </row>
    <row r="10442" spans="1:4">
      <c r="A10442" s="3"/>
      <c r="D10442" s="3"/>
    </row>
    <row r="10443" spans="1:4">
      <c r="A10443" s="3"/>
      <c r="D10443" s="3"/>
    </row>
    <row r="10444" spans="1:4">
      <c r="A10444" s="3"/>
      <c r="D10444" s="3"/>
    </row>
    <row r="10445" spans="1:4">
      <c r="A10445" s="3"/>
      <c r="D10445" s="3"/>
    </row>
    <row r="10446" spans="1:4">
      <c r="A10446" s="3"/>
      <c r="D10446" s="3"/>
    </row>
    <row r="10447" spans="1:4">
      <c r="A10447" s="3"/>
      <c r="D10447" s="3"/>
    </row>
    <row r="10448" spans="1:4">
      <c r="A10448" s="3"/>
      <c r="D10448" s="3"/>
    </row>
    <row r="10449" spans="1:4">
      <c r="A10449" s="3"/>
      <c r="D10449" s="3"/>
    </row>
    <row r="10450" spans="1:4">
      <c r="A10450" s="3"/>
      <c r="D10450" s="3"/>
    </row>
    <row r="10451" spans="1:4">
      <c r="A10451" s="3"/>
      <c r="D10451" s="3"/>
    </row>
    <row r="10452" spans="1:4">
      <c r="A10452" s="3"/>
      <c r="D10452" s="3"/>
    </row>
    <row r="10453" spans="1:4">
      <c r="A10453" s="3"/>
      <c r="D10453" s="3"/>
    </row>
    <row r="10454" spans="1:4">
      <c r="A10454" s="3"/>
      <c r="D10454" s="3"/>
    </row>
    <row r="10455" spans="1:4">
      <c r="A10455" s="3"/>
      <c r="D10455" s="3"/>
    </row>
    <row r="10456" spans="1:4">
      <c r="A10456" s="3"/>
      <c r="D10456" s="3"/>
    </row>
    <row r="10457" spans="1:4">
      <c r="A10457" s="3"/>
      <c r="D10457" s="3"/>
    </row>
    <row r="10458" spans="1:4">
      <c r="A10458" s="3"/>
      <c r="D10458" s="3"/>
    </row>
    <row r="10459" spans="1:4">
      <c r="A10459" s="3"/>
      <c r="D10459" s="3"/>
    </row>
    <row r="10460" spans="1:4">
      <c r="A10460" s="3"/>
      <c r="D10460" s="3"/>
    </row>
    <row r="10461" spans="1:4">
      <c r="A10461" s="3"/>
      <c r="D10461" s="3"/>
    </row>
    <row r="10462" spans="1:4">
      <c r="A10462" s="3"/>
      <c r="D10462" s="3"/>
    </row>
    <row r="10463" spans="1:4">
      <c r="A10463" s="3"/>
      <c r="D10463" s="3"/>
    </row>
    <row r="10464" spans="1:4">
      <c r="A10464" s="3"/>
      <c r="D10464" s="3"/>
    </row>
    <row r="10465" spans="1:4">
      <c r="A10465" s="3"/>
      <c r="D10465" s="3"/>
    </row>
    <row r="10466" spans="1:4">
      <c r="A10466" s="3"/>
      <c r="D10466" s="3"/>
    </row>
    <row r="10467" spans="1:4">
      <c r="A10467" s="3"/>
      <c r="D10467" s="3"/>
    </row>
    <row r="10468" spans="1:4">
      <c r="A10468" s="3"/>
      <c r="D10468" s="3"/>
    </row>
    <row r="10469" spans="1:4">
      <c r="A10469" s="3"/>
      <c r="D10469" s="3"/>
    </row>
    <row r="10470" spans="1:4">
      <c r="A10470" s="3"/>
      <c r="D10470" s="3"/>
    </row>
    <row r="10471" spans="1:4">
      <c r="A10471" s="3"/>
      <c r="D10471" s="3"/>
    </row>
    <row r="10472" spans="1:4">
      <c r="A10472" s="3"/>
      <c r="D10472" s="3"/>
    </row>
    <row r="10473" spans="1:4">
      <c r="A10473" s="3"/>
      <c r="D10473" s="3"/>
    </row>
    <row r="10474" spans="1:4">
      <c r="A10474" s="3"/>
      <c r="D10474" s="3"/>
    </row>
    <row r="10475" spans="1:4">
      <c r="A10475" s="3"/>
      <c r="D10475" s="3"/>
    </row>
    <row r="10476" spans="1:4">
      <c r="A10476" s="3"/>
      <c r="D10476" s="3"/>
    </row>
    <row r="10477" spans="1:4">
      <c r="A10477" s="3"/>
      <c r="D10477" s="3"/>
    </row>
    <row r="10478" spans="1:4">
      <c r="A10478" s="3"/>
      <c r="D10478" s="3"/>
    </row>
    <row r="10479" spans="1:4">
      <c r="A10479" s="3"/>
      <c r="D10479" s="3"/>
    </row>
    <row r="10480" spans="1:4">
      <c r="A10480" s="3"/>
      <c r="D10480" s="3"/>
    </row>
    <row r="10481" spans="1:4">
      <c r="A10481" s="3"/>
      <c r="D10481" s="3"/>
    </row>
    <row r="10482" spans="1:4">
      <c r="A10482" s="3"/>
      <c r="D10482" s="3"/>
    </row>
    <row r="10483" spans="1:4">
      <c r="A10483" s="3"/>
      <c r="D10483" s="3"/>
    </row>
    <row r="10484" spans="1:4">
      <c r="A10484" s="3"/>
      <c r="D10484" s="3"/>
    </row>
    <row r="10485" spans="1:4">
      <c r="A10485" s="3"/>
      <c r="D10485" s="3"/>
    </row>
    <row r="10486" spans="1:4">
      <c r="A10486" s="3"/>
      <c r="D10486" s="3"/>
    </row>
    <row r="10487" spans="1:4">
      <c r="A10487" s="3"/>
      <c r="D10487" s="3"/>
    </row>
    <row r="10488" spans="1:4">
      <c r="A10488" s="3"/>
      <c r="D10488" s="3"/>
    </row>
    <row r="10489" spans="1:4">
      <c r="A10489" s="3"/>
      <c r="D10489" s="3"/>
    </row>
    <row r="10490" spans="1:4">
      <c r="A10490" s="3"/>
      <c r="D10490" s="3"/>
    </row>
    <row r="10491" spans="1:4">
      <c r="A10491" s="3"/>
      <c r="D10491" s="3"/>
    </row>
    <row r="10492" spans="1:4">
      <c r="A10492" s="3"/>
      <c r="D10492" s="3"/>
    </row>
    <row r="10493" spans="1:4">
      <c r="A10493" s="3"/>
      <c r="D10493" s="3"/>
    </row>
    <row r="10494" spans="1:4">
      <c r="A10494" s="3"/>
      <c r="D10494" s="3"/>
    </row>
    <row r="10495" spans="1:4">
      <c r="A10495" s="3"/>
      <c r="D10495" s="3"/>
    </row>
    <row r="10496" spans="1:4">
      <c r="A10496" s="3"/>
      <c r="D10496" s="3"/>
    </row>
    <row r="10497" spans="1:4">
      <c r="A10497" s="3"/>
      <c r="D10497" s="3"/>
    </row>
    <row r="10498" spans="1:4">
      <c r="A10498" s="3"/>
      <c r="D10498" s="3"/>
    </row>
    <row r="10499" spans="1:4">
      <c r="A10499" s="3"/>
      <c r="D10499" s="3"/>
    </row>
    <row r="10500" spans="1:4">
      <c r="A10500" s="3"/>
      <c r="D10500" s="3"/>
    </row>
    <row r="10501" spans="1:4">
      <c r="A10501" s="3"/>
      <c r="D10501" s="3"/>
    </row>
    <row r="10502" spans="1:4">
      <c r="A10502" s="3"/>
      <c r="D10502" s="3"/>
    </row>
    <row r="10503" spans="1:4">
      <c r="A10503" s="3"/>
      <c r="D10503" s="3"/>
    </row>
    <row r="10504" spans="1:4">
      <c r="A10504" s="3"/>
      <c r="D10504" s="3"/>
    </row>
    <row r="10505" spans="1:4">
      <c r="A10505" s="3"/>
      <c r="D10505" s="3"/>
    </row>
    <row r="10506" spans="1:4">
      <c r="A10506" s="3"/>
      <c r="D10506" s="3"/>
    </row>
    <row r="10507" spans="1:4">
      <c r="A10507" s="3"/>
      <c r="D10507" s="3"/>
    </row>
    <row r="10508" spans="1:4">
      <c r="A10508" s="3"/>
      <c r="D10508" s="3"/>
    </row>
    <row r="10509" spans="1:4">
      <c r="A10509" s="3"/>
      <c r="D10509" s="3"/>
    </row>
    <row r="10510" spans="1:4">
      <c r="A10510" s="3"/>
      <c r="D10510" s="3"/>
    </row>
    <row r="10511" spans="1:4">
      <c r="A10511" s="3"/>
      <c r="D10511" s="3"/>
    </row>
    <row r="10512" spans="1:4">
      <c r="A10512" s="3"/>
      <c r="D10512" s="3"/>
    </row>
    <row r="10513" spans="1:4">
      <c r="A10513" s="3"/>
      <c r="D10513" s="3"/>
    </row>
    <row r="10514" spans="1:4">
      <c r="A10514" s="3"/>
      <c r="D10514" s="3"/>
    </row>
    <row r="10515" spans="1:4">
      <c r="A10515" s="3"/>
      <c r="D10515" s="3"/>
    </row>
    <row r="10516" spans="1:4">
      <c r="A10516" s="3"/>
      <c r="D10516" s="3"/>
    </row>
    <row r="10517" spans="1:4">
      <c r="A10517" s="3"/>
      <c r="D10517" s="3"/>
    </row>
    <row r="10518" spans="1:4">
      <c r="A10518" s="3"/>
      <c r="D10518" s="3"/>
    </row>
    <row r="10519" spans="1:4">
      <c r="A10519" s="3"/>
      <c r="D10519" s="3"/>
    </row>
    <row r="10520" spans="1:4">
      <c r="A10520" s="3"/>
      <c r="D10520" s="3"/>
    </row>
    <row r="10521" spans="1:4">
      <c r="A10521" s="3"/>
      <c r="D10521" s="3"/>
    </row>
    <row r="10522" spans="1:4">
      <c r="A10522" s="3"/>
      <c r="D10522" s="3"/>
    </row>
    <row r="10523" spans="1:4">
      <c r="A10523" s="3"/>
      <c r="D10523" s="3"/>
    </row>
    <row r="10524" spans="1:4">
      <c r="A10524" s="3"/>
      <c r="D10524" s="3"/>
    </row>
    <row r="10525" spans="1:4">
      <c r="A10525" s="3"/>
      <c r="D10525" s="3"/>
    </row>
    <row r="10526" spans="1:4">
      <c r="A10526" s="3"/>
      <c r="D10526" s="3"/>
    </row>
    <row r="10527" spans="1:4">
      <c r="A10527" s="3"/>
      <c r="D10527" s="3"/>
    </row>
    <row r="10528" spans="1:4">
      <c r="A10528" s="3"/>
      <c r="D10528" s="3"/>
    </row>
    <row r="10529" spans="1:4">
      <c r="A10529" s="3"/>
      <c r="D10529" s="3"/>
    </row>
    <row r="10530" spans="1:4">
      <c r="A10530" s="3"/>
      <c r="D10530" s="3"/>
    </row>
    <row r="10531" spans="1:4">
      <c r="A10531" s="3"/>
      <c r="D10531" s="3"/>
    </row>
    <row r="10532" spans="1:4">
      <c r="A10532" s="3"/>
      <c r="D10532" s="3"/>
    </row>
    <row r="10533" spans="1:4">
      <c r="A10533" s="3"/>
      <c r="D10533" s="3"/>
    </row>
    <row r="10534" spans="1:4">
      <c r="A10534" s="3"/>
      <c r="D10534" s="3"/>
    </row>
    <row r="10535" spans="1:4">
      <c r="A10535" s="3"/>
      <c r="D10535" s="3"/>
    </row>
    <row r="10536" spans="1:4">
      <c r="A10536" s="3"/>
      <c r="D10536" s="3"/>
    </row>
    <row r="10537" spans="1:4">
      <c r="A10537" s="3"/>
      <c r="D10537" s="3"/>
    </row>
    <row r="10538" spans="1:4">
      <c r="A10538" s="3"/>
      <c r="D10538" s="3"/>
    </row>
    <row r="10539" spans="1:4">
      <c r="A10539" s="3"/>
      <c r="D10539" s="3"/>
    </row>
    <row r="10540" spans="1:4">
      <c r="A10540" s="3"/>
      <c r="D10540" s="3"/>
    </row>
    <row r="10541" spans="1:4">
      <c r="A10541" s="3"/>
      <c r="D10541" s="3"/>
    </row>
    <row r="10542" spans="1:4">
      <c r="A10542" s="3"/>
      <c r="D10542" s="3"/>
    </row>
    <row r="10543" spans="1:4">
      <c r="A10543" s="3"/>
      <c r="D10543" s="3"/>
    </row>
    <row r="10544" spans="1:4">
      <c r="A10544" s="3"/>
      <c r="D10544" s="3"/>
    </row>
    <row r="10545" spans="1:4">
      <c r="A10545" s="3"/>
      <c r="D10545" s="3"/>
    </row>
    <row r="10546" spans="1:4">
      <c r="A10546" s="3"/>
      <c r="D10546" s="3"/>
    </row>
    <row r="10547" spans="1:4">
      <c r="A10547" s="3"/>
      <c r="D10547" s="3"/>
    </row>
    <row r="10548" spans="1:4">
      <c r="A10548" s="3"/>
      <c r="D10548" s="3"/>
    </row>
    <row r="10549" spans="1:4">
      <c r="A10549" s="3"/>
      <c r="D10549" s="3"/>
    </row>
    <row r="10550" spans="1:4">
      <c r="A10550" s="3"/>
      <c r="D10550" s="3"/>
    </row>
    <row r="10551" spans="1:4">
      <c r="A10551" s="3"/>
      <c r="D10551" s="3"/>
    </row>
    <row r="10552" spans="1:4">
      <c r="A10552" s="3"/>
      <c r="D10552" s="3"/>
    </row>
    <row r="10553" spans="1:4">
      <c r="A10553" s="3"/>
      <c r="D10553" s="3"/>
    </row>
    <row r="10554" spans="1:4">
      <c r="A10554" s="3"/>
      <c r="D10554" s="3"/>
    </row>
    <row r="10555" spans="1:4">
      <c r="A10555" s="3"/>
      <c r="D10555" s="3"/>
    </row>
    <row r="10556" spans="1:4">
      <c r="A10556" s="3"/>
      <c r="D10556" s="3"/>
    </row>
    <row r="10557" spans="1:4">
      <c r="A10557" s="3"/>
      <c r="D10557" s="3"/>
    </row>
    <row r="10558" spans="1:4">
      <c r="A10558" s="3"/>
      <c r="D10558" s="3"/>
    </row>
    <row r="10559" spans="1:4">
      <c r="A10559" s="3"/>
      <c r="D10559" s="3"/>
    </row>
    <row r="10560" spans="1:4">
      <c r="A10560" s="3"/>
      <c r="D10560" s="3"/>
    </row>
    <row r="10561" spans="1:4">
      <c r="A10561" s="3"/>
      <c r="D10561" s="3"/>
    </row>
    <row r="10562" spans="1:4">
      <c r="A10562" s="3"/>
      <c r="D10562" s="3"/>
    </row>
    <row r="10563" spans="1:4">
      <c r="A10563" s="3"/>
      <c r="D10563" s="3"/>
    </row>
    <row r="10564" spans="1:4">
      <c r="A10564" s="3"/>
      <c r="D10564" s="3"/>
    </row>
    <row r="10565" spans="1:4">
      <c r="A10565" s="3"/>
      <c r="D10565" s="3"/>
    </row>
    <row r="10566" spans="1:4">
      <c r="A10566" s="3"/>
      <c r="D10566" s="3"/>
    </row>
    <row r="10567" spans="1:4">
      <c r="A10567" s="3"/>
      <c r="D10567" s="3"/>
    </row>
    <row r="10568" spans="1:4">
      <c r="A10568" s="3"/>
      <c r="D10568" s="3"/>
    </row>
    <row r="10569" spans="1:4">
      <c r="A10569" s="3"/>
      <c r="D10569" s="3"/>
    </row>
    <row r="10570" spans="1:4">
      <c r="A10570" s="3"/>
      <c r="D10570" s="3"/>
    </row>
    <row r="10571" spans="1:4">
      <c r="A10571" s="3"/>
      <c r="D10571" s="3"/>
    </row>
    <row r="10572" spans="1:4">
      <c r="A10572" s="3"/>
      <c r="D10572" s="3"/>
    </row>
    <row r="10573" spans="1:4">
      <c r="A10573" s="3"/>
      <c r="D10573" s="3"/>
    </row>
    <row r="10574" spans="1:4">
      <c r="A10574" s="3"/>
      <c r="D10574" s="3"/>
    </row>
    <row r="10575" spans="1:4">
      <c r="A10575" s="3"/>
      <c r="D10575" s="3"/>
    </row>
    <row r="10576" spans="1:4">
      <c r="A10576" s="3"/>
      <c r="D10576" s="3"/>
    </row>
    <row r="10577" spans="1:4">
      <c r="A10577" s="3"/>
      <c r="D10577" s="3"/>
    </row>
    <row r="10578" spans="1:4">
      <c r="A10578" s="3"/>
      <c r="D10578" s="3"/>
    </row>
    <row r="10579" spans="1:4">
      <c r="A10579" s="3"/>
      <c r="D10579" s="3"/>
    </row>
    <row r="10580" spans="1:4">
      <c r="A10580" s="3"/>
      <c r="D10580" s="3"/>
    </row>
    <row r="10581" spans="1:4">
      <c r="A10581" s="3"/>
      <c r="D10581" s="3"/>
    </row>
    <row r="10582" spans="1:4">
      <c r="A10582" s="3"/>
      <c r="D10582" s="3"/>
    </row>
    <row r="10583" spans="1:4">
      <c r="A10583" s="3"/>
      <c r="D10583" s="3"/>
    </row>
    <row r="10584" spans="1:4">
      <c r="A10584" s="3"/>
      <c r="D10584" s="3"/>
    </row>
    <row r="10585" spans="1:4">
      <c r="A10585" s="3"/>
      <c r="D10585" s="3"/>
    </row>
    <row r="10586" spans="1:4">
      <c r="A10586" s="3"/>
      <c r="D10586" s="3"/>
    </row>
    <row r="10587" spans="1:4">
      <c r="A10587" s="3"/>
      <c r="D10587" s="3"/>
    </row>
    <row r="10588" spans="1:4">
      <c r="A10588" s="3"/>
      <c r="D10588" s="3"/>
    </row>
    <row r="10589" spans="1:4">
      <c r="A10589" s="3"/>
      <c r="D10589" s="3"/>
    </row>
    <row r="10590" spans="1:4">
      <c r="A10590" s="3"/>
      <c r="D10590" s="3"/>
    </row>
    <row r="10591" spans="1:4">
      <c r="A10591" s="3"/>
      <c r="D10591" s="3"/>
    </row>
    <row r="10592" spans="1:4">
      <c r="A10592" s="3"/>
      <c r="D10592" s="3"/>
    </row>
    <row r="10593" spans="1:4">
      <c r="A10593" s="3"/>
      <c r="D10593" s="3"/>
    </row>
    <row r="10594" spans="1:4">
      <c r="A10594" s="3"/>
      <c r="D10594" s="3"/>
    </row>
    <row r="10595" spans="1:4">
      <c r="A10595" s="3"/>
      <c r="D10595" s="3"/>
    </row>
    <row r="10596" spans="1:4">
      <c r="A10596" s="3"/>
      <c r="D10596" s="3"/>
    </row>
    <row r="10597" spans="1:4">
      <c r="A10597" s="3"/>
      <c r="D10597" s="3"/>
    </row>
    <row r="10598" spans="1:4">
      <c r="A10598" s="3"/>
      <c r="D10598" s="3"/>
    </row>
    <row r="10599" spans="1:4">
      <c r="A10599" s="3"/>
      <c r="D10599" s="3"/>
    </row>
    <row r="10600" spans="1:4">
      <c r="A10600" s="3"/>
      <c r="D10600" s="3"/>
    </row>
    <row r="10601" spans="1:4">
      <c r="A10601" s="3"/>
      <c r="D10601" s="3"/>
    </row>
    <row r="10602" spans="1:4">
      <c r="A10602" s="3"/>
      <c r="D10602" s="3"/>
    </row>
    <row r="10603" spans="1:4">
      <c r="A10603" s="3"/>
      <c r="D10603" s="3"/>
    </row>
    <row r="10604" spans="1:4">
      <c r="A10604" s="3"/>
      <c r="D10604" s="3"/>
    </row>
    <row r="10605" spans="1:4">
      <c r="A10605" s="3"/>
      <c r="D10605" s="3"/>
    </row>
    <row r="10606" spans="1:4">
      <c r="A10606" s="3"/>
      <c r="D10606" s="3"/>
    </row>
    <row r="10607" spans="1:4">
      <c r="A10607" s="3"/>
      <c r="D10607" s="3"/>
    </row>
    <row r="10608" spans="1:4">
      <c r="A10608" s="3"/>
      <c r="D10608" s="3"/>
    </row>
    <row r="10609" spans="1:4">
      <c r="A10609" s="3"/>
      <c r="D10609" s="3"/>
    </row>
    <row r="10610" spans="1:4">
      <c r="A10610" s="3"/>
      <c r="D10610" s="3"/>
    </row>
    <row r="10611" spans="1:4">
      <c r="A10611" s="3"/>
      <c r="D10611" s="3"/>
    </row>
    <row r="10612" spans="1:4">
      <c r="A10612" s="3"/>
      <c r="D10612" s="3"/>
    </row>
    <row r="10613" spans="1:4">
      <c r="A10613" s="3"/>
      <c r="D10613" s="3"/>
    </row>
    <row r="10614" spans="1:4">
      <c r="A10614" s="3"/>
      <c r="D10614" s="3"/>
    </row>
    <row r="10615" spans="1:4">
      <c r="A10615" s="3"/>
      <c r="D10615" s="3"/>
    </row>
    <row r="10616" spans="1:4">
      <c r="A10616" s="3"/>
      <c r="D10616" s="3"/>
    </row>
    <row r="10617" spans="1:4">
      <c r="A10617" s="3"/>
      <c r="D10617" s="3"/>
    </row>
    <row r="10618" spans="1:4">
      <c r="A10618" s="3"/>
      <c r="D10618" s="3"/>
    </row>
    <row r="10619" spans="1:4">
      <c r="A10619" s="3"/>
      <c r="D10619" s="3"/>
    </row>
    <row r="10620" spans="1:4">
      <c r="A10620" s="3"/>
      <c r="D10620" s="3"/>
    </row>
    <row r="10621" spans="1:4">
      <c r="A10621" s="3"/>
      <c r="D10621" s="3"/>
    </row>
    <row r="10622" spans="1:4">
      <c r="A10622" s="3"/>
      <c r="D10622" s="3"/>
    </row>
    <row r="10623" spans="1:4">
      <c r="A10623" s="3"/>
      <c r="D10623" s="3"/>
    </row>
    <row r="10624" spans="1:4">
      <c r="A10624" s="3"/>
      <c r="D10624" s="3"/>
    </row>
    <row r="10625" spans="1:4">
      <c r="A10625" s="3"/>
      <c r="D10625" s="3"/>
    </row>
    <row r="10626" spans="1:4">
      <c r="A10626" s="3"/>
      <c r="D10626" s="3"/>
    </row>
    <row r="10627" spans="1:4">
      <c r="A10627" s="3"/>
      <c r="D10627" s="3"/>
    </row>
    <row r="10628" spans="1:4">
      <c r="A10628" s="3"/>
      <c r="D10628" s="3"/>
    </row>
    <row r="10629" spans="1:4">
      <c r="A10629" s="3"/>
      <c r="D10629" s="3"/>
    </row>
    <row r="10630" spans="1:4">
      <c r="A10630" s="3"/>
      <c r="D10630" s="3"/>
    </row>
    <row r="10631" spans="1:4">
      <c r="A10631" s="3"/>
      <c r="D10631" s="3"/>
    </row>
    <row r="10632" spans="1:4">
      <c r="A10632" s="3"/>
      <c r="D10632" s="3"/>
    </row>
    <row r="10633" spans="1:4">
      <c r="A10633" s="3"/>
      <c r="D10633" s="3"/>
    </row>
    <row r="10634" spans="1:4">
      <c r="A10634" s="3"/>
      <c r="D10634" s="3"/>
    </row>
    <row r="10635" spans="1:4">
      <c r="A10635" s="3"/>
      <c r="D10635" s="3"/>
    </row>
    <row r="10636" spans="1:4">
      <c r="A10636" s="3"/>
      <c r="D10636" s="3"/>
    </row>
    <row r="10637" spans="1:4">
      <c r="A10637" s="3"/>
      <c r="D10637" s="3"/>
    </row>
    <row r="10638" spans="1:4">
      <c r="A10638" s="3"/>
      <c r="D10638" s="3"/>
    </row>
    <row r="10639" spans="1:4">
      <c r="A10639" s="3"/>
      <c r="D10639" s="3"/>
    </row>
    <row r="10640" spans="1:4">
      <c r="A10640" s="3"/>
      <c r="D10640" s="3"/>
    </row>
    <row r="10641" spans="1:4">
      <c r="A10641" s="3"/>
      <c r="D10641" s="3"/>
    </row>
    <row r="10642" spans="1:4">
      <c r="A10642" s="3"/>
      <c r="D10642" s="3"/>
    </row>
    <row r="10643" spans="1:4">
      <c r="A10643" s="3"/>
      <c r="D10643" s="3"/>
    </row>
    <row r="10644" spans="1:4">
      <c r="A10644" s="3"/>
      <c r="D10644" s="3"/>
    </row>
    <row r="10645" spans="1:4">
      <c r="A10645" s="3"/>
      <c r="D10645" s="3"/>
    </row>
    <row r="10646" spans="1:4">
      <c r="A10646" s="3"/>
      <c r="D10646" s="3"/>
    </row>
    <row r="10647" spans="1:4">
      <c r="A10647" s="3"/>
      <c r="D10647" s="3"/>
    </row>
    <row r="10648" spans="1:4">
      <c r="A10648" s="3"/>
      <c r="D10648" s="3"/>
    </row>
    <row r="10649" spans="1:4">
      <c r="A10649" s="3"/>
      <c r="D10649" s="3"/>
    </row>
    <row r="10650" spans="1:4">
      <c r="A10650" s="3"/>
      <c r="D10650" s="3"/>
    </row>
    <row r="10651" spans="1:4">
      <c r="A10651" s="3"/>
      <c r="D10651" s="3"/>
    </row>
    <row r="10652" spans="1:4">
      <c r="A10652" s="3"/>
      <c r="D10652" s="3"/>
    </row>
    <row r="10653" spans="1:4">
      <c r="A10653" s="3"/>
      <c r="D10653" s="3"/>
    </row>
    <row r="10654" spans="1:4">
      <c r="A10654" s="3"/>
      <c r="D10654" s="3"/>
    </row>
    <row r="10655" spans="1:4">
      <c r="A10655" s="3"/>
      <c r="D10655" s="3"/>
    </row>
    <row r="10656" spans="1:4">
      <c r="A10656" s="3"/>
      <c r="D10656" s="3"/>
    </row>
    <row r="10657" spans="1:4">
      <c r="A10657" s="3"/>
      <c r="D10657" s="3"/>
    </row>
    <row r="10658" spans="1:4">
      <c r="A10658" s="3"/>
      <c r="D10658" s="3"/>
    </row>
    <row r="10659" spans="1:4">
      <c r="A10659" s="3"/>
      <c r="D10659" s="3"/>
    </row>
    <row r="10660" spans="1:4">
      <c r="A10660" s="3"/>
      <c r="D10660" s="3"/>
    </row>
    <row r="10661" spans="1:4">
      <c r="A10661" s="3"/>
      <c r="D10661" s="3"/>
    </row>
    <row r="10662" spans="1:4">
      <c r="A10662" s="3"/>
      <c r="D10662" s="3"/>
    </row>
    <row r="10663" spans="1:4">
      <c r="A10663" s="3"/>
      <c r="D10663" s="3"/>
    </row>
    <row r="10664" spans="1:4">
      <c r="A10664" s="3"/>
      <c r="D10664" s="3"/>
    </row>
    <row r="10665" spans="1:4">
      <c r="A10665" s="3"/>
      <c r="D10665" s="3"/>
    </row>
    <row r="10666" spans="1:4">
      <c r="A10666" s="3"/>
      <c r="D10666" s="3"/>
    </row>
    <row r="10667" spans="1:4">
      <c r="A10667" s="3"/>
      <c r="D10667" s="3"/>
    </row>
    <row r="10668" spans="1:4">
      <c r="A10668" s="3"/>
      <c r="D10668" s="3"/>
    </row>
    <row r="10669" spans="1:4">
      <c r="A10669" s="3"/>
      <c r="D10669" s="3"/>
    </row>
    <row r="10670" spans="1:4">
      <c r="A10670" s="3"/>
      <c r="D10670" s="3"/>
    </row>
    <row r="10671" spans="1:4">
      <c r="A10671" s="3"/>
      <c r="D10671" s="3"/>
    </row>
    <row r="10672" spans="1:4">
      <c r="A10672" s="3"/>
      <c r="D10672" s="3"/>
    </row>
    <row r="10673" spans="1:4">
      <c r="A10673" s="3"/>
      <c r="D10673" s="3"/>
    </row>
    <row r="10674" spans="1:4">
      <c r="A10674" s="3"/>
      <c r="D10674" s="3"/>
    </row>
    <row r="10675" spans="1:4">
      <c r="A10675" s="3"/>
      <c r="D10675" s="3"/>
    </row>
    <row r="10676" spans="1:4">
      <c r="A10676" s="3"/>
      <c r="D10676" s="3"/>
    </row>
    <row r="10677" spans="1:4">
      <c r="A10677" s="3"/>
      <c r="D10677" s="3"/>
    </row>
    <row r="10678" spans="1:4">
      <c r="A10678" s="3"/>
      <c r="D10678" s="3"/>
    </row>
    <row r="10679" spans="1:4">
      <c r="A10679" s="3"/>
      <c r="D10679" s="3"/>
    </row>
    <row r="10680" spans="1:4">
      <c r="A10680" s="3"/>
      <c r="D10680" s="3"/>
    </row>
    <row r="10681" spans="1:4">
      <c r="A10681" s="3"/>
      <c r="D10681" s="3"/>
    </row>
    <row r="10682" spans="1:4">
      <c r="A10682" s="3"/>
      <c r="D10682" s="3"/>
    </row>
    <row r="10683" spans="1:4">
      <c r="A10683" s="3"/>
      <c r="D10683" s="3"/>
    </row>
    <row r="10684" spans="1:4">
      <c r="A10684" s="3"/>
      <c r="D10684" s="3"/>
    </row>
    <row r="10685" spans="1:4">
      <c r="A10685" s="3"/>
      <c r="D10685" s="3"/>
    </row>
    <row r="10686" spans="1:4">
      <c r="A10686" s="3"/>
      <c r="D10686" s="3"/>
    </row>
    <row r="10687" spans="1:4">
      <c r="A10687" s="3"/>
      <c r="D10687" s="3"/>
    </row>
    <row r="10688" spans="1:4">
      <c r="A10688" s="3"/>
      <c r="D10688" s="3"/>
    </row>
    <row r="10689" spans="1:4">
      <c r="A10689" s="3"/>
      <c r="D10689" s="3"/>
    </row>
    <row r="10690" spans="1:4">
      <c r="A10690" s="3"/>
      <c r="D10690" s="3"/>
    </row>
    <row r="10691" spans="1:4">
      <c r="A10691" s="3"/>
      <c r="D10691" s="3"/>
    </row>
    <row r="10692" spans="1:4">
      <c r="A10692" s="3"/>
      <c r="D10692" s="3"/>
    </row>
    <row r="10693" spans="1:4">
      <c r="A10693" s="3"/>
      <c r="D10693" s="3"/>
    </row>
    <row r="10694" spans="1:4">
      <c r="A10694" s="3"/>
      <c r="D10694" s="3"/>
    </row>
    <row r="10695" spans="1:4">
      <c r="A10695" s="3"/>
      <c r="D10695" s="3"/>
    </row>
    <row r="10696" spans="1:4">
      <c r="A10696" s="3"/>
      <c r="D10696" s="3"/>
    </row>
    <row r="10697" spans="1:4">
      <c r="A10697" s="3"/>
      <c r="D10697" s="3"/>
    </row>
    <row r="10698" spans="1:4">
      <c r="A10698" s="3"/>
      <c r="D10698" s="3"/>
    </row>
    <row r="10699" spans="1:4">
      <c r="A10699" s="3"/>
      <c r="D10699" s="3"/>
    </row>
    <row r="10700" spans="1:4">
      <c r="A10700" s="3"/>
      <c r="D10700" s="3"/>
    </row>
    <row r="10701" spans="1:4">
      <c r="A10701" s="3"/>
      <c r="D10701" s="3"/>
    </row>
    <row r="10702" spans="1:4">
      <c r="A10702" s="3"/>
      <c r="D10702" s="3"/>
    </row>
    <row r="10703" spans="1:4">
      <c r="A10703" s="3"/>
      <c r="D10703" s="3"/>
    </row>
    <row r="10704" spans="1:4">
      <c r="A10704" s="3"/>
      <c r="D10704" s="3"/>
    </row>
    <row r="10705" spans="1:4">
      <c r="A10705" s="3"/>
      <c r="D10705" s="3"/>
    </row>
    <row r="10706" spans="1:4">
      <c r="A10706" s="3"/>
      <c r="D10706" s="3"/>
    </row>
    <row r="10707" spans="1:4">
      <c r="A10707" s="3"/>
      <c r="D10707" s="3"/>
    </row>
    <row r="10708" spans="1:4">
      <c r="A10708" s="3"/>
      <c r="D10708" s="3"/>
    </row>
    <row r="10709" spans="1:4">
      <c r="A10709" s="3"/>
      <c r="D10709" s="3"/>
    </row>
    <row r="10710" spans="1:4">
      <c r="A10710" s="3"/>
      <c r="D10710" s="3"/>
    </row>
    <row r="10711" spans="1:4">
      <c r="A10711" s="3"/>
      <c r="D10711" s="3"/>
    </row>
    <row r="10712" spans="1:4">
      <c r="A10712" s="3"/>
      <c r="D10712" s="3"/>
    </row>
    <row r="10713" spans="1:4">
      <c r="A10713" s="3"/>
      <c r="D10713" s="3"/>
    </row>
    <row r="10714" spans="1:4">
      <c r="A10714" s="3"/>
      <c r="D10714" s="3"/>
    </row>
    <row r="10715" spans="1:4">
      <c r="A10715" s="3"/>
      <c r="D10715" s="3"/>
    </row>
    <row r="10716" spans="1:4">
      <c r="A10716" s="3"/>
      <c r="D10716" s="3"/>
    </row>
    <row r="10717" spans="1:4">
      <c r="A10717" s="3"/>
      <c r="D10717" s="3"/>
    </row>
    <row r="10718" spans="1:4">
      <c r="A10718" s="3"/>
      <c r="D10718" s="3"/>
    </row>
    <row r="10719" spans="1:4">
      <c r="A10719" s="3"/>
      <c r="D10719" s="3"/>
    </row>
    <row r="10720" spans="1:4">
      <c r="A10720" s="3"/>
      <c r="D10720" s="3"/>
    </row>
    <row r="10721" spans="1:4">
      <c r="A10721" s="3"/>
      <c r="D10721" s="3"/>
    </row>
    <row r="10722" spans="1:4">
      <c r="A10722" s="3"/>
      <c r="D10722" s="3"/>
    </row>
    <row r="10723" spans="1:4">
      <c r="A10723" s="3"/>
      <c r="D10723" s="3"/>
    </row>
    <row r="10724" spans="1:4">
      <c r="A10724" s="3"/>
      <c r="D10724" s="3"/>
    </row>
    <row r="10725" spans="1:4">
      <c r="A10725" s="3"/>
      <c r="D10725" s="3"/>
    </row>
    <row r="10726" spans="1:4">
      <c r="A10726" s="3"/>
      <c r="D10726" s="3"/>
    </row>
    <row r="10727" spans="1:4">
      <c r="A10727" s="3"/>
      <c r="D10727" s="3"/>
    </row>
    <row r="10728" spans="1:4">
      <c r="A10728" s="3"/>
      <c r="D10728" s="3"/>
    </row>
    <row r="10729" spans="1:4">
      <c r="A10729" s="3"/>
      <c r="D10729" s="3"/>
    </row>
    <row r="10730" spans="1:4">
      <c r="A10730" s="3"/>
      <c r="D10730" s="3"/>
    </row>
    <row r="10731" spans="1:4">
      <c r="A10731" s="3"/>
      <c r="D10731" s="3"/>
    </row>
    <row r="10732" spans="1:4">
      <c r="A10732" s="3"/>
      <c r="D10732" s="3"/>
    </row>
    <row r="10733" spans="1:4">
      <c r="A10733" s="3"/>
      <c r="D10733" s="3"/>
    </row>
    <row r="10734" spans="1:4">
      <c r="A10734" s="3"/>
      <c r="D10734" s="3"/>
    </row>
    <row r="10735" spans="1:4">
      <c r="A10735" s="3"/>
      <c r="D10735" s="3"/>
    </row>
    <row r="10736" spans="1:4">
      <c r="A10736" s="3"/>
      <c r="D10736" s="3"/>
    </row>
    <row r="10737" spans="1:4">
      <c r="A10737" s="3"/>
      <c r="D10737" s="3"/>
    </row>
    <row r="10738" spans="1:4">
      <c r="A10738" s="3"/>
      <c r="D10738" s="3"/>
    </row>
    <row r="10739" spans="1:4">
      <c r="A10739" s="3"/>
      <c r="D10739" s="3"/>
    </row>
    <row r="10740" spans="1:4">
      <c r="A10740" s="3"/>
      <c r="D10740" s="3"/>
    </row>
    <row r="10741" spans="1:4">
      <c r="A10741" s="3"/>
      <c r="D10741" s="3"/>
    </row>
    <row r="10742" spans="1:4">
      <c r="A10742" s="3"/>
      <c r="D10742" s="3"/>
    </row>
    <row r="10743" spans="1:4">
      <c r="A10743" s="3"/>
      <c r="D10743" s="3"/>
    </row>
    <row r="10744" spans="1:4">
      <c r="A10744" s="3"/>
      <c r="D10744" s="3"/>
    </row>
    <row r="10745" spans="1:4">
      <c r="A10745" s="3"/>
      <c r="D10745" s="3"/>
    </row>
    <row r="10746" spans="1:4">
      <c r="A10746" s="3"/>
      <c r="D10746" s="3"/>
    </row>
    <row r="10747" spans="1:4">
      <c r="A10747" s="3"/>
      <c r="D10747" s="3"/>
    </row>
    <row r="10748" spans="1:4">
      <c r="A10748" s="3"/>
      <c r="D10748" s="3"/>
    </row>
    <row r="10749" spans="1:4">
      <c r="A10749" s="3"/>
      <c r="D10749" s="3"/>
    </row>
    <row r="10750" spans="1:4">
      <c r="A10750" s="3"/>
      <c r="D10750" s="3"/>
    </row>
    <row r="10751" spans="1:4">
      <c r="A10751" s="3"/>
      <c r="D10751" s="3"/>
    </row>
    <row r="10752" spans="1:4">
      <c r="A10752" s="3"/>
      <c r="D10752" s="3"/>
    </row>
    <row r="10753" spans="1:4">
      <c r="A10753" s="3"/>
      <c r="D10753" s="3"/>
    </row>
    <row r="10754" spans="1:4">
      <c r="A10754" s="3"/>
      <c r="D10754" s="3"/>
    </row>
    <row r="10755" spans="1:4">
      <c r="A10755" s="3"/>
      <c r="D10755" s="3"/>
    </row>
    <row r="10756" spans="1:4">
      <c r="A10756" s="3"/>
      <c r="D10756" s="3"/>
    </row>
    <row r="10757" spans="1:4">
      <c r="A10757" s="3"/>
      <c r="D10757" s="3"/>
    </row>
    <row r="10758" spans="1:4">
      <c r="A10758" s="3"/>
      <c r="D10758" s="3"/>
    </row>
    <row r="10759" spans="1:4">
      <c r="A10759" s="3"/>
      <c r="D10759" s="3"/>
    </row>
    <row r="10760" spans="1:4">
      <c r="A10760" s="3"/>
      <c r="D10760" s="3"/>
    </row>
    <row r="10761" spans="1:4">
      <c r="A10761" s="3"/>
      <c r="D10761" s="3"/>
    </row>
    <row r="10762" spans="1:4">
      <c r="A10762" s="3"/>
      <c r="D10762" s="3"/>
    </row>
    <row r="10763" spans="1:4">
      <c r="A10763" s="3"/>
      <c r="D10763" s="3"/>
    </row>
    <row r="10764" spans="1:4">
      <c r="A10764" s="3"/>
      <c r="D10764" s="3"/>
    </row>
    <row r="10765" spans="1:4">
      <c r="A10765" s="3"/>
      <c r="D10765" s="3"/>
    </row>
    <row r="10766" spans="1:4">
      <c r="A10766" s="3"/>
      <c r="D10766" s="3"/>
    </row>
    <row r="10767" spans="1:4">
      <c r="A10767" s="3"/>
      <c r="D10767" s="3"/>
    </row>
    <row r="10768" spans="1:4">
      <c r="A10768" s="3"/>
      <c r="D10768" s="3"/>
    </row>
    <row r="10769" spans="1:4">
      <c r="A10769" s="3"/>
      <c r="D10769" s="3"/>
    </row>
    <row r="10770" spans="1:4">
      <c r="A10770" s="3"/>
      <c r="D10770" s="3"/>
    </row>
    <row r="10771" spans="1:4">
      <c r="A10771" s="3"/>
      <c r="D10771" s="3"/>
    </row>
    <row r="10772" spans="1:4">
      <c r="A10772" s="3"/>
      <c r="D10772" s="3"/>
    </row>
    <row r="10773" spans="1:4">
      <c r="A10773" s="3"/>
      <c r="D10773" s="3"/>
    </row>
    <row r="10774" spans="1:4">
      <c r="A10774" s="3"/>
      <c r="D10774" s="3"/>
    </row>
    <row r="10775" spans="1:4">
      <c r="A10775" s="3"/>
      <c r="D10775" s="3"/>
    </row>
    <row r="10776" spans="1:4">
      <c r="A10776" s="3"/>
      <c r="D10776" s="3"/>
    </row>
    <row r="10777" spans="1:4">
      <c r="A10777" s="3"/>
      <c r="D10777" s="3"/>
    </row>
    <row r="10778" spans="1:4">
      <c r="A10778" s="3"/>
      <c r="D10778" s="3"/>
    </row>
    <row r="10779" spans="1:4">
      <c r="A10779" s="3"/>
      <c r="D10779" s="3"/>
    </row>
    <row r="10780" spans="1:4">
      <c r="A10780" s="3"/>
      <c r="D10780" s="3"/>
    </row>
    <row r="10781" spans="1:4">
      <c r="A10781" s="3"/>
      <c r="D10781" s="3"/>
    </row>
    <row r="10782" spans="1:4">
      <c r="A10782" s="3"/>
      <c r="D10782" s="3"/>
    </row>
    <row r="10783" spans="1:4">
      <c r="A10783" s="3"/>
      <c r="D10783" s="3"/>
    </row>
    <row r="10784" spans="1:4">
      <c r="A10784" s="3"/>
      <c r="D10784" s="3"/>
    </row>
    <row r="10785" spans="1:4">
      <c r="A10785" s="3"/>
      <c r="D10785" s="3"/>
    </row>
    <row r="10786" spans="1:4">
      <c r="A10786" s="3"/>
      <c r="D10786" s="3"/>
    </row>
    <row r="10787" spans="1:4">
      <c r="A10787" s="3"/>
      <c r="D10787" s="3"/>
    </row>
    <row r="10788" spans="1:4">
      <c r="A10788" s="3"/>
      <c r="D10788" s="3"/>
    </row>
    <row r="10789" spans="1:4">
      <c r="A10789" s="3"/>
      <c r="D10789" s="3"/>
    </row>
    <row r="10790" spans="1:4">
      <c r="A10790" s="3"/>
      <c r="D10790" s="3"/>
    </row>
    <row r="10791" spans="1:4">
      <c r="A10791" s="3"/>
      <c r="D10791" s="3"/>
    </row>
    <row r="10792" spans="1:4">
      <c r="A10792" s="3"/>
      <c r="D10792" s="3"/>
    </row>
    <row r="10793" spans="1:4">
      <c r="A10793" s="3"/>
      <c r="D10793" s="3"/>
    </row>
    <row r="10794" spans="1:4">
      <c r="A10794" s="3"/>
      <c r="D10794" s="3"/>
    </row>
    <row r="10795" spans="1:4">
      <c r="A10795" s="3"/>
      <c r="D10795" s="3"/>
    </row>
    <row r="10796" spans="1:4">
      <c r="A10796" s="3"/>
      <c r="D10796" s="3"/>
    </row>
    <row r="10797" spans="1:4">
      <c r="A10797" s="3"/>
      <c r="D10797" s="3"/>
    </row>
    <row r="10798" spans="1:4">
      <c r="A10798" s="3"/>
      <c r="D10798" s="3"/>
    </row>
    <row r="10799" spans="1:4">
      <c r="A10799" s="3"/>
      <c r="D10799" s="3"/>
    </row>
    <row r="10800" spans="1:4">
      <c r="A10800" s="3"/>
      <c r="D10800" s="3"/>
    </row>
    <row r="10801" spans="1:4">
      <c r="A10801" s="3"/>
      <c r="D10801" s="3"/>
    </row>
    <row r="10802" spans="1:4">
      <c r="A10802" s="3"/>
      <c r="D10802" s="3"/>
    </row>
    <row r="10803" spans="1:4">
      <c r="A10803" s="3"/>
      <c r="D10803" s="3"/>
    </row>
    <row r="10804" spans="1:4">
      <c r="A10804" s="3"/>
      <c r="D10804" s="3"/>
    </row>
    <row r="10805" spans="1:4">
      <c r="A10805" s="3"/>
      <c r="D10805" s="3"/>
    </row>
    <row r="10806" spans="1:4">
      <c r="A10806" s="3"/>
      <c r="D10806" s="3"/>
    </row>
    <row r="10807" spans="1:4">
      <c r="A10807" s="3"/>
      <c r="D10807" s="3"/>
    </row>
    <row r="10808" spans="1:4">
      <c r="A10808" s="3"/>
      <c r="D10808" s="3"/>
    </row>
    <row r="10809" spans="1:4">
      <c r="A10809" s="3"/>
      <c r="D10809" s="3"/>
    </row>
    <row r="10810" spans="1:4">
      <c r="A10810" s="3"/>
      <c r="D10810" s="3"/>
    </row>
    <row r="10811" spans="1:4">
      <c r="A10811" s="3"/>
      <c r="D10811" s="3"/>
    </row>
    <row r="10812" spans="1:4">
      <c r="A10812" s="3"/>
      <c r="D10812" s="3"/>
    </row>
    <row r="10813" spans="1:4">
      <c r="A10813" s="3"/>
      <c r="D10813" s="3"/>
    </row>
    <row r="10814" spans="1:4">
      <c r="A10814" s="3"/>
      <c r="D10814" s="3"/>
    </row>
    <row r="10815" spans="1:4">
      <c r="A10815" s="3"/>
      <c r="D10815" s="3"/>
    </row>
    <row r="10816" spans="1:4">
      <c r="A10816" s="3"/>
      <c r="D10816" s="3"/>
    </row>
    <row r="10817" spans="1:4">
      <c r="A10817" s="3"/>
      <c r="D10817" s="3"/>
    </row>
    <row r="10818" spans="1:4">
      <c r="A10818" s="3"/>
      <c r="D10818" s="3"/>
    </row>
    <row r="10819" spans="1:4">
      <c r="A10819" s="3"/>
      <c r="D10819" s="3"/>
    </row>
    <row r="10820" spans="1:4">
      <c r="A10820" s="3"/>
      <c r="D10820" s="3"/>
    </row>
    <row r="10821" spans="1:4">
      <c r="A10821" s="3"/>
      <c r="D10821" s="3"/>
    </row>
    <row r="10822" spans="1:4">
      <c r="A10822" s="3"/>
      <c r="D10822" s="3"/>
    </row>
    <row r="10823" spans="1:4">
      <c r="A10823" s="3"/>
      <c r="D10823" s="3"/>
    </row>
    <row r="10824" spans="1:4">
      <c r="A10824" s="3"/>
      <c r="D10824" s="3"/>
    </row>
    <row r="10825" spans="1:4">
      <c r="A10825" s="3"/>
      <c r="D10825" s="3"/>
    </row>
    <row r="10826" spans="1:4">
      <c r="A10826" s="3"/>
      <c r="D10826" s="3"/>
    </row>
    <row r="10827" spans="1:4">
      <c r="A10827" s="3"/>
      <c r="D10827" s="3"/>
    </row>
    <row r="10828" spans="1:4">
      <c r="A10828" s="3"/>
      <c r="D10828" s="3"/>
    </row>
    <row r="10829" spans="1:4">
      <c r="A10829" s="3"/>
      <c r="D10829" s="3"/>
    </row>
    <row r="10830" spans="1:4">
      <c r="A10830" s="3"/>
      <c r="D10830" s="3"/>
    </row>
    <row r="10831" spans="1:4">
      <c r="A10831" s="3"/>
      <c r="D10831" s="3"/>
    </row>
    <row r="10832" spans="1:4">
      <c r="A10832" s="3"/>
      <c r="D10832" s="3"/>
    </row>
    <row r="10833" spans="1:4">
      <c r="A10833" s="3"/>
      <c r="D10833" s="3"/>
    </row>
    <row r="10834" spans="1:4">
      <c r="A10834" s="3"/>
      <c r="D10834" s="3"/>
    </row>
    <row r="10835" spans="1:4">
      <c r="A10835" s="3"/>
      <c r="D10835" s="3"/>
    </row>
    <row r="10836" spans="1:4">
      <c r="A10836" s="3"/>
      <c r="D10836" s="3"/>
    </row>
    <row r="10837" spans="1:4">
      <c r="A10837" s="3"/>
      <c r="D10837" s="3"/>
    </row>
    <row r="10838" spans="1:4">
      <c r="A10838" s="3"/>
      <c r="D10838" s="3"/>
    </row>
    <row r="10839" spans="1:4">
      <c r="A10839" s="3"/>
      <c r="D10839" s="3"/>
    </row>
    <row r="10840" spans="1:4">
      <c r="A10840" s="3"/>
      <c r="D10840" s="3"/>
    </row>
    <row r="10841" spans="1:4">
      <c r="A10841" s="3"/>
      <c r="D10841" s="3"/>
    </row>
    <row r="10842" spans="1:4">
      <c r="A10842" s="3"/>
      <c r="D10842" s="3"/>
    </row>
    <row r="10843" spans="1:4">
      <c r="A10843" s="3"/>
      <c r="D10843" s="3"/>
    </row>
    <row r="10844" spans="1:4">
      <c r="A10844" s="3"/>
      <c r="D10844" s="3"/>
    </row>
    <row r="10845" spans="1:4">
      <c r="A10845" s="3"/>
      <c r="D10845" s="3"/>
    </row>
    <row r="10846" spans="1:4">
      <c r="A10846" s="3"/>
      <c r="D10846" s="3"/>
    </row>
    <row r="10847" spans="1:4">
      <c r="A10847" s="3"/>
      <c r="D10847" s="3"/>
    </row>
    <row r="10848" spans="1:4">
      <c r="A10848" s="3"/>
      <c r="D10848" s="3"/>
    </row>
    <row r="10849" spans="1:4">
      <c r="A10849" s="3"/>
      <c r="D10849" s="3"/>
    </row>
    <row r="10850" spans="1:4">
      <c r="A10850" s="3"/>
      <c r="D10850" s="3"/>
    </row>
    <row r="10851" spans="1:4">
      <c r="A10851" s="3"/>
      <c r="D10851" s="3"/>
    </row>
    <row r="10852" spans="1:4">
      <c r="A10852" s="3"/>
      <c r="D10852" s="3"/>
    </row>
    <row r="10853" spans="1:4">
      <c r="A10853" s="3"/>
      <c r="D10853" s="3"/>
    </row>
    <row r="10854" spans="1:4">
      <c r="A10854" s="3"/>
      <c r="D10854" s="3"/>
    </row>
    <row r="10855" spans="1:4">
      <c r="A10855" s="3"/>
      <c r="D10855" s="3"/>
    </row>
    <row r="10856" spans="1:4">
      <c r="A10856" s="3"/>
      <c r="D10856" s="3"/>
    </row>
    <row r="10857" spans="1:4">
      <c r="A10857" s="3"/>
      <c r="D10857" s="3"/>
    </row>
    <row r="10858" spans="1:4">
      <c r="A10858" s="3"/>
      <c r="D10858" s="3"/>
    </row>
    <row r="10859" spans="1:4">
      <c r="A10859" s="3"/>
      <c r="D10859" s="3"/>
    </row>
    <row r="10860" spans="1:4">
      <c r="A10860" s="3"/>
      <c r="D10860" s="3"/>
    </row>
    <row r="10861" spans="1:4">
      <c r="A10861" s="3"/>
      <c r="D10861" s="3"/>
    </row>
    <row r="10862" spans="1:4">
      <c r="A10862" s="3"/>
      <c r="D10862" s="3"/>
    </row>
    <row r="10863" spans="1:4">
      <c r="A10863" s="3"/>
      <c r="D10863" s="3"/>
    </row>
    <row r="10864" spans="1:4">
      <c r="A10864" s="3"/>
      <c r="D10864" s="3"/>
    </row>
    <row r="10865" spans="1:4">
      <c r="A10865" s="3"/>
      <c r="D10865" s="3"/>
    </row>
    <row r="10866" spans="1:4">
      <c r="A10866" s="3"/>
      <c r="D10866" s="3"/>
    </row>
    <row r="10867" spans="1:4">
      <c r="A10867" s="3"/>
      <c r="D10867" s="3"/>
    </row>
    <row r="10868" spans="1:4">
      <c r="A10868" s="3"/>
      <c r="D10868" s="3"/>
    </row>
    <row r="10869" spans="1:4">
      <c r="A10869" s="3"/>
      <c r="D10869" s="3"/>
    </row>
    <row r="10870" spans="1:4">
      <c r="A10870" s="3"/>
      <c r="D10870" s="3"/>
    </row>
    <row r="10871" spans="1:4">
      <c r="A10871" s="3"/>
      <c r="D10871" s="3"/>
    </row>
    <row r="10872" spans="1:4">
      <c r="A10872" s="3"/>
      <c r="D10872" s="3"/>
    </row>
    <row r="10873" spans="1:4">
      <c r="A10873" s="3"/>
      <c r="D10873" s="3"/>
    </row>
    <row r="10874" spans="1:4">
      <c r="A10874" s="3"/>
      <c r="D10874" s="3"/>
    </row>
    <row r="10875" spans="1:4">
      <c r="A10875" s="3"/>
      <c r="D10875" s="3"/>
    </row>
    <row r="10876" spans="1:4">
      <c r="A10876" s="3"/>
      <c r="D10876" s="3"/>
    </row>
    <row r="10877" spans="1:4">
      <c r="A10877" s="3"/>
      <c r="D10877" s="3"/>
    </row>
    <row r="10878" spans="1:4">
      <c r="A10878" s="3"/>
      <c r="D10878" s="3"/>
    </row>
    <row r="10879" spans="1:4">
      <c r="A10879" s="3"/>
      <c r="D10879" s="3"/>
    </row>
    <row r="10880" spans="1:4">
      <c r="A10880" s="3"/>
      <c r="D10880" s="3"/>
    </row>
    <row r="10881" spans="1:4">
      <c r="A10881" s="3"/>
      <c r="D10881" s="3"/>
    </row>
    <row r="10882" spans="1:4">
      <c r="A10882" s="3"/>
      <c r="D10882" s="3"/>
    </row>
    <row r="10883" spans="1:4">
      <c r="A10883" s="3"/>
      <c r="D10883" s="3"/>
    </row>
    <row r="10884" spans="1:4">
      <c r="A10884" s="3"/>
      <c r="D10884" s="3"/>
    </row>
    <row r="10885" spans="1:4">
      <c r="A10885" s="3"/>
      <c r="D10885" s="3"/>
    </row>
    <row r="10886" spans="1:4">
      <c r="A10886" s="3"/>
      <c r="D10886" s="3"/>
    </row>
    <row r="10887" spans="1:4">
      <c r="A10887" s="3"/>
      <c r="D10887" s="3"/>
    </row>
    <row r="10888" spans="1:4">
      <c r="A10888" s="3"/>
      <c r="D10888" s="3"/>
    </row>
    <row r="10889" spans="1:4">
      <c r="A10889" s="3"/>
      <c r="D10889" s="3"/>
    </row>
    <row r="10890" spans="1:4">
      <c r="A10890" s="3"/>
      <c r="D10890" s="3"/>
    </row>
    <row r="10891" spans="1:4">
      <c r="A10891" s="3"/>
      <c r="D10891" s="3"/>
    </row>
    <row r="10892" spans="1:4">
      <c r="A10892" s="3"/>
      <c r="D10892" s="3"/>
    </row>
    <row r="10893" spans="1:4">
      <c r="A10893" s="3"/>
      <c r="D10893" s="3"/>
    </row>
    <row r="10894" spans="1:4">
      <c r="A10894" s="3"/>
      <c r="D10894" s="3"/>
    </row>
    <row r="10895" spans="1:4">
      <c r="A10895" s="3"/>
      <c r="D10895" s="3"/>
    </row>
    <row r="10896" spans="1:4">
      <c r="A10896" s="3"/>
      <c r="D10896" s="3"/>
    </row>
    <row r="10897" spans="1:4">
      <c r="A10897" s="3"/>
      <c r="D10897" s="3"/>
    </row>
    <row r="10898" spans="1:4">
      <c r="A10898" s="3"/>
      <c r="D10898" s="3"/>
    </row>
    <row r="10899" spans="1:4">
      <c r="A10899" s="3"/>
      <c r="D10899" s="3"/>
    </row>
    <row r="10900" spans="1:4">
      <c r="A10900" s="3"/>
      <c r="D10900" s="3"/>
    </row>
    <row r="10901" spans="1:4">
      <c r="A10901" s="3"/>
      <c r="D10901" s="3"/>
    </row>
    <row r="10902" spans="1:4">
      <c r="A10902" s="3"/>
      <c r="D10902" s="3"/>
    </row>
    <row r="10903" spans="1:4">
      <c r="A10903" s="3"/>
      <c r="D10903" s="3"/>
    </row>
    <row r="10904" spans="1:4">
      <c r="A10904" s="3"/>
      <c r="D10904" s="3"/>
    </row>
    <row r="10905" spans="1:4">
      <c r="A10905" s="3"/>
      <c r="D10905" s="3"/>
    </row>
    <row r="10906" spans="1:4">
      <c r="A10906" s="3"/>
      <c r="D10906" s="3"/>
    </row>
    <row r="10907" spans="1:4">
      <c r="A10907" s="3"/>
      <c r="D10907" s="3"/>
    </row>
    <row r="10908" spans="1:4">
      <c r="A10908" s="3"/>
      <c r="D10908" s="3"/>
    </row>
    <row r="10909" spans="1:4">
      <c r="A10909" s="3"/>
      <c r="D10909" s="3"/>
    </row>
    <row r="10910" spans="1:4">
      <c r="A10910" s="3"/>
      <c r="D10910" s="3"/>
    </row>
    <row r="10911" spans="1:4">
      <c r="A10911" s="3"/>
      <c r="D10911" s="3"/>
    </row>
    <row r="10912" spans="1:4">
      <c r="A10912" s="3"/>
      <c r="D10912" s="3"/>
    </row>
    <row r="10913" spans="1:4">
      <c r="A10913" s="3"/>
      <c r="D10913" s="3"/>
    </row>
    <row r="10914" spans="1:4">
      <c r="A10914" s="3"/>
      <c r="D10914" s="3"/>
    </row>
    <row r="10915" spans="1:4">
      <c r="A10915" s="3"/>
      <c r="D10915" s="3"/>
    </row>
    <row r="10916" spans="1:4">
      <c r="A10916" s="3"/>
      <c r="D10916" s="3"/>
    </row>
    <row r="10917" spans="1:4">
      <c r="A10917" s="3"/>
      <c r="D10917" s="3"/>
    </row>
    <row r="10918" spans="1:4">
      <c r="A10918" s="3"/>
      <c r="D10918" s="3"/>
    </row>
    <row r="10919" spans="1:4">
      <c r="A10919" s="3"/>
      <c r="D10919" s="3"/>
    </row>
    <row r="10920" spans="1:4">
      <c r="A10920" s="3"/>
      <c r="D10920" s="3"/>
    </row>
    <row r="10921" spans="1:4">
      <c r="A10921" s="3"/>
      <c r="D10921" s="3"/>
    </row>
    <row r="10922" spans="1:4">
      <c r="A10922" s="3"/>
      <c r="D10922" s="3"/>
    </row>
    <row r="10923" spans="1:4">
      <c r="A10923" s="3"/>
      <c r="D10923" s="3"/>
    </row>
    <row r="10924" spans="1:4">
      <c r="A10924" s="3"/>
      <c r="D10924" s="3"/>
    </row>
    <row r="10925" spans="1:4">
      <c r="A10925" s="3"/>
      <c r="D10925" s="3"/>
    </row>
    <row r="10926" spans="1:4">
      <c r="A10926" s="3"/>
      <c r="D10926" s="3"/>
    </row>
    <row r="10927" spans="1:4">
      <c r="A10927" s="3"/>
      <c r="D10927" s="3"/>
    </row>
    <row r="10928" spans="1:4">
      <c r="A10928" s="3"/>
      <c r="D10928" s="3"/>
    </row>
    <row r="10929" spans="1:4">
      <c r="A10929" s="3"/>
      <c r="D10929" s="3"/>
    </row>
    <row r="10930" spans="1:4">
      <c r="A10930" s="3"/>
      <c r="D10930" s="3"/>
    </row>
    <row r="10931" spans="1:4">
      <c r="A10931" s="3"/>
      <c r="D10931" s="3"/>
    </row>
    <row r="10932" spans="1:4">
      <c r="A10932" s="3"/>
      <c r="D10932" s="3"/>
    </row>
    <row r="10933" spans="1:4">
      <c r="A10933" s="3"/>
      <c r="D10933" s="3"/>
    </row>
    <row r="10934" spans="1:4">
      <c r="A10934" s="3"/>
      <c r="D10934" s="3"/>
    </row>
    <row r="10935" spans="1:4">
      <c r="A10935" s="3"/>
      <c r="D10935" s="3"/>
    </row>
    <row r="10936" spans="1:4">
      <c r="A10936" s="3"/>
      <c r="D10936" s="3"/>
    </row>
    <row r="10937" spans="1:4">
      <c r="A10937" s="3"/>
      <c r="D10937" s="3"/>
    </row>
    <row r="10938" spans="1:4">
      <c r="A10938" s="3"/>
      <c r="D10938" s="3"/>
    </row>
    <row r="10939" spans="1:4">
      <c r="A10939" s="3"/>
      <c r="D10939" s="3"/>
    </row>
    <row r="10940" spans="1:4">
      <c r="A10940" s="3"/>
      <c r="D10940" s="3"/>
    </row>
    <row r="10941" spans="1:4">
      <c r="A10941" s="3"/>
      <c r="D10941" s="3"/>
    </row>
    <row r="10942" spans="1:4">
      <c r="A10942" s="3"/>
      <c r="D10942" s="3"/>
    </row>
    <row r="10943" spans="1:4">
      <c r="A10943" s="3"/>
      <c r="D10943" s="3"/>
    </row>
    <row r="10944" spans="1:4">
      <c r="A10944" s="3"/>
      <c r="D10944" s="3"/>
    </row>
    <row r="10945" spans="1:4">
      <c r="A10945" s="3"/>
      <c r="D10945" s="3"/>
    </row>
    <row r="10946" spans="1:4">
      <c r="A10946" s="3"/>
      <c r="D10946" s="3"/>
    </row>
    <row r="10947" spans="1:4">
      <c r="A10947" s="3"/>
      <c r="D10947" s="3"/>
    </row>
    <row r="10948" spans="1:4">
      <c r="A10948" s="3"/>
      <c r="D10948" s="3"/>
    </row>
    <row r="10949" spans="1:4">
      <c r="A10949" s="3"/>
      <c r="D10949" s="3"/>
    </row>
    <row r="10950" spans="1:4">
      <c r="A10950" s="3"/>
      <c r="D10950" s="3"/>
    </row>
    <row r="10951" spans="1:4">
      <c r="A10951" s="3"/>
      <c r="D10951" s="3"/>
    </row>
    <row r="10952" spans="1:4">
      <c r="A10952" s="3"/>
      <c r="D10952" s="3"/>
    </row>
    <row r="10953" spans="1:4">
      <c r="A10953" s="3"/>
      <c r="D10953" s="3"/>
    </row>
    <row r="10954" spans="1:4">
      <c r="A10954" s="3"/>
      <c r="D10954" s="3"/>
    </row>
    <row r="10955" spans="1:4">
      <c r="A10955" s="3"/>
      <c r="D10955" s="3"/>
    </row>
    <row r="10956" spans="1:4">
      <c r="A10956" s="3"/>
      <c r="D10956" s="3"/>
    </row>
    <row r="10957" spans="1:4">
      <c r="A10957" s="3"/>
      <c r="D10957" s="3"/>
    </row>
    <row r="10958" spans="1:4">
      <c r="A10958" s="3"/>
      <c r="D10958" s="3"/>
    </row>
    <row r="10959" spans="1:4">
      <c r="A10959" s="3"/>
      <c r="D10959" s="3"/>
    </row>
    <row r="10960" spans="1:4">
      <c r="A10960" s="3"/>
      <c r="D10960" s="3"/>
    </row>
    <row r="10961" spans="1:4">
      <c r="A10961" s="3"/>
      <c r="D10961" s="3"/>
    </row>
    <row r="10962" spans="1:4">
      <c r="A10962" s="3"/>
      <c r="D10962" s="3"/>
    </row>
    <row r="10963" spans="1:4">
      <c r="A10963" s="3"/>
      <c r="D10963" s="3"/>
    </row>
    <row r="10964" spans="1:4">
      <c r="A10964" s="3"/>
      <c r="D10964" s="3"/>
    </row>
    <row r="10965" spans="1:4">
      <c r="A10965" s="3"/>
      <c r="D10965" s="3"/>
    </row>
    <row r="10966" spans="1:4">
      <c r="A10966" s="3"/>
      <c r="D10966" s="3"/>
    </row>
    <row r="10967" spans="1:4">
      <c r="A10967" s="3"/>
      <c r="D10967" s="3"/>
    </row>
    <row r="10968" spans="1:4">
      <c r="A10968" s="3"/>
      <c r="D10968" s="3"/>
    </row>
    <row r="10969" spans="1:4">
      <c r="A10969" s="3"/>
      <c r="D10969" s="3"/>
    </row>
    <row r="10970" spans="1:4">
      <c r="A10970" s="3"/>
      <c r="D10970" s="3"/>
    </row>
    <row r="10971" spans="1:4">
      <c r="A10971" s="3"/>
      <c r="D10971" s="3"/>
    </row>
    <row r="10972" spans="1:4">
      <c r="A10972" s="3"/>
      <c r="D10972" s="3"/>
    </row>
    <row r="10973" spans="1:4">
      <c r="A10973" s="3"/>
      <c r="D10973" s="3"/>
    </row>
    <row r="10974" spans="1:4">
      <c r="A10974" s="3"/>
      <c r="D10974" s="3"/>
    </row>
    <row r="10975" spans="1:4">
      <c r="A10975" s="3"/>
      <c r="D10975" s="3"/>
    </row>
    <row r="10976" spans="1:4">
      <c r="A10976" s="3"/>
      <c r="D10976" s="3"/>
    </row>
    <row r="10977" spans="1:4">
      <c r="A10977" s="3"/>
      <c r="D10977" s="3"/>
    </row>
    <row r="10978" spans="1:4">
      <c r="A10978" s="3"/>
      <c r="D10978" s="3"/>
    </row>
    <row r="10979" spans="1:4">
      <c r="A10979" s="3"/>
      <c r="D10979" s="3"/>
    </row>
    <row r="10980" spans="1:4">
      <c r="A10980" s="3"/>
      <c r="D10980" s="3"/>
    </row>
    <row r="10981" spans="1:4">
      <c r="A10981" s="3"/>
      <c r="D10981" s="3"/>
    </row>
    <row r="10982" spans="1:4">
      <c r="A10982" s="3"/>
      <c r="D10982" s="3"/>
    </row>
    <row r="10983" spans="1:4">
      <c r="A10983" s="3"/>
      <c r="D10983" s="3"/>
    </row>
    <row r="10984" spans="1:4">
      <c r="A10984" s="3"/>
      <c r="D10984" s="3"/>
    </row>
    <row r="10985" spans="1:4">
      <c r="A10985" s="3"/>
      <c r="D10985" s="3"/>
    </row>
    <row r="10986" spans="1:4">
      <c r="A10986" s="3"/>
      <c r="D10986" s="3"/>
    </row>
    <row r="10987" spans="1:4">
      <c r="A10987" s="3"/>
      <c r="D10987" s="3"/>
    </row>
    <row r="10988" spans="1:4">
      <c r="A10988" s="3"/>
      <c r="D10988" s="3"/>
    </row>
    <row r="10989" spans="1:4">
      <c r="A10989" s="3"/>
      <c r="D10989" s="3"/>
    </row>
    <row r="10990" spans="1:4">
      <c r="A10990" s="3"/>
      <c r="D10990" s="3"/>
    </row>
    <row r="10991" spans="1:4">
      <c r="A10991" s="3"/>
      <c r="D10991" s="3"/>
    </row>
    <row r="10992" spans="1:4">
      <c r="A10992" s="3"/>
      <c r="D10992" s="3"/>
    </row>
    <row r="10993" spans="1:4">
      <c r="A10993" s="3"/>
      <c r="D10993" s="3"/>
    </row>
    <row r="10994" spans="1:4">
      <c r="A10994" s="3"/>
      <c r="D10994" s="3"/>
    </row>
    <row r="10995" spans="1:4">
      <c r="A10995" s="3"/>
      <c r="D10995" s="3"/>
    </row>
    <row r="10996" spans="1:4">
      <c r="A10996" s="3"/>
      <c r="D10996" s="3"/>
    </row>
    <row r="10997" spans="1:4">
      <c r="A10997" s="3"/>
      <c r="D10997" s="3"/>
    </row>
    <row r="10998" spans="1:4">
      <c r="A10998" s="3"/>
      <c r="D10998" s="3"/>
    </row>
    <row r="10999" spans="1:4">
      <c r="A10999" s="3"/>
      <c r="D10999" s="3"/>
    </row>
    <row r="11000" spans="1:4">
      <c r="A11000" s="3"/>
      <c r="D11000" s="3"/>
    </row>
    <row r="11001" spans="1:4">
      <c r="A11001" s="3"/>
      <c r="D11001" s="3"/>
    </row>
    <row r="11002" spans="1:4">
      <c r="A11002" s="3"/>
      <c r="D11002" s="3"/>
    </row>
    <row r="11003" spans="1:4">
      <c r="A11003" s="3"/>
      <c r="D11003" s="3"/>
    </row>
    <row r="11004" spans="1:4">
      <c r="A11004" s="3"/>
      <c r="D11004" s="3"/>
    </row>
    <row r="11005" spans="1:4">
      <c r="A11005" s="3"/>
      <c r="D11005" s="3"/>
    </row>
    <row r="11006" spans="1:4">
      <c r="A11006" s="3"/>
      <c r="D11006" s="3"/>
    </row>
    <row r="11007" spans="1:4">
      <c r="A11007" s="3"/>
      <c r="D11007" s="3"/>
    </row>
    <row r="11008" spans="1:4">
      <c r="A11008" s="3"/>
      <c r="D11008" s="3"/>
    </row>
    <row r="11009" spans="1:4">
      <c r="A11009" s="3"/>
      <c r="D11009" s="3"/>
    </row>
    <row r="11010" spans="1:4">
      <c r="A11010" s="3"/>
      <c r="D11010" s="3"/>
    </row>
    <row r="11011" spans="1:4">
      <c r="A11011" s="3"/>
      <c r="D11011" s="3"/>
    </row>
    <row r="11012" spans="1:4">
      <c r="A11012" s="3"/>
      <c r="D11012" s="3"/>
    </row>
    <row r="11013" spans="1:4">
      <c r="A11013" s="3"/>
      <c r="D11013" s="3"/>
    </row>
    <row r="11014" spans="1:4">
      <c r="A11014" s="3"/>
      <c r="D11014" s="3"/>
    </row>
    <row r="11015" spans="1:4">
      <c r="A11015" s="3"/>
      <c r="D11015" s="3"/>
    </row>
    <row r="11016" spans="1:4">
      <c r="A11016" s="3"/>
      <c r="D11016" s="3"/>
    </row>
    <row r="11017" spans="1:4">
      <c r="A11017" s="3"/>
      <c r="D11017" s="3"/>
    </row>
    <row r="11018" spans="1:4">
      <c r="A11018" s="3"/>
      <c r="D11018" s="3"/>
    </row>
    <row r="11019" spans="1:4">
      <c r="A11019" s="3"/>
      <c r="D11019" s="3"/>
    </row>
    <row r="11020" spans="1:4">
      <c r="A11020" s="3"/>
      <c r="D11020" s="3"/>
    </row>
    <row r="11021" spans="1:4">
      <c r="A11021" s="3"/>
      <c r="D11021" s="3"/>
    </row>
    <row r="11022" spans="1:4">
      <c r="A11022" s="3"/>
      <c r="D11022" s="3"/>
    </row>
    <row r="11023" spans="1:4">
      <c r="A11023" s="3"/>
      <c r="D11023" s="3"/>
    </row>
    <row r="11024" spans="1:4">
      <c r="A11024" s="3"/>
      <c r="D11024" s="3"/>
    </row>
    <row r="11025" spans="1:4">
      <c r="A11025" s="3"/>
      <c r="D11025" s="3"/>
    </row>
    <row r="11026" spans="1:4">
      <c r="A11026" s="3"/>
      <c r="D11026" s="3"/>
    </row>
    <row r="11027" spans="1:4">
      <c r="A11027" s="3"/>
      <c r="D11027" s="3"/>
    </row>
    <row r="11028" spans="1:4">
      <c r="A11028" s="3"/>
      <c r="D11028" s="3"/>
    </row>
    <row r="11029" spans="1:4">
      <c r="A11029" s="3"/>
      <c r="D11029" s="3"/>
    </row>
    <row r="11030" spans="1:4">
      <c r="A11030" s="3"/>
      <c r="D11030" s="3"/>
    </row>
    <row r="11031" spans="1:4">
      <c r="A11031" s="3"/>
      <c r="D11031" s="3"/>
    </row>
    <row r="11032" spans="1:4">
      <c r="A11032" s="3"/>
      <c r="D11032" s="3"/>
    </row>
    <row r="11033" spans="1:4">
      <c r="A11033" s="3"/>
      <c r="D11033" s="3"/>
    </row>
    <row r="11034" spans="1:4">
      <c r="A11034" s="3"/>
      <c r="D11034" s="3"/>
    </row>
    <row r="11035" spans="1:4">
      <c r="A11035" s="3"/>
      <c r="D11035" s="3"/>
    </row>
    <row r="11036" spans="1:4">
      <c r="A11036" s="3"/>
      <c r="D11036" s="3"/>
    </row>
    <row r="11037" spans="1:4">
      <c r="A11037" s="3"/>
      <c r="D11037" s="3"/>
    </row>
    <row r="11038" spans="1:4">
      <c r="A11038" s="3"/>
      <c r="D11038" s="3"/>
    </row>
    <row r="11039" spans="1:4">
      <c r="A11039" s="3"/>
      <c r="D11039" s="3"/>
    </row>
    <row r="11040" spans="1:4">
      <c r="A11040" s="3"/>
      <c r="D11040" s="3"/>
    </row>
    <row r="11041" spans="1:4">
      <c r="A11041" s="3"/>
      <c r="D11041" s="3"/>
    </row>
    <row r="11042" spans="1:4">
      <c r="A11042" s="3"/>
      <c r="D11042" s="3"/>
    </row>
    <row r="11043" spans="1:4">
      <c r="A11043" s="3"/>
      <c r="D11043" s="3"/>
    </row>
    <row r="11044" spans="1:4">
      <c r="A11044" s="3"/>
      <c r="D11044" s="3"/>
    </row>
    <row r="11045" spans="1:4">
      <c r="A11045" s="3"/>
      <c r="D11045" s="3"/>
    </row>
    <row r="11046" spans="1:4">
      <c r="A11046" s="3"/>
      <c r="D11046" s="3"/>
    </row>
    <row r="11047" spans="1:4">
      <c r="A11047" s="3"/>
      <c r="D11047" s="3"/>
    </row>
    <row r="11048" spans="1:4">
      <c r="A11048" s="3"/>
      <c r="D11048" s="3"/>
    </row>
    <row r="11049" spans="1:4">
      <c r="A11049" s="3"/>
      <c r="D11049" s="3"/>
    </row>
    <row r="11050" spans="1:4">
      <c r="A11050" s="3"/>
      <c r="D11050" s="3"/>
    </row>
    <row r="11051" spans="1:4">
      <c r="A11051" s="3"/>
      <c r="D11051" s="3"/>
    </row>
    <row r="11052" spans="1:4">
      <c r="A11052" s="3"/>
      <c r="D11052" s="3"/>
    </row>
    <row r="11053" spans="1:4">
      <c r="A11053" s="3"/>
      <c r="D11053" s="3"/>
    </row>
    <row r="11054" spans="1:4">
      <c r="A11054" s="3"/>
      <c r="D11054" s="3"/>
    </row>
    <row r="11055" spans="1:4">
      <c r="A11055" s="3"/>
      <c r="D11055" s="3"/>
    </row>
    <row r="11056" spans="1:4">
      <c r="A11056" s="3"/>
      <c r="D11056" s="3"/>
    </row>
    <row r="11057" spans="1:4">
      <c r="A11057" s="3"/>
      <c r="D11057" s="3"/>
    </row>
    <row r="11058" spans="1:4">
      <c r="A11058" s="3"/>
      <c r="D11058" s="3"/>
    </row>
    <row r="11059" spans="1:4">
      <c r="A11059" s="3"/>
      <c r="D11059" s="3"/>
    </row>
    <row r="11060" spans="1:4">
      <c r="A11060" s="3"/>
      <c r="D11060" s="3"/>
    </row>
    <row r="11061" spans="1:4">
      <c r="A11061" s="3"/>
      <c r="D11061" s="3"/>
    </row>
    <row r="11062" spans="1:4">
      <c r="A11062" s="3"/>
      <c r="D11062" s="3"/>
    </row>
    <row r="11063" spans="1:4">
      <c r="A11063" s="3"/>
      <c r="D11063" s="3"/>
    </row>
    <row r="11064" spans="1:4">
      <c r="A11064" s="3"/>
      <c r="D11064" s="3"/>
    </row>
    <row r="11065" spans="1:4">
      <c r="A11065" s="3"/>
      <c r="D11065" s="3"/>
    </row>
    <row r="11066" spans="1:4">
      <c r="A11066" s="3"/>
      <c r="D11066" s="3"/>
    </row>
    <row r="11067" spans="1:4">
      <c r="A11067" s="3"/>
      <c r="D11067" s="3"/>
    </row>
    <row r="11068" spans="1:4">
      <c r="A11068" s="3"/>
      <c r="D11068" s="3"/>
    </row>
    <row r="11069" spans="1:4">
      <c r="A11069" s="3"/>
      <c r="D11069" s="3"/>
    </row>
    <row r="11070" spans="1:4">
      <c r="A11070" s="3"/>
      <c r="D11070" s="3"/>
    </row>
    <row r="11071" spans="1:4">
      <c r="A11071" s="3"/>
      <c r="D11071" s="3"/>
    </row>
    <row r="11072" spans="1:4">
      <c r="A11072" s="3"/>
      <c r="D11072" s="3"/>
    </row>
    <row r="11073" spans="1:4">
      <c r="A11073" s="3"/>
      <c r="D11073" s="3"/>
    </row>
    <row r="11074" spans="1:4">
      <c r="A11074" s="3"/>
      <c r="D11074" s="3"/>
    </row>
    <row r="11075" spans="1:4">
      <c r="A11075" s="3"/>
      <c r="D11075" s="3"/>
    </row>
    <row r="11076" spans="1:4">
      <c r="A11076" s="3"/>
      <c r="D11076" s="3"/>
    </row>
    <row r="11077" spans="1:4">
      <c r="A11077" s="3"/>
      <c r="D11077" s="3"/>
    </row>
    <row r="11078" spans="1:4">
      <c r="A11078" s="3"/>
      <c r="D11078" s="3"/>
    </row>
    <row r="11079" spans="1:4">
      <c r="A11079" s="3"/>
      <c r="D11079" s="3"/>
    </row>
    <row r="11080" spans="1:4">
      <c r="A11080" s="3"/>
      <c r="D11080" s="3"/>
    </row>
    <row r="11081" spans="1:4">
      <c r="A11081" s="3"/>
      <c r="D11081" s="3"/>
    </row>
    <row r="11082" spans="1:4">
      <c r="A11082" s="3"/>
      <c r="D11082" s="3"/>
    </row>
    <row r="11083" spans="1:4">
      <c r="A11083" s="3"/>
      <c r="D11083" s="3"/>
    </row>
    <row r="11084" spans="1:4">
      <c r="A11084" s="3"/>
      <c r="D11084" s="3"/>
    </row>
    <row r="11085" spans="1:4">
      <c r="A11085" s="3"/>
      <c r="D11085" s="3"/>
    </row>
    <row r="11086" spans="1:4">
      <c r="A11086" s="3"/>
      <c r="D11086" s="3"/>
    </row>
    <row r="11087" spans="1:4">
      <c r="A11087" s="3"/>
      <c r="D11087" s="3"/>
    </row>
    <row r="11088" spans="1:4">
      <c r="A11088" s="3"/>
      <c r="D11088" s="3"/>
    </row>
    <row r="11089" spans="1:4">
      <c r="A11089" s="3"/>
      <c r="D11089" s="3"/>
    </row>
    <row r="11090" spans="1:4">
      <c r="A11090" s="3"/>
      <c r="D11090" s="3"/>
    </row>
    <row r="11091" spans="1:4">
      <c r="A11091" s="3"/>
      <c r="D11091" s="3"/>
    </row>
    <row r="11092" spans="1:4">
      <c r="A11092" s="3"/>
      <c r="D11092" s="3"/>
    </row>
    <row r="11093" spans="1:4">
      <c r="A11093" s="3"/>
      <c r="D11093" s="3"/>
    </row>
    <row r="11094" spans="1:4">
      <c r="A11094" s="3"/>
      <c r="D11094" s="3"/>
    </row>
    <row r="11095" spans="1:4">
      <c r="A11095" s="3"/>
      <c r="D11095" s="3"/>
    </row>
    <row r="11096" spans="1:4">
      <c r="A11096" s="3"/>
      <c r="D11096" s="3"/>
    </row>
    <row r="11097" spans="1:4">
      <c r="A11097" s="3"/>
      <c r="D11097" s="3"/>
    </row>
    <row r="11098" spans="1:4">
      <c r="A11098" s="3"/>
      <c r="D11098" s="3"/>
    </row>
    <row r="11099" spans="1:4">
      <c r="A11099" s="3"/>
      <c r="D11099" s="3"/>
    </row>
    <row r="11100" spans="1:4">
      <c r="A11100" s="3"/>
      <c r="D11100" s="3"/>
    </row>
    <row r="11101" spans="1:4">
      <c r="A11101" s="3"/>
      <c r="D11101" s="3"/>
    </row>
    <row r="11102" spans="1:4">
      <c r="A11102" s="3"/>
      <c r="D11102" s="3"/>
    </row>
    <row r="11103" spans="1:4">
      <c r="A11103" s="3"/>
      <c r="D11103" s="3"/>
    </row>
    <row r="11104" spans="1:4">
      <c r="A11104" s="3"/>
      <c r="D11104" s="3"/>
    </row>
    <row r="11105" spans="1:4">
      <c r="A11105" s="3"/>
      <c r="D11105" s="3"/>
    </row>
    <row r="11106" spans="1:4">
      <c r="A11106" s="3"/>
      <c r="D11106" s="3"/>
    </row>
    <row r="11107" spans="1:4">
      <c r="A11107" s="3"/>
      <c r="D11107" s="3"/>
    </row>
    <row r="11108" spans="1:4">
      <c r="A11108" s="3"/>
      <c r="D11108" s="3"/>
    </row>
    <row r="11109" spans="1:4">
      <c r="A11109" s="3"/>
      <c r="D11109" s="3"/>
    </row>
    <row r="11110" spans="1:4">
      <c r="A11110" s="3"/>
      <c r="D11110" s="3"/>
    </row>
    <row r="11111" spans="1:4">
      <c r="A11111" s="3"/>
      <c r="D11111" s="3"/>
    </row>
    <row r="11112" spans="1:4">
      <c r="A11112" s="3"/>
      <c r="D11112" s="3"/>
    </row>
    <row r="11113" spans="1:4">
      <c r="A11113" s="3"/>
      <c r="D11113" s="3"/>
    </row>
    <row r="11114" spans="1:4">
      <c r="A11114" s="3"/>
      <c r="D11114" s="3"/>
    </row>
    <row r="11115" spans="1:4">
      <c r="A11115" s="3"/>
      <c r="D11115" s="3"/>
    </row>
    <row r="11116" spans="1:4">
      <c r="A11116" s="3"/>
      <c r="D11116" s="3"/>
    </row>
    <row r="11117" spans="1:4">
      <c r="A11117" s="3"/>
      <c r="D11117" s="3"/>
    </row>
    <row r="11118" spans="1:4">
      <c r="A11118" s="3"/>
      <c r="D11118" s="3"/>
    </row>
    <row r="11119" spans="1:4">
      <c r="A11119" s="3"/>
      <c r="D11119" s="3"/>
    </row>
    <row r="11120" spans="1:4">
      <c r="A11120" s="3"/>
      <c r="D11120" s="3"/>
    </row>
    <row r="11121" spans="1:4">
      <c r="A11121" s="3"/>
      <c r="D11121" s="3"/>
    </row>
    <row r="11122" spans="1:4">
      <c r="A11122" s="3"/>
      <c r="D11122" s="3"/>
    </row>
    <row r="11123" spans="1:4">
      <c r="A11123" s="3"/>
      <c r="D11123" s="3"/>
    </row>
    <row r="11124" spans="1:4">
      <c r="A11124" s="3"/>
      <c r="D11124" s="3"/>
    </row>
    <row r="11125" spans="1:4">
      <c r="A11125" s="3"/>
      <c r="D11125" s="3"/>
    </row>
    <row r="11126" spans="1:4">
      <c r="A11126" s="3"/>
      <c r="D11126" s="3"/>
    </row>
    <row r="11127" spans="1:4">
      <c r="A11127" s="3"/>
      <c r="D11127" s="3"/>
    </row>
    <row r="11128" spans="1:4">
      <c r="A11128" s="3"/>
      <c r="D11128" s="3"/>
    </row>
    <row r="11129" spans="1:4">
      <c r="A11129" s="3"/>
      <c r="D11129" s="3"/>
    </row>
    <row r="11130" spans="1:4">
      <c r="A11130" s="3"/>
      <c r="D11130" s="3"/>
    </row>
    <row r="11131" spans="1:4">
      <c r="A11131" s="3"/>
      <c r="D11131" s="3"/>
    </row>
    <row r="11132" spans="1:4">
      <c r="A11132" s="3"/>
      <c r="D11132" s="3"/>
    </row>
    <row r="11133" spans="1:4">
      <c r="A11133" s="3"/>
      <c r="D11133" s="3"/>
    </row>
    <row r="11134" spans="1:4">
      <c r="A11134" s="3"/>
      <c r="D11134" s="3"/>
    </row>
    <row r="11135" spans="1:4">
      <c r="A11135" s="3"/>
      <c r="D11135" s="3"/>
    </row>
    <row r="11136" spans="1:4">
      <c r="A11136" s="3"/>
      <c r="D11136" s="3"/>
    </row>
    <row r="11137" spans="1:4">
      <c r="A11137" s="3"/>
      <c r="D11137" s="3"/>
    </row>
    <row r="11138" spans="1:4">
      <c r="A11138" s="3"/>
      <c r="D11138" s="3"/>
    </row>
    <row r="11139" spans="1:4">
      <c r="A11139" s="3"/>
      <c r="D11139" s="3"/>
    </row>
    <row r="11140" spans="1:4">
      <c r="A11140" s="3"/>
      <c r="D11140" s="3"/>
    </row>
    <row r="11141" spans="1:4">
      <c r="A11141" s="3"/>
      <c r="D11141" s="3"/>
    </row>
    <row r="11142" spans="1:4">
      <c r="A11142" s="3"/>
      <c r="D11142" s="3"/>
    </row>
    <row r="11143" spans="1:4">
      <c r="A11143" s="3"/>
      <c r="D11143" s="3"/>
    </row>
    <row r="11144" spans="1:4">
      <c r="A11144" s="3"/>
      <c r="D11144" s="3"/>
    </row>
    <row r="11145" spans="1:4">
      <c r="A11145" s="3"/>
      <c r="D11145" s="3"/>
    </row>
    <row r="11146" spans="1:4">
      <c r="A11146" s="3"/>
      <c r="D11146" s="3"/>
    </row>
    <row r="11147" spans="1:4">
      <c r="A11147" s="3"/>
      <c r="D11147" s="3"/>
    </row>
    <row r="11148" spans="1:4">
      <c r="A11148" s="3"/>
      <c r="D11148" s="3"/>
    </row>
    <row r="11149" spans="1:4">
      <c r="A11149" s="3"/>
      <c r="D11149" s="3"/>
    </row>
    <row r="11150" spans="1:4">
      <c r="A11150" s="3"/>
      <c r="D11150" s="3"/>
    </row>
    <row r="11151" spans="1:4">
      <c r="A11151" s="3"/>
      <c r="D11151" s="3"/>
    </row>
    <row r="11152" spans="1:4">
      <c r="A11152" s="3"/>
      <c r="D11152" s="3"/>
    </row>
    <row r="11153" spans="1:4">
      <c r="A11153" s="3"/>
      <c r="D11153" s="3"/>
    </row>
    <row r="11154" spans="1:4">
      <c r="A11154" s="3"/>
      <c r="D11154" s="3"/>
    </row>
    <row r="11155" spans="1:4">
      <c r="A11155" s="3"/>
      <c r="D11155" s="3"/>
    </row>
    <row r="11156" spans="1:4">
      <c r="A11156" s="3"/>
      <c r="D11156" s="3"/>
    </row>
    <row r="11157" spans="1:4">
      <c r="A11157" s="3"/>
      <c r="D11157" s="3"/>
    </row>
    <row r="11158" spans="1:4">
      <c r="A11158" s="3"/>
      <c r="D11158" s="3"/>
    </row>
    <row r="11159" spans="1:4">
      <c r="A11159" s="3"/>
      <c r="D11159" s="3"/>
    </row>
    <row r="11160" spans="1:4">
      <c r="A11160" s="3"/>
      <c r="D11160" s="3"/>
    </row>
    <row r="11161" spans="1:4">
      <c r="A11161" s="3"/>
      <c r="D11161" s="3"/>
    </row>
    <row r="11162" spans="1:4">
      <c r="A11162" s="3"/>
      <c r="D11162" s="3"/>
    </row>
    <row r="11163" spans="1:4">
      <c r="A11163" s="3"/>
      <c r="D11163" s="3"/>
    </row>
    <row r="11164" spans="1:4">
      <c r="A11164" s="3"/>
      <c r="D11164" s="3"/>
    </row>
    <row r="11165" spans="1:4">
      <c r="A11165" s="3"/>
      <c r="D11165" s="3"/>
    </row>
    <row r="11166" spans="1:4">
      <c r="A11166" s="3"/>
      <c r="D11166" s="3"/>
    </row>
    <row r="11167" spans="1:4">
      <c r="A11167" s="3"/>
      <c r="D11167" s="3"/>
    </row>
    <row r="11168" spans="1:4">
      <c r="A11168" s="3"/>
      <c r="D11168" s="3"/>
    </row>
    <row r="11169" spans="1:4">
      <c r="A11169" s="3"/>
      <c r="D11169" s="3"/>
    </row>
    <row r="11170" spans="1:4">
      <c r="A11170" s="3"/>
      <c r="D11170" s="3"/>
    </row>
    <row r="11171" spans="1:4">
      <c r="A11171" s="3"/>
      <c r="D11171" s="3"/>
    </row>
    <row r="11172" spans="1:4">
      <c r="A11172" s="3"/>
      <c r="D11172" s="3"/>
    </row>
    <row r="11173" spans="1:4">
      <c r="A11173" s="3"/>
      <c r="D11173" s="3"/>
    </row>
    <row r="11174" spans="1:4">
      <c r="A11174" s="3"/>
      <c r="D11174" s="3"/>
    </row>
    <row r="11175" spans="1:4">
      <c r="A11175" s="3"/>
      <c r="D11175" s="3"/>
    </row>
    <row r="11176" spans="1:4">
      <c r="A11176" s="3"/>
      <c r="D11176" s="3"/>
    </row>
    <row r="11177" spans="1:4">
      <c r="A11177" s="3"/>
      <c r="D11177" s="3"/>
    </row>
    <row r="11178" spans="1:4">
      <c r="A11178" s="3"/>
      <c r="D11178" s="3"/>
    </row>
    <row r="11179" spans="1:4">
      <c r="A11179" s="3"/>
      <c r="D11179" s="3"/>
    </row>
    <row r="11180" spans="1:4">
      <c r="A11180" s="3"/>
      <c r="D11180" s="3"/>
    </row>
    <row r="11181" spans="1:4">
      <c r="A11181" s="3"/>
      <c r="D11181" s="3"/>
    </row>
    <row r="11182" spans="1:4">
      <c r="A11182" s="3"/>
      <c r="D11182" s="3"/>
    </row>
    <row r="11183" spans="1:4">
      <c r="A11183" s="3"/>
      <c r="D11183" s="3"/>
    </row>
    <row r="11184" spans="1:4">
      <c r="A11184" s="3"/>
      <c r="D11184" s="3"/>
    </row>
    <row r="11185" spans="1:4">
      <c r="A11185" s="3"/>
      <c r="D11185" s="3"/>
    </row>
    <row r="11186" spans="1:4">
      <c r="A11186" s="3"/>
      <c r="D11186" s="3"/>
    </row>
    <row r="11187" spans="1:4">
      <c r="A11187" s="3"/>
      <c r="D11187" s="3"/>
    </row>
    <row r="11188" spans="1:4">
      <c r="A11188" s="3"/>
      <c r="D11188" s="3"/>
    </row>
    <row r="11189" spans="1:4">
      <c r="A11189" s="3"/>
      <c r="D11189" s="3"/>
    </row>
    <row r="11190" spans="1:4">
      <c r="A11190" s="3"/>
      <c r="D11190" s="3"/>
    </row>
    <row r="11191" spans="1:4">
      <c r="A11191" s="3"/>
      <c r="D11191" s="3"/>
    </row>
    <row r="11192" spans="1:4">
      <c r="A11192" s="3"/>
      <c r="D11192" s="3"/>
    </row>
    <row r="11193" spans="1:4">
      <c r="A11193" s="3"/>
      <c r="D11193" s="3"/>
    </row>
    <row r="11194" spans="1:4">
      <c r="A11194" s="3"/>
      <c r="D11194" s="3"/>
    </row>
    <row r="11195" spans="1:4">
      <c r="A11195" s="3"/>
      <c r="D11195" s="3"/>
    </row>
    <row r="11196" spans="1:4">
      <c r="A11196" s="3"/>
      <c r="D11196" s="3"/>
    </row>
    <row r="11197" spans="1:4">
      <c r="A11197" s="3"/>
      <c r="D11197" s="3"/>
    </row>
    <row r="11198" spans="1:4">
      <c r="A11198" s="3"/>
      <c r="D11198" s="3"/>
    </row>
    <row r="11199" spans="1:4">
      <c r="A11199" s="3"/>
      <c r="D11199" s="3"/>
    </row>
    <row r="11200" spans="1:4">
      <c r="A11200" s="3"/>
      <c r="D11200" s="3"/>
    </row>
    <row r="11201" spans="1:4">
      <c r="A11201" s="3"/>
      <c r="D11201" s="3"/>
    </row>
    <row r="11202" spans="1:4">
      <c r="A11202" s="3"/>
      <c r="D11202" s="3"/>
    </row>
    <row r="11203" spans="1:4">
      <c r="A11203" s="3"/>
      <c r="D11203" s="3"/>
    </row>
    <row r="11204" spans="1:4">
      <c r="A11204" s="3"/>
      <c r="D11204" s="3"/>
    </row>
    <row r="11205" spans="1:4">
      <c r="A11205" s="3"/>
      <c r="D11205" s="3"/>
    </row>
    <row r="11206" spans="1:4">
      <c r="A11206" s="3"/>
      <c r="D11206" s="3"/>
    </row>
    <row r="11207" spans="1:4">
      <c r="A11207" s="3"/>
      <c r="D11207" s="3"/>
    </row>
    <row r="11208" spans="1:4">
      <c r="A11208" s="3"/>
      <c r="D11208" s="3"/>
    </row>
    <row r="11209" spans="1:4">
      <c r="A11209" s="3"/>
      <c r="D11209" s="3"/>
    </row>
    <row r="11210" spans="1:4">
      <c r="A11210" s="3"/>
      <c r="D11210" s="3"/>
    </row>
    <row r="11211" spans="1:4">
      <c r="A11211" s="3"/>
      <c r="D11211" s="3"/>
    </row>
    <row r="11212" spans="1:4">
      <c r="A11212" s="3"/>
      <c r="D11212" s="3"/>
    </row>
    <row r="11213" spans="1:4">
      <c r="A11213" s="3"/>
      <c r="D11213" s="3"/>
    </row>
    <row r="11214" spans="1:4">
      <c r="A11214" s="3"/>
      <c r="D11214" s="3"/>
    </row>
    <row r="11215" spans="1:4">
      <c r="A11215" s="3"/>
      <c r="D11215" s="3"/>
    </row>
    <row r="11216" spans="1:4">
      <c r="A11216" s="3"/>
      <c r="D11216" s="3"/>
    </row>
    <row r="11217" spans="1:4">
      <c r="A11217" s="3"/>
      <c r="D11217" s="3"/>
    </row>
    <row r="11218" spans="1:4">
      <c r="A11218" s="3"/>
      <c r="D11218" s="3"/>
    </row>
    <row r="11219" spans="1:4">
      <c r="A11219" s="3"/>
      <c r="D11219" s="3"/>
    </row>
    <row r="11220" spans="1:4">
      <c r="A11220" s="3"/>
      <c r="D11220" s="3"/>
    </row>
    <row r="11221" spans="1:4">
      <c r="A11221" s="3"/>
      <c r="D11221" s="3"/>
    </row>
    <row r="11222" spans="1:4">
      <c r="A11222" s="3"/>
      <c r="D11222" s="3"/>
    </row>
    <row r="11223" spans="1:4">
      <c r="A11223" s="3"/>
      <c r="D11223" s="3"/>
    </row>
    <row r="11224" spans="1:4">
      <c r="A11224" s="3"/>
      <c r="D11224" s="3"/>
    </row>
    <row r="11225" spans="1:4">
      <c r="A11225" s="3"/>
      <c r="D11225" s="3"/>
    </row>
    <row r="11226" spans="1:4">
      <c r="A11226" s="3"/>
      <c r="D11226" s="3"/>
    </row>
    <row r="11227" spans="1:4">
      <c r="A11227" s="3"/>
      <c r="D11227" s="3"/>
    </row>
    <row r="11228" spans="1:4">
      <c r="A11228" s="3"/>
      <c r="D11228" s="3"/>
    </row>
    <row r="11229" spans="1:4">
      <c r="A11229" s="3"/>
      <c r="D11229" s="3"/>
    </row>
    <row r="11230" spans="1:4">
      <c r="A11230" s="3"/>
      <c r="D11230" s="3"/>
    </row>
    <row r="11231" spans="1:4">
      <c r="A11231" s="3"/>
      <c r="D11231" s="3"/>
    </row>
    <row r="11232" spans="1:4">
      <c r="A11232" s="3"/>
      <c r="D11232" s="3"/>
    </row>
    <row r="11233" spans="1:4">
      <c r="A11233" s="3"/>
      <c r="D11233" s="3"/>
    </row>
    <row r="11234" spans="1:4">
      <c r="A11234" s="3"/>
      <c r="D11234" s="3"/>
    </row>
    <row r="11235" spans="1:4">
      <c r="A11235" s="3"/>
      <c r="D11235" s="3"/>
    </row>
    <row r="11236" spans="1:4">
      <c r="A11236" s="3"/>
      <c r="D11236" s="3"/>
    </row>
    <row r="11237" spans="1:4">
      <c r="A11237" s="3"/>
      <c r="D11237" s="3"/>
    </row>
    <row r="11238" spans="1:4">
      <c r="A11238" s="3"/>
      <c r="D11238" s="3"/>
    </row>
    <row r="11239" spans="1:4">
      <c r="A11239" s="3"/>
      <c r="D11239" s="3"/>
    </row>
    <row r="11240" spans="1:4">
      <c r="A11240" s="3"/>
      <c r="D11240" s="3"/>
    </row>
    <row r="11241" spans="1:4">
      <c r="A11241" s="3"/>
      <c r="D11241" s="3"/>
    </row>
    <row r="11242" spans="1:4">
      <c r="A11242" s="3"/>
      <c r="D11242" s="3"/>
    </row>
    <row r="11243" spans="1:4">
      <c r="A11243" s="3"/>
      <c r="D11243" s="3"/>
    </row>
    <row r="11244" spans="1:4">
      <c r="A11244" s="3"/>
      <c r="D11244" s="3"/>
    </row>
    <row r="11245" spans="1:4">
      <c r="A11245" s="3"/>
      <c r="D11245" s="3"/>
    </row>
    <row r="11246" spans="1:4">
      <c r="A11246" s="3"/>
      <c r="D11246" s="3"/>
    </row>
    <row r="11247" spans="1:4">
      <c r="A11247" s="3"/>
      <c r="D11247" s="3"/>
    </row>
    <row r="11248" spans="1:4">
      <c r="A11248" s="3"/>
      <c r="D11248" s="3"/>
    </row>
    <row r="11249" spans="1:4">
      <c r="A11249" s="3"/>
      <c r="D11249" s="3"/>
    </row>
    <row r="11250" spans="1:4">
      <c r="A11250" s="3"/>
      <c r="D11250" s="3"/>
    </row>
    <row r="11251" spans="1:4">
      <c r="A11251" s="3"/>
      <c r="D11251" s="3"/>
    </row>
    <row r="11252" spans="1:4">
      <c r="A11252" s="3"/>
      <c r="D11252" s="3"/>
    </row>
    <row r="11253" spans="1:4">
      <c r="A11253" s="3"/>
      <c r="D11253" s="3"/>
    </row>
    <row r="11254" spans="1:4">
      <c r="A11254" s="3"/>
      <c r="D11254" s="3"/>
    </row>
    <row r="11255" spans="1:4">
      <c r="A11255" s="3"/>
      <c r="D11255" s="3"/>
    </row>
    <row r="11256" spans="1:4">
      <c r="A11256" s="3"/>
      <c r="D11256" s="3"/>
    </row>
    <row r="11257" spans="1:4">
      <c r="A11257" s="3"/>
      <c r="D11257" s="3"/>
    </row>
    <row r="11258" spans="1:4">
      <c r="A11258" s="3"/>
      <c r="D11258" s="3"/>
    </row>
    <row r="11259" spans="1:4">
      <c r="A11259" s="3"/>
      <c r="D11259" s="3"/>
    </row>
    <row r="11260" spans="1:4">
      <c r="A11260" s="3"/>
      <c r="D11260" s="3"/>
    </row>
    <row r="11261" spans="1:4">
      <c r="A11261" s="3"/>
      <c r="D11261" s="3"/>
    </row>
    <row r="11262" spans="1:4">
      <c r="A11262" s="3"/>
      <c r="D11262" s="3"/>
    </row>
    <row r="11263" spans="1:4">
      <c r="A11263" s="3"/>
      <c r="D11263" s="3"/>
    </row>
    <row r="11264" spans="1:4">
      <c r="A11264" s="3"/>
      <c r="D11264" s="3"/>
    </row>
    <row r="11265" spans="1:4">
      <c r="A11265" s="3"/>
      <c r="D11265" s="3"/>
    </row>
    <row r="11266" spans="1:4">
      <c r="A11266" s="3"/>
      <c r="D11266" s="3"/>
    </row>
    <row r="11267" spans="1:4">
      <c r="A11267" s="3"/>
      <c r="D11267" s="3"/>
    </row>
    <row r="11268" spans="1:4">
      <c r="A11268" s="3"/>
      <c r="D11268" s="3"/>
    </row>
    <row r="11269" spans="1:4">
      <c r="A11269" s="3"/>
      <c r="D11269" s="3"/>
    </row>
    <row r="11270" spans="1:4">
      <c r="A11270" s="3"/>
      <c r="D11270" s="3"/>
    </row>
    <row r="11271" spans="1:4">
      <c r="A11271" s="3"/>
      <c r="D11271" s="3"/>
    </row>
    <row r="11272" spans="1:4">
      <c r="A11272" s="3"/>
      <c r="D11272" s="3"/>
    </row>
    <row r="11273" spans="1:4">
      <c r="A11273" s="3"/>
      <c r="D11273" s="3"/>
    </row>
    <row r="11274" spans="1:4">
      <c r="A11274" s="3"/>
      <c r="D11274" s="3"/>
    </row>
    <row r="11275" spans="1:4">
      <c r="A11275" s="3"/>
      <c r="D11275" s="3"/>
    </row>
    <row r="11276" spans="1:4">
      <c r="A11276" s="3"/>
      <c r="D11276" s="3"/>
    </row>
    <row r="11277" spans="1:4">
      <c r="A11277" s="3"/>
      <c r="D11277" s="3"/>
    </row>
    <row r="11278" spans="1:4">
      <c r="A11278" s="3"/>
      <c r="D11278" s="3"/>
    </row>
    <row r="11279" spans="1:4">
      <c r="A11279" s="3"/>
      <c r="D11279" s="3"/>
    </row>
    <row r="11280" spans="1:4">
      <c r="A11280" s="3"/>
      <c r="D11280" s="3"/>
    </row>
    <row r="11281" spans="1:4">
      <c r="A11281" s="3"/>
      <c r="D11281" s="3"/>
    </row>
    <row r="11282" spans="1:4">
      <c r="A11282" s="3"/>
      <c r="D11282" s="3"/>
    </row>
    <row r="11283" spans="1:4">
      <c r="A11283" s="3"/>
      <c r="D11283" s="3"/>
    </row>
    <row r="11284" spans="1:4">
      <c r="A11284" s="3"/>
      <c r="D11284" s="3"/>
    </row>
    <row r="11285" spans="1:4">
      <c r="A11285" s="3"/>
      <c r="D11285" s="3"/>
    </row>
    <row r="11286" spans="1:4">
      <c r="A11286" s="3"/>
      <c r="D11286" s="3"/>
    </row>
    <row r="11287" spans="1:4">
      <c r="A11287" s="3"/>
      <c r="D11287" s="3"/>
    </row>
    <row r="11288" spans="1:4">
      <c r="A11288" s="3"/>
      <c r="D11288" s="3"/>
    </row>
    <row r="11289" spans="1:4">
      <c r="A11289" s="3"/>
      <c r="D11289" s="3"/>
    </row>
    <row r="11290" spans="1:4">
      <c r="A11290" s="3"/>
      <c r="D11290" s="3"/>
    </row>
    <row r="11291" spans="1:4">
      <c r="A11291" s="3"/>
      <c r="D11291" s="3"/>
    </row>
    <row r="11292" spans="1:4">
      <c r="A11292" s="3"/>
      <c r="D11292" s="3"/>
    </row>
    <row r="11293" spans="1:4">
      <c r="A11293" s="3"/>
      <c r="D11293" s="3"/>
    </row>
    <row r="11294" spans="1:4">
      <c r="A11294" s="3"/>
      <c r="D11294" s="3"/>
    </row>
    <row r="11295" spans="1:4">
      <c r="A11295" s="3"/>
      <c r="D11295" s="3"/>
    </row>
    <row r="11296" spans="1:4">
      <c r="A11296" s="3"/>
      <c r="D11296" s="3"/>
    </row>
    <row r="11297" spans="1:4">
      <c r="A11297" s="3"/>
      <c r="D11297" s="3"/>
    </row>
    <row r="11298" spans="1:4">
      <c r="A11298" s="3"/>
      <c r="D11298" s="3"/>
    </row>
    <row r="11299" spans="1:4">
      <c r="A11299" s="3"/>
      <c r="D11299" s="3"/>
    </row>
    <row r="11300" spans="1:4">
      <c r="A11300" s="3"/>
      <c r="D11300" s="3"/>
    </row>
    <row r="11301" spans="1:4">
      <c r="A11301" s="3"/>
      <c r="D11301" s="3"/>
    </row>
    <row r="11302" spans="1:4">
      <c r="A11302" s="3"/>
      <c r="D11302" s="3"/>
    </row>
    <row r="11303" spans="1:4">
      <c r="A11303" s="3"/>
      <c r="D11303" s="3"/>
    </row>
    <row r="11304" spans="1:4">
      <c r="A11304" s="3"/>
      <c r="D11304" s="3"/>
    </row>
    <row r="11305" spans="1:4">
      <c r="A11305" s="3"/>
      <c r="D11305" s="3"/>
    </row>
    <row r="11306" spans="1:4">
      <c r="A11306" s="3"/>
      <c r="D11306" s="3"/>
    </row>
    <row r="11307" spans="1:4">
      <c r="A11307" s="3"/>
      <c r="D11307" s="3"/>
    </row>
    <row r="11308" spans="1:4">
      <c r="A11308" s="3"/>
      <c r="D11308" s="3"/>
    </row>
    <row r="11309" spans="1:4">
      <c r="A11309" s="3"/>
      <c r="D11309" s="3"/>
    </row>
    <row r="11310" spans="1:4">
      <c r="A11310" s="3"/>
      <c r="D11310" s="3"/>
    </row>
    <row r="11311" spans="1:4">
      <c r="A11311" s="3"/>
      <c r="D11311" s="3"/>
    </row>
    <row r="11312" spans="1:4">
      <c r="A11312" s="3"/>
      <c r="D11312" s="3"/>
    </row>
    <row r="11313" spans="1:4">
      <c r="A11313" s="3"/>
      <c r="D11313" s="3"/>
    </row>
    <row r="11314" spans="1:4">
      <c r="A11314" s="3"/>
      <c r="D11314" s="3"/>
    </row>
    <row r="11315" spans="1:4">
      <c r="A11315" s="3"/>
      <c r="D11315" s="3"/>
    </row>
    <row r="11316" spans="1:4">
      <c r="A11316" s="3"/>
      <c r="D11316" s="3"/>
    </row>
    <row r="11317" spans="1:4">
      <c r="A11317" s="3"/>
      <c r="D11317" s="3"/>
    </row>
    <row r="11318" spans="1:4">
      <c r="A11318" s="3"/>
      <c r="D11318" s="3"/>
    </row>
    <row r="11319" spans="1:4">
      <c r="A11319" s="3"/>
      <c r="D11319" s="3"/>
    </row>
    <row r="11320" spans="1:4">
      <c r="A11320" s="3"/>
      <c r="D11320" s="3"/>
    </row>
    <row r="11321" spans="1:4">
      <c r="A11321" s="3"/>
      <c r="D11321" s="3"/>
    </row>
    <row r="11322" spans="1:4">
      <c r="A11322" s="3"/>
      <c r="D11322" s="3"/>
    </row>
    <row r="11323" spans="1:4">
      <c r="A11323" s="3"/>
      <c r="D11323" s="3"/>
    </row>
    <row r="11324" spans="1:4">
      <c r="A11324" s="3"/>
      <c r="D11324" s="3"/>
    </row>
    <row r="11325" spans="1:4">
      <c r="A11325" s="3"/>
      <c r="D11325" s="3"/>
    </row>
    <row r="11326" spans="1:4">
      <c r="A11326" s="3"/>
      <c r="D11326" s="3"/>
    </row>
    <row r="11327" spans="1:4">
      <c r="A11327" s="3"/>
      <c r="D11327" s="3"/>
    </row>
    <row r="11328" spans="1:4">
      <c r="A11328" s="3"/>
      <c r="D11328" s="3"/>
    </row>
    <row r="11329" spans="1:4">
      <c r="A11329" s="3"/>
      <c r="D11329" s="3"/>
    </row>
    <row r="11330" spans="1:4">
      <c r="A11330" s="3"/>
      <c r="D11330" s="3"/>
    </row>
    <row r="11331" spans="1:4">
      <c r="A11331" s="3"/>
      <c r="D11331" s="3"/>
    </row>
    <row r="11332" spans="1:4">
      <c r="A11332" s="3"/>
      <c r="D11332" s="3"/>
    </row>
    <row r="11333" spans="1:4">
      <c r="A11333" s="3"/>
      <c r="D11333" s="3"/>
    </row>
    <row r="11334" spans="1:4">
      <c r="A11334" s="3"/>
      <c r="D11334" s="3"/>
    </row>
    <row r="11335" spans="1:4">
      <c r="A11335" s="3"/>
      <c r="D11335" s="3"/>
    </row>
    <row r="11336" spans="1:4">
      <c r="A11336" s="3"/>
      <c r="D11336" s="3"/>
    </row>
    <row r="11337" spans="1:4">
      <c r="A11337" s="3"/>
      <c r="D11337" s="3"/>
    </row>
    <row r="11338" spans="1:4">
      <c r="A11338" s="3"/>
      <c r="D11338" s="3"/>
    </row>
    <row r="11339" spans="1:4">
      <c r="A11339" s="3"/>
      <c r="D11339" s="3"/>
    </row>
    <row r="11340" spans="1:4">
      <c r="A11340" s="3"/>
      <c r="D11340" s="3"/>
    </row>
    <row r="11341" spans="1:4">
      <c r="A11341" s="3"/>
      <c r="D11341" s="3"/>
    </row>
    <row r="11342" spans="1:4">
      <c r="A11342" s="3"/>
      <c r="D11342" s="3"/>
    </row>
    <row r="11343" spans="1:4">
      <c r="A11343" s="3"/>
      <c r="D11343" s="3"/>
    </row>
    <row r="11344" spans="1:4">
      <c r="A11344" s="3"/>
      <c r="D11344" s="3"/>
    </row>
    <row r="11345" spans="1:4">
      <c r="A11345" s="3"/>
      <c r="D11345" s="3"/>
    </row>
    <row r="11346" spans="1:4">
      <c r="A11346" s="3"/>
      <c r="D11346" s="3"/>
    </row>
    <row r="11347" spans="1:4">
      <c r="A11347" s="3"/>
      <c r="D11347" s="3"/>
    </row>
    <row r="11348" spans="1:4">
      <c r="A11348" s="3"/>
      <c r="D11348" s="3"/>
    </row>
    <row r="11349" spans="1:4">
      <c r="A11349" s="3"/>
      <c r="D11349" s="3"/>
    </row>
    <row r="11350" spans="1:4">
      <c r="A11350" s="3"/>
      <c r="D11350" s="3"/>
    </row>
    <row r="11351" spans="1:4">
      <c r="A11351" s="3"/>
      <c r="D11351" s="3"/>
    </row>
    <row r="11352" spans="1:4">
      <c r="A11352" s="3"/>
      <c r="D11352" s="3"/>
    </row>
    <row r="11353" spans="1:4">
      <c r="A11353" s="3"/>
      <c r="D11353" s="3"/>
    </row>
    <row r="11354" spans="1:4">
      <c r="A11354" s="3"/>
      <c r="D11354" s="3"/>
    </row>
    <row r="11355" spans="1:4">
      <c r="A11355" s="3"/>
      <c r="D11355" s="3"/>
    </row>
    <row r="11356" spans="1:4">
      <c r="A11356" s="3"/>
      <c r="D11356" s="3"/>
    </row>
    <row r="11357" spans="1:4">
      <c r="A11357" s="3"/>
      <c r="D11357" s="3"/>
    </row>
    <row r="11358" spans="1:4">
      <c r="A11358" s="3"/>
      <c r="D11358" s="3"/>
    </row>
    <row r="11359" spans="1:4">
      <c r="A11359" s="3"/>
      <c r="D11359" s="3"/>
    </row>
    <row r="11360" spans="1:4">
      <c r="A11360" s="3"/>
      <c r="D11360" s="3"/>
    </row>
    <row r="11361" spans="1:4">
      <c r="A11361" s="3"/>
      <c r="D11361" s="3"/>
    </row>
    <row r="11362" spans="1:4">
      <c r="A11362" s="3"/>
      <c r="D11362" s="3"/>
    </row>
    <row r="11363" spans="1:4">
      <c r="A11363" s="3"/>
      <c r="D11363" s="3"/>
    </row>
    <row r="11364" spans="1:4">
      <c r="A11364" s="3"/>
      <c r="D11364" s="3"/>
    </row>
    <row r="11365" spans="1:4">
      <c r="A11365" s="3"/>
      <c r="D11365" s="3"/>
    </row>
    <row r="11366" spans="1:4">
      <c r="A11366" s="3"/>
      <c r="D11366" s="3"/>
    </row>
    <row r="11367" spans="1:4">
      <c r="A11367" s="3"/>
      <c r="D11367" s="3"/>
    </row>
    <row r="11368" spans="1:4">
      <c r="A11368" s="3"/>
      <c r="D11368" s="3"/>
    </row>
    <row r="11369" spans="1:4">
      <c r="A11369" s="3"/>
      <c r="D11369" s="3"/>
    </row>
    <row r="11370" spans="1:4">
      <c r="A11370" s="3"/>
      <c r="D11370" s="3"/>
    </row>
    <row r="11371" spans="1:4">
      <c r="A11371" s="3"/>
      <c r="D11371" s="3"/>
    </row>
    <row r="11372" spans="1:4">
      <c r="A11372" s="3"/>
      <c r="D11372" s="3"/>
    </row>
    <row r="11373" spans="1:4">
      <c r="A11373" s="3"/>
      <c r="D11373" s="3"/>
    </row>
    <row r="11374" spans="1:4">
      <c r="A11374" s="3"/>
      <c r="D11374" s="3"/>
    </row>
    <row r="11375" spans="1:4">
      <c r="A11375" s="3"/>
      <c r="D11375" s="3"/>
    </row>
    <row r="11376" spans="1:4">
      <c r="A11376" s="3"/>
      <c r="D11376" s="3"/>
    </row>
    <row r="11377" spans="1:4">
      <c r="A11377" s="3"/>
      <c r="D11377" s="3"/>
    </row>
    <row r="11378" spans="1:4">
      <c r="A11378" s="3"/>
      <c r="D11378" s="3"/>
    </row>
    <row r="11379" spans="1:4">
      <c r="A11379" s="3"/>
      <c r="D11379" s="3"/>
    </row>
    <row r="11380" spans="1:4">
      <c r="A11380" s="3"/>
      <c r="D11380" s="3"/>
    </row>
    <row r="11381" spans="1:4">
      <c r="A11381" s="3"/>
      <c r="D11381" s="3"/>
    </row>
    <row r="11382" spans="1:4">
      <c r="A11382" s="3"/>
      <c r="D11382" s="3"/>
    </row>
    <row r="11383" spans="1:4">
      <c r="A11383" s="3"/>
      <c r="D11383" s="3"/>
    </row>
    <row r="11384" spans="1:4">
      <c r="A11384" s="3"/>
      <c r="D11384" s="3"/>
    </row>
    <row r="11385" spans="1:4">
      <c r="A11385" s="3"/>
      <c r="D11385" s="3"/>
    </row>
    <row r="11386" spans="1:4">
      <c r="A11386" s="3"/>
      <c r="D11386" s="3"/>
    </row>
    <row r="11387" spans="1:4">
      <c r="A11387" s="3"/>
      <c r="D11387" s="3"/>
    </row>
    <row r="11388" spans="1:4">
      <c r="A11388" s="3"/>
      <c r="D11388" s="3"/>
    </row>
    <row r="11389" spans="1:4">
      <c r="A11389" s="3"/>
      <c r="D11389" s="3"/>
    </row>
    <row r="11390" spans="1:4">
      <c r="A11390" s="3"/>
      <c r="D11390" s="3"/>
    </row>
    <row r="11391" spans="1:4">
      <c r="A11391" s="3"/>
      <c r="D11391" s="3"/>
    </row>
    <row r="11392" spans="1:4">
      <c r="A11392" s="3"/>
      <c r="D11392" s="3"/>
    </row>
    <row r="11393" spans="1:4">
      <c r="A11393" s="3"/>
      <c r="D11393" s="3"/>
    </row>
    <row r="11394" spans="1:4">
      <c r="A11394" s="3"/>
      <c r="D11394" s="3"/>
    </row>
    <row r="11395" spans="1:4">
      <c r="A11395" s="3"/>
      <c r="D11395" s="3"/>
    </row>
    <row r="11396" spans="1:4">
      <c r="A11396" s="3"/>
      <c r="D11396" s="3"/>
    </row>
    <row r="11397" spans="1:4">
      <c r="A11397" s="3"/>
      <c r="D11397" s="3"/>
    </row>
    <row r="11398" spans="1:4">
      <c r="A11398" s="3"/>
      <c r="D11398" s="3"/>
    </row>
    <row r="11399" spans="1:4">
      <c r="A11399" s="3"/>
      <c r="D11399" s="3"/>
    </row>
    <row r="11400" spans="1:4">
      <c r="A11400" s="3"/>
      <c r="D11400" s="3"/>
    </row>
    <row r="11401" spans="1:4">
      <c r="A11401" s="3"/>
      <c r="D11401" s="3"/>
    </row>
    <row r="11402" spans="1:4">
      <c r="A11402" s="3"/>
      <c r="D11402" s="3"/>
    </row>
    <row r="11403" spans="1:4">
      <c r="A11403" s="3"/>
      <c r="D11403" s="3"/>
    </row>
    <row r="11404" spans="1:4">
      <c r="A11404" s="3"/>
      <c r="D11404" s="3"/>
    </row>
    <row r="11405" spans="1:4">
      <c r="A11405" s="3"/>
      <c r="D11405" s="3"/>
    </row>
    <row r="11406" spans="1:4">
      <c r="A11406" s="3"/>
      <c r="D11406" s="3"/>
    </row>
    <row r="11407" spans="1:4">
      <c r="A11407" s="3"/>
      <c r="D11407" s="3"/>
    </row>
    <row r="11408" spans="1:4">
      <c r="A11408" s="3"/>
      <c r="D11408" s="3"/>
    </row>
    <row r="11409" spans="1:4">
      <c r="A11409" s="3"/>
      <c r="D11409" s="3"/>
    </row>
    <row r="11410" spans="1:4">
      <c r="A11410" s="3"/>
      <c r="D11410" s="3"/>
    </row>
    <row r="11411" spans="1:4">
      <c r="A11411" s="3"/>
      <c r="D11411" s="3"/>
    </row>
    <row r="11412" spans="1:4">
      <c r="A11412" s="3"/>
      <c r="D11412" s="3"/>
    </row>
    <row r="11413" spans="1:4">
      <c r="A11413" s="3"/>
      <c r="D11413" s="3"/>
    </row>
    <row r="11414" spans="1:4">
      <c r="A11414" s="3"/>
      <c r="D11414" s="3"/>
    </row>
    <row r="11415" spans="1:4">
      <c r="A11415" s="3"/>
      <c r="D11415" s="3"/>
    </row>
    <row r="11416" spans="1:4">
      <c r="A11416" s="3"/>
      <c r="D11416" s="3"/>
    </row>
    <row r="11417" spans="1:4">
      <c r="A11417" s="3"/>
      <c r="D11417" s="3"/>
    </row>
    <row r="11418" spans="1:4">
      <c r="A11418" s="3"/>
      <c r="D11418" s="3"/>
    </row>
    <row r="11419" spans="1:4">
      <c r="A11419" s="3"/>
      <c r="D11419" s="3"/>
    </row>
    <row r="11420" spans="1:4">
      <c r="A11420" s="3"/>
      <c r="D11420" s="3"/>
    </row>
    <row r="11421" spans="1:4">
      <c r="A11421" s="3"/>
      <c r="D11421" s="3"/>
    </row>
    <row r="11422" spans="1:4">
      <c r="A11422" s="3"/>
      <c r="D11422" s="3"/>
    </row>
    <row r="11423" spans="1:4">
      <c r="A11423" s="3"/>
      <c r="D11423" s="3"/>
    </row>
    <row r="11424" spans="1:4">
      <c r="A11424" s="3"/>
      <c r="D11424" s="3"/>
    </row>
    <row r="11425" spans="1:4">
      <c r="A11425" s="3"/>
      <c r="D11425" s="3"/>
    </row>
    <row r="11426" spans="1:4">
      <c r="A11426" s="3"/>
      <c r="D11426" s="3"/>
    </row>
    <row r="11427" spans="1:4">
      <c r="A11427" s="3"/>
      <c r="D11427" s="3"/>
    </row>
    <row r="11428" spans="1:4">
      <c r="A11428" s="3"/>
      <c r="D11428" s="3"/>
    </row>
    <row r="11429" spans="1:4">
      <c r="A11429" s="3"/>
      <c r="D11429" s="3"/>
    </row>
    <row r="11430" spans="1:4">
      <c r="A11430" s="3"/>
      <c r="D11430" s="3"/>
    </row>
    <row r="11431" spans="1:4">
      <c r="A11431" s="3"/>
      <c r="D11431" s="3"/>
    </row>
    <row r="11432" spans="1:4">
      <c r="A11432" s="3"/>
      <c r="D11432" s="3"/>
    </row>
    <row r="11433" spans="1:4">
      <c r="A11433" s="3"/>
      <c r="D11433" s="3"/>
    </row>
    <row r="11434" spans="1:4">
      <c r="A11434" s="3"/>
      <c r="D11434" s="3"/>
    </row>
    <row r="11435" spans="1:4">
      <c r="A11435" s="3"/>
      <c r="D11435" s="3"/>
    </row>
    <row r="11436" spans="1:4">
      <c r="A11436" s="3"/>
      <c r="D11436" s="3"/>
    </row>
    <row r="11437" spans="1:4">
      <c r="A11437" s="3"/>
      <c r="D11437" s="3"/>
    </row>
    <row r="11438" spans="1:4">
      <c r="A11438" s="3"/>
      <c r="D11438" s="3"/>
    </row>
    <row r="11439" spans="1:4">
      <c r="A11439" s="3"/>
      <c r="D11439" s="3"/>
    </row>
    <row r="11440" spans="1:4">
      <c r="A11440" s="3"/>
      <c r="D11440" s="3"/>
    </row>
    <row r="11441" spans="1:4">
      <c r="A11441" s="3"/>
      <c r="D11441" s="3"/>
    </row>
    <row r="11442" spans="1:4">
      <c r="A11442" s="3"/>
      <c r="D11442" s="3"/>
    </row>
    <row r="11443" spans="1:4">
      <c r="A11443" s="3"/>
      <c r="D11443" s="3"/>
    </row>
    <row r="11444" spans="1:4">
      <c r="A11444" s="3"/>
      <c r="D11444" s="3"/>
    </row>
    <row r="11445" spans="1:4">
      <c r="A11445" s="3"/>
      <c r="D11445" s="3"/>
    </row>
    <row r="11446" spans="1:4">
      <c r="A11446" s="3"/>
      <c r="D11446" s="3"/>
    </row>
    <row r="11447" spans="1:4">
      <c r="A11447" s="3"/>
      <c r="D11447" s="3"/>
    </row>
    <row r="11448" spans="1:4">
      <c r="A11448" s="3"/>
      <c r="D11448" s="3"/>
    </row>
    <row r="11449" spans="1:4">
      <c r="A11449" s="3"/>
      <c r="D11449" s="3"/>
    </row>
    <row r="11450" spans="1:4">
      <c r="A11450" s="3"/>
      <c r="D11450" s="3"/>
    </row>
    <row r="11451" spans="1:4">
      <c r="A11451" s="3"/>
      <c r="D11451" s="3"/>
    </row>
    <row r="11452" spans="1:4">
      <c r="A11452" s="3"/>
      <c r="D11452" s="3"/>
    </row>
    <row r="11453" spans="1:4">
      <c r="A11453" s="3"/>
      <c r="D11453" s="3"/>
    </row>
    <row r="11454" spans="1:4">
      <c r="A11454" s="3"/>
      <c r="D11454" s="3"/>
    </row>
    <row r="11455" spans="1:4">
      <c r="A11455" s="3"/>
      <c r="D11455" s="3"/>
    </row>
    <row r="11456" spans="1:4">
      <c r="A11456" s="3"/>
      <c r="D11456" s="3"/>
    </row>
    <row r="11457" spans="1:4">
      <c r="A11457" s="3"/>
      <c r="D11457" s="3"/>
    </row>
    <row r="11458" spans="1:4">
      <c r="A11458" s="3"/>
      <c r="D11458" s="3"/>
    </row>
    <row r="11459" spans="1:4">
      <c r="A11459" s="3"/>
      <c r="D11459" s="3"/>
    </row>
    <row r="11460" spans="1:4">
      <c r="A11460" s="3"/>
      <c r="D11460" s="3"/>
    </row>
    <row r="11461" spans="1:4">
      <c r="A11461" s="3"/>
      <c r="D11461" s="3"/>
    </row>
    <row r="11462" spans="1:4">
      <c r="A11462" s="3"/>
      <c r="D11462" s="3"/>
    </row>
    <row r="11463" spans="1:4">
      <c r="A11463" s="3"/>
      <c r="D11463" s="3"/>
    </row>
    <row r="11464" spans="1:4">
      <c r="A11464" s="3"/>
      <c r="D11464" s="3"/>
    </row>
    <row r="11465" spans="1:4">
      <c r="A11465" s="3"/>
      <c r="D11465" s="3"/>
    </row>
    <row r="11466" spans="1:4">
      <c r="A11466" s="3"/>
      <c r="D11466" s="3"/>
    </row>
    <row r="11467" spans="1:4">
      <c r="A11467" s="3"/>
      <c r="D11467" s="3"/>
    </row>
    <row r="11468" spans="1:4">
      <c r="A11468" s="3"/>
      <c r="D11468" s="3"/>
    </row>
    <row r="11469" spans="1:4">
      <c r="A11469" s="3"/>
      <c r="D11469" s="3"/>
    </row>
    <row r="11470" spans="1:4">
      <c r="A11470" s="3"/>
      <c r="D11470" s="3"/>
    </row>
    <row r="11471" spans="1:4">
      <c r="A11471" s="3"/>
      <c r="D11471" s="3"/>
    </row>
    <row r="11472" spans="1:4">
      <c r="A11472" s="3"/>
      <c r="D11472" s="3"/>
    </row>
    <row r="11473" spans="1:4">
      <c r="A11473" s="3"/>
      <c r="D11473" s="3"/>
    </row>
    <row r="11474" spans="1:4">
      <c r="A11474" s="3"/>
      <c r="D11474" s="3"/>
    </row>
    <row r="11475" spans="1:4">
      <c r="A11475" s="3"/>
      <c r="D11475" s="3"/>
    </row>
    <row r="11476" spans="1:4">
      <c r="A11476" s="3"/>
      <c r="D11476" s="3"/>
    </row>
    <row r="11477" spans="1:4">
      <c r="A11477" s="3"/>
      <c r="D11477" s="3"/>
    </row>
    <row r="11478" spans="1:4">
      <c r="A11478" s="3"/>
      <c r="D11478" s="3"/>
    </row>
    <row r="11479" spans="1:4">
      <c r="A11479" s="3"/>
      <c r="D11479" s="3"/>
    </row>
    <row r="11480" spans="1:4">
      <c r="A11480" s="3"/>
      <c r="D11480" s="3"/>
    </row>
    <row r="11481" spans="1:4">
      <c r="A11481" s="3"/>
      <c r="D11481" s="3"/>
    </row>
    <row r="11482" spans="1:4">
      <c r="A11482" s="3"/>
      <c r="D11482" s="3"/>
    </row>
    <row r="11483" spans="1:4">
      <c r="A11483" s="3"/>
      <c r="D11483" s="3"/>
    </row>
    <row r="11484" spans="1:4">
      <c r="A11484" s="3"/>
      <c r="D11484" s="3"/>
    </row>
    <row r="11485" spans="1:4">
      <c r="A11485" s="3"/>
      <c r="D11485" s="3"/>
    </row>
    <row r="11486" spans="1:4">
      <c r="A11486" s="3"/>
      <c r="D11486" s="3"/>
    </row>
    <row r="11487" spans="1:4">
      <c r="A11487" s="3"/>
      <c r="D11487" s="3"/>
    </row>
    <row r="11488" spans="1:4">
      <c r="A11488" s="3"/>
      <c r="D11488" s="3"/>
    </row>
    <row r="11489" spans="1:4">
      <c r="A11489" s="3"/>
      <c r="D11489" s="3"/>
    </row>
    <row r="11490" spans="1:4">
      <c r="A11490" s="3"/>
      <c r="D11490" s="3"/>
    </row>
    <row r="11491" spans="1:4">
      <c r="A11491" s="3"/>
      <c r="D11491" s="3"/>
    </row>
    <row r="11492" spans="1:4">
      <c r="A11492" s="3"/>
      <c r="D11492" s="3"/>
    </row>
    <row r="11493" spans="1:4">
      <c r="A11493" s="3"/>
      <c r="D11493" s="3"/>
    </row>
    <row r="11494" spans="1:4">
      <c r="A11494" s="3"/>
      <c r="D11494" s="3"/>
    </row>
    <row r="11495" spans="1:4">
      <c r="A11495" s="3"/>
      <c r="D11495" s="3"/>
    </row>
    <row r="11496" spans="1:4">
      <c r="A11496" s="3"/>
      <c r="D11496" s="3"/>
    </row>
    <row r="11497" spans="1:4">
      <c r="A11497" s="3"/>
      <c r="D11497" s="3"/>
    </row>
    <row r="11498" spans="1:4">
      <c r="A11498" s="3"/>
      <c r="D11498" s="3"/>
    </row>
    <row r="11499" spans="1:4">
      <c r="A11499" s="3"/>
      <c r="D11499" s="3"/>
    </row>
    <row r="11500" spans="1:4">
      <c r="A11500" s="3"/>
      <c r="D11500" s="3"/>
    </row>
    <row r="11501" spans="1:4">
      <c r="A11501" s="3"/>
      <c r="D11501" s="3"/>
    </row>
    <row r="11502" spans="1:4">
      <c r="A11502" s="3"/>
      <c r="D11502" s="3"/>
    </row>
    <row r="11503" spans="1:4">
      <c r="A11503" s="3"/>
      <c r="D11503" s="3"/>
    </row>
    <row r="11504" spans="1:4">
      <c r="A11504" s="3"/>
      <c r="D11504" s="3"/>
    </row>
    <row r="11505" spans="1:4">
      <c r="A11505" s="3"/>
      <c r="D11505" s="3"/>
    </row>
    <row r="11506" spans="1:4">
      <c r="A11506" s="3"/>
      <c r="D11506" s="3"/>
    </row>
    <row r="11507" spans="1:4">
      <c r="A11507" s="3"/>
      <c r="D11507" s="3"/>
    </row>
    <row r="11508" spans="1:4">
      <c r="A11508" s="3"/>
      <c r="D11508" s="3"/>
    </row>
    <row r="11509" spans="1:4">
      <c r="A11509" s="3"/>
      <c r="D11509" s="3"/>
    </row>
    <row r="11510" spans="1:4">
      <c r="A11510" s="3"/>
      <c r="D11510" s="3"/>
    </row>
    <row r="11511" spans="1:4">
      <c r="A11511" s="3"/>
      <c r="D11511" s="3"/>
    </row>
    <row r="11512" spans="1:4">
      <c r="A11512" s="3"/>
      <c r="D11512" s="3"/>
    </row>
    <row r="11513" spans="1:4">
      <c r="A11513" s="3"/>
      <c r="D11513" s="3"/>
    </row>
    <row r="11514" spans="1:4">
      <c r="A11514" s="3"/>
      <c r="D11514" s="3"/>
    </row>
    <row r="11515" spans="1:4">
      <c r="A11515" s="3"/>
      <c r="D11515" s="3"/>
    </row>
    <row r="11516" spans="1:4">
      <c r="A11516" s="3"/>
      <c r="D11516" s="3"/>
    </row>
    <row r="11517" spans="1:4">
      <c r="A11517" s="3"/>
      <c r="D11517" s="3"/>
    </row>
    <row r="11518" spans="1:4">
      <c r="A11518" s="3"/>
      <c r="D11518" s="3"/>
    </row>
    <row r="11519" spans="1:4">
      <c r="A11519" s="3"/>
      <c r="D11519" s="3"/>
    </row>
    <row r="11520" spans="1:4">
      <c r="A11520" s="3"/>
      <c r="D11520" s="3"/>
    </row>
    <row r="11521" spans="1:4">
      <c r="A11521" s="3"/>
      <c r="D11521" s="3"/>
    </row>
    <row r="11522" spans="1:4">
      <c r="A11522" s="3"/>
      <c r="D11522" s="3"/>
    </row>
    <row r="11523" spans="1:4">
      <c r="A11523" s="3"/>
      <c r="D11523" s="3"/>
    </row>
    <row r="11524" spans="1:4">
      <c r="A11524" s="3"/>
      <c r="D11524" s="3"/>
    </row>
    <row r="11525" spans="1:4">
      <c r="A11525" s="3"/>
      <c r="D11525" s="3"/>
    </row>
    <row r="11526" spans="1:4">
      <c r="A11526" s="3"/>
      <c r="D11526" s="3"/>
    </row>
    <row r="11527" spans="1:4">
      <c r="A11527" s="3"/>
      <c r="D11527" s="3"/>
    </row>
    <row r="11528" spans="1:4">
      <c r="A11528" s="3"/>
      <c r="D11528" s="3"/>
    </row>
    <row r="11529" spans="1:4">
      <c r="A11529" s="3"/>
      <c r="D11529" s="3"/>
    </row>
    <row r="11530" spans="1:4">
      <c r="A11530" s="3"/>
      <c r="D11530" s="3"/>
    </row>
    <row r="11531" spans="1:4">
      <c r="A11531" s="3"/>
      <c r="D11531" s="3"/>
    </row>
    <row r="11532" spans="1:4">
      <c r="A11532" s="3"/>
      <c r="D11532" s="3"/>
    </row>
    <row r="11533" spans="1:4">
      <c r="A11533" s="3"/>
      <c r="D11533" s="3"/>
    </row>
    <row r="11534" spans="1:4">
      <c r="A11534" s="3"/>
      <c r="D11534" s="3"/>
    </row>
    <row r="11535" spans="1:4">
      <c r="A11535" s="3"/>
      <c r="D11535" s="3"/>
    </row>
    <row r="11536" spans="1:4">
      <c r="A11536" s="3"/>
      <c r="D11536" s="3"/>
    </row>
    <row r="11537" spans="1:4">
      <c r="A11537" s="3"/>
      <c r="D11537" s="3"/>
    </row>
    <row r="11538" spans="1:4">
      <c r="A11538" s="3"/>
      <c r="D11538" s="3"/>
    </row>
    <row r="11539" spans="1:4">
      <c r="A11539" s="3"/>
      <c r="D11539" s="3"/>
    </row>
    <row r="11540" spans="1:4">
      <c r="A11540" s="3"/>
      <c r="D11540" s="3"/>
    </row>
    <row r="11541" spans="1:4">
      <c r="A11541" s="3"/>
      <c r="D11541" s="3"/>
    </row>
    <row r="11542" spans="1:4">
      <c r="A11542" s="3"/>
      <c r="D11542" s="3"/>
    </row>
    <row r="11543" spans="1:4">
      <c r="A11543" s="3"/>
      <c r="D11543" s="3"/>
    </row>
    <row r="11544" spans="1:4">
      <c r="A11544" s="3"/>
      <c r="D11544" s="3"/>
    </row>
    <row r="11545" spans="1:4">
      <c r="A11545" s="3"/>
      <c r="D11545" s="3"/>
    </row>
    <row r="11546" spans="1:4">
      <c r="A11546" s="3"/>
      <c r="D11546" s="3"/>
    </row>
    <row r="11547" spans="1:4">
      <c r="A11547" s="3"/>
      <c r="D11547" s="3"/>
    </row>
    <row r="11548" spans="1:4">
      <c r="A11548" s="3"/>
      <c r="D11548" s="3"/>
    </row>
    <row r="11549" spans="1:4">
      <c r="A11549" s="3"/>
      <c r="D11549" s="3"/>
    </row>
    <row r="11550" spans="1:4">
      <c r="A11550" s="3"/>
      <c r="D11550" s="3"/>
    </row>
    <row r="11551" spans="1:4">
      <c r="A11551" s="3"/>
      <c r="D11551" s="3"/>
    </row>
    <row r="11552" spans="1:4">
      <c r="A11552" s="3"/>
      <c r="D11552" s="3"/>
    </row>
    <row r="11553" spans="1:4">
      <c r="A11553" s="3"/>
      <c r="D11553" s="3"/>
    </row>
    <row r="11554" spans="1:4">
      <c r="A11554" s="3"/>
      <c r="D11554" s="3"/>
    </row>
    <row r="11555" spans="1:4">
      <c r="A11555" s="3"/>
      <c r="D11555" s="3"/>
    </row>
    <row r="11556" spans="1:4">
      <c r="A11556" s="3"/>
      <c r="D11556" s="3"/>
    </row>
    <row r="11557" spans="1:4">
      <c r="A11557" s="3"/>
      <c r="D11557" s="3"/>
    </row>
    <row r="11558" spans="1:4">
      <c r="A11558" s="3"/>
      <c r="D11558" s="3"/>
    </row>
    <row r="11559" spans="1:4">
      <c r="A11559" s="3"/>
      <c r="D11559" s="3"/>
    </row>
    <row r="11560" spans="1:4">
      <c r="A11560" s="3"/>
      <c r="D11560" s="3"/>
    </row>
    <row r="11561" spans="1:4">
      <c r="A11561" s="3"/>
      <c r="D11561" s="3"/>
    </row>
    <row r="11562" spans="1:4">
      <c r="A11562" s="3"/>
      <c r="D11562" s="3"/>
    </row>
    <row r="11563" spans="1:4">
      <c r="A11563" s="3"/>
      <c r="D11563" s="3"/>
    </row>
    <row r="11564" spans="1:4">
      <c r="A11564" s="3"/>
      <c r="D11564" s="3"/>
    </row>
    <row r="11565" spans="1:4">
      <c r="A11565" s="3"/>
      <c r="D11565" s="3"/>
    </row>
    <row r="11566" spans="1:4">
      <c r="A11566" s="3"/>
      <c r="D11566" s="3"/>
    </row>
    <row r="11567" spans="1:4">
      <c r="A11567" s="3"/>
      <c r="D11567" s="3"/>
    </row>
    <row r="11568" spans="1:4">
      <c r="A11568" s="3"/>
      <c r="D11568" s="3"/>
    </row>
    <row r="11569" spans="1:4">
      <c r="A11569" s="3"/>
      <c r="D11569" s="3"/>
    </row>
    <row r="11570" spans="1:4">
      <c r="A11570" s="3"/>
      <c r="D11570" s="3"/>
    </row>
    <row r="11571" spans="1:4">
      <c r="A11571" s="3"/>
      <c r="D11571" s="3"/>
    </row>
    <row r="11572" spans="1:4">
      <c r="A11572" s="3"/>
      <c r="D11572" s="3"/>
    </row>
    <row r="11573" spans="1:4">
      <c r="A11573" s="3"/>
      <c r="D11573" s="3"/>
    </row>
    <row r="11574" spans="1:4">
      <c r="A11574" s="3"/>
      <c r="D11574" s="3"/>
    </row>
    <row r="11575" spans="1:4">
      <c r="A11575" s="3"/>
      <c r="D11575" s="3"/>
    </row>
    <row r="11576" spans="1:4">
      <c r="A11576" s="3"/>
      <c r="D11576" s="3"/>
    </row>
    <row r="11577" spans="1:4">
      <c r="A11577" s="3"/>
      <c r="D11577" s="3"/>
    </row>
    <row r="11578" spans="1:4">
      <c r="A11578" s="3"/>
      <c r="D11578" s="3"/>
    </row>
    <row r="11579" spans="1:4">
      <c r="A11579" s="3"/>
      <c r="D11579" s="3"/>
    </row>
    <row r="11580" spans="1:4">
      <c r="A11580" s="3"/>
      <c r="D11580" s="3"/>
    </row>
    <row r="11581" spans="1:4">
      <c r="A11581" s="3"/>
      <c r="D11581" s="3"/>
    </row>
    <row r="11582" spans="1:4">
      <c r="A11582" s="3"/>
      <c r="D11582" s="3"/>
    </row>
    <row r="11583" spans="1:4">
      <c r="A11583" s="3"/>
      <c r="D11583" s="3"/>
    </row>
    <row r="11584" spans="1:4">
      <c r="A11584" s="3"/>
      <c r="D11584" s="3"/>
    </row>
    <row r="11585" spans="1:4">
      <c r="A11585" s="3"/>
      <c r="D11585" s="3"/>
    </row>
    <row r="11586" spans="1:4">
      <c r="A11586" s="3"/>
      <c r="D11586" s="3"/>
    </row>
    <row r="11587" spans="1:4">
      <c r="A11587" s="3"/>
      <c r="D11587" s="3"/>
    </row>
    <row r="11588" spans="1:4">
      <c r="A11588" s="3"/>
      <c r="D11588" s="3"/>
    </row>
    <row r="11589" spans="1:4">
      <c r="A11589" s="3"/>
      <c r="D11589" s="3"/>
    </row>
    <row r="11590" spans="1:4">
      <c r="A11590" s="3"/>
      <c r="D11590" s="3"/>
    </row>
    <row r="11591" spans="1:4">
      <c r="A11591" s="3"/>
      <c r="D11591" s="3"/>
    </row>
    <row r="11592" spans="1:4">
      <c r="A11592" s="3"/>
      <c r="D11592" s="3"/>
    </row>
    <row r="11593" spans="1:4">
      <c r="A11593" s="3"/>
      <c r="D11593" s="3"/>
    </row>
    <row r="11594" spans="1:4">
      <c r="A11594" s="3"/>
      <c r="D11594" s="3"/>
    </row>
    <row r="11595" spans="1:4">
      <c r="A11595" s="3"/>
      <c r="D11595" s="3"/>
    </row>
    <row r="11596" spans="1:4">
      <c r="A11596" s="3"/>
      <c r="D11596" s="3"/>
    </row>
    <row r="11597" spans="1:4">
      <c r="A11597" s="3"/>
      <c r="D11597" s="3"/>
    </row>
    <row r="11598" spans="1:4">
      <c r="A11598" s="3"/>
      <c r="D11598" s="3"/>
    </row>
    <row r="11599" spans="1:4">
      <c r="A11599" s="3"/>
      <c r="D11599" s="3"/>
    </row>
    <row r="11600" spans="1:4">
      <c r="A11600" s="3"/>
      <c r="D11600" s="3"/>
    </row>
    <row r="11601" spans="1:4">
      <c r="A11601" s="3"/>
      <c r="D11601" s="3"/>
    </row>
    <row r="11602" spans="1:4">
      <c r="A11602" s="3"/>
      <c r="D11602" s="3"/>
    </row>
    <row r="11603" spans="1:4">
      <c r="A11603" s="3"/>
      <c r="D11603" s="3"/>
    </row>
    <row r="11604" spans="1:4">
      <c r="A11604" s="3"/>
      <c r="D11604" s="3"/>
    </row>
    <row r="11605" spans="1:4">
      <c r="A11605" s="3"/>
      <c r="D11605" s="3"/>
    </row>
    <row r="11606" spans="1:4">
      <c r="A11606" s="3"/>
      <c r="D11606" s="3"/>
    </row>
    <row r="11607" spans="1:4">
      <c r="A11607" s="3"/>
      <c r="D11607" s="3"/>
    </row>
    <row r="11608" spans="1:4">
      <c r="A11608" s="3"/>
      <c r="D11608" s="3"/>
    </row>
    <row r="11609" spans="1:4">
      <c r="A11609" s="3"/>
      <c r="D11609" s="3"/>
    </row>
    <row r="11610" spans="1:4">
      <c r="A11610" s="3"/>
      <c r="D11610" s="3"/>
    </row>
    <row r="11611" spans="1:4">
      <c r="A11611" s="3"/>
      <c r="D11611" s="3"/>
    </row>
    <row r="11612" spans="1:4">
      <c r="A11612" s="3"/>
      <c r="D11612" s="3"/>
    </row>
    <row r="11613" spans="1:4">
      <c r="A11613" s="3"/>
      <c r="D11613" s="3"/>
    </row>
    <row r="11614" spans="1:4">
      <c r="A11614" s="3"/>
      <c r="D11614" s="3"/>
    </row>
    <row r="11615" spans="1:4">
      <c r="A11615" s="3"/>
      <c r="D11615" s="3"/>
    </row>
    <row r="11616" spans="1:4">
      <c r="A11616" s="3"/>
      <c r="D11616" s="3"/>
    </row>
    <row r="11617" spans="1:4">
      <c r="A11617" s="3"/>
      <c r="D11617" s="3"/>
    </row>
    <row r="11618" spans="1:4">
      <c r="A11618" s="3"/>
      <c r="D11618" s="3"/>
    </row>
    <row r="11619" spans="1:4">
      <c r="A11619" s="3"/>
      <c r="D11619" s="3"/>
    </row>
    <row r="11620" spans="1:4">
      <c r="A11620" s="3"/>
      <c r="D11620" s="3"/>
    </row>
    <row r="11621" spans="1:4">
      <c r="A11621" s="3"/>
      <c r="D11621" s="3"/>
    </row>
    <row r="11622" spans="1:4">
      <c r="A11622" s="3"/>
      <c r="D11622" s="3"/>
    </row>
    <row r="11623" spans="1:4">
      <c r="A11623" s="3"/>
      <c r="D11623" s="3"/>
    </row>
    <row r="11624" spans="1:4">
      <c r="A11624" s="3"/>
      <c r="D11624" s="3"/>
    </row>
    <row r="11625" spans="1:4">
      <c r="A11625" s="3"/>
      <c r="D11625" s="3"/>
    </row>
    <row r="11626" spans="1:4">
      <c r="A11626" s="3"/>
      <c r="D11626" s="3"/>
    </row>
    <row r="11627" spans="1:4">
      <c r="A11627" s="3"/>
      <c r="D11627" s="3"/>
    </row>
    <row r="11628" spans="1:4">
      <c r="A11628" s="3"/>
      <c r="D11628" s="3"/>
    </row>
    <row r="11629" spans="1:4">
      <c r="A11629" s="3"/>
      <c r="D11629" s="3"/>
    </row>
    <row r="11630" spans="1:4">
      <c r="A11630" s="3"/>
      <c r="D11630" s="3"/>
    </row>
    <row r="11631" spans="1:4">
      <c r="A11631" s="3"/>
      <c r="D11631" s="3"/>
    </row>
    <row r="11632" spans="1:4">
      <c r="A11632" s="3"/>
      <c r="D11632" s="3"/>
    </row>
    <row r="11633" spans="1:4">
      <c r="A11633" s="3"/>
      <c r="D11633" s="3"/>
    </row>
    <row r="11634" spans="1:4">
      <c r="A11634" s="3"/>
      <c r="D11634" s="3"/>
    </row>
    <row r="11635" spans="1:4">
      <c r="A11635" s="3"/>
      <c r="D11635" s="3"/>
    </row>
    <row r="11636" spans="1:4">
      <c r="A11636" s="3"/>
      <c r="D11636" s="3"/>
    </row>
    <row r="11637" spans="1:4">
      <c r="A11637" s="3"/>
      <c r="D11637" s="3"/>
    </row>
    <row r="11638" spans="1:4">
      <c r="A11638" s="3"/>
      <c r="D11638" s="3"/>
    </row>
    <row r="11639" spans="1:4">
      <c r="A11639" s="3"/>
      <c r="D11639" s="3"/>
    </row>
    <row r="11640" spans="1:4">
      <c r="A11640" s="3"/>
      <c r="D11640" s="3"/>
    </row>
    <row r="11641" spans="1:4">
      <c r="A11641" s="3"/>
      <c r="D11641" s="3"/>
    </row>
    <row r="11642" spans="1:4">
      <c r="A11642" s="3"/>
      <c r="D11642" s="3"/>
    </row>
    <row r="11643" spans="1:4">
      <c r="A11643" s="3"/>
      <c r="D11643" s="3"/>
    </row>
    <row r="11644" spans="1:4">
      <c r="A11644" s="3"/>
      <c r="D11644" s="3"/>
    </row>
    <row r="11645" spans="1:4">
      <c r="A11645" s="3"/>
      <c r="D11645" s="3"/>
    </row>
    <row r="11646" spans="1:4">
      <c r="A11646" s="3"/>
      <c r="D11646" s="3"/>
    </row>
    <row r="11647" spans="1:4">
      <c r="A11647" s="3"/>
      <c r="D11647" s="3"/>
    </row>
    <row r="11648" spans="1:4">
      <c r="A11648" s="3"/>
      <c r="D11648" s="3"/>
    </row>
    <row r="11649" spans="1:4">
      <c r="A11649" s="3"/>
      <c r="D11649" s="3"/>
    </row>
    <row r="11650" spans="1:4">
      <c r="A11650" s="3"/>
      <c r="D11650" s="3"/>
    </row>
    <row r="11651" spans="1:4">
      <c r="A11651" s="3"/>
      <c r="D11651" s="3"/>
    </row>
    <row r="11652" spans="1:4">
      <c r="A11652" s="3"/>
      <c r="D11652" s="3"/>
    </row>
    <row r="11653" spans="1:4">
      <c r="A11653" s="3"/>
      <c r="D11653" s="3"/>
    </row>
    <row r="11654" spans="1:4">
      <c r="A11654" s="3"/>
      <c r="D11654" s="3"/>
    </row>
    <row r="11655" spans="1:4">
      <c r="A11655" s="3"/>
      <c r="D11655" s="3"/>
    </row>
    <row r="11656" spans="1:4">
      <c r="A11656" s="3"/>
      <c r="D11656" s="3"/>
    </row>
    <row r="11657" spans="1:4">
      <c r="A11657" s="3"/>
      <c r="D11657" s="3"/>
    </row>
    <row r="11658" spans="1:4">
      <c r="A11658" s="3"/>
      <c r="D11658" s="3"/>
    </row>
    <row r="11659" spans="1:4">
      <c r="A11659" s="3"/>
      <c r="D11659" s="3"/>
    </row>
    <row r="11660" spans="1:4">
      <c r="A11660" s="3"/>
      <c r="D11660" s="3"/>
    </row>
    <row r="11661" spans="1:4">
      <c r="A11661" s="3"/>
      <c r="D11661" s="3"/>
    </row>
    <row r="11662" spans="1:4">
      <c r="A11662" s="3"/>
      <c r="D11662" s="3"/>
    </row>
    <row r="11663" spans="1:4">
      <c r="A11663" s="3"/>
      <c r="D11663" s="3"/>
    </row>
    <row r="11664" spans="1:4">
      <c r="A11664" s="3"/>
      <c r="D11664" s="3"/>
    </row>
    <row r="11665" spans="1:4">
      <c r="A11665" s="3"/>
      <c r="D11665" s="3"/>
    </row>
    <row r="11666" spans="1:4">
      <c r="A11666" s="3"/>
      <c r="D11666" s="3"/>
    </row>
    <row r="11667" spans="1:4">
      <c r="A11667" s="3"/>
      <c r="D11667" s="3"/>
    </row>
    <row r="11668" spans="1:4">
      <c r="A11668" s="3"/>
      <c r="D11668" s="3"/>
    </row>
    <row r="11669" spans="1:4">
      <c r="A11669" s="3"/>
      <c r="D11669" s="3"/>
    </row>
    <row r="11670" spans="1:4">
      <c r="A11670" s="3"/>
      <c r="D11670" s="3"/>
    </row>
    <row r="11671" spans="1:4">
      <c r="A11671" s="3"/>
      <c r="D11671" s="3"/>
    </row>
    <row r="11672" spans="1:4">
      <c r="A11672" s="3"/>
      <c r="D11672" s="3"/>
    </row>
    <row r="11673" spans="1:4">
      <c r="A11673" s="3"/>
      <c r="D11673" s="3"/>
    </row>
    <row r="11674" spans="1:4">
      <c r="A11674" s="3"/>
      <c r="D11674" s="3"/>
    </row>
    <row r="11675" spans="1:4">
      <c r="A11675" s="3"/>
      <c r="D11675" s="3"/>
    </row>
    <row r="11676" spans="1:4">
      <c r="A11676" s="3"/>
      <c r="D11676" s="3"/>
    </row>
    <row r="11677" spans="1:4">
      <c r="A11677" s="3"/>
      <c r="D11677" s="3"/>
    </row>
    <row r="11678" spans="1:4">
      <c r="A11678" s="3"/>
      <c r="D11678" s="3"/>
    </row>
    <row r="11679" spans="1:4">
      <c r="A11679" s="3"/>
      <c r="D11679" s="3"/>
    </row>
    <row r="11680" spans="1:4">
      <c r="A11680" s="3"/>
      <c r="D11680" s="3"/>
    </row>
    <row r="11681" spans="1:4">
      <c r="A11681" s="3"/>
      <c r="D11681" s="3"/>
    </row>
    <row r="11682" spans="1:4">
      <c r="A11682" s="3"/>
      <c r="D11682" s="3"/>
    </row>
    <row r="11683" spans="1:4">
      <c r="A11683" s="3"/>
      <c r="D11683" s="3"/>
    </row>
    <row r="11684" spans="1:4">
      <c r="A11684" s="3"/>
      <c r="D11684" s="3"/>
    </row>
    <row r="11685" spans="1:4">
      <c r="A11685" s="3"/>
      <c r="D11685" s="3"/>
    </row>
    <row r="11686" spans="1:4">
      <c r="A11686" s="3"/>
      <c r="D11686" s="3"/>
    </row>
    <row r="11687" spans="1:4">
      <c r="A11687" s="3"/>
      <c r="D11687" s="3"/>
    </row>
    <row r="11688" spans="1:4">
      <c r="A11688" s="3"/>
      <c r="D11688" s="3"/>
    </row>
    <row r="11689" spans="1:4">
      <c r="A11689" s="3"/>
      <c r="D11689" s="3"/>
    </row>
    <row r="11690" spans="1:4">
      <c r="A11690" s="3"/>
      <c r="D11690" s="3"/>
    </row>
    <row r="11691" spans="1:4">
      <c r="A11691" s="3"/>
      <c r="D11691" s="3"/>
    </row>
    <row r="11692" spans="1:4">
      <c r="A11692" s="3"/>
      <c r="D11692" s="3"/>
    </row>
    <row r="11693" spans="1:4">
      <c r="A11693" s="3"/>
      <c r="D11693" s="3"/>
    </row>
    <row r="11694" spans="1:4">
      <c r="A11694" s="3"/>
      <c r="D11694" s="3"/>
    </row>
    <row r="11695" spans="1:4">
      <c r="A11695" s="3"/>
      <c r="D11695" s="3"/>
    </row>
    <row r="11696" spans="1:4">
      <c r="A11696" s="3"/>
      <c r="D11696" s="3"/>
    </row>
    <row r="11697" spans="1:4">
      <c r="A11697" s="3"/>
      <c r="D11697" s="3"/>
    </row>
    <row r="11698" spans="1:4">
      <c r="A11698" s="3"/>
      <c r="D11698" s="3"/>
    </row>
    <row r="11699" spans="1:4">
      <c r="A11699" s="3"/>
      <c r="D11699" s="3"/>
    </row>
    <row r="11700" spans="1:4">
      <c r="A11700" s="3"/>
      <c r="D11700" s="3"/>
    </row>
    <row r="11701" spans="1:4">
      <c r="A11701" s="3"/>
      <c r="D11701" s="3"/>
    </row>
    <row r="11702" spans="1:4">
      <c r="A11702" s="3"/>
      <c r="D11702" s="3"/>
    </row>
    <row r="11703" spans="1:4">
      <c r="A11703" s="3"/>
      <c r="D11703" s="3"/>
    </row>
    <row r="11704" spans="1:4">
      <c r="A11704" s="3"/>
      <c r="D11704" s="3"/>
    </row>
    <row r="11705" spans="1:4">
      <c r="A11705" s="3"/>
      <c r="D11705" s="3"/>
    </row>
    <row r="11706" spans="1:4">
      <c r="A11706" s="3"/>
      <c r="D11706" s="3"/>
    </row>
    <row r="11707" spans="1:4">
      <c r="A11707" s="3"/>
      <c r="D11707" s="3"/>
    </row>
    <row r="11708" spans="1:4">
      <c r="A11708" s="3"/>
      <c r="D11708" s="3"/>
    </row>
    <row r="11709" spans="1:4">
      <c r="A11709" s="3"/>
      <c r="D11709" s="3"/>
    </row>
    <row r="11710" spans="1:4">
      <c r="A11710" s="3"/>
      <c r="D11710" s="3"/>
    </row>
    <row r="11711" spans="1:4">
      <c r="A11711" s="3"/>
      <c r="D11711" s="3"/>
    </row>
    <row r="11712" spans="1:4">
      <c r="A11712" s="3"/>
      <c r="D11712" s="3"/>
    </row>
    <row r="11713" spans="1:4">
      <c r="A11713" s="3"/>
      <c r="D11713" s="3"/>
    </row>
    <row r="11714" spans="1:4">
      <c r="A11714" s="3"/>
      <c r="D11714" s="3"/>
    </row>
    <row r="11715" spans="1:4">
      <c r="A11715" s="3"/>
      <c r="D11715" s="3"/>
    </row>
    <row r="11716" spans="1:4">
      <c r="A11716" s="3"/>
      <c r="D11716" s="3"/>
    </row>
    <row r="11717" spans="1:4">
      <c r="A11717" s="3"/>
      <c r="D11717" s="3"/>
    </row>
    <row r="11718" spans="1:4">
      <c r="A11718" s="3"/>
      <c r="D11718" s="3"/>
    </row>
    <row r="11719" spans="1:4">
      <c r="A11719" s="3"/>
      <c r="D11719" s="3"/>
    </row>
    <row r="11720" spans="1:4">
      <c r="A11720" s="3"/>
      <c r="D11720" s="3"/>
    </row>
    <row r="11721" spans="1:4">
      <c r="A11721" s="3"/>
      <c r="D11721" s="3"/>
    </row>
    <row r="11722" spans="1:4">
      <c r="A11722" s="3"/>
      <c r="D11722" s="3"/>
    </row>
    <row r="11723" spans="1:4">
      <c r="A11723" s="3"/>
      <c r="D11723" s="3"/>
    </row>
    <row r="11724" spans="1:4">
      <c r="A11724" s="3"/>
      <c r="D11724" s="3"/>
    </row>
    <row r="11725" spans="1:4">
      <c r="A11725" s="3"/>
      <c r="D11725" s="3"/>
    </row>
    <row r="11726" spans="1:4">
      <c r="A11726" s="3"/>
      <c r="D11726" s="3"/>
    </row>
    <row r="11727" spans="1:4">
      <c r="A11727" s="3"/>
      <c r="D11727" s="3"/>
    </row>
    <row r="11728" spans="1:4">
      <c r="A11728" s="3"/>
      <c r="D11728" s="3"/>
    </row>
    <row r="11729" spans="1:4">
      <c r="A11729" s="3"/>
      <c r="D11729" s="3"/>
    </row>
    <row r="11730" spans="1:4">
      <c r="A11730" s="3"/>
      <c r="D11730" s="3"/>
    </row>
    <row r="11731" spans="1:4">
      <c r="A11731" s="3"/>
      <c r="D11731" s="3"/>
    </row>
    <row r="11732" spans="1:4">
      <c r="A11732" s="3"/>
      <c r="D11732" s="3"/>
    </row>
    <row r="11733" spans="1:4">
      <c r="A11733" s="3"/>
      <c r="D11733" s="3"/>
    </row>
    <row r="11734" spans="1:4">
      <c r="A11734" s="3"/>
      <c r="D11734" s="3"/>
    </row>
    <row r="11735" spans="1:4">
      <c r="A11735" s="3"/>
      <c r="D11735" s="3"/>
    </row>
    <row r="11736" spans="1:4">
      <c r="A11736" s="3"/>
      <c r="D11736" s="3"/>
    </row>
    <row r="11737" spans="1:4">
      <c r="A11737" s="3"/>
      <c r="D11737" s="3"/>
    </row>
    <row r="11738" spans="1:4">
      <c r="A11738" s="3"/>
      <c r="D11738" s="3"/>
    </row>
    <row r="11739" spans="1:4">
      <c r="A11739" s="3"/>
      <c r="D11739" s="3"/>
    </row>
    <row r="11740" spans="1:4">
      <c r="A11740" s="3"/>
      <c r="D11740" s="3"/>
    </row>
    <row r="11741" spans="1:4">
      <c r="A11741" s="3"/>
      <c r="D11741" s="3"/>
    </row>
    <row r="11742" spans="1:4">
      <c r="A11742" s="3"/>
      <c r="D11742" s="3"/>
    </row>
    <row r="11743" spans="1:4">
      <c r="A11743" s="3"/>
      <c r="D11743" s="3"/>
    </row>
    <row r="11744" spans="1:4">
      <c r="A11744" s="3"/>
      <c r="D11744" s="3"/>
    </row>
    <row r="11745" spans="1:4">
      <c r="A11745" s="3"/>
      <c r="D11745" s="3"/>
    </row>
    <row r="11746" spans="1:4">
      <c r="A11746" s="3"/>
      <c r="D11746" s="3"/>
    </row>
    <row r="11747" spans="1:4">
      <c r="A11747" s="3"/>
      <c r="D11747" s="3"/>
    </row>
    <row r="11748" spans="1:4">
      <c r="A11748" s="3"/>
      <c r="D11748" s="3"/>
    </row>
    <row r="11749" spans="1:4">
      <c r="A11749" s="3"/>
      <c r="D11749" s="3"/>
    </row>
    <row r="11750" spans="1:4">
      <c r="A11750" s="3"/>
      <c r="D11750" s="3"/>
    </row>
    <row r="11751" spans="1:4">
      <c r="A11751" s="3"/>
      <c r="D11751" s="3"/>
    </row>
    <row r="11752" spans="1:4">
      <c r="A11752" s="3"/>
      <c r="D11752" s="3"/>
    </row>
    <row r="11753" spans="1:4">
      <c r="A11753" s="3"/>
      <c r="D11753" s="3"/>
    </row>
    <row r="11754" spans="1:4">
      <c r="A11754" s="3"/>
      <c r="D11754" s="3"/>
    </row>
    <row r="11755" spans="1:4">
      <c r="A11755" s="3"/>
      <c r="D11755" s="3"/>
    </row>
    <row r="11756" spans="1:4">
      <c r="A11756" s="3"/>
      <c r="D11756" s="3"/>
    </row>
    <row r="11757" spans="1:4">
      <c r="A11757" s="3"/>
      <c r="D11757" s="3"/>
    </row>
    <row r="11758" spans="1:4">
      <c r="A11758" s="3"/>
      <c r="D11758" s="3"/>
    </row>
    <row r="11759" spans="1:4">
      <c r="A11759" s="3"/>
      <c r="D11759" s="3"/>
    </row>
    <row r="11760" spans="1:4">
      <c r="A11760" s="3"/>
      <c r="D11760" s="3"/>
    </row>
    <row r="11761" spans="1:4">
      <c r="A11761" s="3"/>
      <c r="D11761" s="3"/>
    </row>
    <row r="11762" spans="1:4">
      <c r="A11762" s="3"/>
      <c r="D11762" s="3"/>
    </row>
    <row r="11763" spans="1:4">
      <c r="A11763" s="3"/>
      <c r="D11763" s="3"/>
    </row>
    <row r="11764" spans="1:4">
      <c r="A11764" s="3"/>
      <c r="D11764" s="3"/>
    </row>
    <row r="11765" spans="1:4">
      <c r="A11765" s="3"/>
      <c r="D11765" s="3"/>
    </row>
    <row r="11766" spans="1:4">
      <c r="A11766" s="3"/>
      <c r="D11766" s="3"/>
    </row>
    <row r="11767" spans="1:4">
      <c r="A11767" s="3"/>
      <c r="D11767" s="3"/>
    </row>
    <row r="11768" spans="1:4">
      <c r="A11768" s="3"/>
      <c r="D11768" s="3"/>
    </row>
    <row r="11769" spans="1:4">
      <c r="A11769" s="3"/>
      <c r="D11769" s="3"/>
    </row>
    <row r="11770" spans="1:4">
      <c r="A11770" s="3"/>
      <c r="D11770" s="3"/>
    </row>
    <row r="11771" spans="1:4">
      <c r="A11771" s="3"/>
      <c r="D11771" s="3"/>
    </row>
    <row r="11772" spans="1:4">
      <c r="A11772" s="3"/>
      <c r="D11772" s="3"/>
    </row>
    <row r="11773" spans="1:4">
      <c r="A11773" s="3"/>
      <c r="D11773" s="3"/>
    </row>
    <row r="11774" spans="1:4">
      <c r="A11774" s="3"/>
      <c r="D11774" s="3"/>
    </row>
    <row r="11775" spans="1:4">
      <c r="A11775" s="3"/>
      <c r="D11775" s="3"/>
    </row>
    <row r="11776" spans="1:4">
      <c r="A11776" s="3"/>
      <c r="D11776" s="3"/>
    </row>
    <row r="11777" spans="1:4">
      <c r="A11777" s="3"/>
      <c r="D11777" s="3"/>
    </row>
    <row r="11778" spans="1:4">
      <c r="A11778" s="3"/>
      <c r="D11778" s="3"/>
    </row>
    <row r="11779" spans="1:4">
      <c r="A11779" s="3"/>
      <c r="D11779" s="3"/>
    </row>
    <row r="11780" spans="1:4">
      <c r="A11780" s="3"/>
      <c r="D11780" s="3"/>
    </row>
    <row r="11781" spans="1:4">
      <c r="A11781" s="3"/>
      <c r="D11781" s="3"/>
    </row>
    <row r="11782" spans="1:4">
      <c r="A11782" s="3"/>
      <c r="D11782" s="3"/>
    </row>
    <row r="11783" spans="1:4">
      <c r="A11783" s="3"/>
      <c r="D11783" s="3"/>
    </row>
    <row r="11784" spans="1:4">
      <c r="A11784" s="3"/>
      <c r="D11784" s="3"/>
    </row>
    <row r="11785" spans="1:4">
      <c r="A11785" s="3"/>
      <c r="D11785" s="3"/>
    </row>
    <row r="11786" spans="1:4">
      <c r="A11786" s="3"/>
      <c r="D11786" s="3"/>
    </row>
    <row r="11787" spans="1:4">
      <c r="A11787" s="3"/>
      <c r="D11787" s="3"/>
    </row>
    <row r="11788" spans="1:4">
      <c r="A11788" s="3"/>
      <c r="D11788" s="3"/>
    </row>
    <row r="11789" spans="1:4">
      <c r="A11789" s="3"/>
      <c r="D11789" s="3"/>
    </row>
    <row r="11790" spans="1:4">
      <c r="A11790" s="3"/>
      <c r="D11790" s="3"/>
    </row>
    <row r="11791" spans="1:4">
      <c r="A11791" s="3"/>
      <c r="D11791" s="3"/>
    </row>
    <row r="11792" spans="1:4">
      <c r="A11792" s="3"/>
      <c r="D11792" s="3"/>
    </row>
    <row r="11793" spans="1:4">
      <c r="A11793" s="3"/>
      <c r="D11793" s="3"/>
    </row>
    <row r="11794" spans="1:4">
      <c r="A11794" s="3"/>
      <c r="D11794" s="3"/>
    </row>
    <row r="11795" spans="1:4">
      <c r="A11795" s="3"/>
      <c r="D11795" s="3"/>
    </row>
    <row r="11796" spans="1:4">
      <c r="A11796" s="3"/>
      <c r="D11796" s="3"/>
    </row>
    <row r="11797" spans="1:4">
      <c r="A11797" s="3"/>
      <c r="D11797" s="3"/>
    </row>
    <row r="11798" spans="1:4">
      <c r="A11798" s="3"/>
      <c r="D11798" s="3"/>
    </row>
    <row r="11799" spans="1:4">
      <c r="A11799" s="3"/>
      <c r="D11799" s="3"/>
    </row>
    <row r="11800" spans="1:4">
      <c r="A11800" s="3"/>
      <c r="D11800" s="3"/>
    </row>
    <row r="11801" spans="1:4">
      <c r="A11801" s="3"/>
      <c r="D11801" s="3"/>
    </row>
    <row r="11802" spans="1:4">
      <c r="A11802" s="3"/>
      <c r="D11802" s="3"/>
    </row>
    <row r="11803" spans="1:4">
      <c r="A11803" s="3"/>
      <c r="D11803" s="3"/>
    </row>
    <row r="11804" spans="1:4">
      <c r="A11804" s="3"/>
      <c r="D11804" s="3"/>
    </row>
    <row r="11805" spans="1:4">
      <c r="A11805" s="3"/>
      <c r="D11805" s="3"/>
    </row>
    <row r="11806" spans="1:4">
      <c r="A11806" s="3"/>
      <c r="D11806" s="3"/>
    </row>
    <row r="11807" spans="1:4">
      <c r="A11807" s="3"/>
      <c r="D11807" s="3"/>
    </row>
    <row r="11808" spans="1:4">
      <c r="A11808" s="3"/>
      <c r="D11808" s="3"/>
    </row>
    <row r="11809" spans="1:4">
      <c r="A11809" s="3"/>
      <c r="D11809" s="3"/>
    </row>
    <row r="11810" spans="1:4">
      <c r="A11810" s="3"/>
      <c r="D11810" s="3"/>
    </row>
    <row r="11811" spans="1:4">
      <c r="A11811" s="3"/>
      <c r="D11811" s="3"/>
    </row>
    <row r="11812" spans="1:4">
      <c r="A11812" s="3"/>
      <c r="D11812" s="3"/>
    </row>
    <row r="11813" spans="1:4">
      <c r="A11813" s="3"/>
      <c r="D11813" s="3"/>
    </row>
    <row r="11814" spans="1:4">
      <c r="A11814" s="3"/>
      <c r="D11814" s="3"/>
    </row>
    <row r="11815" spans="1:4">
      <c r="A11815" s="3"/>
      <c r="D11815" s="3"/>
    </row>
    <row r="11816" spans="1:4">
      <c r="A11816" s="3"/>
      <c r="D11816" s="3"/>
    </row>
    <row r="11817" spans="1:4">
      <c r="A11817" s="3"/>
      <c r="D11817" s="3"/>
    </row>
    <row r="11818" spans="1:4">
      <c r="A11818" s="3"/>
      <c r="D11818" s="3"/>
    </row>
    <row r="11819" spans="1:4">
      <c r="A11819" s="3"/>
      <c r="D11819" s="3"/>
    </row>
    <row r="11820" spans="1:4">
      <c r="A11820" s="3"/>
      <c r="D11820" s="3"/>
    </row>
    <row r="11821" spans="1:4">
      <c r="A11821" s="3"/>
      <c r="D11821" s="3"/>
    </row>
    <row r="11822" spans="1:4">
      <c r="A11822" s="3"/>
      <c r="D11822" s="3"/>
    </row>
    <row r="11823" spans="1:4">
      <c r="A11823" s="3"/>
      <c r="D11823" s="3"/>
    </row>
    <row r="11824" spans="1:4">
      <c r="A11824" s="3"/>
      <c r="D11824" s="3"/>
    </row>
    <row r="11825" spans="1:4">
      <c r="A11825" s="3"/>
      <c r="D11825" s="3"/>
    </row>
    <row r="11826" spans="1:4">
      <c r="A11826" s="3"/>
      <c r="D11826" s="3"/>
    </row>
    <row r="11827" spans="1:4">
      <c r="A11827" s="3"/>
      <c r="D11827" s="3"/>
    </row>
    <row r="11828" spans="1:4">
      <c r="A11828" s="3"/>
      <c r="D11828" s="3"/>
    </row>
    <row r="11829" spans="1:4">
      <c r="A11829" s="3"/>
      <c r="D11829" s="3"/>
    </row>
    <row r="11830" spans="1:4">
      <c r="A11830" s="3"/>
      <c r="D11830" s="3"/>
    </row>
    <row r="11831" spans="1:4">
      <c r="A11831" s="3"/>
      <c r="D11831" s="3"/>
    </row>
    <row r="11832" spans="1:4">
      <c r="A11832" s="3"/>
      <c r="D11832" s="3"/>
    </row>
    <row r="11833" spans="1:4">
      <c r="A11833" s="3"/>
      <c r="D11833" s="3"/>
    </row>
    <row r="11834" spans="1:4">
      <c r="A11834" s="3"/>
      <c r="D11834" s="3"/>
    </row>
    <row r="11835" spans="1:4">
      <c r="A11835" s="3"/>
      <c r="D11835" s="3"/>
    </row>
    <row r="11836" spans="1:4">
      <c r="A11836" s="3"/>
      <c r="D11836" s="3"/>
    </row>
    <row r="11837" spans="1:4">
      <c r="A11837" s="3"/>
      <c r="D11837" s="3"/>
    </row>
    <row r="11838" spans="1:4">
      <c r="A11838" s="3"/>
      <c r="D11838" s="3"/>
    </row>
    <row r="11839" spans="1:4">
      <c r="A11839" s="3"/>
      <c r="D11839" s="3"/>
    </row>
    <row r="11840" spans="1:4">
      <c r="A11840" s="3"/>
      <c r="D11840" s="3"/>
    </row>
    <row r="11841" spans="1:4">
      <c r="A11841" s="3"/>
      <c r="D11841" s="3"/>
    </row>
    <row r="11842" spans="1:4">
      <c r="A11842" s="3"/>
      <c r="D11842" s="3"/>
    </row>
    <row r="11843" spans="1:4">
      <c r="A11843" s="3"/>
      <c r="D11843" s="3"/>
    </row>
    <row r="11844" spans="1:4">
      <c r="A11844" s="3"/>
      <c r="D11844" s="3"/>
    </row>
    <row r="11845" spans="1:4">
      <c r="A11845" s="3"/>
      <c r="D11845" s="3"/>
    </row>
    <row r="11846" spans="1:4">
      <c r="A11846" s="3"/>
      <c r="D11846" s="3"/>
    </row>
    <row r="11847" spans="1:4">
      <c r="A11847" s="3"/>
      <c r="D11847" s="3"/>
    </row>
    <row r="11848" spans="1:4">
      <c r="A11848" s="3"/>
      <c r="D11848" s="3"/>
    </row>
    <row r="11849" spans="1:4">
      <c r="A11849" s="3"/>
      <c r="D11849" s="3"/>
    </row>
    <row r="11850" spans="1:4">
      <c r="A11850" s="3"/>
      <c r="D11850" s="3"/>
    </row>
    <row r="11851" spans="1:4">
      <c r="A11851" s="3"/>
      <c r="D11851" s="3"/>
    </row>
    <row r="11852" spans="1:4">
      <c r="A11852" s="3"/>
      <c r="D11852" s="3"/>
    </row>
    <row r="11853" spans="1:4">
      <c r="A11853" s="3"/>
      <c r="D11853" s="3"/>
    </row>
    <row r="11854" spans="1:4">
      <c r="A11854" s="3"/>
      <c r="D11854" s="3"/>
    </row>
    <row r="11855" spans="1:4">
      <c r="A11855" s="3"/>
      <c r="D11855" s="3"/>
    </row>
    <row r="11856" spans="1:4">
      <c r="A11856" s="3"/>
      <c r="D11856" s="3"/>
    </row>
    <row r="11857" spans="1:4">
      <c r="A11857" s="3"/>
      <c r="D11857" s="3"/>
    </row>
    <row r="11858" spans="1:4">
      <c r="A11858" s="3"/>
      <c r="D11858" s="3"/>
    </row>
    <row r="11859" spans="1:4">
      <c r="A11859" s="3"/>
      <c r="D11859" s="3"/>
    </row>
    <row r="11860" spans="1:4">
      <c r="A11860" s="3"/>
      <c r="D11860" s="3"/>
    </row>
    <row r="11861" spans="1:4">
      <c r="A11861" s="3"/>
      <c r="D11861" s="3"/>
    </row>
    <row r="11862" spans="1:4">
      <c r="A11862" s="3"/>
      <c r="D11862" s="3"/>
    </row>
    <row r="11863" spans="1:4">
      <c r="A11863" s="3"/>
      <c r="D11863" s="3"/>
    </row>
    <row r="11864" spans="1:4">
      <c r="A11864" s="3"/>
      <c r="D11864" s="3"/>
    </row>
    <row r="11865" spans="1:4">
      <c r="A11865" s="3"/>
      <c r="D11865" s="3"/>
    </row>
    <row r="11866" spans="1:4">
      <c r="A11866" s="3"/>
      <c r="D11866" s="3"/>
    </row>
    <row r="11867" spans="1:4">
      <c r="A11867" s="3"/>
      <c r="D11867" s="3"/>
    </row>
    <row r="11868" spans="1:4">
      <c r="A11868" s="3"/>
      <c r="D11868" s="3"/>
    </row>
    <row r="11869" spans="1:4">
      <c r="A11869" s="3"/>
      <c r="D11869" s="3"/>
    </row>
    <row r="11870" spans="1:4">
      <c r="A11870" s="3"/>
      <c r="D11870" s="3"/>
    </row>
    <row r="11871" spans="1:4">
      <c r="A11871" s="3"/>
      <c r="D11871" s="3"/>
    </row>
    <row r="11872" spans="1:4">
      <c r="A11872" s="3"/>
      <c r="D11872" s="3"/>
    </row>
    <row r="11873" spans="1:4">
      <c r="A11873" s="3"/>
      <c r="D11873" s="3"/>
    </row>
    <row r="11874" spans="1:4">
      <c r="A11874" s="3"/>
      <c r="D11874" s="3"/>
    </row>
    <row r="11875" spans="1:4">
      <c r="A11875" s="3"/>
      <c r="D11875" s="3"/>
    </row>
    <row r="11876" spans="1:4">
      <c r="A11876" s="3"/>
      <c r="D11876" s="3"/>
    </row>
    <row r="11877" spans="1:4">
      <c r="A11877" s="3"/>
      <c r="D11877" s="3"/>
    </row>
    <row r="11878" spans="1:4">
      <c r="A11878" s="3"/>
      <c r="D11878" s="3"/>
    </row>
    <row r="11879" spans="1:4">
      <c r="A11879" s="3"/>
      <c r="D11879" s="3"/>
    </row>
    <row r="11880" spans="1:4">
      <c r="A11880" s="3"/>
      <c r="D11880" s="3"/>
    </row>
    <row r="11881" spans="1:4">
      <c r="A11881" s="3"/>
      <c r="D11881" s="3"/>
    </row>
    <row r="11882" spans="1:4">
      <c r="A11882" s="3"/>
      <c r="D11882" s="3"/>
    </row>
    <row r="11883" spans="1:4">
      <c r="A11883" s="3"/>
      <c r="D11883" s="3"/>
    </row>
    <row r="11884" spans="1:4">
      <c r="A11884" s="3"/>
      <c r="D11884" s="3"/>
    </row>
    <row r="11885" spans="1:4">
      <c r="A11885" s="3"/>
      <c r="D11885" s="3"/>
    </row>
    <row r="11886" spans="1:4">
      <c r="A11886" s="3"/>
      <c r="D11886" s="3"/>
    </row>
    <row r="11887" spans="1:4">
      <c r="A11887" s="3"/>
      <c r="D11887" s="3"/>
    </row>
    <row r="11888" spans="1:4">
      <c r="A11888" s="3"/>
      <c r="D11888" s="3"/>
    </row>
    <row r="11889" spans="1:4">
      <c r="A11889" s="3"/>
      <c r="D11889" s="3"/>
    </row>
    <row r="11890" spans="1:4">
      <c r="A11890" s="3"/>
      <c r="D11890" s="3"/>
    </row>
    <row r="11891" spans="1:4">
      <c r="A11891" s="3"/>
      <c r="D11891" s="3"/>
    </row>
    <row r="11892" spans="1:4">
      <c r="A11892" s="3"/>
      <c r="D11892" s="3"/>
    </row>
    <row r="11893" spans="1:4">
      <c r="A11893" s="3"/>
      <c r="D11893" s="3"/>
    </row>
    <row r="11894" spans="1:4">
      <c r="A11894" s="3"/>
      <c r="D11894" s="3"/>
    </row>
    <row r="11895" spans="1:4">
      <c r="A11895" s="3"/>
      <c r="D11895" s="3"/>
    </row>
    <row r="11896" spans="1:4">
      <c r="A11896" s="3"/>
      <c r="D11896" s="3"/>
    </row>
    <row r="11897" spans="1:4">
      <c r="A11897" s="3"/>
      <c r="D11897" s="3"/>
    </row>
    <row r="11898" spans="1:4">
      <c r="A11898" s="3"/>
      <c r="D11898" s="3"/>
    </row>
    <row r="11899" spans="1:4">
      <c r="A11899" s="3"/>
      <c r="D11899" s="3"/>
    </row>
    <row r="11900" spans="1:4">
      <c r="A11900" s="3"/>
      <c r="D11900" s="3"/>
    </row>
    <row r="11901" spans="1:4">
      <c r="A11901" s="3"/>
      <c r="D11901" s="3"/>
    </row>
    <row r="11902" spans="1:4">
      <c r="A11902" s="3"/>
      <c r="D11902" s="3"/>
    </row>
    <row r="11903" spans="1:4">
      <c r="A11903" s="3"/>
      <c r="D11903" s="3"/>
    </row>
    <row r="11904" spans="1:4">
      <c r="A11904" s="3"/>
      <c r="D11904" s="3"/>
    </row>
    <row r="11905" spans="1:4">
      <c r="A11905" s="3"/>
      <c r="D11905" s="3"/>
    </row>
    <row r="11906" spans="1:4">
      <c r="A11906" s="3"/>
      <c r="D11906" s="3"/>
    </row>
    <row r="11907" spans="1:4">
      <c r="A11907" s="3"/>
      <c r="D11907" s="3"/>
    </row>
    <row r="11908" spans="1:4">
      <c r="A11908" s="3"/>
      <c r="D11908" s="3"/>
    </row>
    <row r="11909" spans="1:4">
      <c r="A11909" s="3"/>
      <c r="D11909" s="3"/>
    </row>
    <row r="11910" spans="1:4">
      <c r="A11910" s="3"/>
      <c r="D11910" s="3"/>
    </row>
    <row r="11911" spans="1:4">
      <c r="A11911" s="3"/>
      <c r="D11911" s="3"/>
    </row>
    <row r="11912" spans="1:4">
      <c r="A11912" s="3"/>
      <c r="D11912" s="3"/>
    </row>
    <row r="11913" spans="1:4">
      <c r="A11913" s="3"/>
      <c r="D11913" s="3"/>
    </row>
    <row r="11914" spans="1:4">
      <c r="A11914" s="3"/>
      <c r="D11914" s="3"/>
    </row>
    <row r="11915" spans="1:4">
      <c r="A11915" s="3"/>
      <c r="D11915" s="3"/>
    </row>
    <row r="11916" spans="1:4">
      <c r="A11916" s="3"/>
      <c r="D11916" s="3"/>
    </row>
    <row r="11917" spans="1:4">
      <c r="A11917" s="3"/>
      <c r="D11917" s="3"/>
    </row>
    <row r="11918" spans="1:4">
      <c r="A11918" s="3"/>
      <c r="D11918" s="3"/>
    </row>
    <row r="11919" spans="1:4">
      <c r="A11919" s="3"/>
      <c r="D11919" s="3"/>
    </row>
    <row r="11920" spans="1:4">
      <c r="A11920" s="3"/>
      <c r="D11920" s="3"/>
    </row>
    <row r="11921" spans="1:4">
      <c r="A11921" s="3"/>
      <c r="D11921" s="3"/>
    </row>
    <row r="11922" spans="1:4">
      <c r="A11922" s="3"/>
      <c r="D11922" s="3"/>
    </row>
    <row r="11923" spans="1:4">
      <c r="A11923" s="3"/>
      <c r="D11923" s="3"/>
    </row>
    <row r="11924" spans="1:4">
      <c r="A11924" s="3"/>
      <c r="D11924" s="3"/>
    </row>
    <row r="11925" spans="1:4">
      <c r="A11925" s="3"/>
      <c r="D11925" s="3"/>
    </row>
    <row r="11926" spans="1:4">
      <c r="A11926" s="3"/>
      <c r="D11926" s="3"/>
    </row>
    <row r="11927" spans="1:4">
      <c r="A11927" s="3"/>
      <c r="D11927" s="3"/>
    </row>
    <row r="11928" spans="1:4">
      <c r="A11928" s="3"/>
      <c r="D11928" s="3"/>
    </row>
    <row r="11929" spans="1:4">
      <c r="A11929" s="3"/>
      <c r="D11929" s="3"/>
    </row>
    <row r="11930" spans="1:4">
      <c r="A11930" s="3"/>
      <c r="D11930" s="3"/>
    </row>
    <row r="11931" spans="1:4">
      <c r="A11931" s="3"/>
      <c r="D11931" s="3"/>
    </row>
    <row r="11932" spans="1:4">
      <c r="A11932" s="3"/>
      <c r="D11932" s="3"/>
    </row>
    <row r="11933" spans="1:4">
      <c r="A11933" s="3"/>
      <c r="D11933" s="3"/>
    </row>
    <row r="11934" spans="1:4">
      <c r="A11934" s="3"/>
      <c r="D11934" s="3"/>
    </row>
    <row r="11935" spans="1:4">
      <c r="A11935" s="3"/>
      <c r="D11935" s="3"/>
    </row>
    <row r="11936" spans="1:4">
      <c r="A11936" s="3"/>
      <c r="D11936" s="3"/>
    </row>
    <row r="11937" spans="1:4">
      <c r="A11937" s="3"/>
      <c r="D11937" s="3"/>
    </row>
    <row r="11938" spans="1:4">
      <c r="A11938" s="3"/>
      <c r="D11938" s="3"/>
    </row>
    <row r="11939" spans="1:4">
      <c r="A11939" s="3"/>
      <c r="D11939" s="3"/>
    </row>
    <row r="11940" spans="1:4">
      <c r="A11940" s="3"/>
      <c r="D11940" s="3"/>
    </row>
    <row r="11941" spans="1:4">
      <c r="A11941" s="3"/>
      <c r="D11941" s="3"/>
    </row>
    <row r="11942" spans="1:4">
      <c r="A11942" s="3"/>
      <c r="D11942" s="3"/>
    </row>
    <row r="11943" spans="1:4">
      <c r="A11943" s="3"/>
      <c r="D11943" s="3"/>
    </row>
    <row r="11944" spans="1:4">
      <c r="A11944" s="3"/>
      <c r="D11944" s="3"/>
    </row>
    <row r="11945" spans="1:4">
      <c r="A11945" s="3"/>
      <c r="D11945" s="3"/>
    </row>
    <row r="11946" spans="1:4">
      <c r="A11946" s="3"/>
      <c r="D11946" s="3"/>
    </row>
    <row r="11947" spans="1:4">
      <c r="A11947" s="3"/>
      <c r="D11947" s="3"/>
    </row>
    <row r="11948" spans="1:4">
      <c r="A11948" s="3"/>
      <c r="D11948" s="3"/>
    </row>
    <row r="11949" spans="1:4">
      <c r="A11949" s="3"/>
      <c r="D11949" s="3"/>
    </row>
    <row r="11950" spans="1:4">
      <c r="A11950" s="3"/>
      <c r="D11950" s="3"/>
    </row>
    <row r="11951" spans="1:4">
      <c r="A11951" s="3"/>
      <c r="D11951" s="3"/>
    </row>
    <row r="11952" spans="1:4">
      <c r="A11952" s="3"/>
      <c r="D11952" s="3"/>
    </row>
    <row r="11953" spans="1:4">
      <c r="A11953" s="3"/>
      <c r="D11953" s="3"/>
    </row>
    <row r="11954" spans="1:4">
      <c r="A11954" s="3"/>
      <c r="D11954" s="3"/>
    </row>
    <row r="11955" spans="1:4">
      <c r="A11955" s="3"/>
      <c r="D11955" s="3"/>
    </row>
    <row r="11956" spans="1:4">
      <c r="A11956" s="3"/>
      <c r="D11956" s="3"/>
    </row>
    <row r="11957" spans="1:4">
      <c r="A11957" s="3"/>
      <c r="D11957" s="3"/>
    </row>
    <row r="11958" spans="1:4">
      <c r="A11958" s="3"/>
      <c r="D11958" s="3"/>
    </row>
    <row r="11959" spans="1:4">
      <c r="A11959" s="3"/>
      <c r="D11959" s="3"/>
    </row>
    <row r="11960" spans="1:4">
      <c r="A11960" s="3"/>
      <c r="D11960" s="3"/>
    </row>
    <row r="11961" spans="1:4">
      <c r="A11961" s="3"/>
      <c r="D11961" s="3"/>
    </row>
    <row r="11962" spans="1:4">
      <c r="A11962" s="3"/>
      <c r="D11962" s="3"/>
    </row>
    <row r="11963" spans="1:4">
      <c r="A11963" s="3"/>
      <c r="D11963" s="3"/>
    </row>
    <row r="11964" spans="1:4">
      <c r="A11964" s="3"/>
      <c r="D11964" s="3"/>
    </row>
    <row r="11965" spans="1:4">
      <c r="A11965" s="3"/>
      <c r="D11965" s="3"/>
    </row>
    <row r="11966" spans="1:4">
      <c r="A11966" s="3"/>
      <c r="D11966" s="3"/>
    </row>
    <row r="11967" spans="1:4">
      <c r="A11967" s="3"/>
      <c r="D11967" s="3"/>
    </row>
    <row r="11968" spans="1:4">
      <c r="A11968" s="3"/>
      <c r="D11968" s="3"/>
    </row>
    <row r="11969" spans="1:4">
      <c r="A11969" s="3"/>
      <c r="D11969" s="3"/>
    </row>
    <row r="11970" spans="1:4">
      <c r="A11970" s="3"/>
      <c r="D11970" s="3"/>
    </row>
    <row r="11971" spans="1:4">
      <c r="A11971" s="3"/>
      <c r="D11971" s="3"/>
    </row>
    <row r="11972" spans="1:4">
      <c r="A11972" s="3"/>
      <c r="D11972" s="3"/>
    </row>
    <row r="11973" spans="1:4">
      <c r="A11973" s="3"/>
      <c r="D11973" s="3"/>
    </row>
    <row r="11974" spans="1:4">
      <c r="A11974" s="3"/>
      <c r="D11974" s="3"/>
    </row>
    <row r="11975" spans="1:4">
      <c r="A11975" s="3"/>
      <c r="D11975" s="3"/>
    </row>
    <row r="11976" spans="1:4">
      <c r="A11976" s="3"/>
      <c r="D11976" s="3"/>
    </row>
    <row r="11977" spans="1:4">
      <c r="A11977" s="3"/>
      <c r="D11977" s="3"/>
    </row>
    <row r="11978" spans="1:4">
      <c r="A11978" s="3"/>
      <c r="D11978" s="3"/>
    </row>
    <row r="11979" spans="1:4">
      <c r="A11979" s="3"/>
      <c r="D11979" s="3"/>
    </row>
    <row r="11980" spans="1:4">
      <c r="A11980" s="3"/>
      <c r="D11980" s="3"/>
    </row>
    <row r="11981" spans="1:4">
      <c r="A11981" s="3"/>
      <c r="D11981" s="3"/>
    </row>
    <row r="11982" spans="1:4">
      <c r="A11982" s="3"/>
      <c r="D11982" s="3"/>
    </row>
    <row r="11983" spans="1:4">
      <c r="A11983" s="3"/>
      <c r="D11983" s="3"/>
    </row>
    <row r="11984" spans="1:4">
      <c r="A11984" s="3"/>
      <c r="D11984" s="3"/>
    </row>
    <row r="11985" spans="1:4">
      <c r="A11985" s="3"/>
      <c r="D11985" s="3"/>
    </row>
    <row r="11986" spans="1:4">
      <c r="A11986" s="3"/>
      <c r="D11986" s="3"/>
    </row>
    <row r="11987" spans="1:4">
      <c r="A11987" s="3"/>
      <c r="D11987" s="3"/>
    </row>
    <row r="11988" spans="1:4">
      <c r="A11988" s="3"/>
      <c r="D11988" s="3"/>
    </row>
    <row r="11989" spans="1:4">
      <c r="A11989" s="3"/>
      <c r="D11989" s="3"/>
    </row>
    <row r="11990" spans="1:4">
      <c r="A11990" s="3"/>
      <c r="D11990" s="3"/>
    </row>
    <row r="11991" spans="1:4">
      <c r="A11991" s="3"/>
      <c r="D11991" s="3"/>
    </row>
    <row r="11992" spans="1:4">
      <c r="A11992" s="3"/>
      <c r="D11992" s="3"/>
    </row>
    <row r="11993" spans="1:4">
      <c r="A11993" s="3"/>
      <c r="D11993" s="3"/>
    </row>
    <row r="11994" spans="1:4">
      <c r="A11994" s="3"/>
      <c r="D11994" s="3"/>
    </row>
    <row r="11995" spans="1:4">
      <c r="A11995" s="3"/>
      <c r="D11995" s="3"/>
    </row>
    <row r="11996" spans="1:4">
      <c r="A11996" s="3"/>
      <c r="D11996" s="3"/>
    </row>
    <row r="11997" spans="1:4">
      <c r="A11997" s="3"/>
      <c r="D11997" s="3"/>
    </row>
    <row r="11998" spans="1:4">
      <c r="A11998" s="3"/>
      <c r="D11998" s="3"/>
    </row>
    <row r="11999" spans="1:4">
      <c r="A11999" s="3"/>
      <c r="D11999" s="3"/>
    </row>
    <row r="12000" spans="1:4">
      <c r="A12000" s="3"/>
      <c r="D12000" s="3"/>
    </row>
    <row r="12001" spans="1:4">
      <c r="A12001" s="3"/>
      <c r="D12001" s="3"/>
    </row>
    <row r="12002" spans="1:4">
      <c r="A12002" s="3"/>
      <c r="D12002" s="3"/>
    </row>
    <row r="12003" spans="1:4">
      <c r="A12003" s="3"/>
      <c r="D12003" s="3"/>
    </row>
    <row r="12004" spans="1:4">
      <c r="A12004" s="3"/>
      <c r="D12004" s="3"/>
    </row>
    <row r="12005" spans="1:4">
      <c r="A12005" s="3"/>
      <c r="D12005" s="3"/>
    </row>
    <row r="12006" spans="1:4">
      <c r="A12006" s="3"/>
      <c r="D12006" s="3"/>
    </row>
    <row r="12007" spans="1:4">
      <c r="A12007" s="3"/>
      <c r="D12007" s="3"/>
    </row>
    <row r="12008" spans="1:4">
      <c r="A12008" s="3"/>
      <c r="D12008" s="3"/>
    </row>
    <row r="12009" spans="1:4">
      <c r="A12009" s="3"/>
      <c r="D12009" s="3"/>
    </row>
    <row r="12010" spans="1:4">
      <c r="A12010" s="3"/>
      <c r="D12010" s="3"/>
    </row>
    <row r="12011" spans="1:4">
      <c r="A12011" s="3"/>
      <c r="D12011" s="3"/>
    </row>
    <row r="12012" spans="1:4">
      <c r="A12012" s="3"/>
      <c r="D12012" s="3"/>
    </row>
    <row r="12013" spans="1:4">
      <c r="A12013" s="3"/>
      <c r="D12013" s="3"/>
    </row>
    <row r="12014" spans="1:4">
      <c r="A12014" s="3"/>
      <c r="D12014" s="3"/>
    </row>
    <row r="12015" spans="1:4">
      <c r="A12015" s="3"/>
      <c r="D12015" s="3"/>
    </row>
    <row r="12016" spans="1:4">
      <c r="A12016" s="3"/>
      <c r="D12016" s="3"/>
    </row>
    <row r="12017" spans="1:4">
      <c r="A12017" s="3"/>
      <c r="D12017" s="3"/>
    </row>
    <row r="12018" spans="1:4">
      <c r="A12018" s="3"/>
      <c r="D12018" s="3"/>
    </row>
    <row r="12019" spans="1:4">
      <c r="A12019" s="3"/>
      <c r="D12019" s="3"/>
    </row>
    <row r="12020" spans="1:4">
      <c r="A12020" s="3"/>
      <c r="D12020" s="3"/>
    </row>
    <row r="12021" spans="1:4">
      <c r="A12021" s="3"/>
      <c r="D12021" s="3"/>
    </row>
    <row r="12022" spans="1:4">
      <c r="A12022" s="3"/>
      <c r="D12022" s="3"/>
    </row>
    <row r="12023" spans="1:4">
      <c r="A12023" s="3"/>
      <c r="D12023" s="3"/>
    </row>
    <row r="12024" spans="1:4">
      <c r="A12024" s="3"/>
      <c r="D12024" s="3"/>
    </row>
    <row r="12025" spans="1:4">
      <c r="A12025" s="3"/>
      <c r="D12025" s="3"/>
    </row>
    <row r="12026" spans="1:4">
      <c r="A12026" s="3"/>
      <c r="D12026" s="3"/>
    </row>
    <row r="12027" spans="1:4">
      <c r="A12027" s="3"/>
      <c r="D12027" s="3"/>
    </row>
    <row r="12028" spans="1:4">
      <c r="A12028" s="3"/>
      <c r="D12028" s="3"/>
    </row>
    <row r="12029" spans="1:4">
      <c r="A12029" s="3"/>
      <c r="D12029" s="3"/>
    </row>
    <row r="12030" spans="1:4">
      <c r="A12030" s="3"/>
      <c r="D12030" s="3"/>
    </row>
    <row r="12031" spans="1:4">
      <c r="A12031" s="3"/>
      <c r="D12031" s="3"/>
    </row>
    <row r="12032" spans="1:4">
      <c r="A12032" s="3"/>
      <c r="D12032" s="3"/>
    </row>
    <row r="12033" spans="1:4">
      <c r="A12033" s="3"/>
      <c r="D12033" s="3"/>
    </row>
    <row r="12034" spans="1:4">
      <c r="A12034" s="3"/>
      <c r="D12034" s="3"/>
    </row>
    <row r="12035" spans="1:4">
      <c r="A12035" s="3"/>
      <c r="D12035" s="3"/>
    </row>
    <row r="12036" spans="1:4">
      <c r="A12036" s="3"/>
      <c r="D12036" s="3"/>
    </row>
    <row r="12037" spans="1:4">
      <c r="A12037" s="3"/>
      <c r="D12037" s="3"/>
    </row>
    <row r="12038" spans="1:4">
      <c r="A12038" s="3"/>
      <c r="D12038" s="3"/>
    </row>
    <row r="12039" spans="1:4">
      <c r="A12039" s="3"/>
      <c r="D12039" s="3"/>
    </row>
    <row r="12040" spans="1:4">
      <c r="A12040" s="3"/>
      <c r="D12040" s="3"/>
    </row>
    <row r="12041" spans="1:4">
      <c r="A12041" s="3"/>
      <c r="D12041" s="3"/>
    </row>
    <row r="12042" spans="1:4">
      <c r="A12042" s="3"/>
      <c r="D12042" s="3"/>
    </row>
    <row r="12043" spans="1:4">
      <c r="A12043" s="3"/>
      <c r="D12043" s="3"/>
    </row>
    <row r="12044" spans="1:4">
      <c r="A12044" s="3"/>
      <c r="D12044" s="3"/>
    </row>
    <row r="12045" spans="1:4">
      <c r="A12045" s="3"/>
      <c r="D12045" s="3"/>
    </row>
    <row r="12046" spans="1:4">
      <c r="A12046" s="3"/>
      <c r="D12046" s="3"/>
    </row>
    <row r="12047" spans="1:4">
      <c r="A12047" s="3"/>
      <c r="D12047" s="3"/>
    </row>
    <row r="12048" spans="1:4">
      <c r="A12048" s="3"/>
      <c r="D12048" s="3"/>
    </row>
    <row r="12049" spans="1:4">
      <c r="A12049" s="3"/>
      <c r="D12049" s="3"/>
    </row>
    <row r="12050" spans="1:4">
      <c r="A12050" s="3"/>
      <c r="D12050" s="3"/>
    </row>
    <row r="12051" spans="1:4">
      <c r="A12051" s="3"/>
      <c r="D12051" s="3"/>
    </row>
    <row r="12052" spans="1:4">
      <c r="A12052" s="3"/>
      <c r="D12052" s="3"/>
    </row>
    <row r="12053" spans="1:4">
      <c r="A12053" s="3"/>
      <c r="D12053" s="3"/>
    </row>
    <row r="12054" spans="1:4">
      <c r="A12054" s="3"/>
      <c r="D12054" s="3"/>
    </row>
    <row r="12055" spans="1:4">
      <c r="A12055" s="3"/>
      <c r="D12055" s="3"/>
    </row>
    <row r="12056" spans="1:4">
      <c r="A12056" s="3"/>
      <c r="D12056" s="3"/>
    </row>
    <row r="12057" spans="1:4">
      <c r="A12057" s="3"/>
      <c r="D12057" s="3"/>
    </row>
    <row r="12058" spans="1:4">
      <c r="A12058" s="3"/>
      <c r="D12058" s="3"/>
    </row>
    <row r="12059" spans="1:4">
      <c r="A12059" s="3"/>
      <c r="D12059" s="3"/>
    </row>
    <row r="12060" spans="1:4">
      <c r="A12060" s="3"/>
      <c r="D12060" s="3"/>
    </row>
    <row r="12061" spans="1:4">
      <c r="A12061" s="3"/>
      <c r="D12061" s="3"/>
    </row>
    <row r="12062" spans="1:4">
      <c r="A12062" s="3"/>
      <c r="D12062" s="3"/>
    </row>
    <row r="12063" spans="1:4">
      <c r="A12063" s="3"/>
      <c r="D12063" s="3"/>
    </row>
    <row r="12064" spans="1:4">
      <c r="A12064" s="3"/>
      <c r="D12064" s="3"/>
    </row>
    <row r="12065" spans="1:4">
      <c r="A12065" s="3"/>
      <c r="D12065" s="3"/>
    </row>
    <row r="12066" spans="1:4">
      <c r="A12066" s="3"/>
      <c r="D12066" s="3"/>
    </row>
    <row r="12067" spans="1:4">
      <c r="A12067" s="3"/>
      <c r="D12067" s="3"/>
    </row>
    <row r="12068" spans="1:4">
      <c r="A12068" s="3"/>
      <c r="D12068" s="3"/>
    </row>
    <row r="12069" spans="1:4">
      <c r="A12069" s="3"/>
      <c r="D12069" s="3"/>
    </row>
    <row r="12070" spans="1:4">
      <c r="A12070" s="3"/>
      <c r="D12070" s="3"/>
    </row>
    <row r="12071" spans="1:4">
      <c r="A12071" s="3"/>
      <c r="D12071" s="3"/>
    </row>
    <row r="12072" spans="1:4">
      <c r="A12072" s="3"/>
      <c r="D12072" s="3"/>
    </row>
    <row r="12073" spans="1:4">
      <c r="A12073" s="3"/>
      <c r="D12073" s="3"/>
    </row>
    <row r="12074" spans="1:4">
      <c r="A12074" s="3"/>
      <c r="D12074" s="3"/>
    </row>
    <row r="12075" spans="1:4">
      <c r="A12075" s="3"/>
      <c r="D12075" s="3"/>
    </row>
    <row r="12076" spans="1:4">
      <c r="A12076" s="3"/>
      <c r="D12076" s="3"/>
    </row>
    <row r="12077" spans="1:4">
      <c r="A12077" s="3"/>
      <c r="D12077" s="3"/>
    </row>
    <row r="12078" spans="1:4">
      <c r="A12078" s="3"/>
      <c r="D12078" s="3"/>
    </row>
    <row r="12079" spans="1:4">
      <c r="A12079" s="3"/>
      <c r="D12079" s="3"/>
    </row>
    <row r="12080" spans="1:4">
      <c r="A12080" s="3"/>
      <c r="D12080" s="3"/>
    </row>
    <row r="12081" spans="1:4">
      <c r="A12081" s="3"/>
      <c r="D12081" s="3"/>
    </row>
    <row r="12082" spans="1:4">
      <c r="A12082" s="3"/>
      <c r="D12082" s="3"/>
    </row>
    <row r="12083" spans="1:4">
      <c r="A12083" s="3"/>
      <c r="D12083" s="3"/>
    </row>
    <row r="12084" spans="1:4">
      <c r="A12084" s="3"/>
      <c r="D12084" s="3"/>
    </row>
    <row r="12085" spans="1:4">
      <c r="A12085" s="3"/>
      <c r="D12085" s="3"/>
    </row>
    <row r="12086" spans="1:4">
      <c r="A12086" s="3"/>
      <c r="D12086" s="3"/>
    </row>
    <row r="12087" spans="1:4">
      <c r="A12087" s="3"/>
      <c r="D12087" s="3"/>
    </row>
    <row r="12088" spans="1:4">
      <c r="A12088" s="3"/>
      <c r="D12088" s="3"/>
    </row>
    <row r="12089" spans="1:4">
      <c r="A12089" s="3"/>
      <c r="D12089" s="3"/>
    </row>
    <row r="12090" spans="1:4">
      <c r="A12090" s="3"/>
      <c r="D12090" s="3"/>
    </row>
    <row r="12091" spans="1:4">
      <c r="A12091" s="3"/>
      <c r="D12091" s="3"/>
    </row>
    <row r="12092" spans="1:4">
      <c r="A12092" s="3"/>
      <c r="D12092" s="3"/>
    </row>
    <row r="12093" spans="1:4">
      <c r="A12093" s="3"/>
      <c r="D12093" s="3"/>
    </row>
    <row r="12094" spans="1:4">
      <c r="A12094" s="3"/>
      <c r="D12094" s="3"/>
    </row>
    <row r="12095" spans="1:4">
      <c r="A12095" s="3"/>
      <c r="D12095" s="3"/>
    </row>
    <row r="12096" spans="1:4">
      <c r="A12096" s="3"/>
      <c r="D12096" s="3"/>
    </row>
    <row r="12097" spans="1:4">
      <c r="A12097" s="3"/>
      <c r="D12097" s="3"/>
    </row>
    <row r="12098" spans="1:4">
      <c r="A12098" s="3"/>
      <c r="D12098" s="3"/>
    </row>
    <row r="12099" spans="1:4">
      <c r="A12099" s="3"/>
      <c r="D12099" s="3"/>
    </row>
    <row r="12100" spans="1:4">
      <c r="A12100" s="3"/>
      <c r="D12100" s="3"/>
    </row>
    <row r="12101" spans="1:4">
      <c r="A12101" s="3"/>
      <c r="D12101" s="3"/>
    </row>
    <row r="12102" spans="1:4">
      <c r="A12102" s="3"/>
      <c r="D12102" s="3"/>
    </row>
    <row r="12103" spans="1:4">
      <c r="A12103" s="3"/>
      <c r="D12103" s="3"/>
    </row>
    <row r="12104" spans="1:4">
      <c r="A12104" s="3"/>
      <c r="D12104" s="3"/>
    </row>
    <row r="12105" spans="1:4">
      <c r="A12105" s="3"/>
      <c r="D12105" s="3"/>
    </row>
    <row r="12106" spans="1:4">
      <c r="A12106" s="3"/>
      <c r="D12106" s="3"/>
    </row>
    <row r="12107" spans="1:4">
      <c r="A12107" s="3"/>
      <c r="D12107" s="3"/>
    </row>
    <row r="12108" spans="1:4">
      <c r="A12108" s="3"/>
      <c r="D12108" s="3"/>
    </row>
    <row r="12109" spans="1:4">
      <c r="A12109" s="3"/>
      <c r="D12109" s="3"/>
    </row>
    <row r="12110" spans="1:4">
      <c r="A12110" s="3"/>
      <c r="D12110" s="3"/>
    </row>
    <row r="12111" spans="1:4">
      <c r="A12111" s="3"/>
      <c r="D12111" s="3"/>
    </row>
    <row r="12112" spans="1:4">
      <c r="A12112" s="3"/>
      <c r="D12112" s="3"/>
    </row>
    <row r="12113" spans="1:4">
      <c r="A12113" s="3"/>
      <c r="D12113" s="3"/>
    </row>
    <row r="12114" spans="1:4">
      <c r="A12114" s="3"/>
      <c r="D12114" s="3"/>
    </row>
    <row r="12115" spans="1:4">
      <c r="A12115" s="3"/>
      <c r="D12115" s="3"/>
    </row>
    <row r="12116" spans="1:4">
      <c r="A12116" s="3"/>
      <c r="D12116" s="3"/>
    </row>
    <row r="12117" spans="1:4">
      <c r="A12117" s="3"/>
      <c r="D12117" s="3"/>
    </row>
    <row r="12118" spans="1:4">
      <c r="A12118" s="3"/>
      <c r="D12118" s="3"/>
    </row>
    <row r="12119" spans="1:4">
      <c r="A12119" s="3"/>
      <c r="D12119" s="3"/>
    </row>
    <row r="12120" spans="1:4">
      <c r="A12120" s="3"/>
      <c r="D12120" s="3"/>
    </row>
    <row r="12121" spans="1:4">
      <c r="A12121" s="3"/>
      <c r="D12121" s="3"/>
    </row>
    <row r="12122" spans="1:4">
      <c r="A12122" s="3"/>
      <c r="D12122" s="3"/>
    </row>
    <row r="12123" spans="1:4">
      <c r="A12123" s="3"/>
      <c r="D12123" s="3"/>
    </row>
    <row r="12124" spans="1:4">
      <c r="A12124" s="3"/>
      <c r="D12124" s="3"/>
    </row>
    <row r="12125" spans="1:4">
      <c r="A12125" s="3"/>
      <c r="D12125" s="3"/>
    </row>
    <row r="12126" spans="1:4">
      <c r="A12126" s="3"/>
      <c r="D12126" s="3"/>
    </row>
    <row r="12127" spans="1:4">
      <c r="A12127" s="3"/>
      <c r="D12127" s="3"/>
    </row>
    <row r="12128" spans="1:4">
      <c r="A12128" s="3"/>
      <c r="D12128" s="3"/>
    </row>
    <row r="12129" spans="1:4">
      <c r="A12129" s="3"/>
      <c r="D12129" s="3"/>
    </row>
    <row r="12130" spans="1:4">
      <c r="A12130" s="3"/>
      <c r="D12130" s="3"/>
    </row>
    <row r="12131" spans="1:4">
      <c r="A12131" s="3"/>
      <c r="D12131" s="3"/>
    </row>
    <row r="12132" spans="1:4">
      <c r="A12132" s="3"/>
      <c r="D12132" s="3"/>
    </row>
    <row r="12133" spans="1:4">
      <c r="A12133" s="3"/>
      <c r="D12133" s="3"/>
    </row>
    <row r="12134" spans="1:4">
      <c r="A12134" s="3"/>
      <c r="D12134" s="3"/>
    </row>
    <row r="12135" spans="1:4">
      <c r="A12135" s="3"/>
      <c r="D12135" s="3"/>
    </row>
    <row r="12136" spans="1:4">
      <c r="A12136" s="3"/>
      <c r="D12136" s="3"/>
    </row>
    <row r="12137" spans="1:4">
      <c r="A12137" s="3"/>
      <c r="D12137" s="3"/>
    </row>
    <row r="12138" spans="1:4">
      <c r="A12138" s="3"/>
      <c r="D12138" s="3"/>
    </row>
    <row r="12139" spans="1:4">
      <c r="A12139" s="3"/>
      <c r="D12139" s="3"/>
    </row>
    <row r="12140" spans="1:4">
      <c r="A12140" s="3"/>
      <c r="D12140" s="3"/>
    </row>
    <row r="12141" spans="1:4">
      <c r="A12141" s="3"/>
      <c r="D12141" s="3"/>
    </row>
    <row r="12142" spans="1:4">
      <c r="A12142" s="3"/>
      <c r="D12142" s="3"/>
    </row>
    <row r="12143" spans="1:4">
      <c r="A12143" s="3"/>
      <c r="D12143" s="3"/>
    </row>
    <row r="12144" spans="1:4">
      <c r="A12144" s="3"/>
      <c r="D12144" s="3"/>
    </row>
    <row r="12145" spans="1:4">
      <c r="A12145" s="3"/>
      <c r="D12145" s="3"/>
    </row>
    <row r="12146" spans="1:4">
      <c r="A12146" s="3"/>
      <c r="D12146" s="3"/>
    </row>
    <row r="12147" spans="1:4">
      <c r="A12147" s="3"/>
      <c r="D12147" s="3"/>
    </row>
    <row r="12148" spans="1:4">
      <c r="A12148" s="3"/>
      <c r="D12148" s="3"/>
    </row>
    <row r="12149" spans="1:4">
      <c r="A12149" s="3"/>
      <c r="D12149" s="3"/>
    </row>
    <row r="12150" spans="1:4">
      <c r="A12150" s="3"/>
      <c r="D12150" s="3"/>
    </row>
    <row r="12151" spans="1:4">
      <c r="A12151" s="3"/>
      <c r="D12151" s="3"/>
    </row>
    <row r="12152" spans="1:4">
      <c r="A12152" s="3"/>
      <c r="D12152" s="3"/>
    </row>
    <row r="12153" spans="1:4">
      <c r="A12153" s="3"/>
      <c r="D12153" s="3"/>
    </row>
    <row r="12154" spans="1:4">
      <c r="A12154" s="3"/>
      <c r="D12154" s="3"/>
    </row>
    <row r="12155" spans="1:4">
      <c r="A12155" s="3"/>
      <c r="D12155" s="3"/>
    </row>
    <row r="12156" spans="1:4">
      <c r="A12156" s="3"/>
      <c r="D12156" s="3"/>
    </row>
    <row r="12157" spans="1:4">
      <c r="A12157" s="3"/>
      <c r="D12157" s="3"/>
    </row>
    <row r="12158" spans="1:4">
      <c r="A12158" s="3"/>
      <c r="D12158" s="3"/>
    </row>
    <row r="12159" spans="1:4">
      <c r="A12159" s="3"/>
      <c r="D12159" s="3"/>
    </row>
    <row r="12160" spans="1:4">
      <c r="A12160" s="3"/>
      <c r="D12160" s="3"/>
    </row>
    <row r="12161" spans="1:4">
      <c r="A12161" s="3"/>
      <c r="D12161" s="3"/>
    </row>
    <row r="12162" spans="1:4">
      <c r="A12162" s="3"/>
      <c r="D12162" s="3"/>
    </row>
    <row r="12163" spans="1:4">
      <c r="A12163" s="3"/>
      <c r="D12163" s="3"/>
    </row>
    <row r="12164" spans="1:4">
      <c r="A12164" s="3"/>
      <c r="D12164" s="3"/>
    </row>
    <row r="12165" spans="1:4">
      <c r="A12165" s="3"/>
      <c r="D12165" s="3"/>
    </row>
    <row r="12166" spans="1:4">
      <c r="A12166" s="3"/>
      <c r="D12166" s="3"/>
    </row>
    <row r="12167" spans="1:4">
      <c r="A12167" s="3"/>
      <c r="D12167" s="3"/>
    </row>
    <row r="12168" spans="1:4">
      <c r="A12168" s="3"/>
      <c r="D12168" s="3"/>
    </row>
    <row r="12169" spans="1:4">
      <c r="A12169" s="3"/>
      <c r="D12169" s="3"/>
    </row>
    <row r="12170" spans="1:4">
      <c r="A12170" s="3"/>
      <c r="D12170" s="3"/>
    </row>
    <row r="12171" spans="1:4">
      <c r="A12171" s="3"/>
      <c r="D12171" s="3"/>
    </row>
    <row r="12172" spans="1:4">
      <c r="A12172" s="3"/>
      <c r="D12172" s="3"/>
    </row>
    <row r="12173" spans="1:4">
      <c r="A12173" s="3"/>
      <c r="D12173" s="3"/>
    </row>
    <row r="12174" spans="1:4">
      <c r="A12174" s="3"/>
      <c r="D12174" s="3"/>
    </row>
    <row r="12175" spans="1:4">
      <c r="A12175" s="3"/>
      <c r="D12175" s="3"/>
    </row>
    <row r="12176" spans="1:4">
      <c r="A12176" s="3"/>
      <c r="D12176" s="3"/>
    </row>
    <row r="12177" spans="1:4">
      <c r="A12177" s="3"/>
      <c r="D12177" s="3"/>
    </row>
    <row r="12178" spans="1:4">
      <c r="A12178" s="3"/>
      <c r="D12178" s="3"/>
    </row>
    <row r="12179" spans="1:4">
      <c r="A12179" s="3"/>
      <c r="D12179" s="3"/>
    </row>
    <row r="12180" spans="1:4">
      <c r="A12180" s="3"/>
      <c r="D12180" s="3"/>
    </row>
    <row r="12181" spans="1:4">
      <c r="A12181" s="3"/>
      <c r="D12181" s="3"/>
    </row>
    <row r="12182" spans="1:4">
      <c r="A12182" s="3"/>
      <c r="D12182" s="3"/>
    </row>
    <row r="12183" spans="1:4">
      <c r="A12183" s="3"/>
      <c r="D12183" s="3"/>
    </row>
    <row r="12184" spans="1:4">
      <c r="A12184" s="3"/>
      <c r="D12184" s="3"/>
    </row>
    <row r="12185" spans="1:4">
      <c r="A12185" s="3"/>
      <c r="D12185" s="3"/>
    </row>
    <row r="12186" spans="1:4">
      <c r="A12186" s="3"/>
      <c r="D12186" s="3"/>
    </row>
    <row r="12187" spans="1:4">
      <c r="A12187" s="3"/>
      <c r="D12187" s="3"/>
    </row>
    <row r="12188" spans="1:4">
      <c r="A12188" s="3"/>
      <c r="D12188" s="3"/>
    </row>
    <row r="12189" spans="1:4">
      <c r="A12189" s="3"/>
      <c r="D12189" s="3"/>
    </row>
    <row r="12190" spans="1:4">
      <c r="A12190" s="3"/>
      <c r="D12190" s="3"/>
    </row>
    <row r="12191" spans="1:4">
      <c r="A12191" s="3"/>
      <c r="D12191" s="3"/>
    </row>
    <row r="12192" spans="1:4">
      <c r="A12192" s="3"/>
      <c r="D12192" s="3"/>
    </row>
    <row r="12193" spans="1:4">
      <c r="A12193" s="3"/>
      <c r="D12193" s="3"/>
    </row>
    <row r="12194" spans="1:4">
      <c r="A12194" s="3"/>
      <c r="D12194" s="3"/>
    </row>
    <row r="12195" spans="1:4">
      <c r="A12195" s="3"/>
      <c r="D12195" s="3"/>
    </row>
    <row r="12196" spans="1:4">
      <c r="A12196" s="3"/>
      <c r="D12196" s="3"/>
    </row>
    <row r="12197" spans="1:4">
      <c r="A12197" s="3"/>
      <c r="D12197" s="3"/>
    </row>
    <row r="12198" spans="1:4">
      <c r="A12198" s="3"/>
      <c r="D12198" s="3"/>
    </row>
    <row r="12199" spans="1:4">
      <c r="A12199" s="3"/>
      <c r="D12199" s="3"/>
    </row>
    <row r="12200" spans="1:4">
      <c r="A12200" s="3"/>
      <c r="D12200" s="3"/>
    </row>
    <row r="12201" spans="1:4">
      <c r="A12201" s="3"/>
      <c r="D12201" s="3"/>
    </row>
    <row r="12202" spans="1:4">
      <c r="A12202" s="3"/>
      <c r="D12202" s="3"/>
    </row>
    <row r="12203" spans="1:4">
      <c r="A12203" s="3"/>
      <c r="D12203" s="3"/>
    </row>
    <row r="12204" spans="1:4">
      <c r="A12204" s="3"/>
      <c r="D12204" s="3"/>
    </row>
    <row r="12205" spans="1:4">
      <c r="A12205" s="3"/>
      <c r="D12205" s="3"/>
    </row>
    <row r="12206" spans="1:4">
      <c r="A12206" s="3"/>
      <c r="D12206" s="3"/>
    </row>
    <row r="12207" spans="1:4">
      <c r="A12207" s="3"/>
      <c r="D12207" s="3"/>
    </row>
    <row r="12208" spans="1:4">
      <c r="A12208" s="3"/>
      <c r="D12208" s="3"/>
    </row>
    <row r="12209" spans="1:4">
      <c r="A12209" s="3"/>
      <c r="D12209" s="3"/>
    </row>
    <row r="12210" spans="1:4">
      <c r="A12210" s="3"/>
      <c r="D12210" s="3"/>
    </row>
    <row r="12211" spans="1:4">
      <c r="A12211" s="3"/>
      <c r="D12211" s="3"/>
    </row>
    <row r="12212" spans="1:4">
      <c r="A12212" s="3"/>
      <c r="D12212" s="3"/>
    </row>
    <row r="12213" spans="1:4">
      <c r="A12213" s="3"/>
      <c r="D12213" s="3"/>
    </row>
    <row r="12214" spans="1:4">
      <c r="A12214" s="3"/>
      <c r="D12214" s="3"/>
    </row>
    <row r="12215" spans="1:4">
      <c r="A12215" s="3"/>
      <c r="D12215" s="3"/>
    </row>
    <row r="12216" spans="1:4">
      <c r="A12216" s="3"/>
      <c r="D12216" s="3"/>
    </row>
    <row r="12217" spans="1:4">
      <c r="A12217" s="3"/>
      <c r="D12217" s="3"/>
    </row>
    <row r="12218" spans="1:4">
      <c r="A12218" s="3"/>
      <c r="D12218" s="3"/>
    </row>
    <row r="12219" spans="1:4">
      <c r="A12219" s="3"/>
      <c r="D12219" s="3"/>
    </row>
    <row r="12220" spans="1:4">
      <c r="A12220" s="3"/>
      <c r="D12220" s="3"/>
    </row>
    <row r="12221" spans="1:4">
      <c r="A12221" s="3"/>
      <c r="D12221" s="3"/>
    </row>
    <row r="12222" spans="1:4">
      <c r="A12222" s="3"/>
      <c r="D12222" s="3"/>
    </row>
    <row r="12223" spans="1:4">
      <c r="A12223" s="3"/>
      <c r="D12223" s="3"/>
    </row>
    <row r="12224" spans="1:4">
      <c r="A12224" s="3"/>
      <c r="D12224" s="3"/>
    </row>
    <row r="12225" spans="1:4">
      <c r="A12225" s="3"/>
      <c r="D12225" s="3"/>
    </row>
    <row r="12226" spans="1:4">
      <c r="A12226" s="3"/>
      <c r="D12226" s="3"/>
    </row>
    <row r="12227" spans="1:4">
      <c r="A12227" s="3"/>
      <c r="D12227" s="3"/>
    </row>
    <row r="12228" spans="1:4">
      <c r="A12228" s="3"/>
      <c r="D12228" s="3"/>
    </row>
    <row r="12229" spans="1:4">
      <c r="A12229" s="3"/>
      <c r="D12229" s="3"/>
    </row>
    <row r="12230" spans="1:4">
      <c r="A12230" s="3"/>
      <c r="D12230" s="3"/>
    </row>
    <row r="12231" spans="1:4">
      <c r="A12231" s="3"/>
      <c r="D12231" s="3"/>
    </row>
    <row r="12232" spans="1:4">
      <c r="A12232" s="3"/>
      <c r="D12232" s="3"/>
    </row>
    <row r="12233" spans="1:4">
      <c r="A12233" s="3"/>
      <c r="D12233" s="3"/>
    </row>
    <row r="12234" spans="1:4">
      <c r="A12234" s="3"/>
      <c r="D12234" s="3"/>
    </row>
    <row r="12235" spans="1:4">
      <c r="A12235" s="3"/>
      <c r="D12235" s="3"/>
    </row>
    <row r="12236" spans="1:4">
      <c r="A12236" s="3"/>
      <c r="D12236" s="3"/>
    </row>
    <row r="12237" spans="1:4">
      <c r="A12237" s="3"/>
      <c r="D12237" s="3"/>
    </row>
    <row r="12238" spans="1:4">
      <c r="A12238" s="3"/>
      <c r="D12238" s="3"/>
    </row>
    <row r="12239" spans="1:4">
      <c r="A12239" s="3"/>
      <c r="D12239" s="3"/>
    </row>
    <row r="12240" spans="1:4">
      <c r="A12240" s="3"/>
      <c r="D12240" s="3"/>
    </row>
    <row r="12241" spans="1:4">
      <c r="A12241" s="3"/>
      <c r="D12241" s="3"/>
    </row>
    <row r="12242" spans="1:4">
      <c r="A12242" s="3"/>
      <c r="D12242" s="3"/>
    </row>
    <row r="12243" spans="1:4">
      <c r="A12243" s="3"/>
      <c r="D12243" s="3"/>
    </row>
    <row r="12244" spans="1:4">
      <c r="A12244" s="3"/>
      <c r="D12244" s="3"/>
    </row>
    <row r="12245" spans="1:4">
      <c r="A12245" s="3"/>
      <c r="D12245" s="3"/>
    </row>
    <row r="12246" spans="1:4">
      <c r="A12246" s="3"/>
      <c r="D12246" s="3"/>
    </row>
    <row r="12247" spans="1:4">
      <c r="A12247" s="3"/>
      <c r="D12247" s="3"/>
    </row>
    <row r="12248" spans="1:4">
      <c r="A12248" s="3"/>
      <c r="D12248" s="3"/>
    </row>
    <row r="12249" spans="1:4">
      <c r="A12249" s="3"/>
      <c r="D12249" s="3"/>
    </row>
    <row r="12250" spans="1:4">
      <c r="A12250" s="3"/>
      <c r="D12250" s="3"/>
    </row>
    <row r="12251" spans="1:4">
      <c r="A12251" s="3"/>
      <c r="D12251" s="3"/>
    </row>
    <row r="12252" spans="1:4">
      <c r="A12252" s="3"/>
      <c r="D12252" s="3"/>
    </row>
    <row r="12253" spans="1:4">
      <c r="A12253" s="3"/>
      <c r="D12253" s="3"/>
    </row>
    <row r="12254" spans="1:4">
      <c r="A12254" s="3"/>
      <c r="D12254" s="3"/>
    </row>
    <row r="12255" spans="1:4">
      <c r="A12255" s="3"/>
      <c r="D12255" s="3"/>
    </row>
    <row r="12256" spans="1:4">
      <c r="A12256" s="3"/>
      <c r="D12256" s="3"/>
    </row>
    <row r="12257" spans="1:4">
      <c r="A12257" s="3"/>
      <c r="D12257" s="3"/>
    </row>
    <row r="12258" spans="1:4">
      <c r="A12258" s="3"/>
      <c r="D12258" s="3"/>
    </row>
    <row r="12259" spans="1:4">
      <c r="A12259" s="3"/>
      <c r="D12259" s="3"/>
    </row>
    <row r="12260" spans="1:4">
      <c r="A12260" s="3"/>
      <c r="D12260" s="3"/>
    </row>
    <row r="12261" spans="1:4">
      <c r="A12261" s="3"/>
      <c r="D12261" s="3"/>
    </row>
    <row r="12262" spans="1:4">
      <c r="A12262" s="3"/>
      <c r="D12262" s="3"/>
    </row>
    <row r="12263" spans="1:4">
      <c r="A12263" s="3"/>
      <c r="D12263" s="3"/>
    </row>
    <row r="12264" spans="1:4">
      <c r="A12264" s="3"/>
      <c r="D12264" s="3"/>
    </row>
    <row r="12265" spans="1:4">
      <c r="A12265" s="3"/>
      <c r="D12265" s="3"/>
    </row>
    <row r="12266" spans="1:4">
      <c r="A12266" s="3"/>
      <c r="D12266" s="3"/>
    </row>
    <row r="12267" spans="1:4">
      <c r="A12267" s="3"/>
      <c r="D12267" s="3"/>
    </row>
    <row r="12268" spans="1:4">
      <c r="A12268" s="3"/>
      <c r="D12268" s="3"/>
    </row>
    <row r="12269" spans="1:4">
      <c r="A12269" s="3"/>
      <c r="D12269" s="3"/>
    </row>
    <row r="12270" spans="1:4">
      <c r="A12270" s="3"/>
      <c r="D12270" s="3"/>
    </row>
    <row r="12271" spans="1:4">
      <c r="A12271" s="3"/>
      <c r="D12271" s="3"/>
    </row>
    <row r="12272" spans="1:4">
      <c r="A12272" s="3"/>
      <c r="D12272" s="3"/>
    </row>
    <row r="12273" spans="1:4">
      <c r="A12273" s="3"/>
      <c r="D12273" s="3"/>
    </row>
    <row r="12274" spans="1:4">
      <c r="A12274" s="3"/>
      <c r="D12274" s="3"/>
    </row>
    <row r="12275" spans="1:4">
      <c r="A12275" s="3"/>
      <c r="D12275" s="3"/>
    </row>
    <row r="12276" spans="1:4">
      <c r="A12276" s="3"/>
      <c r="D12276" s="3"/>
    </row>
    <row r="12277" spans="1:4">
      <c r="A12277" s="3"/>
      <c r="D12277" s="3"/>
    </row>
    <row r="12278" spans="1:4">
      <c r="A12278" s="3"/>
      <c r="D12278" s="3"/>
    </row>
    <row r="12279" spans="1:4">
      <c r="A12279" s="3"/>
      <c r="D12279" s="3"/>
    </row>
    <row r="12280" spans="1:4">
      <c r="A12280" s="3"/>
      <c r="D12280" s="3"/>
    </row>
    <row r="12281" spans="1:4">
      <c r="A12281" s="3"/>
      <c r="D12281" s="3"/>
    </row>
    <row r="12282" spans="1:4">
      <c r="A12282" s="3"/>
      <c r="D12282" s="3"/>
    </row>
    <row r="12283" spans="1:4">
      <c r="A12283" s="3"/>
      <c r="D12283" s="3"/>
    </row>
    <row r="12284" spans="1:4">
      <c r="A12284" s="3"/>
      <c r="D12284" s="3"/>
    </row>
    <row r="12285" spans="1:4">
      <c r="A12285" s="3"/>
      <c r="D12285" s="3"/>
    </row>
    <row r="12286" spans="1:4">
      <c r="A12286" s="3"/>
      <c r="D12286" s="3"/>
    </row>
    <row r="12287" spans="1:4">
      <c r="A12287" s="3"/>
      <c r="D12287" s="3"/>
    </row>
    <row r="12288" spans="1:4">
      <c r="A12288" s="3"/>
      <c r="D12288" s="3"/>
    </row>
    <row r="12289" spans="1:4">
      <c r="A12289" s="3"/>
      <c r="D12289" s="3"/>
    </row>
    <row r="12290" spans="1:4">
      <c r="A12290" s="3"/>
      <c r="D12290" s="3"/>
    </row>
    <row r="12291" spans="1:4">
      <c r="A12291" s="3"/>
      <c r="D12291" s="3"/>
    </row>
    <row r="12292" spans="1:4">
      <c r="A12292" s="3"/>
      <c r="D12292" s="3"/>
    </row>
    <row r="12293" spans="1:4">
      <c r="A12293" s="3"/>
      <c r="D12293" s="3"/>
    </row>
    <row r="12294" spans="1:4">
      <c r="A12294" s="3"/>
      <c r="D12294" s="3"/>
    </row>
    <row r="12295" spans="1:4">
      <c r="A12295" s="3"/>
      <c r="D12295" s="3"/>
    </row>
    <row r="12296" spans="1:4">
      <c r="A12296" s="3"/>
      <c r="D12296" s="3"/>
    </row>
    <row r="12297" spans="1:4">
      <c r="A12297" s="3"/>
      <c r="D12297" s="3"/>
    </row>
    <row r="12298" spans="1:4">
      <c r="A12298" s="3"/>
      <c r="D12298" s="3"/>
    </row>
    <row r="12299" spans="1:4">
      <c r="A12299" s="3"/>
      <c r="D12299" s="3"/>
    </row>
    <row r="12300" spans="1:4">
      <c r="A12300" s="3"/>
      <c r="D12300" s="3"/>
    </row>
    <row r="12301" spans="1:4">
      <c r="A12301" s="3"/>
      <c r="D12301" s="3"/>
    </row>
    <row r="12302" spans="1:4">
      <c r="A12302" s="3"/>
      <c r="D12302" s="3"/>
    </row>
    <row r="12303" spans="1:4">
      <c r="A12303" s="3"/>
      <c r="D12303" s="3"/>
    </row>
    <row r="12304" spans="1:4">
      <c r="A12304" s="3"/>
      <c r="D12304" s="3"/>
    </row>
    <row r="12305" spans="1:4">
      <c r="A12305" s="3"/>
      <c r="D12305" s="3"/>
    </row>
    <row r="12306" spans="1:4">
      <c r="A12306" s="3"/>
      <c r="D12306" s="3"/>
    </row>
    <row r="12307" spans="1:4">
      <c r="A12307" s="3"/>
      <c r="D12307" s="3"/>
    </row>
    <row r="12308" spans="1:4">
      <c r="A12308" s="3"/>
      <c r="D12308" s="3"/>
    </row>
    <row r="12309" spans="1:4">
      <c r="A12309" s="3"/>
      <c r="D12309" s="3"/>
    </row>
    <row r="12310" spans="1:4">
      <c r="A12310" s="3"/>
      <c r="D12310" s="3"/>
    </row>
    <row r="12311" spans="1:4">
      <c r="A12311" s="3"/>
      <c r="D12311" s="3"/>
    </row>
    <row r="12312" spans="1:4">
      <c r="A12312" s="3"/>
      <c r="D12312" s="3"/>
    </row>
    <row r="12313" spans="1:4">
      <c r="A12313" s="3"/>
      <c r="D12313" s="3"/>
    </row>
    <row r="12314" spans="1:4">
      <c r="A12314" s="3"/>
      <c r="D12314" s="3"/>
    </row>
    <row r="12315" spans="1:4">
      <c r="A12315" s="3"/>
      <c r="D12315" s="3"/>
    </row>
    <row r="12316" spans="1:4">
      <c r="A12316" s="3"/>
      <c r="D12316" s="3"/>
    </row>
    <row r="12317" spans="1:4">
      <c r="A12317" s="3"/>
      <c r="D12317" s="3"/>
    </row>
    <row r="12318" spans="1:4">
      <c r="A12318" s="3"/>
      <c r="D12318" s="3"/>
    </row>
    <row r="12319" spans="1:4">
      <c r="A12319" s="3"/>
      <c r="D12319" s="3"/>
    </row>
    <row r="12320" spans="1:4">
      <c r="A12320" s="3"/>
      <c r="D12320" s="3"/>
    </row>
    <row r="12321" spans="1:4">
      <c r="A12321" s="3"/>
      <c r="D12321" s="3"/>
    </row>
    <row r="12322" spans="1:4">
      <c r="A12322" s="3"/>
      <c r="D12322" s="3"/>
    </row>
    <row r="12323" spans="1:4">
      <c r="A12323" s="3"/>
      <c r="D12323" s="3"/>
    </row>
    <row r="12324" spans="1:4">
      <c r="A12324" s="3"/>
      <c r="D12324" s="3"/>
    </row>
    <row r="12325" spans="1:4">
      <c r="A12325" s="3"/>
      <c r="D12325" s="3"/>
    </row>
    <row r="12326" spans="1:4">
      <c r="A12326" s="3"/>
      <c r="D12326" s="3"/>
    </row>
    <row r="12327" spans="1:4">
      <c r="A12327" s="3"/>
      <c r="D12327" s="3"/>
    </row>
    <row r="12328" spans="1:4">
      <c r="A12328" s="3"/>
      <c r="D12328" s="3"/>
    </row>
    <row r="12329" spans="1:4">
      <c r="A12329" s="3"/>
      <c r="D12329" s="3"/>
    </row>
    <row r="12330" spans="1:4">
      <c r="A12330" s="3"/>
      <c r="D12330" s="3"/>
    </row>
    <row r="12331" spans="1:4">
      <c r="A12331" s="3"/>
      <c r="D12331" s="3"/>
    </row>
    <row r="12332" spans="1:4">
      <c r="A12332" s="3"/>
      <c r="D12332" s="3"/>
    </row>
    <row r="12333" spans="1:4">
      <c r="A12333" s="3"/>
      <c r="D12333" s="3"/>
    </row>
    <row r="12334" spans="1:4">
      <c r="A12334" s="3"/>
      <c r="D12334" s="3"/>
    </row>
    <row r="12335" spans="1:4">
      <c r="A12335" s="3"/>
      <c r="D12335" s="3"/>
    </row>
    <row r="12336" spans="1:4">
      <c r="A12336" s="3"/>
      <c r="D12336" s="3"/>
    </row>
    <row r="12337" spans="1:4">
      <c r="A12337" s="3"/>
      <c r="D12337" s="3"/>
    </row>
    <row r="12338" spans="1:4">
      <c r="A12338" s="3"/>
      <c r="D12338" s="3"/>
    </row>
    <row r="12339" spans="1:4">
      <c r="A12339" s="3"/>
      <c r="D12339" s="3"/>
    </row>
    <row r="12340" spans="1:4">
      <c r="A12340" s="3"/>
      <c r="D12340" s="3"/>
    </row>
    <row r="12341" spans="1:4">
      <c r="A12341" s="3"/>
      <c r="D12341" s="3"/>
    </row>
    <row r="12342" spans="1:4">
      <c r="A12342" s="3"/>
      <c r="D12342" s="3"/>
    </row>
    <row r="12343" spans="1:4">
      <c r="A12343" s="3"/>
      <c r="D12343" s="3"/>
    </row>
    <row r="12344" spans="1:4">
      <c r="A12344" s="3"/>
      <c r="D12344" s="3"/>
    </row>
    <row r="12345" spans="1:4">
      <c r="A12345" s="3"/>
      <c r="D12345" s="3"/>
    </row>
    <row r="12346" spans="1:4">
      <c r="A12346" s="3"/>
      <c r="D12346" s="3"/>
    </row>
    <row r="12347" spans="1:4">
      <c r="A12347" s="3"/>
      <c r="D12347" s="3"/>
    </row>
    <row r="12348" spans="1:4">
      <c r="A12348" s="3"/>
      <c r="D12348" s="3"/>
    </row>
    <row r="12349" spans="1:4">
      <c r="A12349" s="3"/>
      <c r="D12349" s="3"/>
    </row>
    <row r="12350" spans="1:4">
      <c r="A12350" s="3"/>
      <c r="D12350" s="3"/>
    </row>
    <row r="12351" spans="1:4">
      <c r="A12351" s="3"/>
      <c r="D12351" s="3"/>
    </row>
    <row r="12352" spans="1:4">
      <c r="A12352" s="3"/>
      <c r="D12352" s="3"/>
    </row>
    <row r="12353" spans="1:4">
      <c r="A12353" s="3"/>
      <c r="D12353" s="3"/>
    </row>
    <row r="12354" spans="1:4">
      <c r="A12354" s="3"/>
      <c r="D12354" s="3"/>
    </row>
    <row r="12355" spans="1:4">
      <c r="A12355" s="3"/>
      <c r="D12355" s="3"/>
    </row>
    <row r="12356" spans="1:4">
      <c r="A12356" s="3"/>
      <c r="D12356" s="3"/>
    </row>
    <row r="12357" spans="1:4">
      <c r="A12357" s="3"/>
      <c r="D12357" s="3"/>
    </row>
    <row r="12358" spans="1:4">
      <c r="A12358" s="3"/>
      <c r="D12358" s="3"/>
    </row>
    <row r="12359" spans="1:4">
      <c r="A12359" s="3"/>
      <c r="D12359" s="3"/>
    </row>
    <row r="12360" spans="1:4">
      <c r="A12360" s="3"/>
      <c r="D12360" s="3"/>
    </row>
    <row r="12361" spans="1:4">
      <c r="A12361" s="3"/>
      <c r="D12361" s="3"/>
    </row>
    <row r="12362" spans="1:4">
      <c r="A12362" s="3"/>
      <c r="D12362" s="3"/>
    </row>
    <row r="12363" spans="1:4">
      <c r="A12363" s="3"/>
      <c r="D12363" s="3"/>
    </row>
    <row r="12364" spans="1:4">
      <c r="A12364" s="3"/>
      <c r="D12364" s="3"/>
    </row>
    <row r="12365" spans="1:4">
      <c r="A12365" s="3"/>
      <c r="D12365" s="3"/>
    </row>
    <row r="12366" spans="1:4">
      <c r="A12366" s="3"/>
      <c r="D12366" s="3"/>
    </row>
    <row r="12367" spans="1:4">
      <c r="A12367" s="3"/>
      <c r="D12367" s="3"/>
    </row>
    <row r="12368" spans="1:4">
      <c r="A12368" s="3"/>
      <c r="D12368" s="3"/>
    </row>
    <row r="12369" spans="1:4">
      <c r="A12369" s="3"/>
      <c r="D12369" s="3"/>
    </row>
    <row r="12370" spans="1:4">
      <c r="A12370" s="3"/>
      <c r="D12370" s="3"/>
    </row>
    <row r="12371" spans="1:4">
      <c r="A12371" s="3"/>
      <c r="D12371" s="3"/>
    </row>
    <row r="12372" spans="1:4">
      <c r="A12372" s="3"/>
      <c r="D12372" s="3"/>
    </row>
    <row r="12373" spans="1:4">
      <c r="A12373" s="3"/>
      <c r="D12373" s="3"/>
    </row>
    <row r="12374" spans="1:4">
      <c r="A12374" s="3"/>
      <c r="D12374" s="3"/>
    </row>
    <row r="12375" spans="1:4">
      <c r="A12375" s="3"/>
      <c r="D12375" s="3"/>
    </row>
    <row r="12376" spans="1:4">
      <c r="A12376" s="3"/>
      <c r="D12376" s="3"/>
    </row>
    <row r="12377" spans="1:4">
      <c r="A12377" s="3"/>
      <c r="D12377" s="3"/>
    </row>
    <row r="12378" spans="1:4">
      <c r="A12378" s="3"/>
      <c r="D12378" s="3"/>
    </row>
    <row r="12379" spans="1:4">
      <c r="A12379" s="3"/>
      <c r="D12379" s="3"/>
    </row>
    <row r="12380" spans="1:4">
      <c r="A12380" s="3"/>
      <c r="D12380" s="3"/>
    </row>
    <row r="12381" spans="1:4">
      <c r="A12381" s="3"/>
      <c r="D12381" s="3"/>
    </row>
    <row r="12382" spans="1:4">
      <c r="A12382" s="3"/>
      <c r="D12382" s="3"/>
    </row>
    <row r="12383" spans="1:4">
      <c r="A12383" s="3"/>
      <c r="D12383" s="3"/>
    </row>
    <row r="12384" spans="1:4">
      <c r="A12384" s="3"/>
      <c r="D12384" s="3"/>
    </row>
    <row r="12385" spans="1:4">
      <c r="A12385" s="3"/>
      <c r="D12385" s="3"/>
    </row>
    <row r="12386" spans="1:4">
      <c r="A12386" s="3"/>
      <c r="D12386" s="3"/>
    </row>
    <row r="12387" spans="1:4">
      <c r="A12387" s="3"/>
      <c r="D12387" s="3"/>
    </row>
    <row r="12388" spans="1:4">
      <c r="A12388" s="3"/>
      <c r="D12388" s="3"/>
    </row>
    <row r="12389" spans="1:4">
      <c r="A12389" s="3"/>
      <c r="D12389" s="3"/>
    </row>
    <row r="12390" spans="1:4">
      <c r="A12390" s="3"/>
      <c r="D12390" s="3"/>
    </row>
    <row r="12391" spans="1:4">
      <c r="A12391" s="3"/>
      <c r="D12391" s="3"/>
    </row>
    <row r="12392" spans="1:4">
      <c r="A12392" s="3"/>
      <c r="D12392" s="3"/>
    </row>
    <row r="12393" spans="1:4">
      <c r="A12393" s="3"/>
      <c r="D12393" s="3"/>
    </row>
    <row r="12394" spans="1:4">
      <c r="A12394" s="3"/>
      <c r="D12394" s="3"/>
    </row>
    <row r="12395" spans="1:4">
      <c r="A12395" s="3"/>
      <c r="D12395" s="3"/>
    </row>
    <row r="12396" spans="1:4">
      <c r="A12396" s="3"/>
      <c r="D12396" s="3"/>
    </row>
    <row r="12397" spans="1:4">
      <c r="A12397" s="3"/>
      <c r="D12397" s="3"/>
    </row>
    <row r="12398" spans="1:4">
      <c r="A12398" s="3"/>
      <c r="D12398" s="3"/>
    </row>
    <row r="12399" spans="1:4">
      <c r="A12399" s="3"/>
      <c r="D12399" s="3"/>
    </row>
    <row r="12400" spans="1:4">
      <c r="A12400" s="3"/>
      <c r="D12400" s="3"/>
    </row>
    <row r="12401" spans="1:4">
      <c r="A12401" s="3"/>
      <c r="D12401" s="3"/>
    </row>
    <row r="12402" spans="1:4">
      <c r="A12402" s="3"/>
      <c r="D12402" s="3"/>
    </row>
    <row r="12403" spans="1:4">
      <c r="A12403" s="3"/>
      <c r="D12403" s="3"/>
    </row>
    <row r="12404" spans="1:4">
      <c r="A12404" s="3"/>
      <c r="D12404" s="3"/>
    </row>
    <row r="12405" spans="1:4">
      <c r="A12405" s="3"/>
      <c r="D12405" s="3"/>
    </row>
    <row r="12406" spans="1:4">
      <c r="A12406" s="3"/>
      <c r="D12406" s="3"/>
    </row>
    <row r="12407" spans="1:4">
      <c r="A12407" s="3"/>
      <c r="D12407" s="3"/>
    </row>
    <row r="12408" spans="1:4">
      <c r="A12408" s="3"/>
      <c r="D12408" s="3"/>
    </row>
    <row r="12409" spans="1:4">
      <c r="A12409" s="3"/>
      <c r="D12409" s="3"/>
    </row>
    <row r="12410" spans="1:4">
      <c r="A12410" s="3"/>
      <c r="D12410" s="3"/>
    </row>
    <row r="12411" spans="1:4">
      <c r="A12411" s="3"/>
      <c r="D12411" s="3"/>
    </row>
    <row r="12412" spans="1:4">
      <c r="A12412" s="3"/>
      <c r="D12412" s="3"/>
    </row>
    <row r="12413" spans="1:4">
      <c r="A12413" s="3"/>
      <c r="D12413" s="3"/>
    </row>
    <row r="12414" spans="1:4">
      <c r="A12414" s="3"/>
      <c r="D12414" s="3"/>
    </row>
    <row r="12415" spans="1:4">
      <c r="A12415" s="3"/>
      <c r="D12415" s="3"/>
    </row>
    <row r="12416" spans="1:4">
      <c r="A12416" s="3"/>
      <c r="D12416" s="3"/>
    </row>
    <row r="12417" spans="1:4">
      <c r="A12417" s="3"/>
      <c r="D12417" s="3"/>
    </row>
    <row r="12418" spans="1:4">
      <c r="A12418" s="3"/>
      <c r="D12418" s="3"/>
    </row>
    <row r="12419" spans="1:4">
      <c r="A12419" s="3"/>
      <c r="D12419" s="3"/>
    </row>
    <row r="12420" spans="1:4">
      <c r="A12420" s="3"/>
      <c r="D12420" s="3"/>
    </row>
    <row r="12421" spans="1:4">
      <c r="A12421" s="3"/>
      <c r="D12421" s="3"/>
    </row>
    <row r="12422" spans="1:4">
      <c r="A12422" s="3"/>
      <c r="D12422" s="3"/>
    </row>
    <row r="12423" spans="1:4">
      <c r="A12423" s="3"/>
      <c r="D12423" s="3"/>
    </row>
    <row r="12424" spans="1:4">
      <c r="A12424" s="3"/>
      <c r="D12424" s="3"/>
    </row>
    <row r="12425" spans="1:4">
      <c r="A12425" s="3"/>
      <c r="D12425" s="3"/>
    </row>
    <row r="12426" spans="1:4">
      <c r="A12426" s="3"/>
      <c r="D12426" s="3"/>
    </row>
    <row r="12427" spans="1:4">
      <c r="A12427" s="3"/>
      <c r="D12427" s="3"/>
    </row>
    <row r="12428" spans="1:4">
      <c r="A12428" s="3"/>
      <c r="D12428" s="3"/>
    </row>
    <row r="12429" spans="1:4">
      <c r="A12429" s="3"/>
      <c r="D12429" s="3"/>
    </row>
    <row r="12430" spans="1:4">
      <c r="A12430" s="3"/>
      <c r="D12430" s="3"/>
    </row>
    <row r="12431" spans="1:4">
      <c r="A12431" s="3"/>
      <c r="D12431" s="3"/>
    </row>
    <row r="12432" spans="1:4">
      <c r="A12432" s="3"/>
      <c r="D12432" s="3"/>
    </row>
    <row r="12433" spans="1:4">
      <c r="A12433" s="3"/>
      <c r="D12433" s="3"/>
    </row>
    <row r="12434" spans="1:4">
      <c r="A12434" s="3"/>
      <c r="D12434" s="3"/>
    </row>
    <row r="12435" spans="1:4">
      <c r="A12435" s="3"/>
      <c r="D12435" s="3"/>
    </row>
    <row r="12436" spans="1:4">
      <c r="A12436" s="3"/>
      <c r="D12436" s="3"/>
    </row>
    <row r="12437" spans="1:4">
      <c r="A12437" s="3"/>
      <c r="D12437" s="3"/>
    </row>
    <row r="12438" spans="1:4">
      <c r="A12438" s="3"/>
      <c r="D12438" s="3"/>
    </row>
    <row r="12439" spans="1:4">
      <c r="A12439" s="3"/>
      <c r="D12439" s="3"/>
    </row>
    <row r="12440" spans="1:4">
      <c r="A12440" s="3"/>
      <c r="D12440" s="3"/>
    </row>
    <row r="12441" spans="1:4">
      <c r="A12441" s="3"/>
      <c r="D12441" s="3"/>
    </row>
    <row r="12442" spans="1:4">
      <c r="A12442" s="3"/>
      <c r="D12442" s="3"/>
    </row>
    <row r="12443" spans="1:4">
      <c r="A12443" s="3"/>
      <c r="D12443" s="3"/>
    </row>
    <row r="12444" spans="1:4">
      <c r="A12444" s="3"/>
      <c r="D12444" s="3"/>
    </row>
    <row r="12445" spans="1:4">
      <c r="A12445" s="3"/>
      <c r="D12445" s="3"/>
    </row>
    <row r="12446" spans="1:4">
      <c r="A12446" s="3"/>
      <c r="D12446" s="3"/>
    </row>
    <row r="12447" spans="1:4">
      <c r="A12447" s="3"/>
      <c r="D12447" s="3"/>
    </row>
    <row r="12448" spans="1:4">
      <c r="A12448" s="3"/>
      <c r="D12448" s="3"/>
    </row>
    <row r="12449" spans="1:4">
      <c r="A12449" s="3"/>
      <c r="D12449" s="3"/>
    </row>
    <row r="12450" spans="1:4">
      <c r="A12450" s="3"/>
      <c r="D12450" s="3"/>
    </row>
    <row r="12451" spans="1:4">
      <c r="A12451" s="3"/>
      <c r="D12451" s="3"/>
    </row>
    <row r="12452" spans="1:4">
      <c r="A12452" s="3"/>
      <c r="D12452" s="3"/>
    </row>
    <row r="12453" spans="1:4">
      <c r="A12453" s="3"/>
      <c r="D12453" s="3"/>
    </row>
    <row r="12454" spans="1:4">
      <c r="A12454" s="3"/>
      <c r="D12454" s="3"/>
    </row>
    <row r="12455" spans="1:4">
      <c r="A12455" s="3"/>
      <c r="D12455" s="3"/>
    </row>
    <row r="12456" spans="1:4">
      <c r="A12456" s="3"/>
      <c r="D12456" s="3"/>
    </row>
    <row r="12457" spans="1:4">
      <c r="A12457" s="3"/>
      <c r="D12457" s="3"/>
    </row>
    <row r="12458" spans="1:4">
      <c r="A12458" s="3"/>
      <c r="D12458" s="3"/>
    </row>
    <row r="12459" spans="1:4">
      <c r="A12459" s="3"/>
      <c r="D12459" s="3"/>
    </row>
    <row r="12460" spans="1:4">
      <c r="A12460" s="3"/>
      <c r="D12460" s="3"/>
    </row>
    <row r="12461" spans="1:4">
      <c r="A12461" s="3"/>
      <c r="D12461" s="3"/>
    </row>
    <row r="12462" spans="1:4">
      <c r="A12462" s="3"/>
      <c r="D12462" s="3"/>
    </row>
    <row r="12463" spans="1:4">
      <c r="A12463" s="3"/>
      <c r="D12463" s="3"/>
    </row>
    <row r="12464" spans="1:4">
      <c r="A12464" s="3"/>
      <c r="D12464" s="3"/>
    </row>
    <row r="12465" spans="1:4">
      <c r="A12465" s="3"/>
      <c r="D12465" s="3"/>
    </row>
    <row r="12466" spans="1:4">
      <c r="A12466" s="3"/>
      <c r="D12466" s="3"/>
    </row>
    <row r="12467" spans="1:4">
      <c r="A12467" s="3"/>
      <c r="D12467" s="3"/>
    </row>
    <row r="12468" spans="1:4">
      <c r="A12468" s="3"/>
      <c r="D12468" s="3"/>
    </row>
    <row r="12469" spans="1:4">
      <c r="A12469" s="3"/>
      <c r="D12469" s="3"/>
    </row>
    <row r="12470" spans="1:4">
      <c r="A12470" s="3"/>
      <c r="D12470" s="3"/>
    </row>
    <row r="12471" spans="1:4">
      <c r="A12471" s="3"/>
      <c r="D12471" s="3"/>
    </row>
    <row r="12472" spans="1:4">
      <c r="A12472" s="3"/>
      <c r="D12472" s="3"/>
    </row>
    <row r="12473" spans="1:4">
      <c r="A12473" s="3"/>
      <c r="D12473" s="3"/>
    </row>
    <row r="12474" spans="1:4">
      <c r="A12474" s="3"/>
      <c r="D12474" s="3"/>
    </row>
    <row r="12475" spans="1:4">
      <c r="A12475" s="3"/>
      <c r="D12475" s="3"/>
    </row>
    <row r="12476" spans="1:4">
      <c r="A12476" s="3"/>
      <c r="D12476" s="3"/>
    </row>
    <row r="12477" spans="1:4">
      <c r="A12477" s="3"/>
      <c r="D12477" s="3"/>
    </row>
    <row r="12478" spans="1:4">
      <c r="A12478" s="3"/>
      <c r="D12478" s="3"/>
    </row>
    <row r="12479" spans="1:4">
      <c r="A12479" s="3"/>
      <c r="D12479" s="3"/>
    </row>
    <row r="12480" spans="1:4">
      <c r="A12480" s="3"/>
      <c r="D12480" s="3"/>
    </row>
    <row r="12481" spans="1:4">
      <c r="A12481" s="3"/>
      <c r="D12481" s="3"/>
    </row>
    <row r="12482" spans="1:4">
      <c r="A12482" s="3"/>
      <c r="D12482" s="3"/>
    </row>
    <row r="12483" spans="1:4">
      <c r="A12483" s="3"/>
      <c r="D12483" s="3"/>
    </row>
    <row r="12484" spans="1:4">
      <c r="A12484" s="3"/>
      <c r="D12484" s="3"/>
    </row>
    <row r="12485" spans="1:4">
      <c r="A12485" s="3"/>
      <c r="D12485" s="3"/>
    </row>
    <row r="12486" spans="1:4">
      <c r="A12486" s="3"/>
      <c r="D12486" s="3"/>
    </row>
    <row r="12487" spans="1:4">
      <c r="A12487" s="3"/>
      <c r="D12487" s="3"/>
    </row>
    <row r="12488" spans="1:4">
      <c r="A12488" s="3"/>
      <c r="D12488" s="3"/>
    </row>
    <row r="12489" spans="1:4">
      <c r="A12489" s="3"/>
      <c r="D12489" s="3"/>
    </row>
    <row r="12490" spans="1:4">
      <c r="A12490" s="3"/>
      <c r="D12490" s="3"/>
    </row>
    <row r="12491" spans="1:4">
      <c r="A12491" s="3"/>
      <c r="D12491" s="3"/>
    </row>
    <row r="12492" spans="1:4">
      <c r="A12492" s="3"/>
      <c r="D12492" s="3"/>
    </row>
    <row r="12493" spans="1:4">
      <c r="A12493" s="3"/>
      <c r="D12493" s="3"/>
    </row>
    <row r="12494" spans="1:4">
      <c r="A12494" s="3"/>
      <c r="D12494" s="3"/>
    </row>
    <row r="12495" spans="1:4">
      <c r="A12495" s="3"/>
      <c r="D12495" s="3"/>
    </row>
    <row r="12496" spans="1:4">
      <c r="A12496" s="3"/>
      <c r="D12496" s="3"/>
    </row>
    <row r="12497" spans="1:4">
      <c r="A12497" s="3"/>
      <c r="D12497" s="3"/>
    </row>
    <row r="12498" spans="1:4">
      <c r="A12498" s="3"/>
      <c r="D12498" s="3"/>
    </row>
    <row r="12499" spans="1:4">
      <c r="A12499" s="3"/>
      <c r="D12499" s="3"/>
    </row>
    <row r="12500" spans="1:4">
      <c r="A12500" s="3"/>
      <c r="D12500" s="3"/>
    </row>
    <row r="12501" spans="1:4">
      <c r="A12501" s="3"/>
      <c r="D12501" s="3"/>
    </row>
    <row r="12502" spans="1:4">
      <c r="A12502" s="3"/>
      <c r="D12502" s="3"/>
    </row>
    <row r="12503" spans="1:4">
      <c r="A12503" s="3"/>
      <c r="D12503" s="3"/>
    </row>
    <row r="12504" spans="1:4">
      <c r="A12504" s="3"/>
      <c r="D12504" s="3"/>
    </row>
    <row r="12505" spans="1:4">
      <c r="A12505" s="3"/>
      <c r="D12505" s="3"/>
    </row>
    <row r="12506" spans="1:4">
      <c r="A12506" s="3"/>
      <c r="D12506" s="3"/>
    </row>
    <row r="12507" spans="1:4">
      <c r="A12507" s="3"/>
      <c r="D12507" s="3"/>
    </row>
    <row r="12508" spans="1:4">
      <c r="A12508" s="3"/>
      <c r="D12508" s="3"/>
    </row>
    <row r="12509" spans="1:4">
      <c r="A12509" s="3"/>
      <c r="D12509" s="3"/>
    </row>
    <row r="12510" spans="1:4">
      <c r="A12510" s="3"/>
      <c r="D12510" s="3"/>
    </row>
    <row r="12511" spans="1:4">
      <c r="A12511" s="3"/>
      <c r="D12511" s="3"/>
    </row>
    <row r="12512" spans="1:4">
      <c r="A12512" s="3"/>
      <c r="D12512" s="3"/>
    </row>
    <row r="12513" spans="1:4">
      <c r="A12513" s="3"/>
      <c r="D12513" s="3"/>
    </row>
    <row r="12514" spans="1:4">
      <c r="A12514" s="3"/>
      <c r="D12514" s="3"/>
    </row>
    <row r="12515" spans="1:4">
      <c r="A12515" s="3"/>
      <c r="D12515" s="3"/>
    </row>
    <row r="12516" spans="1:4">
      <c r="A12516" s="3"/>
      <c r="D12516" s="3"/>
    </row>
    <row r="12517" spans="1:4">
      <c r="A12517" s="3"/>
      <c r="D12517" s="3"/>
    </row>
    <row r="12518" spans="1:4">
      <c r="A12518" s="3"/>
      <c r="D12518" s="3"/>
    </row>
    <row r="12519" spans="1:4">
      <c r="A12519" s="3"/>
      <c r="D12519" s="3"/>
    </row>
    <row r="12520" spans="1:4">
      <c r="A12520" s="3"/>
      <c r="D12520" s="3"/>
    </row>
    <row r="12521" spans="1:4">
      <c r="A12521" s="3"/>
      <c r="D12521" s="3"/>
    </row>
    <row r="12522" spans="1:4">
      <c r="A12522" s="3"/>
      <c r="D12522" s="3"/>
    </row>
    <row r="12523" spans="1:4">
      <c r="A12523" s="3"/>
      <c r="D12523" s="3"/>
    </row>
    <row r="12524" spans="1:4">
      <c r="A12524" s="3"/>
      <c r="D12524" s="3"/>
    </row>
    <row r="12525" spans="1:4">
      <c r="A12525" s="3"/>
      <c r="D12525" s="3"/>
    </row>
    <row r="12526" spans="1:4">
      <c r="A12526" s="3"/>
      <c r="D12526" s="3"/>
    </row>
    <row r="12527" spans="1:4">
      <c r="A12527" s="3"/>
      <c r="D12527" s="3"/>
    </row>
    <row r="12528" spans="1:4">
      <c r="A12528" s="3"/>
      <c r="D12528" s="3"/>
    </row>
    <row r="12529" spans="1:4">
      <c r="A12529" s="3"/>
      <c r="D12529" s="3"/>
    </row>
    <row r="12530" spans="1:4">
      <c r="A12530" s="3"/>
      <c r="D12530" s="3"/>
    </row>
    <row r="12531" spans="1:4">
      <c r="A12531" s="3"/>
      <c r="D12531" s="3"/>
    </row>
    <row r="12532" spans="1:4">
      <c r="A12532" s="3"/>
      <c r="D12532" s="3"/>
    </row>
    <row r="12533" spans="1:4">
      <c r="A12533" s="3"/>
      <c r="D12533" s="3"/>
    </row>
    <row r="12534" spans="1:4">
      <c r="A12534" s="3"/>
      <c r="D12534" s="3"/>
    </row>
    <row r="12535" spans="1:4">
      <c r="A12535" s="3"/>
      <c r="D12535" s="3"/>
    </row>
    <row r="12536" spans="1:4">
      <c r="A12536" s="3"/>
      <c r="D12536" s="3"/>
    </row>
    <row r="12537" spans="1:4">
      <c r="A12537" s="3"/>
      <c r="D12537" s="3"/>
    </row>
    <row r="12538" spans="1:4">
      <c r="A12538" s="3"/>
      <c r="D12538" s="3"/>
    </row>
    <row r="12539" spans="1:4">
      <c r="A12539" s="3"/>
      <c r="D12539" s="3"/>
    </row>
    <row r="12540" spans="1:4">
      <c r="A12540" s="3"/>
      <c r="D12540" s="3"/>
    </row>
    <row r="12541" spans="1:4">
      <c r="A12541" s="3"/>
      <c r="D12541" s="3"/>
    </row>
    <row r="12542" spans="1:4">
      <c r="A12542" s="3"/>
      <c r="D12542" s="3"/>
    </row>
    <row r="12543" spans="1:4">
      <c r="A12543" s="3"/>
      <c r="D12543" s="3"/>
    </row>
    <row r="12544" spans="1:4">
      <c r="A12544" s="3"/>
      <c r="D12544" s="3"/>
    </row>
    <row r="12545" spans="1:4">
      <c r="A12545" s="3"/>
      <c r="D12545" s="3"/>
    </row>
    <row r="12546" spans="1:4">
      <c r="A12546" s="3"/>
      <c r="D12546" s="3"/>
    </row>
    <row r="12547" spans="1:4">
      <c r="A12547" s="3"/>
      <c r="D12547" s="3"/>
    </row>
    <row r="12548" spans="1:4">
      <c r="A12548" s="3"/>
      <c r="D12548" s="3"/>
    </row>
    <row r="12549" spans="1:4">
      <c r="A12549" s="3"/>
      <c r="D12549" s="3"/>
    </row>
    <row r="12550" spans="1:4">
      <c r="A12550" s="3"/>
      <c r="D12550" s="3"/>
    </row>
    <row r="12551" spans="1:4">
      <c r="A12551" s="3"/>
      <c r="D12551" s="3"/>
    </row>
    <row r="12552" spans="1:4">
      <c r="A12552" s="3"/>
      <c r="D12552" s="3"/>
    </row>
    <row r="12553" spans="1:4">
      <c r="A12553" s="3"/>
      <c r="D12553" s="3"/>
    </row>
    <row r="12554" spans="1:4">
      <c r="A12554" s="3"/>
      <c r="D12554" s="3"/>
    </row>
    <row r="12555" spans="1:4">
      <c r="A12555" s="3"/>
      <c r="D12555" s="3"/>
    </row>
    <row r="12556" spans="1:4">
      <c r="A12556" s="3"/>
      <c r="D12556" s="3"/>
    </row>
    <row r="12557" spans="1:4">
      <c r="A12557" s="3"/>
      <c r="D12557" s="3"/>
    </row>
    <row r="12558" spans="1:4">
      <c r="A12558" s="3"/>
      <c r="D12558" s="3"/>
    </row>
    <row r="12559" spans="1:4">
      <c r="A12559" s="3"/>
      <c r="D12559" s="3"/>
    </row>
    <row r="12560" spans="1:4">
      <c r="A12560" s="3"/>
      <c r="D12560" s="3"/>
    </row>
    <row r="12561" spans="1:4">
      <c r="A12561" s="3"/>
      <c r="D12561" s="3"/>
    </row>
    <row r="12562" spans="1:4">
      <c r="A12562" s="3"/>
      <c r="D12562" s="3"/>
    </row>
    <row r="12563" spans="1:4">
      <c r="A12563" s="3"/>
      <c r="D12563" s="3"/>
    </row>
    <row r="12564" spans="1:4">
      <c r="A12564" s="3"/>
      <c r="D12564" s="3"/>
    </row>
    <row r="12565" spans="1:4">
      <c r="A12565" s="3"/>
      <c r="D12565" s="3"/>
    </row>
    <row r="12566" spans="1:4">
      <c r="A12566" s="3"/>
      <c r="D12566" s="3"/>
    </row>
    <row r="12567" spans="1:4">
      <c r="A12567" s="3"/>
      <c r="D12567" s="3"/>
    </row>
    <row r="12568" spans="1:4">
      <c r="A12568" s="3"/>
      <c r="D12568" s="3"/>
    </row>
    <row r="12569" spans="1:4">
      <c r="A12569" s="3"/>
      <c r="D12569" s="3"/>
    </row>
    <row r="12570" spans="1:4">
      <c r="A12570" s="3"/>
      <c r="D12570" s="3"/>
    </row>
    <row r="12571" spans="1:4">
      <c r="A12571" s="3"/>
      <c r="D12571" s="3"/>
    </row>
    <row r="12572" spans="1:4">
      <c r="A12572" s="3"/>
      <c r="D12572" s="3"/>
    </row>
    <row r="12573" spans="1:4">
      <c r="A12573" s="3"/>
      <c r="D12573" s="3"/>
    </row>
    <row r="12574" spans="1:4">
      <c r="A12574" s="3"/>
      <c r="D12574" s="3"/>
    </row>
    <row r="12575" spans="1:4">
      <c r="A12575" s="3"/>
      <c r="D12575" s="3"/>
    </row>
    <row r="12576" spans="1:4">
      <c r="A12576" s="3"/>
      <c r="D12576" s="3"/>
    </row>
    <row r="12577" spans="1:4">
      <c r="A12577" s="3"/>
      <c r="D12577" s="3"/>
    </row>
    <row r="12578" spans="1:4">
      <c r="A12578" s="3"/>
      <c r="D12578" s="3"/>
    </row>
    <row r="12579" spans="1:4">
      <c r="A12579" s="3"/>
      <c r="D12579" s="3"/>
    </row>
    <row r="12580" spans="1:4">
      <c r="A12580" s="3"/>
      <c r="D12580" s="3"/>
    </row>
    <row r="12581" spans="1:4">
      <c r="A12581" s="3"/>
      <c r="D12581" s="3"/>
    </row>
    <row r="12582" spans="1:4">
      <c r="A12582" s="3"/>
      <c r="D12582" s="3"/>
    </row>
    <row r="12583" spans="1:4">
      <c r="A12583" s="3"/>
      <c r="D12583" s="3"/>
    </row>
    <row r="12584" spans="1:4">
      <c r="A12584" s="3"/>
      <c r="D12584" s="3"/>
    </row>
    <row r="12585" spans="1:4">
      <c r="A12585" s="3"/>
      <c r="D12585" s="3"/>
    </row>
    <row r="12586" spans="1:4">
      <c r="A12586" s="3"/>
      <c r="D12586" s="3"/>
    </row>
    <row r="12587" spans="1:4">
      <c r="A12587" s="3"/>
      <c r="D12587" s="3"/>
    </row>
    <row r="12588" spans="1:4">
      <c r="A12588" s="3"/>
      <c r="D12588" s="3"/>
    </row>
    <row r="12589" spans="1:4">
      <c r="A12589" s="3"/>
      <c r="D12589" s="3"/>
    </row>
    <row r="12590" spans="1:4">
      <c r="A12590" s="3"/>
      <c r="D12590" s="3"/>
    </row>
    <row r="12591" spans="1:4">
      <c r="A12591" s="3"/>
      <c r="D12591" s="3"/>
    </row>
    <row r="12592" spans="1:4">
      <c r="A12592" s="3"/>
      <c r="D12592" s="3"/>
    </row>
    <row r="12593" spans="1:4">
      <c r="A12593" s="3"/>
      <c r="D12593" s="3"/>
    </row>
    <row r="12594" spans="1:4">
      <c r="A12594" s="3"/>
      <c r="D12594" s="3"/>
    </row>
    <row r="12595" spans="1:4">
      <c r="A12595" s="3"/>
      <c r="D12595" s="3"/>
    </row>
    <row r="12596" spans="1:4">
      <c r="A12596" s="3"/>
      <c r="D12596" s="3"/>
    </row>
    <row r="12597" spans="1:4">
      <c r="A12597" s="3"/>
      <c r="D12597" s="3"/>
    </row>
    <row r="12598" spans="1:4">
      <c r="A12598" s="3"/>
      <c r="D12598" s="3"/>
    </row>
    <row r="12599" spans="1:4">
      <c r="A12599" s="3"/>
      <c r="D12599" s="3"/>
    </row>
    <row r="12600" spans="1:4">
      <c r="A12600" s="3"/>
      <c r="D12600" s="3"/>
    </row>
    <row r="12601" spans="1:4">
      <c r="A12601" s="3"/>
      <c r="D12601" s="3"/>
    </row>
    <row r="12602" spans="1:4">
      <c r="A12602" s="3"/>
      <c r="D12602" s="3"/>
    </row>
    <row r="12603" spans="1:4">
      <c r="A12603" s="3"/>
      <c r="D12603" s="3"/>
    </row>
    <row r="12604" spans="1:4">
      <c r="A12604" s="3"/>
      <c r="D12604" s="3"/>
    </row>
    <row r="12605" spans="1:4">
      <c r="A12605" s="3"/>
      <c r="D12605" s="3"/>
    </row>
    <row r="12606" spans="1:4">
      <c r="A12606" s="3"/>
      <c r="D12606" s="3"/>
    </row>
    <row r="12607" spans="1:4">
      <c r="A12607" s="3"/>
      <c r="D12607" s="3"/>
    </row>
    <row r="12608" spans="1:4">
      <c r="A12608" s="3"/>
      <c r="D12608" s="3"/>
    </row>
    <row r="12609" spans="1:4">
      <c r="A12609" s="3"/>
      <c r="D12609" s="3"/>
    </row>
    <row r="12610" spans="1:4">
      <c r="A12610" s="3"/>
      <c r="D12610" s="3"/>
    </row>
    <row r="12611" spans="1:4">
      <c r="A12611" s="3"/>
      <c r="D12611" s="3"/>
    </row>
    <row r="12612" spans="1:4">
      <c r="A12612" s="3"/>
      <c r="D12612" s="3"/>
    </row>
    <row r="12613" spans="1:4">
      <c r="A12613" s="3"/>
      <c r="D12613" s="3"/>
    </row>
    <row r="12614" spans="1:4">
      <c r="A12614" s="3"/>
      <c r="D12614" s="3"/>
    </row>
    <row r="12615" spans="1:4">
      <c r="A12615" s="3"/>
      <c r="D12615" s="3"/>
    </row>
    <row r="12616" spans="1:4">
      <c r="A12616" s="3"/>
      <c r="D12616" s="3"/>
    </row>
    <row r="12617" spans="1:4">
      <c r="A12617" s="3"/>
      <c r="D12617" s="3"/>
    </row>
    <row r="12618" spans="1:4">
      <c r="A12618" s="3"/>
      <c r="D12618" s="3"/>
    </row>
    <row r="12619" spans="1:4">
      <c r="A12619" s="3"/>
      <c r="D12619" s="3"/>
    </row>
    <row r="12620" spans="1:4">
      <c r="A12620" s="3"/>
      <c r="D12620" s="3"/>
    </row>
    <row r="12621" spans="1:4">
      <c r="A12621" s="3"/>
      <c r="D12621" s="3"/>
    </row>
    <row r="12622" spans="1:4">
      <c r="A12622" s="3"/>
      <c r="D12622" s="3"/>
    </row>
    <row r="12623" spans="1:4">
      <c r="A12623" s="3"/>
      <c r="D12623" s="3"/>
    </row>
    <row r="12624" spans="1:4">
      <c r="A12624" s="3"/>
      <c r="D12624" s="3"/>
    </row>
    <row r="12625" spans="1:4">
      <c r="A12625" s="3"/>
      <c r="D12625" s="3"/>
    </row>
    <row r="12626" spans="1:4">
      <c r="A12626" s="3"/>
      <c r="D12626" s="3"/>
    </row>
    <row r="12627" spans="1:4">
      <c r="A12627" s="3"/>
      <c r="D12627" s="3"/>
    </row>
    <row r="12628" spans="1:4">
      <c r="A12628" s="3"/>
      <c r="D12628" s="3"/>
    </row>
    <row r="12629" spans="1:4">
      <c r="A12629" s="3"/>
      <c r="D12629" s="3"/>
    </row>
    <row r="12630" spans="1:4">
      <c r="A12630" s="3"/>
      <c r="D12630" s="3"/>
    </row>
    <row r="12631" spans="1:4">
      <c r="A12631" s="3"/>
      <c r="D12631" s="3"/>
    </row>
    <row r="12632" spans="1:4">
      <c r="A12632" s="3"/>
      <c r="D12632" s="3"/>
    </row>
    <row r="12633" spans="1:4">
      <c r="A12633" s="3"/>
      <c r="D12633" s="3"/>
    </row>
    <row r="12634" spans="1:4">
      <c r="A12634" s="3"/>
      <c r="D12634" s="3"/>
    </row>
    <row r="12635" spans="1:4">
      <c r="A12635" s="3"/>
      <c r="D12635" s="3"/>
    </row>
    <row r="12636" spans="1:4">
      <c r="A12636" s="3"/>
      <c r="D12636" s="3"/>
    </row>
    <row r="12637" spans="1:4">
      <c r="A12637" s="3"/>
      <c r="D12637" s="3"/>
    </row>
    <row r="12638" spans="1:4">
      <c r="A12638" s="3"/>
      <c r="D12638" s="3"/>
    </row>
    <row r="12639" spans="1:4">
      <c r="A12639" s="3"/>
      <c r="D12639" s="3"/>
    </row>
    <row r="12640" spans="1:4">
      <c r="A12640" s="3"/>
      <c r="D12640" s="3"/>
    </row>
    <row r="12641" spans="1:4">
      <c r="A12641" s="3"/>
      <c r="D12641" s="3"/>
    </row>
    <row r="12642" spans="1:4">
      <c r="A12642" s="3"/>
      <c r="D12642" s="3"/>
    </row>
    <row r="12643" spans="1:4">
      <c r="A12643" s="3"/>
      <c r="D12643" s="3"/>
    </row>
    <row r="12644" spans="1:4">
      <c r="A12644" s="3"/>
      <c r="D12644" s="3"/>
    </row>
    <row r="12645" spans="1:4">
      <c r="A12645" s="3"/>
      <c r="D12645" s="3"/>
    </row>
    <row r="12646" spans="1:4">
      <c r="A12646" s="3"/>
      <c r="D12646" s="3"/>
    </row>
    <row r="12647" spans="1:4">
      <c r="A12647" s="3"/>
      <c r="D12647" s="3"/>
    </row>
    <row r="12648" spans="1:4">
      <c r="A12648" s="3"/>
      <c r="D12648" s="3"/>
    </row>
    <row r="12649" spans="1:4">
      <c r="A12649" s="3"/>
      <c r="D12649" s="3"/>
    </row>
    <row r="12650" spans="1:4">
      <c r="A12650" s="3"/>
      <c r="D12650" s="3"/>
    </row>
    <row r="12651" spans="1:4">
      <c r="A12651" s="3"/>
      <c r="D12651" s="3"/>
    </row>
    <row r="12652" spans="1:4">
      <c r="A12652" s="3"/>
      <c r="D12652" s="3"/>
    </row>
    <row r="12653" spans="1:4">
      <c r="A12653" s="3"/>
      <c r="D12653" s="3"/>
    </row>
    <row r="12654" spans="1:4">
      <c r="A12654" s="3"/>
      <c r="D12654" s="3"/>
    </row>
    <row r="12655" spans="1:4">
      <c r="A12655" s="3"/>
      <c r="D12655" s="3"/>
    </row>
    <row r="12656" spans="1:4">
      <c r="A12656" s="3"/>
      <c r="D12656" s="3"/>
    </row>
    <row r="12657" spans="1:4">
      <c r="A12657" s="3"/>
      <c r="D12657" s="3"/>
    </row>
    <row r="12658" spans="1:4">
      <c r="A12658" s="3"/>
      <c r="D12658" s="3"/>
    </row>
    <row r="12659" spans="1:4">
      <c r="A12659" s="3"/>
      <c r="D12659" s="3"/>
    </row>
    <row r="12660" spans="1:4">
      <c r="A12660" s="3"/>
      <c r="D12660" s="3"/>
    </row>
    <row r="12661" spans="1:4">
      <c r="A12661" s="3"/>
      <c r="D12661" s="3"/>
    </row>
    <row r="12662" spans="1:4">
      <c r="A12662" s="3"/>
      <c r="D12662" s="3"/>
    </row>
    <row r="12663" spans="1:4">
      <c r="A12663" s="3"/>
      <c r="D12663" s="3"/>
    </row>
    <row r="12664" spans="1:4">
      <c r="A12664" s="3"/>
      <c r="D12664" s="3"/>
    </row>
    <row r="12665" spans="1:4">
      <c r="A12665" s="3"/>
      <c r="D12665" s="3"/>
    </row>
    <row r="12666" spans="1:4">
      <c r="A12666" s="3"/>
      <c r="D12666" s="3"/>
    </row>
    <row r="12667" spans="1:4">
      <c r="A12667" s="3"/>
      <c r="D12667" s="3"/>
    </row>
    <row r="12668" spans="1:4">
      <c r="A12668" s="3"/>
      <c r="D12668" s="3"/>
    </row>
    <row r="12669" spans="1:4">
      <c r="A12669" s="3"/>
      <c r="D12669" s="3"/>
    </row>
    <row r="12670" spans="1:4">
      <c r="A12670" s="3"/>
      <c r="D12670" s="3"/>
    </row>
    <row r="12671" spans="1:4">
      <c r="A12671" s="3"/>
      <c r="D12671" s="3"/>
    </row>
    <row r="12672" spans="1:4">
      <c r="A12672" s="3"/>
      <c r="D12672" s="3"/>
    </row>
    <row r="12673" spans="1:4">
      <c r="A12673" s="3"/>
      <c r="D12673" s="3"/>
    </row>
    <row r="12674" spans="1:4">
      <c r="A12674" s="3"/>
      <c r="D12674" s="3"/>
    </row>
    <row r="12675" spans="1:4">
      <c r="A12675" s="3"/>
      <c r="D12675" s="3"/>
    </row>
    <row r="12676" spans="1:4">
      <c r="A12676" s="3"/>
      <c r="D12676" s="3"/>
    </row>
    <row r="12677" spans="1:4">
      <c r="A12677" s="3"/>
      <c r="D12677" s="3"/>
    </row>
    <row r="12678" spans="1:4">
      <c r="A12678" s="3"/>
      <c r="D12678" s="3"/>
    </row>
    <row r="12679" spans="1:4">
      <c r="A12679" s="3"/>
      <c r="D12679" s="3"/>
    </row>
    <row r="12680" spans="1:4">
      <c r="A12680" s="3"/>
      <c r="D12680" s="3"/>
    </row>
    <row r="12681" spans="1:4">
      <c r="A12681" s="3"/>
      <c r="D12681" s="3"/>
    </row>
    <row r="12682" spans="1:4">
      <c r="A12682" s="3"/>
      <c r="D12682" s="3"/>
    </row>
    <row r="12683" spans="1:4">
      <c r="A12683" s="3"/>
      <c r="D12683" s="3"/>
    </row>
    <row r="12684" spans="1:4">
      <c r="A12684" s="3"/>
      <c r="D12684" s="3"/>
    </row>
    <row r="12685" spans="1:4">
      <c r="A12685" s="3"/>
      <c r="D12685" s="3"/>
    </row>
    <row r="12686" spans="1:4">
      <c r="A12686" s="3"/>
      <c r="D12686" s="3"/>
    </row>
    <row r="12687" spans="1:4">
      <c r="A12687" s="3"/>
      <c r="D12687" s="3"/>
    </row>
    <row r="12688" spans="1:4">
      <c r="A12688" s="3"/>
      <c r="D12688" s="3"/>
    </row>
    <row r="12689" spans="1:4">
      <c r="A12689" s="3"/>
      <c r="D12689" s="3"/>
    </row>
    <row r="12690" spans="1:4">
      <c r="A12690" s="3"/>
      <c r="D12690" s="3"/>
    </row>
    <row r="12691" spans="1:4">
      <c r="A12691" s="3"/>
      <c r="D12691" s="3"/>
    </row>
    <row r="12692" spans="1:4">
      <c r="A12692" s="3"/>
      <c r="D12692" s="3"/>
    </row>
    <row r="12693" spans="1:4">
      <c r="A12693" s="3"/>
      <c r="D12693" s="3"/>
    </row>
    <row r="12694" spans="1:4">
      <c r="A12694" s="3"/>
      <c r="D12694" s="3"/>
    </row>
    <row r="12695" spans="1:4">
      <c r="A12695" s="3"/>
      <c r="D12695" s="3"/>
    </row>
    <row r="12696" spans="1:4">
      <c r="A12696" s="3"/>
      <c r="D12696" s="3"/>
    </row>
    <row r="12697" spans="1:4">
      <c r="A12697" s="3"/>
      <c r="D12697" s="3"/>
    </row>
    <row r="12698" spans="1:4">
      <c r="A12698" s="3"/>
      <c r="D12698" s="3"/>
    </row>
    <row r="12699" spans="1:4">
      <c r="A12699" s="3"/>
      <c r="D12699" s="3"/>
    </row>
    <row r="12700" spans="1:4">
      <c r="A12700" s="3"/>
      <c r="D12700" s="3"/>
    </row>
    <row r="12701" spans="1:4">
      <c r="A12701" s="3"/>
      <c r="D12701" s="3"/>
    </row>
    <row r="12702" spans="1:4">
      <c r="A12702" s="3"/>
      <c r="D12702" s="3"/>
    </row>
    <row r="12703" spans="1:4">
      <c r="A12703" s="3"/>
      <c r="D12703" s="3"/>
    </row>
    <row r="12704" spans="1:4">
      <c r="A12704" s="3"/>
      <c r="D12704" s="3"/>
    </row>
    <row r="12705" spans="1:4">
      <c r="A12705" s="3"/>
      <c r="D12705" s="3"/>
    </row>
    <row r="12706" spans="1:4">
      <c r="A12706" s="3"/>
      <c r="D12706" s="3"/>
    </row>
    <row r="12707" spans="1:4">
      <c r="A12707" s="3"/>
      <c r="D12707" s="3"/>
    </row>
    <row r="12708" spans="1:4">
      <c r="A12708" s="3"/>
      <c r="D12708" s="3"/>
    </row>
    <row r="12709" spans="1:4">
      <c r="A12709" s="3"/>
      <c r="D12709" s="3"/>
    </row>
    <row r="12710" spans="1:4">
      <c r="A12710" s="3"/>
      <c r="D12710" s="3"/>
    </row>
    <row r="12711" spans="1:4">
      <c r="A12711" s="3"/>
      <c r="D12711" s="3"/>
    </row>
    <row r="12712" spans="1:4">
      <c r="A12712" s="3"/>
      <c r="D12712" s="3"/>
    </row>
    <row r="12713" spans="1:4">
      <c r="A12713" s="3"/>
      <c r="D12713" s="3"/>
    </row>
    <row r="12714" spans="1:4">
      <c r="A12714" s="3"/>
      <c r="D12714" s="3"/>
    </row>
    <row r="12715" spans="1:4">
      <c r="A12715" s="3"/>
      <c r="D12715" s="3"/>
    </row>
    <row r="12716" spans="1:4">
      <c r="A12716" s="3"/>
      <c r="D12716" s="3"/>
    </row>
    <row r="12717" spans="1:4">
      <c r="A12717" s="3"/>
      <c r="D12717" s="3"/>
    </row>
    <row r="12718" spans="1:4">
      <c r="A12718" s="3"/>
      <c r="D12718" s="3"/>
    </row>
    <row r="12719" spans="1:4">
      <c r="A12719" s="3"/>
      <c r="D12719" s="3"/>
    </row>
    <row r="12720" spans="1:4">
      <c r="A12720" s="3"/>
      <c r="D12720" s="3"/>
    </row>
    <row r="12721" spans="1:4">
      <c r="A12721" s="3"/>
      <c r="D12721" s="3"/>
    </row>
    <row r="12722" spans="1:4">
      <c r="A12722" s="3"/>
      <c r="D12722" s="3"/>
    </row>
    <row r="12723" spans="1:4">
      <c r="A12723" s="3"/>
      <c r="D12723" s="3"/>
    </row>
    <row r="12724" spans="1:4">
      <c r="A12724" s="3"/>
      <c r="D12724" s="3"/>
    </row>
    <row r="12725" spans="1:4">
      <c r="A12725" s="3"/>
      <c r="D12725" s="3"/>
    </row>
    <row r="12726" spans="1:4">
      <c r="A12726" s="3"/>
      <c r="D12726" s="3"/>
    </row>
    <row r="12727" spans="1:4">
      <c r="A12727" s="3"/>
      <c r="D12727" s="3"/>
    </row>
    <row r="12728" spans="1:4">
      <c r="A12728" s="3"/>
      <c r="D12728" s="3"/>
    </row>
    <row r="12729" spans="1:4">
      <c r="A12729" s="3"/>
      <c r="D12729" s="3"/>
    </row>
    <row r="12730" spans="1:4">
      <c r="A12730" s="3"/>
      <c r="D12730" s="3"/>
    </row>
    <row r="12731" spans="1:4">
      <c r="A12731" s="3"/>
      <c r="D12731" s="3"/>
    </row>
    <row r="12732" spans="1:4">
      <c r="A12732" s="3"/>
      <c r="D12732" s="3"/>
    </row>
    <row r="12733" spans="1:4">
      <c r="A12733" s="3"/>
      <c r="D12733" s="3"/>
    </row>
    <row r="12734" spans="1:4">
      <c r="A12734" s="3"/>
      <c r="D12734" s="3"/>
    </row>
    <row r="12735" spans="1:4">
      <c r="A12735" s="3"/>
      <c r="D12735" s="3"/>
    </row>
    <row r="12736" spans="1:4">
      <c r="A12736" s="3"/>
      <c r="D12736" s="3"/>
    </row>
    <row r="12737" spans="1:4">
      <c r="A12737" s="3"/>
      <c r="D12737" s="3"/>
    </row>
    <row r="12738" spans="1:4">
      <c r="A12738" s="3"/>
      <c r="D12738" s="3"/>
    </row>
    <row r="12739" spans="1:4">
      <c r="A12739" s="3"/>
      <c r="D12739" s="3"/>
    </row>
    <row r="12740" spans="1:4">
      <c r="A12740" s="3"/>
      <c r="D12740" s="3"/>
    </row>
    <row r="12741" spans="1:4">
      <c r="A12741" s="3"/>
      <c r="D12741" s="3"/>
    </row>
    <row r="12742" spans="1:4">
      <c r="A12742" s="3"/>
      <c r="D12742" s="3"/>
    </row>
    <row r="12743" spans="1:4">
      <c r="A12743" s="3"/>
      <c r="D12743" s="3"/>
    </row>
    <row r="12744" spans="1:4">
      <c r="A12744" s="3"/>
      <c r="D12744" s="3"/>
    </row>
    <row r="12745" spans="1:4">
      <c r="A12745" s="3"/>
      <c r="D12745" s="3"/>
    </row>
    <row r="12746" spans="1:4">
      <c r="A12746" s="3"/>
      <c r="D12746" s="3"/>
    </row>
    <row r="12747" spans="1:4">
      <c r="A12747" s="3"/>
      <c r="D12747" s="3"/>
    </row>
    <row r="12748" spans="1:4">
      <c r="A12748" s="3"/>
      <c r="D12748" s="3"/>
    </row>
    <row r="12749" spans="1:4">
      <c r="A12749" s="3"/>
      <c r="D12749" s="3"/>
    </row>
    <row r="12750" spans="1:4">
      <c r="A12750" s="3"/>
      <c r="D12750" s="3"/>
    </row>
    <row r="12751" spans="1:4">
      <c r="A12751" s="3"/>
      <c r="D12751" s="3"/>
    </row>
    <row r="12752" spans="1:4">
      <c r="A12752" s="3"/>
      <c r="D12752" s="3"/>
    </row>
    <row r="12753" spans="1:4">
      <c r="A12753" s="3"/>
      <c r="D12753" s="3"/>
    </row>
    <row r="12754" spans="1:4">
      <c r="A12754" s="3"/>
      <c r="D12754" s="3"/>
    </row>
    <row r="12755" spans="1:4">
      <c r="A12755" s="3"/>
      <c r="D12755" s="3"/>
    </row>
    <row r="12756" spans="1:4">
      <c r="A12756" s="3"/>
      <c r="D12756" s="3"/>
    </row>
    <row r="12757" spans="1:4">
      <c r="A12757" s="3"/>
      <c r="D12757" s="3"/>
    </row>
    <row r="12758" spans="1:4">
      <c r="A12758" s="3"/>
      <c r="D12758" s="3"/>
    </row>
    <row r="12759" spans="1:4">
      <c r="A12759" s="3"/>
      <c r="D12759" s="3"/>
    </row>
    <row r="12760" spans="1:4">
      <c r="A12760" s="3"/>
      <c r="D12760" s="3"/>
    </row>
    <row r="12761" spans="1:4">
      <c r="A12761" s="3"/>
      <c r="D12761" s="3"/>
    </row>
    <row r="12762" spans="1:4">
      <c r="A12762" s="3"/>
      <c r="D12762" s="3"/>
    </row>
    <row r="12763" spans="1:4">
      <c r="A12763" s="3"/>
      <c r="D12763" s="3"/>
    </row>
    <row r="12764" spans="1:4">
      <c r="A12764" s="3"/>
      <c r="D12764" s="3"/>
    </row>
    <row r="12765" spans="1:4">
      <c r="A12765" s="3"/>
      <c r="D12765" s="3"/>
    </row>
    <row r="12766" spans="1:4">
      <c r="A12766" s="3"/>
      <c r="D12766" s="3"/>
    </row>
    <row r="12767" spans="1:4">
      <c r="A12767" s="3"/>
      <c r="D12767" s="3"/>
    </row>
    <row r="12768" spans="1:4">
      <c r="A12768" s="3"/>
      <c r="D12768" s="3"/>
    </row>
    <row r="12769" spans="1:4">
      <c r="A12769" s="3"/>
      <c r="D12769" s="3"/>
    </row>
    <row r="12770" spans="1:4">
      <c r="A12770" s="3"/>
      <c r="D12770" s="3"/>
    </row>
    <row r="12771" spans="1:4">
      <c r="A12771" s="3"/>
      <c r="D12771" s="3"/>
    </row>
    <row r="12772" spans="1:4">
      <c r="A12772" s="3"/>
      <c r="D12772" s="3"/>
    </row>
    <row r="12773" spans="1:4">
      <c r="A12773" s="3"/>
      <c r="D12773" s="3"/>
    </row>
    <row r="12774" spans="1:4">
      <c r="A12774" s="3"/>
      <c r="D12774" s="3"/>
    </row>
    <row r="12775" spans="1:4">
      <c r="A12775" s="3"/>
      <c r="D12775" s="3"/>
    </row>
    <row r="12776" spans="1:4">
      <c r="A12776" s="3"/>
      <c r="D12776" s="3"/>
    </row>
    <row r="12777" spans="1:4">
      <c r="A12777" s="3"/>
      <c r="D12777" s="3"/>
    </row>
    <row r="12778" spans="1:4">
      <c r="A12778" s="3"/>
      <c r="D12778" s="3"/>
    </row>
    <row r="12779" spans="1:4">
      <c r="A12779" s="3"/>
      <c r="D12779" s="3"/>
    </row>
    <row r="12780" spans="1:4">
      <c r="A12780" s="3"/>
      <c r="D12780" s="3"/>
    </row>
    <row r="12781" spans="1:4">
      <c r="A12781" s="3"/>
      <c r="D12781" s="3"/>
    </row>
    <row r="12782" spans="1:4">
      <c r="A12782" s="3"/>
      <c r="D12782" s="3"/>
    </row>
    <row r="12783" spans="1:4">
      <c r="A12783" s="3"/>
      <c r="D12783" s="3"/>
    </row>
    <row r="12784" spans="1:4">
      <c r="A12784" s="3"/>
      <c r="D12784" s="3"/>
    </row>
    <row r="12785" spans="1:4">
      <c r="A12785" s="3"/>
      <c r="D12785" s="3"/>
    </row>
    <row r="12786" spans="1:4">
      <c r="A12786" s="3"/>
      <c r="D12786" s="3"/>
    </row>
    <row r="12787" spans="1:4">
      <c r="A12787" s="3"/>
      <c r="D12787" s="3"/>
    </row>
    <row r="12788" spans="1:4">
      <c r="A12788" s="3"/>
      <c r="D12788" s="3"/>
    </row>
    <row r="12789" spans="1:4">
      <c r="A12789" s="3"/>
      <c r="D12789" s="3"/>
    </row>
    <row r="12790" spans="1:4">
      <c r="A12790" s="3"/>
      <c r="D12790" s="3"/>
    </row>
    <row r="12791" spans="1:4">
      <c r="A12791" s="3"/>
      <c r="D12791" s="3"/>
    </row>
    <row r="12792" spans="1:4">
      <c r="A12792" s="3"/>
      <c r="D12792" s="3"/>
    </row>
    <row r="12793" spans="1:4">
      <c r="A12793" s="3"/>
      <c r="D12793" s="3"/>
    </row>
    <row r="12794" spans="1:4">
      <c r="A12794" s="3"/>
      <c r="D12794" s="3"/>
    </row>
    <row r="12795" spans="1:4">
      <c r="A12795" s="3"/>
      <c r="D12795" s="3"/>
    </row>
    <row r="12796" spans="1:4">
      <c r="A12796" s="3"/>
      <c r="D12796" s="3"/>
    </row>
    <row r="12797" spans="1:4">
      <c r="A12797" s="3"/>
      <c r="D12797" s="3"/>
    </row>
    <row r="12798" spans="1:4">
      <c r="A12798" s="3"/>
      <c r="D12798" s="3"/>
    </row>
    <row r="12799" spans="1:4">
      <c r="A12799" s="3"/>
      <c r="D12799" s="3"/>
    </row>
    <row r="12800" spans="1:4">
      <c r="A12800" s="3"/>
      <c r="D12800" s="3"/>
    </row>
    <row r="12801" spans="1:4">
      <c r="A12801" s="3"/>
      <c r="D12801" s="3"/>
    </row>
    <row r="12802" spans="1:4">
      <c r="A12802" s="3"/>
      <c r="D12802" s="3"/>
    </row>
    <row r="12803" spans="1:4">
      <c r="A12803" s="3"/>
      <c r="D12803" s="3"/>
    </row>
    <row r="12804" spans="1:4">
      <c r="A12804" s="3"/>
      <c r="D12804" s="3"/>
    </row>
    <row r="12805" spans="1:4">
      <c r="A12805" s="3"/>
      <c r="D12805" s="3"/>
    </row>
    <row r="12806" spans="1:4">
      <c r="A12806" s="3"/>
      <c r="D12806" s="3"/>
    </row>
    <row r="12807" spans="1:4">
      <c r="A12807" s="3"/>
      <c r="D12807" s="3"/>
    </row>
    <row r="12808" spans="1:4">
      <c r="A12808" s="3"/>
      <c r="D12808" s="3"/>
    </row>
    <row r="12809" spans="1:4">
      <c r="A12809" s="3"/>
      <c r="D12809" s="3"/>
    </row>
    <row r="12810" spans="1:4">
      <c r="A12810" s="3"/>
      <c r="D12810" s="3"/>
    </row>
    <row r="12811" spans="1:4">
      <c r="A12811" s="3"/>
      <c r="D12811" s="3"/>
    </row>
    <row r="12812" spans="1:4">
      <c r="A12812" s="3"/>
      <c r="D12812" s="3"/>
    </row>
    <row r="12813" spans="1:4">
      <c r="A12813" s="3"/>
      <c r="D12813" s="3"/>
    </row>
    <row r="12814" spans="1:4">
      <c r="A12814" s="3"/>
      <c r="D12814" s="3"/>
    </row>
    <row r="12815" spans="1:4">
      <c r="A12815" s="3"/>
      <c r="D12815" s="3"/>
    </row>
    <row r="12816" spans="1:4">
      <c r="A12816" s="3"/>
      <c r="D12816" s="3"/>
    </row>
    <row r="12817" spans="1:4">
      <c r="A12817" s="3"/>
      <c r="D12817" s="3"/>
    </row>
    <row r="12818" spans="1:4">
      <c r="A12818" s="3"/>
      <c r="D12818" s="3"/>
    </row>
    <row r="12819" spans="1:4">
      <c r="A12819" s="3"/>
      <c r="D12819" s="3"/>
    </row>
    <row r="12820" spans="1:4">
      <c r="A12820" s="3"/>
      <c r="D12820" s="3"/>
    </row>
    <row r="12821" spans="1:4">
      <c r="A12821" s="3"/>
      <c r="D12821" s="3"/>
    </row>
    <row r="12822" spans="1:4">
      <c r="A12822" s="3"/>
      <c r="D12822" s="3"/>
    </row>
    <row r="12823" spans="1:4">
      <c r="A12823" s="3"/>
      <c r="D12823" s="3"/>
    </row>
    <row r="12824" spans="1:4">
      <c r="A12824" s="3"/>
      <c r="D12824" s="3"/>
    </row>
    <row r="12825" spans="1:4">
      <c r="A12825" s="3"/>
      <c r="D12825" s="3"/>
    </row>
    <row r="12826" spans="1:4">
      <c r="A12826" s="3"/>
      <c r="D12826" s="3"/>
    </row>
    <row r="12827" spans="1:4">
      <c r="A12827" s="3"/>
      <c r="D12827" s="3"/>
    </row>
    <row r="12828" spans="1:4">
      <c r="A12828" s="3"/>
      <c r="D12828" s="3"/>
    </row>
    <row r="12829" spans="1:4">
      <c r="A12829" s="3"/>
      <c r="D12829" s="3"/>
    </row>
    <row r="12830" spans="1:4">
      <c r="A12830" s="3"/>
      <c r="D12830" s="3"/>
    </row>
    <row r="12831" spans="1:4">
      <c r="A12831" s="3"/>
      <c r="D12831" s="3"/>
    </row>
    <row r="12832" spans="1:4">
      <c r="A12832" s="3"/>
      <c r="D12832" s="3"/>
    </row>
    <row r="12833" spans="1:4">
      <c r="A12833" s="3"/>
      <c r="D12833" s="3"/>
    </row>
    <row r="12834" spans="1:4">
      <c r="A12834" s="3"/>
      <c r="D12834" s="3"/>
    </row>
    <row r="12835" spans="1:4">
      <c r="A12835" s="3"/>
      <c r="D12835" s="3"/>
    </row>
    <row r="12836" spans="1:4">
      <c r="A12836" s="3"/>
      <c r="D12836" s="3"/>
    </row>
    <row r="12837" spans="1:4">
      <c r="A12837" s="3"/>
      <c r="D12837" s="3"/>
    </row>
    <row r="12838" spans="1:4">
      <c r="A12838" s="3"/>
      <c r="D12838" s="3"/>
    </row>
    <row r="12839" spans="1:4">
      <c r="A12839" s="3"/>
      <c r="D12839" s="3"/>
    </row>
    <row r="12840" spans="1:4">
      <c r="A12840" s="3"/>
      <c r="D12840" s="3"/>
    </row>
    <row r="12841" spans="1:4">
      <c r="A12841" s="3"/>
      <c r="D12841" s="3"/>
    </row>
    <row r="12842" spans="1:4">
      <c r="A12842" s="3"/>
      <c r="D12842" s="3"/>
    </row>
    <row r="12843" spans="1:4">
      <c r="A12843" s="3"/>
      <c r="D12843" s="3"/>
    </row>
    <row r="12844" spans="1:4">
      <c r="A12844" s="3"/>
      <c r="D12844" s="3"/>
    </row>
    <row r="12845" spans="1:4">
      <c r="A12845" s="3"/>
      <c r="D12845" s="3"/>
    </row>
    <row r="12846" spans="1:4">
      <c r="A12846" s="3"/>
      <c r="D12846" s="3"/>
    </row>
    <row r="12847" spans="1:4">
      <c r="A12847" s="3"/>
      <c r="D12847" s="3"/>
    </row>
    <row r="12848" spans="1:4">
      <c r="A12848" s="3"/>
      <c r="D12848" s="3"/>
    </row>
    <row r="12849" spans="1:4">
      <c r="A12849" s="3"/>
      <c r="D12849" s="3"/>
    </row>
    <row r="12850" spans="1:4">
      <c r="A12850" s="3"/>
      <c r="D12850" s="3"/>
    </row>
    <row r="12851" spans="1:4">
      <c r="A12851" s="3"/>
      <c r="D12851" s="3"/>
    </row>
    <row r="12852" spans="1:4">
      <c r="A12852" s="3"/>
      <c r="D12852" s="3"/>
    </row>
    <row r="12853" spans="1:4">
      <c r="A12853" s="3"/>
      <c r="D12853" s="3"/>
    </row>
    <row r="12854" spans="1:4">
      <c r="A12854" s="3"/>
      <c r="D12854" s="3"/>
    </row>
    <row r="12855" spans="1:4">
      <c r="A12855" s="3"/>
      <c r="D12855" s="3"/>
    </row>
    <row r="12856" spans="1:4">
      <c r="A12856" s="3"/>
      <c r="D12856" s="3"/>
    </row>
    <row r="12857" spans="1:4">
      <c r="A12857" s="3"/>
      <c r="D12857" s="3"/>
    </row>
    <row r="12858" spans="1:4">
      <c r="A12858" s="3"/>
      <c r="D12858" s="3"/>
    </row>
    <row r="12859" spans="1:4">
      <c r="A12859" s="3"/>
      <c r="D12859" s="3"/>
    </row>
    <row r="12860" spans="1:4">
      <c r="A12860" s="3"/>
      <c r="D12860" s="3"/>
    </row>
    <row r="12861" spans="1:4">
      <c r="A12861" s="3"/>
      <c r="D12861" s="3"/>
    </row>
    <row r="12862" spans="1:4">
      <c r="A12862" s="3"/>
      <c r="D12862" s="3"/>
    </row>
    <row r="12863" spans="1:4">
      <c r="A12863" s="3"/>
      <c r="D12863" s="3"/>
    </row>
    <row r="12864" spans="1:4">
      <c r="A12864" s="3"/>
      <c r="D12864" s="3"/>
    </row>
    <row r="12865" spans="1:4">
      <c r="A12865" s="3"/>
      <c r="D12865" s="3"/>
    </row>
    <row r="12866" spans="1:4">
      <c r="A12866" s="3"/>
      <c r="D12866" s="3"/>
    </row>
    <row r="12867" spans="1:4">
      <c r="A12867" s="3"/>
      <c r="D12867" s="3"/>
    </row>
    <row r="12868" spans="1:4">
      <c r="A12868" s="3"/>
      <c r="D12868" s="3"/>
    </row>
    <row r="12869" spans="1:4">
      <c r="A12869" s="3"/>
      <c r="D12869" s="3"/>
    </row>
    <row r="12870" spans="1:4">
      <c r="A12870" s="3"/>
      <c r="D12870" s="3"/>
    </row>
    <row r="12871" spans="1:4">
      <c r="A12871" s="3"/>
      <c r="D12871" s="3"/>
    </row>
    <row r="12872" spans="1:4">
      <c r="A12872" s="3"/>
      <c r="D12872" s="3"/>
    </row>
    <row r="12873" spans="1:4">
      <c r="A12873" s="3"/>
      <c r="D12873" s="3"/>
    </row>
    <row r="12874" spans="1:4">
      <c r="A12874" s="3"/>
      <c r="D12874" s="3"/>
    </row>
    <row r="12875" spans="1:4">
      <c r="A12875" s="3"/>
      <c r="D12875" s="3"/>
    </row>
    <row r="12876" spans="1:4">
      <c r="A12876" s="3"/>
      <c r="D12876" s="3"/>
    </row>
    <row r="12877" spans="1:4">
      <c r="A12877" s="3"/>
      <c r="D12877" s="3"/>
    </row>
    <row r="12878" spans="1:4">
      <c r="A12878" s="3"/>
      <c r="D12878" s="3"/>
    </row>
    <row r="12879" spans="1:4">
      <c r="A12879" s="3"/>
      <c r="D12879" s="3"/>
    </row>
    <row r="12880" spans="1:4">
      <c r="A12880" s="3"/>
      <c r="D12880" s="3"/>
    </row>
    <row r="12881" spans="1:4">
      <c r="A12881" s="3"/>
      <c r="D12881" s="3"/>
    </row>
    <row r="12882" spans="1:4">
      <c r="A12882" s="3"/>
      <c r="D12882" s="3"/>
    </row>
    <row r="12883" spans="1:4">
      <c r="A12883" s="3"/>
      <c r="D12883" s="3"/>
    </row>
    <row r="12884" spans="1:4">
      <c r="A12884" s="3"/>
      <c r="D12884" s="3"/>
    </row>
    <row r="12885" spans="1:4">
      <c r="A12885" s="3"/>
      <c r="D12885" s="3"/>
    </row>
    <row r="12886" spans="1:4">
      <c r="A12886" s="3"/>
      <c r="D12886" s="3"/>
    </row>
    <row r="12887" spans="1:4">
      <c r="A12887" s="3"/>
      <c r="D12887" s="3"/>
    </row>
    <row r="12888" spans="1:4">
      <c r="A12888" s="3"/>
      <c r="D12888" s="3"/>
    </row>
    <row r="12889" spans="1:4">
      <c r="A12889" s="3"/>
      <c r="D12889" s="3"/>
    </row>
    <row r="12890" spans="1:4">
      <c r="A12890" s="3"/>
      <c r="D12890" s="3"/>
    </row>
    <row r="12891" spans="1:4">
      <c r="A12891" s="3"/>
      <c r="D12891" s="3"/>
    </row>
    <row r="12892" spans="1:4">
      <c r="A12892" s="3"/>
      <c r="D12892" s="3"/>
    </row>
    <row r="12893" spans="1:4">
      <c r="A12893" s="3"/>
      <c r="D12893" s="3"/>
    </row>
    <row r="12894" spans="1:4">
      <c r="A12894" s="3"/>
      <c r="D12894" s="3"/>
    </row>
    <row r="12895" spans="1:4">
      <c r="A12895" s="3"/>
      <c r="D12895" s="3"/>
    </row>
    <row r="12896" spans="1:4">
      <c r="A12896" s="3"/>
      <c r="D12896" s="3"/>
    </row>
    <row r="12897" spans="1:4">
      <c r="A12897" s="3"/>
      <c r="D12897" s="3"/>
    </row>
    <row r="12898" spans="1:4">
      <c r="A12898" s="3"/>
      <c r="D12898" s="3"/>
    </row>
    <row r="12899" spans="1:4">
      <c r="A12899" s="3"/>
      <c r="D12899" s="3"/>
    </row>
    <row r="12900" spans="1:4">
      <c r="A12900" s="3"/>
      <c r="D12900" s="3"/>
    </row>
    <row r="12901" spans="1:4">
      <c r="A12901" s="3"/>
      <c r="D12901" s="3"/>
    </row>
    <row r="12902" spans="1:4">
      <c r="A12902" s="3"/>
      <c r="D12902" s="3"/>
    </row>
    <row r="12903" spans="1:4">
      <c r="A12903" s="3"/>
      <c r="D12903" s="3"/>
    </row>
    <row r="12904" spans="1:4">
      <c r="A12904" s="3"/>
      <c r="D12904" s="3"/>
    </row>
    <row r="12905" spans="1:4">
      <c r="A12905" s="3"/>
      <c r="D12905" s="3"/>
    </row>
    <row r="12906" spans="1:4">
      <c r="A12906" s="3"/>
      <c r="D12906" s="3"/>
    </row>
    <row r="12907" spans="1:4">
      <c r="A12907" s="3"/>
      <c r="D12907" s="3"/>
    </row>
    <row r="12908" spans="1:4">
      <c r="A12908" s="3"/>
      <c r="D12908" s="3"/>
    </row>
    <row r="12909" spans="1:4">
      <c r="A12909" s="3"/>
      <c r="D12909" s="3"/>
    </row>
    <row r="12910" spans="1:4">
      <c r="A12910" s="3"/>
      <c r="D12910" s="3"/>
    </row>
    <row r="12911" spans="1:4">
      <c r="A12911" s="3"/>
      <c r="D12911" s="3"/>
    </row>
    <row r="12912" spans="1:4">
      <c r="A12912" s="3"/>
      <c r="D12912" s="3"/>
    </row>
    <row r="12913" spans="1:4">
      <c r="A12913" s="3"/>
      <c r="D12913" s="3"/>
    </row>
    <row r="12914" spans="1:4">
      <c r="A12914" s="3"/>
      <c r="D12914" s="3"/>
    </row>
    <row r="12915" spans="1:4">
      <c r="A12915" s="3"/>
      <c r="D12915" s="3"/>
    </row>
    <row r="12916" spans="1:4">
      <c r="A12916" s="3"/>
      <c r="D12916" s="3"/>
    </row>
    <row r="12917" spans="1:4">
      <c r="A12917" s="3"/>
      <c r="D12917" s="3"/>
    </row>
    <row r="12918" spans="1:4">
      <c r="A12918" s="3"/>
      <c r="D12918" s="3"/>
    </row>
    <row r="12919" spans="1:4">
      <c r="A12919" s="3"/>
      <c r="D12919" s="3"/>
    </row>
    <row r="12920" spans="1:4">
      <c r="A12920" s="3"/>
      <c r="D12920" s="3"/>
    </row>
    <row r="12921" spans="1:4">
      <c r="A12921" s="3"/>
      <c r="D12921" s="3"/>
    </row>
    <row r="12922" spans="1:4">
      <c r="A12922" s="3"/>
      <c r="D12922" s="3"/>
    </row>
    <row r="12923" spans="1:4">
      <c r="A12923" s="3"/>
      <c r="D12923" s="3"/>
    </row>
    <row r="12924" spans="1:4">
      <c r="A12924" s="3"/>
      <c r="D12924" s="3"/>
    </row>
    <row r="12925" spans="1:4">
      <c r="A12925" s="3"/>
      <c r="D12925" s="3"/>
    </row>
    <row r="12926" spans="1:4">
      <c r="A12926" s="3"/>
      <c r="D12926" s="3"/>
    </row>
    <row r="12927" spans="1:4">
      <c r="A12927" s="3"/>
      <c r="D12927" s="3"/>
    </row>
    <row r="12928" spans="1:4">
      <c r="A12928" s="3"/>
      <c r="D12928" s="3"/>
    </row>
    <row r="12929" spans="1:4">
      <c r="A12929" s="3"/>
      <c r="D12929" s="3"/>
    </row>
    <row r="12930" spans="1:4">
      <c r="A12930" s="3"/>
      <c r="D12930" s="3"/>
    </row>
    <row r="12931" spans="1:4">
      <c r="A12931" s="3"/>
      <c r="D12931" s="3"/>
    </row>
    <row r="12932" spans="1:4">
      <c r="A12932" s="3"/>
      <c r="D12932" s="3"/>
    </row>
    <row r="12933" spans="1:4">
      <c r="A12933" s="3"/>
      <c r="D12933" s="3"/>
    </row>
    <row r="12934" spans="1:4">
      <c r="A12934" s="3"/>
      <c r="D12934" s="3"/>
    </row>
    <row r="12935" spans="1:4">
      <c r="A12935" s="3"/>
      <c r="D12935" s="3"/>
    </row>
    <row r="12936" spans="1:4">
      <c r="A12936" s="3"/>
      <c r="D12936" s="3"/>
    </row>
    <row r="12937" spans="1:4">
      <c r="A12937" s="3"/>
      <c r="D12937" s="3"/>
    </row>
    <row r="12938" spans="1:4">
      <c r="A12938" s="3"/>
      <c r="D12938" s="3"/>
    </row>
    <row r="12939" spans="1:4">
      <c r="A12939" s="3"/>
      <c r="D12939" s="3"/>
    </row>
    <row r="12940" spans="1:4">
      <c r="A12940" s="3"/>
      <c r="D12940" s="3"/>
    </row>
    <row r="12941" spans="1:4">
      <c r="A12941" s="3"/>
      <c r="D12941" s="3"/>
    </row>
    <row r="12942" spans="1:4">
      <c r="A12942" s="3"/>
      <c r="D12942" s="3"/>
    </row>
    <row r="12943" spans="1:4">
      <c r="A12943" s="3"/>
      <c r="D12943" s="3"/>
    </row>
    <row r="12944" spans="1:4">
      <c r="A12944" s="3"/>
      <c r="D12944" s="3"/>
    </row>
    <row r="12945" spans="1:4">
      <c r="A12945" s="3"/>
      <c r="D12945" s="3"/>
    </row>
    <row r="12946" spans="1:4">
      <c r="A12946" s="3"/>
      <c r="D12946" s="3"/>
    </row>
    <row r="12947" spans="1:4">
      <c r="A12947" s="3"/>
      <c r="D12947" s="3"/>
    </row>
    <row r="12948" spans="1:4">
      <c r="A12948" s="3"/>
      <c r="D12948" s="3"/>
    </row>
    <row r="12949" spans="1:4">
      <c r="A12949" s="3"/>
      <c r="D12949" s="3"/>
    </row>
    <row r="12950" spans="1:4">
      <c r="A12950" s="3"/>
      <c r="D12950" s="3"/>
    </row>
    <row r="12951" spans="1:4">
      <c r="A12951" s="3"/>
      <c r="D12951" s="3"/>
    </row>
    <row r="12952" spans="1:4">
      <c r="A12952" s="3"/>
      <c r="D12952" s="3"/>
    </row>
    <row r="12953" spans="1:4">
      <c r="A12953" s="3"/>
      <c r="D12953" s="3"/>
    </row>
    <row r="12954" spans="1:4">
      <c r="A12954" s="3"/>
      <c r="D12954" s="3"/>
    </row>
    <row r="12955" spans="1:4">
      <c r="A12955" s="3"/>
      <c r="D12955" s="3"/>
    </row>
    <row r="12956" spans="1:4">
      <c r="A12956" s="3"/>
      <c r="D12956" s="3"/>
    </row>
    <row r="12957" spans="1:4">
      <c r="A12957" s="3"/>
      <c r="D12957" s="3"/>
    </row>
    <row r="12958" spans="1:4">
      <c r="A12958" s="3"/>
      <c r="D12958" s="3"/>
    </row>
    <row r="12959" spans="1:4">
      <c r="A12959" s="3"/>
      <c r="D12959" s="3"/>
    </row>
    <row r="12960" spans="1:4">
      <c r="A12960" s="3"/>
      <c r="D12960" s="3"/>
    </row>
    <row r="12961" spans="1:4">
      <c r="A12961" s="3"/>
      <c r="D12961" s="3"/>
    </row>
    <row r="12962" spans="1:4">
      <c r="A12962" s="3"/>
      <c r="D12962" s="3"/>
    </row>
    <row r="12963" spans="1:4">
      <c r="A12963" s="3"/>
      <c r="D12963" s="3"/>
    </row>
    <row r="12964" spans="1:4">
      <c r="A12964" s="3"/>
      <c r="D12964" s="3"/>
    </row>
    <row r="12965" spans="1:4">
      <c r="A12965" s="3"/>
      <c r="D12965" s="3"/>
    </row>
    <row r="12966" spans="1:4">
      <c r="A12966" s="3"/>
      <c r="D12966" s="3"/>
    </row>
    <row r="12967" spans="1:4">
      <c r="A12967" s="3"/>
      <c r="D12967" s="3"/>
    </row>
    <row r="12968" spans="1:4">
      <c r="A12968" s="3"/>
      <c r="D12968" s="3"/>
    </row>
    <row r="12969" spans="1:4">
      <c r="A12969" s="3"/>
      <c r="D12969" s="3"/>
    </row>
    <row r="12970" spans="1:4">
      <c r="A12970" s="3"/>
      <c r="D12970" s="3"/>
    </row>
    <row r="12971" spans="1:4">
      <c r="A12971" s="3"/>
      <c r="D12971" s="3"/>
    </row>
    <row r="12972" spans="1:4">
      <c r="A12972" s="3"/>
      <c r="D12972" s="3"/>
    </row>
    <row r="12973" spans="1:4">
      <c r="A12973" s="3"/>
      <c r="D12973" s="3"/>
    </row>
    <row r="12974" spans="1:4">
      <c r="A12974" s="3"/>
      <c r="D12974" s="3"/>
    </row>
    <row r="12975" spans="1:4">
      <c r="A12975" s="3"/>
      <c r="D12975" s="3"/>
    </row>
    <row r="12976" spans="1:4">
      <c r="A12976" s="3"/>
      <c r="D12976" s="3"/>
    </row>
    <row r="12977" spans="1:4">
      <c r="A12977" s="3"/>
      <c r="D12977" s="3"/>
    </row>
    <row r="12978" spans="1:4">
      <c r="A12978" s="3"/>
      <c r="D12978" s="3"/>
    </row>
    <row r="12979" spans="1:4">
      <c r="A12979" s="3"/>
      <c r="D12979" s="3"/>
    </row>
    <row r="12980" spans="1:4">
      <c r="A12980" s="3"/>
      <c r="D12980" s="3"/>
    </row>
    <row r="12981" spans="1:4">
      <c r="A12981" s="3"/>
      <c r="D12981" s="3"/>
    </row>
    <row r="12982" spans="1:4">
      <c r="A12982" s="3"/>
      <c r="D12982" s="3"/>
    </row>
    <row r="12983" spans="1:4">
      <c r="A12983" s="3"/>
      <c r="D12983" s="3"/>
    </row>
    <row r="12984" spans="1:4">
      <c r="A12984" s="3"/>
      <c r="D12984" s="3"/>
    </row>
    <row r="12985" spans="1:4">
      <c r="A12985" s="3"/>
      <c r="D12985" s="3"/>
    </row>
    <row r="12986" spans="1:4">
      <c r="A12986" s="3"/>
      <c r="D12986" s="3"/>
    </row>
    <row r="12987" spans="1:4">
      <c r="A12987" s="3"/>
      <c r="D12987" s="3"/>
    </row>
    <row r="12988" spans="1:4">
      <c r="A12988" s="3"/>
      <c r="D12988" s="3"/>
    </row>
    <row r="12989" spans="1:4">
      <c r="A12989" s="3"/>
      <c r="D12989" s="3"/>
    </row>
    <row r="12990" spans="1:4">
      <c r="A12990" s="3"/>
      <c r="D12990" s="3"/>
    </row>
    <row r="12991" spans="1:4">
      <c r="A12991" s="3"/>
      <c r="D12991" s="3"/>
    </row>
    <row r="12992" spans="1:4">
      <c r="A12992" s="3"/>
      <c r="D12992" s="3"/>
    </row>
    <row r="12993" spans="1:4">
      <c r="A12993" s="3"/>
      <c r="D12993" s="3"/>
    </row>
    <row r="12994" spans="1:4">
      <c r="A12994" s="3"/>
      <c r="D12994" s="3"/>
    </row>
    <row r="12995" spans="1:4">
      <c r="A12995" s="3"/>
      <c r="D12995" s="3"/>
    </row>
    <row r="12996" spans="1:4">
      <c r="A12996" s="3"/>
      <c r="D12996" s="3"/>
    </row>
    <row r="12997" spans="1:4">
      <c r="A12997" s="3"/>
      <c r="D12997" s="3"/>
    </row>
    <row r="12998" spans="1:4">
      <c r="A12998" s="3"/>
      <c r="D12998" s="3"/>
    </row>
    <row r="12999" spans="1:4">
      <c r="A12999" s="3"/>
      <c r="D12999" s="3"/>
    </row>
    <row r="13000" spans="1:4">
      <c r="A13000" s="3"/>
      <c r="D13000" s="3"/>
    </row>
    <row r="13001" spans="1:4">
      <c r="A13001" s="3"/>
      <c r="D13001" s="3"/>
    </row>
    <row r="13002" spans="1:4">
      <c r="A13002" s="3"/>
      <c r="D13002" s="3"/>
    </row>
    <row r="13003" spans="1:4">
      <c r="A13003" s="3"/>
      <c r="D13003" s="3"/>
    </row>
    <row r="13004" spans="1:4">
      <c r="A13004" s="3"/>
      <c r="D13004" s="3"/>
    </row>
    <row r="13005" spans="1:4">
      <c r="A13005" s="3"/>
      <c r="D13005" s="3"/>
    </row>
    <row r="13006" spans="1:4">
      <c r="A13006" s="3"/>
      <c r="D13006" s="3"/>
    </row>
    <row r="13007" spans="1:4">
      <c r="A13007" s="3"/>
      <c r="D13007" s="3"/>
    </row>
    <row r="13008" spans="1:4">
      <c r="A13008" s="3"/>
      <c r="D13008" s="3"/>
    </row>
    <row r="13009" spans="1:4">
      <c r="A13009" s="3"/>
      <c r="D13009" s="3"/>
    </row>
    <row r="13010" spans="1:4">
      <c r="A13010" s="3"/>
      <c r="D13010" s="3"/>
    </row>
    <row r="13011" spans="1:4">
      <c r="A13011" s="3"/>
      <c r="D13011" s="3"/>
    </row>
    <row r="13012" spans="1:4">
      <c r="A13012" s="3"/>
      <c r="D13012" s="3"/>
    </row>
    <row r="13013" spans="1:4">
      <c r="A13013" s="3"/>
      <c r="D13013" s="3"/>
    </row>
    <row r="13014" spans="1:4">
      <c r="A13014" s="3"/>
      <c r="D13014" s="3"/>
    </row>
    <row r="13015" spans="1:4">
      <c r="A13015" s="3"/>
      <c r="D13015" s="3"/>
    </row>
    <row r="13016" spans="1:4">
      <c r="A13016" s="3"/>
      <c r="D13016" s="3"/>
    </row>
    <row r="13017" spans="1:4">
      <c r="A13017" s="3"/>
      <c r="D13017" s="3"/>
    </row>
    <row r="13018" spans="1:4">
      <c r="A13018" s="3"/>
      <c r="D13018" s="3"/>
    </row>
    <row r="13019" spans="1:4">
      <c r="A13019" s="3"/>
      <c r="D13019" s="3"/>
    </row>
    <row r="13020" spans="1:4">
      <c r="A13020" s="3"/>
      <c r="D13020" s="3"/>
    </row>
    <row r="13021" spans="1:4">
      <c r="A13021" s="3"/>
      <c r="D13021" s="3"/>
    </row>
    <row r="13022" spans="1:4">
      <c r="A13022" s="3"/>
      <c r="D13022" s="3"/>
    </row>
    <row r="13023" spans="1:4">
      <c r="A13023" s="3"/>
      <c r="D13023" s="3"/>
    </row>
    <row r="13024" spans="1:4">
      <c r="A13024" s="3"/>
      <c r="D13024" s="3"/>
    </row>
    <row r="13025" spans="1:4">
      <c r="A13025" s="3"/>
      <c r="D13025" s="3"/>
    </row>
    <row r="13026" spans="1:4">
      <c r="A13026" s="3"/>
      <c r="D13026" s="3"/>
    </row>
    <row r="13027" spans="1:4">
      <c r="A13027" s="3"/>
      <c r="D13027" s="3"/>
    </row>
    <row r="13028" spans="1:4">
      <c r="A13028" s="3"/>
      <c r="D13028" s="3"/>
    </row>
    <row r="13029" spans="1:4">
      <c r="A13029" s="3"/>
      <c r="D13029" s="3"/>
    </row>
    <row r="13030" spans="1:4">
      <c r="A13030" s="3"/>
      <c r="D13030" s="3"/>
    </row>
    <row r="13031" spans="1:4">
      <c r="A13031" s="3"/>
      <c r="D13031" s="3"/>
    </row>
    <row r="13032" spans="1:4">
      <c r="A13032" s="3"/>
      <c r="D13032" s="3"/>
    </row>
    <row r="13033" spans="1:4">
      <c r="A13033" s="3"/>
      <c r="D13033" s="3"/>
    </row>
    <row r="13034" spans="1:4">
      <c r="A13034" s="3"/>
      <c r="D13034" s="3"/>
    </row>
    <row r="13035" spans="1:4">
      <c r="A13035" s="3"/>
      <c r="D13035" s="3"/>
    </row>
    <row r="13036" spans="1:4">
      <c r="A13036" s="3"/>
      <c r="D13036" s="3"/>
    </row>
    <row r="13037" spans="1:4">
      <c r="A13037" s="3"/>
      <c r="D13037" s="3"/>
    </row>
    <row r="13038" spans="1:4">
      <c r="A13038" s="3"/>
      <c r="D13038" s="3"/>
    </row>
    <row r="13039" spans="1:4">
      <c r="A13039" s="3"/>
      <c r="D13039" s="3"/>
    </row>
    <row r="13040" spans="1:4">
      <c r="A13040" s="3"/>
      <c r="D13040" s="3"/>
    </row>
    <row r="13041" spans="1:4">
      <c r="A13041" s="3"/>
      <c r="D13041" s="3"/>
    </row>
    <row r="13042" spans="1:4">
      <c r="A13042" s="3"/>
      <c r="D13042" s="3"/>
    </row>
    <row r="13043" spans="1:4">
      <c r="A13043" s="3"/>
      <c r="D13043" s="3"/>
    </row>
    <row r="13044" spans="1:4">
      <c r="A13044" s="3"/>
      <c r="D13044" s="3"/>
    </row>
    <row r="13045" spans="1:4">
      <c r="A13045" s="3"/>
      <c r="D13045" s="3"/>
    </row>
    <row r="13046" spans="1:4">
      <c r="A13046" s="3"/>
      <c r="D13046" s="3"/>
    </row>
    <row r="13047" spans="1:4">
      <c r="A13047" s="3"/>
      <c r="D13047" s="3"/>
    </row>
    <row r="13048" spans="1:4">
      <c r="A13048" s="3"/>
      <c r="D13048" s="3"/>
    </row>
    <row r="13049" spans="1:4">
      <c r="A13049" s="3"/>
      <c r="D13049" s="3"/>
    </row>
    <row r="13050" spans="1:4">
      <c r="A13050" s="3"/>
      <c r="D13050" s="3"/>
    </row>
    <row r="13051" spans="1:4">
      <c r="A13051" s="3"/>
      <c r="D13051" s="3"/>
    </row>
    <row r="13052" spans="1:4">
      <c r="A13052" s="3"/>
      <c r="D13052" s="3"/>
    </row>
    <row r="13053" spans="1:4">
      <c r="A13053" s="3"/>
      <c r="D13053" s="3"/>
    </row>
    <row r="13054" spans="1:4">
      <c r="A13054" s="3"/>
      <c r="D13054" s="3"/>
    </row>
    <row r="13055" spans="1:4">
      <c r="A13055" s="3"/>
      <c r="D13055" s="3"/>
    </row>
    <row r="13056" spans="1:4">
      <c r="A13056" s="3"/>
      <c r="D13056" s="3"/>
    </row>
    <row r="13057" spans="1:4">
      <c r="A13057" s="3"/>
      <c r="D13057" s="3"/>
    </row>
    <row r="13058" spans="1:4">
      <c r="A13058" s="3"/>
      <c r="D13058" s="3"/>
    </row>
    <row r="13059" spans="1:4">
      <c r="A13059" s="3"/>
      <c r="D13059" s="3"/>
    </row>
    <row r="13060" spans="1:4">
      <c r="A13060" s="3"/>
      <c r="D13060" s="3"/>
    </row>
    <row r="13061" spans="1:4">
      <c r="A13061" s="3"/>
      <c r="D13061" s="3"/>
    </row>
    <row r="13062" spans="1:4">
      <c r="A13062" s="3"/>
      <c r="D13062" s="3"/>
    </row>
    <row r="13063" spans="1:4">
      <c r="A13063" s="3"/>
      <c r="D13063" s="3"/>
    </row>
    <row r="13064" spans="1:4">
      <c r="A13064" s="3"/>
      <c r="D13064" s="3"/>
    </row>
    <row r="13065" spans="1:4">
      <c r="A13065" s="3"/>
      <c r="D13065" s="3"/>
    </row>
    <row r="13066" spans="1:4">
      <c r="A13066" s="3"/>
      <c r="D13066" s="3"/>
    </row>
    <row r="13067" spans="1:4">
      <c r="A13067" s="3"/>
      <c r="D13067" s="3"/>
    </row>
    <row r="13068" spans="1:4">
      <c r="A13068" s="3"/>
      <c r="D13068" s="3"/>
    </row>
    <row r="13069" spans="1:4">
      <c r="A13069" s="3"/>
      <c r="D13069" s="3"/>
    </row>
    <row r="13070" spans="1:4">
      <c r="A13070" s="3"/>
      <c r="D13070" s="3"/>
    </row>
    <row r="13071" spans="1:4">
      <c r="A13071" s="3"/>
      <c r="D13071" s="3"/>
    </row>
    <row r="13072" spans="1:4">
      <c r="A13072" s="3"/>
      <c r="D13072" s="3"/>
    </row>
    <row r="13073" spans="1:4">
      <c r="A13073" s="3"/>
      <c r="D13073" s="3"/>
    </row>
    <row r="13074" spans="1:4">
      <c r="A13074" s="3"/>
      <c r="D13074" s="3"/>
    </row>
    <row r="13075" spans="1:4">
      <c r="A13075" s="3"/>
      <c r="D13075" s="3"/>
    </row>
    <row r="13076" spans="1:4">
      <c r="A13076" s="3"/>
      <c r="D13076" s="3"/>
    </row>
    <row r="13077" spans="1:4">
      <c r="A13077" s="3"/>
      <c r="D13077" s="3"/>
    </row>
    <row r="13078" spans="1:4">
      <c r="A13078" s="3"/>
      <c r="D13078" s="3"/>
    </row>
    <row r="13079" spans="1:4">
      <c r="A13079" s="3"/>
      <c r="D13079" s="3"/>
    </row>
    <row r="13080" spans="1:4">
      <c r="A13080" s="3"/>
      <c r="D13080" s="3"/>
    </row>
    <row r="13081" spans="1:4">
      <c r="A13081" s="3"/>
      <c r="D13081" s="3"/>
    </row>
    <row r="13082" spans="1:4">
      <c r="A13082" s="3"/>
      <c r="D13082" s="3"/>
    </row>
    <row r="13083" spans="1:4">
      <c r="A13083" s="3"/>
      <c r="D13083" s="3"/>
    </row>
    <row r="13084" spans="1:4">
      <c r="A13084" s="3"/>
      <c r="D13084" s="3"/>
    </row>
    <row r="13085" spans="1:4">
      <c r="A13085" s="3"/>
      <c r="D13085" s="3"/>
    </row>
    <row r="13086" spans="1:4">
      <c r="A13086" s="3"/>
      <c r="D13086" s="3"/>
    </row>
    <row r="13087" spans="1:4">
      <c r="A13087" s="3"/>
      <c r="D13087" s="3"/>
    </row>
    <row r="13088" spans="1:4">
      <c r="A13088" s="3"/>
      <c r="D13088" s="3"/>
    </row>
    <row r="13089" spans="1:4">
      <c r="A13089" s="3"/>
      <c r="D13089" s="3"/>
    </row>
    <row r="13090" spans="1:4">
      <c r="A13090" s="3"/>
      <c r="D13090" s="3"/>
    </row>
    <row r="13091" spans="1:4">
      <c r="A13091" s="3"/>
      <c r="D13091" s="3"/>
    </row>
    <row r="13092" spans="1:4">
      <c r="A13092" s="3"/>
      <c r="D13092" s="3"/>
    </row>
    <row r="13093" spans="1:4">
      <c r="A13093" s="3"/>
      <c r="D13093" s="3"/>
    </row>
    <row r="13094" spans="1:4">
      <c r="A13094" s="3"/>
      <c r="D13094" s="3"/>
    </row>
    <row r="13095" spans="1:4">
      <c r="A13095" s="3"/>
      <c r="D13095" s="3"/>
    </row>
    <row r="13096" spans="1:4">
      <c r="A13096" s="3"/>
      <c r="D13096" s="3"/>
    </row>
    <row r="13097" spans="1:4">
      <c r="A13097" s="3"/>
      <c r="D13097" s="3"/>
    </row>
    <row r="13098" spans="1:4">
      <c r="A13098" s="3"/>
      <c r="D13098" s="3"/>
    </row>
    <row r="13099" spans="1:4">
      <c r="A13099" s="3"/>
      <c r="D13099" s="3"/>
    </row>
    <row r="13100" spans="1:4">
      <c r="A13100" s="3"/>
      <c r="D13100" s="3"/>
    </row>
    <row r="13101" spans="1:4">
      <c r="A13101" s="3"/>
      <c r="D13101" s="3"/>
    </row>
    <row r="13102" spans="1:4">
      <c r="A13102" s="3"/>
      <c r="D13102" s="3"/>
    </row>
    <row r="13103" spans="1:4">
      <c r="A13103" s="3"/>
      <c r="D13103" s="3"/>
    </row>
    <row r="13104" spans="1:4">
      <c r="A13104" s="3"/>
      <c r="D13104" s="3"/>
    </row>
    <row r="13105" spans="1:4">
      <c r="A13105" s="3"/>
      <c r="D13105" s="3"/>
    </row>
    <row r="13106" spans="1:4">
      <c r="A13106" s="3"/>
      <c r="D13106" s="3"/>
    </row>
    <row r="13107" spans="1:4">
      <c r="A13107" s="3"/>
      <c r="D13107" s="3"/>
    </row>
    <row r="13108" spans="1:4">
      <c r="A13108" s="3"/>
      <c r="D13108" s="3"/>
    </row>
    <row r="13109" spans="1:4">
      <c r="A13109" s="3"/>
      <c r="D13109" s="3"/>
    </row>
    <row r="13110" spans="1:4">
      <c r="A13110" s="3"/>
      <c r="D13110" s="3"/>
    </row>
    <row r="13111" spans="1:4">
      <c r="A13111" s="3"/>
      <c r="D13111" s="3"/>
    </row>
    <row r="13112" spans="1:4">
      <c r="A13112" s="3"/>
      <c r="D13112" s="3"/>
    </row>
    <row r="13113" spans="1:4">
      <c r="A13113" s="3"/>
      <c r="D13113" s="3"/>
    </row>
    <row r="13114" spans="1:4">
      <c r="A13114" s="3"/>
      <c r="D13114" s="3"/>
    </row>
    <row r="13115" spans="1:4">
      <c r="A13115" s="3"/>
      <c r="D13115" s="3"/>
    </row>
    <row r="13116" spans="1:4">
      <c r="A13116" s="3"/>
      <c r="D13116" s="3"/>
    </row>
    <row r="13117" spans="1:4">
      <c r="A13117" s="3"/>
      <c r="D13117" s="3"/>
    </row>
    <row r="13118" spans="1:4">
      <c r="A13118" s="3"/>
      <c r="D13118" s="3"/>
    </row>
    <row r="13119" spans="1:4">
      <c r="A13119" s="3"/>
      <c r="D13119" s="3"/>
    </row>
    <row r="13120" spans="1:4">
      <c r="A13120" s="3"/>
      <c r="D13120" s="3"/>
    </row>
    <row r="13121" spans="1:4">
      <c r="A13121" s="3"/>
      <c r="D13121" s="3"/>
    </row>
    <row r="13122" spans="1:4">
      <c r="A13122" s="3"/>
      <c r="D13122" s="3"/>
    </row>
    <row r="13123" spans="1:4">
      <c r="A13123" s="3"/>
      <c r="D13123" s="3"/>
    </row>
    <row r="13124" spans="1:4">
      <c r="A13124" s="3"/>
      <c r="D13124" s="3"/>
    </row>
    <row r="13125" spans="1:4">
      <c r="A13125" s="3"/>
      <c r="D13125" s="3"/>
    </row>
    <row r="13126" spans="1:4">
      <c r="A13126" s="3"/>
      <c r="D13126" s="3"/>
    </row>
    <row r="13127" spans="1:4">
      <c r="A13127" s="3"/>
      <c r="D13127" s="3"/>
    </row>
    <row r="13128" spans="1:4">
      <c r="A13128" s="3"/>
      <c r="D13128" s="3"/>
    </row>
    <row r="13129" spans="1:4">
      <c r="A13129" s="3"/>
      <c r="D13129" s="3"/>
    </row>
    <row r="13130" spans="1:4">
      <c r="A13130" s="3"/>
      <c r="D13130" s="3"/>
    </row>
    <row r="13131" spans="1:4">
      <c r="A13131" s="3"/>
      <c r="D13131" s="3"/>
    </row>
    <row r="13132" spans="1:4">
      <c r="A13132" s="3"/>
      <c r="D13132" s="3"/>
    </row>
    <row r="13133" spans="1:4">
      <c r="A13133" s="3"/>
      <c r="D13133" s="3"/>
    </row>
    <row r="13134" spans="1:4">
      <c r="A13134" s="3"/>
      <c r="D13134" s="3"/>
    </row>
    <row r="13135" spans="1:4">
      <c r="A13135" s="3"/>
      <c r="D13135" s="3"/>
    </row>
    <row r="13136" spans="1:4">
      <c r="A13136" s="3"/>
      <c r="D13136" s="3"/>
    </row>
    <row r="13137" spans="1:4">
      <c r="A13137" s="3"/>
      <c r="D13137" s="3"/>
    </row>
    <row r="13138" spans="1:4">
      <c r="A13138" s="3"/>
      <c r="D13138" s="3"/>
    </row>
    <row r="13139" spans="1:4">
      <c r="A13139" s="3"/>
      <c r="D13139" s="3"/>
    </row>
    <row r="13140" spans="1:4">
      <c r="A13140" s="3"/>
      <c r="D13140" s="3"/>
    </row>
    <row r="13141" spans="1:4">
      <c r="A13141" s="3"/>
      <c r="D13141" s="3"/>
    </row>
    <row r="13142" spans="1:4">
      <c r="A13142" s="3"/>
      <c r="D13142" s="3"/>
    </row>
    <row r="13143" spans="1:4">
      <c r="A13143" s="3"/>
      <c r="D13143" s="3"/>
    </row>
    <row r="13144" spans="1:4">
      <c r="A13144" s="3"/>
      <c r="D13144" s="3"/>
    </row>
    <row r="13145" spans="1:4">
      <c r="A13145" s="3"/>
      <c r="D13145" s="3"/>
    </row>
    <row r="13146" spans="1:4">
      <c r="A13146" s="3"/>
      <c r="D13146" s="3"/>
    </row>
    <row r="13147" spans="1:4">
      <c r="A13147" s="3"/>
      <c r="D13147" s="3"/>
    </row>
    <row r="13148" spans="1:4">
      <c r="A13148" s="3"/>
      <c r="D13148" s="3"/>
    </row>
    <row r="13149" spans="1:4">
      <c r="A13149" s="3"/>
      <c r="D13149" s="3"/>
    </row>
    <row r="13150" spans="1:4">
      <c r="A13150" s="3"/>
      <c r="D13150" s="3"/>
    </row>
    <row r="13151" spans="1:4">
      <c r="A13151" s="3"/>
      <c r="D13151" s="3"/>
    </row>
    <row r="13152" spans="1:4">
      <c r="A13152" s="3"/>
      <c r="D13152" s="3"/>
    </row>
    <row r="13153" spans="1:4">
      <c r="A13153" s="3"/>
      <c r="D13153" s="3"/>
    </row>
    <row r="13154" spans="1:4">
      <c r="A13154" s="3"/>
      <c r="D13154" s="3"/>
    </row>
    <row r="13155" spans="1:4">
      <c r="A13155" s="3"/>
      <c r="D13155" s="3"/>
    </row>
    <row r="13156" spans="1:4">
      <c r="A13156" s="3"/>
      <c r="D13156" s="3"/>
    </row>
    <row r="13157" spans="1:4">
      <c r="A13157" s="3"/>
      <c r="D13157" s="3"/>
    </row>
    <row r="13158" spans="1:4">
      <c r="A13158" s="3"/>
      <c r="D13158" s="3"/>
    </row>
    <row r="13159" spans="1:4">
      <c r="A13159" s="3"/>
      <c r="D13159" s="3"/>
    </row>
    <row r="13160" spans="1:4">
      <c r="A13160" s="3"/>
      <c r="D13160" s="3"/>
    </row>
    <row r="13161" spans="1:4">
      <c r="A13161" s="3"/>
      <c r="D13161" s="3"/>
    </row>
    <row r="13162" spans="1:4">
      <c r="A13162" s="3"/>
      <c r="D13162" s="3"/>
    </row>
    <row r="13163" spans="1:4">
      <c r="A13163" s="3"/>
      <c r="D13163" s="3"/>
    </row>
    <row r="13164" spans="1:4">
      <c r="A13164" s="3"/>
      <c r="D13164" s="3"/>
    </row>
    <row r="13165" spans="1:4">
      <c r="A13165" s="3"/>
      <c r="D13165" s="3"/>
    </row>
    <row r="13166" spans="1:4">
      <c r="A13166" s="3"/>
      <c r="D13166" s="3"/>
    </row>
    <row r="13167" spans="1:4">
      <c r="A13167" s="3"/>
      <c r="D13167" s="3"/>
    </row>
    <row r="13168" spans="1:4">
      <c r="A13168" s="3"/>
      <c r="D13168" s="3"/>
    </row>
    <row r="13169" spans="1:4">
      <c r="A13169" s="3"/>
      <c r="D13169" s="3"/>
    </row>
    <row r="13170" spans="1:4">
      <c r="A13170" s="3"/>
      <c r="D13170" s="3"/>
    </row>
    <row r="13171" spans="1:4">
      <c r="A13171" s="3"/>
      <c r="D13171" s="3"/>
    </row>
    <row r="13172" spans="1:4">
      <c r="A13172" s="3"/>
      <c r="D13172" s="3"/>
    </row>
    <row r="13173" spans="1:4">
      <c r="A13173" s="3"/>
      <c r="D13173" s="3"/>
    </row>
    <row r="13174" spans="1:4">
      <c r="A13174" s="3"/>
      <c r="D13174" s="3"/>
    </row>
    <row r="13175" spans="1:4">
      <c r="A13175" s="3"/>
      <c r="D13175" s="3"/>
    </row>
    <row r="13176" spans="1:4">
      <c r="A13176" s="3"/>
      <c r="D13176" s="3"/>
    </row>
    <row r="13177" spans="1:4">
      <c r="A13177" s="3"/>
      <c r="D13177" s="3"/>
    </row>
    <row r="13178" spans="1:4">
      <c r="A13178" s="3"/>
      <c r="D13178" s="3"/>
    </row>
    <row r="13179" spans="1:4">
      <c r="A13179" s="3"/>
      <c r="D13179" s="3"/>
    </row>
    <row r="13180" spans="1:4">
      <c r="A13180" s="3"/>
      <c r="D13180" s="3"/>
    </row>
    <row r="13181" spans="1:4">
      <c r="A13181" s="3"/>
      <c r="D13181" s="3"/>
    </row>
    <row r="13182" spans="1:4">
      <c r="A13182" s="3"/>
      <c r="D13182" s="3"/>
    </row>
    <row r="13183" spans="1:4">
      <c r="A13183" s="3"/>
      <c r="D13183" s="3"/>
    </row>
    <row r="13184" spans="1:4">
      <c r="A13184" s="3"/>
      <c r="D13184" s="3"/>
    </row>
    <row r="13185" spans="1:4">
      <c r="A13185" s="3"/>
      <c r="D13185" s="3"/>
    </row>
    <row r="13186" spans="1:4">
      <c r="A13186" s="3"/>
      <c r="D13186" s="3"/>
    </row>
    <row r="13187" spans="1:4">
      <c r="A13187" s="3"/>
      <c r="D13187" s="3"/>
    </row>
    <row r="13188" spans="1:4">
      <c r="A13188" s="3"/>
      <c r="D13188" s="3"/>
    </row>
    <row r="13189" spans="1:4">
      <c r="A13189" s="3"/>
      <c r="D13189" s="3"/>
    </row>
    <row r="13190" spans="1:4">
      <c r="A13190" s="3"/>
      <c r="D13190" s="3"/>
    </row>
    <row r="13191" spans="1:4">
      <c r="A13191" s="3"/>
      <c r="D13191" s="3"/>
    </row>
    <row r="13192" spans="1:4">
      <c r="A13192" s="3"/>
      <c r="D13192" s="3"/>
    </row>
    <row r="13193" spans="1:4">
      <c r="A13193" s="3"/>
      <c r="D13193" s="3"/>
    </row>
    <row r="13194" spans="1:4">
      <c r="A13194" s="3"/>
      <c r="D13194" s="3"/>
    </row>
    <row r="13195" spans="1:4">
      <c r="A13195" s="3"/>
      <c r="D13195" s="3"/>
    </row>
    <row r="13196" spans="1:4">
      <c r="A13196" s="3"/>
      <c r="D13196" s="3"/>
    </row>
    <row r="13197" spans="1:4">
      <c r="A13197" s="3"/>
      <c r="D13197" s="3"/>
    </row>
    <row r="13198" spans="1:4">
      <c r="A13198" s="3"/>
      <c r="D13198" s="3"/>
    </row>
    <row r="13199" spans="1:4">
      <c r="A13199" s="3"/>
      <c r="D13199" s="3"/>
    </row>
    <row r="13200" spans="1:4">
      <c r="A13200" s="3"/>
      <c r="D13200" s="3"/>
    </row>
    <row r="13201" spans="1:4">
      <c r="A13201" s="3"/>
      <c r="D13201" s="3"/>
    </row>
    <row r="13202" spans="1:4">
      <c r="A13202" s="3"/>
      <c r="D13202" s="3"/>
    </row>
    <row r="13203" spans="1:4">
      <c r="A13203" s="3"/>
      <c r="D13203" s="3"/>
    </row>
    <row r="13204" spans="1:4">
      <c r="A13204" s="3"/>
      <c r="D13204" s="3"/>
    </row>
    <row r="13205" spans="1:4">
      <c r="A13205" s="3"/>
      <c r="D13205" s="3"/>
    </row>
    <row r="13206" spans="1:4">
      <c r="A13206" s="3"/>
      <c r="D13206" s="3"/>
    </row>
    <row r="13207" spans="1:4">
      <c r="A13207" s="3"/>
      <c r="D13207" s="3"/>
    </row>
    <row r="13208" spans="1:4">
      <c r="A13208" s="3"/>
      <c r="D13208" s="3"/>
    </row>
    <row r="13209" spans="1:4">
      <c r="A13209" s="3"/>
      <c r="D13209" s="3"/>
    </row>
    <row r="13210" spans="1:4">
      <c r="A13210" s="3"/>
      <c r="D13210" s="3"/>
    </row>
    <row r="13211" spans="1:4">
      <c r="A13211" s="3"/>
      <c r="D13211" s="3"/>
    </row>
    <row r="13212" spans="1:4">
      <c r="A13212" s="3"/>
      <c r="D13212" s="3"/>
    </row>
    <row r="13213" spans="1:4">
      <c r="A13213" s="3"/>
      <c r="D13213" s="3"/>
    </row>
    <row r="13214" spans="1:4">
      <c r="A13214" s="3"/>
      <c r="D13214" s="3"/>
    </row>
    <row r="13215" spans="1:4">
      <c r="A13215" s="3"/>
      <c r="D13215" s="3"/>
    </row>
    <row r="13216" spans="1:4">
      <c r="A13216" s="3"/>
      <c r="D13216" s="3"/>
    </row>
    <row r="13217" spans="1:4">
      <c r="A13217" s="3"/>
      <c r="D13217" s="3"/>
    </row>
    <row r="13218" spans="1:4">
      <c r="A13218" s="3"/>
      <c r="D13218" s="3"/>
    </row>
    <row r="13219" spans="1:4">
      <c r="A13219" s="3"/>
      <c r="D13219" s="3"/>
    </row>
    <row r="13220" spans="1:4">
      <c r="A13220" s="3"/>
      <c r="D13220" s="3"/>
    </row>
    <row r="13221" spans="1:4">
      <c r="A13221" s="3"/>
      <c r="D13221" s="3"/>
    </row>
    <row r="13222" spans="1:4">
      <c r="A13222" s="3"/>
      <c r="D13222" s="3"/>
    </row>
    <row r="13223" spans="1:4">
      <c r="A13223" s="3"/>
      <c r="D13223" s="3"/>
    </row>
    <row r="13224" spans="1:4">
      <c r="A13224" s="3"/>
      <c r="D13224" s="3"/>
    </row>
    <row r="13225" spans="1:4">
      <c r="A13225" s="3"/>
      <c r="D13225" s="3"/>
    </row>
    <row r="13226" spans="1:4">
      <c r="A13226" s="3"/>
      <c r="D13226" s="3"/>
    </row>
    <row r="13227" spans="1:4">
      <c r="A13227" s="3"/>
      <c r="D13227" s="3"/>
    </row>
    <row r="13228" spans="1:4">
      <c r="A13228" s="3"/>
      <c r="D13228" s="3"/>
    </row>
    <row r="13229" spans="1:4">
      <c r="A13229" s="3"/>
      <c r="D13229" s="3"/>
    </row>
    <row r="13230" spans="1:4">
      <c r="A13230" s="3"/>
      <c r="D13230" s="3"/>
    </row>
    <row r="13231" spans="1:4">
      <c r="A13231" s="3"/>
      <c r="D13231" s="3"/>
    </row>
    <row r="13232" spans="1:4">
      <c r="A13232" s="3"/>
      <c r="D13232" s="3"/>
    </row>
    <row r="13233" spans="1:4">
      <c r="A13233" s="3"/>
      <c r="D13233" s="3"/>
    </row>
    <row r="13234" spans="1:4">
      <c r="A13234" s="3"/>
      <c r="D13234" s="3"/>
    </row>
    <row r="13235" spans="1:4">
      <c r="A13235" s="3"/>
      <c r="D13235" s="3"/>
    </row>
    <row r="13236" spans="1:4">
      <c r="A13236" s="3"/>
      <c r="D13236" s="3"/>
    </row>
    <row r="13237" spans="1:4">
      <c r="A13237" s="3"/>
      <c r="D13237" s="3"/>
    </row>
    <row r="13238" spans="1:4">
      <c r="A13238" s="3"/>
      <c r="D13238" s="3"/>
    </row>
    <row r="13239" spans="1:4">
      <c r="A13239" s="3"/>
      <c r="D13239" s="3"/>
    </row>
    <row r="13240" spans="1:4">
      <c r="A13240" s="3"/>
      <c r="D13240" s="3"/>
    </row>
    <row r="13241" spans="1:4">
      <c r="A13241" s="3"/>
      <c r="D13241" s="3"/>
    </row>
    <row r="13242" spans="1:4">
      <c r="A13242" s="3"/>
      <c r="D13242" s="3"/>
    </row>
    <row r="13243" spans="1:4">
      <c r="A13243" s="3"/>
      <c r="D13243" s="3"/>
    </row>
    <row r="13244" spans="1:4">
      <c r="A13244" s="3"/>
      <c r="D13244" s="3"/>
    </row>
    <row r="13245" spans="1:4">
      <c r="A13245" s="3"/>
      <c r="D13245" s="3"/>
    </row>
    <row r="13246" spans="1:4">
      <c r="A13246" s="3"/>
      <c r="D13246" s="3"/>
    </row>
    <row r="13247" spans="1:4">
      <c r="A13247" s="3"/>
      <c r="D13247" s="3"/>
    </row>
    <row r="13248" spans="1:4">
      <c r="A13248" s="3"/>
      <c r="D13248" s="3"/>
    </row>
    <row r="13249" spans="1:4">
      <c r="A13249" s="3"/>
      <c r="D13249" s="3"/>
    </row>
    <row r="13250" spans="1:4">
      <c r="A13250" s="3"/>
      <c r="D13250" s="3"/>
    </row>
    <row r="13251" spans="1:4">
      <c r="A13251" s="3"/>
      <c r="D13251" s="3"/>
    </row>
    <row r="13252" spans="1:4">
      <c r="A13252" s="3"/>
      <c r="D13252" s="3"/>
    </row>
    <row r="13253" spans="1:4">
      <c r="A13253" s="3"/>
      <c r="D13253" s="3"/>
    </row>
    <row r="13254" spans="1:4">
      <c r="A13254" s="3"/>
      <c r="D13254" s="3"/>
    </row>
    <row r="13255" spans="1:4">
      <c r="A13255" s="3"/>
      <c r="D13255" s="3"/>
    </row>
    <row r="13256" spans="1:4">
      <c r="A13256" s="3"/>
      <c r="D13256" s="3"/>
    </row>
    <row r="13257" spans="1:4">
      <c r="A13257" s="3"/>
      <c r="D13257" s="3"/>
    </row>
    <row r="13258" spans="1:4">
      <c r="A13258" s="3"/>
      <c r="D13258" s="3"/>
    </row>
    <row r="13259" spans="1:4">
      <c r="A13259" s="3"/>
      <c r="D13259" s="3"/>
    </row>
    <row r="13260" spans="1:4">
      <c r="A13260" s="3"/>
      <c r="D13260" s="3"/>
    </row>
    <row r="13261" spans="1:4">
      <c r="A13261" s="3"/>
      <c r="D13261" s="3"/>
    </row>
    <row r="13262" spans="1:4">
      <c r="A13262" s="3"/>
      <c r="D13262" s="3"/>
    </row>
    <row r="13263" spans="1:4">
      <c r="A13263" s="3"/>
      <c r="D13263" s="3"/>
    </row>
    <row r="13264" spans="1:4">
      <c r="A13264" s="3"/>
      <c r="D13264" s="3"/>
    </row>
    <row r="13265" spans="1:4">
      <c r="A13265" s="3"/>
      <c r="D13265" s="3"/>
    </row>
    <row r="13266" spans="1:4">
      <c r="A13266" s="3"/>
      <c r="D13266" s="3"/>
    </row>
    <row r="13267" spans="1:4">
      <c r="A13267" s="3"/>
      <c r="D13267" s="3"/>
    </row>
    <row r="13268" spans="1:4">
      <c r="A13268" s="3"/>
      <c r="D13268" s="3"/>
    </row>
    <row r="13269" spans="1:4">
      <c r="A13269" s="3"/>
      <c r="D13269" s="3"/>
    </row>
    <row r="13270" spans="1:4">
      <c r="A13270" s="3"/>
      <c r="D13270" s="3"/>
    </row>
    <row r="13271" spans="1:4">
      <c r="A13271" s="3"/>
      <c r="D13271" s="3"/>
    </row>
    <row r="13272" spans="1:4">
      <c r="A13272" s="3"/>
      <c r="D13272" s="3"/>
    </row>
    <row r="13273" spans="1:4">
      <c r="A13273" s="3"/>
      <c r="D13273" s="3"/>
    </row>
    <row r="13274" spans="1:4">
      <c r="A13274" s="3"/>
      <c r="D13274" s="3"/>
    </row>
    <row r="13275" spans="1:4">
      <c r="A13275" s="3"/>
      <c r="D13275" s="3"/>
    </row>
    <row r="13276" spans="1:4">
      <c r="A13276" s="3"/>
      <c r="D13276" s="3"/>
    </row>
    <row r="13277" spans="1:4">
      <c r="A13277" s="3"/>
      <c r="D13277" s="3"/>
    </row>
    <row r="13278" spans="1:4">
      <c r="A13278" s="3"/>
      <c r="D13278" s="3"/>
    </row>
    <row r="13279" spans="1:4">
      <c r="A13279" s="3"/>
      <c r="D13279" s="3"/>
    </row>
    <row r="13280" spans="1:4">
      <c r="A13280" s="3"/>
      <c r="D13280" s="3"/>
    </row>
    <row r="13281" spans="1:4">
      <c r="A13281" s="3"/>
      <c r="D13281" s="3"/>
    </row>
    <row r="13282" spans="1:4">
      <c r="A13282" s="3"/>
      <c r="D13282" s="3"/>
    </row>
    <row r="13283" spans="1:4">
      <c r="A13283" s="3"/>
      <c r="D13283" s="3"/>
    </row>
    <row r="13284" spans="1:4">
      <c r="A13284" s="3"/>
      <c r="D13284" s="3"/>
    </row>
    <row r="13285" spans="1:4">
      <c r="A13285" s="3"/>
      <c r="D13285" s="3"/>
    </row>
    <row r="13286" spans="1:4">
      <c r="A13286" s="3"/>
      <c r="D13286" s="3"/>
    </row>
    <row r="13287" spans="1:4">
      <c r="A13287" s="3"/>
      <c r="D13287" s="3"/>
    </row>
    <row r="13288" spans="1:4">
      <c r="A13288" s="3"/>
      <c r="D13288" s="3"/>
    </row>
    <row r="13289" spans="1:4">
      <c r="A13289" s="3"/>
      <c r="D13289" s="3"/>
    </row>
    <row r="13290" spans="1:4">
      <c r="A13290" s="3"/>
      <c r="D13290" s="3"/>
    </row>
    <row r="13291" spans="1:4">
      <c r="A13291" s="3"/>
      <c r="D13291" s="3"/>
    </row>
    <row r="13292" spans="1:4">
      <c r="A13292" s="3"/>
      <c r="D13292" s="3"/>
    </row>
    <row r="13293" spans="1:4">
      <c r="A13293" s="3"/>
      <c r="D13293" s="3"/>
    </row>
    <row r="13294" spans="1:4">
      <c r="A13294" s="3"/>
      <c r="D13294" s="3"/>
    </row>
    <row r="13295" spans="1:4">
      <c r="A13295" s="3"/>
      <c r="D13295" s="3"/>
    </row>
    <row r="13296" spans="1:4">
      <c r="A13296" s="3"/>
      <c r="D13296" s="3"/>
    </row>
    <row r="13297" spans="1:4">
      <c r="A13297" s="3"/>
      <c r="D13297" s="3"/>
    </row>
    <row r="13298" spans="1:4">
      <c r="A13298" s="3"/>
      <c r="D13298" s="3"/>
    </row>
    <row r="13299" spans="1:4">
      <c r="A13299" s="3"/>
      <c r="D13299" s="3"/>
    </row>
    <row r="13300" spans="1:4">
      <c r="A13300" s="3"/>
      <c r="D13300" s="3"/>
    </row>
    <row r="13301" spans="1:4">
      <c r="A13301" s="3"/>
      <c r="D13301" s="3"/>
    </row>
    <row r="13302" spans="1:4">
      <c r="A13302" s="3"/>
      <c r="D13302" s="3"/>
    </row>
    <row r="13303" spans="1:4">
      <c r="A13303" s="3"/>
      <c r="D13303" s="3"/>
    </row>
    <row r="13304" spans="1:4">
      <c r="A13304" s="3"/>
      <c r="D13304" s="3"/>
    </row>
    <row r="13305" spans="1:4">
      <c r="A13305" s="3"/>
      <c r="D13305" s="3"/>
    </row>
    <row r="13306" spans="1:4">
      <c r="A13306" s="3"/>
      <c r="D13306" s="3"/>
    </row>
    <row r="13307" spans="1:4">
      <c r="A13307" s="3"/>
      <c r="D13307" s="3"/>
    </row>
    <row r="13308" spans="1:4">
      <c r="A13308" s="3"/>
      <c r="D13308" s="3"/>
    </row>
    <row r="13309" spans="1:4">
      <c r="A13309" s="3"/>
      <c r="D13309" s="3"/>
    </row>
    <row r="13310" spans="1:4">
      <c r="A13310" s="3"/>
      <c r="D13310" s="3"/>
    </row>
    <row r="13311" spans="1:4">
      <c r="A13311" s="3"/>
      <c r="D13311" s="3"/>
    </row>
    <row r="13312" spans="1:4">
      <c r="A13312" s="3"/>
      <c r="D13312" s="3"/>
    </row>
    <row r="13313" spans="1:4">
      <c r="A13313" s="3"/>
      <c r="D13313" s="3"/>
    </row>
    <row r="13314" spans="1:4">
      <c r="A13314" s="3"/>
      <c r="D13314" s="3"/>
    </row>
    <row r="13315" spans="1:4">
      <c r="A13315" s="3"/>
      <c r="D13315" s="3"/>
    </row>
    <row r="13316" spans="1:4">
      <c r="A13316" s="3"/>
      <c r="D13316" s="3"/>
    </row>
    <row r="13317" spans="1:4">
      <c r="A13317" s="3"/>
      <c r="D13317" s="3"/>
    </row>
    <row r="13318" spans="1:4">
      <c r="A13318" s="3"/>
      <c r="D13318" s="3"/>
    </row>
    <row r="13319" spans="1:4">
      <c r="A13319" s="3"/>
      <c r="D13319" s="3"/>
    </row>
    <row r="13320" spans="1:4">
      <c r="A13320" s="3"/>
      <c r="D13320" s="3"/>
    </row>
    <row r="13321" spans="1:4">
      <c r="A13321" s="3"/>
      <c r="D13321" s="3"/>
    </row>
    <row r="13322" spans="1:4">
      <c r="A13322" s="3"/>
      <c r="D13322" s="3"/>
    </row>
    <row r="13323" spans="1:4">
      <c r="A13323" s="3"/>
      <c r="D13323" s="3"/>
    </row>
    <row r="13324" spans="1:4">
      <c r="A13324" s="3"/>
      <c r="D13324" s="3"/>
    </row>
    <row r="13325" spans="1:4">
      <c r="A13325" s="3"/>
      <c r="D13325" s="3"/>
    </row>
    <row r="13326" spans="1:4">
      <c r="A13326" s="3"/>
      <c r="D13326" s="3"/>
    </row>
    <row r="13327" spans="1:4">
      <c r="A13327" s="3"/>
      <c r="D13327" s="3"/>
    </row>
    <row r="13328" spans="1:4">
      <c r="A13328" s="3"/>
      <c r="D13328" s="3"/>
    </row>
    <row r="13329" spans="1:4">
      <c r="A13329" s="3"/>
      <c r="D13329" s="3"/>
    </row>
    <row r="13330" spans="1:4">
      <c r="A13330" s="3"/>
      <c r="D13330" s="3"/>
    </row>
    <row r="13331" spans="1:4">
      <c r="A13331" s="3"/>
      <c r="D13331" s="3"/>
    </row>
    <row r="13332" spans="1:4">
      <c r="A13332" s="3"/>
      <c r="D13332" s="3"/>
    </row>
    <row r="13333" spans="1:4">
      <c r="A13333" s="3"/>
      <c r="D13333" s="3"/>
    </row>
    <row r="13334" spans="1:4">
      <c r="A13334" s="3"/>
      <c r="D13334" s="3"/>
    </row>
    <row r="13335" spans="1:4">
      <c r="A13335" s="3"/>
      <c r="D13335" s="3"/>
    </row>
    <row r="13336" spans="1:4">
      <c r="A13336" s="3"/>
      <c r="D13336" s="3"/>
    </row>
    <row r="13337" spans="1:4">
      <c r="A13337" s="3"/>
      <c r="D13337" s="3"/>
    </row>
    <row r="13338" spans="1:4">
      <c r="A13338" s="3"/>
      <c r="D13338" s="3"/>
    </row>
    <row r="13339" spans="1:4">
      <c r="A13339" s="3"/>
      <c r="D13339" s="3"/>
    </row>
    <row r="13340" spans="1:4">
      <c r="A13340" s="3"/>
      <c r="D13340" s="3"/>
    </row>
    <row r="13341" spans="1:4">
      <c r="A13341" s="3"/>
      <c r="D13341" s="3"/>
    </row>
    <row r="13342" spans="1:4">
      <c r="A13342" s="3"/>
      <c r="D13342" s="3"/>
    </row>
    <row r="13343" spans="1:4">
      <c r="A13343" s="3"/>
      <c r="D13343" s="3"/>
    </row>
    <row r="13344" spans="1:4">
      <c r="A13344" s="3"/>
      <c r="D13344" s="3"/>
    </row>
    <row r="13345" spans="1:4">
      <c r="A13345" s="3"/>
      <c r="D13345" s="3"/>
    </row>
    <row r="13346" spans="1:4">
      <c r="A13346" s="3"/>
      <c r="D13346" s="3"/>
    </row>
    <row r="13347" spans="1:4">
      <c r="A13347" s="3"/>
      <c r="D13347" s="3"/>
    </row>
    <row r="13348" spans="1:4">
      <c r="A13348" s="3"/>
      <c r="D13348" s="3"/>
    </row>
    <row r="13349" spans="1:4">
      <c r="A13349" s="3"/>
      <c r="D13349" s="3"/>
    </row>
    <row r="13350" spans="1:4">
      <c r="A13350" s="3"/>
      <c r="D13350" s="3"/>
    </row>
    <row r="13351" spans="1:4">
      <c r="A13351" s="3"/>
      <c r="D13351" s="3"/>
    </row>
    <row r="13352" spans="1:4">
      <c r="A13352" s="3"/>
      <c r="D13352" s="3"/>
    </row>
    <row r="13353" spans="1:4">
      <c r="A13353" s="3"/>
      <c r="D13353" s="3"/>
    </row>
    <row r="13354" spans="1:4">
      <c r="A13354" s="3"/>
      <c r="D13354" s="3"/>
    </row>
    <row r="13355" spans="1:4">
      <c r="A13355" s="3"/>
      <c r="D13355" s="3"/>
    </row>
    <row r="13356" spans="1:4">
      <c r="A13356" s="3"/>
      <c r="D13356" s="3"/>
    </row>
    <row r="13357" spans="1:4">
      <c r="A13357" s="3"/>
      <c r="D13357" s="3"/>
    </row>
    <row r="13358" spans="1:4">
      <c r="A13358" s="3"/>
      <c r="D13358" s="3"/>
    </row>
    <row r="13359" spans="1:4">
      <c r="A13359" s="3"/>
      <c r="D13359" s="3"/>
    </row>
    <row r="13360" spans="1:4">
      <c r="A13360" s="3"/>
      <c r="D13360" s="3"/>
    </row>
    <row r="13361" spans="1:4">
      <c r="A13361" s="3"/>
      <c r="D13361" s="3"/>
    </row>
    <row r="13362" spans="1:4">
      <c r="A13362" s="3"/>
      <c r="D13362" s="3"/>
    </row>
    <row r="13363" spans="1:4">
      <c r="A13363" s="3"/>
      <c r="D13363" s="3"/>
    </row>
    <row r="13364" spans="1:4">
      <c r="A13364" s="3"/>
      <c r="D13364" s="3"/>
    </row>
    <row r="13365" spans="1:4">
      <c r="A13365" s="3"/>
      <c r="D13365" s="3"/>
    </row>
    <row r="13366" spans="1:4">
      <c r="A13366" s="3"/>
      <c r="D13366" s="3"/>
    </row>
    <row r="13367" spans="1:4">
      <c r="A13367" s="3"/>
      <c r="D13367" s="3"/>
    </row>
    <row r="13368" spans="1:4">
      <c r="A13368" s="3"/>
      <c r="D13368" s="3"/>
    </row>
    <row r="13369" spans="1:4">
      <c r="A13369" s="3"/>
      <c r="D13369" s="3"/>
    </row>
    <row r="13370" spans="1:4">
      <c r="A13370" s="3"/>
      <c r="D13370" s="3"/>
    </row>
    <row r="13371" spans="1:4">
      <c r="A13371" s="3"/>
      <c r="D13371" s="3"/>
    </row>
    <row r="13372" spans="1:4">
      <c r="A13372" s="3"/>
      <c r="D13372" s="3"/>
    </row>
    <row r="13373" spans="1:4">
      <c r="A13373" s="3"/>
      <c r="D13373" s="3"/>
    </row>
    <row r="13374" spans="1:4">
      <c r="A13374" s="3"/>
      <c r="D13374" s="3"/>
    </row>
    <row r="13375" spans="1:4">
      <c r="A13375" s="3"/>
      <c r="D13375" s="3"/>
    </row>
    <row r="13376" spans="1:4">
      <c r="A13376" s="3"/>
      <c r="D13376" s="3"/>
    </row>
    <row r="13377" spans="1:4">
      <c r="A13377" s="3"/>
      <c r="D13377" s="3"/>
    </row>
    <row r="13378" spans="1:4">
      <c r="A13378" s="3"/>
      <c r="D13378" s="3"/>
    </row>
    <row r="13379" spans="1:4">
      <c r="A13379" s="3"/>
      <c r="D13379" s="3"/>
    </row>
    <row r="13380" spans="1:4">
      <c r="A13380" s="3"/>
      <c r="D13380" s="3"/>
    </row>
    <row r="13381" spans="1:4">
      <c r="A13381" s="3"/>
      <c r="D13381" s="3"/>
    </row>
    <row r="13382" spans="1:4">
      <c r="A13382" s="3"/>
      <c r="D13382" s="3"/>
    </row>
    <row r="13383" spans="1:4">
      <c r="A13383" s="3"/>
      <c r="D13383" s="3"/>
    </row>
    <row r="13384" spans="1:4">
      <c r="A13384" s="3"/>
      <c r="D13384" s="3"/>
    </row>
    <row r="13385" spans="1:4">
      <c r="A13385" s="3"/>
      <c r="D13385" s="3"/>
    </row>
    <row r="13386" spans="1:4">
      <c r="A13386" s="3"/>
      <c r="D13386" s="3"/>
    </row>
    <row r="13387" spans="1:4">
      <c r="A13387" s="3"/>
      <c r="D13387" s="3"/>
    </row>
    <row r="13388" spans="1:4">
      <c r="A13388" s="3"/>
      <c r="D13388" s="3"/>
    </row>
    <row r="13389" spans="1:4">
      <c r="A13389" s="3"/>
      <c r="D13389" s="3"/>
    </row>
    <row r="13390" spans="1:4">
      <c r="A13390" s="3"/>
      <c r="D13390" s="3"/>
    </row>
    <row r="13391" spans="1:4">
      <c r="A13391" s="3"/>
      <c r="D13391" s="3"/>
    </row>
    <row r="13392" spans="1:4">
      <c r="A13392" s="3"/>
      <c r="D13392" s="3"/>
    </row>
    <row r="13393" spans="1:4">
      <c r="A13393" s="3"/>
      <c r="D13393" s="3"/>
    </row>
    <row r="13394" spans="1:4">
      <c r="A13394" s="3"/>
      <c r="D13394" s="3"/>
    </row>
    <row r="13395" spans="1:4">
      <c r="A13395" s="3"/>
      <c r="D13395" s="3"/>
    </row>
    <row r="13396" spans="1:4">
      <c r="A13396" s="3"/>
      <c r="D13396" s="3"/>
    </row>
    <row r="13397" spans="1:4">
      <c r="A13397" s="3"/>
      <c r="D13397" s="3"/>
    </row>
    <row r="13398" spans="1:4">
      <c r="A13398" s="3"/>
      <c r="D13398" s="3"/>
    </row>
    <row r="13399" spans="1:4">
      <c r="A13399" s="3"/>
      <c r="D13399" s="3"/>
    </row>
    <row r="13400" spans="1:4">
      <c r="A13400" s="3"/>
      <c r="D13400" s="3"/>
    </row>
    <row r="13401" spans="1:4">
      <c r="A13401" s="3"/>
      <c r="D13401" s="3"/>
    </row>
    <row r="13402" spans="1:4">
      <c r="A13402" s="3"/>
      <c r="D13402" s="3"/>
    </row>
    <row r="13403" spans="1:4">
      <c r="A13403" s="3"/>
      <c r="D13403" s="3"/>
    </row>
    <row r="13404" spans="1:4">
      <c r="A13404" s="3"/>
      <c r="D13404" s="3"/>
    </row>
    <row r="13405" spans="1:4">
      <c r="A13405" s="3"/>
      <c r="D13405" s="3"/>
    </row>
    <row r="13406" spans="1:4">
      <c r="A13406" s="3"/>
      <c r="D13406" s="3"/>
    </row>
    <row r="13407" spans="1:4">
      <c r="A13407" s="3"/>
      <c r="D13407" s="3"/>
    </row>
    <row r="13408" spans="1:4">
      <c r="A13408" s="3"/>
      <c r="D13408" s="3"/>
    </row>
    <row r="13409" spans="1:4">
      <c r="A13409" s="3"/>
      <c r="D13409" s="3"/>
    </row>
    <row r="13410" spans="1:4">
      <c r="A13410" s="3"/>
      <c r="D13410" s="3"/>
    </row>
    <row r="13411" spans="1:4">
      <c r="A13411" s="3"/>
      <c r="D13411" s="3"/>
    </row>
    <row r="13412" spans="1:4">
      <c r="A13412" s="3"/>
      <c r="D13412" s="3"/>
    </row>
    <row r="13413" spans="1:4">
      <c r="A13413" s="3"/>
      <c r="D13413" s="3"/>
    </row>
    <row r="13414" spans="1:4">
      <c r="A13414" s="3"/>
      <c r="D13414" s="3"/>
    </row>
    <row r="13415" spans="1:4">
      <c r="A13415" s="3"/>
      <c r="D13415" s="3"/>
    </row>
    <row r="13416" spans="1:4">
      <c r="A13416" s="3"/>
      <c r="D13416" s="3"/>
    </row>
    <row r="13417" spans="1:4">
      <c r="A13417" s="3"/>
      <c r="D13417" s="3"/>
    </row>
    <row r="13418" spans="1:4">
      <c r="A13418" s="3"/>
      <c r="D13418" s="3"/>
    </row>
    <row r="13419" spans="1:4">
      <c r="A13419" s="3"/>
      <c r="D13419" s="3"/>
    </row>
    <row r="13420" spans="1:4">
      <c r="A13420" s="3"/>
      <c r="D13420" s="3"/>
    </row>
    <row r="13421" spans="1:4">
      <c r="A13421" s="3"/>
      <c r="D13421" s="3"/>
    </row>
    <row r="13422" spans="1:4">
      <c r="A13422" s="3"/>
      <c r="D13422" s="3"/>
    </row>
    <row r="13423" spans="1:4">
      <c r="A13423" s="3"/>
      <c r="D13423" s="3"/>
    </row>
    <row r="13424" spans="1:4">
      <c r="A13424" s="3"/>
      <c r="D13424" s="3"/>
    </row>
    <row r="13425" spans="1:4">
      <c r="A13425" s="3"/>
      <c r="D13425" s="3"/>
    </row>
    <row r="13426" spans="1:4">
      <c r="A13426" s="3"/>
      <c r="D13426" s="3"/>
    </row>
    <row r="13427" spans="1:4">
      <c r="A13427" s="3"/>
      <c r="D13427" s="3"/>
    </row>
    <row r="13428" spans="1:4">
      <c r="A13428" s="3"/>
      <c r="D13428" s="3"/>
    </row>
    <row r="13429" spans="1:4">
      <c r="A13429" s="3"/>
      <c r="D13429" s="3"/>
    </row>
    <row r="13430" spans="1:4">
      <c r="A13430" s="3"/>
      <c r="D13430" s="3"/>
    </row>
    <row r="13431" spans="1:4">
      <c r="A13431" s="3"/>
      <c r="D13431" s="3"/>
    </row>
    <row r="13432" spans="1:4">
      <c r="A13432" s="3"/>
      <c r="D13432" s="3"/>
    </row>
    <row r="13433" spans="1:4">
      <c r="A13433" s="3"/>
      <c r="D13433" s="3"/>
    </row>
    <row r="13434" spans="1:4">
      <c r="A13434" s="3"/>
      <c r="D13434" s="3"/>
    </row>
    <row r="13435" spans="1:4">
      <c r="A13435" s="3"/>
      <c r="D13435" s="3"/>
    </row>
    <row r="13436" spans="1:4">
      <c r="A13436" s="3"/>
      <c r="D13436" s="3"/>
    </row>
    <row r="13437" spans="1:4">
      <c r="A13437" s="3"/>
      <c r="D13437" s="3"/>
    </row>
    <row r="13438" spans="1:4">
      <c r="A13438" s="3"/>
      <c r="D13438" s="3"/>
    </row>
    <row r="13439" spans="1:4">
      <c r="A13439" s="3"/>
      <c r="D13439" s="3"/>
    </row>
    <row r="13440" spans="1:4">
      <c r="A13440" s="3"/>
      <c r="D13440" s="3"/>
    </row>
    <row r="13441" spans="1:4">
      <c r="A13441" s="3"/>
      <c r="D13441" s="3"/>
    </row>
    <row r="13442" spans="1:4">
      <c r="A13442" s="3"/>
      <c r="D13442" s="3"/>
    </row>
    <row r="13443" spans="1:4">
      <c r="A13443" s="3"/>
      <c r="D13443" s="3"/>
    </row>
    <row r="13444" spans="1:4">
      <c r="A13444" s="3"/>
      <c r="D13444" s="3"/>
    </row>
    <row r="13445" spans="1:4">
      <c r="A13445" s="3"/>
      <c r="D13445" s="3"/>
    </row>
    <row r="13446" spans="1:4">
      <c r="A13446" s="3"/>
      <c r="D13446" s="3"/>
    </row>
    <row r="13447" spans="1:4">
      <c r="A13447" s="3"/>
      <c r="D13447" s="3"/>
    </row>
    <row r="13448" spans="1:4">
      <c r="A13448" s="3"/>
      <c r="D13448" s="3"/>
    </row>
    <row r="13449" spans="1:4">
      <c r="A13449" s="3"/>
      <c r="D13449" s="3"/>
    </row>
    <row r="13450" spans="1:4">
      <c r="A13450" s="3"/>
      <c r="D13450" s="3"/>
    </row>
    <row r="13451" spans="1:4">
      <c r="A13451" s="3"/>
      <c r="D13451" s="3"/>
    </row>
    <row r="13452" spans="1:4">
      <c r="A13452" s="3"/>
      <c r="D13452" s="3"/>
    </row>
    <row r="13453" spans="1:4">
      <c r="A13453" s="3"/>
      <c r="D13453" s="3"/>
    </row>
    <row r="13454" spans="1:4">
      <c r="A13454" s="3"/>
      <c r="D13454" s="3"/>
    </row>
    <row r="13455" spans="1:4">
      <c r="A13455" s="3"/>
      <c r="D13455" s="3"/>
    </row>
    <row r="13456" spans="1:4">
      <c r="A13456" s="3"/>
      <c r="D13456" s="3"/>
    </row>
    <row r="13457" spans="1:4">
      <c r="A13457" s="3"/>
      <c r="D13457" s="3"/>
    </row>
    <row r="13458" spans="1:4">
      <c r="A13458" s="3"/>
      <c r="D13458" s="3"/>
    </row>
    <row r="13459" spans="1:4">
      <c r="A13459" s="3"/>
      <c r="D13459" s="3"/>
    </row>
    <row r="13460" spans="1:4">
      <c r="A13460" s="3"/>
      <c r="D13460" s="3"/>
    </row>
    <row r="13461" spans="1:4">
      <c r="A13461" s="3"/>
      <c r="D13461" s="3"/>
    </row>
    <row r="13462" spans="1:4">
      <c r="A13462" s="3"/>
      <c r="D13462" s="3"/>
    </row>
    <row r="13463" spans="1:4">
      <c r="A13463" s="3"/>
      <c r="D13463" s="3"/>
    </row>
    <row r="13464" spans="1:4">
      <c r="A13464" s="3"/>
      <c r="D13464" s="3"/>
    </row>
    <row r="13465" spans="1:4">
      <c r="A13465" s="3"/>
      <c r="D13465" s="3"/>
    </row>
    <row r="13466" spans="1:4">
      <c r="A13466" s="3"/>
      <c r="D13466" s="3"/>
    </row>
    <row r="13467" spans="1:4">
      <c r="A13467" s="3"/>
      <c r="D13467" s="3"/>
    </row>
    <row r="13468" spans="1:4">
      <c r="A13468" s="3"/>
      <c r="D13468" s="3"/>
    </row>
    <row r="13469" spans="1:4">
      <c r="A13469" s="3"/>
      <c r="D13469" s="3"/>
    </row>
    <row r="13470" spans="1:4">
      <c r="A13470" s="3"/>
      <c r="D13470" s="3"/>
    </row>
    <row r="13471" spans="1:4">
      <c r="A13471" s="3"/>
      <c r="D13471" s="3"/>
    </row>
    <row r="13472" spans="1:4">
      <c r="A13472" s="3"/>
      <c r="D13472" s="3"/>
    </row>
    <row r="13473" spans="1:4">
      <c r="A13473" s="3"/>
      <c r="D13473" s="3"/>
    </row>
    <row r="13474" spans="1:4">
      <c r="A13474" s="3"/>
      <c r="D13474" s="3"/>
    </row>
    <row r="13475" spans="1:4">
      <c r="A13475" s="3"/>
      <c r="D13475" s="3"/>
    </row>
    <row r="13476" spans="1:4">
      <c r="A13476" s="3"/>
      <c r="D13476" s="3"/>
    </row>
    <row r="13477" spans="1:4">
      <c r="A13477" s="3"/>
      <c r="D13477" s="3"/>
    </row>
    <row r="13478" spans="1:4">
      <c r="A13478" s="3"/>
      <c r="D13478" s="3"/>
    </row>
    <row r="13479" spans="1:4">
      <c r="A13479" s="3"/>
      <c r="D13479" s="3"/>
    </row>
    <row r="13480" spans="1:4">
      <c r="A13480" s="3"/>
      <c r="D13480" s="3"/>
    </row>
    <row r="13481" spans="1:4">
      <c r="A13481" s="3"/>
      <c r="D13481" s="3"/>
    </row>
    <row r="13482" spans="1:4">
      <c r="A13482" s="3"/>
      <c r="D13482" s="3"/>
    </row>
    <row r="13483" spans="1:4">
      <c r="A13483" s="3"/>
      <c r="D13483" s="3"/>
    </row>
    <row r="13484" spans="1:4">
      <c r="A13484" s="3"/>
      <c r="D13484" s="3"/>
    </row>
    <row r="13485" spans="1:4">
      <c r="A13485" s="3"/>
      <c r="D13485" s="3"/>
    </row>
    <row r="13486" spans="1:4">
      <c r="A13486" s="3"/>
      <c r="D13486" s="3"/>
    </row>
    <row r="13487" spans="1:4">
      <c r="A13487" s="3"/>
      <c r="D13487" s="3"/>
    </row>
    <row r="13488" spans="1:4">
      <c r="A13488" s="3"/>
      <c r="D13488" s="3"/>
    </row>
    <row r="13489" spans="1:4">
      <c r="A13489" s="3"/>
      <c r="D13489" s="3"/>
    </row>
    <row r="13490" spans="1:4">
      <c r="A13490" s="3"/>
      <c r="D13490" s="3"/>
    </row>
    <row r="13491" spans="1:4">
      <c r="A13491" s="3"/>
      <c r="D13491" s="3"/>
    </row>
    <row r="13492" spans="1:4">
      <c r="A13492" s="3"/>
      <c r="D13492" s="3"/>
    </row>
    <row r="13493" spans="1:4">
      <c r="A13493" s="3"/>
      <c r="D13493" s="3"/>
    </row>
    <row r="13494" spans="1:4">
      <c r="A13494" s="3"/>
      <c r="D13494" s="3"/>
    </row>
    <row r="13495" spans="1:4">
      <c r="A13495" s="3"/>
      <c r="D13495" s="3"/>
    </row>
    <row r="13496" spans="1:4">
      <c r="A13496" s="3"/>
      <c r="D13496" s="3"/>
    </row>
    <row r="13497" spans="1:4">
      <c r="A13497" s="3"/>
      <c r="D13497" s="3"/>
    </row>
    <row r="13498" spans="1:4">
      <c r="A13498" s="3"/>
      <c r="D13498" s="3"/>
    </row>
    <row r="13499" spans="1:4">
      <c r="A13499" s="3"/>
      <c r="D13499" s="3"/>
    </row>
    <row r="13500" spans="1:4">
      <c r="A13500" s="3"/>
      <c r="D13500" s="3"/>
    </row>
    <row r="13501" spans="1:4">
      <c r="A13501" s="3"/>
      <c r="D13501" s="3"/>
    </row>
    <row r="13502" spans="1:4">
      <c r="A13502" s="3"/>
      <c r="D13502" s="3"/>
    </row>
    <row r="13503" spans="1:4">
      <c r="A13503" s="3"/>
      <c r="D13503" s="3"/>
    </row>
    <row r="13504" spans="1:4">
      <c r="A13504" s="3"/>
      <c r="D13504" s="3"/>
    </row>
    <row r="13505" spans="1:4">
      <c r="A13505" s="3"/>
      <c r="D13505" s="3"/>
    </row>
    <row r="13506" spans="1:4">
      <c r="A13506" s="3"/>
      <c r="D13506" s="3"/>
    </row>
    <row r="13507" spans="1:4">
      <c r="A13507" s="3"/>
      <c r="D13507" s="3"/>
    </row>
    <row r="13508" spans="1:4">
      <c r="A13508" s="3"/>
      <c r="D13508" s="3"/>
    </row>
    <row r="13509" spans="1:4">
      <c r="A13509" s="3"/>
      <c r="D13509" s="3"/>
    </row>
    <row r="13510" spans="1:4">
      <c r="A13510" s="3"/>
      <c r="D13510" s="3"/>
    </row>
    <row r="13511" spans="1:4">
      <c r="A13511" s="3"/>
      <c r="D13511" s="3"/>
    </row>
    <row r="13512" spans="1:4">
      <c r="A13512" s="3"/>
      <c r="D13512" s="3"/>
    </row>
    <row r="13513" spans="1:4">
      <c r="A13513" s="3"/>
      <c r="D13513" s="3"/>
    </row>
    <row r="13514" spans="1:4">
      <c r="A13514" s="3"/>
      <c r="D13514" s="3"/>
    </row>
    <row r="13515" spans="1:4">
      <c r="A13515" s="3"/>
      <c r="D13515" s="3"/>
    </row>
    <row r="13516" spans="1:4">
      <c r="A13516" s="3"/>
      <c r="D13516" s="3"/>
    </row>
    <row r="13517" spans="1:4">
      <c r="A13517" s="3"/>
      <c r="D13517" s="3"/>
    </row>
    <row r="13518" spans="1:4">
      <c r="A13518" s="3"/>
      <c r="D13518" s="3"/>
    </row>
    <row r="13519" spans="1:4">
      <c r="A13519" s="3"/>
      <c r="D13519" s="3"/>
    </row>
    <row r="13520" spans="1:4">
      <c r="A13520" s="3"/>
      <c r="D13520" s="3"/>
    </row>
    <row r="13521" spans="1:4">
      <c r="A13521" s="3"/>
      <c r="D13521" s="3"/>
    </row>
    <row r="13522" spans="1:4">
      <c r="A13522" s="3"/>
      <c r="D13522" s="3"/>
    </row>
    <row r="13523" spans="1:4">
      <c r="A13523" s="3"/>
      <c r="D13523" s="3"/>
    </row>
    <row r="13524" spans="1:4">
      <c r="A13524" s="3"/>
      <c r="D13524" s="3"/>
    </row>
    <row r="13525" spans="1:4">
      <c r="A13525" s="3"/>
      <c r="D13525" s="3"/>
    </row>
    <row r="13526" spans="1:4">
      <c r="A13526" s="3"/>
      <c r="D13526" s="3"/>
    </row>
    <row r="13527" spans="1:4">
      <c r="A13527" s="3"/>
      <c r="D13527" s="3"/>
    </row>
    <row r="13528" spans="1:4">
      <c r="A13528" s="3"/>
      <c r="D13528" s="3"/>
    </row>
    <row r="13529" spans="1:4">
      <c r="A13529" s="3"/>
      <c r="D13529" s="3"/>
    </row>
    <row r="13530" spans="1:4">
      <c r="A13530" s="3"/>
      <c r="D13530" s="3"/>
    </row>
    <row r="13531" spans="1:4">
      <c r="A13531" s="3"/>
      <c r="D13531" s="3"/>
    </row>
    <row r="13532" spans="1:4">
      <c r="A13532" s="3"/>
      <c r="D13532" s="3"/>
    </row>
    <row r="13533" spans="1:4">
      <c r="A13533" s="3"/>
      <c r="D13533" s="3"/>
    </row>
    <row r="13534" spans="1:4">
      <c r="A13534" s="3"/>
      <c r="D13534" s="3"/>
    </row>
    <row r="13535" spans="1:4">
      <c r="A13535" s="3"/>
      <c r="D13535" s="3"/>
    </row>
    <row r="13536" spans="1:4">
      <c r="A13536" s="3"/>
      <c r="D13536" s="3"/>
    </row>
    <row r="13537" spans="1:4">
      <c r="A13537" s="3"/>
      <c r="D13537" s="3"/>
    </row>
    <row r="13538" spans="1:4">
      <c r="A13538" s="3"/>
      <c r="D13538" s="3"/>
    </row>
    <row r="13539" spans="1:4">
      <c r="A13539" s="3"/>
      <c r="D13539" s="3"/>
    </row>
    <row r="13540" spans="1:4">
      <c r="A13540" s="3"/>
      <c r="D13540" s="3"/>
    </row>
    <row r="13541" spans="1:4">
      <c r="A13541" s="3"/>
      <c r="D13541" s="3"/>
    </row>
    <row r="13542" spans="1:4">
      <c r="A13542" s="3"/>
      <c r="D13542" s="3"/>
    </row>
    <row r="13543" spans="1:4">
      <c r="A13543" s="3"/>
      <c r="D13543" s="3"/>
    </row>
    <row r="13544" spans="1:4">
      <c r="A13544" s="3"/>
      <c r="D13544" s="3"/>
    </row>
    <row r="13545" spans="1:4">
      <c r="A13545" s="3"/>
      <c r="D13545" s="3"/>
    </row>
    <row r="13546" spans="1:4">
      <c r="A13546" s="3"/>
      <c r="D13546" s="3"/>
    </row>
    <row r="13547" spans="1:4">
      <c r="A13547" s="3"/>
      <c r="D13547" s="3"/>
    </row>
    <row r="13548" spans="1:4">
      <c r="A13548" s="3"/>
      <c r="D13548" s="3"/>
    </row>
    <row r="13549" spans="1:4">
      <c r="A13549" s="3"/>
      <c r="D13549" s="3"/>
    </row>
    <row r="13550" spans="1:4">
      <c r="A13550" s="3"/>
      <c r="D13550" s="3"/>
    </row>
    <row r="13551" spans="1:4">
      <c r="A13551" s="3"/>
      <c r="D13551" s="3"/>
    </row>
    <row r="13552" spans="1:4">
      <c r="A13552" s="3"/>
      <c r="D13552" s="3"/>
    </row>
    <row r="13553" spans="1:4">
      <c r="A13553" s="3"/>
      <c r="D13553" s="3"/>
    </row>
    <row r="13554" spans="1:4">
      <c r="A13554" s="3"/>
      <c r="D13554" s="3"/>
    </row>
    <row r="13555" spans="1:4">
      <c r="A13555" s="3"/>
      <c r="D13555" s="3"/>
    </row>
    <row r="13556" spans="1:4">
      <c r="A13556" s="3"/>
      <c r="D13556" s="3"/>
    </row>
    <row r="13557" spans="1:4">
      <c r="A13557" s="3"/>
      <c r="D13557" s="3"/>
    </row>
    <row r="13558" spans="1:4">
      <c r="A13558" s="3"/>
      <c r="D13558" s="3"/>
    </row>
    <row r="13559" spans="1:4">
      <c r="A13559" s="3"/>
      <c r="D13559" s="3"/>
    </row>
    <row r="13560" spans="1:4">
      <c r="A13560" s="3"/>
      <c r="D13560" s="3"/>
    </row>
    <row r="13561" spans="1:4">
      <c r="A13561" s="3"/>
      <c r="D13561" s="3"/>
    </row>
    <row r="13562" spans="1:4">
      <c r="A13562" s="3"/>
      <c r="D13562" s="3"/>
    </row>
    <row r="13563" spans="1:4">
      <c r="A13563" s="3"/>
      <c r="D13563" s="3"/>
    </row>
    <row r="13564" spans="1:4">
      <c r="A13564" s="3"/>
      <c r="D13564" s="3"/>
    </row>
    <row r="13565" spans="1:4">
      <c r="A13565" s="3"/>
      <c r="D13565" s="3"/>
    </row>
    <row r="13566" spans="1:4">
      <c r="A13566" s="3"/>
      <c r="D13566" s="3"/>
    </row>
    <row r="13567" spans="1:4">
      <c r="A13567" s="3"/>
      <c r="D13567" s="3"/>
    </row>
    <row r="13568" spans="1:4">
      <c r="A13568" s="3"/>
      <c r="D13568" s="3"/>
    </row>
    <row r="13569" spans="1:4">
      <c r="A13569" s="3"/>
      <c r="D13569" s="3"/>
    </row>
    <row r="13570" spans="1:4">
      <c r="A13570" s="3"/>
      <c r="D13570" s="3"/>
    </row>
    <row r="13571" spans="1:4">
      <c r="A13571" s="3"/>
      <c r="D13571" s="3"/>
    </row>
    <row r="13572" spans="1:4">
      <c r="A13572" s="3"/>
      <c r="D13572" s="3"/>
    </row>
    <row r="13573" spans="1:4">
      <c r="A13573" s="3"/>
      <c r="D13573" s="3"/>
    </row>
    <row r="13574" spans="1:4">
      <c r="A13574" s="3"/>
      <c r="D13574" s="3"/>
    </row>
    <row r="13575" spans="1:4">
      <c r="A13575" s="3"/>
      <c r="D13575" s="3"/>
    </row>
    <row r="13576" spans="1:4">
      <c r="A13576" s="3"/>
      <c r="D13576" s="3"/>
    </row>
    <row r="13577" spans="1:4">
      <c r="A13577" s="3"/>
      <c r="D13577" s="3"/>
    </row>
    <row r="13578" spans="1:4">
      <c r="A13578" s="3"/>
      <c r="D13578" s="3"/>
    </row>
    <row r="13579" spans="1:4">
      <c r="A13579" s="3"/>
      <c r="D13579" s="3"/>
    </row>
    <row r="13580" spans="1:4">
      <c r="A13580" s="3"/>
      <c r="D13580" s="3"/>
    </row>
    <row r="13581" spans="1:4">
      <c r="A13581" s="3"/>
      <c r="D13581" s="3"/>
    </row>
    <row r="13582" spans="1:4">
      <c r="A13582" s="3"/>
      <c r="D13582" s="3"/>
    </row>
    <row r="13583" spans="1:4">
      <c r="A13583" s="3"/>
      <c r="D13583" s="3"/>
    </row>
    <row r="13584" spans="1:4">
      <c r="A13584" s="3"/>
      <c r="D13584" s="3"/>
    </row>
    <row r="13585" spans="1:4">
      <c r="A13585" s="3"/>
      <c r="D13585" s="3"/>
    </row>
    <row r="13586" spans="1:4">
      <c r="A13586" s="3"/>
      <c r="D13586" s="3"/>
    </row>
    <row r="13587" spans="1:4">
      <c r="A13587" s="3"/>
      <c r="D13587" s="3"/>
    </row>
    <row r="13588" spans="1:4">
      <c r="A13588" s="3"/>
      <c r="D13588" s="3"/>
    </row>
    <row r="13589" spans="1:4">
      <c r="A13589" s="3"/>
      <c r="D13589" s="3"/>
    </row>
    <row r="13590" spans="1:4">
      <c r="A13590" s="3"/>
      <c r="D13590" s="3"/>
    </row>
    <row r="13591" spans="1:4">
      <c r="A13591" s="3"/>
      <c r="D13591" s="3"/>
    </row>
    <row r="13592" spans="1:4">
      <c r="A13592" s="3"/>
      <c r="D13592" s="3"/>
    </row>
    <row r="13593" spans="1:4">
      <c r="A13593" s="3"/>
      <c r="D13593" s="3"/>
    </row>
    <row r="13594" spans="1:4">
      <c r="A13594" s="3"/>
      <c r="D13594" s="3"/>
    </row>
    <row r="13595" spans="1:4">
      <c r="A13595" s="3"/>
      <c r="D13595" s="3"/>
    </row>
    <row r="13596" spans="1:4">
      <c r="A13596" s="3"/>
      <c r="D13596" s="3"/>
    </row>
    <row r="13597" spans="1:4">
      <c r="A13597" s="3"/>
      <c r="D13597" s="3"/>
    </row>
    <row r="13598" spans="1:4">
      <c r="A13598" s="3"/>
      <c r="D13598" s="3"/>
    </row>
    <row r="13599" spans="1:4">
      <c r="A13599" s="3"/>
      <c r="D13599" s="3"/>
    </row>
    <row r="13600" spans="1:4">
      <c r="A13600" s="3"/>
      <c r="D13600" s="3"/>
    </row>
    <row r="13601" spans="1:4">
      <c r="A13601" s="3"/>
      <c r="D13601" s="3"/>
    </row>
    <row r="13602" spans="1:4">
      <c r="A13602" s="3"/>
      <c r="D13602" s="3"/>
    </row>
    <row r="13603" spans="1:4">
      <c r="A13603" s="3"/>
      <c r="D13603" s="3"/>
    </row>
    <row r="13604" spans="1:4">
      <c r="A13604" s="3"/>
      <c r="D13604" s="3"/>
    </row>
    <row r="13605" spans="1:4">
      <c r="A13605" s="3"/>
      <c r="D13605" s="3"/>
    </row>
    <row r="13606" spans="1:4">
      <c r="A13606" s="3"/>
      <c r="D13606" s="3"/>
    </row>
    <row r="13607" spans="1:4">
      <c r="A13607" s="3"/>
      <c r="D13607" s="3"/>
    </row>
    <row r="13608" spans="1:4">
      <c r="A13608" s="3"/>
      <c r="D13608" s="3"/>
    </row>
    <row r="13609" spans="1:4">
      <c r="A13609" s="3"/>
      <c r="D13609" s="3"/>
    </row>
    <row r="13610" spans="1:4">
      <c r="A13610" s="3"/>
      <c r="D13610" s="3"/>
    </row>
    <row r="13611" spans="1:4">
      <c r="A13611" s="3"/>
      <c r="D13611" s="3"/>
    </row>
    <row r="13612" spans="1:4">
      <c r="A13612" s="3"/>
      <c r="D13612" s="3"/>
    </row>
    <row r="13613" spans="1:4">
      <c r="A13613" s="3"/>
      <c r="D13613" s="3"/>
    </row>
    <row r="13614" spans="1:4">
      <c r="A13614" s="3"/>
      <c r="D13614" s="3"/>
    </row>
    <row r="13615" spans="1:4">
      <c r="A13615" s="3"/>
      <c r="D13615" s="3"/>
    </row>
    <row r="13616" spans="1:4">
      <c r="A13616" s="3"/>
      <c r="D13616" s="3"/>
    </row>
    <row r="13617" spans="1:4">
      <c r="A13617" s="3"/>
      <c r="D13617" s="3"/>
    </row>
    <row r="13618" spans="1:4">
      <c r="A13618" s="3"/>
      <c r="D13618" s="3"/>
    </row>
    <row r="13619" spans="1:4">
      <c r="A13619" s="3"/>
      <c r="D13619" s="3"/>
    </row>
    <row r="13620" spans="1:4">
      <c r="A13620" s="3"/>
      <c r="D13620" s="3"/>
    </row>
    <row r="13621" spans="1:4">
      <c r="A13621" s="3"/>
      <c r="D13621" s="3"/>
    </row>
    <row r="13622" spans="1:4">
      <c r="A13622" s="3"/>
      <c r="D13622" s="3"/>
    </row>
    <row r="13623" spans="1:4">
      <c r="A13623" s="3"/>
      <c r="D13623" s="3"/>
    </row>
    <row r="13624" spans="1:4">
      <c r="A13624" s="3"/>
      <c r="D13624" s="3"/>
    </row>
    <row r="13625" spans="1:4">
      <c r="A13625" s="3"/>
      <c r="D13625" s="3"/>
    </row>
    <row r="13626" spans="1:4">
      <c r="A13626" s="3"/>
      <c r="D13626" s="3"/>
    </row>
    <row r="13627" spans="1:4">
      <c r="A13627" s="3"/>
      <c r="D13627" s="3"/>
    </row>
    <row r="13628" spans="1:4">
      <c r="A13628" s="3"/>
      <c r="D13628" s="3"/>
    </row>
    <row r="13629" spans="1:4">
      <c r="A13629" s="3"/>
      <c r="D13629" s="3"/>
    </row>
    <row r="13630" spans="1:4">
      <c r="A13630" s="3"/>
      <c r="D13630" s="3"/>
    </row>
    <row r="13631" spans="1:4">
      <c r="A13631" s="3"/>
      <c r="D13631" s="3"/>
    </row>
    <row r="13632" spans="1:4">
      <c r="A13632" s="3"/>
      <c r="D13632" s="3"/>
    </row>
    <row r="13633" spans="1:4">
      <c r="A13633" s="3"/>
      <c r="D13633" s="3"/>
    </row>
    <row r="13634" spans="1:4">
      <c r="A13634" s="3"/>
      <c r="D13634" s="3"/>
    </row>
    <row r="13635" spans="1:4">
      <c r="A13635" s="3"/>
      <c r="D13635" s="3"/>
    </row>
    <row r="13636" spans="1:4">
      <c r="A13636" s="3"/>
      <c r="D13636" s="3"/>
    </row>
    <row r="13637" spans="1:4">
      <c r="A13637" s="3"/>
      <c r="D13637" s="3"/>
    </row>
    <row r="13638" spans="1:4">
      <c r="A13638" s="3"/>
      <c r="D13638" s="3"/>
    </row>
    <row r="13639" spans="1:4">
      <c r="A13639" s="3"/>
      <c r="D13639" s="3"/>
    </row>
    <row r="13640" spans="1:4">
      <c r="A13640" s="3"/>
      <c r="D13640" s="3"/>
    </row>
    <row r="13641" spans="1:4">
      <c r="A13641" s="3"/>
      <c r="D13641" s="3"/>
    </row>
    <row r="13642" spans="1:4">
      <c r="A13642" s="3"/>
      <c r="D13642" s="3"/>
    </row>
    <row r="13643" spans="1:4">
      <c r="A13643" s="3"/>
      <c r="D13643" s="3"/>
    </row>
    <row r="13644" spans="1:4">
      <c r="A13644" s="3"/>
      <c r="D13644" s="3"/>
    </row>
    <row r="13645" spans="1:4">
      <c r="A13645" s="3"/>
      <c r="D13645" s="3"/>
    </row>
    <row r="13646" spans="1:4">
      <c r="A13646" s="3"/>
      <c r="D13646" s="3"/>
    </row>
    <row r="13647" spans="1:4">
      <c r="A13647" s="3"/>
      <c r="D13647" s="3"/>
    </row>
    <row r="13648" spans="1:4">
      <c r="A13648" s="3"/>
      <c r="D13648" s="3"/>
    </row>
    <row r="13649" spans="1:4">
      <c r="A13649" s="3"/>
      <c r="D13649" s="3"/>
    </row>
    <row r="13650" spans="1:4">
      <c r="A13650" s="3"/>
      <c r="D13650" s="3"/>
    </row>
    <row r="13651" spans="1:4">
      <c r="A13651" s="3"/>
      <c r="D13651" s="3"/>
    </row>
    <row r="13652" spans="1:4">
      <c r="A13652" s="3"/>
      <c r="D13652" s="3"/>
    </row>
    <row r="13653" spans="1:4">
      <c r="A13653" s="3"/>
      <c r="D13653" s="3"/>
    </row>
    <row r="13654" spans="1:4">
      <c r="A13654" s="3"/>
      <c r="D13654" s="3"/>
    </row>
    <row r="13655" spans="1:4">
      <c r="A13655" s="3"/>
      <c r="D13655" s="3"/>
    </row>
    <row r="13656" spans="1:4">
      <c r="A13656" s="3"/>
      <c r="D13656" s="3"/>
    </row>
    <row r="13657" spans="1:4">
      <c r="A13657" s="3"/>
      <c r="D13657" s="3"/>
    </row>
    <row r="13658" spans="1:4">
      <c r="A13658" s="3"/>
      <c r="D13658" s="3"/>
    </row>
    <row r="13659" spans="1:4">
      <c r="A13659" s="3"/>
      <c r="D13659" s="3"/>
    </row>
    <row r="13660" spans="1:4">
      <c r="A13660" s="3"/>
      <c r="D13660" s="3"/>
    </row>
    <row r="13661" spans="1:4">
      <c r="A13661" s="3"/>
      <c r="D13661" s="3"/>
    </row>
    <row r="13662" spans="1:4">
      <c r="A13662" s="3"/>
      <c r="D13662" s="3"/>
    </row>
    <row r="13663" spans="1:4">
      <c r="A13663" s="3"/>
      <c r="D13663" s="3"/>
    </row>
    <row r="13664" spans="1:4">
      <c r="A13664" s="3"/>
      <c r="D13664" s="3"/>
    </row>
    <row r="13665" spans="1:4">
      <c r="A13665" s="3"/>
      <c r="D13665" s="3"/>
    </row>
    <row r="13666" spans="1:4">
      <c r="A13666" s="3"/>
      <c r="D13666" s="3"/>
    </row>
    <row r="13667" spans="1:4">
      <c r="A13667" s="3"/>
      <c r="D13667" s="3"/>
    </row>
    <row r="13668" spans="1:4">
      <c r="A13668" s="3"/>
      <c r="D13668" s="3"/>
    </row>
    <row r="13669" spans="1:4">
      <c r="A13669" s="3"/>
      <c r="D13669" s="3"/>
    </row>
    <row r="13670" spans="1:4">
      <c r="A13670" s="3"/>
      <c r="D13670" s="3"/>
    </row>
    <row r="13671" spans="1:4">
      <c r="A13671" s="3"/>
      <c r="D13671" s="3"/>
    </row>
    <row r="13672" spans="1:4">
      <c r="A13672" s="3"/>
      <c r="D13672" s="3"/>
    </row>
    <row r="13673" spans="1:4">
      <c r="A13673" s="3"/>
      <c r="D13673" s="3"/>
    </row>
    <row r="13674" spans="1:4">
      <c r="A13674" s="3"/>
      <c r="D13674" s="3"/>
    </row>
    <row r="13675" spans="1:4">
      <c r="A13675" s="3"/>
      <c r="D13675" s="3"/>
    </row>
    <row r="13676" spans="1:4">
      <c r="A13676" s="3"/>
      <c r="D13676" s="3"/>
    </row>
    <row r="13677" spans="1:4">
      <c r="A13677" s="3"/>
      <c r="D13677" s="3"/>
    </row>
    <row r="13678" spans="1:4">
      <c r="A13678" s="3"/>
      <c r="D13678" s="3"/>
    </row>
    <row r="13679" spans="1:4">
      <c r="A13679" s="3"/>
      <c r="D13679" s="3"/>
    </row>
    <row r="13680" spans="1:4">
      <c r="A13680" s="3"/>
      <c r="D13680" s="3"/>
    </row>
    <row r="13681" spans="1:4">
      <c r="A13681" s="3"/>
      <c r="D13681" s="3"/>
    </row>
    <row r="13682" spans="1:4">
      <c r="A13682" s="3"/>
      <c r="D13682" s="3"/>
    </row>
    <row r="13683" spans="1:4">
      <c r="A13683" s="3"/>
      <c r="D13683" s="3"/>
    </row>
    <row r="13684" spans="1:4">
      <c r="A13684" s="3"/>
      <c r="D13684" s="3"/>
    </row>
    <row r="13685" spans="1:4">
      <c r="A13685" s="3"/>
      <c r="D13685" s="3"/>
    </row>
    <row r="13686" spans="1:4">
      <c r="A13686" s="3"/>
      <c r="D13686" s="3"/>
    </row>
    <row r="13687" spans="1:4">
      <c r="A13687" s="3"/>
      <c r="D13687" s="3"/>
    </row>
    <row r="13688" spans="1:4">
      <c r="A13688" s="3"/>
      <c r="D13688" s="3"/>
    </row>
    <row r="13689" spans="1:4">
      <c r="A13689" s="3"/>
      <c r="D13689" s="3"/>
    </row>
    <row r="13690" spans="1:4">
      <c r="A13690" s="3"/>
      <c r="D13690" s="3"/>
    </row>
    <row r="13691" spans="1:4">
      <c r="A13691" s="3"/>
      <c r="D13691" s="3"/>
    </row>
    <row r="13692" spans="1:4">
      <c r="A13692" s="3"/>
      <c r="D13692" s="3"/>
    </row>
    <row r="13693" spans="1:4">
      <c r="A13693" s="3"/>
      <c r="D13693" s="3"/>
    </row>
    <row r="13694" spans="1:4">
      <c r="A13694" s="3"/>
      <c r="D13694" s="3"/>
    </row>
    <row r="13695" spans="1:4">
      <c r="A13695" s="3"/>
      <c r="D13695" s="3"/>
    </row>
    <row r="13696" spans="1:4">
      <c r="A13696" s="3"/>
      <c r="D13696" s="3"/>
    </row>
    <row r="13697" spans="1:4">
      <c r="A13697" s="3"/>
      <c r="D13697" s="3"/>
    </row>
    <row r="13698" spans="1:4">
      <c r="A13698" s="3"/>
      <c r="D13698" s="3"/>
    </row>
    <row r="13699" spans="1:4">
      <c r="A13699" s="3"/>
      <c r="D13699" s="3"/>
    </row>
    <row r="13700" spans="1:4">
      <c r="A13700" s="3"/>
      <c r="D13700" s="3"/>
    </row>
    <row r="13701" spans="1:4">
      <c r="A13701" s="3"/>
      <c r="D13701" s="3"/>
    </row>
    <row r="13702" spans="1:4">
      <c r="A13702" s="3"/>
      <c r="D13702" s="3"/>
    </row>
    <row r="13703" spans="1:4">
      <c r="A13703" s="3"/>
      <c r="D13703" s="3"/>
    </row>
    <row r="13704" spans="1:4">
      <c r="A13704" s="3"/>
      <c r="D13704" s="3"/>
    </row>
    <row r="13705" spans="1:4">
      <c r="A13705" s="3"/>
      <c r="D13705" s="3"/>
    </row>
    <row r="13706" spans="1:4">
      <c r="A13706" s="3"/>
      <c r="D13706" s="3"/>
    </row>
    <row r="13707" spans="1:4">
      <c r="A13707" s="3"/>
      <c r="D13707" s="3"/>
    </row>
    <row r="13708" spans="1:4">
      <c r="A13708" s="3"/>
      <c r="D13708" s="3"/>
    </row>
    <row r="13709" spans="1:4">
      <c r="A13709" s="3"/>
      <c r="D13709" s="3"/>
    </row>
    <row r="13710" spans="1:4">
      <c r="A13710" s="3"/>
      <c r="D13710" s="3"/>
    </row>
    <row r="13711" spans="1:4">
      <c r="A13711" s="3"/>
      <c r="D13711" s="3"/>
    </row>
    <row r="13712" spans="1:4">
      <c r="A13712" s="3"/>
      <c r="D13712" s="3"/>
    </row>
    <row r="13713" spans="1:4">
      <c r="A13713" s="3"/>
      <c r="D13713" s="3"/>
    </row>
    <row r="13714" spans="1:4">
      <c r="A13714" s="3"/>
      <c r="D13714" s="3"/>
    </row>
    <row r="13715" spans="1:4">
      <c r="A13715" s="3"/>
      <c r="D13715" s="3"/>
    </row>
    <row r="13716" spans="1:4">
      <c r="A13716" s="3"/>
      <c r="D13716" s="3"/>
    </row>
    <row r="13717" spans="1:4">
      <c r="A13717" s="3"/>
      <c r="D13717" s="3"/>
    </row>
    <row r="13718" spans="1:4">
      <c r="A13718" s="3"/>
      <c r="D13718" s="3"/>
    </row>
    <row r="13719" spans="1:4">
      <c r="A13719" s="3"/>
      <c r="D13719" s="3"/>
    </row>
    <row r="13720" spans="1:4">
      <c r="A13720" s="3"/>
      <c r="D13720" s="3"/>
    </row>
    <row r="13721" spans="1:4">
      <c r="A13721" s="3"/>
      <c r="D13721" s="3"/>
    </row>
    <row r="13722" spans="1:4">
      <c r="A13722" s="3"/>
      <c r="D13722" s="3"/>
    </row>
    <row r="13723" spans="1:4">
      <c r="A13723" s="3"/>
      <c r="D13723" s="3"/>
    </row>
    <row r="13724" spans="1:4">
      <c r="A13724" s="3"/>
      <c r="D13724" s="3"/>
    </row>
    <row r="13725" spans="1:4">
      <c r="A13725" s="3"/>
      <c r="D13725" s="3"/>
    </row>
    <row r="13726" spans="1:4">
      <c r="A13726" s="3"/>
      <c r="D13726" s="3"/>
    </row>
    <row r="13727" spans="1:4">
      <c r="A13727" s="3"/>
      <c r="D13727" s="3"/>
    </row>
    <row r="13728" spans="1:4">
      <c r="A13728" s="3"/>
      <c r="D13728" s="3"/>
    </row>
    <row r="13729" spans="1:4">
      <c r="A13729" s="3"/>
      <c r="D13729" s="3"/>
    </row>
    <row r="13730" spans="1:4">
      <c r="A13730" s="3"/>
      <c r="D13730" s="3"/>
    </row>
    <row r="13731" spans="1:4">
      <c r="A13731" s="3"/>
      <c r="D13731" s="3"/>
    </row>
    <row r="13732" spans="1:4">
      <c r="A13732" s="3"/>
      <c r="D13732" s="3"/>
    </row>
    <row r="13733" spans="1:4">
      <c r="A13733" s="3"/>
      <c r="D13733" s="3"/>
    </row>
    <row r="13734" spans="1:4">
      <c r="A13734" s="3"/>
      <c r="D13734" s="3"/>
    </row>
    <row r="13735" spans="1:4">
      <c r="A13735" s="3"/>
      <c r="D13735" s="3"/>
    </row>
    <row r="13736" spans="1:4">
      <c r="A13736" s="3"/>
      <c r="D13736" s="3"/>
    </row>
    <row r="13737" spans="1:4">
      <c r="A13737" s="3"/>
      <c r="D13737" s="3"/>
    </row>
    <row r="13738" spans="1:4">
      <c r="A13738" s="3"/>
      <c r="D13738" s="3"/>
    </row>
    <row r="13739" spans="1:4">
      <c r="A13739" s="3"/>
      <c r="D13739" s="3"/>
    </row>
    <row r="13740" spans="1:4">
      <c r="A13740" s="3"/>
      <c r="D13740" s="3"/>
    </row>
    <row r="13741" spans="1:4">
      <c r="A13741" s="3"/>
      <c r="D13741" s="3"/>
    </row>
    <row r="13742" spans="1:4">
      <c r="A13742" s="3"/>
      <c r="D13742" s="3"/>
    </row>
    <row r="13743" spans="1:4">
      <c r="A13743" s="3"/>
      <c r="D13743" s="3"/>
    </row>
    <row r="13744" spans="1:4">
      <c r="A13744" s="3"/>
      <c r="D13744" s="3"/>
    </row>
    <row r="13745" spans="1:4">
      <c r="A13745" s="3"/>
      <c r="D13745" s="3"/>
    </row>
    <row r="13746" spans="1:4">
      <c r="A13746" s="3"/>
      <c r="D13746" s="3"/>
    </row>
    <row r="13747" spans="1:4">
      <c r="A13747" s="3"/>
      <c r="D13747" s="3"/>
    </row>
    <row r="13748" spans="1:4">
      <c r="A13748" s="3"/>
      <c r="D13748" s="3"/>
    </row>
    <row r="13749" spans="1:4">
      <c r="A13749" s="3"/>
      <c r="D13749" s="3"/>
    </row>
    <row r="13750" spans="1:4">
      <c r="A13750" s="3"/>
      <c r="D13750" s="3"/>
    </row>
    <row r="13751" spans="1:4">
      <c r="A13751" s="3"/>
      <c r="D13751" s="3"/>
    </row>
    <row r="13752" spans="1:4">
      <c r="A13752" s="3"/>
      <c r="D13752" s="3"/>
    </row>
    <row r="13753" spans="1:4">
      <c r="A13753" s="3"/>
      <c r="D13753" s="3"/>
    </row>
    <row r="13754" spans="1:4">
      <c r="A13754" s="3"/>
      <c r="D13754" s="3"/>
    </row>
    <row r="13755" spans="1:4">
      <c r="A13755" s="3"/>
      <c r="D13755" s="3"/>
    </row>
    <row r="13756" spans="1:4">
      <c r="A13756" s="3"/>
      <c r="D13756" s="3"/>
    </row>
    <row r="13757" spans="1:4">
      <c r="A13757" s="3"/>
      <c r="D13757" s="3"/>
    </row>
    <row r="13758" spans="1:4">
      <c r="A13758" s="3"/>
      <c r="D13758" s="3"/>
    </row>
    <row r="13759" spans="1:4">
      <c r="A13759" s="3"/>
      <c r="D13759" s="3"/>
    </row>
    <row r="13760" spans="1:4">
      <c r="A13760" s="3"/>
      <c r="D13760" s="3"/>
    </row>
    <row r="13761" spans="1:4">
      <c r="A13761" s="3"/>
      <c r="D13761" s="3"/>
    </row>
    <row r="13762" spans="1:4">
      <c r="A13762" s="3"/>
      <c r="D13762" s="3"/>
    </row>
    <row r="13763" spans="1:4">
      <c r="A13763" s="3"/>
      <c r="D13763" s="3"/>
    </row>
    <row r="13764" spans="1:4">
      <c r="A13764" s="3"/>
      <c r="D13764" s="3"/>
    </row>
    <row r="13765" spans="1:4">
      <c r="A13765" s="3"/>
      <c r="D13765" s="3"/>
    </row>
    <row r="13766" spans="1:4">
      <c r="A13766" s="3"/>
      <c r="D13766" s="3"/>
    </row>
    <row r="13767" spans="1:4">
      <c r="A13767" s="3"/>
      <c r="D13767" s="3"/>
    </row>
    <row r="13768" spans="1:4">
      <c r="A13768" s="3"/>
      <c r="D13768" s="3"/>
    </row>
    <row r="13769" spans="1:4">
      <c r="A13769" s="3"/>
      <c r="D13769" s="3"/>
    </row>
    <row r="13770" spans="1:4">
      <c r="A13770" s="3"/>
      <c r="D13770" s="3"/>
    </row>
    <row r="13771" spans="1:4">
      <c r="A13771" s="3"/>
      <c r="D13771" s="3"/>
    </row>
    <row r="13772" spans="1:4">
      <c r="A13772" s="3"/>
      <c r="D13772" s="3"/>
    </row>
    <row r="13773" spans="1:4">
      <c r="A13773" s="3"/>
      <c r="D13773" s="3"/>
    </row>
    <row r="13774" spans="1:4">
      <c r="A13774" s="3"/>
      <c r="D13774" s="3"/>
    </row>
    <row r="13775" spans="1:4">
      <c r="A13775" s="3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Y17011"/>
  <sheetViews>
    <sheetView workbookViewId="0">
      <selection sqref="A1:XFD1048576"/>
    </sheetView>
  </sheetViews>
  <sheetFormatPr defaultColWidth="9" defaultRowHeight="12.75"/>
  <cols>
    <col min="1" max="1" width="6.125" style="10" customWidth="1"/>
    <col min="2" max="2" width="20.125" style="3" customWidth="1"/>
    <col min="3" max="3" width="13.75" style="3" customWidth="1"/>
    <col min="4" max="4" width="13.75" style="167" customWidth="1"/>
    <col min="5" max="8" width="13.75" style="3" customWidth="1"/>
    <col min="9" max="9" width="14.25" style="3" customWidth="1"/>
    <col min="10" max="13" width="11.125" style="3" customWidth="1"/>
    <col min="14" max="14" width="14" style="3" customWidth="1"/>
    <col min="15" max="17" width="11" style="3" customWidth="1"/>
    <col min="18" max="18" width="13.875" style="3" customWidth="1"/>
    <col min="19" max="19" width="9.375" style="3" hidden="1" customWidth="1"/>
    <col min="20" max="20" width="10.75" style="3" customWidth="1"/>
    <col min="21" max="21" width="10.875" style="3" customWidth="1"/>
    <col min="22" max="22" width="11.5" style="3" customWidth="1"/>
    <col min="23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 ht="15.75">
      <c r="B3" s="10"/>
      <c r="D3" s="3"/>
      <c r="U3"/>
      <c r="V3"/>
      <c r="W3"/>
    </row>
    <row r="4" spans="1:25" ht="15.75">
      <c r="B4" s="10"/>
      <c r="D4" s="3"/>
      <c r="T4" s="575"/>
      <c r="U4"/>
      <c r="V4"/>
      <c r="W4"/>
    </row>
    <row r="5" spans="1:25" ht="15.75">
      <c r="D5" s="3"/>
      <c r="T5" s="575"/>
      <c r="U5"/>
      <c r="V5"/>
      <c r="W5"/>
    </row>
    <row r="6" spans="1:25" ht="15.75">
      <c r="A6" s="673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/>
      <c r="V6"/>
      <c r="W6"/>
    </row>
    <row r="7" spans="1:25" ht="15.75">
      <c r="A7" s="379"/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/>
      <c r="V7"/>
      <c r="W7"/>
    </row>
    <row r="8" spans="1:25" s="386" customFormat="1" ht="15.75">
      <c r="A8" s="387"/>
      <c r="B8" s="5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/>
      <c r="V8"/>
      <c r="W8"/>
      <c r="X8" s="3"/>
      <c r="Y8" s="3"/>
    </row>
    <row r="9" spans="1:25" ht="15.75">
      <c r="A9" s="67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/>
      <c r="V9"/>
      <c r="W9"/>
    </row>
    <row r="10" spans="1:25" ht="15.75">
      <c r="A10" s="379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/>
      <c r="V10"/>
      <c r="W10"/>
    </row>
    <row r="11" spans="1:25" s="386" customFormat="1" ht="15.75">
      <c r="A11" s="387"/>
      <c r="B11" s="5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/>
      <c r="V11"/>
      <c r="W11"/>
      <c r="X11" s="3"/>
      <c r="Y11" s="3"/>
    </row>
    <row r="12" spans="1:25" ht="15.75">
      <c r="A12" s="67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/>
      <c r="V12"/>
      <c r="W12"/>
    </row>
    <row r="13" spans="1:25" ht="15.75">
      <c r="A13" s="379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/>
      <c r="V13"/>
      <c r="W13"/>
    </row>
    <row r="14" spans="1:25" s="386" customFormat="1" ht="15.75">
      <c r="A14" s="387"/>
      <c r="B14" s="5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384"/>
      <c r="U14"/>
      <c r="V14"/>
      <c r="W14"/>
      <c r="X14" s="3"/>
      <c r="Y14" s="3"/>
    </row>
    <row r="15" spans="1:25" ht="15.75">
      <c r="A15" s="67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/>
      <c r="V15"/>
      <c r="W15"/>
    </row>
    <row r="16" spans="1:25" ht="15.75">
      <c r="A16" s="379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/>
      <c r="V16"/>
      <c r="W16"/>
    </row>
    <row r="17" spans="1:25" s="386" customFormat="1" ht="15.75">
      <c r="A17" s="387"/>
      <c r="B17" s="584"/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/>
      <c r="V17"/>
      <c r="W17"/>
      <c r="X17" s="3"/>
      <c r="Y17" s="3"/>
    </row>
    <row r="18" spans="1:25" ht="15.75">
      <c r="A18" s="67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/>
      <c r="V18"/>
      <c r="W18"/>
    </row>
    <row r="19" spans="1:25" ht="15.75">
      <c r="A19" s="379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/>
      <c r="V19"/>
      <c r="W19"/>
    </row>
    <row r="20" spans="1:25" s="386" customFormat="1" ht="15.75">
      <c r="A20" s="387"/>
      <c r="B20" s="5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/>
      <c r="V20"/>
      <c r="W20"/>
      <c r="X20" s="3"/>
      <c r="Y20" s="3"/>
    </row>
    <row r="21" spans="1:25" ht="15.75">
      <c r="A21" s="67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/>
      <c r="V21"/>
      <c r="W21"/>
    </row>
    <row r="22" spans="1:25" ht="15.75">
      <c r="A22" s="379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/>
      <c r="V22"/>
      <c r="W22"/>
    </row>
    <row r="23" spans="1:25" s="386" customFormat="1" ht="15.75">
      <c r="A23" s="387"/>
      <c r="B23" s="5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/>
      <c r="V23"/>
      <c r="W23"/>
      <c r="X23" s="3"/>
      <c r="Y23" s="3"/>
    </row>
    <row r="24" spans="1:25" ht="15.75">
      <c r="A24" s="67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/>
      <c r="V24"/>
      <c r="W24"/>
    </row>
    <row r="25" spans="1:25" ht="15.75">
      <c r="A25" s="379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/>
      <c r="V25"/>
      <c r="W25"/>
    </row>
    <row r="26" spans="1:25" s="386" customFormat="1" ht="15.75">
      <c r="A26" s="387"/>
      <c r="B26" s="5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/>
      <c r="V26"/>
      <c r="W26"/>
      <c r="X26" s="3"/>
      <c r="Y26" s="3"/>
    </row>
    <row r="27" spans="1:25" ht="15.75">
      <c r="A27" s="67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/>
      <c r="V27"/>
      <c r="W27"/>
    </row>
    <row r="28" spans="1:25" ht="15.75">
      <c r="A28" s="379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/>
      <c r="V28"/>
      <c r="W28"/>
    </row>
    <row r="29" spans="1:25" s="386" customFormat="1" ht="15.75">
      <c r="A29" s="387"/>
      <c r="B29" s="5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/>
      <c r="V29"/>
      <c r="W29"/>
      <c r="X29" s="3"/>
      <c r="Y29" s="3"/>
    </row>
    <row r="30" spans="1:25" ht="15.75">
      <c r="A30" s="67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/>
      <c r="V30"/>
      <c r="W30"/>
    </row>
    <row r="31" spans="1:25" ht="15.75">
      <c r="A31" s="379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/>
      <c r="V31"/>
      <c r="W31"/>
    </row>
    <row r="32" spans="1:25" s="386" customFormat="1" ht="15.75">
      <c r="A32" s="387"/>
      <c r="B32" s="5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/>
      <c r="V32"/>
      <c r="W32"/>
      <c r="X32" s="3"/>
      <c r="Y32" s="3"/>
    </row>
    <row r="33" spans="1:25" ht="15.75">
      <c r="A33" s="67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/>
      <c r="V33"/>
      <c r="W33"/>
    </row>
    <row r="34" spans="1:25" ht="15.75">
      <c r="A34" s="379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/>
      <c r="V34"/>
      <c r="W34"/>
    </row>
    <row r="35" spans="1:25" s="386" customFormat="1" ht="15.75">
      <c r="A35" s="387"/>
      <c r="B35" s="5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/>
      <c r="V35"/>
      <c r="W35"/>
      <c r="X35" s="3"/>
      <c r="Y35" s="3"/>
    </row>
    <row r="36" spans="1:25" ht="15.75">
      <c r="A36" s="67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/>
      <c r="V36"/>
      <c r="W36"/>
    </row>
    <row r="37" spans="1:25" ht="15.75">
      <c r="A37" s="379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/>
      <c r="V37"/>
      <c r="W37"/>
    </row>
    <row r="38" spans="1:25" s="386" customFormat="1" ht="15.75">
      <c r="A38" s="387"/>
      <c r="B38" s="5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/>
      <c r="V38"/>
      <c r="W38"/>
      <c r="X38" s="3"/>
      <c r="Y38" s="3"/>
    </row>
    <row r="39" spans="1:25" ht="15.75">
      <c r="A39" s="67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/>
      <c r="V39"/>
      <c r="W39"/>
    </row>
    <row r="40" spans="1:25" ht="15.75">
      <c r="A40" s="379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/>
      <c r="V40"/>
      <c r="W40"/>
    </row>
    <row r="41" spans="1:25" s="386" customFormat="1" ht="15.75">
      <c r="A41" s="387"/>
      <c r="B41" s="5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/>
      <c r="V41"/>
      <c r="W41"/>
      <c r="X41" s="3"/>
      <c r="Y41" s="3"/>
    </row>
    <row r="42" spans="1:25" ht="15.75">
      <c r="A42" s="67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/>
      <c r="V42"/>
      <c r="W42"/>
    </row>
    <row r="43" spans="1:25" ht="15.75">
      <c r="A43" s="379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/>
      <c r="V43"/>
      <c r="W43"/>
    </row>
    <row r="44" spans="1:25" s="386" customFormat="1" ht="15.75">
      <c r="A44" s="387"/>
      <c r="B44" s="5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/>
      <c r="V44"/>
      <c r="W44"/>
      <c r="X44" s="3"/>
      <c r="Y44" s="3"/>
    </row>
    <row r="45" spans="1:25" ht="15.75">
      <c r="A45" s="67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/>
      <c r="V45"/>
      <c r="W45"/>
    </row>
    <row r="46" spans="1:25" ht="15.75">
      <c r="A46" s="379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/>
      <c r="V46"/>
      <c r="W46"/>
    </row>
    <row r="47" spans="1:25" s="386" customFormat="1" ht="15.75">
      <c r="A47" s="387"/>
      <c r="B47" s="5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/>
      <c r="V47"/>
      <c r="W47"/>
      <c r="X47" s="3"/>
      <c r="Y47" s="3"/>
    </row>
    <row r="48" spans="1:25" ht="15.75">
      <c r="A48" s="67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/>
      <c r="V48"/>
      <c r="W48"/>
    </row>
    <row r="49" spans="1:25" ht="15.75">
      <c r="A49" s="379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/>
      <c r="V49"/>
      <c r="W49"/>
    </row>
    <row r="50" spans="1:25" s="386" customFormat="1" ht="15.75">
      <c r="A50" s="387"/>
      <c r="B50" s="5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/>
      <c r="V50"/>
      <c r="W50"/>
      <c r="X50" s="3"/>
      <c r="Y50" s="3"/>
    </row>
    <row r="51" spans="1:25" ht="15.75">
      <c r="A51" s="67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/>
      <c r="V51"/>
      <c r="W51"/>
    </row>
    <row r="52" spans="1:25" ht="15.75">
      <c r="A52" s="379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/>
      <c r="V52"/>
      <c r="W52"/>
    </row>
    <row r="53" spans="1:25" s="386" customFormat="1" ht="15.75">
      <c r="A53" s="387"/>
      <c r="B53" s="5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/>
      <c r="V53"/>
      <c r="W53"/>
      <c r="X53" s="3"/>
      <c r="Y53" s="3"/>
    </row>
    <row r="54" spans="1:25" ht="15.75">
      <c r="A54" s="67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/>
      <c r="V54"/>
      <c r="W54"/>
    </row>
    <row r="55" spans="1:25" ht="15.75">
      <c r="A55" s="379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/>
      <c r="V55"/>
      <c r="W55"/>
    </row>
    <row r="56" spans="1:25" s="386" customFormat="1" ht="15.75">
      <c r="A56" s="387"/>
      <c r="B56" s="5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/>
      <c r="V56"/>
      <c r="W56"/>
      <c r="X56" s="3"/>
      <c r="Y56" s="3"/>
    </row>
    <row r="57" spans="1:25">
      <c r="A57" s="691"/>
      <c r="D57" s="3"/>
    </row>
    <row r="58" spans="1:25">
      <c r="A58" s="691"/>
      <c r="D58" s="3"/>
    </row>
    <row r="59" spans="1:25" s="386" customFormat="1">
      <c r="A59" s="691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>
      <c r="A60" s="691"/>
      <c r="D60" s="3"/>
    </row>
    <row r="61" spans="1:25">
      <c r="A61" s="691"/>
      <c r="D61" s="3"/>
    </row>
    <row r="62" spans="1:25" s="386" customFormat="1">
      <c r="A62" s="691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>
      <c r="A63" s="691"/>
      <c r="D63" s="3"/>
    </row>
    <row r="64" spans="1:25">
      <c r="A64" s="691"/>
      <c r="D64" s="3"/>
    </row>
    <row r="65" spans="1:25" s="386" customFormat="1">
      <c r="A65" s="691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>
      <c r="A66" s="691"/>
      <c r="D66" s="3"/>
    </row>
    <row r="67" spans="1:25">
      <c r="A67" s="691"/>
      <c r="D67" s="3"/>
    </row>
    <row r="68" spans="1:25" s="386" customFormat="1">
      <c r="A68" s="691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>
      <c r="A69" s="691"/>
      <c r="D69" s="3"/>
    </row>
    <row r="70" spans="1:25">
      <c r="A70" s="691"/>
      <c r="D70" s="3"/>
    </row>
    <row r="71" spans="1:25" s="386" customFormat="1">
      <c r="A71" s="691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>
      <c r="A72" s="691"/>
      <c r="D72" s="3"/>
    </row>
    <row r="73" spans="1:25">
      <c r="A73" s="691"/>
      <c r="D73" s="3"/>
    </row>
    <row r="74" spans="1:25" s="386" customFormat="1">
      <c r="A74" s="691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>
      <c r="A75" s="691"/>
      <c r="D75" s="3"/>
    </row>
    <row r="76" spans="1:25">
      <c r="A76" s="691"/>
      <c r="D76" s="3"/>
    </row>
    <row r="77" spans="1:25" s="386" customFormat="1">
      <c r="A77" s="691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>
      <c r="A78" s="691"/>
      <c r="D78" s="3"/>
    </row>
    <row r="79" spans="1:25">
      <c r="A79" s="691"/>
      <c r="D79" s="3"/>
    </row>
    <row r="80" spans="1:25" s="386" customFormat="1">
      <c r="A80" s="691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>
      <c r="A81" s="691"/>
      <c r="D81" s="3"/>
    </row>
    <row r="82" spans="1:25">
      <c r="A82" s="691"/>
      <c r="D82" s="3"/>
    </row>
    <row r="83" spans="1:25" s="386" customFormat="1">
      <c r="A83" s="691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>
      <c r="A84" s="691"/>
      <c r="D84" s="3"/>
    </row>
    <row r="85" spans="1:25">
      <c r="A85" s="691"/>
      <c r="D85" s="3"/>
    </row>
    <row r="86" spans="1:25" s="386" customFormat="1">
      <c r="A86" s="691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>
      <c r="A87" s="691"/>
      <c r="D87" s="3"/>
    </row>
    <row r="88" spans="1:25">
      <c r="A88" s="691"/>
      <c r="D88" s="3"/>
    </row>
    <row r="89" spans="1:25" s="386" customFormat="1">
      <c r="A89" s="691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>
      <c r="A90" s="691"/>
      <c r="D90" s="3"/>
    </row>
    <row r="91" spans="1:25">
      <c r="A91" s="691"/>
      <c r="D91" s="3"/>
    </row>
    <row r="92" spans="1:25" s="386" customFormat="1">
      <c r="A92" s="691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>
      <c r="A93" s="691"/>
      <c r="D93" s="3"/>
    </row>
    <row r="94" spans="1:25">
      <c r="A94" s="691"/>
      <c r="D94" s="3"/>
    </row>
    <row r="95" spans="1:25" s="386" customFormat="1">
      <c r="A95" s="691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>
      <c r="A96" s="691"/>
      <c r="D96" s="3"/>
    </row>
    <row r="97" spans="1:25">
      <c r="A97" s="691"/>
      <c r="D97" s="3"/>
    </row>
    <row r="98" spans="1:25" s="386" customFormat="1">
      <c r="A98" s="69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>
      <c r="A99" s="691"/>
      <c r="D99" s="3"/>
    </row>
    <row r="100" spans="1:25">
      <c r="A100" s="691"/>
      <c r="D100" s="3"/>
    </row>
    <row r="101" spans="1:25" s="386" customFormat="1">
      <c r="A101" s="691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>
      <c r="A102" s="691"/>
      <c r="D102" s="3"/>
    </row>
    <row r="103" spans="1:25">
      <c r="A103" s="691"/>
      <c r="D103" s="3"/>
    </row>
    <row r="104" spans="1:25" s="386" customFormat="1">
      <c r="A104" s="691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>
      <c r="A105" s="691"/>
      <c r="D105" s="3"/>
    </row>
    <row r="106" spans="1:25">
      <c r="A106" s="691"/>
      <c r="D106" s="3"/>
    </row>
    <row r="107" spans="1:25" s="386" customFormat="1">
      <c r="A107" s="691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>
      <c r="A108" s="691"/>
      <c r="D108" s="3"/>
    </row>
    <row r="109" spans="1:25">
      <c r="A109" s="691"/>
      <c r="D109" s="3"/>
    </row>
    <row r="110" spans="1:25" s="386" customFormat="1">
      <c r="A110" s="691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>
      <c r="A111" s="691"/>
      <c r="D111" s="3"/>
    </row>
    <row r="112" spans="1:25">
      <c r="A112" s="691"/>
      <c r="D112" s="3"/>
    </row>
    <row r="113" spans="1:25" s="386" customFormat="1">
      <c r="A113" s="691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>
      <c r="A114" s="691"/>
      <c r="D114" s="3"/>
    </row>
    <row r="115" spans="1:25">
      <c r="A115" s="691"/>
      <c r="D115" s="3"/>
    </row>
    <row r="116" spans="1:25" s="386" customFormat="1">
      <c r="A116" s="691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>
      <c r="A117" s="691"/>
      <c r="D117" s="3"/>
    </row>
    <row r="118" spans="1:25">
      <c r="A118" s="691"/>
      <c r="D118" s="3"/>
    </row>
    <row r="119" spans="1:25" s="386" customFormat="1">
      <c r="A119" s="691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>
      <c r="A120" s="691"/>
      <c r="D120" s="3"/>
    </row>
    <row r="121" spans="1:25">
      <c r="A121" s="691"/>
      <c r="D121" s="3"/>
    </row>
    <row r="122" spans="1:25" s="386" customFormat="1">
      <c r="A122" s="691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>
      <c r="A123" s="691"/>
      <c r="D123" s="3"/>
    </row>
    <row r="124" spans="1:25">
      <c r="A124" s="691"/>
      <c r="D124" s="3"/>
    </row>
    <row r="125" spans="1:25" s="386" customFormat="1">
      <c r="A125" s="691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>
      <c r="A126" s="691"/>
      <c r="D126" s="3"/>
    </row>
    <row r="127" spans="1:25">
      <c r="A127" s="691"/>
      <c r="D127" s="3"/>
    </row>
    <row r="128" spans="1:25" s="386" customFormat="1">
      <c r="A128" s="691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>
      <c r="A129" s="691"/>
      <c r="D129" s="3"/>
    </row>
    <row r="130" spans="1:25">
      <c r="A130" s="691"/>
      <c r="D130" s="3"/>
    </row>
    <row r="131" spans="1:25" s="386" customFormat="1">
      <c r="A131" s="691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>
      <c r="A132" s="691"/>
      <c r="D132" s="3"/>
    </row>
    <row r="133" spans="1:25">
      <c r="A133" s="691"/>
      <c r="D133" s="3"/>
    </row>
    <row r="134" spans="1:25" s="386" customFormat="1">
      <c r="A134" s="691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>
      <c r="A135" s="691"/>
      <c r="D135" s="3"/>
    </row>
    <row r="136" spans="1:25">
      <c r="A136" s="691"/>
      <c r="D136" s="3"/>
    </row>
    <row r="137" spans="1:25" s="386" customFormat="1">
      <c r="A137" s="691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>
      <c r="A138" s="691"/>
      <c r="D138" s="3"/>
    </row>
    <row r="139" spans="1:25">
      <c r="A139" s="691"/>
      <c r="D139" s="3"/>
    </row>
    <row r="140" spans="1:25" s="386" customFormat="1">
      <c r="A140" s="691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>
      <c r="A141" s="691"/>
      <c r="D141" s="3"/>
    </row>
    <row r="142" spans="1:25">
      <c r="A142" s="691"/>
      <c r="D142" s="3"/>
    </row>
    <row r="143" spans="1:25" s="386" customFormat="1">
      <c r="A143" s="691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>
      <c r="A144" s="691"/>
      <c r="D144" s="3"/>
    </row>
    <row r="145" spans="1:25">
      <c r="A145" s="691"/>
      <c r="D145" s="3"/>
    </row>
    <row r="146" spans="1:25" s="386" customFormat="1">
      <c r="A146" s="691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>
      <c r="A147" s="691"/>
      <c r="D147" s="3"/>
    </row>
    <row r="148" spans="1:25">
      <c r="A148" s="691"/>
      <c r="D148" s="3"/>
    </row>
    <row r="149" spans="1:25" s="386" customFormat="1">
      <c r="A149" s="69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>
      <c r="A150" s="691"/>
      <c r="D150" s="3"/>
    </row>
    <row r="151" spans="1:25">
      <c r="A151" s="691"/>
      <c r="D151" s="3"/>
    </row>
    <row r="152" spans="1:25" s="386" customFormat="1">
      <c r="A152" s="691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>
      <c r="A153" s="691"/>
      <c r="D153" s="3"/>
    </row>
    <row r="154" spans="1:25">
      <c r="A154" s="691"/>
      <c r="D154" s="3"/>
    </row>
    <row r="155" spans="1:25" s="386" customFormat="1">
      <c r="A155" s="69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>
      <c r="A156" s="691"/>
      <c r="D156" s="3"/>
    </row>
    <row r="157" spans="1:25">
      <c r="A157" s="691"/>
      <c r="D157" s="3"/>
    </row>
    <row r="158" spans="1:25" s="386" customFormat="1">
      <c r="A158" s="691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>
      <c r="A159" s="691"/>
      <c r="D159" s="3"/>
    </row>
    <row r="160" spans="1:25">
      <c r="A160" s="691"/>
      <c r="D160" s="3"/>
    </row>
    <row r="161" spans="1:25" s="386" customFormat="1">
      <c r="A161" s="691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>
      <c r="A162" s="691"/>
      <c r="D162" s="3"/>
    </row>
    <row r="163" spans="1:25">
      <c r="A163" s="691"/>
      <c r="D163" s="3"/>
    </row>
    <row r="164" spans="1:25" s="386" customFormat="1">
      <c r="A164" s="691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>
      <c r="A165" s="691"/>
      <c r="D165" s="3"/>
    </row>
    <row r="166" spans="1:25">
      <c r="A166" s="691"/>
      <c r="D166" s="3"/>
    </row>
    <row r="167" spans="1:25" s="386" customFormat="1">
      <c r="A167" s="691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>
      <c r="A168" s="691"/>
      <c r="D168" s="3"/>
    </row>
    <row r="169" spans="1:25">
      <c r="A169" s="691"/>
      <c r="D169" s="3"/>
    </row>
    <row r="170" spans="1:25" s="386" customFormat="1">
      <c r="A170" s="691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>
      <c r="A171" s="691"/>
      <c r="D171" s="3"/>
    </row>
    <row r="172" spans="1:25">
      <c r="A172" s="691"/>
      <c r="D172" s="3"/>
    </row>
    <row r="173" spans="1:25" s="386" customFormat="1">
      <c r="A173" s="69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691"/>
      <c r="D174" s="3"/>
    </row>
    <row r="175" spans="1:25">
      <c r="A175" s="691"/>
      <c r="D175" s="3"/>
    </row>
    <row r="176" spans="1:25" s="386" customFormat="1">
      <c r="A176" s="69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>
      <c r="A177" s="691"/>
      <c r="D177" s="3"/>
    </row>
    <row r="178" spans="1:25">
      <c r="A178" s="691"/>
      <c r="D178" s="3"/>
    </row>
    <row r="179" spans="1:25" s="386" customFormat="1">
      <c r="A179" s="69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>
      <c r="A180" s="691"/>
      <c r="D180" s="3"/>
    </row>
    <row r="181" spans="1:25">
      <c r="A181" s="691"/>
      <c r="D181" s="3"/>
    </row>
    <row r="182" spans="1:25" s="386" customFormat="1">
      <c r="A182" s="69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>
      <c r="A183" s="691"/>
      <c r="D183" s="3"/>
    </row>
    <row r="184" spans="1:25">
      <c r="A184" s="691"/>
      <c r="D184" s="3"/>
    </row>
    <row r="185" spans="1:25" s="386" customFormat="1">
      <c r="A185" s="69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>
      <c r="A186" s="691"/>
      <c r="D186" s="3"/>
    </row>
    <row r="187" spans="1:25">
      <c r="A187" s="691"/>
      <c r="D187" s="3"/>
    </row>
    <row r="188" spans="1:25" s="386" customFormat="1">
      <c r="A188" s="69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>
      <c r="A189" s="691"/>
      <c r="D189" s="3"/>
    </row>
    <row r="190" spans="1:25">
      <c r="A190" s="691"/>
      <c r="D190" s="3"/>
    </row>
    <row r="191" spans="1:25" s="386" customFormat="1">
      <c r="A191" s="691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>
      <c r="A192" s="691"/>
      <c r="D192" s="3"/>
    </row>
    <row r="193" spans="1:25">
      <c r="A193" s="691"/>
      <c r="D193" s="3"/>
    </row>
    <row r="194" spans="1:25" s="386" customFormat="1">
      <c r="A194" s="69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>
      <c r="A195" s="691"/>
      <c r="D195" s="3"/>
    </row>
    <row r="196" spans="1:25">
      <c r="A196" s="691"/>
      <c r="D196" s="3"/>
    </row>
    <row r="197" spans="1:25" s="386" customFormat="1">
      <c r="A197" s="69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>
      <c r="A198" s="691"/>
      <c r="D198" s="3"/>
    </row>
    <row r="199" spans="1:25">
      <c r="A199" s="691"/>
      <c r="D199" s="3"/>
    </row>
    <row r="200" spans="1:25" s="386" customFormat="1">
      <c r="A200" s="69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>
      <c r="A201" s="691"/>
      <c r="D201" s="3"/>
    </row>
    <row r="202" spans="1:25">
      <c r="A202" s="691"/>
      <c r="D202" s="3"/>
    </row>
    <row r="203" spans="1:25" s="386" customFormat="1">
      <c r="A203" s="69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>
      <c r="A204" s="691"/>
      <c r="D204" s="3"/>
    </row>
    <row r="205" spans="1:25">
      <c r="A205" s="691"/>
      <c r="D205" s="3"/>
    </row>
    <row r="206" spans="1:25" s="386" customFormat="1">
      <c r="A206" s="69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>
      <c r="A207" s="691"/>
      <c r="D207" s="3"/>
    </row>
    <row r="208" spans="1:25">
      <c r="A208" s="691"/>
      <c r="D208" s="3"/>
    </row>
    <row r="209" spans="1:25" s="386" customFormat="1">
      <c r="A209" s="69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>
      <c r="A210" s="691"/>
      <c r="D210" s="3"/>
    </row>
    <row r="211" spans="1:25">
      <c r="A211" s="691"/>
      <c r="D211" s="3"/>
    </row>
    <row r="212" spans="1:25" s="386" customFormat="1">
      <c r="A212" s="69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>
      <c r="A213" s="691"/>
      <c r="D213" s="3"/>
    </row>
    <row r="214" spans="1:25">
      <c r="A214" s="691"/>
      <c r="D214" s="3"/>
    </row>
    <row r="215" spans="1:25" s="386" customFormat="1">
      <c r="A215" s="69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>
      <c r="A216" s="691"/>
      <c r="D216" s="3"/>
    </row>
    <row r="217" spans="1:25">
      <c r="A217" s="691"/>
      <c r="D217" s="3"/>
    </row>
    <row r="218" spans="1:25" s="386" customFormat="1">
      <c r="A218" s="69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>
      <c r="A219" s="691"/>
      <c r="D219" s="3"/>
    </row>
    <row r="220" spans="1:25">
      <c r="A220" s="691"/>
      <c r="D220" s="3"/>
    </row>
    <row r="221" spans="1:25" s="386" customFormat="1">
      <c r="A221" s="69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>
      <c r="A222" s="691"/>
      <c r="D222" s="3"/>
    </row>
    <row r="223" spans="1:25">
      <c r="A223" s="691"/>
      <c r="D223" s="3"/>
    </row>
    <row r="224" spans="1:25" s="386" customFormat="1">
      <c r="A224" s="69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>
      <c r="A225" s="691"/>
      <c r="D225" s="3"/>
    </row>
    <row r="226" spans="1:25">
      <c r="A226" s="691"/>
      <c r="D226" s="3"/>
    </row>
    <row r="227" spans="1:25" s="386" customFormat="1">
      <c r="A227" s="69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>
      <c r="A228" s="691"/>
      <c r="D228" s="3"/>
    </row>
    <row r="229" spans="1:25">
      <c r="A229" s="691"/>
      <c r="D229" s="3"/>
    </row>
    <row r="230" spans="1:25" s="386" customFormat="1">
      <c r="A230" s="69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>
      <c r="A231" s="691"/>
      <c r="D231" s="3"/>
    </row>
    <row r="232" spans="1:25">
      <c r="A232" s="691"/>
      <c r="D232" s="3"/>
    </row>
    <row r="233" spans="1:25" s="386" customFormat="1">
      <c r="A233" s="69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>
      <c r="A234" s="691"/>
      <c r="D234" s="3"/>
    </row>
    <row r="235" spans="1:25">
      <c r="A235" s="691"/>
      <c r="D235" s="3"/>
    </row>
    <row r="236" spans="1:25" s="386" customFormat="1">
      <c r="A236" s="69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>
      <c r="A237" s="691"/>
      <c r="D237" s="3"/>
    </row>
    <row r="238" spans="1:25">
      <c r="A238" s="691"/>
      <c r="D238" s="3"/>
    </row>
    <row r="239" spans="1:25" s="386" customFormat="1">
      <c r="A239" s="69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>
      <c r="A240" s="691"/>
      <c r="D240" s="3"/>
    </row>
    <row r="241" spans="1:25">
      <c r="A241" s="691"/>
      <c r="D241" s="3"/>
    </row>
    <row r="242" spans="1:25" s="386" customFormat="1">
      <c r="A242" s="69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>
      <c r="A243" s="691"/>
      <c r="D243" s="3"/>
    </row>
    <row r="244" spans="1:25">
      <c r="A244" s="691"/>
      <c r="D244" s="3"/>
    </row>
    <row r="245" spans="1:25" s="386" customFormat="1">
      <c r="A245" s="691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>
      <c r="A246" s="691"/>
      <c r="D246" s="3"/>
    </row>
    <row r="247" spans="1:25">
      <c r="A247" s="691"/>
      <c r="D247" s="3"/>
    </row>
    <row r="248" spans="1:25" s="386" customFormat="1">
      <c r="A248" s="691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>
      <c r="A249" s="691"/>
      <c r="D249" s="3"/>
    </row>
    <row r="250" spans="1:25">
      <c r="A250" s="691"/>
      <c r="D250" s="3"/>
    </row>
    <row r="251" spans="1:25" s="386" customFormat="1">
      <c r="A251" s="691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>
      <c r="A252" s="691"/>
      <c r="D252" s="3"/>
    </row>
    <row r="253" spans="1:25">
      <c r="A253" s="691"/>
      <c r="D253" s="3"/>
    </row>
    <row r="254" spans="1:25" s="386" customFormat="1">
      <c r="A254" s="691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>
      <c r="A255" s="691"/>
      <c r="D255" s="3"/>
    </row>
    <row r="256" spans="1:25">
      <c r="A256" s="691"/>
      <c r="D256" s="3"/>
    </row>
    <row r="257" spans="1:25" s="386" customFormat="1">
      <c r="A257" s="691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>
      <c r="A258" s="691"/>
      <c r="D258" s="3"/>
    </row>
    <row r="259" spans="1:25">
      <c r="A259" s="691"/>
      <c r="D259" s="3"/>
    </row>
    <row r="260" spans="1:25" s="386" customFormat="1">
      <c r="A260" s="691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>
      <c r="A261" s="691"/>
      <c r="D261" s="3"/>
    </row>
    <row r="262" spans="1:25">
      <c r="A262" s="691"/>
      <c r="D262" s="3"/>
    </row>
    <row r="263" spans="1:25" s="386" customFormat="1">
      <c r="A263" s="691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691"/>
      <c r="D264" s="3"/>
    </row>
    <row r="265" spans="1:25">
      <c r="A265" s="691"/>
      <c r="D265" s="3"/>
    </row>
    <row r="266" spans="1:25" s="386" customFormat="1">
      <c r="A266" s="691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691"/>
      <c r="D267" s="3"/>
    </row>
    <row r="268" spans="1:25">
      <c r="A268" s="691"/>
      <c r="D268" s="3"/>
    </row>
    <row r="269" spans="1:25" s="386" customFormat="1">
      <c r="A269" s="691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691"/>
      <c r="D270" s="3"/>
    </row>
    <row r="271" spans="1:25">
      <c r="A271" s="691"/>
      <c r="D271" s="3"/>
    </row>
    <row r="272" spans="1:25" s="386" customFormat="1">
      <c r="A272" s="691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691"/>
      <c r="D273" s="3"/>
    </row>
    <row r="274" spans="1:25">
      <c r="A274" s="691"/>
      <c r="D274" s="3"/>
    </row>
    <row r="275" spans="1:25" s="386" customFormat="1">
      <c r="A275" s="691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691"/>
      <c r="D276" s="3"/>
    </row>
    <row r="277" spans="1:25">
      <c r="A277" s="691"/>
      <c r="D277" s="3"/>
    </row>
    <row r="278" spans="1:25" s="386" customFormat="1">
      <c r="A278" s="691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691"/>
      <c r="D279" s="3"/>
    </row>
    <row r="280" spans="1:25">
      <c r="A280" s="691"/>
      <c r="D280" s="3"/>
    </row>
    <row r="281" spans="1:25" s="386" customFormat="1">
      <c r="A281" s="69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691"/>
      <c r="D282" s="3"/>
    </row>
    <row r="283" spans="1:25">
      <c r="A283" s="691"/>
      <c r="D283" s="3"/>
    </row>
    <row r="284" spans="1:25" s="386" customFormat="1">
      <c r="A284" s="69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691"/>
      <c r="D285" s="3"/>
    </row>
    <row r="286" spans="1:25">
      <c r="A286" s="691"/>
      <c r="D286" s="3"/>
    </row>
    <row r="287" spans="1:25" s="386" customFormat="1">
      <c r="A287" s="69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691"/>
      <c r="D288" s="3"/>
    </row>
    <row r="289" spans="1:25">
      <c r="A289" s="691"/>
      <c r="D289" s="3"/>
    </row>
    <row r="290" spans="1:25" s="386" customFormat="1">
      <c r="A290" s="69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691"/>
      <c r="D291" s="3"/>
    </row>
    <row r="292" spans="1:25">
      <c r="A292" s="691"/>
      <c r="D292" s="3"/>
    </row>
    <row r="293" spans="1:25" s="386" customFormat="1">
      <c r="A293" s="69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691"/>
      <c r="D294" s="3"/>
    </row>
    <row r="295" spans="1:25">
      <c r="A295" s="691"/>
      <c r="D295" s="3"/>
    </row>
    <row r="296" spans="1:25" s="386" customFormat="1">
      <c r="A296" s="69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691"/>
      <c r="D297" s="3"/>
    </row>
    <row r="298" spans="1:25">
      <c r="A298" s="691"/>
      <c r="D298" s="3"/>
    </row>
    <row r="299" spans="1:25" s="386" customFormat="1">
      <c r="A299" s="69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691"/>
      <c r="D300" s="3"/>
    </row>
    <row r="301" spans="1:25">
      <c r="A301" s="691"/>
      <c r="D301" s="3"/>
    </row>
    <row r="302" spans="1:25" s="386" customFormat="1">
      <c r="A302" s="69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691"/>
      <c r="D303" s="3"/>
    </row>
    <row r="304" spans="1:25">
      <c r="A304" s="691"/>
      <c r="D304" s="3"/>
    </row>
    <row r="305" spans="1:25" s="386" customFormat="1">
      <c r="A305" s="69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691"/>
      <c r="D306" s="3"/>
    </row>
    <row r="307" spans="1:25">
      <c r="A307" s="691"/>
      <c r="D307" s="3"/>
    </row>
    <row r="308" spans="1:25" s="386" customFormat="1">
      <c r="A308" s="69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691"/>
      <c r="D309" s="3"/>
    </row>
    <row r="310" spans="1:25">
      <c r="A310" s="691"/>
      <c r="D310" s="3"/>
    </row>
    <row r="311" spans="1:25" s="386" customFormat="1">
      <c r="A311" s="69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691"/>
      <c r="D312" s="3"/>
    </row>
    <row r="313" spans="1:25">
      <c r="A313" s="691"/>
      <c r="D313" s="3"/>
    </row>
    <row r="314" spans="1:25" s="386" customFormat="1">
      <c r="A314" s="69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691"/>
      <c r="D315" s="3"/>
    </row>
    <row r="316" spans="1:25">
      <c r="A316" s="691"/>
      <c r="D316" s="3"/>
    </row>
    <row r="317" spans="1:25" s="386" customFormat="1">
      <c r="A317" s="69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691"/>
      <c r="D318" s="3"/>
    </row>
    <row r="319" spans="1:25">
      <c r="A319" s="691"/>
      <c r="D319" s="3"/>
    </row>
    <row r="320" spans="1:25" s="386" customFormat="1">
      <c r="A320" s="69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691"/>
      <c r="D321" s="3"/>
    </row>
    <row r="322" spans="1:25">
      <c r="A322" s="691"/>
      <c r="D322" s="3"/>
    </row>
    <row r="323" spans="1:25" s="386" customFormat="1">
      <c r="A323" s="69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691"/>
      <c r="D324" s="3"/>
    </row>
    <row r="325" spans="1:25">
      <c r="A325" s="691"/>
      <c r="D325" s="3"/>
    </row>
    <row r="326" spans="1:25" s="386" customFormat="1">
      <c r="A326" s="69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691"/>
      <c r="D327" s="3"/>
    </row>
    <row r="328" spans="1:25">
      <c r="A328" s="691"/>
      <c r="D328" s="3"/>
    </row>
    <row r="329" spans="1:25" s="386" customFormat="1">
      <c r="A329" s="69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691"/>
      <c r="D330" s="3"/>
    </row>
    <row r="331" spans="1:25">
      <c r="A331" s="691"/>
      <c r="D331" s="3"/>
    </row>
    <row r="332" spans="1:25" s="386" customFormat="1">
      <c r="A332" s="69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691"/>
      <c r="D333" s="3"/>
    </row>
    <row r="334" spans="1:25">
      <c r="A334" s="691"/>
      <c r="D334" s="3"/>
    </row>
    <row r="335" spans="1:25" s="386" customFormat="1">
      <c r="A335" s="69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691"/>
      <c r="D336" s="3"/>
    </row>
    <row r="337" spans="1:25">
      <c r="A337" s="691"/>
      <c r="D337" s="3"/>
    </row>
    <row r="338" spans="1:25" s="386" customFormat="1">
      <c r="A338" s="69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691"/>
      <c r="D339" s="3"/>
    </row>
    <row r="340" spans="1:25">
      <c r="A340" s="691"/>
      <c r="D340" s="3"/>
    </row>
    <row r="341" spans="1:25" s="386" customFormat="1">
      <c r="A341" s="69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691"/>
      <c r="D342" s="3"/>
    </row>
    <row r="343" spans="1:25">
      <c r="A343" s="691"/>
      <c r="D343" s="3"/>
    </row>
    <row r="344" spans="1:25" s="386" customFormat="1">
      <c r="A344" s="69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691"/>
      <c r="D345" s="3"/>
    </row>
    <row r="346" spans="1:25">
      <c r="A346" s="691"/>
      <c r="D346" s="3"/>
    </row>
    <row r="347" spans="1:25" s="386" customFormat="1">
      <c r="A347" s="69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691"/>
      <c r="D348" s="3"/>
    </row>
    <row r="349" spans="1:25">
      <c r="A349" s="691"/>
      <c r="D349" s="3"/>
    </row>
    <row r="350" spans="1:25" s="386" customFormat="1">
      <c r="A350" s="69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691"/>
      <c r="D351" s="3"/>
    </row>
    <row r="352" spans="1:25">
      <c r="A352" s="691"/>
      <c r="D352" s="3"/>
    </row>
    <row r="353" spans="1:25" s="386" customFormat="1">
      <c r="A353" s="69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691"/>
      <c r="D354" s="3"/>
    </row>
    <row r="355" spans="1:25">
      <c r="A355" s="691"/>
      <c r="D355" s="3"/>
    </row>
    <row r="356" spans="1:25" s="386" customFormat="1">
      <c r="A356" s="69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691"/>
      <c r="D357" s="3"/>
    </row>
    <row r="358" spans="1:25">
      <c r="A358" s="691"/>
      <c r="D358" s="3"/>
    </row>
    <row r="359" spans="1:25" s="386" customFormat="1">
      <c r="A359" s="69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691"/>
      <c r="D360" s="3"/>
    </row>
    <row r="361" spans="1:25">
      <c r="A361" s="691"/>
      <c r="D361" s="3"/>
    </row>
    <row r="362" spans="1:25" s="386" customFormat="1">
      <c r="A362" s="69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691"/>
      <c r="D363" s="3"/>
    </row>
    <row r="364" spans="1:25">
      <c r="A364" s="691"/>
      <c r="D364" s="3"/>
    </row>
    <row r="365" spans="1:25" s="386" customFormat="1">
      <c r="A365" s="69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691"/>
      <c r="D366" s="3"/>
    </row>
    <row r="367" spans="1:25">
      <c r="A367" s="691"/>
      <c r="D367" s="3"/>
    </row>
    <row r="368" spans="1:25" s="386" customFormat="1">
      <c r="A368" s="69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691"/>
      <c r="D369" s="3"/>
    </row>
    <row r="370" spans="1:25">
      <c r="A370" s="691"/>
      <c r="D370" s="3"/>
    </row>
    <row r="371" spans="1:25" s="386" customFormat="1">
      <c r="A371" s="69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691"/>
      <c r="D372" s="3"/>
    </row>
    <row r="373" spans="1:25">
      <c r="A373" s="691"/>
      <c r="D373" s="3"/>
    </row>
    <row r="374" spans="1:25" s="386" customFormat="1">
      <c r="A374" s="69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691"/>
      <c r="D375" s="3"/>
    </row>
    <row r="376" spans="1:25">
      <c r="A376" s="691"/>
      <c r="D376" s="3"/>
    </row>
    <row r="377" spans="1:25" s="386" customFormat="1">
      <c r="A377" s="69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691"/>
      <c r="D378" s="3"/>
    </row>
    <row r="379" spans="1:25">
      <c r="A379" s="691"/>
      <c r="D379" s="3"/>
    </row>
    <row r="380" spans="1:25" s="386" customFormat="1">
      <c r="A380" s="69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691"/>
      <c r="D381" s="3"/>
    </row>
    <row r="382" spans="1:25">
      <c r="A382" s="691"/>
      <c r="D382" s="3"/>
    </row>
    <row r="383" spans="1:25" s="386" customFormat="1">
      <c r="A383" s="69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691"/>
      <c r="D384" s="3"/>
    </row>
    <row r="385" spans="1:25">
      <c r="A385" s="691"/>
      <c r="D385" s="3"/>
    </row>
    <row r="386" spans="1:25" s="386" customFormat="1">
      <c r="A386" s="69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691"/>
      <c r="D387" s="3"/>
    </row>
    <row r="388" spans="1:25">
      <c r="A388" s="691"/>
      <c r="D388" s="3"/>
    </row>
    <row r="389" spans="1:25" s="386" customFormat="1">
      <c r="A389" s="69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691"/>
      <c r="D390" s="3"/>
    </row>
    <row r="391" spans="1:25">
      <c r="A391" s="691"/>
      <c r="D391" s="3"/>
    </row>
    <row r="392" spans="1:25" s="386" customFormat="1">
      <c r="A392" s="69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691"/>
      <c r="D393" s="3"/>
    </row>
    <row r="394" spans="1:25">
      <c r="A394" s="691"/>
      <c r="D394" s="3"/>
    </row>
    <row r="395" spans="1:25" s="386" customFormat="1">
      <c r="A395" s="69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691"/>
      <c r="D396" s="3"/>
    </row>
    <row r="397" spans="1:25">
      <c r="A397" s="691"/>
      <c r="D397" s="3"/>
    </row>
    <row r="398" spans="1:25" s="386" customFormat="1">
      <c r="A398" s="69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691"/>
      <c r="D399" s="3"/>
    </row>
    <row r="400" spans="1:25">
      <c r="A400" s="691"/>
      <c r="D400" s="3"/>
    </row>
    <row r="401" spans="1:25" s="386" customFormat="1">
      <c r="A401" s="69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691"/>
      <c r="D402" s="3"/>
    </row>
    <row r="403" spans="1:25">
      <c r="A403" s="691"/>
      <c r="D403" s="3"/>
    </row>
    <row r="404" spans="1:25" s="386" customFormat="1">
      <c r="A404" s="69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691"/>
      <c r="D405" s="3"/>
    </row>
    <row r="406" spans="1:25">
      <c r="A406" s="691"/>
      <c r="D406" s="3"/>
    </row>
    <row r="407" spans="1:25" s="386" customFormat="1">
      <c r="A407" s="69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691"/>
      <c r="D408" s="3"/>
    </row>
    <row r="409" spans="1:25">
      <c r="A409" s="691"/>
      <c r="D409" s="3"/>
    </row>
    <row r="410" spans="1:25" s="386" customFormat="1">
      <c r="A410" s="69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691"/>
      <c r="D411" s="3"/>
    </row>
    <row r="412" spans="1:25">
      <c r="A412" s="691"/>
      <c r="D412" s="3"/>
    </row>
    <row r="413" spans="1:25" s="386" customFormat="1">
      <c r="A413" s="69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691"/>
      <c r="D414" s="3"/>
    </row>
    <row r="415" spans="1:25">
      <c r="A415" s="691"/>
      <c r="D415" s="3"/>
    </row>
    <row r="416" spans="1:25" s="386" customFormat="1">
      <c r="A416" s="69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691"/>
      <c r="D417" s="3"/>
    </row>
    <row r="418" spans="1:25">
      <c r="A418" s="691"/>
      <c r="D418" s="3"/>
    </row>
    <row r="419" spans="1:25" s="386" customFormat="1">
      <c r="A419" s="69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691"/>
      <c r="D420" s="3"/>
    </row>
    <row r="421" spans="1:25">
      <c r="A421" s="691"/>
      <c r="D421" s="3"/>
    </row>
    <row r="422" spans="1:25" s="386" customFormat="1">
      <c r="A422" s="69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691"/>
      <c r="D423" s="3"/>
    </row>
    <row r="424" spans="1:25">
      <c r="A424" s="691"/>
      <c r="D424" s="3"/>
    </row>
    <row r="425" spans="1:25" s="386" customFormat="1">
      <c r="A425" s="69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691"/>
      <c r="D426" s="3"/>
    </row>
    <row r="427" spans="1:25">
      <c r="A427" s="691"/>
      <c r="D427" s="3"/>
    </row>
    <row r="428" spans="1:25" s="386" customFormat="1">
      <c r="A428" s="69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691"/>
      <c r="D429" s="3"/>
    </row>
    <row r="430" spans="1:25">
      <c r="A430" s="691"/>
      <c r="D430" s="3"/>
    </row>
    <row r="431" spans="1:25" s="386" customFormat="1">
      <c r="A431" s="69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691"/>
      <c r="D432" s="3"/>
    </row>
    <row r="433" spans="1:25">
      <c r="A433" s="691"/>
      <c r="D433" s="3"/>
    </row>
    <row r="434" spans="1:25" s="386" customFormat="1">
      <c r="A434" s="69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691"/>
      <c r="D435" s="3"/>
    </row>
    <row r="436" spans="1:25">
      <c r="A436" s="691"/>
      <c r="D436" s="3"/>
    </row>
    <row r="437" spans="1:25" s="386" customFormat="1">
      <c r="A437" s="69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691"/>
      <c r="D438" s="3"/>
    </row>
    <row r="439" spans="1:25">
      <c r="A439" s="691"/>
      <c r="D439" s="3"/>
    </row>
    <row r="440" spans="1:25" s="386" customFormat="1">
      <c r="A440" s="69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691"/>
      <c r="D441" s="3"/>
    </row>
    <row r="442" spans="1:25">
      <c r="A442" s="691"/>
      <c r="D442" s="3"/>
    </row>
    <row r="443" spans="1:25" s="386" customFormat="1">
      <c r="A443" s="69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691"/>
      <c r="D444" s="3"/>
    </row>
    <row r="445" spans="1:25">
      <c r="A445" s="691"/>
      <c r="D445" s="3"/>
    </row>
    <row r="446" spans="1:25" s="386" customFormat="1">
      <c r="A446" s="69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691"/>
      <c r="D447" s="3"/>
    </row>
    <row r="448" spans="1:25">
      <c r="A448" s="691"/>
      <c r="D448" s="3"/>
    </row>
    <row r="449" spans="1:25" s="386" customFormat="1">
      <c r="A449" s="69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691"/>
      <c r="D450" s="3"/>
    </row>
    <row r="451" spans="1:25">
      <c r="A451" s="691"/>
      <c r="D451" s="3"/>
    </row>
    <row r="452" spans="1:25" s="386" customFormat="1">
      <c r="A452" s="69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691"/>
      <c r="D453" s="3"/>
    </row>
    <row r="454" spans="1:25">
      <c r="A454" s="691"/>
      <c r="D454" s="3"/>
    </row>
    <row r="455" spans="1:25" s="386" customFormat="1">
      <c r="A455" s="69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691"/>
      <c r="D456" s="3"/>
    </row>
    <row r="457" spans="1:25">
      <c r="A457" s="691"/>
      <c r="D457" s="3"/>
    </row>
    <row r="458" spans="1:25" s="386" customFormat="1">
      <c r="A458" s="69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691"/>
      <c r="D459" s="3"/>
    </row>
    <row r="460" spans="1:25">
      <c r="A460" s="691"/>
      <c r="D460" s="3"/>
    </row>
    <row r="461" spans="1:25" s="386" customFormat="1">
      <c r="A461" s="69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691"/>
      <c r="D462" s="3"/>
    </row>
    <row r="463" spans="1:25">
      <c r="A463" s="691"/>
      <c r="D463" s="3"/>
    </row>
    <row r="464" spans="1:25" s="386" customFormat="1">
      <c r="A464" s="69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691"/>
      <c r="D465" s="3"/>
    </row>
    <row r="466" spans="1:25">
      <c r="A466" s="691"/>
      <c r="D466" s="3"/>
    </row>
    <row r="467" spans="1:25" s="386" customFormat="1">
      <c r="A467" s="69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691"/>
      <c r="D468" s="3"/>
    </row>
    <row r="469" spans="1:25">
      <c r="A469" s="691"/>
      <c r="D469" s="3"/>
    </row>
    <row r="470" spans="1:25" s="386" customFormat="1">
      <c r="A470" s="69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691"/>
      <c r="D471" s="3"/>
    </row>
    <row r="472" spans="1:25">
      <c r="A472" s="691"/>
      <c r="D472" s="3"/>
    </row>
    <row r="473" spans="1:25" s="386" customFormat="1">
      <c r="A473" s="69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691"/>
      <c r="D474" s="3"/>
    </row>
    <row r="475" spans="1:25">
      <c r="A475" s="691"/>
      <c r="D475" s="3"/>
    </row>
    <row r="476" spans="1:25" s="386" customFormat="1">
      <c r="A476" s="69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691"/>
      <c r="D477" s="3"/>
    </row>
    <row r="478" spans="1:25">
      <c r="A478" s="691"/>
      <c r="D478" s="3"/>
    </row>
    <row r="479" spans="1:25" s="386" customFormat="1">
      <c r="A479" s="69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691"/>
      <c r="D480" s="3"/>
    </row>
    <row r="481" spans="1:25">
      <c r="A481" s="691"/>
      <c r="D481" s="3"/>
    </row>
    <row r="482" spans="1:25" s="386" customFormat="1">
      <c r="A482" s="69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691"/>
      <c r="D483" s="3"/>
    </row>
    <row r="484" spans="1:25">
      <c r="A484" s="691"/>
      <c r="D484" s="3"/>
    </row>
    <row r="485" spans="1:25" s="386" customFormat="1">
      <c r="A485" s="69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691"/>
      <c r="D486" s="3"/>
    </row>
    <row r="487" spans="1:25">
      <c r="A487" s="691"/>
      <c r="D487" s="3"/>
    </row>
    <row r="488" spans="1:25" s="386" customFormat="1">
      <c r="A488" s="69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691"/>
      <c r="D489" s="3"/>
    </row>
    <row r="490" spans="1:25">
      <c r="A490" s="691"/>
      <c r="D490" s="3"/>
    </row>
    <row r="491" spans="1:25" s="386" customFormat="1">
      <c r="A491" s="69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691"/>
      <c r="D492" s="3"/>
    </row>
    <row r="493" spans="1:25">
      <c r="A493" s="691"/>
      <c r="D493" s="3"/>
    </row>
    <row r="494" spans="1:25" s="386" customFormat="1">
      <c r="A494" s="69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691"/>
      <c r="D495" s="3"/>
    </row>
    <row r="496" spans="1:25">
      <c r="A496" s="691"/>
      <c r="D496" s="3"/>
    </row>
    <row r="497" spans="1:25" s="386" customFormat="1">
      <c r="A497" s="69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691"/>
      <c r="D498" s="3"/>
    </row>
    <row r="499" spans="1:25">
      <c r="A499" s="691"/>
      <c r="D499" s="3"/>
    </row>
    <row r="500" spans="1:25" s="386" customFormat="1">
      <c r="A500" s="69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691"/>
      <c r="D501" s="3"/>
    </row>
    <row r="502" spans="1:25">
      <c r="A502" s="691"/>
      <c r="D502" s="3"/>
    </row>
    <row r="503" spans="1:25" s="386" customFormat="1">
      <c r="A503" s="69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691"/>
      <c r="D504" s="3"/>
    </row>
    <row r="505" spans="1:25">
      <c r="A505" s="691"/>
      <c r="D505" s="3"/>
    </row>
    <row r="506" spans="1:25" s="386" customFormat="1">
      <c r="A506" s="69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691"/>
      <c r="D507" s="3"/>
    </row>
    <row r="508" spans="1:25">
      <c r="A508" s="691"/>
      <c r="D508" s="3"/>
    </row>
    <row r="509" spans="1:25" s="386" customFormat="1">
      <c r="A509" s="69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691"/>
      <c r="D510" s="3"/>
    </row>
    <row r="511" spans="1:25">
      <c r="A511" s="691"/>
      <c r="D511" s="3"/>
    </row>
    <row r="512" spans="1:25" s="386" customFormat="1">
      <c r="A512" s="69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691"/>
      <c r="D513" s="3"/>
    </row>
    <row r="514" spans="1:25">
      <c r="A514" s="691"/>
      <c r="D514" s="3"/>
    </row>
    <row r="515" spans="1:25" s="386" customFormat="1">
      <c r="A515" s="69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691"/>
      <c r="D516" s="3"/>
    </row>
    <row r="517" spans="1:25">
      <c r="A517" s="691"/>
      <c r="D517" s="3"/>
    </row>
    <row r="518" spans="1:25" s="386" customFormat="1">
      <c r="A518" s="69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691"/>
      <c r="D519" s="3"/>
    </row>
    <row r="520" spans="1:25">
      <c r="A520" s="691"/>
      <c r="D520" s="3"/>
    </row>
    <row r="521" spans="1:25" s="386" customFormat="1">
      <c r="A521" s="69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691"/>
      <c r="D522" s="3"/>
    </row>
    <row r="523" spans="1:25">
      <c r="A523" s="691"/>
      <c r="D523" s="3"/>
    </row>
    <row r="524" spans="1:25" s="386" customFormat="1">
      <c r="A524" s="69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691"/>
      <c r="D525" s="3"/>
    </row>
    <row r="526" spans="1:25">
      <c r="A526" s="691"/>
      <c r="D526" s="3"/>
    </row>
    <row r="527" spans="1:25" s="386" customFormat="1">
      <c r="A527" s="69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691"/>
      <c r="D528" s="3"/>
    </row>
    <row r="529" spans="1:25">
      <c r="A529" s="691"/>
      <c r="D529" s="3"/>
    </row>
    <row r="530" spans="1:25" s="386" customFormat="1">
      <c r="A530" s="69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691"/>
      <c r="D531" s="3"/>
    </row>
    <row r="532" spans="1:25">
      <c r="A532" s="691"/>
      <c r="D532" s="3"/>
    </row>
    <row r="533" spans="1:25" s="386" customFormat="1">
      <c r="A533" s="69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691"/>
      <c r="D534" s="3"/>
    </row>
    <row r="535" spans="1:25">
      <c r="A535" s="691"/>
      <c r="D535" s="3"/>
    </row>
    <row r="536" spans="1:25" s="386" customFormat="1">
      <c r="A536" s="69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691"/>
      <c r="D537" s="3"/>
    </row>
    <row r="538" spans="1:25">
      <c r="A538" s="691"/>
      <c r="D538" s="3"/>
    </row>
    <row r="539" spans="1:25" s="386" customFormat="1">
      <c r="A539" s="69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691"/>
      <c r="D540" s="3"/>
    </row>
    <row r="541" spans="1:25">
      <c r="A541" s="691"/>
      <c r="D541" s="3"/>
    </row>
    <row r="542" spans="1:25" s="386" customFormat="1">
      <c r="A542" s="69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691"/>
      <c r="D543" s="3"/>
    </row>
    <row r="544" spans="1:25">
      <c r="A544" s="691"/>
      <c r="D544" s="3"/>
    </row>
    <row r="545" spans="1:25" s="386" customFormat="1">
      <c r="A545" s="69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691"/>
      <c r="D546" s="3"/>
    </row>
    <row r="547" spans="1:25">
      <c r="A547" s="691"/>
      <c r="D547" s="3"/>
    </row>
    <row r="548" spans="1:25" s="386" customFormat="1">
      <c r="A548" s="69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691"/>
      <c r="D549" s="3"/>
    </row>
    <row r="550" spans="1:25">
      <c r="A550" s="691"/>
      <c r="D550" s="3"/>
    </row>
    <row r="551" spans="1:25" s="386" customFormat="1">
      <c r="A551" s="69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691"/>
      <c r="D552" s="3"/>
    </row>
    <row r="553" spans="1:25">
      <c r="A553" s="691"/>
      <c r="D553" s="3"/>
    </row>
    <row r="554" spans="1:25" s="386" customFormat="1">
      <c r="A554" s="69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691"/>
      <c r="D555" s="3"/>
    </row>
    <row r="556" spans="1:25">
      <c r="A556" s="691"/>
      <c r="D556" s="3"/>
    </row>
    <row r="557" spans="1:25" s="386" customFormat="1">
      <c r="A557" s="69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691"/>
      <c r="D558" s="3"/>
    </row>
    <row r="559" spans="1:25">
      <c r="A559" s="691"/>
      <c r="D559" s="3"/>
    </row>
    <row r="560" spans="1:25" s="386" customFormat="1">
      <c r="A560" s="69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691"/>
      <c r="D561" s="3"/>
    </row>
    <row r="562" spans="1:25">
      <c r="A562" s="691"/>
      <c r="D562" s="3"/>
    </row>
    <row r="563" spans="1:25" s="386" customFormat="1">
      <c r="A563" s="69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691"/>
      <c r="D564" s="3"/>
    </row>
    <row r="565" spans="1:25">
      <c r="A565" s="691"/>
      <c r="D565" s="3"/>
    </row>
    <row r="566" spans="1:25" s="386" customFormat="1">
      <c r="A566" s="69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691"/>
      <c r="D567" s="3"/>
    </row>
    <row r="568" spans="1:25">
      <c r="A568" s="691"/>
      <c r="D568" s="3"/>
    </row>
    <row r="569" spans="1:25" s="386" customFormat="1">
      <c r="A569" s="69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691"/>
      <c r="D570" s="3"/>
    </row>
    <row r="571" spans="1:25">
      <c r="A571" s="691"/>
      <c r="D571" s="3"/>
    </row>
    <row r="572" spans="1:25" s="386" customFormat="1">
      <c r="A572" s="69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691"/>
      <c r="D573" s="3"/>
    </row>
    <row r="574" spans="1:25">
      <c r="A574" s="691"/>
      <c r="D574" s="3"/>
    </row>
    <row r="575" spans="1:25" s="386" customFormat="1">
      <c r="A575" s="69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691"/>
      <c r="D576" s="3"/>
    </row>
    <row r="577" spans="1:25">
      <c r="A577" s="691"/>
      <c r="D577" s="3"/>
    </row>
    <row r="578" spans="1:25" s="386" customFormat="1">
      <c r="A578" s="69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691"/>
      <c r="D579" s="3"/>
    </row>
    <row r="580" spans="1:25">
      <c r="A580" s="691"/>
      <c r="D580" s="3"/>
    </row>
    <row r="581" spans="1:25" s="386" customFormat="1">
      <c r="A581" s="69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691"/>
      <c r="D582" s="3"/>
    </row>
    <row r="583" spans="1:25">
      <c r="A583" s="691"/>
      <c r="D583" s="3"/>
    </row>
    <row r="584" spans="1:25" s="386" customFormat="1">
      <c r="A584" s="69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691"/>
      <c r="D585" s="3"/>
    </row>
    <row r="586" spans="1:25">
      <c r="A586" s="691"/>
      <c r="D586" s="3"/>
    </row>
    <row r="587" spans="1:25" s="386" customFormat="1">
      <c r="A587" s="69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691"/>
      <c r="D588" s="3"/>
    </row>
    <row r="589" spans="1:25">
      <c r="A589" s="691"/>
      <c r="D589" s="3"/>
    </row>
    <row r="590" spans="1:25" s="386" customFormat="1">
      <c r="A590" s="69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691"/>
      <c r="D591" s="3"/>
    </row>
    <row r="592" spans="1:25">
      <c r="A592" s="691"/>
      <c r="D592" s="3"/>
    </row>
    <row r="593" spans="1:25" s="386" customFormat="1">
      <c r="A593" s="69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691"/>
      <c r="D594" s="3"/>
    </row>
    <row r="595" spans="1:25">
      <c r="A595" s="691"/>
      <c r="D595" s="3"/>
    </row>
    <row r="596" spans="1:25" s="386" customFormat="1">
      <c r="A596" s="69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691"/>
      <c r="D597" s="3"/>
    </row>
    <row r="598" spans="1:25">
      <c r="A598" s="691"/>
      <c r="D598" s="3"/>
    </row>
    <row r="599" spans="1:25" s="386" customFormat="1">
      <c r="A599" s="69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691"/>
      <c r="D600" s="3"/>
    </row>
    <row r="601" spans="1:25">
      <c r="A601" s="691"/>
      <c r="D601" s="3"/>
    </row>
    <row r="602" spans="1:25" s="386" customFormat="1">
      <c r="A602" s="69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691"/>
      <c r="D603" s="3"/>
    </row>
    <row r="604" spans="1:25">
      <c r="A604" s="691"/>
      <c r="D604" s="3"/>
    </row>
    <row r="605" spans="1:25" s="386" customFormat="1">
      <c r="A605" s="69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691"/>
      <c r="D606" s="3"/>
    </row>
    <row r="607" spans="1:25">
      <c r="A607" s="691"/>
      <c r="D607" s="3"/>
    </row>
    <row r="608" spans="1:25" s="386" customFormat="1">
      <c r="A608" s="69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691"/>
      <c r="D609" s="3"/>
    </row>
    <row r="610" spans="1:25">
      <c r="A610" s="691"/>
      <c r="D610" s="3"/>
    </row>
    <row r="611" spans="1:25" s="386" customFormat="1">
      <c r="A611" s="69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691"/>
      <c r="D612" s="3"/>
    </row>
    <row r="613" spans="1:25">
      <c r="A613" s="691"/>
      <c r="D613" s="3"/>
    </row>
    <row r="614" spans="1:25" s="386" customFormat="1">
      <c r="A614" s="69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691"/>
      <c r="D615" s="3"/>
    </row>
    <row r="616" spans="1:25">
      <c r="A616" s="691"/>
      <c r="D616" s="3"/>
    </row>
    <row r="617" spans="1:25" s="386" customFormat="1">
      <c r="A617" s="69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691"/>
      <c r="D618" s="3"/>
    </row>
    <row r="619" spans="1:25">
      <c r="A619" s="691"/>
      <c r="D619" s="3"/>
    </row>
    <row r="620" spans="1:25" s="386" customFormat="1">
      <c r="A620" s="69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691"/>
      <c r="D621" s="3"/>
    </row>
    <row r="622" spans="1:25">
      <c r="A622" s="691"/>
      <c r="D622" s="3"/>
    </row>
    <row r="623" spans="1:25" s="386" customFormat="1">
      <c r="A623" s="69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691"/>
      <c r="D624" s="3"/>
    </row>
    <row r="625" spans="1:25">
      <c r="A625" s="691"/>
      <c r="D625" s="3"/>
    </row>
    <row r="626" spans="1:25" s="386" customFormat="1">
      <c r="A626" s="69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691"/>
      <c r="D627" s="3"/>
    </row>
    <row r="628" spans="1:25">
      <c r="A628" s="691"/>
      <c r="D628" s="3"/>
    </row>
    <row r="629" spans="1:25" s="386" customFormat="1">
      <c r="A629" s="69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691"/>
      <c r="D630" s="3"/>
    </row>
    <row r="631" spans="1:25">
      <c r="A631" s="691"/>
      <c r="D631" s="3"/>
    </row>
    <row r="632" spans="1:25" s="386" customFormat="1">
      <c r="A632" s="69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691"/>
      <c r="D633" s="3"/>
    </row>
    <row r="634" spans="1:25">
      <c r="A634" s="691"/>
      <c r="D634" s="3"/>
    </row>
    <row r="635" spans="1:25" s="386" customFormat="1">
      <c r="A635" s="69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691"/>
      <c r="D636" s="3"/>
    </row>
    <row r="637" spans="1:25">
      <c r="A637" s="691"/>
      <c r="D637" s="3"/>
    </row>
    <row r="638" spans="1:25" s="386" customFormat="1">
      <c r="A638" s="69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691"/>
      <c r="D639" s="3"/>
    </row>
    <row r="640" spans="1:25">
      <c r="A640" s="691"/>
      <c r="D640" s="3"/>
    </row>
    <row r="641" spans="1:25" s="386" customFormat="1">
      <c r="A641" s="69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691"/>
      <c r="D642" s="3"/>
    </row>
    <row r="643" spans="1:25">
      <c r="A643" s="691"/>
      <c r="D643" s="3"/>
    </row>
    <row r="644" spans="1:25" s="386" customFormat="1">
      <c r="A644" s="69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691"/>
      <c r="D645" s="3"/>
    </row>
    <row r="646" spans="1:25">
      <c r="A646" s="691"/>
      <c r="D646" s="3"/>
    </row>
    <row r="647" spans="1:25" s="386" customFormat="1">
      <c r="A647" s="69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691"/>
      <c r="D648" s="3"/>
    </row>
    <row r="649" spans="1:25">
      <c r="A649" s="691"/>
      <c r="D649" s="3"/>
    </row>
    <row r="650" spans="1:25" s="386" customFormat="1">
      <c r="A650" s="69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691"/>
      <c r="D651" s="3"/>
    </row>
    <row r="652" spans="1:25">
      <c r="A652" s="691"/>
      <c r="D652" s="3"/>
    </row>
    <row r="653" spans="1:25" s="386" customFormat="1">
      <c r="A653" s="69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691"/>
      <c r="D654" s="3"/>
    </row>
    <row r="655" spans="1:25">
      <c r="A655" s="691"/>
      <c r="D655" s="3"/>
    </row>
    <row r="656" spans="1:25" s="386" customFormat="1">
      <c r="A656" s="69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691"/>
      <c r="D657" s="3"/>
    </row>
    <row r="658" spans="1:25">
      <c r="A658" s="691"/>
      <c r="D658" s="3"/>
    </row>
    <row r="659" spans="1:25" s="386" customFormat="1">
      <c r="A659" s="69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691"/>
      <c r="D660" s="3"/>
    </row>
    <row r="661" spans="1:25">
      <c r="A661" s="691"/>
      <c r="D661" s="3"/>
    </row>
    <row r="662" spans="1:25" s="386" customFormat="1">
      <c r="A662" s="69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691"/>
      <c r="D663" s="3"/>
    </row>
    <row r="664" spans="1:25">
      <c r="A664" s="691"/>
      <c r="D664" s="3"/>
    </row>
    <row r="665" spans="1:25" s="386" customFormat="1">
      <c r="A665" s="69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691"/>
      <c r="D666" s="3"/>
    </row>
    <row r="667" spans="1:25">
      <c r="A667" s="691"/>
      <c r="D667" s="3"/>
    </row>
    <row r="668" spans="1:25" s="386" customFormat="1">
      <c r="A668" s="69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691"/>
      <c r="D669" s="3"/>
    </row>
    <row r="670" spans="1:25">
      <c r="A670" s="691"/>
      <c r="D670" s="3"/>
    </row>
    <row r="671" spans="1:25" s="386" customFormat="1">
      <c r="A671" s="69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691"/>
      <c r="D672" s="3"/>
    </row>
    <row r="673" spans="1:25">
      <c r="A673" s="691"/>
      <c r="D673" s="3"/>
    </row>
    <row r="674" spans="1:25" s="386" customFormat="1">
      <c r="A674" s="69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691"/>
      <c r="D675" s="3"/>
    </row>
    <row r="676" spans="1:25">
      <c r="A676" s="691"/>
      <c r="D676" s="3"/>
    </row>
    <row r="677" spans="1:25" s="386" customFormat="1">
      <c r="A677" s="69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691"/>
      <c r="D678" s="3"/>
    </row>
    <row r="679" spans="1:25">
      <c r="A679" s="691"/>
      <c r="D679" s="3"/>
    </row>
    <row r="680" spans="1:25" s="386" customFormat="1">
      <c r="A680" s="69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691"/>
      <c r="D681" s="3"/>
    </row>
    <row r="682" spans="1:25">
      <c r="A682" s="691"/>
      <c r="D682" s="3"/>
    </row>
    <row r="683" spans="1:25" s="386" customFormat="1">
      <c r="A683" s="69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691"/>
      <c r="D684" s="3"/>
    </row>
    <row r="685" spans="1:25">
      <c r="A685" s="691"/>
      <c r="D685" s="3"/>
    </row>
    <row r="686" spans="1:25" s="386" customFormat="1">
      <c r="A686" s="69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691"/>
      <c r="D687" s="3"/>
    </row>
    <row r="688" spans="1:25">
      <c r="A688" s="691"/>
      <c r="D688" s="3"/>
    </row>
    <row r="689" spans="1:25" s="386" customFormat="1">
      <c r="A689" s="69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691"/>
      <c r="D690" s="3"/>
    </row>
    <row r="691" spans="1:25">
      <c r="A691" s="691"/>
      <c r="D691" s="3"/>
    </row>
    <row r="692" spans="1:25" s="386" customFormat="1">
      <c r="A692" s="69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691"/>
      <c r="D693" s="3"/>
    </row>
    <row r="694" spans="1:25">
      <c r="A694" s="691"/>
      <c r="D694" s="3"/>
    </row>
    <row r="695" spans="1:25" s="386" customFormat="1">
      <c r="A695" s="69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691"/>
      <c r="D696" s="3"/>
    </row>
    <row r="697" spans="1:25">
      <c r="A697" s="691"/>
      <c r="D697" s="3"/>
    </row>
    <row r="698" spans="1:25" s="386" customFormat="1">
      <c r="A698" s="69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691"/>
      <c r="D699" s="3"/>
    </row>
    <row r="700" spans="1:25">
      <c r="A700" s="691"/>
      <c r="D700" s="3"/>
    </row>
    <row r="701" spans="1:25" s="386" customFormat="1">
      <c r="A701" s="69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691"/>
      <c r="D702" s="3"/>
    </row>
    <row r="703" spans="1:25">
      <c r="A703" s="691"/>
      <c r="D703" s="3"/>
    </row>
    <row r="704" spans="1:25" s="386" customFormat="1">
      <c r="A704" s="69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691"/>
      <c r="D705" s="3"/>
    </row>
    <row r="706" spans="1:25">
      <c r="A706" s="691"/>
      <c r="D706" s="3"/>
    </row>
    <row r="707" spans="1:25" s="386" customFormat="1">
      <c r="A707" s="69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691"/>
      <c r="D708" s="3"/>
    </row>
    <row r="709" spans="1:25">
      <c r="A709" s="691"/>
      <c r="D709" s="3"/>
    </row>
    <row r="710" spans="1:25" s="386" customFormat="1">
      <c r="A710" s="69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691"/>
      <c r="D711" s="3"/>
    </row>
    <row r="712" spans="1:25">
      <c r="A712" s="691"/>
      <c r="D712" s="3"/>
    </row>
    <row r="713" spans="1:25" s="386" customFormat="1">
      <c r="A713" s="69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691"/>
      <c r="D714" s="3"/>
    </row>
    <row r="715" spans="1:25">
      <c r="A715" s="691"/>
      <c r="D715" s="3"/>
    </row>
    <row r="716" spans="1:25" s="386" customFormat="1">
      <c r="A716" s="69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691"/>
      <c r="D717" s="3"/>
    </row>
    <row r="718" spans="1:25">
      <c r="A718" s="691"/>
      <c r="D718" s="3"/>
    </row>
    <row r="719" spans="1:25" s="386" customFormat="1">
      <c r="A719" s="69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691"/>
      <c r="D720" s="3"/>
    </row>
    <row r="721" spans="1:25">
      <c r="A721" s="691"/>
      <c r="D721" s="3"/>
    </row>
    <row r="722" spans="1:25" s="386" customFormat="1">
      <c r="A722" s="69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691"/>
      <c r="D723" s="3"/>
    </row>
    <row r="724" spans="1:25">
      <c r="A724" s="691"/>
      <c r="D724" s="3"/>
    </row>
    <row r="725" spans="1:25" s="386" customFormat="1">
      <c r="A725" s="69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691"/>
      <c r="D726" s="3"/>
    </row>
    <row r="727" spans="1:25">
      <c r="A727" s="691"/>
      <c r="D727" s="3"/>
    </row>
    <row r="728" spans="1:25" s="386" customFormat="1">
      <c r="A728" s="69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691"/>
      <c r="D729" s="3"/>
    </row>
    <row r="730" spans="1:25">
      <c r="A730" s="691"/>
      <c r="D730" s="3"/>
    </row>
    <row r="731" spans="1:25" s="386" customFormat="1">
      <c r="A731" s="69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691"/>
      <c r="D732" s="3"/>
    </row>
    <row r="733" spans="1:25">
      <c r="A733" s="691"/>
      <c r="D733" s="3"/>
    </row>
    <row r="734" spans="1:25" s="386" customFormat="1">
      <c r="A734" s="69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691"/>
      <c r="D735" s="3"/>
    </row>
    <row r="736" spans="1:25">
      <c r="A736" s="691"/>
      <c r="D736" s="3"/>
    </row>
    <row r="737" spans="1:25" s="386" customFormat="1">
      <c r="A737" s="69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691"/>
      <c r="D738" s="3"/>
    </row>
    <row r="739" spans="1:25">
      <c r="A739" s="691"/>
      <c r="D739" s="3"/>
    </row>
    <row r="740" spans="1:25" s="386" customFormat="1">
      <c r="A740" s="69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691"/>
      <c r="D741" s="3"/>
    </row>
    <row r="742" spans="1:25">
      <c r="A742" s="691"/>
      <c r="D742" s="3"/>
    </row>
    <row r="743" spans="1:25" s="386" customFormat="1">
      <c r="A743" s="69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691"/>
      <c r="D744" s="3"/>
    </row>
    <row r="745" spans="1:25">
      <c r="A745" s="691"/>
      <c r="D745" s="3"/>
    </row>
    <row r="746" spans="1:25" s="386" customFormat="1">
      <c r="A746" s="69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691"/>
      <c r="D747" s="3"/>
    </row>
    <row r="748" spans="1:25">
      <c r="A748" s="691"/>
      <c r="D748" s="3"/>
    </row>
    <row r="749" spans="1:25" s="386" customFormat="1">
      <c r="A749" s="69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691"/>
      <c r="D750" s="3"/>
    </row>
    <row r="751" spans="1:25">
      <c r="A751" s="691"/>
      <c r="D751" s="3"/>
    </row>
    <row r="752" spans="1:25" s="386" customFormat="1">
      <c r="A752" s="69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691"/>
      <c r="D753" s="3"/>
    </row>
    <row r="754" spans="1:25">
      <c r="A754" s="691"/>
      <c r="D754" s="3"/>
    </row>
    <row r="755" spans="1:25" s="386" customFormat="1">
      <c r="A755" s="69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691"/>
      <c r="D756" s="3"/>
    </row>
    <row r="757" spans="1:25">
      <c r="A757" s="691"/>
      <c r="D757" s="3"/>
    </row>
    <row r="758" spans="1:25" s="386" customFormat="1">
      <c r="A758" s="69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691"/>
      <c r="D759" s="3"/>
    </row>
    <row r="760" spans="1:25">
      <c r="A760" s="691"/>
      <c r="D760" s="3"/>
    </row>
    <row r="761" spans="1:25" s="386" customFormat="1">
      <c r="A761" s="69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691"/>
      <c r="D762" s="3"/>
    </row>
    <row r="763" spans="1:25">
      <c r="A763" s="691"/>
      <c r="D763" s="3"/>
    </row>
    <row r="764" spans="1:25" s="386" customFormat="1">
      <c r="A764" s="69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691"/>
      <c r="D765" s="3"/>
    </row>
    <row r="766" spans="1:25">
      <c r="A766" s="691"/>
      <c r="D766" s="3"/>
    </row>
    <row r="767" spans="1:25" s="386" customFormat="1">
      <c r="A767" s="69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691"/>
      <c r="D768" s="3"/>
    </row>
    <row r="769" spans="1:25">
      <c r="A769" s="691"/>
      <c r="D769" s="3"/>
    </row>
    <row r="770" spans="1:25" s="386" customFormat="1">
      <c r="A770" s="69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691"/>
      <c r="D771" s="3"/>
    </row>
    <row r="772" spans="1:25">
      <c r="A772" s="691"/>
      <c r="D772" s="3"/>
    </row>
    <row r="773" spans="1:25" s="386" customFormat="1">
      <c r="A773" s="69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691"/>
      <c r="D774" s="3"/>
    </row>
    <row r="775" spans="1:25">
      <c r="A775" s="691"/>
      <c r="D775" s="3"/>
    </row>
    <row r="776" spans="1:25" s="386" customFormat="1">
      <c r="A776" s="69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691"/>
      <c r="D777" s="3"/>
    </row>
    <row r="778" spans="1:25">
      <c r="A778" s="691"/>
      <c r="D778" s="3"/>
    </row>
    <row r="779" spans="1:25" s="386" customFormat="1">
      <c r="A779" s="69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691"/>
      <c r="D780" s="3"/>
    </row>
    <row r="781" spans="1:25">
      <c r="A781" s="691"/>
      <c r="D781" s="3"/>
    </row>
    <row r="782" spans="1:25" s="386" customFormat="1">
      <c r="A782" s="69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691"/>
      <c r="D783" s="3"/>
    </row>
    <row r="784" spans="1:25">
      <c r="A784" s="691"/>
      <c r="D784" s="3"/>
    </row>
    <row r="785" spans="1:25" s="386" customFormat="1">
      <c r="A785" s="69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691"/>
      <c r="D786" s="3"/>
    </row>
    <row r="787" spans="1:25">
      <c r="A787" s="691"/>
      <c r="D787" s="3"/>
    </row>
    <row r="788" spans="1:25" s="386" customFormat="1">
      <c r="A788" s="69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691"/>
      <c r="D789" s="3"/>
    </row>
    <row r="790" spans="1:25">
      <c r="A790" s="691"/>
      <c r="D790" s="3"/>
    </row>
    <row r="791" spans="1:25" s="386" customFormat="1">
      <c r="A791" s="69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691"/>
      <c r="D792" s="3"/>
    </row>
    <row r="793" spans="1:25">
      <c r="A793" s="691"/>
      <c r="D793" s="3"/>
    </row>
    <row r="794" spans="1:25" s="386" customFormat="1">
      <c r="A794" s="69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691"/>
      <c r="D795" s="3"/>
    </row>
    <row r="796" spans="1:25">
      <c r="A796" s="691"/>
      <c r="D796" s="3"/>
    </row>
    <row r="797" spans="1:25" s="386" customFormat="1">
      <c r="A797" s="69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691"/>
      <c r="D798" s="3"/>
    </row>
    <row r="799" spans="1:25">
      <c r="A799" s="691"/>
      <c r="D799" s="3"/>
    </row>
    <row r="800" spans="1:25" s="386" customFormat="1">
      <c r="A800" s="69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691"/>
      <c r="D801" s="3"/>
    </row>
    <row r="802" spans="1:25">
      <c r="A802" s="691"/>
      <c r="D802" s="3"/>
    </row>
    <row r="803" spans="1:25" s="386" customFormat="1">
      <c r="A803" s="69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691"/>
      <c r="D804" s="3"/>
    </row>
    <row r="805" spans="1:25">
      <c r="A805" s="691"/>
      <c r="D805" s="3"/>
    </row>
    <row r="806" spans="1:25" s="386" customFormat="1">
      <c r="A806" s="69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691"/>
      <c r="D807" s="3"/>
    </row>
    <row r="808" spans="1:25">
      <c r="A808" s="691"/>
      <c r="D808" s="3"/>
    </row>
    <row r="809" spans="1:25" s="386" customFormat="1">
      <c r="A809" s="69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691"/>
      <c r="D810" s="3"/>
    </row>
    <row r="811" spans="1:25">
      <c r="A811" s="691"/>
      <c r="D811" s="3"/>
    </row>
    <row r="812" spans="1:25" s="386" customFormat="1">
      <c r="A812" s="69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691"/>
      <c r="D813" s="3"/>
    </row>
    <row r="814" spans="1:25">
      <c r="A814" s="691"/>
      <c r="D814" s="3"/>
    </row>
    <row r="815" spans="1:25" s="386" customFormat="1">
      <c r="A815" s="69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691"/>
      <c r="D816" s="3"/>
    </row>
    <row r="817" spans="1:25">
      <c r="A817" s="691"/>
      <c r="D817" s="3"/>
    </row>
    <row r="818" spans="1:25" s="386" customFormat="1">
      <c r="A818" s="69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691"/>
      <c r="D819" s="3"/>
    </row>
    <row r="820" spans="1:25">
      <c r="A820" s="691"/>
      <c r="D820" s="3"/>
    </row>
    <row r="821" spans="1:25" s="386" customFormat="1">
      <c r="A821" s="69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691"/>
      <c r="D822" s="3"/>
    </row>
    <row r="823" spans="1:25">
      <c r="A823" s="691"/>
      <c r="D823" s="3"/>
    </row>
    <row r="824" spans="1:25" s="386" customFormat="1">
      <c r="A824" s="69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691"/>
      <c r="D825" s="3"/>
    </row>
    <row r="826" spans="1:25">
      <c r="A826" s="691"/>
      <c r="D826" s="3"/>
    </row>
    <row r="827" spans="1:25" s="386" customFormat="1">
      <c r="A827" s="69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691"/>
      <c r="D828" s="3"/>
    </row>
    <row r="829" spans="1:25">
      <c r="A829" s="691"/>
      <c r="D829" s="3"/>
    </row>
    <row r="830" spans="1:25" s="386" customFormat="1">
      <c r="A830" s="69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691"/>
      <c r="D831" s="3"/>
    </row>
    <row r="832" spans="1:25">
      <c r="A832" s="691"/>
      <c r="D832" s="3"/>
    </row>
    <row r="833" spans="1:25" s="386" customFormat="1">
      <c r="A833" s="69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691"/>
      <c r="D834" s="3"/>
    </row>
    <row r="835" spans="1:25">
      <c r="A835" s="691"/>
      <c r="D835" s="3"/>
    </row>
    <row r="836" spans="1:25" s="386" customFormat="1">
      <c r="A836" s="69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691"/>
      <c r="D837" s="3"/>
    </row>
    <row r="838" spans="1:25">
      <c r="A838" s="691"/>
      <c r="D838" s="3"/>
    </row>
    <row r="839" spans="1:25" s="386" customFormat="1">
      <c r="A839" s="69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691"/>
      <c r="D840" s="3"/>
    </row>
    <row r="841" spans="1:25">
      <c r="A841" s="691"/>
      <c r="D841" s="3"/>
    </row>
    <row r="842" spans="1:25" s="386" customFormat="1">
      <c r="A842" s="69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691"/>
      <c r="D843" s="3"/>
    </row>
    <row r="844" spans="1:25">
      <c r="A844" s="691"/>
      <c r="D844" s="3"/>
    </row>
    <row r="845" spans="1:25" s="386" customFormat="1">
      <c r="A845" s="69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691"/>
      <c r="D846" s="3"/>
    </row>
    <row r="847" spans="1:25">
      <c r="A847" s="691"/>
      <c r="D847" s="3"/>
    </row>
    <row r="848" spans="1:25" s="386" customFormat="1">
      <c r="A848" s="69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691"/>
      <c r="D849" s="3"/>
    </row>
    <row r="850" spans="1:25">
      <c r="A850" s="691"/>
      <c r="D850" s="3"/>
    </row>
    <row r="851" spans="1:25" s="386" customFormat="1">
      <c r="A851" s="69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691"/>
      <c r="D852" s="3"/>
    </row>
    <row r="853" spans="1:25">
      <c r="A853" s="691"/>
      <c r="D853" s="3"/>
    </row>
    <row r="854" spans="1:25" s="386" customFormat="1">
      <c r="A854" s="69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691"/>
      <c r="D855" s="3"/>
    </row>
    <row r="856" spans="1:25">
      <c r="A856" s="691"/>
      <c r="D856" s="3"/>
    </row>
    <row r="857" spans="1:25" s="386" customFormat="1">
      <c r="A857" s="69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691"/>
      <c r="D858" s="3"/>
    </row>
    <row r="859" spans="1:25">
      <c r="A859" s="691"/>
      <c r="D859" s="3"/>
    </row>
    <row r="860" spans="1:25" s="386" customFormat="1">
      <c r="A860" s="69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691"/>
      <c r="D861" s="3"/>
    </row>
    <row r="862" spans="1:25">
      <c r="A862" s="691"/>
      <c r="D862" s="3"/>
    </row>
    <row r="863" spans="1:25" s="386" customFormat="1">
      <c r="A863" s="69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691"/>
      <c r="D864" s="3"/>
    </row>
    <row r="865" spans="1:25">
      <c r="A865" s="691"/>
      <c r="D865" s="3"/>
    </row>
    <row r="866" spans="1:25" s="386" customFormat="1">
      <c r="A866" s="69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691"/>
      <c r="D867" s="3"/>
    </row>
    <row r="868" spans="1:25">
      <c r="A868" s="691"/>
      <c r="D868" s="3"/>
    </row>
    <row r="869" spans="1:25" s="386" customFormat="1">
      <c r="A869" s="69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691"/>
      <c r="D870" s="3"/>
    </row>
    <row r="871" spans="1:25">
      <c r="A871" s="691"/>
      <c r="D871" s="3"/>
    </row>
    <row r="872" spans="1:25" s="386" customFormat="1">
      <c r="A872" s="69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691"/>
      <c r="D873" s="3"/>
    </row>
    <row r="874" spans="1:25">
      <c r="A874" s="691"/>
      <c r="D874" s="3"/>
    </row>
    <row r="875" spans="1:25">
      <c r="A875" s="691"/>
      <c r="D875" s="3"/>
    </row>
    <row r="876" spans="1:25">
      <c r="A876" s="691"/>
      <c r="D876" s="3"/>
    </row>
    <row r="877" spans="1:25">
      <c r="A877" s="691"/>
      <c r="D877" s="3"/>
    </row>
    <row r="878" spans="1:25">
      <c r="A878" s="691"/>
      <c r="D878" s="3"/>
    </row>
    <row r="879" spans="1:25">
      <c r="A879" s="691"/>
      <c r="D879" s="3"/>
    </row>
    <row r="880" spans="1:25">
      <c r="A880" s="691"/>
      <c r="D880" s="3"/>
    </row>
    <row r="881" spans="1:4">
      <c r="A881" s="691"/>
      <c r="D881" s="3"/>
    </row>
    <row r="882" spans="1:4">
      <c r="A882" s="691"/>
      <c r="D882" s="3"/>
    </row>
    <row r="883" spans="1:4">
      <c r="A883" s="691"/>
      <c r="D883" s="3"/>
    </row>
    <row r="884" spans="1:4">
      <c r="A884" s="691"/>
      <c r="D884" s="3"/>
    </row>
    <row r="885" spans="1:4">
      <c r="A885" s="691"/>
      <c r="D885" s="3"/>
    </row>
    <row r="886" spans="1:4">
      <c r="A886" s="691"/>
      <c r="D886" s="3"/>
    </row>
    <row r="887" spans="1:4">
      <c r="A887" s="691"/>
      <c r="D887" s="3"/>
    </row>
    <row r="888" spans="1:4">
      <c r="A888" s="691"/>
      <c r="D888" s="3"/>
    </row>
    <row r="889" spans="1:4">
      <c r="A889" s="691"/>
      <c r="D889" s="3"/>
    </row>
    <row r="890" spans="1:4">
      <c r="A890" s="691"/>
      <c r="D890" s="3"/>
    </row>
    <row r="891" spans="1:4">
      <c r="A891" s="691"/>
      <c r="D891" s="3"/>
    </row>
    <row r="892" spans="1:4">
      <c r="A892" s="691"/>
      <c r="D892" s="3"/>
    </row>
    <row r="893" spans="1:4">
      <c r="A893" s="691"/>
      <c r="D893" s="3"/>
    </row>
    <row r="894" spans="1:4">
      <c r="A894" s="691"/>
      <c r="D894" s="3"/>
    </row>
    <row r="895" spans="1:4">
      <c r="A895" s="691"/>
      <c r="D895" s="3"/>
    </row>
    <row r="896" spans="1:4">
      <c r="A896" s="691"/>
      <c r="D896" s="3"/>
    </row>
    <row r="897" spans="1:4">
      <c r="A897" s="691"/>
      <c r="D897" s="3"/>
    </row>
    <row r="898" spans="1:4">
      <c r="A898" s="691"/>
      <c r="D898" s="3"/>
    </row>
    <row r="899" spans="1:4">
      <c r="A899" s="691"/>
      <c r="D899" s="3"/>
    </row>
    <row r="900" spans="1:4">
      <c r="A900" s="691"/>
      <c r="D900" s="3"/>
    </row>
    <row r="901" spans="1:4">
      <c r="A901" s="691"/>
      <c r="D901" s="3"/>
    </row>
    <row r="902" spans="1:4">
      <c r="A902" s="691"/>
      <c r="D902" s="3"/>
    </row>
    <row r="903" spans="1:4">
      <c r="A903" s="691"/>
      <c r="D903" s="3"/>
    </row>
    <row r="904" spans="1:4">
      <c r="A904" s="691"/>
      <c r="D904" s="3"/>
    </row>
    <row r="905" spans="1:4">
      <c r="A905" s="691"/>
      <c r="D905" s="3"/>
    </row>
    <row r="906" spans="1:4">
      <c r="A906" s="691"/>
      <c r="D906" s="3"/>
    </row>
    <row r="907" spans="1:4">
      <c r="A907" s="691"/>
      <c r="D907" s="3"/>
    </row>
    <row r="908" spans="1:4">
      <c r="A908" s="691"/>
      <c r="D908" s="3"/>
    </row>
    <row r="909" spans="1:4">
      <c r="A909" s="691"/>
      <c r="D909" s="3"/>
    </row>
    <row r="910" spans="1:4">
      <c r="A910" s="691"/>
      <c r="D910" s="3"/>
    </row>
    <row r="911" spans="1:4">
      <c r="A911" s="691"/>
      <c r="D911" s="3"/>
    </row>
    <row r="912" spans="1:4">
      <c r="A912" s="691"/>
      <c r="D912" s="3"/>
    </row>
    <row r="913" spans="1:4">
      <c r="A913" s="691"/>
      <c r="D913" s="3"/>
    </row>
    <row r="914" spans="1:4">
      <c r="A914" s="691"/>
      <c r="D914" s="3"/>
    </row>
    <row r="915" spans="1:4">
      <c r="A915" s="691"/>
      <c r="D915" s="3"/>
    </row>
    <row r="916" spans="1:4">
      <c r="A916" s="691"/>
      <c r="D916" s="3"/>
    </row>
    <row r="917" spans="1:4">
      <c r="A917" s="691"/>
      <c r="D917" s="3"/>
    </row>
    <row r="918" spans="1:4">
      <c r="A918" s="691"/>
      <c r="D918" s="3"/>
    </row>
    <row r="919" spans="1:4">
      <c r="A919" s="691"/>
      <c r="D919" s="3"/>
    </row>
    <row r="920" spans="1:4">
      <c r="A920" s="691"/>
      <c r="D920" s="3"/>
    </row>
    <row r="921" spans="1:4">
      <c r="A921" s="691"/>
      <c r="D921" s="3"/>
    </row>
    <row r="922" spans="1:4">
      <c r="A922" s="691"/>
      <c r="D922" s="3"/>
    </row>
    <row r="923" spans="1:4">
      <c r="A923" s="691"/>
      <c r="D923" s="3"/>
    </row>
    <row r="924" spans="1:4">
      <c r="A924" s="691"/>
      <c r="D924" s="3"/>
    </row>
    <row r="925" spans="1:4">
      <c r="A925" s="691"/>
      <c r="D925" s="3"/>
    </row>
    <row r="926" spans="1:4">
      <c r="A926" s="691"/>
      <c r="D926" s="3"/>
    </row>
    <row r="927" spans="1:4">
      <c r="A927" s="691"/>
      <c r="D927" s="3"/>
    </row>
    <row r="928" spans="1:4">
      <c r="A928" s="691"/>
      <c r="D928" s="3"/>
    </row>
    <row r="929" spans="1:4">
      <c r="A929" s="691"/>
      <c r="D929" s="3"/>
    </row>
    <row r="930" spans="1:4">
      <c r="A930" s="691"/>
      <c r="D930" s="3"/>
    </row>
    <row r="931" spans="1:4">
      <c r="A931" s="691"/>
      <c r="D931" s="3"/>
    </row>
    <row r="932" spans="1:4">
      <c r="A932" s="691"/>
      <c r="D932" s="3"/>
    </row>
    <row r="933" spans="1:4">
      <c r="A933" s="691"/>
      <c r="D933" s="3"/>
    </row>
    <row r="934" spans="1:4">
      <c r="A934" s="691"/>
      <c r="D934" s="3"/>
    </row>
    <row r="935" spans="1:4">
      <c r="A935" s="691"/>
      <c r="D935" s="3"/>
    </row>
    <row r="936" spans="1:4">
      <c r="A936" s="691"/>
      <c r="D936" s="3"/>
    </row>
    <row r="937" spans="1:4">
      <c r="A937" s="691"/>
      <c r="D937" s="3"/>
    </row>
    <row r="938" spans="1:4">
      <c r="A938" s="691"/>
      <c r="D938" s="3"/>
    </row>
    <row r="939" spans="1:4">
      <c r="A939" s="691"/>
      <c r="D939" s="3"/>
    </row>
    <row r="940" spans="1:4">
      <c r="A940" s="691"/>
      <c r="D940" s="3"/>
    </row>
    <row r="941" spans="1:4">
      <c r="A941" s="691"/>
      <c r="D941" s="3"/>
    </row>
    <row r="942" spans="1:4">
      <c r="A942" s="691"/>
      <c r="D942" s="3"/>
    </row>
    <row r="943" spans="1:4">
      <c r="A943" s="691"/>
      <c r="D943" s="3"/>
    </row>
    <row r="944" spans="1:4">
      <c r="A944" s="691"/>
      <c r="D944" s="3"/>
    </row>
    <row r="945" spans="1:4">
      <c r="A945" s="691"/>
      <c r="D945" s="3"/>
    </row>
    <row r="946" spans="1:4">
      <c r="A946" s="691"/>
      <c r="D946" s="3"/>
    </row>
    <row r="947" spans="1:4">
      <c r="A947" s="691"/>
      <c r="D947" s="3"/>
    </row>
    <row r="948" spans="1:4">
      <c r="A948" s="691"/>
      <c r="D948" s="3"/>
    </row>
    <row r="949" spans="1:4">
      <c r="A949" s="691"/>
      <c r="D949" s="3"/>
    </row>
    <row r="950" spans="1:4">
      <c r="A950" s="691"/>
      <c r="D950" s="3"/>
    </row>
    <row r="951" spans="1:4">
      <c r="A951" s="691"/>
      <c r="D951" s="3"/>
    </row>
    <row r="952" spans="1:4">
      <c r="A952" s="691"/>
      <c r="D952" s="3"/>
    </row>
    <row r="953" spans="1:4">
      <c r="A953" s="691"/>
      <c r="D953" s="3"/>
    </row>
    <row r="954" spans="1:4">
      <c r="A954" s="691"/>
      <c r="D954" s="3"/>
    </row>
    <row r="955" spans="1:4">
      <c r="A955" s="691"/>
      <c r="D955" s="3"/>
    </row>
    <row r="956" spans="1:4">
      <c r="A956" s="691"/>
      <c r="D956" s="3"/>
    </row>
    <row r="957" spans="1:4">
      <c r="A957" s="691"/>
      <c r="D957" s="3"/>
    </row>
    <row r="958" spans="1:4">
      <c r="A958" s="691"/>
      <c r="D958" s="3"/>
    </row>
    <row r="959" spans="1:4">
      <c r="A959" s="691"/>
      <c r="D959" s="3"/>
    </row>
    <row r="960" spans="1:4">
      <c r="A960" s="691"/>
      <c r="D960" s="3"/>
    </row>
    <row r="961" spans="1:4">
      <c r="A961" s="691"/>
      <c r="D961" s="3"/>
    </row>
    <row r="962" spans="1:4">
      <c r="A962" s="691"/>
      <c r="D962" s="3"/>
    </row>
    <row r="963" spans="1:4">
      <c r="A963" s="691"/>
      <c r="D963" s="3"/>
    </row>
    <row r="964" spans="1:4">
      <c r="A964" s="691"/>
      <c r="D964" s="3"/>
    </row>
    <row r="965" spans="1:4">
      <c r="A965" s="691"/>
      <c r="D965" s="3"/>
    </row>
    <row r="966" spans="1:4">
      <c r="A966" s="691"/>
      <c r="D966" s="3"/>
    </row>
    <row r="967" spans="1:4">
      <c r="A967" s="691"/>
      <c r="D967" s="3"/>
    </row>
    <row r="968" spans="1:4">
      <c r="A968" s="691"/>
      <c r="D968" s="3"/>
    </row>
    <row r="969" spans="1:4">
      <c r="A969" s="691"/>
      <c r="D969" s="3"/>
    </row>
    <row r="970" spans="1:4">
      <c r="A970" s="691"/>
      <c r="D970" s="3"/>
    </row>
    <row r="971" spans="1:4">
      <c r="A971" s="691"/>
      <c r="D971" s="3"/>
    </row>
    <row r="972" spans="1:4">
      <c r="A972" s="691"/>
      <c r="D972" s="3"/>
    </row>
    <row r="973" spans="1:4">
      <c r="A973" s="691"/>
      <c r="D973" s="3"/>
    </row>
    <row r="974" spans="1:4">
      <c r="A974" s="691"/>
      <c r="D974" s="3"/>
    </row>
    <row r="975" spans="1:4">
      <c r="A975" s="691"/>
      <c r="D975" s="3"/>
    </row>
    <row r="976" spans="1:4">
      <c r="A976" s="691"/>
      <c r="D976" s="3"/>
    </row>
    <row r="977" spans="1:4">
      <c r="A977" s="691"/>
      <c r="D977" s="3"/>
    </row>
    <row r="978" spans="1:4">
      <c r="A978" s="691"/>
      <c r="D978" s="3"/>
    </row>
    <row r="979" spans="1:4">
      <c r="A979" s="691"/>
      <c r="D979" s="3"/>
    </row>
    <row r="980" spans="1:4">
      <c r="A980" s="691"/>
      <c r="D980" s="3"/>
    </row>
    <row r="981" spans="1:4">
      <c r="A981" s="691"/>
      <c r="D981" s="3"/>
    </row>
    <row r="982" spans="1:4">
      <c r="A982" s="691"/>
      <c r="D982" s="3"/>
    </row>
    <row r="983" spans="1:4">
      <c r="A983" s="691"/>
      <c r="D983" s="3"/>
    </row>
    <row r="984" spans="1:4">
      <c r="A984" s="691"/>
      <c r="D984" s="3"/>
    </row>
    <row r="985" spans="1:4">
      <c r="A985" s="691"/>
      <c r="D985" s="3"/>
    </row>
    <row r="986" spans="1:4">
      <c r="A986" s="691"/>
      <c r="D986" s="3"/>
    </row>
    <row r="987" spans="1:4">
      <c r="A987" s="691"/>
      <c r="D987" s="3"/>
    </row>
    <row r="988" spans="1:4">
      <c r="A988" s="691"/>
      <c r="D988" s="3"/>
    </row>
    <row r="989" spans="1:4">
      <c r="A989" s="691"/>
      <c r="D989" s="3"/>
    </row>
    <row r="990" spans="1:4">
      <c r="A990" s="691"/>
      <c r="D990" s="3"/>
    </row>
    <row r="991" spans="1:4">
      <c r="A991" s="691"/>
      <c r="D991" s="3"/>
    </row>
    <row r="992" spans="1:4">
      <c r="A992" s="691"/>
      <c r="D992" s="3"/>
    </row>
    <row r="993" spans="1:4">
      <c r="A993" s="691"/>
      <c r="D993" s="3"/>
    </row>
    <row r="994" spans="1:4">
      <c r="A994" s="691"/>
      <c r="D994" s="3"/>
    </row>
    <row r="995" spans="1:4">
      <c r="A995" s="691"/>
      <c r="D995" s="3"/>
    </row>
    <row r="996" spans="1:4">
      <c r="A996" s="691"/>
      <c r="D996" s="3"/>
    </row>
    <row r="997" spans="1:4">
      <c r="A997" s="691"/>
      <c r="D997" s="3"/>
    </row>
    <row r="998" spans="1:4">
      <c r="A998" s="691"/>
      <c r="D998" s="3"/>
    </row>
    <row r="999" spans="1:4">
      <c r="A999" s="691"/>
      <c r="D999" s="3"/>
    </row>
    <row r="1000" spans="1:4">
      <c r="A1000" s="691"/>
      <c r="D1000" s="3"/>
    </row>
    <row r="1001" spans="1:4">
      <c r="A1001" s="691"/>
      <c r="D1001" s="3"/>
    </row>
    <row r="1002" spans="1:4">
      <c r="A1002" s="691"/>
      <c r="D1002" s="3"/>
    </row>
    <row r="1003" spans="1:4">
      <c r="A1003" s="691"/>
      <c r="D1003" s="3"/>
    </row>
    <row r="1004" spans="1:4">
      <c r="A1004" s="691"/>
      <c r="D1004" s="3"/>
    </row>
    <row r="1005" spans="1:4">
      <c r="A1005" s="691"/>
      <c r="D1005" s="3"/>
    </row>
    <row r="1006" spans="1:4">
      <c r="A1006" s="691"/>
      <c r="D1006" s="3"/>
    </row>
    <row r="1007" spans="1:4">
      <c r="A1007" s="691"/>
      <c r="D1007" s="3"/>
    </row>
    <row r="1008" spans="1:4">
      <c r="A1008" s="691"/>
      <c r="D1008" s="3"/>
    </row>
    <row r="1009" spans="1:4">
      <c r="A1009" s="691"/>
      <c r="D1009" s="3"/>
    </row>
    <row r="1010" spans="1:4">
      <c r="A1010" s="691"/>
      <c r="D1010" s="3"/>
    </row>
    <row r="1011" spans="1:4">
      <c r="A1011" s="691"/>
      <c r="D1011" s="3"/>
    </row>
    <row r="1012" spans="1:4">
      <c r="A1012" s="691"/>
      <c r="D1012" s="3"/>
    </row>
    <row r="1013" spans="1:4">
      <c r="A1013" s="691"/>
      <c r="D1013" s="3"/>
    </row>
    <row r="1014" spans="1:4">
      <c r="A1014" s="691"/>
      <c r="D1014" s="3"/>
    </row>
    <row r="1015" spans="1:4">
      <c r="A1015" s="691"/>
      <c r="D1015" s="3"/>
    </row>
    <row r="1016" spans="1:4">
      <c r="A1016" s="691"/>
      <c r="D1016" s="3"/>
    </row>
    <row r="1017" spans="1:4">
      <c r="A1017" s="691"/>
      <c r="D1017" s="3"/>
    </row>
    <row r="1018" spans="1:4">
      <c r="A1018" s="691"/>
      <c r="D1018" s="3"/>
    </row>
    <row r="1019" spans="1:4">
      <c r="A1019" s="691"/>
      <c r="D1019" s="3"/>
    </row>
    <row r="1020" spans="1:4">
      <c r="A1020" s="691"/>
      <c r="D1020" s="3"/>
    </row>
    <row r="1021" spans="1:4">
      <c r="A1021" s="691"/>
      <c r="D1021" s="3"/>
    </row>
    <row r="1022" spans="1:4">
      <c r="A1022" s="691"/>
      <c r="D1022" s="3"/>
    </row>
    <row r="1023" spans="1:4">
      <c r="A1023" s="691"/>
      <c r="D1023" s="3"/>
    </row>
    <row r="1024" spans="1:4">
      <c r="A1024" s="691"/>
      <c r="D1024" s="3"/>
    </row>
    <row r="1025" spans="1:4">
      <c r="A1025" s="691"/>
      <c r="D1025" s="3"/>
    </row>
    <row r="1026" spans="1:4">
      <c r="A1026" s="691"/>
      <c r="D1026" s="3"/>
    </row>
    <row r="1027" spans="1:4">
      <c r="A1027" s="691"/>
      <c r="D1027" s="3"/>
    </row>
    <row r="1028" spans="1:4">
      <c r="A1028" s="691"/>
      <c r="D1028" s="3"/>
    </row>
    <row r="1029" spans="1:4">
      <c r="A1029" s="691"/>
      <c r="D1029" s="3"/>
    </row>
    <row r="1030" spans="1:4">
      <c r="A1030" s="691"/>
      <c r="D1030" s="3"/>
    </row>
    <row r="1031" spans="1:4">
      <c r="A1031" s="691"/>
      <c r="D1031" s="3"/>
    </row>
    <row r="1032" spans="1:4">
      <c r="A1032" s="691"/>
      <c r="D1032" s="3"/>
    </row>
    <row r="1033" spans="1:4">
      <c r="A1033" s="691"/>
      <c r="D1033" s="3"/>
    </row>
    <row r="1034" spans="1:4">
      <c r="A1034" s="691"/>
      <c r="D1034" s="3"/>
    </row>
    <row r="1035" spans="1:4">
      <c r="A1035" s="691"/>
      <c r="D1035" s="3"/>
    </row>
    <row r="1036" spans="1:4">
      <c r="A1036" s="691"/>
      <c r="D1036" s="3"/>
    </row>
    <row r="1037" spans="1:4">
      <c r="A1037" s="691"/>
      <c r="D1037" s="3"/>
    </row>
    <row r="1038" spans="1:4">
      <c r="A1038" s="691"/>
      <c r="D1038" s="3"/>
    </row>
    <row r="1039" spans="1:4">
      <c r="A1039" s="691"/>
      <c r="D1039" s="3"/>
    </row>
    <row r="1040" spans="1:4">
      <c r="A1040" s="691"/>
      <c r="D1040" s="3"/>
    </row>
    <row r="1041" spans="1:4">
      <c r="A1041" s="691"/>
      <c r="D1041" s="3"/>
    </row>
    <row r="1042" spans="1:4">
      <c r="A1042" s="691"/>
      <c r="D1042" s="3"/>
    </row>
    <row r="1043" spans="1:4">
      <c r="A1043" s="691"/>
      <c r="D1043" s="3"/>
    </row>
    <row r="1044" spans="1:4">
      <c r="A1044" s="691"/>
      <c r="D1044" s="3"/>
    </row>
    <row r="1045" spans="1:4">
      <c r="A1045" s="691"/>
      <c r="D1045" s="3"/>
    </row>
    <row r="1046" spans="1:4">
      <c r="A1046" s="691"/>
      <c r="D1046" s="3"/>
    </row>
    <row r="1047" spans="1:4">
      <c r="A1047" s="691"/>
      <c r="D1047" s="3"/>
    </row>
    <row r="1048" spans="1:4">
      <c r="A1048" s="691"/>
      <c r="D1048" s="3"/>
    </row>
    <row r="1049" spans="1:4">
      <c r="A1049" s="691"/>
      <c r="D1049" s="3"/>
    </row>
    <row r="1050" spans="1:4">
      <c r="A1050" s="691"/>
      <c r="D1050" s="3"/>
    </row>
    <row r="1051" spans="1:4">
      <c r="A1051" s="691"/>
      <c r="D1051" s="3"/>
    </row>
    <row r="1052" spans="1:4">
      <c r="A1052" s="691"/>
      <c r="D1052" s="3"/>
    </row>
    <row r="1053" spans="1:4">
      <c r="A1053" s="691"/>
      <c r="D1053" s="3"/>
    </row>
    <row r="1054" spans="1:4">
      <c r="A1054" s="691"/>
      <c r="D1054" s="3"/>
    </row>
    <row r="1055" spans="1:4">
      <c r="A1055" s="691"/>
      <c r="D1055" s="3"/>
    </row>
    <row r="1056" spans="1:4">
      <c r="A1056" s="691"/>
      <c r="D1056" s="3"/>
    </row>
    <row r="1057" spans="1:4">
      <c r="A1057" s="691"/>
      <c r="D1057" s="3"/>
    </row>
    <row r="1058" spans="1:4">
      <c r="A1058" s="691"/>
      <c r="D1058" s="3"/>
    </row>
    <row r="1059" spans="1:4">
      <c r="A1059" s="691"/>
      <c r="D1059" s="3"/>
    </row>
    <row r="1060" spans="1:4">
      <c r="A1060" s="691"/>
      <c r="D1060" s="3"/>
    </row>
    <row r="1061" spans="1:4">
      <c r="A1061" s="691"/>
      <c r="D1061" s="3"/>
    </row>
    <row r="1062" spans="1:4">
      <c r="A1062" s="691"/>
      <c r="D1062" s="3"/>
    </row>
    <row r="1063" spans="1:4">
      <c r="A1063" s="691"/>
      <c r="D1063" s="3"/>
    </row>
    <row r="1064" spans="1:4">
      <c r="A1064" s="691"/>
      <c r="D1064" s="3"/>
    </row>
    <row r="1065" spans="1:4">
      <c r="A1065" s="691"/>
      <c r="D1065" s="3"/>
    </row>
    <row r="1066" spans="1:4">
      <c r="A1066" s="691"/>
      <c r="D1066" s="3"/>
    </row>
    <row r="1067" spans="1:4">
      <c r="A1067" s="691"/>
      <c r="D1067" s="3"/>
    </row>
    <row r="1068" spans="1:4">
      <c r="A1068" s="691"/>
      <c r="D1068" s="3"/>
    </row>
    <row r="1069" spans="1:4">
      <c r="A1069" s="691"/>
      <c r="D1069" s="3"/>
    </row>
    <row r="1070" spans="1:4">
      <c r="A1070" s="691"/>
      <c r="D1070" s="3"/>
    </row>
    <row r="1071" spans="1:4">
      <c r="A1071" s="691"/>
      <c r="D1071" s="3"/>
    </row>
    <row r="1072" spans="1:4">
      <c r="A1072" s="691"/>
      <c r="D1072" s="3"/>
    </row>
    <row r="1073" spans="1:4">
      <c r="A1073" s="691"/>
      <c r="D1073" s="3"/>
    </row>
    <row r="1074" spans="1:4">
      <c r="A1074" s="691"/>
      <c r="D1074" s="3"/>
    </row>
    <row r="1075" spans="1:4">
      <c r="A1075" s="691"/>
      <c r="D1075" s="3"/>
    </row>
    <row r="1076" spans="1:4">
      <c r="A1076" s="691"/>
      <c r="D1076" s="3"/>
    </row>
    <row r="1077" spans="1:4">
      <c r="A1077" s="691"/>
      <c r="D1077" s="3"/>
    </row>
    <row r="1078" spans="1:4">
      <c r="A1078" s="691"/>
      <c r="D1078" s="3"/>
    </row>
    <row r="1079" spans="1:4">
      <c r="A1079" s="691"/>
      <c r="D1079" s="3"/>
    </row>
    <row r="1080" spans="1:4">
      <c r="A1080" s="691"/>
      <c r="D1080" s="3"/>
    </row>
    <row r="1081" spans="1:4">
      <c r="A1081" s="691"/>
      <c r="D1081" s="3"/>
    </row>
    <row r="1082" spans="1:4">
      <c r="A1082" s="691"/>
      <c r="D1082" s="3"/>
    </row>
    <row r="1083" spans="1:4">
      <c r="A1083" s="691"/>
      <c r="D1083" s="3"/>
    </row>
    <row r="1084" spans="1:4">
      <c r="A1084" s="691"/>
      <c r="D1084" s="3"/>
    </row>
    <row r="1085" spans="1:4">
      <c r="A1085" s="691"/>
      <c r="D1085" s="3"/>
    </row>
    <row r="1086" spans="1:4">
      <c r="A1086" s="691"/>
      <c r="D1086" s="3"/>
    </row>
    <row r="1087" spans="1:4">
      <c r="A1087" s="691"/>
      <c r="D1087" s="3"/>
    </row>
    <row r="1088" spans="1:4">
      <c r="A1088" s="691"/>
      <c r="D1088" s="3"/>
    </row>
    <row r="1089" spans="1:4">
      <c r="A1089" s="691"/>
      <c r="D1089" s="3"/>
    </row>
    <row r="1090" spans="1:4">
      <c r="A1090" s="691"/>
      <c r="D1090" s="3"/>
    </row>
    <row r="1091" spans="1:4">
      <c r="A1091" s="691"/>
      <c r="D1091" s="3"/>
    </row>
    <row r="1092" spans="1:4">
      <c r="A1092" s="691"/>
      <c r="D1092" s="3"/>
    </row>
    <row r="1093" spans="1:4">
      <c r="A1093" s="691"/>
      <c r="D1093" s="3"/>
    </row>
    <row r="1094" spans="1:4">
      <c r="A1094" s="691"/>
      <c r="D1094" s="3"/>
    </row>
    <row r="1095" spans="1:4">
      <c r="A1095" s="691"/>
      <c r="D1095" s="3"/>
    </row>
    <row r="1096" spans="1:4">
      <c r="A1096" s="691"/>
      <c r="D1096" s="3"/>
    </row>
    <row r="1097" spans="1:4">
      <c r="A1097" s="691"/>
      <c r="D1097" s="3"/>
    </row>
    <row r="1098" spans="1:4">
      <c r="A1098" s="691"/>
      <c r="D1098" s="3"/>
    </row>
    <row r="1099" spans="1:4">
      <c r="A1099" s="691"/>
      <c r="D1099" s="3"/>
    </row>
    <row r="1100" spans="1:4">
      <c r="A1100" s="691"/>
      <c r="D1100" s="3"/>
    </row>
    <row r="1101" spans="1:4">
      <c r="A1101" s="691"/>
      <c r="D1101" s="3"/>
    </row>
    <row r="1102" spans="1:4">
      <c r="A1102" s="691"/>
      <c r="D1102" s="3"/>
    </row>
    <row r="1103" spans="1:4">
      <c r="A1103" s="691"/>
      <c r="D1103" s="3"/>
    </row>
    <row r="1104" spans="1:4">
      <c r="A1104" s="691"/>
      <c r="D1104" s="3"/>
    </row>
    <row r="1105" spans="1:4">
      <c r="A1105" s="691"/>
      <c r="D1105" s="3"/>
    </row>
    <row r="1106" spans="1:4">
      <c r="A1106" s="691"/>
      <c r="D1106" s="3"/>
    </row>
    <row r="1107" spans="1:4">
      <c r="A1107" s="691"/>
      <c r="D1107" s="3"/>
    </row>
    <row r="1108" spans="1:4">
      <c r="A1108" s="691"/>
      <c r="D1108" s="3"/>
    </row>
    <row r="1109" spans="1:4">
      <c r="A1109" s="691"/>
      <c r="D1109" s="3"/>
    </row>
    <row r="1110" spans="1:4">
      <c r="A1110" s="691"/>
      <c r="D1110" s="3"/>
    </row>
    <row r="1111" spans="1:4">
      <c r="A1111" s="691"/>
      <c r="D1111" s="3"/>
    </row>
    <row r="1112" spans="1:4">
      <c r="A1112" s="691"/>
      <c r="D1112" s="3"/>
    </row>
    <row r="1113" spans="1:4">
      <c r="A1113" s="691"/>
      <c r="D1113" s="3"/>
    </row>
    <row r="1114" spans="1:4">
      <c r="A1114" s="691"/>
      <c r="D1114" s="3"/>
    </row>
    <row r="1115" spans="1:4">
      <c r="A1115" s="691"/>
      <c r="D1115" s="3"/>
    </row>
    <row r="1116" spans="1:4">
      <c r="A1116" s="691"/>
      <c r="D1116" s="3"/>
    </row>
    <row r="1117" spans="1:4">
      <c r="A1117" s="691"/>
      <c r="D1117" s="3"/>
    </row>
    <row r="1118" spans="1:4">
      <c r="A1118" s="691"/>
      <c r="D1118" s="3"/>
    </row>
    <row r="1119" spans="1:4">
      <c r="A1119" s="691"/>
      <c r="D1119" s="3"/>
    </row>
    <row r="1120" spans="1:4">
      <c r="A1120" s="691"/>
      <c r="D1120" s="3"/>
    </row>
    <row r="1121" spans="1:4">
      <c r="A1121" s="691"/>
      <c r="D1121" s="3"/>
    </row>
    <row r="1122" spans="1:4">
      <c r="A1122" s="691"/>
      <c r="D1122" s="3"/>
    </row>
    <row r="1123" spans="1:4">
      <c r="A1123" s="691"/>
      <c r="D1123" s="3"/>
    </row>
    <row r="1124" spans="1:4">
      <c r="A1124" s="691"/>
      <c r="D1124" s="3"/>
    </row>
    <row r="1125" spans="1:4">
      <c r="A1125" s="691"/>
      <c r="D1125" s="3"/>
    </row>
    <row r="1126" spans="1:4">
      <c r="A1126" s="691"/>
      <c r="D1126" s="3"/>
    </row>
    <row r="1127" spans="1:4">
      <c r="A1127" s="691"/>
      <c r="D1127" s="3"/>
    </row>
    <row r="1128" spans="1:4">
      <c r="A1128" s="691"/>
      <c r="D1128" s="3"/>
    </row>
    <row r="1129" spans="1:4">
      <c r="A1129" s="691"/>
      <c r="D1129" s="3"/>
    </row>
    <row r="1130" spans="1:4">
      <c r="A1130" s="691"/>
      <c r="D1130" s="3"/>
    </row>
    <row r="1131" spans="1:4">
      <c r="A1131" s="691"/>
      <c r="D1131" s="3"/>
    </row>
    <row r="1132" spans="1:4">
      <c r="A1132" s="691"/>
      <c r="D1132" s="3"/>
    </row>
    <row r="1133" spans="1:4">
      <c r="A1133" s="691"/>
      <c r="D1133" s="3"/>
    </row>
    <row r="1134" spans="1:4">
      <c r="A1134" s="691"/>
      <c r="D1134" s="3"/>
    </row>
    <row r="1135" spans="1:4">
      <c r="A1135" s="691"/>
      <c r="D1135" s="3"/>
    </row>
    <row r="1136" spans="1:4">
      <c r="A1136" s="691"/>
      <c r="D1136" s="3"/>
    </row>
    <row r="1137" spans="1:4">
      <c r="A1137" s="691"/>
      <c r="D1137" s="3"/>
    </row>
    <row r="1138" spans="1:4">
      <c r="A1138" s="691"/>
      <c r="D1138" s="3"/>
    </row>
    <row r="1139" spans="1:4">
      <c r="A1139" s="691"/>
      <c r="D1139" s="3"/>
    </row>
    <row r="1140" spans="1:4">
      <c r="A1140" s="691"/>
      <c r="D1140" s="3"/>
    </row>
    <row r="1141" spans="1:4">
      <c r="A1141" s="691"/>
      <c r="D1141" s="3"/>
    </row>
    <row r="1142" spans="1:4">
      <c r="A1142" s="691"/>
      <c r="D1142" s="3"/>
    </row>
    <row r="1143" spans="1:4">
      <c r="A1143" s="691"/>
      <c r="D1143" s="3"/>
    </row>
    <row r="1144" spans="1:4">
      <c r="A1144" s="691"/>
      <c r="D1144" s="3"/>
    </row>
    <row r="1145" spans="1:4">
      <c r="A1145" s="691"/>
      <c r="D1145" s="3"/>
    </row>
    <row r="1146" spans="1:4">
      <c r="A1146" s="691"/>
      <c r="D1146" s="3"/>
    </row>
    <row r="1147" spans="1:4">
      <c r="A1147" s="691"/>
      <c r="D1147" s="3"/>
    </row>
    <row r="1148" spans="1:4">
      <c r="A1148" s="691"/>
      <c r="D1148" s="3"/>
    </row>
    <row r="1149" spans="1:4">
      <c r="A1149" s="691"/>
      <c r="D1149" s="3"/>
    </row>
    <row r="1150" spans="1:4">
      <c r="A1150" s="691"/>
      <c r="D1150" s="3"/>
    </row>
    <row r="1151" spans="1:4">
      <c r="A1151" s="691"/>
      <c r="D1151" s="3"/>
    </row>
    <row r="1152" spans="1:4">
      <c r="A1152" s="691"/>
      <c r="D1152" s="3"/>
    </row>
    <row r="1153" spans="1:4">
      <c r="A1153" s="691"/>
      <c r="D1153" s="3"/>
    </row>
    <row r="1154" spans="1:4">
      <c r="A1154" s="691"/>
      <c r="D1154" s="3"/>
    </row>
    <row r="1155" spans="1:4">
      <c r="A1155" s="691"/>
      <c r="D1155" s="3"/>
    </row>
    <row r="1156" spans="1:4">
      <c r="A1156" s="691"/>
      <c r="D1156" s="3"/>
    </row>
    <row r="1157" spans="1:4">
      <c r="A1157" s="691"/>
      <c r="D1157" s="3"/>
    </row>
    <row r="1158" spans="1:4">
      <c r="A1158" s="691"/>
      <c r="D1158" s="3"/>
    </row>
    <row r="1159" spans="1:4">
      <c r="A1159" s="691"/>
      <c r="D1159" s="3"/>
    </row>
    <row r="1160" spans="1:4">
      <c r="A1160" s="691"/>
      <c r="D1160" s="3"/>
    </row>
    <row r="1161" spans="1:4">
      <c r="A1161" s="691"/>
      <c r="D1161" s="3"/>
    </row>
    <row r="1162" spans="1:4">
      <c r="A1162" s="691"/>
      <c r="D1162" s="3"/>
    </row>
    <row r="1163" spans="1:4">
      <c r="A1163" s="691"/>
      <c r="D1163" s="3"/>
    </row>
    <row r="1164" spans="1:4">
      <c r="A1164" s="691"/>
      <c r="D1164" s="3"/>
    </row>
    <row r="1165" spans="1:4">
      <c r="A1165" s="691"/>
      <c r="D1165" s="3"/>
    </row>
    <row r="1166" spans="1:4">
      <c r="A1166" s="691"/>
      <c r="D1166" s="3"/>
    </row>
    <row r="1167" spans="1:4">
      <c r="A1167" s="691"/>
      <c r="D1167" s="3"/>
    </row>
    <row r="1168" spans="1:4">
      <c r="A1168" s="691"/>
      <c r="D1168" s="3"/>
    </row>
    <row r="1169" spans="1:4">
      <c r="A1169" s="691"/>
      <c r="D1169" s="3"/>
    </row>
    <row r="1170" spans="1:4">
      <c r="A1170" s="691"/>
      <c r="D1170" s="3"/>
    </row>
    <row r="1171" spans="1:4">
      <c r="A1171" s="691"/>
      <c r="D1171" s="3"/>
    </row>
    <row r="1172" spans="1:4">
      <c r="A1172" s="691"/>
      <c r="D1172" s="3"/>
    </row>
    <row r="1173" spans="1:4">
      <c r="A1173" s="691"/>
      <c r="D1173" s="3"/>
    </row>
    <row r="1174" spans="1:4">
      <c r="A1174" s="691"/>
      <c r="D1174" s="3"/>
    </row>
    <row r="1175" spans="1:4">
      <c r="A1175" s="691"/>
      <c r="D1175" s="3"/>
    </row>
    <row r="1176" spans="1:4">
      <c r="A1176" s="691"/>
      <c r="D1176" s="3"/>
    </row>
    <row r="1177" spans="1:4">
      <c r="A1177" s="691"/>
      <c r="D1177" s="3"/>
    </row>
    <row r="1178" spans="1:4">
      <c r="A1178" s="691"/>
      <c r="D1178" s="3"/>
    </row>
    <row r="1179" spans="1:4">
      <c r="A1179" s="691"/>
      <c r="D1179" s="3"/>
    </row>
    <row r="1180" spans="1:4">
      <c r="A1180" s="691"/>
      <c r="D1180" s="3"/>
    </row>
    <row r="1181" spans="1:4">
      <c r="A1181" s="691"/>
      <c r="D1181" s="3"/>
    </row>
    <row r="1182" spans="1:4">
      <c r="A1182" s="691"/>
      <c r="D1182" s="3"/>
    </row>
    <row r="1183" spans="1:4">
      <c r="A1183" s="691"/>
      <c r="D1183" s="3"/>
    </row>
    <row r="1184" spans="1:4">
      <c r="A1184" s="691"/>
      <c r="D1184" s="3"/>
    </row>
    <row r="1185" spans="1:4">
      <c r="A1185" s="691"/>
      <c r="D1185" s="3"/>
    </row>
    <row r="1186" spans="1:4">
      <c r="A1186" s="691"/>
      <c r="D1186" s="3"/>
    </row>
    <row r="1187" spans="1:4">
      <c r="A1187" s="691"/>
      <c r="D1187" s="3"/>
    </row>
    <row r="1188" spans="1:4">
      <c r="A1188" s="691"/>
      <c r="D1188" s="3"/>
    </row>
    <row r="1189" spans="1:4">
      <c r="A1189" s="691"/>
      <c r="D1189" s="3"/>
    </row>
    <row r="1190" spans="1:4">
      <c r="A1190" s="691"/>
      <c r="D1190" s="3"/>
    </row>
    <row r="1191" spans="1:4">
      <c r="A1191" s="691"/>
      <c r="D1191" s="3"/>
    </row>
    <row r="1192" spans="1:4">
      <c r="A1192" s="691"/>
      <c r="D1192" s="3"/>
    </row>
    <row r="1193" spans="1:4">
      <c r="A1193" s="691"/>
      <c r="D1193" s="3"/>
    </row>
    <row r="1194" spans="1:4">
      <c r="A1194" s="691"/>
      <c r="D1194" s="3"/>
    </row>
    <row r="1195" spans="1:4">
      <c r="A1195" s="691"/>
      <c r="D1195" s="3"/>
    </row>
    <row r="1196" spans="1:4">
      <c r="A1196" s="691"/>
      <c r="D1196" s="3"/>
    </row>
    <row r="1197" spans="1:4">
      <c r="A1197" s="691"/>
      <c r="D1197" s="3"/>
    </row>
    <row r="1198" spans="1:4">
      <c r="A1198" s="691"/>
      <c r="D1198" s="3"/>
    </row>
    <row r="1199" spans="1:4">
      <c r="A1199" s="691"/>
      <c r="D1199" s="3"/>
    </row>
    <row r="1200" spans="1:4">
      <c r="A1200" s="691"/>
      <c r="D1200" s="3"/>
    </row>
    <row r="1201" spans="1:4">
      <c r="A1201" s="691"/>
      <c r="D1201" s="3"/>
    </row>
    <row r="1202" spans="1:4">
      <c r="A1202" s="691"/>
      <c r="D1202" s="3"/>
    </row>
    <row r="1203" spans="1:4">
      <c r="A1203" s="691"/>
      <c r="D1203" s="3"/>
    </row>
    <row r="1204" spans="1:4">
      <c r="A1204" s="691"/>
      <c r="D1204" s="3"/>
    </row>
    <row r="1205" spans="1:4">
      <c r="A1205" s="691"/>
      <c r="D1205" s="3"/>
    </row>
    <row r="1206" spans="1:4">
      <c r="A1206" s="691"/>
      <c r="D1206" s="3"/>
    </row>
    <row r="1207" spans="1:4">
      <c r="A1207" s="691"/>
      <c r="D1207" s="3"/>
    </row>
    <row r="1208" spans="1:4">
      <c r="A1208" s="691"/>
      <c r="D1208" s="3"/>
    </row>
    <row r="1209" spans="1:4">
      <c r="A1209" s="691"/>
      <c r="D1209" s="3"/>
    </row>
    <row r="1210" spans="1:4">
      <c r="A1210" s="691"/>
      <c r="D1210" s="3"/>
    </row>
    <row r="1211" spans="1:4">
      <c r="A1211" s="691"/>
      <c r="D1211" s="3"/>
    </row>
    <row r="1212" spans="1:4">
      <c r="A1212" s="691"/>
      <c r="D1212" s="3"/>
    </row>
    <row r="1213" spans="1:4">
      <c r="A1213" s="691"/>
      <c r="D1213" s="3"/>
    </row>
    <row r="1214" spans="1:4">
      <c r="A1214" s="691"/>
      <c r="D1214" s="3"/>
    </row>
    <row r="1215" spans="1:4">
      <c r="A1215" s="691"/>
      <c r="D1215" s="3"/>
    </row>
    <row r="1216" spans="1:4">
      <c r="A1216" s="691"/>
      <c r="D1216" s="3"/>
    </row>
    <row r="1217" spans="1:4">
      <c r="A1217" s="691"/>
      <c r="D1217" s="3"/>
    </row>
    <row r="1218" spans="1:4">
      <c r="A1218" s="691"/>
      <c r="D1218" s="3"/>
    </row>
    <row r="1219" spans="1:4">
      <c r="A1219" s="691"/>
      <c r="D1219" s="3"/>
    </row>
    <row r="1220" spans="1:4">
      <c r="A1220" s="691"/>
      <c r="D1220" s="3"/>
    </row>
    <row r="1221" spans="1:4">
      <c r="A1221" s="691"/>
      <c r="D1221" s="3"/>
    </row>
    <row r="1222" spans="1:4">
      <c r="A1222" s="691"/>
      <c r="D1222" s="3"/>
    </row>
    <row r="1223" spans="1:4">
      <c r="A1223" s="691"/>
      <c r="D1223" s="3"/>
    </row>
    <row r="1224" spans="1:4">
      <c r="A1224" s="691"/>
      <c r="D1224" s="3"/>
    </row>
    <row r="1225" spans="1:4">
      <c r="A1225" s="691"/>
      <c r="D1225" s="3"/>
    </row>
    <row r="1226" spans="1:4">
      <c r="A1226" s="691"/>
      <c r="D1226" s="3"/>
    </row>
    <row r="1227" spans="1:4">
      <c r="A1227" s="691"/>
      <c r="D1227" s="3"/>
    </row>
    <row r="1228" spans="1:4">
      <c r="A1228" s="691"/>
      <c r="D1228" s="3"/>
    </row>
    <row r="1229" spans="1:4">
      <c r="A1229" s="691"/>
      <c r="D1229" s="3"/>
    </row>
    <row r="1230" spans="1:4">
      <c r="A1230" s="691"/>
      <c r="D1230" s="3"/>
    </row>
    <row r="1231" spans="1:4">
      <c r="A1231" s="691"/>
      <c r="D1231" s="3"/>
    </row>
    <row r="1232" spans="1:4">
      <c r="A1232" s="691"/>
      <c r="D1232" s="3"/>
    </row>
    <row r="1233" spans="1:4">
      <c r="A1233" s="691"/>
      <c r="D1233" s="3"/>
    </row>
    <row r="1234" spans="1:4">
      <c r="A1234" s="691"/>
      <c r="D1234" s="3"/>
    </row>
    <row r="1235" spans="1:4">
      <c r="A1235" s="691"/>
      <c r="D1235" s="3"/>
    </row>
    <row r="1236" spans="1:4">
      <c r="A1236" s="691"/>
      <c r="D1236" s="3"/>
    </row>
    <row r="1237" spans="1:4">
      <c r="A1237" s="691"/>
      <c r="D1237" s="3"/>
    </row>
    <row r="1238" spans="1:4">
      <c r="A1238" s="691"/>
      <c r="D1238" s="3"/>
    </row>
    <row r="1239" spans="1:4">
      <c r="A1239" s="691"/>
      <c r="D1239" s="3"/>
    </row>
    <row r="1240" spans="1:4">
      <c r="A1240" s="691"/>
      <c r="D1240" s="3"/>
    </row>
    <row r="1241" spans="1:4">
      <c r="A1241" s="691"/>
      <c r="D1241" s="3"/>
    </row>
    <row r="1242" spans="1:4">
      <c r="A1242" s="691"/>
      <c r="D1242" s="3"/>
    </row>
    <row r="1243" spans="1:4">
      <c r="A1243" s="691"/>
      <c r="D1243" s="3"/>
    </row>
    <row r="1244" spans="1:4">
      <c r="A1244" s="691"/>
      <c r="D1244" s="3"/>
    </row>
    <row r="1245" spans="1:4">
      <c r="A1245" s="691"/>
      <c r="D1245" s="3"/>
    </row>
    <row r="1246" spans="1:4">
      <c r="A1246" s="691"/>
      <c r="D1246" s="3"/>
    </row>
    <row r="1247" spans="1:4">
      <c r="A1247" s="691"/>
      <c r="D1247" s="3"/>
    </row>
    <row r="1248" spans="1:4">
      <c r="A1248" s="691"/>
      <c r="D1248" s="3"/>
    </row>
    <row r="1249" spans="1:4">
      <c r="A1249" s="691"/>
      <c r="D1249" s="3"/>
    </row>
    <row r="1250" spans="1:4">
      <c r="A1250" s="691"/>
      <c r="D1250" s="3"/>
    </row>
    <row r="1251" spans="1:4">
      <c r="A1251" s="691"/>
      <c r="D1251" s="3"/>
    </row>
    <row r="1252" spans="1:4">
      <c r="A1252" s="691"/>
      <c r="D1252" s="3"/>
    </row>
    <row r="1253" spans="1:4">
      <c r="A1253" s="691"/>
      <c r="D1253" s="3"/>
    </row>
    <row r="1254" spans="1:4">
      <c r="A1254" s="691"/>
      <c r="D1254" s="3"/>
    </row>
    <row r="1255" spans="1:4">
      <c r="A1255" s="691"/>
      <c r="D1255" s="3"/>
    </row>
    <row r="1256" spans="1:4">
      <c r="A1256" s="691"/>
      <c r="D1256" s="3"/>
    </row>
    <row r="1257" spans="1:4">
      <c r="A1257" s="691"/>
      <c r="D1257" s="3"/>
    </row>
    <row r="1258" spans="1:4">
      <c r="A1258" s="691"/>
      <c r="D1258" s="3"/>
    </row>
    <row r="1259" spans="1:4">
      <c r="A1259" s="691"/>
      <c r="D1259" s="3"/>
    </row>
    <row r="1260" spans="1:4">
      <c r="A1260" s="691"/>
      <c r="D1260" s="3"/>
    </row>
    <row r="1261" spans="1:4">
      <c r="A1261" s="691"/>
      <c r="D1261" s="3"/>
    </row>
    <row r="1262" spans="1:4">
      <c r="A1262" s="691"/>
      <c r="D1262" s="3"/>
    </row>
    <row r="1263" spans="1:4">
      <c r="A1263" s="691"/>
      <c r="D1263" s="3"/>
    </row>
    <row r="1264" spans="1:4">
      <c r="A1264" s="691"/>
      <c r="D1264" s="3"/>
    </row>
    <row r="1265" spans="1:4">
      <c r="A1265" s="691"/>
      <c r="D1265" s="3"/>
    </row>
    <row r="1266" spans="1:4">
      <c r="A1266" s="691"/>
      <c r="D1266" s="3"/>
    </row>
    <row r="1267" spans="1:4">
      <c r="A1267" s="691"/>
      <c r="D1267" s="3"/>
    </row>
    <row r="1268" spans="1:4">
      <c r="A1268" s="691"/>
      <c r="D1268" s="3"/>
    </row>
    <row r="1269" spans="1:4">
      <c r="A1269" s="691"/>
      <c r="D1269" s="3"/>
    </row>
    <row r="1270" spans="1:4">
      <c r="A1270" s="691"/>
      <c r="D1270" s="3"/>
    </row>
    <row r="1271" spans="1:4">
      <c r="A1271" s="691"/>
      <c r="D1271" s="3"/>
    </row>
    <row r="1272" spans="1:4">
      <c r="A1272" s="691"/>
      <c r="D1272" s="3"/>
    </row>
    <row r="1273" spans="1:4">
      <c r="A1273" s="691"/>
      <c r="D1273" s="3"/>
    </row>
    <row r="1274" spans="1:4">
      <c r="A1274" s="691"/>
      <c r="D1274" s="3"/>
    </row>
    <row r="1275" spans="1:4">
      <c r="A1275" s="691"/>
      <c r="D1275" s="3"/>
    </row>
    <row r="1276" spans="1:4">
      <c r="A1276" s="691"/>
      <c r="D1276" s="3"/>
    </row>
    <row r="1277" spans="1:4">
      <c r="A1277" s="691"/>
      <c r="D1277" s="3"/>
    </row>
    <row r="1278" spans="1:4">
      <c r="A1278" s="691"/>
      <c r="D1278" s="3"/>
    </row>
    <row r="1279" spans="1:4">
      <c r="A1279" s="691"/>
      <c r="D1279" s="3"/>
    </row>
    <row r="1280" spans="1:4">
      <c r="A1280" s="691"/>
      <c r="D1280" s="3"/>
    </row>
    <row r="1281" spans="1:4">
      <c r="A1281" s="691"/>
      <c r="D1281" s="3"/>
    </row>
    <row r="1282" spans="1:4">
      <c r="A1282" s="691"/>
      <c r="D1282" s="3"/>
    </row>
    <row r="1283" spans="1:4">
      <c r="A1283" s="691"/>
      <c r="D1283" s="3"/>
    </row>
    <row r="1284" spans="1:4">
      <c r="A1284" s="691"/>
      <c r="D1284" s="3"/>
    </row>
    <row r="1285" spans="1:4">
      <c r="A1285" s="691"/>
      <c r="D1285" s="3"/>
    </row>
    <row r="1286" spans="1:4">
      <c r="A1286" s="691"/>
      <c r="D1286" s="3"/>
    </row>
    <row r="1287" spans="1:4">
      <c r="A1287" s="691"/>
      <c r="D1287" s="3"/>
    </row>
    <row r="1288" spans="1:4">
      <c r="A1288" s="691"/>
      <c r="D1288" s="3"/>
    </row>
    <row r="1289" spans="1:4">
      <c r="A1289" s="691"/>
      <c r="D1289" s="3"/>
    </row>
    <row r="1290" spans="1:4">
      <c r="A1290" s="691"/>
      <c r="D1290" s="3"/>
    </row>
    <row r="1291" spans="1:4">
      <c r="A1291" s="691"/>
      <c r="D1291" s="3"/>
    </row>
    <row r="1292" spans="1:4">
      <c r="A1292" s="691"/>
      <c r="D1292" s="3"/>
    </row>
    <row r="1293" spans="1:4">
      <c r="A1293" s="691"/>
      <c r="D1293" s="3"/>
    </row>
    <row r="1294" spans="1:4">
      <c r="A1294" s="691"/>
      <c r="D1294" s="3"/>
    </row>
    <row r="1295" spans="1:4">
      <c r="A1295" s="691"/>
      <c r="D1295" s="3"/>
    </row>
    <row r="1296" spans="1:4">
      <c r="A1296" s="691"/>
      <c r="D1296" s="3"/>
    </row>
    <row r="1297" spans="1:4">
      <c r="A1297" s="691"/>
      <c r="D1297" s="3"/>
    </row>
    <row r="1298" spans="1:4">
      <c r="A1298" s="691"/>
      <c r="D1298" s="3"/>
    </row>
    <row r="1299" spans="1:4">
      <c r="A1299" s="691"/>
      <c r="D1299" s="3"/>
    </row>
    <row r="1300" spans="1:4">
      <c r="A1300" s="691"/>
      <c r="D1300" s="3"/>
    </row>
    <row r="1301" spans="1:4">
      <c r="A1301" s="691"/>
      <c r="D1301" s="3"/>
    </row>
    <row r="1302" spans="1:4">
      <c r="A1302" s="691"/>
      <c r="D1302" s="3"/>
    </row>
    <row r="1303" spans="1:4">
      <c r="A1303" s="691"/>
      <c r="D1303" s="3"/>
    </row>
    <row r="1304" spans="1:4">
      <c r="A1304" s="691"/>
      <c r="D1304" s="3"/>
    </row>
    <row r="1305" spans="1:4">
      <c r="A1305" s="691"/>
      <c r="D1305" s="3"/>
    </row>
    <row r="1306" spans="1:4">
      <c r="A1306" s="691"/>
      <c r="D1306" s="3"/>
    </row>
    <row r="1307" spans="1:4">
      <c r="A1307" s="691"/>
      <c r="D1307" s="3"/>
    </row>
    <row r="1308" spans="1:4">
      <c r="A1308" s="691"/>
      <c r="D1308" s="3"/>
    </row>
    <row r="1309" spans="1:4">
      <c r="A1309" s="691"/>
      <c r="D1309" s="3"/>
    </row>
    <row r="1310" spans="1:4">
      <c r="A1310" s="691"/>
      <c r="D1310" s="3"/>
    </row>
    <row r="1311" spans="1:4">
      <c r="A1311" s="691"/>
      <c r="D1311" s="3"/>
    </row>
    <row r="1312" spans="1:4">
      <c r="A1312" s="691"/>
      <c r="D1312" s="3"/>
    </row>
    <row r="1313" spans="1:4">
      <c r="A1313" s="691"/>
      <c r="D1313" s="3"/>
    </row>
    <row r="1314" spans="1:4">
      <c r="A1314" s="691"/>
      <c r="D1314" s="3"/>
    </row>
    <row r="1315" spans="1:4">
      <c r="A1315" s="691"/>
      <c r="D1315" s="3"/>
    </row>
    <row r="1316" spans="1:4">
      <c r="A1316" s="691"/>
      <c r="D1316" s="3"/>
    </row>
    <row r="1317" spans="1:4">
      <c r="A1317" s="691"/>
      <c r="D1317" s="3"/>
    </row>
    <row r="1318" spans="1:4">
      <c r="A1318" s="691"/>
      <c r="D1318" s="3"/>
    </row>
    <row r="1319" spans="1:4">
      <c r="A1319" s="691"/>
      <c r="D1319" s="3"/>
    </row>
    <row r="1320" spans="1:4">
      <c r="A1320" s="691"/>
      <c r="D1320" s="3"/>
    </row>
    <row r="1321" spans="1:4">
      <c r="A1321" s="691"/>
      <c r="D1321" s="3"/>
    </row>
    <row r="1322" spans="1:4">
      <c r="A1322" s="691"/>
      <c r="D1322" s="3"/>
    </row>
    <row r="1323" spans="1:4">
      <c r="A1323" s="691"/>
      <c r="D1323" s="3"/>
    </row>
    <row r="1324" spans="1:4">
      <c r="A1324" s="691"/>
      <c r="D1324" s="3"/>
    </row>
    <row r="1325" spans="1:4">
      <c r="A1325" s="691"/>
      <c r="D1325" s="3"/>
    </row>
    <row r="1326" spans="1:4">
      <c r="A1326" s="691"/>
      <c r="D1326" s="3"/>
    </row>
    <row r="1327" spans="1:4">
      <c r="A1327" s="691"/>
      <c r="D1327" s="3"/>
    </row>
    <row r="1328" spans="1:4">
      <c r="A1328" s="691"/>
      <c r="D1328" s="3"/>
    </row>
    <row r="1329" spans="1:4">
      <c r="A1329" s="691"/>
      <c r="D1329" s="3"/>
    </row>
    <row r="1330" spans="1:4">
      <c r="A1330" s="691"/>
      <c r="D1330" s="3"/>
    </row>
    <row r="1331" spans="1:4">
      <c r="A1331" s="691"/>
      <c r="D1331" s="3"/>
    </row>
    <row r="1332" spans="1:4">
      <c r="A1332" s="691"/>
      <c r="D1332" s="3"/>
    </row>
    <row r="1333" spans="1:4">
      <c r="A1333" s="691"/>
      <c r="D1333" s="3"/>
    </row>
    <row r="1334" spans="1:4">
      <c r="A1334" s="691"/>
      <c r="D1334" s="3"/>
    </row>
    <row r="1335" spans="1:4">
      <c r="A1335" s="691"/>
      <c r="D1335" s="3"/>
    </row>
    <row r="1336" spans="1:4">
      <c r="A1336" s="691"/>
      <c r="D1336" s="3"/>
    </row>
    <row r="1337" spans="1:4">
      <c r="A1337" s="691"/>
      <c r="D1337" s="3"/>
    </row>
    <row r="1338" spans="1:4">
      <c r="A1338" s="691"/>
      <c r="D1338" s="3"/>
    </row>
    <row r="1339" spans="1:4">
      <c r="A1339" s="691"/>
      <c r="D1339" s="3"/>
    </row>
    <row r="1340" spans="1:4">
      <c r="A1340" s="691"/>
      <c r="D1340" s="3"/>
    </row>
    <row r="1341" spans="1:4">
      <c r="A1341" s="691"/>
      <c r="D1341" s="3"/>
    </row>
    <row r="1342" spans="1:4">
      <c r="A1342" s="691"/>
      <c r="D1342" s="3"/>
    </row>
    <row r="1343" spans="1:4">
      <c r="A1343" s="691"/>
      <c r="D1343" s="3"/>
    </row>
    <row r="1344" spans="1:4">
      <c r="A1344" s="691"/>
      <c r="D1344" s="3"/>
    </row>
    <row r="1345" spans="1:4">
      <c r="A1345" s="691"/>
      <c r="D1345" s="3"/>
    </row>
    <row r="1346" spans="1:4">
      <c r="A1346" s="691"/>
      <c r="D1346" s="3"/>
    </row>
    <row r="1347" spans="1:4">
      <c r="A1347" s="691"/>
      <c r="D1347" s="3"/>
    </row>
    <row r="1348" spans="1:4">
      <c r="A1348" s="691"/>
      <c r="D1348" s="3"/>
    </row>
    <row r="1349" spans="1:4">
      <c r="A1349" s="691"/>
      <c r="D1349" s="3"/>
    </row>
    <row r="1350" spans="1:4">
      <c r="A1350" s="691"/>
      <c r="D1350" s="3"/>
    </row>
    <row r="1351" spans="1:4">
      <c r="A1351" s="691"/>
      <c r="D1351" s="3"/>
    </row>
    <row r="1352" spans="1:4">
      <c r="A1352" s="691"/>
      <c r="D1352" s="3"/>
    </row>
    <row r="1353" spans="1:4">
      <c r="A1353" s="691"/>
      <c r="D1353" s="3"/>
    </row>
    <row r="1354" spans="1:4">
      <c r="A1354" s="691"/>
      <c r="D1354" s="3"/>
    </row>
    <row r="1355" spans="1:4">
      <c r="A1355" s="691"/>
      <c r="D1355" s="3"/>
    </row>
    <row r="1356" spans="1:4">
      <c r="A1356" s="691"/>
      <c r="D1356" s="3"/>
    </row>
    <row r="1357" spans="1:4">
      <c r="A1357" s="691"/>
      <c r="D1357" s="3"/>
    </row>
    <row r="1358" spans="1:4">
      <c r="A1358" s="691"/>
      <c r="D1358" s="3"/>
    </row>
    <row r="1359" spans="1:4">
      <c r="A1359" s="691"/>
      <c r="D1359" s="3"/>
    </row>
    <row r="1360" spans="1:4">
      <c r="A1360" s="691"/>
      <c r="D1360" s="3"/>
    </row>
    <row r="1361" spans="1:4">
      <c r="A1361" s="691"/>
      <c r="D1361" s="3"/>
    </row>
    <row r="1362" spans="1:4">
      <c r="A1362" s="691"/>
      <c r="D1362" s="3"/>
    </row>
    <row r="1363" spans="1:4">
      <c r="A1363" s="691"/>
      <c r="D1363" s="3"/>
    </row>
    <row r="1364" spans="1:4">
      <c r="A1364" s="691"/>
      <c r="D1364" s="3"/>
    </row>
    <row r="1365" spans="1:4">
      <c r="A1365" s="691"/>
      <c r="D1365" s="3"/>
    </row>
    <row r="1366" spans="1:4">
      <c r="A1366" s="691"/>
      <c r="D1366" s="3"/>
    </row>
    <row r="1367" spans="1:4">
      <c r="A1367" s="691"/>
      <c r="D1367" s="3"/>
    </row>
    <row r="1368" spans="1:4">
      <c r="A1368" s="691"/>
      <c r="D1368" s="3"/>
    </row>
    <row r="1369" spans="1:4">
      <c r="A1369" s="691"/>
      <c r="D1369" s="3"/>
    </row>
    <row r="1370" spans="1:4">
      <c r="A1370" s="691"/>
      <c r="D1370" s="3"/>
    </row>
    <row r="1371" spans="1:4">
      <c r="A1371" s="691"/>
      <c r="D1371" s="3"/>
    </row>
    <row r="1372" spans="1:4">
      <c r="A1372" s="691"/>
      <c r="D1372" s="3"/>
    </row>
    <row r="1373" spans="1:4">
      <c r="A1373" s="691"/>
      <c r="D1373" s="3"/>
    </row>
    <row r="1374" spans="1:4">
      <c r="A1374" s="691"/>
      <c r="D1374" s="3"/>
    </row>
    <row r="1375" spans="1:4">
      <c r="A1375" s="691"/>
      <c r="D1375" s="3"/>
    </row>
    <row r="1376" spans="1:4">
      <c r="A1376" s="691"/>
      <c r="D1376" s="3"/>
    </row>
    <row r="1377" spans="1:4">
      <c r="A1377" s="691"/>
      <c r="D1377" s="3"/>
    </row>
    <row r="1378" spans="1:4">
      <c r="A1378" s="691"/>
      <c r="D1378" s="3"/>
    </row>
    <row r="1379" spans="1:4">
      <c r="A1379" s="691"/>
      <c r="D1379" s="3"/>
    </row>
    <row r="1380" spans="1:4">
      <c r="A1380" s="691"/>
      <c r="D1380" s="3"/>
    </row>
    <row r="1381" spans="1:4">
      <c r="A1381" s="691"/>
      <c r="D1381" s="3"/>
    </row>
    <row r="1382" spans="1:4">
      <c r="A1382" s="691"/>
      <c r="D1382" s="3"/>
    </row>
    <row r="1383" spans="1:4">
      <c r="A1383" s="691"/>
      <c r="D1383" s="3"/>
    </row>
    <row r="1384" spans="1:4">
      <c r="A1384" s="691"/>
      <c r="D1384" s="3"/>
    </row>
    <row r="1385" spans="1:4">
      <c r="A1385" s="691"/>
      <c r="D1385" s="3"/>
    </row>
    <row r="1386" spans="1:4">
      <c r="A1386" s="691"/>
      <c r="D1386" s="3"/>
    </row>
    <row r="1387" spans="1:4">
      <c r="A1387" s="691"/>
      <c r="D1387" s="3"/>
    </row>
    <row r="1388" spans="1:4">
      <c r="A1388" s="691"/>
      <c r="D1388" s="3"/>
    </row>
    <row r="1389" spans="1:4">
      <c r="A1389" s="691"/>
      <c r="D1389" s="3"/>
    </row>
    <row r="1390" spans="1:4">
      <c r="A1390" s="691"/>
      <c r="D1390" s="3"/>
    </row>
    <row r="1391" spans="1:4">
      <c r="A1391" s="691"/>
      <c r="D1391" s="3"/>
    </row>
    <row r="1392" spans="1:4">
      <c r="A1392" s="691"/>
      <c r="D1392" s="3"/>
    </row>
    <row r="1393" spans="1:4">
      <c r="A1393" s="691"/>
      <c r="D1393" s="3"/>
    </row>
    <row r="1394" spans="1:4">
      <c r="A1394" s="691"/>
      <c r="D1394" s="3"/>
    </row>
    <row r="1395" spans="1:4">
      <c r="A1395" s="691"/>
      <c r="D1395" s="3"/>
    </row>
    <row r="1396" spans="1:4">
      <c r="A1396" s="691"/>
      <c r="D1396" s="3"/>
    </row>
    <row r="1397" spans="1:4">
      <c r="A1397" s="691"/>
      <c r="D1397" s="3"/>
    </row>
    <row r="1398" spans="1:4">
      <c r="A1398" s="691"/>
      <c r="D1398" s="3"/>
    </row>
    <row r="1399" spans="1:4">
      <c r="A1399" s="691"/>
      <c r="D1399" s="3"/>
    </row>
    <row r="1400" spans="1:4">
      <c r="A1400" s="691"/>
      <c r="D1400" s="3"/>
    </row>
    <row r="1401" spans="1:4">
      <c r="A1401" s="691"/>
      <c r="D1401" s="3"/>
    </row>
    <row r="1402" spans="1:4">
      <c r="A1402" s="691"/>
      <c r="D1402" s="3"/>
    </row>
    <row r="1403" spans="1:4">
      <c r="A1403" s="691"/>
      <c r="D1403" s="3"/>
    </row>
    <row r="1404" spans="1:4">
      <c r="A1404" s="691"/>
      <c r="D1404" s="3"/>
    </row>
    <row r="1405" spans="1:4">
      <c r="A1405" s="691"/>
      <c r="D1405" s="3"/>
    </row>
    <row r="1406" spans="1:4">
      <c r="A1406" s="691"/>
      <c r="D1406" s="3"/>
    </row>
    <row r="1407" spans="1:4">
      <c r="A1407" s="691"/>
      <c r="D1407" s="3"/>
    </row>
    <row r="1408" spans="1:4">
      <c r="A1408" s="691"/>
      <c r="D1408" s="3"/>
    </row>
    <row r="1409" spans="1:4">
      <c r="A1409" s="691"/>
      <c r="D1409" s="3"/>
    </row>
    <row r="1410" spans="1:4">
      <c r="A1410" s="691"/>
      <c r="D1410" s="3"/>
    </row>
    <row r="1411" spans="1:4">
      <c r="A1411" s="691"/>
      <c r="D1411" s="3"/>
    </row>
    <row r="1412" spans="1:4">
      <c r="A1412" s="691"/>
      <c r="D1412" s="3"/>
    </row>
    <row r="1413" spans="1:4">
      <c r="A1413" s="691"/>
      <c r="D1413" s="3"/>
    </row>
    <row r="1414" spans="1:4">
      <c r="A1414" s="691"/>
      <c r="D1414" s="3"/>
    </row>
    <row r="1415" spans="1:4">
      <c r="A1415" s="691"/>
      <c r="D1415" s="3"/>
    </row>
    <row r="1416" spans="1:4">
      <c r="A1416" s="691"/>
      <c r="D1416" s="3"/>
    </row>
    <row r="1417" spans="1:4">
      <c r="A1417" s="691"/>
      <c r="D1417" s="3"/>
    </row>
    <row r="1418" spans="1:4">
      <c r="A1418" s="691"/>
      <c r="D1418" s="3"/>
    </row>
    <row r="1419" spans="1:4">
      <c r="A1419" s="691"/>
      <c r="D1419" s="3"/>
    </row>
    <row r="1420" spans="1:4">
      <c r="A1420" s="691"/>
      <c r="D1420" s="3"/>
    </row>
    <row r="1421" spans="1:4">
      <c r="A1421" s="691"/>
      <c r="D1421" s="3"/>
    </row>
    <row r="1422" spans="1:4">
      <c r="A1422" s="691"/>
      <c r="D1422" s="3"/>
    </row>
    <row r="1423" spans="1:4">
      <c r="A1423" s="691"/>
      <c r="D1423" s="3"/>
    </row>
    <row r="1424" spans="1:4">
      <c r="A1424" s="691"/>
      <c r="D1424" s="3"/>
    </row>
    <row r="1425" spans="1:4">
      <c r="A1425" s="691"/>
      <c r="D1425" s="3"/>
    </row>
    <row r="1426" spans="1:4">
      <c r="A1426" s="691"/>
      <c r="D1426" s="3"/>
    </row>
    <row r="1427" spans="1:4">
      <c r="A1427" s="691"/>
      <c r="D1427" s="3"/>
    </row>
    <row r="1428" spans="1:4">
      <c r="A1428" s="691"/>
      <c r="D1428" s="3"/>
    </row>
    <row r="1429" spans="1:4">
      <c r="A1429" s="691"/>
      <c r="D1429" s="3"/>
    </row>
    <row r="1430" spans="1:4">
      <c r="A1430" s="691"/>
      <c r="D1430" s="3"/>
    </row>
    <row r="1431" spans="1:4">
      <c r="A1431" s="691"/>
      <c r="D1431" s="3"/>
    </row>
    <row r="1432" spans="1:4">
      <c r="A1432" s="691"/>
      <c r="D1432" s="3"/>
    </row>
    <row r="1433" spans="1:4">
      <c r="A1433" s="691"/>
      <c r="D1433" s="3"/>
    </row>
    <row r="1434" spans="1:4">
      <c r="A1434" s="691"/>
      <c r="D1434" s="3"/>
    </row>
    <row r="1435" spans="1:4">
      <c r="A1435" s="691"/>
      <c r="D1435" s="3"/>
    </row>
    <row r="1436" spans="1:4">
      <c r="A1436" s="691"/>
      <c r="D1436" s="3"/>
    </row>
    <row r="1437" spans="1:4">
      <c r="A1437" s="691"/>
      <c r="D1437" s="3"/>
    </row>
    <row r="1438" spans="1:4">
      <c r="A1438" s="691"/>
      <c r="D1438" s="3"/>
    </row>
    <row r="1439" spans="1:4">
      <c r="A1439" s="691"/>
      <c r="D1439" s="3"/>
    </row>
    <row r="1440" spans="1:4">
      <c r="A1440" s="691"/>
      <c r="D1440" s="3"/>
    </row>
    <row r="1441" spans="1:4">
      <c r="A1441" s="691"/>
      <c r="D1441" s="3"/>
    </row>
    <row r="1442" spans="1:4">
      <c r="A1442" s="691"/>
      <c r="D1442" s="3"/>
    </row>
    <row r="1443" spans="1:4">
      <c r="A1443" s="691"/>
      <c r="D1443" s="3"/>
    </row>
    <row r="1444" spans="1:4">
      <c r="A1444" s="691"/>
      <c r="D1444" s="3"/>
    </row>
    <row r="1445" spans="1:4">
      <c r="A1445" s="691"/>
      <c r="D1445" s="3"/>
    </row>
    <row r="1446" spans="1:4">
      <c r="A1446" s="691"/>
      <c r="D1446" s="3"/>
    </row>
    <row r="1447" spans="1:4">
      <c r="A1447" s="691"/>
      <c r="D1447" s="3"/>
    </row>
    <row r="1448" spans="1:4">
      <c r="A1448" s="691"/>
      <c r="D1448" s="3"/>
    </row>
    <row r="1449" spans="1:4">
      <c r="A1449" s="691"/>
      <c r="D1449" s="3"/>
    </row>
    <row r="1450" spans="1:4">
      <c r="A1450" s="691"/>
      <c r="D1450" s="3"/>
    </row>
    <row r="1451" spans="1:4">
      <c r="A1451" s="691"/>
      <c r="D1451" s="3"/>
    </row>
    <row r="1452" spans="1:4">
      <c r="A1452" s="691"/>
      <c r="D1452" s="3"/>
    </row>
    <row r="1453" spans="1:4">
      <c r="A1453" s="691"/>
      <c r="D1453" s="3"/>
    </row>
    <row r="1454" spans="1:4">
      <c r="A1454" s="691"/>
      <c r="D1454" s="3"/>
    </row>
    <row r="1455" spans="1:4">
      <c r="A1455" s="691"/>
      <c r="D1455" s="3"/>
    </row>
    <row r="1456" spans="1:4">
      <c r="A1456" s="691"/>
      <c r="D1456" s="3"/>
    </row>
    <row r="1457" spans="1:4">
      <c r="A1457" s="691"/>
      <c r="D1457" s="3"/>
    </row>
    <row r="1458" spans="1:4">
      <c r="A1458" s="691"/>
      <c r="D1458" s="3"/>
    </row>
    <row r="1459" spans="1:4">
      <c r="A1459" s="691"/>
      <c r="D1459" s="3"/>
    </row>
    <row r="1460" spans="1:4">
      <c r="A1460" s="691"/>
      <c r="D1460" s="3"/>
    </row>
    <row r="1461" spans="1:4">
      <c r="A1461" s="691"/>
      <c r="D1461" s="3"/>
    </row>
    <row r="1462" spans="1:4">
      <c r="A1462" s="691"/>
      <c r="D1462" s="3"/>
    </row>
    <row r="1463" spans="1:4">
      <c r="A1463" s="691"/>
      <c r="D1463" s="3"/>
    </row>
    <row r="1464" spans="1:4">
      <c r="A1464" s="691"/>
      <c r="D1464" s="3"/>
    </row>
    <row r="1465" spans="1:4">
      <c r="A1465" s="691"/>
      <c r="D1465" s="3"/>
    </row>
    <row r="1466" spans="1:4">
      <c r="A1466" s="691"/>
      <c r="D1466" s="3"/>
    </row>
    <row r="1467" spans="1:4">
      <c r="A1467" s="691"/>
      <c r="D1467" s="3"/>
    </row>
    <row r="1468" spans="1:4">
      <c r="A1468" s="691"/>
      <c r="D1468" s="3"/>
    </row>
    <row r="1469" spans="1:4">
      <c r="A1469" s="691"/>
      <c r="D1469" s="3"/>
    </row>
    <row r="1470" spans="1:4">
      <c r="A1470" s="691"/>
      <c r="D1470" s="3"/>
    </row>
    <row r="1471" spans="1:4">
      <c r="A1471" s="691"/>
      <c r="D1471" s="3"/>
    </row>
    <row r="1472" spans="1:4">
      <c r="A1472" s="691"/>
      <c r="D1472" s="3"/>
    </row>
    <row r="1473" spans="1:4">
      <c r="A1473" s="691"/>
      <c r="D1473" s="3"/>
    </row>
    <row r="1474" spans="1:4">
      <c r="A1474" s="691"/>
      <c r="D1474" s="3"/>
    </row>
    <row r="1475" spans="1:4">
      <c r="A1475" s="691"/>
      <c r="D1475" s="3"/>
    </row>
    <row r="1476" spans="1:4">
      <c r="A1476" s="691"/>
      <c r="D1476" s="3"/>
    </row>
    <row r="1477" spans="1:4">
      <c r="A1477" s="691"/>
      <c r="D1477" s="3"/>
    </row>
    <row r="1478" spans="1:4">
      <c r="A1478" s="691"/>
      <c r="D1478" s="3"/>
    </row>
    <row r="1479" spans="1:4">
      <c r="A1479" s="691"/>
      <c r="D1479" s="3"/>
    </row>
    <row r="1480" spans="1:4">
      <c r="A1480" s="691"/>
      <c r="D1480" s="3"/>
    </row>
    <row r="1481" spans="1:4">
      <c r="A1481" s="691"/>
      <c r="D1481" s="3"/>
    </row>
    <row r="1482" spans="1:4">
      <c r="A1482" s="691"/>
      <c r="D1482" s="3"/>
    </row>
    <row r="1483" spans="1:4">
      <c r="A1483" s="691"/>
      <c r="D1483" s="3"/>
    </row>
    <row r="1484" spans="1:4">
      <c r="A1484" s="691"/>
      <c r="D1484" s="3"/>
    </row>
    <row r="1485" spans="1:4">
      <c r="A1485" s="691"/>
      <c r="D1485" s="3"/>
    </row>
    <row r="1486" spans="1:4">
      <c r="A1486" s="691"/>
      <c r="D1486" s="3"/>
    </row>
    <row r="1487" spans="1:4">
      <c r="A1487" s="691"/>
      <c r="D1487" s="3"/>
    </row>
    <row r="1488" spans="1:4">
      <c r="A1488" s="691"/>
      <c r="D1488" s="3"/>
    </row>
    <row r="1489" spans="1:4">
      <c r="A1489" s="691"/>
      <c r="D1489" s="3"/>
    </row>
    <row r="1490" spans="1:4">
      <c r="A1490" s="691"/>
      <c r="D1490" s="3"/>
    </row>
    <row r="1491" spans="1:4">
      <c r="A1491" s="691"/>
      <c r="D1491" s="3"/>
    </row>
    <row r="1492" spans="1:4">
      <c r="A1492" s="691"/>
      <c r="D1492" s="3"/>
    </row>
    <row r="1493" spans="1:4">
      <c r="A1493" s="691"/>
      <c r="D1493" s="3"/>
    </row>
    <row r="1494" spans="1:4">
      <c r="A1494" s="691"/>
      <c r="D1494" s="3"/>
    </row>
    <row r="1495" spans="1:4">
      <c r="A1495" s="691"/>
      <c r="D1495" s="3"/>
    </row>
    <row r="1496" spans="1:4">
      <c r="A1496" s="691"/>
      <c r="D1496" s="3"/>
    </row>
    <row r="1497" spans="1:4">
      <c r="A1497" s="691"/>
      <c r="D1497" s="3"/>
    </row>
    <row r="1498" spans="1:4">
      <c r="A1498" s="691"/>
      <c r="D1498" s="3"/>
    </row>
    <row r="1499" spans="1:4">
      <c r="A1499" s="691"/>
      <c r="D1499" s="3"/>
    </row>
    <row r="1500" spans="1:4">
      <c r="A1500" s="691"/>
      <c r="D1500" s="3"/>
    </row>
    <row r="1501" spans="1:4">
      <c r="A1501" s="691"/>
      <c r="D1501" s="3"/>
    </row>
    <row r="1502" spans="1:4">
      <c r="A1502" s="691"/>
      <c r="D1502" s="3"/>
    </row>
    <row r="1503" spans="1:4">
      <c r="A1503" s="691"/>
      <c r="D1503" s="3"/>
    </row>
    <row r="1504" spans="1:4">
      <c r="A1504" s="691"/>
      <c r="D1504" s="3"/>
    </row>
    <row r="1505" spans="1:4">
      <c r="A1505" s="691"/>
      <c r="D1505" s="3"/>
    </row>
    <row r="1506" spans="1:4">
      <c r="A1506" s="691"/>
      <c r="D1506" s="3"/>
    </row>
    <row r="1507" spans="1:4">
      <c r="A1507" s="691"/>
      <c r="D1507" s="3"/>
    </row>
    <row r="1508" spans="1:4">
      <c r="A1508" s="691"/>
      <c r="D1508" s="3"/>
    </row>
    <row r="1509" spans="1:4">
      <c r="A1509" s="691"/>
      <c r="D1509" s="3"/>
    </row>
    <row r="1510" spans="1:4">
      <c r="A1510" s="691"/>
      <c r="D1510" s="3"/>
    </row>
    <row r="1511" spans="1:4">
      <c r="A1511" s="691"/>
      <c r="D1511" s="3"/>
    </row>
    <row r="1512" spans="1:4">
      <c r="A1512" s="691"/>
      <c r="D1512" s="3"/>
    </row>
    <row r="1513" spans="1:4">
      <c r="A1513" s="691"/>
      <c r="D1513" s="3"/>
    </row>
    <row r="1514" spans="1:4">
      <c r="A1514" s="691"/>
      <c r="D1514" s="3"/>
    </row>
    <row r="1515" spans="1:4">
      <c r="A1515" s="691"/>
      <c r="D1515" s="3"/>
    </row>
    <row r="1516" spans="1:4">
      <c r="A1516" s="691"/>
      <c r="D1516" s="3"/>
    </row>
    <row r="1517" spans="1:4">
      <c r="A1517" s="691"/>
      <c r="D1517" s="3"/>
    </row>
    <row r="1518" spans="1:4">
      <c r="A1518" s="691"/>
      <c r="D1518" s="3"/>
    </row>
    <row r="1519" spans="1:4">
      <c r="A1519" s="691"/>
      <c r="D1519" s="3"/>
    </row>
    <row r="1520" spans="1:4">
      <c r="A1520" s="691"/>
      <c r="D1520" s="3"/>
    </row>
    <row r="1521" spans="1:4">
      <c r="A1521" s="691"/>
      <c r="D1521" s="3"/>
    </row>
    <row r="1522" spans="1:4">
      <c r="A1522" s="691"/>
      <c r="D1522" s="3"/>
    </row>
    <row r="1523" spans="1:4">
      <c r="A1523" s="691"/>
      <c r="D1523" s="3"/>
    </row>
    <row r="1524" spans="1:4">
      <c r="A1524" s="691"/>
      <c r="D1524" s="3"/>
    </row>
    <row r="1525" spans="1:4">
      <c r="A1525" s="691"/>
      <c r="D1525" s="3"/>
    </row>
    <row r="1526" spans="1:4">
      <c r="A1526" s="691"/>
      <c r="D1526" s="3"/>
    </row>
    <row r="1527" spans="1:4">
      <c r="A1527" s="691"/>
      <c r="D1527" s="3"/>
    </row>
    <row r="1528" spans="1:4">
      <c r="A1528" s="691"/>
      <c r="D1528" s="3"/>
    </row>
    <row r="1529" spans="1:4">
      <c r="A1529" s="691"/>
      <c r="D1529" s="3"/>
    </row>
    <row r="1530" spans="1:4">
      <c r="A1530" s="691"/>
      <c r="D1530" s="3"/>
    </row>
    <row r="1531" spans="1:4">
      <c r="A1531" s="691"/>
      <c r="D1531" s="3"/>
    </row>
    <row r="1532" spans="1:4">
      <c r="A1532" s="691"/>
      <c r="D1532" s="3"/>
    </row>
    <row r="1533" spans="1:4">
      <c r="A1533" s="691"/>
      <c r="D1533" s="3"/>
    </row>
    <row r="1534" spans="1:4">
      <c r="A1534" s="691"/>
      <c r="D1534" s="3"/>
    </row>
    <row r="1535" spans="1:4">
      <c r="A1535" s="691"/>
      <c r="D1535" s="3"/>
    </row>
    <row r="1536" spans="1:4">
      <c r="A1536" s="691"/>
      <c r="D1536" s="3"/>
    </row>
    <row r="1537" spans="1:4">
      <c r="A1537" s="691"/>
      <c r="D1537" s="3"/>
    </row>
    <row r="1538" spans="1:4">
      <c r="A1538" s="691"/>
      <c r="D1538" s="3"/>
    </row>
    <row r="1539" spans="1:4">
      <c r="A1539" s="691"/>
      <c r="D1539" s="3"/>
    </row>
    <row r="1540" spans="1:4">
      <c r="A1540" s="691"/>
      <c r="D1540" s="3"/>
    </row>
    <row r="1541" spans="1:4">
      <c r="A1541" s="691"/>
      <c r="D1541" s="3"/>
    </row>
    <row r="1542" spans="1:4">
      <c r="A1542" s="691"/>
      <c r="D1542" s="3"/>
    </row>
    <row r="1543" spans="1:4">
      <c r="A1543" s="691"/>
      <c r="D1543" s="3"/>
    </row>
    <row r="1544" spans="1:4">
      <c r="A1544" s="691"/>
      <c r="D1544" s="3"/>
    </row>
    <row r="1545" spans="1:4">
      <c r="A1545" s="691"/>
      <c r="D1545" s="3"/>
    </row>
    <row r="1546" spans="1:4">
      <c r="A1546" s="691"/>
      <c r="D1546" s="3"/>
    </row>
    <row r="1547" spans="1:4">
      <c r="A1547" s="691"/>
      <c r="D1547" s="3"/>
    </row>
    <row r="1548" spans="1:4">
      <c r="A1548" s="691"/>
      <c r="D1548" s="3"/>
    </row>
    <row r="1549" spans="1:4">
      <c r="A1549" s="691"/>
      <c r="D1549" s="3"/>
    </row>
    <row r="1550" spans="1:4">
      <c r="A1550" s="691"/>
      <c r="D1550" s="3"/>
    </row>
    <row r="1551" spans="1:4">
      <c r="A1551" s="691"/>
      <c r="D1551" s="3"/>
    </row>
    <row r="1552" spans="1:4">
      <c r="A1552" s="691"/>
      <c r="D1552" s="3"/>
    </row>
    <row r="1553" spans="1:4">
      <c r="A1553" s="691"/>
      <c r="D1553" s="3"/>
    </row>
    <row r="1554" spans="1:4">
      <c r="A1554" s="691"/>
      <c r="D1554" s="3"/>
    </row>
    <row r="1555" spans="1:4">
      <c r="A1555" s="691"/>
      <c r="D1555" s="3"/>
    </row>
    <row r="1556" spans="1:4">
      <c r="A1556" s="691"/>
      <c r="D1556" s="3"/>
    </row>
    <row r="1557" spans="1:4">
      <c r="A1557" s="691"/>
      <c r="D1557" s="3"/>
    </row>
    <row r="1558" spans="1:4">
      <c r="A1558" s="691"/>
      <c r="D1558" s="3"/>
    </row>
    <row r="1559" spans="1:4">
      <c r="A1559" s="691"/>
      <c r="D1559" s="3"/>
    </row>
    <row r="1560" spans="1:4">
      <c r="A1560" s="691"/>
      <c r="D1560" s="3"/>
    </row>
    <row r="1561" spans="1:4">
      <c r="A1561" s="691"/>
      <c r="D1561" s="3"/>
    </row>
    <row r="1562" spans="1:4">
      <c r="A1562" s="691"/>
      <c r="D1562" s="3"/>
    </row>
    <row r="1563" spans="1:4">
      <c r="A1563" s="691"/>
      <c r="D1563" s="3"/>
    </row>
    <row r="1564" spans="1:4">
      <c r="A1564" s="691"/>
      <c r="D1564" s="3"/>
    </row>
    <row r="1565" spans="1:4">
      <c r="A1565" s="691"/>
      <c r="D1565" s="3"/>
    </row>
    <row r="1566" spans="1:4">
      <c r="A1566" s="691"/>
      <c r="D1566" s="3"/>
    </row>
    <row r="1567" spans="1:4">
      <c r="A1567" s="691"/>
      <c r="D1567" s="3"/>
    </row>
    <row r="1568" spans="1:4">
      <c r="A1568" s="691"/>
      <c r="D1568" s="3"/>
    </row>
    <row r="1569" spans="1:4">
      <c r="A1569" s="691"/>
      <c r="D1569" s="3"/>
    </row>
    <row r="1570" spans="1:4">
      <c r="A1570" s="691"/>
      <c r="D1570" s="3"/>
    </row>
    <row r="1571" spans="1:4">
      <c r="A1571" s="691"/>
      <c r="D1571" s="3"/>
    </row>
    <row r="1572" spans="1:4">
      <c r="A1572" s="691"/>
      <c r="D1572" s="3"/>
    </row>
    <row r="1573" spans="1:4">
      <c r="A1573" s="691"/>
      <c r="D1573" s="3"/>
    </row>
    <row r="1574" spans="1:4">
      <c r="A1574" s="691"/>
      <c r="D1574" s="3"/>
    </row>
    <row r="1575" spans="1:4">
      <c r="A1575" s="691"/>
      <c r="D1575" s="3"/>
    </row>
    <row r="1576" spans="1:4">
      <c r="A1576" s="691"/>
      <c r="D1576" s="3"/>
    </row>
    <row r="1577" spans="1:4">
      <c r="A1577" s="691"/>
      <c r="D1577" s="3"/>
    </row>
    <row r="1578" spans="1:4">
      <c r="A1578" s="691"/>
      <c r="D1578" s="3"/>
    </row>
    <row r="1579" spans="1:4">
      <c r="A1579" s="691"/>
      <c r="D1579" s="3"/>
    </row>
    <row r="1580" spans="1:4">
      <c r="A1580" s="691"/>
      <c r="D1580" s="3"/>
    </row>
    <row r="1581" spans="1:4">
      <c r="A1581" s="691"/>
      <c r="D1581" s="3"/>
    </row>
    <row r="1582" spans="1:4">
      <c r="A1582" s="691"/>
      <c r="D1582" s="3"/>
    </row>
    <row r="1583" spans="1:4">
      <c r="A1583" s="691"/>
      <c r="D1583" s="3"/>
    </row>
    <row r="1584" spans="1:4">
      <c r="A1584" s="691"/>
      <c r="D1584" s="3"/>
    </row>
    <row r="1585" spans="1:4">
      <c r="A1585" s="691"/>
      <c r="D1585" s="3"/>
    </row>
    <row r="1586" spans="1:4">
      <c r="A1586" s="691"/>
      <c r="D1586" s="3"/>
    </row>
    <row r="1587" spans="1:4">
      <c r="A1587" s="691"/>
      <c r="D1587" s="3"/>
    </row>
    <row r="1588" spans="1:4">
      <c r="A1588" s="691"/>
      <c r="D1588" s="3"/>
    </row>
    <row r="1589" spans="1:4">
      <c r="A1589" s="691"/>
      <c r="D1589" s="3"/>
    </row>
    <row r="1590" spans="1:4">
      <c r="A1590" s="691"/>
      <c r="D1590" s="3"/>
    </row>
    <row r="1591" spans="1:4">
      <c r="A1591" s="691"/>
      <c r="D1591" s="3"/>
    </row>
    <row r="1592" spans="1:4">
      <c r="A1592" s="691"/>
      <c r="D1592" s="3"/>
    </row>
    <row r="1593" spans="1:4">
      <c r="A1593" s="691"/>
      <c r="D1593" s="3"/>
    </row>
    <row r="1594" spans="1:4">
      <c r="A1594" s="691"/>
      <c r="D1594" s="3"/>
    </row>
    <row r="1595" spans="1:4">
      <c r="A1595" s="691"/>
      <c r="D1595" s="3"/>
    </row>
    <row r="1596" spans="1:4">
      <c r="A1596" s="691"/>
      <c r="D1596" s="3"/>
    </row>
    <row r="1597" spans="1:4">
      <c r="A1597" s="691"/>
      <c r="D1597" s="3"/>
    </row>
    <row r="1598" spans="1:4">
      <c r="A1598" s="691"/>
      <c r="D1598" s="3"/>
    </row>
    <row r="1599" spans="1:4">
      <c r="A1599" s="691"/>
      <c r="D1599" s="3"/>
    </row>
    <row r="1600" spans="1:4">
      <c r="A1600" s="691"/>
      <c r="D1600" s="3"/>
    </row>
    <row r="1601" spans="1:4">
      <c r="A1601" s="691"/>
      <c r="D1601" s="3"/>
    </row>
    <row r="1602" spans="1:4">
      <c r="A1602" s="691"/>
      <c r="D1602" s="3"/>
    </row>
    <row r="1603" spans="1:4">
      <c r="A1603" s="691"/>
      <c r="D1603" s="3"/>
    </row>
    <row r="1604" spans="1:4">
      <c r="A1604" s="691"/>
      <c r="D1604" s="3"/>
    </row>
    <row r="1605" spans="1:4">
      <c r="A1605" s="691"/>
      <c r="D1605" s="3"/>
    </row>
    <row r="1606" spans="1:4">
      <c r="A1606" s="691"/>
      <c r="D1606" s="3"/>
    </row>
    <row r="1607" spans="1:4">
      <c r="A1607" s="691"/>
      <c r="D1607" s="3"/>
    </row>
    <row r="1608" spans="1:4">
      <c r="A1608" s="691"/>
      <c r="D1608" s="3"/>
    </row>
    <row r="1609" spans="1:4">
      <c r="A1609" s="691"/>
      <c r="D1609" s="3"/>
    </row>
    <row r="1610" spans="1:4">
      <c r="A1610" s="691"/>
      <c r="D1610" s="3"/>
    </row>
    <row r="1611" spans="1:4">
      <c r="A1611" s="691"/>
      <c r="D1611" s="3"/>
    </row>
    <row r="1612" spans="1:4">
      <c r="A1612" s="691"/>
      <c r="D1612" s="3"/>
    </row>
    <row r="1613" spans="1:4">
      <c r="A1613" s="691"/>
      <c r="D1613" s="3"/>
    </row>
    <row r="1614" spans="1:4">
      <c r="A1614" s="691"/>
      <c r="D1614" s="3"/>
    </row>
    <row r="1615" spans="1:4">
      <c r="A1615" s="691"/>
      <c r="D1615" s="3"/>
    </row>
    <row r="1616" spans="1:4">
      <c r="A1616" s="691"/>
      <c r="D1616" s="3"/>
    </row>
    <row r="1617" spans="1:4">
      <c r="A1617" s="691"/>
      <c r="D1617" s="3"/>
    </row>
    <row r="1618" spans="1:4">
      <c r="A1618" s="691"/>
      <c r="D1618" s="3"/>
    </row>
    <row r="1619" spans="1:4">
      <c r="A1619" s="691"/>
      <c r="D1619" s="3"/>
    </row>
    <row r="1620" spans="1:4">
      <c r="A1620" s="691"/>
      <c r="D1620" s="3"/>
    </row>
    <row r="1621" spans="1:4">
      <c r="A1621" s="691"/>
      <c r="D1621" s="3"/>
    </row>
    <row r="1622" spans="1:4">
      <c r="A1622" s="691"/>
      <c r="D1622" s="3"/>
    </row>
    <row r="1623" spans="1:4">
      <c r="A1623" s="691"/>
      <c r="D1623" s="3"/>
    </row>
    <row r="1624" spans="1:4">
      <c r="A1624" s="691"/>
      <c r="D1624" s="3"/>
    </row>
    <row r="1625" spans="1:4">
      <c r="A1625" s="691"/>
      <c r="D1625" s="3"/>
    </row>
    <row r="1626" spans="1:4">
      <c r="A1626" s="691"/>
      <c r="D1626" s="3"/>
    </row>
    <row r="1627" spans="1:4">
      <c r="A1627" s="691"/>
      <c r="D1627" s="3"/>
    </row>
    <row r="1628" spans="1:4">
      <c r="A1628" s="691"/>
      <c r="D1628" s="3"/>
    </row>
    <row r="1629" spans="1:4">
      <c r="A1629" s="691"/>
      <c r="D1629" s="3"/>
    </row>
    <row r="1630" spans="1:4">
      <c r="A1630" s="691"/>
      <c r="D1630" s="3"/>
    </row>
    <row r="1631" spans="1:4">
      <c r="A1631" s="691"/>
      <c r="D1631" s="3"/>
    </row>
    <row r="1632" spans="1:4">
      <c r="A1632" s="691"/>
      <c r="D1632" s="3"/>
    </row>
    <row r="1633" spans="1:4">
      <c r="A1633" s="691"/>
      <c r="D1633" s="3"/>
    </row>
    <row r="1634" spans="1:4">
      <c r="A1634" s="691"/>
      <c r="D1634" s="3"/>
    </row>
    <row r="1635" spans="1:4">
      <c r="A1635" s="691"/>
      <c r="D1635" s="3"/>
    </row>
    <row r="1636" spans="1:4">
      <c r="A1636" s="691"/>
      <c r="D1636" s="3"/>
    </row>
    <row r="1637" spans="1:4">
      <c r="A1637" s="691"/>
      <c r="D1637" s="3"/>
    </row>
    <row r="1638" spans="1:4">
      <c r="A1638" s="691"/>
      <c r="D1638" s="3"/>
    </row>
    <row r="1639" spans="1:4">
      <c r="A1639" s="691"/>
      <c r="D1639" s="3"/>
    </row>
    <row r="1640" spans="1:4">
      <c r="A1640" s="691"/>
      <c r="D1640" s="3"/>
    </row>
    <row r="1641" spans="1:4">
      <c r="A1641" s="691"/>
      <c r="D1641" s="3"/>
    </row>
    <row r="1642" spans="1:4">
      <c r="A1642" s="691"/>
      <c r="D1642" s="3"/>
    </row>
    <row r="1643" spans="1:4">
      <c r="A1643" s="691"/>
      <c r="D1643" s="3"/>
    </row>
    <row r="1644" spans="1:4">
      <c r="A1644" s="691"/>
      <c r="D1644" s="3"/>
    </row>
    <row r="1645" spans="1:4">
      <c r="A1645" s="691"/>
      <c r="D1645" s="3"/>
    </row>
    <row r="1646" spans="1:4">
      <c r="A1646" s="691"/>
      <c r="D1646" s="3"/>
    </row>
    <row r="1647" spans="1:4">
      <c r="A1647" s="691"/>
      <c r="D1647" s="3"/>
    </row>
    <row r="1648" spans="1:4">
      <c r="A1648" s="691"/>
      <c r="D1648" s="3"/>
    </row>
    <row r="1649" spans="1:4">
      <c r="A1649" s="691"/>
      <c r="D1649" s="3"/>
    </row>
    <row r="1650" spans="1:4">
      <c r="A1650" s="691"/>
      <c r="D1650" s="3"/>
    </row>
    <row r="1651" spans="1:4">
      <c r="A1651" s="691"/>
      <c r="D1651" s="3"/>
    </row>
    <row r="1652" spans="1:4">
      <c r="A1652" s="691"/>
      <c r="D1652" s="3"/>
    </row>
    <row r="1653" spans="1:4">
      <c r="A1653" s="691"/>
      <c r="D1653" s="3"/>
    </row>
    <row r="1654" spans="1:4">
      <c r="A1654" s="691"/>
      <c r="D1654" s="3"/>
    </row>
    <row r="1655" spans="1:4">
      <c r="A1655" s="691"/>
      <c r="D1655" s="3"/>
    </row>
    <row r="1656" spans="1:4">
      <c r="A1656" s="691"/>
      <c r="D1656" s="3"/>
    </row>
    <row r="1657" spans="1:4">
      <c r="A1657" s="691"/>
      <c r="D1657" s="3"/>
    </row>
    <row r="1658" spans="1:4">
      <c r="A1658" s="691"/>
      <c r="D1658" s="3"/>
    </row>
    <row r="1659" spans="1:4">
      <c r="A1659" s="691"/>
      <c r="D1659" s="3"/>
    </row>
    <row r="1660" spans="1:4">
      <c r="A1660" s="691"/>
      <c r="D1660" s="3"/>
    </row>
    <row r="1661" spans="1:4">
      <c r="A1661" s="691"/>
      <c r="D1661" s="3"/>
    </row>
    <row r="1662" spans="1:4">
      <c r="A1662" s="691"/>
      <c r="D1662" s="3"/>
    </row>
    <row r="1663" spans="1:4">
      <c r="A1663" s="691"/>
      <c r="D1663" s="3"/>
    </row>
    <row r="1664" spans="1:4">
      <c r="A1664" s="691"/>
      <c r="D1664" s="3"/>
    </row>
    <row r="1665" spans="1:4">
      <c r="A1665" s="691"/>
      <c r="D1665" s="3"/>
    </row>
    <row r="1666" spans="1:4">
      <c r="A1666" s="691"/>
      <c r="D1666" s="3"/>
    </row>
    <row r="1667" spans="1:4">
      <c r="A1667" s="691"/>
      <c r="D1667" s="3"/>
    </row>
    <row r="1668" spans="1:4">
      <c r="A1668" s="691"/>
      <c r="D1668" s="3"/>
    </row>
    <row r="1669" spans="1:4">
      <c r="A1669" s="691"/>
      <c r="D1669" s="3"/>
    </row>
    <row r="1670" spans="1:4">
      <c r="A1670" s="691"/>
      <c r="D1670" s="3"/>
    </row>
    <row r="1671" spans="1:4">
      <c r="A1671" s="691"/>
      <c r="D1671" s="3"/>
    </row>
    <row r="1672" spans="1:4">
      <c r="A1672" s="691"/>
      <c r="D1672" s="3"/>
    </row>
    <row r="1673" spans="1:4">
      <c r="A1673" s="691"/>
      <c r="D1673" s="3"/>
    </row>
    <row r="1674" spans="1:4">
      <c r="A1674" s="691"/>
      <c r="D1674" s="3"/>
    </row>
    <row r="1675" spans="1:4">
      <c r="A1675" s="691"/>
      <c r="D1675" s="3"/>
    </row>
    <row r="1676" spans="1:4">
      <c r="A1676" s="691"/>
      <c r="D1676" s="3"/>
    </row>
    <row r="1677" spans="1:4">
      <c r="A1677" s="691"/>
      <c r="D1677" s="3"/>
    </row>
    <row r="1678" spans="1:4">
      <c r="A1678" s="691"/>
      <c r="D1678" s="3"/>
    </row>
    <row r="1679" spans="1:4">
      <c r="A1679" s="691"/>
      <c r="D1679" s="3"/>
    </row>
    <row r="1680" spans="1:4">
      <c r="A1680" s="691"/>
      <c r="D1680" s="3"/>
    </row>
    <row r="1681" spans="1:4">
      <c r="A1681" s="691"/>
      <c r="D1681" s="3"/>
    </row>
    <row r="1682" spans="1:4">
      <c r="A1682" s="691"/>
      <c r="D1682" s="3"/>
    </row>
    <row r="1683" spans="1:4">
      <c r="A1683" s="691"/>
      <c r="D1683" s="3"/>
    </row>
    <row r="1684" spans="1:4">
      <c r="A1684" s="691"/>
      <c r="D1684" s="3"/>
    </row>
    <row r="1685" spans="1:4">
      <c r="A1685" s="691"/>
      <c r="D1685" s="3"/>
    </row>
    <row r="1686" spans="1:4">
      <c r="A1686" s="691"/>
      <c r="D1686" s="3"/>
    </row>
    <row r="1687" spans="1:4">
      <c r="A1687" s="691"/>
      <c r="D1687" s="3"/>
    </row>
    <row r="1688" spans="1:4">
      <c r="A1688" s="691"/>
      <c r="D1688" s="3"/>
    </row>
    <row r="1689" spans="1:4">
      <c r="A1689" s="691"/>
      <c r="D1689" s="3"/>
    </row>
    <row r="1690" spans="1:4">
      <c r="A1690" s="691"/>
      <c r="D1690" s="3"/>
    </row>
    <row r="1691" spans="1:4">
      <c r="A1691" s="691"/>
      <c r="D1691" s="3"/>
    </row>
    <row r="1692" spans="1:4">
      <c r="A1692" s="691"/>
      <c r="D1692" s="3"/>
    </row>
    <row r="1693" spans="1:4">
      <c r="A1693" s="691"/>
      <c r="D1693" s="3"/>
    </row>
    <row r="1694" spans="1:4">
      <c r="A1694" s="691"/>
      <c r="D1694" s="3"/>
    </row>
    <row r="1695" spans="1:4">
      <c r="A1695" s="691"/>
      <c r="D1695" s="3"/>
    </row>
    <row r="1696" spans="1:4">
      <c r="A1696" s="691"/>
      <c r="D1696" s="3"/>
    </row>
    <row r="1697" spans="1:4">
      <c r="A1697" s="691"/>
      <c r="D1697" s="3"/>
    </row>
    <row r="1698" spans="1:4">
      <c r="A1698" s="691"/>
      <c r="D1698" s="3"/>
    </row>
    <row r="1699" spans="1:4">
      <c r="A1699" s="691"/>
      <c r="D1699" s="3"/>
    </row>
    <row r="1700" spans="1:4">
      <c r="A1700" s="691"/>
      <c r="D1700" s="3"/>
    </row>
    <row r="1701" spans="1:4">
      <c r="A1701" s="691"/>
      <c r="D1701" s="3"/>
    </row>
    <row r="1702" spans="1:4">
      <c r="A1702" s="691"/>
      <c r="D1702" s="3"/>
    </row>
    <row r="1703" spans="1:4">
      <c r="A1703" s="691"/>
      <c r="D1703" s="3"/>
    </row>
    <row r="1704" spans="1:4">
      <c r="A1704" s="691"/>
      <c r="D1704" s="3"/>
    </row>
    <row r="1705" spans="1:4">
      <c r="A1705" s="691"/>
      <c r="D1705" s="3"/>
    </row>
    <row r="1706" spans="1:4">
      <c r="A1706" s="691"/>
      <c r="D1706" s="3"/>
    </row>
    <row r="1707" spans="1:4">
      <c r="A1707" s="691"/>
      <c r="D1707" s="3"/>
    </row>
    <row r="1708" spans="1:4">
      <c r="A1708" s="691"/>
      <c r="D1708" s="3"/>
    </row>
    <row r="1709" spans="1:4">
      <c r="A1709" s="691"/>
      <c r="D1709" s="3"/>
    </row>
    <row r="1710" spans="1:4">
      <c r="A1710" s="691"/>
      <c r="D1710" s="3"/>
    </row>
    <row r="1711" spans="1:4">
      <c r="A1711" s="691"/>
      <c r="D1711" s="3"/>
    </row>
    <row r="1712" spans="1:4">
      <c r="A1712" s="691"/>
      <c r="D1712" s="3"/>
    </row>
    <row r="1713" spans="1:4">
      <c r="A1713" s="691"/>
      <c r="D1713" s="3"/>
    </row>
    <row r="1714" spans="1:4">
      <c r="A1714" s="691"/>
      <c r="D1714" s="3"/>
    </row>
    <row r="1715" spans="1:4">
      <c r="A1715" s="691"/>
      <c r="D1715" s="3"/>
    </row>
    <row r="1716" spans="1:4">
      <c r="A1716" s="691"/>
      <c r="D1716" s="3"/>
    </row>
    <row r="1717" spans="1:4">
      <c r="A1717" s="691"/>
      <c r="D1717" s="3"/>
    </row>
    <row r="1718" spans="1:4">
      <c r="A1718" s="691"/>
      <c r="D1718" s="3"/>
    </row>
    <row r="1719" spans="1:4">
      <c r="A1719" s="691"/>
      <c r="D1719" s="3"/>
    </row>
    <row r="1720" spans="1:4">
      <c r="A1720" s="691"/>
      <c r="D1720" s="3"/>
    </row>
    <row r="1721" spans="1:4">
      <c r="A1721" s="691"/>
      <c r="D1721" s="3"/>
    </row>
    <row r="1722" spans="1:4">
      <c r="A1722" s="691"/>
      <c r="D1722" s="3"/>
    </row>
    <row r="1723" spans="1:4">
      <c r="A1723" s="691"/>
      <c r="D1723" s="3"/>
    </row>
    <row r="1724" spans="1:4">
      <c r="A1724" s="691"/>
      <c r="D1724" s="3"/>
    </row>
    <row r="1725" spans="1:4">
      <c r="A1725" s="691"/>
      <c r="D1725" s="3"/>
    </row>
    <row r="1726" spans="1:4">
      <c r="A1726" s="691"/>
      <c r="D1726" s="3"/>
    </row>
    <row r="1727" spans="1:4">
      <c r="A1727" s="691"/>
      <c r="D1727" s="3"/>
    </row>
    <row r="1728" spans="1:4">
      <c r="A1728" s="691"/>
      <c r="D1728" s="3"/>
    </row>
    <row r="1729" spans="1:4">
      <c r="A1729" s="691"/>
      <c r="D1729" s="3"/>
    </row>
    <row r="1730" spans="1:4">
      <c r="A1730" s="691"/>
      <c r="D1730" s="3"/>
    </row>
    <row r="1731" spans="1:4">
      <c r="A1731" s="691"/>
      <c r="D1731" s="3"/>
    </row>
    <row r="1732" spans="1:4">
      <c r="A1732" s="691"/>
      <c r="D1732" s="3"/>
    </row>
    <row r="1733" spans="1:4">
      <c r="A1733" s="691"/>
      <c r="D1733" s="3"/>
    </row>
    <row r="1734" spans="1:4">
      <c r="A1734" s="691"/>
      <c r="D1734" s="3"/>
    </row>
    <row r="1735" spans="1:4">
      <c r="A1735" s="691"/>
      <c r="D1735" s="3"/>
    </row>
    <row r="1736" spans="1:4">
      <c r="A1736" s="691"/>
      <c r="D1736" s="3"/>
    </row>
    <row r="1737" spans="1:4">
      <c r="A1737" s="691"/>
      <c r="D1737" s="3"/>
    </row>
    <row r="1738" spans="1:4">
      <c r="A1738" s="691"/>
      <c r="D1738" s="3"/>
    </row>
    <row r="1739" spans="1:4">
      <c r="A1739" s="691"/>
      <c r="D1739" s="3"/>
    </row>
    <row r="1740" spans="1:4">
      <c r="A1740" s="691"/>
      <c r="D1740" s="3"/>
    </row>
    <row r="1741" spans="1:4">
      <c r="A1741" s="691"/>
      <c r="D1741" s="3"/>
    </row>
    <row r="1742" spans="1:4">
      <c r="A1742" s="691"/>
      <c r="D1742" s="3"/>
    </row>
    <row r="1743" spans="1:4">
      <c r="A1743" s="691"/>
      <c r="D1743" s="3"/>
    </row>
    <row r="1744" spans="1:4">
      <c r="A1744" s="691"/>
      <c r="D1744" s="3"/>
    </row>
    <row r="1745" spans="1:4">
      <c r="A1745" s="691"/>
      <c r="D1745" s="3"/>
    </row>
    <row r="1746" spans="1:4">
      <c r="A1746" s="691"/>
      <c r="D1746" s="3"/>
    </row>
    <row r="1747" spans="1:4">
      <c r="A1747" s="691"/>
      <c r="D1747" s="3"/>
    </row>
    <row r="1748" spans="1:4">
      <c r="A1748" s="691"/>
      <c r="D1748" s="3"/>
    </row>
    <row r="1749" spans="1:4">
      <c r="A1749" s="691"/>
      <c r="D1749" s="3"/>
    </row>
    <row r="1750" spans="1:4">
      <c r="A1750" s="691"/>
      <c r="D1750" s="3"/>
    </row>
    <row r="1751" spans="1:4">
      <c r="A1751" s="691"/>
      <c r="D1751" s="3"/>
    </row>
    <row r="1752" spans="1:4">
      <c r="A1752" s="691"/>
      <c r="D1752" s="3"/>
    </row>
    <row r="1753" spans="1:4">
      <c r="A1753" s="691"/>
      <c r="D1753" s="3"/>
    </row>
    <row r="1754" spans="1:4">
      <c r="A1754" s="691"/>
      <c r="D1754" s="3"/>
    </row>
    <row r="1755" spans="1:4">
      <c r="A1755" s="691"/>
      <c r="D1755" s="3"/>
    </row>
    <row r="1756" spans="1:4">
      <c r="A1756" s="691"/>
      <c r="D1756" s="3"/>
    </row>
    <row r="1757" spans="1:4">
      <c r="A1757" s="691"/>
      <c r="D1757" s="3"/>
    </row>
    <row r="1758" spans="1:4">
      <c r="A1758" s="691"/>
      <c r="D1758" s="3"/>
    </row>
    <row r="1759" spans="1:4">
      <c r="A1759" s="691"/>
      <c r="D1759" s="3"/>
    </row>
    <row r="1760" spans="1:4">
      <c r="A1760" s="691"/>
      <c r="D1760" s="3"/>
    </row>
    <row r="1761" spans="1:4">
      <c r="A1761" s="691"/>
      <c r="D1761" s="3"/>
    </row>
    <row r="1762" spans="1:4">
      <c r="A1762" s="691"/>
      <c r="D1762" s="3"/>
    </row>
    <row r="1763" spans="1:4">
      <c r="A1763" s="691"/>
      <c r="D1763" s="3"/>
    </row>
    <row r="1764" spans="1:4">
      <c r="A1764" s="691"/>
      <c r="D1764" s="3"/>
    </row>
    <row r="1765" spans="1:4">
      <c r="A1765" s="691"/>
      <c r="D1765" s="3"/>
    </row>
    <row r="1766" spans="1:4">
      <c r="A1766" s="691"/>
      <c r="D1766" s="3"/>
    </row>
    <row r="1767" spans="1:4">
      <c r="A1767" s="691"/>
      <c r="D1767" s="3"/>
    </row>
    <row r="1768" spans="1:4">
      <c r="A1768" s="691"/>
      <c r="D1768" s="3"/>
    </row>
    <row r="1769" spans="1:4">
      <c r="A1769" s="691"/>
      <c r="D1769" s="3"/>
    </row>
    <row r="1770" spans="1:4">
      <c r="A1770" s="691"/>
      <c r="D1770" s="3"/>
    </row>
    <row r="1771" spans="1:4">
      <c r="A1771" s="691"/>
      <c r="D1771" s="3"/>
    </row>
    <row r="1772" spans="1:4">
      <c r="A1772" s="691"/>
      <c r="D1772" s="3"/>
    </row>
    <row r="1773" spans="1:4">
      <c r="A1773" s="691"/>
      <c r="D1773" s="3"/>
    </row>
    <row r="1774" spans="1:4">
      <c r="A1774" s="691"/>
      <c r="D1774" s="3"/>
    </row>
    <row r="1775" spans="1:4">
      <c r="A1775" s="691"/>
      <c r="D1775" s="3"/>
    </row>
    <row r="1776" spans="1:4">
      <c r="A1776" s="691"/>
      <c r="D1776" s="3"/>
    </row>
    <row r="1777" spans="1:4">
      <c r="A1777" s="691"/>
      <c r="D1777" s="3"/>
    </row>
    <row r="1778" spans="1:4">
      <c r="A1778" s="691"/>
      <c r="D1778" s="3"/>
    </row>
    <row r="1779" spans="1:4">
      <c r="A1779" s="691"/>
      <c r="D1779" s="3"/>
    </row>
    <row r="1780" spans="1:4">
      <c r="A1780" s="691"/>
      <c r="D1780" s="3"/>
    </row>
    <row r="1781" spans="1:4">
      <c r="A1781" s="691"/>
      <c r="D1781" s="3"/>
    </row>
    <row r="1782" spans="1:4">
      <c r="A1782" s="691"/>
      <c r="D1782" s="3"/>
    </row>
    <row r="1783" spans="1:4">
      <c r="A1783" s="691"/>
      <c r="D1783" s="3"/>
    </row>
    <row r="1784" spans="1:4">
      <c r="A1784" s="691"/>
      <c r="D1784" s="3"/>
    </row>
    <row r="1785" spans="1:4">
      <c r="A1785" s="691"/>
      <c r="D1785" s="3"/>
    </row>
    <row r="1786" spans="1:4">
      <c r="A1786" s="691"/>
      <c r="D1786" s="3"/>
    </row>
    <row r="1787" spans="1:4">
      <c r="A1787" s="691"/>
      <c r="D1787" s="3"/>
    </row>
    <row r="1788" spans="1:4">
      <c r="A1788" s="691"/>
      <c r="D1788" s="3"/>
    </row>
    <row r="1789" spans="1:4">
      <c r="A1789" s="691"/>
      <c r="D1789" s="3"/>
    </row>
    <row r="1790" spans="1:4">
      <c r="A1790" s="691"/>
      <c r="D1790" s="3"/>
    </row>
    <row r="1791" spans="1:4">
      <c r="A1791" s="691"/>
      <c r="D1791" s="3"/>
    </row>
    <row r="1792" spans="1:4">
      <c r="A1792" s="691"/>
      <c r="D1792" s="3"/>
    </row>
    <row r="1793" spans="1:4">
      <c r="A1793" s="691"/>
      <c r="D1793" s="3"/>
    </row>
    <row r="1794" spans="1:4">
      <c r="A1794" s="691"/>
      <c r="D1794" s="3"/>
    </row>
    <row r="1795" spans="1:4">
      <c r="A1795" s="691"/>
      <c r="D1795" s="3"/>
    </row>
    <row r="1796" spans="1:4">
      <c r="A1796" s="691"/>
      <c r="D1796" s="3"/>
    </row>
    <row r="1797" spans="1:4">
      <c r="A1797" s="691"/>
      <c r="D1797" s="3"/>
    </row>
    <row r="1798" spans="1:4">
      <c r="A1798" s="691"/>
      <c r="D1798" s="3"/>
    </row>
    <row r="1799" spans="1:4">
      <c r="A1799" s="691"/>
      <c r="D1799" s="3"/>
    </row>
    <row r="1800" spans="1:4">
      <c r="A1800" s="691"/>
      <c r="D1800" s="3"/>
    </row>
    <row r="1801" spans="1:4">
      <c r="A1801" s="691"/>
      <c r="D1801" s="3"/>
    </row>
    <row r="1802" spans="1:4">
      <c r="A1802" s="691"/>
      <c r="D1802" s="3"/>
    </row>
    <row r="1803" spans="1:4">
      <c r="A1803" s="691"/>
      <c r="D1803" s="3"/>
    </row>
    <row r="1804" spans="1:4">
      <c r="A1804" s="691"/>
      <c r="D1804" s="3"/>
    </row>
    <row r="1805" spans="1:4">
      <c r="A1805" s="691"/>
      <c r="D1805" s="3"/>
    </row>
    <row r="1806" spans="1:4">
      <c r="A1806" s="691"/>
      <c r="D1806" s="3"/>
    </row>
    <row r="1807" spans="1:4">
      <c r="A1807" s="691"/>
      <c r="D1807" s="3"/>
    </row>
    <row r="1808" spans="1:4">
      <c r="A1808" s="691"/>
      <c r="D1808" s="3"/>
    </row>
    <row r="1809" spans="1:4">
      <c r="A1809" s="691"/>
      <c r="D1809" s="3"/>
    </row>
    <row r="1810" spans="1:4">
      <c r="A1810" s="691"/>
      <c r="D1810" s="3"/>
    </row>
    <row r="1811" spans="1:4">
      <c r="A1811" s="691"/>
      <c r="D1811" s="3"/>
    </row>
    <row r="1812" spans="1:4">
      <c r="A1812" s="691"/>
      <c r="D1812" s="3"/>
    </row>
    <row r="1813" spans="1:4">
      <c r="A1813" s="691"/>
      <c r="D1813" s="3"/>
    </row>
    <row r="1814" spans="1:4">
      <c r="A1814" s="691"/>
      <c r="D1814" s="3"/>
    </row>
    <row r="1815" spans="1:4">
      <c r="A1815" s="691"/>
      <c r="D1815" s="3"/>
    </row>
    <row r="1816" spans="1:4">
      <c r="A1816" s="691"/>
      <c r="D1816" s="3"/>
    </row>
    <row r="1817" spans="1:4">
      <c r="A1817" s="691"/>
      <c r="D1817" s="3"/>
    </row>
    <row r="1818" spans="1:4">
      <c r="A1818" s="691"/>
      <c r="D1818" s="3"/>
    </row>
    <row r="1819" spans="1:4">
      <c r="A1819" s="691"/>
      <c r="D1819" s="3"/>
    </row>
    <row r="1820" spans="1:4">
      <c r="A1820" s="691"/>
      <c r="D1820" s="3"/>
    </row>
    <row r="1821" spans="1:4">
      <c r="A1821" s="691"/>
      <c r="D1821" s="3"/>
    </row>
    <row r="1822" spans="1:4">
      <c r="A1822" s="691"/>
      <c r="D1822" s="3"/>
    </row>
    <row r="1823" spans="1:4">
      <c r="A1823" s="691"/>
      <c r="D1823" s="3"/>
    </row>
    <row r="1824" spans="1:4">
      <c r="A1824" s="691"/>
      <c r="D1824" s="3"/>
    </row>
    <row r="1825" spans="1:4">
      <c r="A1825" s="691"/>
      <c r="D1825" s="3"/>
    </row>
    <row r="1826" spans="1:4">
      <c r="A1826" s="691"/>
      <c r="D1826" s="3"/>
    </row>
    <row r="1827" spans="1:4">
      <c r="A1827" s="691"/>
      <c r="D1827" s="3"/>
    </row>
    <row r="1828" spans="1:4">
      <c r="A1828" s="691"/>
      <c r="D1828" s="3"/>
    </row>
    <row r="1829" spans="1:4">
      <c r="A1829" s="691"/>
      <c r="D1829" s="3"/>
    </row>
    <row r="1830" spans="1:4">
      <c r="A1830" s="691"/>
      <c r="D1830" s="3"/>
    </row>
    <row r="1831" spans="1:4">
      <c r="A1831" s="691"/>
      <c r="D1831" s="3"/>
    </row>
    <row r="1832" spans="1:4">
      <c r="A1832" s="691"/>
      <c r="D1832" s="3"/>
    </row>
    <row r="1833" spans="1:4">
      <c r="A1833" s="691"/>
      <c r="D1833" s="3"/>
    </row>
    <row r="1834" spans="1:4">
      <c r="A1834" s="691"/>
      <c r="D1834" s="3"/>
    </row>
    <row r="1835" spans="1:4">
      <c r="A1835" s="691"/>
      <c r="D1835" s="3"/>
    </row>
    <row r="1836" spans="1:4">
      <c r="A1836" s="691"/>
      <c r="D1836" s="3"/>
    </row>
    <row r="1837" spans="1:4">
      <c r="A1837" s="691"/>
      <c r="D1837" s="3"/>
    </row>
    <row r="1838" spans="1:4">
      <c r="A1838" s="691"/>
      <c r="D1838" s="3"/>
    </row>
    <row r="1839" spans="1:4">
      <c r="A1839" s="691"/>
      <c r="D1839" s="3"/>
    </row>
    <row r="1840" spans="1:4">
      <c r="A1840" s="691"/>
      <c r="D1840" s="3"/>
    </row>
    <row r="1841" spans="1:4">
      <c r="A1841" s="691"/>
      <c r="D1841" s="3"/>
    </row>
    <row r="1842" spans="1:4">
      <c r="A1842" s="691"/>
      <c r="D1842" s="3"/>
    </row>
    <row r="1843" spans="1:4">
      <c r="A1843" s="691"/>
      <c r="D1843" s="3"/>
    </row>
    <row r="1844" spans="1:4">
      <c r="A1844" s="691"/>
      <c r="D1844" s="3"/>
    </row>
    <row r="1845" spans="1:4">
      <c r="A1845" s="691"/>
      <c r="D1845" s="3"/>
    </row>
    <row r="1846" spans="1:4">
      <c r="A1846" s="691"/>
      <c r="D1846" s="3"/>
    </row>
    <row r="1847" spans="1:4">
      <c r="A1847" s="691"/>
      <c r="D1847" s="3"/>
    </row>
    <row r="1848" spans="1:4">
      <c r="A1848" s="691"/>
      <c r="D1848" s="3"/>
    </row>
    <row r="1849" spans="1:4">
      <c r="A1849" s="691"/>
      <c r="D1849" s="3"/>
    </row>
    <row r="1850" spans="1:4">
      <c r="A1850" s="691"/>
      <c r="D1850" s="3"/>
    </row>
    <row r="1851" spans="1:4">
      <c r="A1851" s="691"/>
      <c r="D1851" s="3"/>
    </row>
    <row r="1852" spans="1:4">
      <c r="A1852" s="691"/>
      <c r="D1852" s="3"/>
    </row>
    <row r="1853" spans="1:4">
      <c r="A1853" s="691"/>
      <c r="D1853" s="3"/>
    </row>
    <row r="1854" spans="1:4">
      <c r="A1854" s="691"/>
      <c r="D1854" s="3"/>
    </row>
    <row r="1855" spans="1:4">
      <c r="A1855" s="691"/>
      <c r="D1855" s="3"/>
    </row>
    <row r="1856" spans="1:4">
      <c r="A1856" s="691"/>
      <c r="D1856" s="3"/>
    </row>
    <row r="1857" spans="1:4">
      <c r="A1857" s="691"/>
      <c r="D1857" s="3"/>
    </row>
    <row r="1858" spans="1:4">
      <c r="A1858" s="691"/>
      <c r="D1858" s="3"/>
    </row>
    <row r="1859" spans="1:4">
      <c r="A1859" s="691"/>
      <c r="D1859" s="3"/>
    </row>
    <row r="1860" spans="1:4">
      <c r="A1860" s="691"/>
      <c r="D1860" s="3"/>
    </row>
    <row r="1861" spans="1:4">
      <c r="A1861" s="691"/>
      <c r="D1861" s="3"/>
    </row>
    <row r="1862" spans="1:4">
      <c r="A1862" s="691"/>
      <c r="D1862" s="3"/>
    </row>
    <row r="1863" spans="1:4">
      <c r="A1863" s="691"/>
      <c r="D1863" s="3"/>
    </row>
    <row r="1864" spans="1:4">
      <c r="A1864" s="691"/>
      <c r="D1864" s="3"/>
    </row>
    <row r="1865" spans="1:4">
      <c r="A1865" s="691"/>
      <c r="D1865" s="3"/>
    </row>
    <row r="1866" spans="1:4">
      <c r="A1866" s="691"/>
      <c r="D1866" s="3"/>
    </row>
    <row r="1867" spans="1:4">
      <c r="A1867" s="691"/>
      <c r="D1867" s="3"/>
    </row>
    <row r="1868" spans="1:4">
      <c r="A1868" s="691"/>
      <c r="D1868" s="3"/>
    </row>
    <row r="1869" spans="1:4">
      <c r="A1869" s="691"/>
      <c r="D1869" s="3"/>
    </row>
    <row r="1870" spans="1:4">
      <c r="A1870" s="691"/>
      <c r="D1870" s="3"/>
    </row>
    <row r="1871" spans="1:4">
      <c r="A1871" s="691"/>
      <c r="D1871" s="3"/>
    </row>
    <row r="1872" spans="1:4">
      <c r="A1872" s="691"/>
      <c r="D1872" s="3"/>
    </row>
    <row r="1873" spans="1:4">
      <c r="A1873" s="691"/>
      <c r="D1873" s="3"/>
    </row>
    <row r="1874" spans="1:4">
      <c r="A1874" s="691"/>
      <c r="D1874" s="3"/>
    </row>
    <row r="1875" spans="1:4">
      <c r="A1875" s="691"/>
      <c r="D1875" s="3"/>
    </row>
    <row r="1876" spans="1:4">
      <c r="A1876" s="691"/>
      <c r="D1876" s="3"/>
    </row>
    <row r="1877" spans="1:4">
      <c r="A1877" s="691"/>
      <c r="D1877" s="3"/>
    </row>
    <row r="1878" spans="1:4">
      <c r="A1878" s="691"/>
      <c r="D1878" s="3"/>
    </row>
    <row r="1879" spans="1:4">
      <c r="A1879" s="691"/>
      <c r="D1879" s="3"/>
    </row>
    <row r="1880" spans="1:4">
      <c r="A1880" s="691"/>
      <c r="D1880" s="3"/>
    </row>
    <row r="1881" spans="1:4">
      <c r="A1881" s="691"/>
      <c r="D1881" s="3"/>
    </row>
    <row r="1882" spans="1:4">
      <c r="A1882" s="691"/>
      <c r="D1882" s="3"/>
    </row>
    <row r="1883" spans="1:4">
      <c r="A1883" s="691"/>
      <c r="D1883" s="3"/>
    </row>
    <row r="1884" spans="1:4">
      <c r="A1884" s="691"/>
      <c r="D1884" s="3"/>
    </row>
    <row r="1885" spans="1:4">
      <c r="A1885" s="691"/>
      <c r="D1885" s="3"/>
    </row>
    <row r="1886" spans="1:4">
      <c r="A1886" s="691"/>
      <c r="D1886" s="3"/>
    </row>
    <row r="1887" spans="1:4">
      <c r="A1887" s="691"/>
      <c r="D1887" s="3"/>
    </row>
    <row r="1888" spans="1:4">
      <c r="A1888" s="691"/>
      <c r="D1888" s="3"/>
    </row>
    <row r="1889" spans="1:4">
      <c r="A1889" s="691"/>
      <c r="D1889" s="3"/>
    </row>
    <row r="1890" spans="1:4">
      <c r="A1890" s="691"/>
      <c r="D1890" s="3"/>
    </row>
    <row r="1891" spans="1:4">
      <c r="A1891" s="691"/>
      <c r="D1891" s="3"/>
    </row>
    <row r="1892" spans="1:4">
      <c r="A1892" s="691"/>
      <c r="D1892" s="3"/>
    </row>
    <row r="1893" spans="1:4">
      <c r="A1893" s="691"/>
      <c r="D1893" s="3"/>
    </row>
    <row r="1894" spans="1:4">
      <c r="A1894" s="691"/>
      <c r="D1894" s="3"/>
    </row>
    <row r="1895" spans="1:4">
      <c r="A1895" s="691"/>
      <c r="D1895" s="3"/>
    </row>
    <row r="1896" spans="1:4">
      <c r="A1896" s="691"/>
      <c r="D1896" s="3"/>
    </row>
    <row r="1897" spans="1:4">
      <c r="A1897" s="691"/>
      <c r="D1897" s="3"/>
    </row>
    <row r="1898" spans="1:4">
      <c r="A1898" s="691"/>
      <c r="D1898" s="3"/>
    </row>
    <row r="1899" spans="1:4">
      <c r="A1899" s="691"/>
      <c r="D1899" s="3"/>
    </row>
    <row r="1900" spans="1:4">
      <c r="A1900" s="691"/>
      <c r="D1900" s="3"/>
    </row>
    <row r="1901" spans="1:4">
      <c r="A1901" s="691"/>
      <c r="D1901" s="3"/>
    </row>
    <row r="1902" spans="1:4">
      <c r="A1902" s="691"/>
      <c r="D1902" s="3"/>
    </row>
    <row r="1903" spans="1:4">
      <c r="A1903" s="691"/>
      <c r="D1903" s="3"/>
    </row>
    <row r="1904" spans="1:4">
      <c r="A1904" s="691"/>
      <c r="D1904" s="3"/>
    </row>
    <row r="1905" spans="1:4">
      <c r="A1905" s="691"/>
      <c r="D1905" s="3"/>
    </row>
    <row r="1906" spans="1:4">
      <c r="A1906" s="691"/>
      <c r="D1906" s="3"/>
    </row>
    <row r="1907" spans="1:4">
      <c r="A1907" s="691"/>
      <c r="D1907" s="3"/>
    </row>
    <row r="1908" spans="1:4">
      <c r="A1908" s="691"/>
      <c r="D1908" s="3"/>
    </row>
    <row r="1909" spans="1:4">
      <c r="A1909" s="691"/>
      <c r="D1909" s="3"/>
    </row>
    <row r="1910" spans="1:4">
      <c r="A1910" s="691"/>
      <c r="D1910" s="3"/>
    </row>
    <row r="1911" spans="1:4">
      <c r="A1911" s="691"/>
      <c r="D1911" s="3"/>
    </row>
    <row r="1912" spans="1:4">
      <c r="A1912" s="691"/>
      <c r="D1912" s="3"/>
    </row>
    <row r="1913" spans="1:4">
      <c r="A1913" s="691"/>
      <c r="D1913" s="3"/>
    </row>
    <row r="1914" spans="1:4">
      <c r="A1914" s="691"/>
      <c r="D1914" s="3"/>
    </row>
    <row r="1915" spans="1:4">
      <c r="A1915" s="691"/>
      <c r="D1915" s="3"/>
    </row>
    <row r="1916" spans="1:4">
      <c r="A1916" s="691"/>
      <c r="D1916" s="3"/>
    </row>
    <row r="1917" spans="1:4">
      <c r="A1917" s="691"/>
      <c r="D1917" s="3"/>
    </row>
    <row r="1918" spans="1:4">
      <c r="A1918" s="691"/>
      <c r="D1918" s="3"/>
    </row>
    <row r="1919" spans="1:4">
      <c r="A1919" s="691"/>
      <c r="D1919" s="3"/>
    </row>
    <row r="1920" spans="1:4">
      <c r="A1920" s="691"/>
      <c r="D1920" s="3"/>
    </row>
    <row r="1921" spans="1:4">
      <c r="A1921" s="691"/>
      <c r="D1921" s="3"/>
    </row>
    <row r="1922" spans="1:4">
      <c r="A1922" s="691"/>
      <c r="D1922" s="3"/>
    </row>
    <row r="1923" spans="1:4">
      <c r="A1923" s="691"/>
      <c r="D1923" s="3"/>
    </row>
    <row r="1924" spans="1:4">
      <c r="A1924" s="691"/>
      <c r="D1924" s="3"/>
    </row>
    <row r="1925" spans="1:4">
      <c r="A1925" s="691"/>
      <c r="D1925" s="3"/>
    </row>
    <row r="1926" spans="1:4">
      <c r="A1926" s="691"/>
      <c r="D1926" s="3"/>
    </row>
    <row r="1927" spans="1:4">
      <c r="A1927" s="691"/>
      <c r="D1927" s="3"/>
    </row>
    <row r="1928" spans="1:4">
      <c r="A1928" s="691"/>
      <c r="D1928" s="3"/>
    </row>
    <row r="1929" spans="1:4">
      <c r="A1929" s="691"/>
      <c r="D1929" s="3"/>
    </row>
    <row r="1930" spans="1:4">
      <c r="A1930" s="691"/>
      <c r="D1930" s="3"/>
    </row>
    <row r="1931" spans="1:4">
      <c r="A1931" s="691"/>
      <c r="D1931" s="3"/>
    </row>
    <row r="1932" spans="1:4">
      <c r="A1932" s="691"/>
      <c r="D1932" s="3"/>
    </row>
    <row r="1933" spans="1:4">
      <c r="A1933" s="691"/>
      <c r="D1933" s="3"/>
    </row>
    <row r="1934" spans="1:4">
      <c r="A1934" s="691"/>
      <c r="D1934" s="3"/>
    </row>
    <row r="1935" spans="1:4">
      <c r="A1935" s="691"/>
      <c r="D1935" s="3"/>
    </row>
    <row r="1936" spans="1:4">
      <c r="A1936" s="691"/>
      <c r="D1936" s="3"/>
    </row>
    <row r="1937" spans="1:4">
      <c r="A1937" s="691"/>
      <c r="D1937" s="3"/>
    </row>
    <row r="1938" spans="1:4">
      <c r="A1938" s="691"/>
      <c r="D1938" s="3"/>
    </row>
    <row r="1939" spans="1:4">
      <c r="A1939" s="691"/>
      <c r="D1939" s="3"/>
    </row>
    <row r="1940" spans="1:4">
      <c r="A1940" s="691"/>
      <c r="D1940" s="3"/>
    </row>
    <row r="1941" spans="1:4">
      <c r="A1941" s="691"/>
      <c r="D1941" s="3"/>
    </row>
    <row r="1942" spans="1:4">
      <c r="A1942" s="691"/>
      <c r="D1942" s="3"/>
    </row>
    <row r="1943" spans="1:4">
      <c r="A1943" s="691"/>
      <c r="D1943" s="3"/>
    </row>
    <row r="1944" spans="1:4">
      <c r="A1944" s="691"/>
      <c r="D1944" s="3"/>
    </row>
    <row r="1945" spans="1:4">
      <c r="A1945" s="691"/>
      <c r="D1945" s="3"/>
    </row>
    <row r="1946" spans="1:4">
      <c r="A1946" s="691"/>
      <c r="D1946" s="3"/>
    </row>
    <row r="1947" spans="1:4">
      <c r="A1947" s="691"/>
      <c r="D1947" s="3"/>
    </row>
    <row r="1948" spans="1:4">
      <c r="A1948" s="691"/>
      <c r="D1948" s="3"/>
    </row>
    <row r="1949" spans="1:4">
      <c r="A1949" s="691"/>
      <c r="D1949" s="3"/>
    </row>
    <row r="1950" spans="1:4">
      <c r="A1950" s="691"/>
      <c r="D1950" s="3"/>
    </row>
    <row r="1951" spans="1:4">
      <c r="A1951" s="691"/>
      <c r="D1951" s="3"/>
    </row>
    <row r="1952" spans="1:4">
      <c r="A1952" s="691"/>
      <c r="D1952" s="3"/>
    </row>
    <row r="1953" spans="1:4">
      <c r="A1953" s="691"/>
      <c r="D1953" s="3"/>
    </row>
    <row r="1954" spans="1:4">
      <c r="A1954" s="691"/>
      <c r="D1954" s="3"/>
    </row>
    <row r="1955" spans="1:4">
      <c r="A1955" s="691"/>
      <c r="D1955" s="3"/>
    </row>
    <row r="1956" spans="1:4">
      <c r="A1956" s="691"/>
      <c r="D1956" s="3"/>
    </row>
    <row r="1957" spans="1:4">
      <c r="A1957" s="691"/>
      <c r="D1957" s="3"/>
    </row>
    <row r="1958" spans="1:4">
      <c r="A1958" s="691"/>
      <c r="D1958" s="3"/>
    </row>
    <row r="1959" spans="1:4">
      <c r="A1959" s="691"/>
      <c r="D1959" s="3"/>
    </row>
    <row r="1960" spans="1:4">
      <c r="A1960" s="691"/>
      <c r="D1960" s="3"/>
    </row>
    <row r="1961" spans="1:4">
      <c r="A1961" s="691"/>
      <c r="D1961" s="3"/>
    </row>
    <row r="1962" spans="1:4">
      <c r="A1962" s="691"/>
      <c r="D1962" s="3"/>
    </row>
    <row r="1963" spans="1:4">
      <c r="A1963" s="691"/>
      <c r="D1963" s="3"/>
    </row>
    <row r="1964" spans="1:4">
      <c r="A1964" s="691"/>
      <c r="D1964" s="3"/>
    </row>
    <row r="1965" spans="1:4">
      <c r="A1965" s="691"/>
      <c r="D1965" s="3"/>
    </row>
    <row r="1966" spans="1:4">
      <c r="A1966" s="691"/>
      <c r="D1966" s="3"/>
    </row>
    <row r="1967" spans="1:4">
      <c r="A1967" s="691"/>
      <c r="D1967" s="3"/>
    </row>
    <row r="1968" spans="1:4">
      <c r="A1968" s="691"/>
      <c r="D1968" s="3"/>
    </row>
    <row r="1969" spans="1:4">
      <c r="A1969" s="691"/>
      <c r="D1969" s="3"/>
    </row>
    <row r="1970" spans="1:4">
      <c r="A1970" s="691"/>
      <c r="D1970" s="3"/>
    </row>
    <row r="1971" spans="1:4">
      <c r="A1971" s="691"/>
      <c r="D1971" s="3"/>
    </row>
    <row r="1972" spans="1:4">
      <c r="A1972" s="691"/>
      <c r="D1972" s="3"/>
    </row>
    <row r="1973" spans="1:4">
      <c r="A1973" s="691"/>
      <c r="D1973" s="3"/>
    </row>
    <row r="1974" spans="1:4">
      <c r="A1974" s="691"/>
      <c r="D1974" s="3"/>
    </row>
    <row r="1975" spans="1:4">
      <c r="A1975" s="691"/>
      <c r="D1975" s="3"/>
    </row>
    <row r="1976" spans="1:4">
      <c r="A1976" s="691"/>
      <c r="D1976" s="3"/>
    </row>
    <row r="1977" spans="1:4">
      <c r="A1977" s="691"/>
      <c r="D1977" s="3"/>
    </row>
    <row r="1978" spans="1:4">
      <c r="A1978" s="691"/>
      <c r="D1978" s="3"/>
    </row>
    <row r="1979" spans="1:4">
      <c r="A1979" s="691"/>
      <c r="D1979" s="3"/>
    </row>
    <row r="1980" spans="1:4">
      <c r="A1980" s="691"/>
      <c r="D1980" s="3"/>
    </row>
    <row r="1981" spans="1:4">
      <c r="A1981" s="691"/>
      <c r="D1981" s="3"/>
    </row>
    <row r="1982" spans="1:4">
      <c r="A1982" s="691"/>
      <c r="D1982" s="3"/>
    </row>
    <row r="1983" spans="1:4">
      <c r="A1983" s="691"/>
      <c r="D1983" s="3"/>
    </row>
    <row r="1984" spans="1:4">
      <c r="A1984" s="691"/>
      <c r="D1984" s="3"/>
    </row>
    <row r="1985" spans="1:4">
      <c r="A1985" s="691"/>
      <c r="D1985" s="3"/>
    </row>
    <row r="1986" spans="1:4">
      <c r="A1986" s="691"/>
      <c r="D1986" s="3"/>
    </row>
    <row r="1987" spans="1:4">
      <c r="A1987" s="691"/>
      <c r="D1987" s="3"/>
    </row>
    <row r="1988" spans="1:4">
      <c r="A1988" s="691"/>
      <c r="D1988" s="3"/>
    </row>
    <row r="1989" spans="1:4">
      <c r="A1989" s="691"/>
      <c r="D1989" s="3"/>
    </row>
    <row r="1990" spans="1:4">
      <c r="A1990" s="691"/>
      <c r="D1990" s="3"/>
    </row>
    <row r="1991" spans="1:4">
      <c r="A1991" s="691"/>
      <c r="D1991" s="3"/>
    </row>
    <row r="1992" spans="1:4">
      <c r="A1992" s="691"/>
      <c r="D1992" s="3"/>
    </row>
    <row r="1993" spans="1:4">
      <c r="A1993" s="691"/>
      <c r="D1993" s="3"/>
    </row>
    <row r="1994" spans="1:4">
      <c r="A1994" s="691"/>
      <c r="D1994" s="3"/>
    </row>
    <row r="1995" spans="1:4">
      <c r="A1995" s="691"/>
      <c r="D1995" s="3"/>
    </row>
    <row r="1996" spans="1:4">
      <c r="A1996" s="691"/>
      <c r="D1996" s="3"/>
    </row>
    <row r="1997" spans="1:4">
      <c r="A1997" s="691"/>
      <c r="D1997" s="3"/>
    </row>
    <row r="1998" spans="1:4">
      <c r="A1998" s="691"/>
      <c r="D1998" s="3"/>
    </row>
    <row r="1999" spans="1:4">
      <c r="A1999" s="691"/>
      <c r="D1999" s="3"/>
    </row>
    <row r="2000" spans="1:4">
      <c r="A2000" s="691"/>
      <c r="D2000" s="3"/>
    </row>
    <row r="2001" spans="1:4">
      <c r="A2001" s="691"/>
      <c r="D2001" s="3"/>
    </row>
    <row r="2002" spans="1:4">
      <c r="A2002" s="691"/>
      <c r="D2002" s="3"/>
    </row>
    <row r="2003" spans="1:4">
      <c r="A2003" s="691"/>
      <c r="D2003" s="3"/>
    </row>
    <row r="2004" spans="1:4">
      <c r="A2004" s="691"/>
      <c r="D2004" s="3"/>
    </row>
    <row r="2005" spans="1:4">
      <c r="A2005" s="691"/>
      <c r="D2005" s="3"/>
    </row>
    <row r="2006" spans="1:4">
      <c r="A2006" s="691"/>
      <c r="D2006" s="3"/>
    </row>
    <row r="2007" spans="1:4">
      <c r="A2007" s="691"/>
      <c r="D2007" s="3"/>
    </row>
    <row r="2008" spans="1:4">
      <c r="A2008" s="691"/>
      <c r="D2008" s="3"/>
    </row>
    <row r="2009" spans="1:4">
      <c r="A2009" s="691"/>
      <c r="D2009" s="3"/>
    </row>
    <row r="2010" spans="1:4">
      <c r="A2010" s="691"/>
      <c r="D2010" s="3"/>
    </row>
    <row r="2011" spans="1:4">
      <c r="A2011" s="691"/>
      <c r="D2011" s="3"/>
    </row>
    <row r="2012" spans="1:4">
      <c r="A2012" s="691"/>
      <c r="D2012" s="3"/>
    </row>
    <row r="2013" spans="1:4">
      <c r="A2013" s="691"/>
      <c r="D2013" s="3"/>
    </row>
    <row r="2014" spans="1:4">
      <c r="A2014" s="691"/>
      <c r="D2014" s="3"/>
    </row>
    <row r="2015" spans="1:4">
      <c r="A2015" s="691"/>
      <c r="D2015" s="3"/>
    </row>
    <row r="2016" spans="1:4">
      <c r="A2016" s="691"/>
      <c r="D2016" s="3"/>
    </row>
    <row r="2017" spans="1:4">
      <c r="A2017" s="691"/>
      <c r="D2017" s="3"/>
    </row>
    <row r="2018" spans="1:4">
      <c r="A2018" s="691"/>
      <c r="D2018" s="3"/>
    </row>
    <row r="2019" spans="1:4">
      <c r="A2019" s="691"/>
      <c r="D2019" s="3"/>
    </row>
    <row r="2020" spans="1:4">
      <c r="A2020" s="691"/>
      <c r="D2020" s="3"/>
    </row>
    <row r="2021" spans="1:4">
      <c r="A2021" s="691"/>
      <c r="D2021" s="3"/>
    </row>
    <row r="2022" spans="1:4">
      <c r="A2022" s="691"/>
      <c r="D2022" s="3"/>
    </row>
    <row r="2023" spans="1:4">
      <c r="A2023" s="691"/>
      <c r="D2023" s="3"/>
    </row>
    <row r="2024" spans="1:4">
      <c r="A2024" s="691"/>
      <c r="D2024" s="3"/>
    </row>
    <row r="2025" spans="1:4">
      <c r="A2025" s="691"/>
      <c r="D2025" s="3"/>
    </row>
    <row r="2026" spans="1:4">
      <c r="A2026" s="691"/>
      <c r="D2026" s="3"/>
    </row>
    <row r="2027" spans="1:4">
      <c r="A2027" s="691"/>
      <c r="D2027" s="3"/>
    </row>
    <row r="2028" spans="1:4">
      <c r="A2028" s="691"/>
      <c r="D2028" s="3"/>
    </row>
    <row r="2029" spans="1:4">
      <c r="A2029" s="691"/>
      <c r="D2029" s="3"/>
    </row>
    <row r="2030" spans="1:4">
      <c r="A2030" s="691"/>
      <c r="D2030" s="3"/>
    </row>
    <row r="2031" spans="1:4">
      <c r="A2031" s="691"/>
      <c r="D2031" s="3"/>
    </row>
    <row r="2032" spans="1:4">
      <c r="A2032" s="691"/>
      <c r="D2032" s="3"/>
    </row>
    <row r="2033" spans="1:4">
      <c r="A2033" s="691"/>
      <c r="D2033" s="3"/>
    </row>
    <row r="2034" spans="1:4">
      <c r="A2034" s="691"/>
      <c r="D2034" s="3"/>
    </row>
    <row r="2035" spans="1:4">
      <c r="A2035" s="691"/>
      <c r="D2035" s="3"/>
    </row>
    <row r="2036" spans="1:4">
      <c r="A2036" s="691"/>
      <c r="D2036" s="3"/>
    </row>
    <row r="2037" spans="1:4">
      <c r="A2037" s="691"/>
      <c r="D2037" s="3"/>
    </row>
    <row r="2038" spans="1:4">
      <c r="A2038" s="691"/>
      <c r="D2038" s="3"/>
    </row>
    <row r="2039" spans="1:4">
      <c r="A2039" s="691"/>
      <c r="D2039" s="3"/>
    </row>
    <row r="2040" spans="1:4">
      <c r="A2040" s="691"/>
      <c r="D2040" s="3"/>
    </row>
    <row r="2041" spans="1:4">
      <c r="A2041" s="691"/>
      <c r="D2041" s="3"/>
    </row>
    <row r="2042" spans="1:4">
      <c r="A2042" s="691"/>
      <c r="D2042" s="3"/>
    </row>
    <row r="2043" spans="1:4">
      <c r="A2043" s="691"/>
      <c r="D2043" s="3"/>
    </row>
    <row r="2044" spans="1:4">
      <c r="A2044" s="691"/>
      <c r="D2044" s="3"/>
    </row>
    <row r="2045" spans="1:4">
      <c r="A2045" s="691"/>
      <c r="D2045" s="3"/>
    </row>
    <row r="2046" spans="1:4">
      <c r="A2046" s="691"/>
      <c r="D2046" s="3"/>
    </row>
    <row r="2047" spans="1:4">
      <c r="A2047" s="691"/>
      <c r="D2047" s="3"/>
    </row>
    <row r="2048" spans="1:4">
      <c r="A2048" s="691"/>
      <c r="D2048" s="3"/>
    </row>
    <row r="2049" spans="1:4">
      <c r="A2049" s="691"/>
      <c r="D2049" s="3"/>
    </row>
    <row r="2050" spans="1:4">
      <c r="A2050" s="691"/>
      <c r="D2050" s="3"/>
    </row>
    <row r="2051" spans="1:4">
      <c r="A2051" s="691"/>
      <c r="D2051" s="3"/>
    </row>
    <row r="2052" spans="1:4">
      <c r="A2052" s="691"/>
      <c r="D2052" s="3"/>
    </row>
    <row r="2053" spans="1:4">
      <c r="A2053" s="691"/>
      <c r="D2053" s="3"/>
    </row>
    <row r="2054" spans="1:4">
      <c r="A2054" s="691"/>
      <c r="D2054" s="3"/>
    </row>
    <row r="2055" spans="1:4">
      <c r="A2055" s="691"/>
      <c r="D2055" s="3"/>
    </row>
    <row r="2056" spans="1:4">
      <c r="A2056" s="691"/>
      <c r="D2056" s="3"/>
    </row>
    <row r="2057" spans="1:4">
      <c r="A2057" s="691"/>
      <c r="D2057" s="3"/>
    </row>
    <row r="2058" spans="1:4">
      <c r="A2058" s="691"/>
      <c r="D2058" s="3"/>
    </row>
    <row r="2059" spans="1:4">
      <c r="A2059" s="691"/>
      <c r="D2059" s="3"/>
    </row>
    <row r="2060" spans="1:4">
      <c r="A2060" s="691"/>
      <c r="D2060" s="3"/>
    </row>
    <row r="2061" spans="1:4">
      <c r="A2061" s="691"/>
      <c r="D2061" s="3"/>
    </row>
    <row r="2062" spans="1:4">
      <c r="A2062" s="691"/>
      <c r="D2062" s="3"/>
    </row>
    <row r="2063" spans="1:4">
      <c r="A2063" s="691"/>
      <c r="D2063" s="3"/>
    </row>
    <row r="2064" spans="1:4">
      <c r="A2064" s="691"/>
      <c r="D2064" s="3"/>
    </row>
    <row r="2065" spans="1:4">
      <c r="A2065" s="691"/>
      <c r="D2065" s="3"/>
    </row>
    <row r="2066" spans="1:4">
      <c r="A2066" s="691"/>
      <c r="D2066" s="3"/>
    </row>
    <row r="2067" spans="1:4">
      <c r="A2067" s="691"/>
      <c r="D2067" s="3"/>
    </row>
    <row r="2068" spans="1:4">
      <c r="A2068" s="691"/>
      <c r="D2068" s="3"/>
    </row>
    <row r="2069" spans="1:4">
      <c r="A2069" s="691"/>
      <c r="D2069" s="3"/>
    </row>
    <row r="2070" spans="1:4">
      <c r="A2070" s="691"/>
      <c r="D2070" s="3"/>
    </row>
    <row r="2071" spans="1:4">
      <c r="A2071" s="691"/>
      <c r="D2071" s="3"/>
    </row>
    <row r="2072" spans="1:4">
      <c r="A2072" s="691"/>
      <c r="D2072" s="3"/>
    </row>
    <row r="2073" spans="1:4">
      <c r="A2073" s="691"/>
      <c r="D2073" s="3"/>
    </row>
    <row r="2074" spans="1:4">
      <c r="A2074" s="691"/>
      <c r="D2074" s="3"/>
    </row>
    <row r="2075" spans="1:4">
      <c r="A2075" s="691"/>
      <c r="D2075" s="3"/>
    </row>
    <row r="2076" spans="1:4">
      <c r="A2076" s="691"/>
      <c r="D2076" s="3"/>
    </row>
    <row r="2077" spans="1:4">
      <c r="A2077" s="691"/>
      <c r="D2077" s="3"/>
    </row>
    <row r="2078" spans="1:4">
      <c r="A2078" s="691"/>
      <c r="D2078" s="3"/>
    </row>
    <row r="2079" spans="1:4">
      <c r="A2079" s="691"/>
      <c r="D2079" s="3"/>
    </row>
    <row r="2080" spans="1:4">
      <c r="A2080" s="691"/>
      <c r="D2080" s="3"/>
    </row>
    <row r="2081" spans="1:4">
      <c r="A2081" s="691"/>
      <c r="D2081" s="3"/>
    </row>
    <row r="2082" spans="1:4">
      <c r="A2082" s="691"/>
      <c r="D2082" s="3"/>
    </row>
    <row r="2083" spans="1:4">
      <c r="A2083" s="691"/>
      <c r="D2083" s="3"/>
    </row>
    <row r="2084" spans="1:4">
      <c r="A2084" s="691"/>
      <c r="D2084" s="3"/>
    </row>
    <row r="2085" spans="1:4">
      <c r="A2085" s="691"/>
      <c r="D2085" s="3"/>
    </row>
    <row r="2086" spans="1:4">
      <c r="A2086" s="691"/>
      <c r="D2086" s="3"/>
    </row>
    <row r="2087" spans="1:4">
      <c r="A2087" s="691"/>
      <c r="D2087" s="3"/>
    </row>
    <row r="2088" spans="1:4">
      <c r="A2088" s="691"/>
      <c r="D2088" s="3"/>
    </row>
    <row r="2089" spans="1:4">
      <c r="A2089" s="691"/>
      <c r="D2089" s="3"/>
    </row>
    <row r="2090" spans="1:4">
      <c r="A2090" s="691"/>
      <c r="D2090" s="3"/>
    </row>
    <row r="2091" spans="1:4">
      <c r="A2091" s="691"/>
      <c r="D2091" s="3"/>
    </row>
    <row r="2092" spans="1:4">
      <c r="A2092" s="691"/>
      <c r="D2092" s="3"/>
    </row>
    <row r="2093" spans="1:4">
      <c r="A2093" s="691"/>
      <c r="D2093" s="3"/>
    </row>
    <row r="2094" spans="1:4">
      <c r="A2094" s="691"/>
      <c r="D2094" s="3"/>
    </row>
    <row r="2095" spans="1:4">
      <c r="A2095" s="691"/>
      <c r="D2095" s="3"/>
    </row>
    <row r="2096" spans="1:4">
      <c r="A2096" s="691"/>
      <c r="D2096" s="3"/>
    </row>
    <row r="2097" spans="1:4">
      <c r="A2097" s="691"/>
      <c r="D2097" s="3"/>
    </row>
    <row r="2098" spans="1:4">
      <c r="A2098" s="691"/>
      <c r="D2098" s="3"/>
    </row>
    <row r="2099" spans="1:4">
      <c r="A2099" s="691"/>
      <c r="D2099" s="3"/>
    </row>
    <row r="2100" spans="1:4">
      <c r="A2100" s="691"/>
      <c r="D2100" s="3"/>
    </row>
    <row r="2101" spans="1:4">
      <c r="A2101" s="691"/>
      <c r="D2101" s="3"/>
    </row>
    <row r="2102" spans="1:4">
      <c r="A2102" s="691"/>
      <c r="D2102" s="3"/>
    </row>
    <row r="2103" spans="1:4">
      <c r="A2103" s="691"/>
      <c r="D2103" s="3"/>
    </row>
    <row r="2104" spans="1:4">
      <c r="A2104" s="691"/>
      <c r="D2104" s="3"/>
    </row>
    <row r="2105" spans="1:4">
      <c r="A2105" s="691"/>
      <c r="D2105" s="3"/>
    </row>
    <row r="2106" spans="1:4">
      <c r="A2106" s="691"/>
      <c r="D2106" s="3"/>
    </row>
    <row r="2107" spans="1:4">
      <c r="A2107" s="691"/>
      <c r="D2107" s="3"/>
    </row>
    <row r="2108" spans="1:4">
      <c r="A2108" s="691"/>
      <c r="D2108" s="3"/>
    </row>
    <row r="2109" spans="1:4">
      <c r="A2109" s="691"/>
      <c r="D2109" s="3"/>
    </row>
    <row r="2110" spans="1:4">
      <c r="A2110" s="691"/>
      <c r="D2110" s="3"/>
    </row>
    <row r="2111" spans="1:4">
      <c r="A2111" s="691"/>
      <c r="D2111" s="3"/>
    </row>
    <row r="2112" spans="1:4">
      <c r="A2112" s="691"/>
      <c r="D2112" s="3"/>
    </row>
    <row r="2113" spans="1:4">
      <c r="A2113" s="691"/>
      <c r="D2113" s="3"/>
    </row>
    <row r="2114" spans="1:4">
      <c r="A2114" s="691"/>
      <c r="D2114" s="3"/>
    </row>
    <row r="2115" spans="1:4">
      <c r="A2115" s="691"/>
      <c r="D2115" s="3"/>
    </row>
    <row r="2116" spans="1:4">
      <c r="A2116" s="691"/>
      <c r="D2116" s="3"/>
    </row>
    <row r="2117" spans="1:4">
      <c r="A2117" s="691"/>
      <c r="D2117" s="3"/>
    </row>
    <row r="2118" spans="1:4">
      <c r="A2118" s="691"/>
      <c r="D2118" s="3"/>
    </row>
    <row r="2119" spans="1:4">
      <c r="A2119" s="691"/>
      <c r="D2119" s="3"/>
    </row>
    <row r="2120" spans="1:4">
      <c r="A2120" s="691"/>
      <c r="D2120" s="3"/>
    </row>
    <row r="2121" spans="1:4">
      <c r="A2121" s="691"/>
      <c r="D2121" s="3"/>
    </row>
    <row r="2122" spans="1:4">
      <c r="A2122" s="691"/>
      <c r="D2122" s="3"/>
    </row>
    <row r="2123" spans="1:4">
      <c r="A2123" s="691"/>
      <c r="D2123" s="3"/>
    </row>
    <row r="2124" spans="1:4">
      <c r="A2124" s="691"/>
      <c r="D2124" s="3"/>
    </row>
    <row r="2125" spans="1:4">
      <c r="A2125" s="691"/>
      <c r="D2125" s="3"/>
    </row>
    <row r="2126" spans="1:4">
      <c r="A2126" s="691"/>
      <c r="D2126" s="3"/>
    </row>
    <row r="2127" spans="1:4">
      <c r="A2127" s="691"/>
      <c r="D2127" s="3"/>
    </row>
    <row r="2128" spans="1:4">
      <c r="A2128" s="691"/>
      <c r="D2128" s="3"/>
    </row>
    <row r="2129" spans="1:4">
      <c r="A2129" s="691"/>
      <c r="D2129" s="3"/>
    </row>
    <row r="2130" spans="1:4">
      <c r="A2130" s="691"/>
      <c r="D2130" s="3"/>
    </row>
    <row r="2131" spans="1:4">
      <c r="A2131" s="691"/>
      <c r="D2131" s="3"/>
    </row>
    <row r="2132" spans="1:4">
      <c r="A2132" s="691"/>
      <c r="D2132" s="3"/>
    </row>
    <row r="2133" spans="1:4">
      <c r="A2133" s="691"/>
      <c r="D2133" s="3"/>
    </row>
    <row r="2134" spans="1:4">
      <c r="A2134" s="691"/>
      <c r="D2134" s="3"/>
    </row>
    <row r="2135" spans="1:4">
      <c r="A2135" s="691"/>
      <c r="D2135" s="3"/>
    </row>
    <row r="2136" spans="1:4">
      <c r="A2136" s="691"/>
      <c r="D2136" s="3"/>
    </row>
    <row r="2137" spans="1:4">
      <c r="A2137" s="691"/>
      <c r="D2137" s="3"/>
    </row>
    <row r="2138" spans="1:4">
      <c r="A2138" s="691"/>
      <c r="D2138" s="3"/>
    </row>
    <row r="2139" spans="1:4">
      <c r="A2139" s="691"/>
      <c r="D2139" s="3"/>
    </row>
    <row r="2140" spans="1:4">
      <c r="A2140" s="691"/>
      <c r="D2140" s="3"/>
    </row>
    <row r="2141" spans="1:4">
      <c r="A2141" s="691"/>
      <c r="D2141" s="3"/>
    </row>
    <row r="2142" spans="1:4">
      <c r="A2142" s="691"/>
      <c r="D2142" s="3"/>
    </row>
    <row r="2143" spans="1:4">
      <c r="A2143" s="691"/>
      <c r="D2143" s="3"/>
    </row>
    <row r="2144" spans="1:4">
      <c r="A2144" s="691"/>
      <c r="D2144" s="3"/>
    </row>
    <row r="2145" spans="1:4">
      <c r="A2145" s="691"/>
      <c r="D2145" s="3"/>
    </row>
    <row r="2146" spans="1:4">
      <c r="A2146" s="691"/>
      <c r="D2146" s="3"/>
    </row>
    <row r="2147" spans="1:4">
      <c r="A2147" s="691"/>
      <c r="D2147" s="3"/>
    </row>
    <row r="2148" spans="1:4">
      <c r="A2148" s="691"/>
      <c r="D2148" s="3"/>
    </row>
    <row r="2149" spans="1:4">
      <c r="A2149" s="691"/>
      <c r="D2149" s="3"/>
    </row>
    <row r="2150" spans="1:4">
      <c r="A2150" s="691"/>
      <c r="D2150" s="3"/>
    </row>
    <row r="2151" spans="1:4">
      <c r="A2151" s="691"/>
      <c r="D2151" s="3"/>
    </row>
    <row r="2152" spans="1:4">
      <c r="A2152" s="691"/>
      <c r="D2152" s="3"/>
    </row>
    <row r="2153" spans="1:4">
      <c r="A2153" s="691"/>
      <c r="D2153" s="3"/>
    </row>
    <row r="2154" spans="1:4">
      <c r="A2154" s="691"/>
      <c r="D2154" s="3"/>
    </row>
    <row r="2155" spans="1:4">
      <c r="A2155" s="691"/>
      <c r="D2155" s="3"/>
    </row>
    <row r="2156" spans="1:4">
      <c r="A2156" s="691"/>
      <c r="D2156" s="3"/>
    </row>
    <row r="2157" spans="1:4">
      <c r="A2157" s="691"/>
      <c r="D2157" s="3"/>
    </row>
    <row r="2158" spans="1:4">
      <c r="A2158" s="691"/>
      <c r="D2158" s="3"/>
    </row>
    <row r="2159" spans="1:4">
      <c r="A2159" s="691"/>
      <c r="D2159" s="3"/>
    </row>
    <row r="2160" spans="1:4">
      <c r="A2160" s="691"/>
      <c r="D2160" s="3"/>
    </row>
    <row r="2161" spans="1:4">
      <c r="A2161" s="691"/>
      <c r="D2161" s="3"/>
    </row>
    <row r="2162" spans="1:4">
      <c r="A2162" s="691"/>
      <c r="D2162" s="3"/>
    </row>
    <row r="2163" spans="1:4">
      <c r="A2163" s="691"/>
      <c r="D2163" s="3"/>
    </row>
    <row r="2164" spans="1:4">
      <c r="A2164" s="691"/>
      <c r="D2164" s="3"/>
    </row>
    <row r="2165" spans="1:4">
      <c r="A2165" s="691"/>
      <c r="D2165" s="3"/>
    </row>
    <row r="2166" spans="1:4">
      <c r="A2166" s="691"/>
      <c r="D2166" s="3"/>
    </row>
    <row r="2167" spans="1:4">
      <c r="A2167" s="691"/>
      <c r="D2167" s="3"/>
    </row>
    <row r="2168" spans="1:4">
      <c r="A2168" s="691"/>
      <c r="D2168" s="3"/>
    </row>
    <row r="2169" spans="1:4">
      <c r="A2169" s="691"/>
      <c r="D2169" s="3"/>
    </row>
    <row r="2170" spans="1:4">
      <c r="A2170" s="691"/>
      <c r="D2170" s="3"/>
    </row>
    <row r="2171" spans="1:4">
      <c r="A2171" s="691"/>
      <c r="D2171" s="3"/>
    </row>
    <row r="2172" spans="1:4">
      <c r="A2172" s="691"/>
      <c r="D2172" s="3"/>
    </row>
    <row r="2173" spans="1:4">
      <c r="A2173" s="691"/>
      <c r="D2173" s="3"/>
    </row>
    <row r="2174" spans="1:4">
      <c r="A2174" s="691"/>
      <c r="D2174" s="3"/>
    </row>
    <row r="2175" spans="1:4">
      <c r="A2175" s="691"/>
      <c r="D2175" s="3"/>
    </row>
    <row r="2176" spans="1:4">
      <c r="A2176" s="691"/>
      <c r="D2176" s="3"/>
    </row>
    <row r="2177" spans="1:4">
      <c r="A2177" s="691"/>
      <c r="D2177" s="3"/>
    </row>
    <row r="2178" spans="1:4">
      <c r="A2178" s="691"/>
      <c r="D2178" s="3"/>
    </row>
    <row r="2179" spans="1:4">
      <c r="A2179" s="691"/>
      <c r="D2179" s="3"/>
    </row>
    <row r="2180" spans="1:4">
      <c r="A2180" s="691"/>
      <c r="D2180" s="3"/>
    </row>
    <row r="2181" spans="1:4">
      <c r="A2181" s="691"/>
      <c r="D2181" s="3"/>
    </row>
    <row r="2182" spans="1:4">
      <c r="A2182" s="691"/>
      <c r="D2182" s="3"/>
    </row>
    <row r="2183" spans="1:4">
      <c r="A2183" s="691"/>
      <c r="D2183" s="3"/>
    </row>
    <row r="2184" spans="1:4">
      <c r="A2184" s="691"/>
      <c r="D2184" s="3"/>
    </row>
    <row r="2185" spans="1:4">
      <c r="A2185" s="691"/>
      <c r="D2185" s="3"/>
    </row>
    <row r="2186" spans="1:4">
      <c r="A2186" s="691"/>
      <c r="D2186" s="3"/>
    </row>
    <row r="2187" spans="1:4">
      <c r="A2187" s="691"/>
      <c r="D2187" s="3"/>
    </row>
    <row r="2188" spans="1:4">
      <c r="A2188" s="691"/>
      <c r="D2188" s="3"/>
    </row>
    <row r="2189" spans="1:4">
      <c r="A2189" s="691"/>
      <c r="D2189" s="3"/>
    </row>
    <row r="2190" spans="1:4">
      <c r="A2190" s="691"/>
      <c r="D2190" s="3"/>
    </row>
    <row r="2191" spans="1:4">
      <c r="A2191" s="691"/>
      <c r="D2191" s="3"/>
    </row>
    <row r="2192" spans="1:4">
      <c r="A2192" s="691"/>
      <c r="D2192" s="3"/>
    </row>
    <row r="2193" spans="1:4">
      <c r="A2193" s="691"/>
      <c r="D2193" s="3"/>
    </row>
    <row r="2194" spans="1:4">
      <c r="A2194" s="691"/>
      <c r="D2194" s="3"/>
    </row>
    <row r="2195" spans="1:4">
      <c r="A2195" s="691"/>
      <c r="D2195" s="3"/>
    </row>
    <row r="2196" spans="1:4">
      <c r="A2196" s="691"/>
      <c r="D2196" s="3"/>
    </row>
    <row r="2197" spans="1:4">
      <c r="A2197" s="691"/>
      <c r="D2197" s="3"/>
    </row>
    <row r="2198" spans="1:4">
      <c r="A2198" s="691"/>
      <c r="D2198" s="3"/>
    </row>
    <row r="2199" spans="1:4">
      <c r="A2199" s="691"/>
      <c r="D2199" s="3"/>
    </row>
    <row r="2200" spans="1:4">
      <c r="A2200" s="691"/>
      <c r="D2200" s="3"/>
    </row>
    <row r="2201" spans="1:4">
      <c r="A2201" s="691"/>
      <c r="D2201" s="3"/>
    </row>
    <row r="2202" spans="1:4">
      <c r="A2202" s="691"/>
      <c r="D2202" s="3"/>
    </row>
    <row r="2203" spans="1:4">
      <c r="A2203" s="691"/>
      <c r="D2203" s="3"/>
    </row>
    <row r="2204" spans="1:4">
      <c r="A2204" s="691"/>
      <c r="D2204" s="3"/>
    </row>
    <row r="2205" spans="1:4">
      <c r="A2205" s="691"/>
      <c r="D2205" s="3"/>
    </row>
    <row r="2206" spans="1:4">
      <c r="A2206" s="691"/>
      <c r="D2206" s="3"/>
    </row>
    <row r="2207" spans="1:4">
      <c r="A2207" s="691"/>
      <c r="D2207" s="3"/>
    </row>
    <row r="2208" spans="1:4">
      <c r="A2208" s="691"/>
      <c r="D2208" s="3"/>
    </row>
    <row r="2209" spans="1:4">
      <c r="A2209" s="691"/>
      <c r="D2209" s="3"/>
    </row>
    <row r="2210" spans="1:4">
      <c r="A2210" s="691"/>
      <c r="D2210" s="3"/>
    </row>
    <row r="2211" spans="1:4">
      <c r="A2211" s="691"/>
      <c r="D2211" s="3"/>
    </row>
    <row r="2212" spans="1:4">
      <c r="A2212" s="691"/>
      <c r="D2212" s="3"/>
    </row>
    <row r="2213" spans="1:4">
      <c r="A2213" s="691"/>
      <c r="D2213" s="3"/>
    </row>
    <row r="2214" spans="1:4">
      <c r="A2214" s="691"/>
      <c r="D2214" s="3"/>
    </row>
    <row r="2215" spans="1:4">
      <c r="A2215" s="691"/>
      <c r="D2215" s="3"/>
    </row>
    <row r="2216" spans="1:4">
      <c r="A2216" s="691"/>
      <c r="D2216" s="3"/>
    </row>
    <row r="2217" spans="1:4">
      <c r="A2217" s="691"/>
      <c r="D2217" s="3"/>
    </row>
    <row r="2218" spans="1:4">
      <c r="A2218" s="691"/>
      <c r="D2218" s="3"/>
    </row>
    <row r="2219" spans="1:4">
      <c r="A2219" s="691"/>
      <c r="D2219" s="3"/>
    </row>
    <row r="2220" spans="1:4">
      <c r="A2220" s="691"/>
      <c r="D2220" s="3"/>
    </row>
    <row r="2221" spans="1:4">
      <c r="A2221" s="691"/>
      <c r="D2221" s="3"/>
    </row>
    <row r="2222" spans="1:4">
      <c r="A2222" s="691"/>
      <c r="D2222" s="3"/>
    </row>
    <row r="2223" spans="1:4">
      <c r="A2223" s="691"/>
      <c r="D2223" s="3"/>
    </row>
    <row r="2224" spans="1:4">
      <c r="A2224" s="691"/>
      <c r="D2224" s="3"/>
    </row>
    <row r="2225" spans="1:4">
      <c r="A2225" s="691"/>
      <c r="D2225" s="3"/>
    </row>
    <row r="2226" spans="1:4">
      <c r="A2226" s="691"/>
      <c r="D2226" s="3"/>
    </row>
    <row r="2227" spans="1:4">
      <c r="A2227" s="691"/>
      <c r="D2227" s="3"/>
    </row>
    <row r="2228" spans="1:4">
      <c r="A2228" s="691"/>
      <c r="D2228" s="3"/>
    </row>
    <row r="2229" spans="1:4">
      <c r="A2229" s="691"/>
      <c r="D2229" s="3"/>
    </row>
    <row r="2230" spans="1:4">
      <c r="A2230" s="691"/>
      <c r="D2230" s="3"/>
    </row>
    <row r="2231" spans="1:4">
      <c r="A2231" s="691"/>
      <c r="D2231" s="3"/>
    </row>
    <row r="2232" spans="1:4">
      <c r="A2232" s="691"/>
      <c r="D2232" s="3"/>
    </row>
    <row r="2233" spans="1:4">
      <c r="A2233" s="691"/>
      <c r="D2233" s="3"/>
    </row>
    <row r="2234" spans="1:4">
      <c r="A2234" s="691"/>
      <c r="D2234" s="3"/>
    </row>
    <row r="2235" spans="1:4">
      <c r="A2235" s="691"/>
      <c r="D2235" s="3"/>
    </row>
    <row r="2236" spans="1:4">
      <c r="A2236" s="691"/>
      <c r="D2236" s="3"/>
    </row>
    <row r="2237" spans="1:4">
      <c r="A2237" s="691"/>
      <c r="D2237" s="3"/>
    </row>
    <row r="2238" spans="1:4">
      <c r="A2238" s="691"/>
      <c r="D2238" s="3"/>
    </row>
    <row r="2239" spans="1:4">
      <c r="A2239" s="691"/>
      <c r="D2239" s="3"/>
    </row>
    <row r="2240" spans="1:4">
      <c r="A2240" s="691"/>
      <c r="D2240" s="3"/>
    </row>
    <row r="2241" spans="1:4">
      <c r="A2241" s="691"/>
      <c r="D2241" s="3"/>
    </row>
    <row r="2242" spans="1:4">
      <c r="A2242" s="691"/>
      <c r="D2242" s="3"/>
    </row>
    <row r="2243" spans="1:4">
      <c r="A2243" s="691"/>
      <c r="D2243" s="3"/>
    </row>
    <row r="2244" spans="1:4">
      <c r="A2244" s="691"/>
      <c r="D2244" s="3"/>
    </row>
    <row r="2245" spans="1:4">
      <c r="A2245" s="691"/>
      <c r="D2245" s="3"/>
    </row>
    <row r="2246" spans="1:4">
      <c r="A2246" s="691"/>
      <c r="D2246" s="3"/>
    </row>
    <row r="2247" spans="1:4">
      <c r="A2247" s="691"/>
      <c r="D2247" s="3"/>
    </row>
    <row r="2248" spans="1:4">
      <c r="A2248" s="691"/>
      <c r="D2248" s="3"/>
    </row>
    <row r="2249" spans="1:4">
      <c r="A2249" s="691"/>
      <c r="D2249" s="3"/>
    </row>
    <row r="2250" spans="1:4">
      <c r="A2250" s="691"/>
      <c r="D2250" s="3"/>
    </row>
    <row r="2251" spans="1:4">
      <c r="A2251" s="691"/>
      <c r="D2251" s="3"/>
    </row>
    <row r="2252" spans="1:4">
      <c r="A2252" s="691"/>
      <c r="D2252" s="3"/>
    </row>
    <row r="2253" spans="1:4">
      <c r="A2253" s="691"/>
      <c r="D2253" s="3"/>
    </row>
    <row r="2254" spans="1:4">
      <c r="A2254" s="691"/>
      <c r="D2254" s="3"/>
    </row>
    <row r="2255" spans="1:4">
      <c r="A2255" s="691"/>
      <c r="D2255" s="3"/>
    </row>
    <row r="2256" spans="1:4">
      <c r="A2256" s="691"/>
      <c r="D2256" s="3"/>
    </row>
    <row r="2257" spans="1:4">
      <c r="A2257" s="691"/>
      <c r="D2257" s="3"/>
    </row>
    <row r="2258" spans="1:4">
      <c r="A2258" s="691"/>
      <c r="D2258" s="3"/>
    </row>
    <row r="2259" spans="1:4">
      <c r="A2259" s="691"/>
      <c r="D2259" s="3"/>
    </row>
    <row r="2260" spans="1:4">
      <c r="A2260" s="691"/>
      <c r="D2260" s="3"/>
    </row>
    <row r="2261" spans="1:4">
      <c r="A2261" s="691"/>
      <c r="D2261" s="3"/>
    </row>
    <row r="2262" spans="1:4">
      <c r="A2262" s="691"/>
      <c r="D2262" s="3"/>
    </row>
    <row r="2263" spans="1:4">
      <c r="A2263" s="691"/>
      <c r="D2263" s="3"/>
    </row>
    <row r="2264" spans="1:4">
      <c r="A2264" s="691"/>
      <c r="D2264" s="3"/>
    </row>
    <row r="2265" spans="1:4">
      <c r="A2265" s="691"/>
      <c r="D2265" s="3"/>
    </row>
    <row r="2266" spans="1:4">
      <c r="A2266" s="691"/>
      <c r="D2266" s="3"/>
    </row>
    <row r="2267" spans="1:4">
      <c r="A2267" s="691"/>
      <c r="D2267" s="3"/>
    </row>
    <row r="2268" spans="1:4">
      <c r="A2268" s="691"/>
      <c r="D2268" s="3"/>
    </row>
    <row r="2269" spans="1:4">
      <c r="A2269" s="691"/>
      <c r="D2269" s="3"/>
    </row>
    <row r="2270" spans="1:4">
      <c r="A2270" s="691"/>
      <c r="D2270" s="3"/>
    </row>
    <row r="2271" spans="1:4">
      <c r="A2271" s="691"/>
      <c r="D2271" s="3"/>
    </row>
    <row r="2272" spans="1:4">
      <c r="A2272" s="691"/>
      <c r="D2272" s="3"/>
    </row>
    <row r="2273" spans="1:4">
      <c r="A2273" s="691"/>
      <c r="D2273" s="3"/>
    </row>
    <row r="2274" spans="1:4">
      <c r="A2274" s="691"/>
      <c r="D2274" s="3"/>
    </row>
    <row r="2275" spans="1:4">
      <c r="A2275" s="691"/>
      <c r="D2275" s="3"/>
    </row>
    <row r="2276" spans="1:4">
      <c r="A2276" s="691"/>
      <c r="D2276" s="3"/>
    </row>
    <row r="2277" spans="1:4">
      <c r="A2277" s="691"/>
      <c r="D2277" s="3"/>
    </row>
    <row r="2278" spans="1:4">
      <c r="A2278" s="691"/>
      <c r="D2278" s="3"/>
    </row>
    <row r="2279" spans="1:4">
      <c r="A2279" s="691"/>
      <c r="D2279" s="3"/>
    </row>
    <row r="2280" spans="1:4">
      <c r="A2280" s="691"/>
      <c r="D2280" s="3"/>
    </row>
    <row r="2281" spans="1:4">
      <c r="A2281" s="691"/>
      <c r="D2281" s="3"/>
    </row>
    <row r="2282" spans="1:4">
      <c r="A2282" s="691"/>
      <c r="D2282" s="3"/>
    </row>
    <row r="2283" spans="1:4">
      <c r="A2283" s="691"/>
      <c r="D2283" s="3"/>
    </row>
    <row r="2284" spans="1:4">
      <c r="A2284" s="691"/>
      <c r="D2284" s="3"/>
    </row>
    <row r="2285" spans="1:4">
      <c r="A2285" s="691"/>
      <c r="D2285" s="3"/>
    </row>
    <row r="2286" spans="1:4">
      <c r="A2286" s="691"/>
      <c r="D2286" s="3"/>
    </row>
    <row r="2287" spans="1:4">
      <c r="A2287" s="691"/>
      <c r="D2287" s="3"/>
    </row>
    <row r="2288" spans="1:4">
      <c r="A2288" s="691"/>
      <c r="D2288" s="3"/>
    </row>
    <row r="2289" spans="1:4">
      <c r="A2289" s="691"/>
      <c r="D2289" s="3"/>
    </row>
    <row r="2290" spans="1:4">
      <c r="A2290" s="691"/>
      <c r="D2290" s="3"/>
    </row>
    <row r="2291" spans="1:4">
      <c r="A2291" s="691"/>
      <c r="D2291" s="3"/>
    </row>
    <row r="2292" spans="1:4">
      <c r="A2292" s="691"/>
      <c r="D2292" s="3"/>
    </row>
    <row r="2293" spans="1:4">
      <c r="A2293" s="691"/>
      <c r="D2293" s="3"/>
    </row>
    <row r="2294" spans="1:4">
      <c r="A2294" s="691"/>
      <c r="D2294" s="3"/>
    </row>
    <row r="2295" spans="1:4">
      <c r="A2295" s="691"/>
      <c r="D2295" s="3"/>
    </row>
    <row r="2296" spans="1:4">
      <c r="A2296" s="691"/>
      <c r="D2296" s="3"/>
    </row>
    <row r="2297" spans="1:4">
      <c r="A2297" s="691"/>
      <c r="D2297" s="3"/>
    </row>
    <row r="2298" spans="1:4">
      <c r="A2298" s="691"/>
      <c r="D2298" s="3"/>
    </row>
    <row r="2299" spans="1:4">
      <c r="A2299" s="691"/>
      <c r="D2299" s="3"/>
    </row>
    <row r="2300" spans="1:4">
      <c r="A2300" s="691"/>
      <c r="D2300" s="3"/>
    </row>
    <row r="2301" spans="1:4">
      <c r="A2301" s="691"/>
      <c r="D2301" s="3"/>
    </row>
    <row r="2302" spans="1:4">
      <c r="A2302" s="691"/>
      <c r="D2302" s="3"/>
    </row>
    <row r="2303" spans="1:4">
      <c r="A2303" s="691"/>
      <c r="D2303" s="3"/>
    </row>
    <row r="2304" spans="1:4">
      <c r="A2304" s="691"/>
      <c r="D2304" s="3"/>
    </row>
    <row r="2305" spans="1:4">
      <c r="A2305" s="691"/>
      <c r="D2305" s="3"/>
    </row>
    <row r="2306" spans="1:4">
      <c r="A2306" s="691"/>
      <c r="D2306" s="3"/>
    </row>
    <row r="2307" spans="1:4">
      <c r="A2307" s="691"/>
      <c r="D2307" s="3"/>
    </row>
    <row r="2308" spans="1:4">
      <c r="A2308" s="691"/>
      <c r="D2308" s="3"/>
    </row>
    <row r="2309" spans="1:4">
      <c r="A2309" s="691"/>
      <c r="D2309" s="3"/>
    </row>
    <row r="2310" spans="1:4">
      <c r="A2310" s="691"/>
      <c r="D2310" s="3"/>
    </row>
    <row r="2311" spans="1:4">
      <c r="A2311" s="691"/>
      <c r="D2311" s="3"/>
    </row>
    <row r="2312" spans="1:4">
      <c r="A2312" s="691"/>
      <c r="D2312" s="3"/>
    </row>
    <row r="2313" spans="1:4">
      <c r="A2313" s="691"/>
      <c r="D2313" s="3"/>
    </row>
    <row r="2314" spans="1:4">
      <c r="A2314" s="691"/>
      <c r="D2314" s="3"/>
    </row>
    <row r="2315" spans="1:4">
      <c r="A2315" s="691"/>
      <c r="D2315" s="3"/>
    </row>
    <row r="2316" spans="1:4">
      <c r="A2316" s="691"/>
      <c r="D2316" s="3"/>
    </row>
    <row r="2317" spans="1:4">
      <c r="A2317" s="691"/>
      <c r="D2317" s="3"/>
    </row>
    <row r="2318" spans="1:4">
      <c r="A2318" s="691"/>
      <c r="D2318" s="3"/>
    </row>
    <row r="2319" spans="1:4">
      <c r="A2319" s="691"/>
      <c r="D2319" s="3"/>
    </row>
    <row r="2320" spans="1:4">
      <c r="A2320" s="691"/>
      <c r="D2320" s="3"/>
    </row>
    <row r="2321" spans="1:4">
      <c r="A2321" s="691"/>
      <c r="D2321" s="3"/>
    </row>
    <row r="2322" spans="1:4">
      <c r="A2322" s="691"/>
      <c r="D2322" s="3"/>
    </row>
    <row r="2323" spans="1:4">
      <c r="A2323" s="691"/>
      <c r="D2323" s="3"/>
    </row>
    <row r="2324" spans="1:4">
      <c r="A2324" s="691"/>
      <c r="D2324" s="3"/>
    </row>
    <row r="2325" spans="1:4">
      <c r="A2325" s="691"/>
      <c r="D2325" s="3"/>
    </row>
    <row r="2326" spans="1:4">
      <c r="A2326" s="691"/>
      <c r="D2326" s="3"/>
    </row>
    <row r="2327" spans="1:4">
      <c r="A2327" s="691"/>
      <c r="D2327" s="3"/>
    </row>
    <row r="2328" spans="1:4">
      <c r="A2328" s="691"/>
      <c r="D2328" s="3"/>
    </row>
    <row r="2329" spans="1:4">
      <c r="A2329" s="691"/>
      <c r="D2329" s="3"/>
    </row>
    <row r="2330" spans="1:4">
      <c r="A2330" s="691"/>
      <c r="D2330" s="3"/>
    </row>
    <row r="2331" spans="1:4">
      <c r="A2331" s="691"/>
      <c r="D2331" s="3"/>
    </row>
    <row r="2332" spans="1:4">
      <c r="A2332" s="691"/>
      <c r="D2332" s="3"/>
    </row>
    <row r="2333" spans="1:4">
      <c r="A2333" s="691"/>
      <c r="D2333" s="3"/>
    </row>
    <row r="2334" spans="1:4">
      <c r="A2334" s="691"/>
      <c r="D2334" s="3"/>
    </row>
    <row r="2335" spans="1:4">
      <c r="A2335" s="691"/>
      <c r="D2335" s="3"/>
    </row>
    <row r="2336" spans="1:4">
      <c r="A2336" s="691"/>
      <c r="D2336" s="3"/>
    </row>
    <row r="2337" spans="1:4">
      <c r="A2337" s="691"/>
      <c r="D2337" s="3"/>
    </row>
    <row r="2338" spans="1:4">
      <c r="A2338" s="691"/>
      <c r="D2338" s="3"/>
    </row>
    <row r="2339" spans="1:4">
      <c r="A2339" s="691"/>
      <c r="D2339" s="3"/>
    </row>
    <row r="2340" spans="1:4">
      <c r="A2340" s="691"/>
      <c r="D2340" s="3"/>
    </row>
    <row r="2341" spans="1:4">
      <c r="A2341" s="691"/>
      <c r="D2341" s="3"/>
    </row>
    <row r="2342" spans="1:4">
      <c r="A2342" s="691"/>
      <c r="D2342" s="3"/>
    </row>
    <row r="2343" spans="1:4">
      <c r="A2343" s="691"/>
      <c r="D2343" s="3"/>
    </row>
    <row r="2344" spans="1:4">
      <c r="A2344" s="691"/>
      <c r="D2344" s="3"/>
    </row>
    <row r="2345" spans="1:4">
      <c r="A2345" s="691"/>
      <c r="D2345" s="3"/>
    </row>
    <row r="2346" spans="1:4">
      <c r="A2346" s="691"/>
      <c r="D2346" s="3"/>
    </row>
    <row r="2347" spans="1:4">
      <c r="A2347" s="691"/>
      <c r="D2347" s="3"/>
    </row>
    <row r="2348" spans="1:4">
      <c r="A2348" s="691"/>
      <c r="D2348" s="3"/>
    </row>
    <row r="2349" spans="1:4">
      <c r="A2349" s="691"/>
      <c r="D2349" s="3"/>
    </row>
    <row r="2350" spans="1:4">
      <c r="A2350" s="691"/>
      <c r="D2350" s="3"/>
    </row>
    <row r="2351" spans="1:4">
      <c r="A2351" s="691"/>
      <c r="D2351" s="3"/>
    </row>
    <row r="2352" spans="1:4">
      <c r="A2352" s="691"/>
      <c r="D2352" s="3"/>
    </row>
    <row r="2353" spans="1:4">
      <c r="A2353" s="691"/>
      <c r="D2353" s="3"/>
    </row>
    <row r="2354" spans="1:4">
      <c r="A2354" s="691"/>
      <c r="D2354" s="3"/>
    </row>
    <row r="2355" spans="1:4">
      <c r="A2355" s="691"/>
      <c r="D2355" s="3"/>
    </row>
    <row r="2356" spans="1:4">
      <c r="A2356" s="691"/>
      <c r="D2356" s="3"/>
    </row>
    <row r="2357" spans="1:4">
      <c r="A2357" s="691"/>
      <c r="D2357" s="3"/>
    </row>
    <row r="2358" spans="1:4">
      <c r="A2358" s="691"/>
      <c r="D2358" s="3"/>
    </row>
    <row r="2359" spans="1:4">
      <c r="A2359" s="691"/>
      <c r="D2359" s="3"/>
    </row>
    <row r="2360" spans="1:4">
      <c r="A2360" s="691"/>
      <c r="D2360" s="3"/>
    </row>
    <row r="2361" spans="1:4">
      <c r="A2361" s="691"/>
      <c r="D2361" s="3"/>
    </row>
    <row r="2362" spans="1:4">
      <c r="A2362" s="691"/>
      <c r="D2362" s="3"/>
    </row>
    <row r="2363" spans="1:4">
      <c r="A2363" s="691"/>
      <c r="D2363" s="3"/>
    </row>
    <row r="2364" spans="1:4">
      <c r="A2364" s="691"/>
      <c r="D2364" s="3"/>
    </row>
    <row r="2365" spans="1:4">
      <c r="A2365" s="691"/>
      <c r="D2365" s="3"/>
    </row>
    <row r="2366" spans="1:4">
      <c r="A2366" s="691"/>
      <c r="D2366" s="3"/>
    </row>
    <row r="2367" spans="1:4">
      <c r="A2367" s="691"/>
      <c r="D2367" s="3"/>
    </row>
    <row r="2368" spans="1:4">
      <c r="A2368" s="691"/>
      <c r="D2368" s="3"/>
    </row>
    <row r="2369" spans="1:4">
      <c r="A2369" s="691"/>
      <c r="D2369" s="3"/>
    </row>
    <row r="2370" spans="1:4">
      <c r="A2370" s="691"/>
      <c r="D2370" s="3"/>
    </row>
    <row r="2371" spans="1:4">
      <c r="A2371" s="691"/>
      <c r="D2371" s="3"/>
    </row>
    <row r="2372" spans="1:4">
      <c r="A2372" s="691"/>
      <c r="D2372" s="3"/>
    </row>
    <row r="2373" spans="1:4">
      <c r="A2373" s="691"/>
      <c r="D2373" s="3"/>
    </row>
    <row r="2374" spans="1:4">
      <c r="A2374" s="691"/>
      <c r="D2374" s="3"/>
    </row>
    <row r="2375" spans="1:4">
      <c r="A2375" s="691"/>
      <c r="D2375" s="3"/>
    </row>
    <row r="2376" spans="1:4">
      <c r="A2376" s="691"/>
      <c r="D2376" s="3"/>
    </row>
    <row r="2377" spans="1:4">
      <c r="A2377" s="691"/>
      <c r="D2377" s="3"/>
    </row>
    <row r="2378" spans="1:4">
      <c r="A2378" s="691"/>
      <c r="D2378" s="3"/>
    </row>
    <row r="2379" spans="1:4">
      <c r="A2379" s="691"/>
      <c r="D2379" s="3"/>
    </row>
    <row r="2380" spans="1:4">
      <c r="A2380" s="691"/>
      <c r="D2380" s="3"/>
    </row>
    <row r="2381" spans="1:4">
      <c r="A2381" s="691"/>
      <c r="D2381" s="3"/>
    </row>
    <row r="2382" spans="1:4">
      <c r="A2382" s="691"/>
      <c r="D2382" s="3"/>
    </row>
    <row r="2383" spans="1:4">
      <c r="A2383" s="691"/>
      <c r="D2383" s="3"/>
    </row>
    <row r="2384" spans="1:4">
      <c r="A2384" s="691"/>
      <c r="D2384" s="3"/>
    </row>
    <row r="2385" spans="1:4">
      <c r="A2385" s="691"/>
      <c r="D2385" s="3"/>
    </row>
    <row r="2386" spans="1:4">
      <c r="A2386" s="691"/>
      <c r="D2386" s="3"/>
    </row>
    <row r="2387" spans="1:4">
      <c r="A2387" s="691"/>
      <c r="D2387" s="3"/>
    </row>
    <row r="2388" spans="1:4">
      <c r="A2388" s="691"/>
      <c r="D2388" s="3"/>
    </row>
    <row r="2389" spans="1:4">
      <c r="A2389" s="691"/>
      <c r="D2389" s="3"/>
    </row>
    <row r="2390" spans="1:4">
      <c r="A2390" s="691"/>
      <c r="D2390" s="3"/>
    </row>
    <row r="2391" spans="1:4">
      <c r="A2391" s="691"/>
      <c r="D2391" s="3"/>
    </row>
    <row r="2392" spans="1:4">
      <c r="A2392" s="691"/>
      <c r="D2392" s="3"/>
    </row>
    <row r="2393" spans="1:4">
      <c r="A2393" s="691"/>
      <c r="D2393" s="3"/>
    </row>
    <row r="2394" spans="1:4">
      <c r="A2394" s="691"/>
      <c r="D2394" s="3"/>
    </row>
    <row r="2395" spans="1:4">
      <c r="A2395" s="691"/>
      <c r="D2395" s="3"/>
    </row>
    <row r="2396" spans="1:4">
      <c r="A2396" s="691"/>
      <c r="D2396" s="3"/>
    </row>
    <row r="2397" spans="1:4">
      <c r="A2397" s="691"/>
      <c r="D2397" s="3"/>
    </row>
    <row r="2398" spans="1:4">
      <c r="A2398" s="691"/>
      <c r="D2398" s="3"/>
    </row>
    <row r="2399" spans="1:4">
      <c r="A2399" s="691"/>
      <c r="D2399" s="3"/>
    </row>
    <row r="2400" spans="1:4">
      <c r="A2400" s="691"/>
      <c r="D2400" s="3"/>
    </row>
    <row r="2401" spans="1:4">
      <c r="A2401" s="691"/>
      <c r="D2401" s="3"/>
    </row>
    <row r="2402" spans="1:4">
      <c r="A2402" s="691"/>
      <c r="D2402" s="3"/>
    </row>
    <row r="2403" spans="1:4">
      <c r="A2403" s="691"/>
      <c r="D2403" s="3"/>
    </row>
    <row r="2404" spans="1:4">
      <c r="A2404" s="691"/>
      <c r="D2404" s="3"/>
    </row>
    <row r="2405" spans="1:4">
      <c r="A2405" s="691"/>
      <c r="D2405" s="3"/>
    </row>
    <row r="2406" spans="1:4">
      <c r="A2406" s="691"/>
      <c r="D2406" s="3"/>
    </row>
    <row r="2407" spans="1:4">
      <c r="A2407" s="691"/>
      <c r="D2407" s="3"/>
    </row>
    <row r="2408" spans="1:4">
      <c r="A2408" s="691"/>
      <c r="D2408" s="3"/>
    </row>
    <row r="2409" spans="1:4">
      <c r="A2409" s="691"/>
      <c r="D2409" s="3"/>
    </row>
    <row r="2410" spans="1:4">
      <c r="A2410" s="691"/>
      <c r="D2410" s="3"/>
    </row>
    <row r="2411" spans="1:4">
      <c r="A2411" s="691"/>
      <c r="D2411" s="3"/>
    </row>
    <row r="2412" spans="1:4">
      <c r="A2412" s="691"/>
      <c r="D2412" s="3"/>
    </row>
    <row r="2413" spans="1:4">
      <c r="A2413" s="691"/>
      <c r="D2413" s="3"/>
    </row>
    <row r="2414" spans="1:4">
      <c r="A2414" s="691"/>
      <c r="D2414" s="3"/>
    </row>
    <row r="2415" spans="1:4">
      <c r="A2415" s="691"/>
      <c r="D2415" s="3"/>
    </row>
    <row r="2416" spans="1:4">
      <c r="A2416" s="691"/>
      <c r="D2416" s="3"/>
    </row>
    <row r="2417" spans="1:4">
      <c r="A2417" s="691"/>
      <c r="D2417" s="3"/>
    </row>
    <row r="2418" spans="1:4">
      <c r="A2418" s="691"/>
      <c r="D2418" s="3"/>
    </row>
    <row r="2419" spans="1:4">
      <c r="A2419" s="691"/>
      <c r="D2419" s="3"/>
    </row>
    <row r="2420" spans="1:4">
      <c r="A2420" s="691"/>
      <c r="D2420" s="3"/>
    </row>
    <row r="2421" spans="1:4">
      <c r="A2421" s="691"/>
      <c r="D2421" s="3"/>
    </row>
    <row r="2422" spans="1:4">
      <c r="A2422" s="691"/>
      <c r="D2422" s="3"/>
    </row>
    <row r="2423" spans="1:4">
      <c r="A2423" s="691"/>
      <c r="D2423" s="3"/>
    </row>
    <row r="2424" spans="1:4">
      <c r="A2424" s="691"/>
      <c r="D2424" s="3"/>
    </row>
    <row r="2425" spans="1:4">
      <c r="A2425" s="691"/>
      <c r="D2425" s="3"/>
    </row>
    <row r="2426" spans="1:4">
      <c r="A2426" s="691"/>
      <c r="D2426" s="3"/>
    </row>
    <row r="2427" spans="1:4">
      <c r="A2427" s="691"/>
      <c r="D2427" s="3"/>
    </row>
    <row r="2428" spans="1:4">
      <c r="A2428" s="691"/>
      <c r="D2428" s="3"/>
    </row>
    <row r="2429" spans="1:4">
      <c r="A2429" s="691"/>
      <c r="D2429" s="3"/>
    </row>
    <row r="2430" spans="1:4">
      <c r="A2430" s="691"/>
      <c r="D2430" s="3"/>
    </row>
    <row r="2431" spans="1:4">
      <c r="A2431" s="691"/>
      <c r="D2431" s="3"/>
    </row>
    <row r="2432" spans="1:4">
      <c r="A2432" s="691"/>
      <c r="D2432" s="3"/>
    </row>
    <row r="2433" spans="1:4">
      <c r="A2433" s="691"/>
      <c r="D2433" s="3"/>
    </row>
    <row r="2434" spans="1:4">
      <c r="A2434" s="691"/>
      <c r="D2434" s="3"/>
    </row>
    <row r="2435" spans="1:4">
      <c r="A2435" s="691"/>
      <c r="D2435" s="3"/>
    </row>
    <row r="2436" spans="1:4">
      <c r="A2436" s="691"/>
      <c r="D2436" s="3"/>
    </row>
    <row r="2437" spans="1:4">
      <c r="A2437" s="691"/>
      <c r="D2437" s="3"/>
    </row>
    <row r="2438" spans="1:4">
      <c r="A2438" s="691"/>
      <c r="D2438" s="3"/>
    </row>
    <row r="2439" spans="1:4">
      <c r="A2439" s="691"/>
      <c r="D2439" s="3"/>
    </row>
    <row r="2440" spans="1:4">
      <c r="A2440" s="691"/>
      <c r="D2440" s="3"/>
    </row>
    <row r="2441" spans="1:4">
      <c r="A2441" s="691"/>
      <c r="D2441" s="3"/>
    </row>
    <row r="2442" spans="1:4">
      <c r="A2442" s="691"/>
      <c r="D2442" s="3"/>
    </row>
    <row r="2443" spans="1:4">
      <c r="A2443" s="691"/>
      <c r="D2443" s="3"/>
    </row>
    <row r="2444" spans="1:4">
      <c r="A2444" s="691"/>
      <c r="D2444" s="3"/>
    </row>
    <row r="2445" spans="1:4">
      <c r="A2445" s="691"/>
      <c r="D2445" s="3"/>
    </row>
    <row r="2446" spans="1:4">
      <c r="A2446" s="691"/>
      <c r="D2446" s="3"/>
    </row>
    <row r="2447" spans="1:4">
      <c r="A2447" s="691"/>
      <c r="D2447" s="3"/>
    </row>
    <row r="2448" spans="1:4">
      <c r="A2448" s="691"/>
      <c r="D2448" s="3"/>
    </row>
    <row r="2449" spans="1:4">
      <c r="A2449" s="691"/>
      <c r="D2449" s="3"/>
    </row>
    <row r="2450" spans="1:4">
      <c r="A2450" s="691"/>
      <c r="D2450" s="3"/>
    </row>
    <row r="2451" spans="1:4">
      <c r="A2451" s="691"/>
      <c r="D2451" s="3"/>
    </row>
    <row r="2452" spans="1:4">
      <c r="A2452" s="691"/>
      <c r="D2452" s="3"/>
    </row>
    <row r="2453" spans="1:4">
      <c r="A2453" s="691"/>
      <c r="D2453" s="3"/>
    </row>
    <row r="2454" spans="1:4">
      <c r="A2454" s="691"/>
      <c r="D2454" s="3"/>
    </row>
    <row r="2455" spans="1:4">
      <c r="A2455" s="691"/>
      <c r="D2455" s="3"/>
    </row>
    <row r="2456" spans="1:4">
      <c r="A2456" s="691"/>
      <c r="D2456" s="3"/>
    </row>
    <row r="2457" spans="1:4">
      <c r="A2457" s="691"/>
      <c r="D2457" s="3"/>
    </row>
    <row r="2458" spans="1:4">
      <c r="A2458" s="691"/>
      <c r="D2458" s="3"/>
    </row>
    <row r="2459" spans="1:4">
      <c r="A2459" s="691"/>
      <c r="D2459" s="3"/>
    </row>
    <row r="2460" spans="1:4">
      <c r="A2460" s="691"/>
      <c r="D2460" s="3"/>
    </row>
    <row r="2461" spans="1:4">
      <c r="A2461" s="691"/>
      <c r="D2461" s="3"/>
    </row>
    <row r="2462" spans="1:4">
      <c r="A2462" s="691"/>
      <c r="D2462" s="3"/>
    </row>
    <row r="2463" spans="1:4">
      <c r="A2463" s="691"/>
      <c r="D2463" s="3"/>
    </row>
    <row r="2464" spans="1:4">
      <c r="A2464" s="691"/>
      <c r="D2464" s="3"/>
    </row>
    <row r="2465" spans="1:4">
      <c r="A2465" s="691"/>
      <c r="D2465" s="3"/>
    </row>
    <row r="2466" spans="1:4">
      <c r="A2466" s="691"/>
      <c r="D2466" s="3"/>
    </row>
    <row r="2467" spans="1:4">
      <c r="A2467" s="691"/>
      <c r="D2467" s="3"/>
    </row>
    <row r="2468" spans="1:4">
      <c r="A2468" s="691"/>
      <c r="D2468" s="3"/>
    </row>
    <row r="2469" spans="1:4">
      <c r="A2469" s="691"/>
      <c r="D2469" s="3"/>
    </row>
    <row r="2470" spans="1:4">
      <c r="A2470" s="691"/>
      <c r="D2470" s="3"/>
    </row>
    <row r="2471" spans="1:4">
      <c r="A2471" s="691"/>
      <c r="D2471" s="3"/>
    </row>
    <row r="2472" spans="1:4">
      <c r="A2472" s="691"/>
      <c r="D2472" s="3"/>
    </row>
    <row r="2473" spans="1:4">
      <c r="A2473" s="691"/>
      <c r="D2473" s="3"/>
    </row>
    <row r="2474" spans="1:4">
      <c r="A2474" s="691"/>
      <c r="D2474" s="3"/>
    </row>
    <row r="2475" spans="1:4">
      <c r="A2475" s="691"/>
      <c r="D2475" s="3"/>
    </row>
    <row r="2476" spans="1:4">
      <c r="A2476" s="691"/>
      <c r="D2476" s="3"/>
    </row>
    <row r="2477" spans="1:4">
      <c r="A2477" s="691"/>
      <c r="D2477" s="3"/>
    </row>
    <row r="2478" spans="1:4">
      <c r="A2478" s="691"/>
      <c r="D2478" s="3"/>
    </row>
    <row r="2479" spans="1:4">
      <c r="A2479" s="691"/>
      <c r="D2479" s="3"/>
    </row>
    <row r="2480" spans="1:4">
      <c r="A2480" s="691"/>
      <c r="D2480" s="3"/>
    </row>
    <row r="2481" spans="1:4">
      <c r="A2481" s="691"/>
      <c r="D2481" s="3"/>
    </row>
    <row r="2482" spans="1:4">
      <c r="A2482" s="691"/>
      <c r="D2482" s="3"/>
    </row>
    <row r="2483" spans="1:4">
      <c r="A2483" s="691"/>
      <c r="D2483" s="3"/>
    </row>
    <row r="2484" spans="1:4">
      <c r="A2484" s="691"/>
      <c r="D2484" s="3"/>
    </row>
    <row r="2485" spans="1:4">
      <c r="A2485" s="691"/>
      <c r="D2485" s="3"/>
    </row>
    <row r="2486" spans="1:4">
      <c r="A2486" s="691"/>
      <c r="D2486" s="3"/>
    </row>
    <row r="2487" spans="1:4">
      <c r="A2487" s="691"/>
      <c r="D2487" s="3"/>
    </row>
    <row r="2488" spans="1:4">
      <c r="A2488" s="691"/>
      <c r="D2488" s="3"/>
    </row>
    <row r="2489" spans="1:4">
      <c r="A2489" s="691"/>
      <c r="D2489" s="3"/>
    </row>
    <row r="2490" spans="1:4">
      <c r="A2490" s="691"/>
      <c r="D2490" s="3"/>
    </row>
    <row r="2491" spans="1:4">
      <c r="A2491" s="691"/>
      <c r="D2491" s="3"/>
    </row>
    <row r="2492" spans="1:4">
      <c r="A2492" s="691"/>
      <c r="D2492" s="3"/>
    </row>
    <row r="2493" spans="1:4">
      <c r="A2493" s="691"/>
      <c r="D2493" s="3"/>
    </row>
    <row r="2494" spans="1:4">
      <c r="A2494" s="691"/>
      <c r="D2494" s="3"/>
    </row>
    <row r="2495" spans="1:4">
      <c r="A2495" s="691"/>
      <c r="D2495" s="3"/>
    </row>
    <row r="2496" spans="1:4">
      <c r="A2496" s="691"/>
      <c r="D2496" s="3"/>
    </row>
    <row r="2497" spans="1:4">
      <c r="A2497" s="691"/>
      <c r="D2497" s="3"/>
    </row>
    <row r="2498" spans="1:4">
      <c r="A2498" s="691"/>
      <c r="D2498" s="3"/>
    </row>
    <row r="2499" spans="1:4">
      <c r="A2499" s="691"/>
      <c r="D2499" s="3"/>
    </row>
    <row r="2500" spans="1:4">
      <c r="A2500" s="691"/>
      <c r="D2500" s="3"/>
    </row>
    <row r="2501" spans="1:4">
      <c r="A2501" s="691"/>
      <c r="D2501" s="3"/>
    </row>
    <row r="2502" spans="1:4">
      <c r="A2502" s="691"/>
      <c r="D2502" s="3"/>
    </row>
    <row r="2503" spans="1:4">
      <c r="A2503" s="691"/>
      <c r="D2503" s="3"/>
    </row>
    <row r="2504" spans="1:4">
      <c r="A2504" s="691"/>
      <c r="D2504" s="3"/>
    </row>
    <row r="2505" spans="1:4">
      <c r="A2505" s="691"/>
      <c r="D2505" s="3"/>
    </row>
    <row r="2506" spans="1:4">
      <c r="A2506" s="691"/>
      <c r="D2506" s="3"/>
    </row>
    <row r="2507" spans="1:4">
      <c r="A2507" s="691"/>
      <c r="D2507" s="3"/>
    </row>
    <row r="2508" spans="1:4">
      <c r="A2508" s="691"/>
      <c r="D2508" s="3"/>
    </row>
    <row r="2509" spans="1:4">
      <c r="A2509" s="691"/>
      <c r="D2509" s="3"/>
    </row>
    <row r="2510" spans="1:4">
      <c r="A2510" s="691"/>
      <c r="D2510" s="3"/>
    </row>
    <row r="2511" spans="1:4">
      <c r="A2511" s="691"/>
      <c r="D2511" s="3"/>
    </row>
    <row r="2512" spans="1:4">
      <c r="A2512" s="691"/>
      <c r="D2512" s="3"/>
    </row>
    <row r="2513" spans="1:4">
      <c r="A2513" s="691"/>
      <c r="D2513" s="3"/>
    </row>
    <row r="2514" spans="1:4">
      <c r="A2514" s="691"/>
      <c r="D2514" s="3"/>
    </row>
    <row r="2515" spans="1:4">
      <c r="A2515" s="691"/>
      <c r="D2515" s="3"/>
    </row>
    <row r="2516" spans="1:4">
      <c r="A2516" s="691"/>
      <c r="D2516" s="3"/>
    </row>
    <row r="2517" spans="1:4">
      <c r="A2517" s="691"/>
      <c r="D2517" s="3"/>
    </row>
    <row r="2518" spans="1:4">
      <c r="A2518" s="691"/>
      <c r="D2518" s="3"/>
    </row>
    <row r="2519" spans="1:4">
      <c r="A2519" s="691"/>
      <c r="D2519" s="3"/>
    </row>
    <row r="2520" spans="1:4">
      <c r="A2520" s="691"/>
      <c r="D2520" s="3"/>
    </row>
    <row r="2521" spans="1:4">
      <c r="A2521" s="691"/>
      <c r="D2521" s="3"/>
    </row>
    <row r="2522" spans="1:4">
      <c r="A2522" s="691"/>
      <c r="D2522" s="3"/>
    </row>
    <row r="2523" spans="1:4">
      <c r="A2523" s="691"/>
      <c r="D2523" s="3"/>
    </row>
    <row r="2524" spans="1:4">
      <c r="A2524" s="691"/>
      <c r="D2524" s="3"/>
    </row>
    <row r="2525" spans="1:4">
      <c r="A2525" s="691"/>
      <c r="D2525" s="3"/>
    </row>
    <row r="2526" spans="1:4">
      <c r="A2526" s="691"/>
      <c r="D2526" s="3"/>
    </row>
    <row r="2527" spans="1:4">
      <c r="A2527" s="691"/>
      <c r="D2527" s="3"/>
    </row>
    <row r="2528" spans="1:4">
      <c r="A2528" s="691"/>
      <c r="D2528" s="3"/>
    </row>
    <row r="2529" spans="1:4">
      <c r="A2529" s="691"/>
      <c r="D2529" s="3"/>
    </row>
    <row r="2530" spans="1:4">
      <c r="A2530" s="691"/>
      <c r="D2530" s="3"/>
    </row>
    <row r="2531" spans="1:4">
      <c r="A2531" s="691"/>
      <c r="D2531" s="3"/>
    </row>
    <row r="2532" spans="1:4">
      <c r="A2532" s="691"/>
      <c r="D2532" s="3"/>
    </row>
    <row r="2533" spans="1:4">
      <c r="A2533" s="691"/>
      <c r="D2533" s="3"/>
    </row>
    <row r="2534" spans="1:4">
      <c r="A2534" s="691"/>
      <c r="D2534" s="3"/>
    </row>
    <row r="2535" spans="1:4">
      <c r="A2535" s="691"/>
      <c r="D2535" s="3"/>
    </row>
    <row r="2536" spans="1:4">
      <c r="A2536" s="691"/>
      <c r="D2536" s="3"/>
    </row>
    <row r="2537" spans="1:4">
      <c r="A2537" s="691"/>
      <c r="D2537" s="3"/>
    </row>
    <row r="2538" spans="1:4">
      <c r="A2538" s="691"/>
      <c r="D2538" s="3"/>
    </row>
    <row r="2539" spans="1:4">
      <c r="A2539" s="691"/>
      <c r="D2539" s="3"/>
    </row>
    <row r="2540" spans="1:4">
      <c r="A2540" s="691"/>
      <c r="D2540" s="3"/>
    </row>
    <row r="2541" spans="1:4">
      <c r="A2541" s="691"/>
      <c r="D2541" s="3"/>
    </row>
    <row r="2542" spans="1:4">
      <c r="A2542" s="691"/>
      <c r="D2542" s="3"/>
    </row>
    <row r="2543" spans="1:4">
      <c r="A2543" s="691"/>
      <c r="D2543" s="3"/>
    </row>
    <row r="2544" spans="1:4">
      <c r="A2544" s="691"/>
      <c r="D2544" s="3"/>
    </row>
    <row r="2545" spans="1:4">
      <c r="A2545" s="691"/>
      <c r="D2545" s="3"/>
    </row>
    <row r="2546" spans="1:4">
      <c r="A2546" s="691"/>
      <c r="D2546" s="3"/>
    </row>
    <row r="2547" spans="1:4">
      <c r="A2547" s="691"/>
      <c r="D2547" s="3"/>
    </row>
    <row r="2548" spans="1:4">
      <c r="A2548" s="691"/>
      <c r="D2548" s="3"/>
    </row>
    <row r="2549" spans="1:4">
      <c r="A2549" s="691"/>
      <c r="D2549" s="3"/>
    </row>
    <row r="2550" spans="1:4">
      <c r="A2550" s="691"/>
      <c r="D2550" s="3"/>
    </row>
    <row r="2551" spans="1:4">
      <c r="A2551" s="691"/>
      <c r="D2551" s="3"/>
    </row>
    <row r="2552" spans="1:4">
      <c r="A2552" s="691"/>
      <c r="D2552" s="3"/>
    </row>
    <row r="2553" spans="1:4">
      <c r="A2553" s="691"/>
      <c r="D2553" s="3"/>
    </row>
    <row r="2554" spans="1:4">
      <c r="A2554" s="691"/>
      <c r="D2554" s="3"/>
    </row>
    <row r="2555" spans="1:4">
      <c r="A2555" s="691"/>
      <c r="D2555" s="3"/>
    </row>
    <row r="2556" spans="1:4">
      <c r="A2556" s="691"/>
      <c r="D2556" s="3"/>
    </row>
    <row r="2557" spans="1:4">
      <c r="A2557" s="691"/>
      <c r="D2557" s="3"/>
    </row>
    <row r="2558" spans="1:4">
      <c r="A2558" s="691"/>
      <c r="D2558" s="3"/>
    </row>
    <row r="2559" spans="1:4">
      <c r="A2559" s="691"/>
      <c r="D2559" s="3"/>
    </row>
    <row r="2560" spans="1:4">
      <c r="A2560" s="691"/>
      <c r="D2560" s="3"/>
    </row>
    <row r="2561" spans="1:4">
      <c r="A2561" s="691"/>
      <c r="D2561" s="3"/>
    </row>
    <row r="2562" spans="1:4">
      <c r="A2562" s="691"/>
      <c r="D2562" s="3"/>
    </row>
    <row r="2563" spans="1:4">
      <c r="A2563" s="691"/>
      <c r="D2563" s="3"/>
    </row>
    <row r="2564" spans="1:4">
      <c r="A2564" s="691"/>
      <c r="D2564" s="3"/>
    </row>
    <row r="2565" spans="1:4">
      <c r="A2565" s="691"/>
      <c r="D2565" s="3"/>
    </row>
    <row r="2566" spans="1:4">
      <c r="A2566" s="691"/>
      <c r="D2566" s="3"/>
    </row>
    <row r="2567" spans="1:4">
      <c r="A2567" s="691"/>
      <c r="D2567" s="3"/>
    </row>
    <row r="2568" spans="1:4">
      <c r="A2568" s="691"/>
      <c r="D2568" s="3"/>
    </row>
    <row r="2569" spans="1:4">
      <c r="A2569" s="691"/>
      <c r="D2569" s="3"/>
    </row>
    <row r="2570" spans="1:4">
      <c r="A2570" s="691"/>
      <c r="D2570" s="3"/>
    </row>
    <row r="2571" spans="1:4">
      <c r="A2571" s="691"/>
      <c r="D2571" s="3"/>
    </row>
    <row r="2572" spans="1:4">
      <c r="A2572" s="691"/>
      <c r="D2572" s="3"/>
    </row>
    <row r="2573" spans="1:4">
      <c r="A2573" s="691"/>
      <c r="D2573" s="3"/>
    </row>
    <row r="2574" spans="1:4">
      <c r="A2574" s="691"/>
      <c r="D2574" s="3"/>
    </row>
    <row r="2575" spans="1:4">
      <c r="A2575" s="691"/>
      <c r="D2575" s="3"/>
    </row>
    <row r="2576" spans="1:4">
      <c r="A2576" s="691"/>
      <c r="D2576" s="3"/>
    </row>
    <row r="2577" spans="1:4">
      <c r="A2577" s="691"/>
      <c r="D2577" s="3"/>
    </row>
    <row r="2578" spans="1:4">
      <c r="A2578" s="691"/>
      <c r="D2578" s="3"/>
    </row>
    <row r="2579" spans="1:4">
      <c r="A2579" s="691"/>
      <c r="D2579" s="3"/>
    </row>
    <row r="2580" spans="1:4">
      <c r="A2580" s="691"/>
      <c r="D2580" s="3"/>
    </row>
    <row r="2581" spans="1:4">
      <c r="A2581" s="691"/>
      <c r="D2581" s="3"/>
    </row>
    <row r="2582" spans="1:4">
      <c r="A2582" s="691"/>
      <c r="D2582" s="3"/>
    </row>
    <row r="2583" spans="1:4">
      <c r="A2583" s="691"/>
      <c r="D2583" s="3"/>
    </row>
    <row r="2584" spans="1:4">
      <c r="A2584" s="691"/>
      <c r="D2584" s="3"/>
    </row>
    <row r="2585" spans="1:4">
      <c r="A2585" s="691"/>
      <c r="D2585" s="3"/>
    </row>
    <row r="2586" spans="1:4">
      <c r="A2586" s="691"/>
      <c r="D2586" s="3"/>
    </row>
    <row r="2587" spans="1:4">
      <c r="A2587" s="691"/>
      <c r="D2587" s="3"/>
    </row>
    <row r="2588" spans="1:4">
      <c r="A2588" s="691"/>
      <c r="D2588" s="3"/>
    </row>
    <row r="2589" spans="1:4">
      <c r="A2589" s="691"/>
      <c r="D2589" s="3"/>
    </row>
    <row r="2590" spans="1:4">
      <c r="A2590" s="691"/>
      <c r="D2590" s="3"/>
    </row>
    <row r="2591" spans="1:4">
      <c r="A2591" s="691"/>
      <c r="D2591" s="3"/>
    </row>
    <row r="2592" spans="1:4">
      <c r="A2592" s="691"/>
      <c r="D2592" s="3"/>
    </row>
    <row r="2593" spans="1:4">
      <c r="A2593" s="691"/>
      <c r="D2593" s="3"/>
    </row>
    <row r="2594" spans="1:4">
      <c r="A2594" s="691"/>
      <c r="D2594" s="3"/>
    </row>
    <row r="2595" spans="1:4">
      <c r="A2595" s="691"/>
      <c r="D2595" s="3"/>
    </row>
    <row r="2596" spans="1:4">
      <c r="A2596" s="691"/>
      <c r="D2596" s="3"/>
    </row>
    <row r="2597" spans="1:4">
      <c r="A2597" s="691"/>
      <c r="D2597" s="3"/>
    </row>
    <row r="2598" spans="1:4">
      <c r="A2598" s="691"/>
      <c r="D2598" s="3"/>
    </row>
    <row r="2599" spans="1:4">
      <c r="A2599" s="691"/>
      <c r="D2599" s="3"/>
    </row>
    <row r="2600" spans="1:4">
      <c r="A2600" s="691"/>
      <c r="D2600" s="3"/>
    </row>
    <row r="2601" spans="1:4">
      <c r="A2601" s="691"/>
      <c r="D2601" s="3"/>
    </row>
    <row r="2602" spans="1:4">
      <c r="A2602" s="691"/>
      <c r="D2602" s="3"/>
    </row>
    <row r="2603" spans="1:4">
      <c r="A2603" s="691"/>
      <c r="D2603" s="3"/>
    </row>
    <row r="2604" spans="1:4">
      <c r="A2604" s="691"/>
      <c r="D2604" s="3"/>
    </row>
    <row r="2605" spans="1:4">
      <c r="A2605" s="691"/>
      <c r="D2605" s="3"/>
    </row>
    <row r="2606" spans="1:4">
      <c r="A2606" s="691"/>
      <c r="D2606" s="3"/>
    </row>
    <row r="2607" spans="1:4">
      <c r="A2607" s="691"/>
      <c r="D2607" s="3"/>
    </row>
    <row r="2608" spans="1:4">
      <c r="A2608" s="691"/>
      <c r="D2608" s="3"/>
    </row>
    <row r="2609" spans="1:4">
      <c r="A2609" s="691"/>
      <c r="D2609" s="3"/>
    </row>
    <row r="2610" spans="1:4">
      <c r="A2610" s="691"/>
      <c r="D2610" s="3"/>
    </row>
    <row r="2611" spans="1:4">
      <c r="A2611" s="691"/>
      <c r="D2611" s="3"/>
    </row>
    <row r="2612" spans="1:4">
      <c r="A2612" s="691"/>
      <c r="D2612" s="3"/>
    </row>
    <row r="2613" spans="1:4">
      <c r="A2613" s="691"/>
      <c r="D2613" s="3"/>
    </row>
    <row r="2614" spans="1:4">
      <c r="A2614" s="691"/>
      <c r="D2614" s="3"/>
    </row>
    <row r="2615" spans="1:4">
      <c r="A2615" s="691"/>
      <c r="D2615" s="3"/>
    </row>
    <row r="2616" spans="1:4">
      <c r="A2616" s="691"/>
      <c r="D2616" s="3"/>
    </row>
    <row r="2617" spans="1:4">
      <c r="A2617" s="691"/>
      <c r="D2617" s="3"/>
    </row>
    <row r="2618" spans="1:4">
      <c r="A2618" s="691"/>
      <c r="D2618" s="3"/>
    </row>
    <row r="2619" spans="1:4">
      <c r="A2619" s="691"/>
      <c r="D2619" s="3"/>
    </row>
    <row r="2620" spans="1:4">
      <c r="A2620" s="691"/>
      <c r="D2620" s="3"/>
    </row>
    <row r="2621" spans="1:4">
      <c r="A2621" s="691"/>
      <c r="D2621" s="3"/>
    </row>
    <row r="2622" spans="1:4">
      <c r="A2622" s="691"/>
      <c r="D2622" s="3"/>
    </row>
    <row r="2623" spans="1:4">
      <c r="A2623" s="691"/>
      <c r="D2623" s="3"/>
    </row>
    <row r="2624" spans="1:4">
      <c r="A2624" s="691"/>
      <c r="D2624" s="3"/>
    </row>
    <row r="2625" spans="1:4">
      <c r="A2625" s="691"/>
      <c r="D2625" s="3"/>
    </row>
    <row r="2626" spans="1:4">
      <c r="A2626" s="691"/>
      <c r="D2626" s="3"/>
    </row>
    <row r="2627" spans="1:4">
      <c r="A2627" s="691"/>
      <c r="D2627" s="3"/>
    </row>
    <row r="2628" spans="1:4">
      <c r="A2628" s="691"/>
      <c r="D2628" s="3"/>
    </row>
    <row r="2629" spans="1:4">
      <c r="A2629" s="691"/>
      <c r="D2629" s="3"/>
    </row>
    <row r="2630" spans="1:4">
      <c r="A2630" s="691"/>
      <c r="D2630" s="3"/>
    </row>
    <row r="2631" spans="1:4">
      <c r="A2631" s="691"/>
      <c r="D2631" s="3"/>
    </row>
    <row r="2632" spans="1:4">
      <c r="A2632" s="691"/>
      <c r="D2632" s="3"/>
    </row>
    <row r="2633" spans="1:4">
      <c r="A2633" s="691"/>
      <c r="D2633" s="3"/>
    </row>
    <row r="2634" spans="1:4">
      <c r="A2634" s="691"/>
      <c r="D2634" s="3"/>
    </row>
    <row r="2635" spans="1:4">
      <c r="A2635" s="691"/>
      <c r="D2635" s="3"/>
    </row>
    <row r="2636" spans="1:4">
      <c r="A2636" s="691"/>
      <c r="D2636" s="3"/>
    </row>
    <row r="2637" spans="1:4">
      <c r="A2637" s="691"/>
      <c r="D2637" s="3"/>
    </row>
    <row r="2638" spans="1:4">
      <c r="A2638" s="691"/>
      <c r="D2638" s="3"/>
    </row>
    <row r="2639" spans="1:4">
      <c r="A2639" s="691"/>
      <c r="D2639" s="3"/>
    </row>
    <row r="2640" spans="1:4">
      <c r="A2640" s="691"/>
      <c r="D2640" s="3"/>
    </row>
    <row r="2641" spans="1:4">
      <c r="A2641" s="691"/>
      <c r="D2641" s="3"/>
    </row>
    <row r="2642" spans="1:4">
      <c r="A2642" s="691"/>
      <c r="D2642" s="3"/>
    </row>
    <row r="2643" spans="1:4">
      <c r="A2643" s="691"/>
      <c r="D2643" s="3"/>
    </row>
    <row r="2644" spans="1:4">
      <c r="A2644" s="691"/>
      <c r="D2644" s="3"/>
    </row>
    <row r="2645" spans="1:4">
      <c r="A2645" s="691"/>
      <c r="D2645" s="3"/>
    </row>
    <row r="2646" spans="1:4">
      <c r="A2646" s="691"/>
      <c r="D2646" s="3"/>
    </row>
    <row r="2647" spans="1:4">
      <c r="A2647" s="691"/>
      <c r="D2647" s="3"/>
    </row>
    <row r="2648" spans="1:4">
      <c r="A2648" s="691"/>
      <c r="D2648" s="3"/>
    </row>
    <row r="2649" spans="1:4">
      <c r="A2649" s="691"/>
      <c r="D2649" s="3"/>
    </row>
    <row r="2650" spans="1:4">
      <c r="A2650" s="691"/>
      <c r="D2650" s="3"/>
    </row>
    <row r="2651" spans="1:4">
      <c r="A2651" s="691"/>
      <c r="D2651" s="3"/>
    </row>
    <row r="2652" spans="1:4">
      <c r="A2652" s="691"/>
      <c r="D2652" s="3"/>
    </row>
    <row r="2653" spans="1:4">
      <c r="A2653" s="691"/>
      <c r="D2653" s="3"/>
    </row>
    <row r="2654" spans="1:4">
      <c r="A2654" s="691"/>
      <c r="D2654" s="3"/>
    </row>
    <row r="2655" spans="1:4">
      <c r="A2655" s="691"/>
      <c r="D2655" s="3"/>
    </row>
    <row r="2656" spans="1:4">
      <c r="A2656" s="691"/>
      <c r="D2656" s="3"/>
    </row>
    <row r="2657" spans="1:4">
      <c r="A2657" s="691"/>
      <c r="D2657" s="3"/>
    </row>
    <row r="2658" spans="1:4">
      <c r="A2658" s="691"/>
      <c r="D2658" s="3"/>
    </row>
    <row r="2659" spans="1:4">
      <c r="A2659" s="691"/>
      <c r="D2659" s="3"/>
    </row>
    <row r="2660" spans="1:4">
      <c r="A2660" s="691"/>
      <c r="D2660" s="3"/>
    </row>
    <row r="2661" spans="1:4">
      <c r="A2661" s="691"/>
      <c r="D2661" s="3"/>
    </row>
    <row r="2662" spans="1:4">
      <c r="A2662" s="691"/>
      <c r="D2662" s="3"/>
    </row>
    <row r="2663" spans="1:4">
      <c r="A2663" s="691"/>
      <c r="D2663" s="3"/>
    </row>
    <row r="2664" spans="1:4">
      <c r="A2664" s="691"/>
      <c r="D2664" s="3"/>
    </row>
    <row r="2665" spans="1:4">
      <c r="A2665" s="691"/>
      <c r="D2665" s="3"/>
    </row>
    <row r="2666" spans="1:4">
      <c r="A2666" s="691"/>
      <c r="D2666" s="3"/>
    </row>
    <row r="2667" spans="1:4">
      <c r="A2667" s="691"/>
      <c r="D2667" s="3"/>
    </row>
    <row r="2668" spans="1:4">
      <c r="A2668" s="691"/>
      <c r="D2668" s="3"/>
    </row>
    <row r="2669" spans="1:4">
      <c r="A2669" s="691"/>
      <c r="D2669" s="3"/>
    </row>
    <row r="2670" spans="1:4">
      <c r="A2670" s="691"/>
      <c r="D2670" s="3"/>
    </row>
    <row r="2671" spans="1:4">
      <c r="A2671" s="691"/>
      <c r="D2671" s="3"/>
    </row>
    <row r="2672" spans="1:4">
      <c r="A2672" s="691"/>
      <c r="D2672" s="3"/>
    </row>
    <row r="2673" spans="1:4">
      <c r="A2673" s="691"/>
      <c r="D2673" s="3"/>
    </row>
    <row r="2674" spans="1:4">
      <c r="A2674" s="691"/>
      <c r="D2674" s="3"/>
    </row>
    <row r="2675" spans="1:4">
      <c r="A2675" s="691"/>
      <c r="D2675" s="3"/>
    </row>
    <row r="2676" spans="1:4">
      <c r="A2676" s="691"/>
      <c r="D2676" s="3"/>
    </row>
    <row r="2677" spans="1:4">
      <c r="A2677" s="691"/>
      <c r="D2677" s="3"/>
    </row>
    <row r="2678" spans="1:4">
      <c r="A2678" s="691"/>
      <c r="D2678" s="3"/>
    </row>
    <row r="2679" spans="1:4">
      <c r="A2679" s="691"/>
      <c r="D2679" s="3"/>
    </row>
    <row r="2680" spans="1:4">
      <c r="A2680" s="691"/>
      <c r="D2680" s="3"/>
    </row>
    <row r="2681" spans="1:4">
      <c r="A2681" s="691"/>
      <c r="D2681" s="3"/>
    </row>
    <row r="2682" spans="1:4">
      <c r="A2682" s="691"/>
      <c r="D2682" s="3"/>
    </row>
    <row r="2683" spans="1:4">
      <c r="A2683" s="691"/>
      <c r="D2683" s="3"/>
    </row>
    <row r="2684" spans="1:4">
      <c r="A2684" s="691"/>
      <c r="D2684" s="3"/>
    </row>
    <row r="2685" spans="1:4">
      <c r="A2685" s="691"/>
      <c r="D2685" s="3"/>
    </row>
    <row r="2686" spans="1:4">
      <c r="A2686" s="691"/>
      <c r="D2686" s="3"/>
    </row>
    <row r="2687" spans="1:4">
      <c r="A2687" s="691"/>
      <c r="D2687" s="3"/>
    </row>
    <row r="2688" spans="1:4">
      <c r="A2688" s="691"/>
      <c r="D2688" s="3"/>
    </row>
    <row r="2689" spans="1:4">
      <c r="A2689" s="691"/>
      <c r="D2689" s="3"/>
    </row>
    <row r="2690" spans="1:4">
      <c r="A2690" s="691"/>
      <c r="D2690" s="3"/>
    </row>
    <row r="2691" spans="1:4">
      <c r="A2691" s="691"/>
      <c r="D2691" s="3"/>
    </row>
    <row r="2692" spans="1:4">
      <c r="A2692" s="691"/>
      <c r="D2692" s="3"/>
    </row>
    <row r="2693" spans="1:4">
      <c r="A2693" s="691"/>
      <c r="D2693" s="3"/>
    </row>
    <row r="2694" spans="1:4">
      <c r="A2694" s="691"/>
      <c r="D2694" s="3"/>
    </row>
    <row r="2695" spans="1:4">
      <c r="A2695" s="691"/>
      <c r="D2695" s="3"/>
    </row>
    <row r="2696" spans="1:4">
      <c r="A2696" s="691"/>
      <c r="D2696" s="3"/>
    </row>
    <row r="2697" spans="1:4">
      <c r="A2697" s="691"/>
      <c r="D2697" s="3"/>
    </row>
    <row r="2698" spans="1:4">
      <c r="A2698" s="691"/>
      <c r="D2698" s="3"/>
    </row>
    <row r="2699" spans="1:4">
      <c r="A2699" s="691"/>
      <c r="D2699" s="3"/>
    </row>
    <row r="2700" spans="1:4">
      <c r="A2700" s="691"/>
      <c r="D2700" s="3"/>
    </row>
    <row r="2701" spans="1:4">
      <c r="A2701" s="691"/>
      <c r="D2701" s="3"/>
    </row>
    <row r="2702" spans="1:4">
      <c r="A2702" s="691"/>
      <c r="D2702" s="3"/>
    </row>
    <row r="2703" spans="1:4">
      <c r="A2703" s="691"/>
      <c r="D2703" s="3"/>
    </row>
    <row r="2704" spans="1:4">
      <c r="A2704" s="691"/>
      <c r="D2704" s="3"/>
    </row>
    <row r="2705" spans="1:4">
      <c r="A2705" s="691"/>
      <c r="D2705" s="3"/>
    </row>
    <row r="2706" spans="1:4">
      <c r="A2706" s="691"/>
      <c r="D2706" s="3"/>
    </row>
    <row r="2707" spans="1:4">
      <c r="A2707" s="691"/>
      <c r="D2707" s="3"/>
    </row>
    <row r="2708" spans="1:4">
      <c r="A2708" s="691"/>
      <c r="D2708" s="3"/>
    </row>
    <row r="2709" spans="1:4">
      <c r="A2709" s="691"/>
      <c r="D2709" s="3"/>
    </row>
    <row r="2710" spans="1:4">
      <c r="A2710" s="691"/>
      <c r="D2710" s="3"/>
    </row>
    <row r="2711" spans="1:4">
      <c r="A2711" s="691"/>
      <c r="D2711" s="3"/>
    </row>
    <row r="2712" spans="1:4">
      <c r="A2712" s="691"/>
      <c r="D2712" s="3"/>
    </row>
    <row r="2713" spans="1:4">
      <c r="A2713" s="691"/>
      <c r="D2713" s="3"/>
    </row>
    <row r="2714" spans="1:4">
      <c r="A2714" s="691"/>
      <c r="D2714" s="3"/>
    </row>
    <row r="2715" spans="1:4">
      <c r="A2715" s="691"/>
      <c r="D2715" s="3"/>
    </row>
    <row r="2716" spans="1:4">
      <c r="A2716" s="691"/>
      <c r="D2716" s="3"/>
    </row>
    <row r="2717" spans="1:4">
      <c r="A2717" s="691"/>
      <c r="D2717" s="3"/>
    </row>
    <row r="2718" spans="1:4">
      <c r="A2718" s="691"/>
      <c r="D2718" s="3"/>
    </row>
    <row r="2719" spans="1:4">
      <c r="A2719" s="691"/>
      <c r="D2719" s="3"/>
    </row>
    <row r="2720" spans="1:4">
      <c r="A2720" s="691"/>
      <c r="D2720" s="3"/>
    </row>
    <row r="2721" spans="1:4">
      <c r="A2721" s="691"/>
      <c r="D2721" s="3"/>
    </row>
    <row r="2722" spans="1:4">
      <c r="A2722" s="691"/>
      <c r="D2722" s="3"/>
    </row>
    <row r="2723" spans="1:4">
      <c r="A2723" s="691"/>
      <c r="D2723" s="3"/>
    </row>
    <row r="2724" spans="1:4">
      <c r="A2724" s="691"/>
      <c r="D2724" s="3"/>
    </row>
    <row r="2725" spans="1:4">
      <c r="A2725" s="691"/>
      <c r="D2725" s="3"/>
    </row>
    <row r="2726" spans="1:4">
      <c r="A2726" s="691"/>
      <c r="D2726" s="3"/>
    </row>
    <row r="2727" spans="1:4">
      <c r="A2727" s="691"/>
      <c r="D2727" s="3"/>
    </row>
    <row r="2728" spans="1:4">
      <c r="A2728" s="691"/>
      <c r="D2728" s="3"/>
    </row>
    <row r="2729" spans="1:4">
      <c r="A2729" s="691"/>
      <c r="D2729" s="3"/>
    </row>
    <row r="2730" spans="1:4">
      <c r="A2730" s="691"/>
      <c r="D2730" s="3"/>
    </row>
    <row r="2731" spans="1:4">
      <c r="A2731" s="691"/>
      <c r="D2731" s="3"/>
    </row>
    <row r="2732" spans="1:4">
      <c r="A2732" s="691"/>
      <c r="D2732" s="3"/>
    </row>
    <row r="2733" spans="1:4">
      <c r="A2733" s="691"/>
      <c r="D2733" s="3"/>
    </row>
    <row r="2734" spans="1:4">
      <c r="A2734" s="691"/>
      <c r="D2734" s="3"/>
    </row>
    <row r="2735" spans="1:4">
      <c r="A2735" s="691"/>
      <c r="D2735" s="3"/>
    </row>
    <row r="2736" spans="1:4">
      <c r="A2736" s="691"/>
      <c r="D2736" s="3"/>
    </row>
    <row r="2737" spans="1:4">
      <c r="A2737" s="691"/>
      <c r="D2737" s="3"/>
    </row>
    <row r="2738" spans="1:4">
      <c r="A2738" s="691"/>
      <c r="D2738" s="3"/>
    </row>
    <row r="2739" spans="1:4">
      <c r="A2739" s="691"/>
      <c r="D2739" s="3"/>
    </row>
    <row r="2740" spans="1:4">
      <c r="A2740" s="691"/>
      <c r="D2740" s="3"/>
    </row>
    <row r="2741" spans="1:4">
      <c r="A2741" s="691"/>
      <c r="D2741" s="3"/>
    </row>
    <row r="2742" spans="1:4">
      <c r="A2742" s="691"/>
      <c r="D2742" s="3"/>
    </row>
    <row r="2743" spans="1:4">
      <c r="A2743" s="691"/>
      <c r="D2743" s="3"/>
    </row>
    <row r="2744" spans="1:4">
      <c r="A2744" s="691"/>
      <c r="D2744" s="3"/>
    </row>
    <row r="2745" spans="1:4">
      <c r="A2745" s="691"/>
      <c r="D2745" s="3"/>
    </row>
    <row r="2746" spans="1:4">
      <c r="A2746" s="691"/>
      <c r="D2746" s="3"/>
    </row>
    <row r="2747" spans="1:4">
      <c r="A2747" s="691"/>
      <c r="D2747" s="3"/>
    </row>
    <row r="2748" spans="1:4">
      <c r="A2748" s="691"/>
      <c r="D2748" s="3"/>
    </row>
    <row r="2749" spans="1:4">
      <c r="A2749" s="691"/>
      <c r="D2749" s="3"/>
    </row>
    <row r="2750" spans="1:4">
      <c r="A2750" s="691"/>
      <c r="D2750" s="3"/>
    </row>
    <row r="2751" spans="1:4">
      <c r="A2751" s="691"/>
      <c r="D2751" s="3"/>
    </row>
    <row r="2752" spans="1:4">
      <c r="A2752" s="691"/>
      <c r="D2752" s="3"/>
    </row>
    <row r="2753" spans="1:4">
      <c r="A2753" s="691"/>
      <c r="D2753" s="3"/>
    </row>
    <row r="2754" spans="1:4">
      <c r="A2754" s="691"/>
      <c r="D2754" s="3"/>
    </row>
    <row r="2755" spans="1:4">
      <c r="A2755" s="691"/>
      <c r="D2755" s="3"/>
    </row>
    <row r="2756" spans="1:4">
      <c r="A2756" s="691"/>
      <c r="D2756" s="3"/>
    </row>
    <row r="2757" spans="1:4">
      <c r="A2757" s="691"/>
      <c r="D2757" s="3"/>
    </row>
    <row r="2758" spans="1:4">
      <c r="A2758" s="691"/>
      <c r="D2758" s="3"/>
    </row>
    <row r="2759" spans="1:4">
      <c r="A2759" s="691"/>
      <c r="D2759" s="3"/>
    </row>
    <row r="2760" spans="1:4">
      <c r="A2760" s="691"/>
      <c r="D2760" s="3"/>
    </row>
    <row r="2761" spans="1:4">
      <c r="A2761" s="691"/>
      <c r="D2761" s="3"/>
    </row>
    <row r="2762" spans="1:4">
      <c r="A2762" s="691"/>
      <c r="D2762" s="3"/>
    </row>
    <row r="2763" spans="1:4">
      <c r="A2763" s="691"/>
      <c r="D2763" s="3"/>
    </row>
    <row r="2764" spans="1:4">
      <c r="A2764" s="691"/>
      <c r="D2764" s="3"/>
    </row>
    <row r="2765" spans="1:4">
      <c r="A2765" s="691"/>
      <c r="D2765" s="3"/>
    </row>
    <row r="2766" spans="1:4">
      <c r="A2766" s="691"/>
      <c r="D2766" s="3"/>
    </row>
    <row r="2767" spans="1:4">
      <c r="A2767" s="691"/>
      <c r="D2767" s="3"/>
    </row>
    <row r="2768" spans="1:4">
      <c r="A2768" s="691"/>
      <c r="D2768" s="3"/>
    </row>
    <row r="2769" spans="1:4">
      <c r="A2769" s="691"/>
      <c r="D2769" s="3"/>
    </row>
    <row r="2770" spans="1:4">
      <c r="A2770" s="691"/>
      <c r="D2770" s="3"/>
    </row>
    <row r="2771" spans="1:4">
      <c r="A2771" s="691"/>
      <c r="D2771" s="3"/>
    </row>
    <row r="2772" spans="1:4">
      <c r="A2772" s="691"/>
      <c r="D2772" s="3"/>
    </row>
    <row r="2773" spans="1:4">
      <c r="A2773" s="691"/>
      <c r="D2773" s="3"/>
    </row>
    <row r="2774" spans="1:4">
      <c r="A2774" s="691"/>
      <c r="D2774" s="3"/>
    </row>
    <row r="2775" spans="1:4">
      <c r="A2775" s="691"/>
      <c r="D2775" s="3"/>
    </row>
    <row r="2776" spans="1:4">
      <c r="A2776" s="691"/>
      <c r="D2776" s="3"/>
    </row>
    <row r="2777" spans="1:4">
      <c r="A2777" s="691"/>
      <c r="D2777" s="3"/>
    </row>
    <row r="2778" spans="1:4">
      <c r="A2778" s="691"/>
      <c r="D2778" s="3"/>
    </row>
    <row r="2779" spans="1:4">
      <c r="A2779" s="691"/>
      <c r="D2779" s="3"/>
    </row>
    <row r="2780" spans="1:4">
      <c r="A2780" s="691"/>
      <c r="D2780" s="3"/>
    </row>
    <row r="2781" spans="1:4">
      <c r="A2781" s="691"/>
      <c r="D2781" s="3"/>
    </row>
    <row r="2782" spans="1:4">
      <c r="A2782" s="691"/>
      <c r="D2782" s="3"/>
    </row>
    <row r="2783" spans="1:4">
      <c r="A2783" s="691"/>
      <c r="D2783" s="3"/>
    </row>
    <row r="2784" spans="1:4">
      <c r="A2784" s="691"/>
      <c r="D2784" s="3"/>
    </row>
    <row r="2785" spans="1:4">
      <c r="A2785" s="691"/>
      <c r="D2785" s="3"/>
    </row>
    <row r="2786" spans="1:4">
      <c r="A2786" s="691"/>
      <c r="D2786" s="3"/>
    </row>
    <row r="2787" spans="1:4">
      <c r="A2787" s="691"/>
      <c r="D2787" s="3"/>
    </row>
    <row r="2788" spans="1:4">
      <c r="A2788" s="691"/>
      <c r="D2788" s="3"/>
    </row>
    <row r="2789" spans="1:4">
      <c r="A2789" s="691"/>
      <c r="D2789" s="3"/>
    </row>
    <row r="2790" spans="1:4">
      <c r="A2790" s="691"/>
      <c r="D2790" s="3"/>
    </row>
    <row r="2791" spans="1:4">
      <c r="A2791" s="691"/>
      <c r="D2791" s="3"/>
    </row>
    <row r="2792" spans="1:4">
      <c r="A2792" s="691"/>
      <c r="D2792" s="3"/>
    </row>
    <row r="2793" spans="1:4">
      <c r="A2793" s="691"/>
      <c r="D2793" s="3"/>
    </row>
    <row r="2794" spans="1:4">
      <c r="A2794" s="691"/>
      <c r="D2794" s="3"/>
    </row>
    <row r="2795" spans="1:4">
      <c r="A2795" s="691"/>
      <c r="D2795" s="3"/>
    </row>
    <row r="2796" spans="1:4">
      <c r="A2796" s="691"/>
      <c r="D2796" s="3"/>
    </row>
    <row r="2797" spans="1:4">
      <c r="A2797" s="691"/>
      <c r="D2797" s="3"/>
    </row>
    <row r="2798" spans="1:4">
      <c r="A2798" s="691"/>
      <c r="D2798" s="3"/>
    </row>
    <row r="2799" spans="1:4">
      <c r="A2799" s="691"/>
      <c r="D2799" s="3"/>
    </row>
    <row r="2800" spans="1:4">
      <c r="A2800" s="691"/>
      <c r="D2800" s="3"/>
    </row>
    <row r="2801" spans="1:4">
      <c r="A2801" s="691"/>
      <c r="D2801" s="3"/>
    </row>
    <row r="2802" spans="1:4">
      <c r="A2802" s="691"/>
      <c r="D2802" s="3"/>
    </row>
    <row r="2803" spans="1:4">
      <c r="A2803" s="691"/>
      <c r="D2803" s="3"/>
    </row>
    <row r="2804" spans="1:4">
      <c r="A2804" s="691"/>
      <c r="D2804" s="3"/>
    </row>
    <row r="2805" spans="1:4">
      <c r="A2805" s="691"/>
      <c r="D2805" s="3"/>
    </row>
    <row r="2806" spans="1:4">
      <c r="A2806" s="691"/>
      <c r="D2806" s="3"/>
    </row>
    <row r="2807" spans="1:4">
      <c r="A2807" s="691"/>
      <c r="D2807" s="3"/>
    </row>
    <row r="2808" spans="1:4">
      <c r="A2808" s="691"/>
      <c r="D2808" s="3"/>
    </row>
    <row r="2809" spans="1:4">
      <c r="A2809" s="691"/>
      <c r="D2809" s="3"/>
    </row>
    <row r="2810" spans="1:4">
      <c r="A2810" s="691"/>
      <c r="D2810" s="3"/>
    </row>
    <row r="2811" spans="1:4">
      <c r="A2811" s="691"/>
      <c r="D2811" s="3"/>
    </row>
    <row r="2812" spans="1:4">
      <c r="A2812" s="691"/>
      <c r="D2812" s="3"/>
    </row>
    <row r="2813" spans="1:4">
      <c r="A2813" s="691"/>
      <c r="D2813" s="3"/>
    </row>
    <row r="2814" spans="1:4">
      <c r="A2814" s="691"/>
      <c r="D2814" s="3"/>
    </row>
    <row r="2815" spans="1:4">
      <c r="A2815" s="691"/>
      <c r="D2815" s="3"/>
    </row>
    <row r="2816" spans="1:4">
      <c r="A2816" s="691"/>
      <c r="D2816" s="3"/>
    </row>
    <row r="2817" spans="1:4">
      <c r="A2817" s="691"/>
      <c r="D2817" s="3"/>
    </row>
    <row r="2818" spans="1:4">
      <c r="A2818" s="691"/>
      <c r="D2818" s="3"/>
    </row>
    <row r="2819" spans="1:4">
      <c r="A2819" s="691"/>
      <c r="D2819" s="3"/>
    </row>
    <row r="2820" spans="1:4">
      <c r="A2820" s="691"/>
      <c r="D2820" s="3"/>
    </row>
    <row r="2821" spans="1:4">
      <c r="A2821" s="691"/>
      <c r="D2821" s="3"/>
    </row>
    <row r="2822" spans="1:4">
      <c r="A2822" s="691"/>
      <c r="D2822" s="3"/>
    </row>
    <row r="2823" spans="1:4">
      <c r="A2823" s="691"/>
      <c r="D2823" s="3"/>
    </row>
    <row r="2824" spans="1:4">
      <c r="A2824" s="691"/>
      <c r="D2824" s="3"/>
    </row>
    <row r="2825" spans="1:4">
      <c r="A2825" s="691"/>
      <c r="D2825" s="3"/>
    </row>
    <row r="2826" spans="1:4">
      <c r="A2826" s="691"/>
      <c r="D2826" s="3"/>
    </row>
    <row r="2827" spans="1:4">
      <c r="A2827" s="691"/>
      <c r="D2827" s="3"/>
    </row>
    <row r="2828" spans="1:4">
      <c r="A2828" s="691"/>
      <c r="D2828" s="3"/>
    </row>
    <row r="2829" spans="1:4">
      <c r="A2829" s="691"/>
      <c r="D2829" s="3"/>
    </row>
    <row r="2830" spans="1:4">
      <c r="A2830" s="691"/>
      <c r="D2830" s="3"/>
    </row>
    <row r="2831" spans="1:4">
      <c r="A2831" s="691"/>
      <c r="D2831" s="3"/>
    </row>
    <row r="2832" spans="1:4">
      <c r="A2832" s="691"/>
      <c r="D2832" s="3"/>
    </row>
    <row r="2833" spans="1:4">
      <c r="A2833" s="691"/>
      <c r="D2833" s="3"/>
    </row>
    <row r="2834" spans="1:4">
      <c r="A2834" s="691"/>
      <c r="D2834" s="3"/>
    </row>
    <row r="2835" spans="1:4">
      <c r="A2835" s="691"/>
      <c r="D2835" s="3"/>
    </row>
    <row r="2836" spans="1:4">
      <c r="A2836" s="691"/>
      <c r="D2836" s="3"/>
    </row>
    <row r="2837" spans="1:4">
      <c r="A2837" s="691"/>
      <c r="D2837" s="3"/>
    </row>
    <row r="2838" spans="1:4">
      <c r="A2838" s="691"/>
      <c r="D2838" s="3"/>
    </row>
    <row r="2839" spans="1:4">
      <c r="A2839" s="691"/>
      <c r="D2839" s="3"/>
    </row>
    <row r="2840" spans="1:4">
      <c r="A2840" s="691"/>
      <c r="D2840" s="3"/>
    </row>
    <row r="2841" spans="1:4">
      <c r="A2841" s="691"/>
      <c r="D2841" s="3"/>
    </row>
    <row r="2842" spans="1:4">
      <c r="A2842" s="691"/>
      <c r="D2842" s="3"/>
    </row>
    <row r="2843" spans="1:4">
      <c r="A2843" s="691"/>
      <c r="D2843" s="3"/>
    </row>
    <row r="2844" spans="1:4">
      <c r="A2844" s="691"/>
      <c r="D2844" s="3"/>
    </row>
    <row r="2845" spans="1:4">
      <c r="A2845" s="691"/>
      <c r="D2845" s="3"/>
    </row>
    <row r="2846" spans="1:4">
      <c r="A2846" s="691"/>
      <c r="D2846" s="3"/>
    </row>
    <row r="2847" spans="1:4">
      <c r="A2847" s="691"/>
      <c r="D2847" s="3"/>
    </row>
    <row r="2848" spans="1:4">
      <c r="A2848" s="691"/>
      <c r="D2848" s="3"/>
    </row>
    <row r="2849" spans="1:4">
      <c r="A2849" s="691"/>
      <c r="D2849" s="3"/>
    </row>
    <row r="2850" spans="1:4">
      <c r="A2850" s="691"/>
      <c r="D2850" s="3"/>
    </row>
    <row r="2851" spans="1:4">
      <c r="A2851" s="691"/>
      <c r="D2851" s="3"/>
    </row>
    <row r="2852" spans="1:4">
      <c r="A2852" s="691"/>
      <c r="D2852" s="3"/>
    </row>
    <row r="2853" spans="1:4">
      <c r="A2853" s="691"/>
      <c r="D2853" s="3"/>
    </row>
    <row r="2854" spans="1:4">
      <c r="A2854" s="691"/>
      <c r="D2854" s="3"/>
    </row>
    <row r="2855" spans="1:4">
      <c r="A2855" s="691"/>
      <c r="D2855" s="3"/>
    </row>
    <row r="2856" spans="1:4">
      <c r="A2856" s="691"/>
      <c r="D2856" s="3"/>
    </row>
    <row r="2857" spans="1:4">
      <c r="A2857" s="691"/>
      <c r="D2857" s="3"/>
    </row>
    <row r="2858" spans="1:4">
      <c r="A2858" s="691"/>
      <c r="D2858" s="3"/>
    </row>
    <row r="2859" spans="1:4">
      <c r="A2859" s="691"/>
      <c r="D2859" s="3"/>
    </row>
    <row r="2860" spans="1:4">
      <c r="A2860" s="691"/>
      <c r="D2860" s="3"/>
    </row>
    <row r="2861" spans="1:4">
      <c r="A2861" s="691"/>
      <c r="D2861" s="3"/>
    </row>
    <row r="2862" spans="1:4">
      <c r="A2862" s="691"/>
      <c r="D2862" s="3"/>
    </row>
    <row r="2863" spans="1:4">
      <c r="A2863" s="691"/>
      <c r="D2863" s="3"/>
    </row>
    <row r="2864" spans="1:4">
      <c r="A2864" s="691"/>
      <c r="D2864" s="3"/>
    </row>
    <row r="2865" spans="1:4">
      <c r="A2865" s="691"/>
      <c r="D2865" s="3"/>
    </row>
    <row r="2866" spans="1:4">
      <c r="A2866" s="691"/>
      <c r="D2866" s="3"/>
    </row>
    <row r="2867" spans="1:4">
      <c r="A2867" s="691"/>
      <c r="D2867" s="3"/>
    </row>
    <row r="2868" spans="1:4">
      <c r="A2868" s="691"/>
      <c r="D2868" s="3"/>
    </row>
    <row r="2869" spans="1:4">
      <c r="A2869" s="691"/>
      <c r="D2869" s="3"/>
    </row>
    <row r="2870" spans="1:4">
      <c r="A2870" s="691"/>
      <c r="D2870" s="3"/>
    </row>
    <row r="2871" spans="1:4">
      <c r="A2871" s="691"/>
      <c r="D2871" s="3"/>
    </row>
    <row r="2872" spans="1:4">
      <c r="A2872" s="691"/>
      <c r="D2872" s="3"/>
    </row>
    <row r="2873" spans="1:4">
      <c r="A2873" s="691"/>
      <c r="D2873" s="3"/>
    </row>
    <row r="2874" spans="1:4">
      <c r="A2874" s="691"/>
      <c r="D2874" s="3"/>
    </row>
    <row r="2875" spans="1:4">
      <c r="A2875" s="691"/>
      <c r="D2875" s="3"/>
    </row>
    <row r="2876" spans="1:4">
      <c r="A2876" s="691"/>
      <c r="D2876" s="3"/>
    </row>
    <row r="2877" spans="1:4">
      <c r="A2877" s="691"/>
      <c r="D2877" s="3"/>
    </row>
    <row r="2878" spans="1:4">
      <c r="A2878" s="691"/>
      <c r="D2878" s="3"/>
    </row>
    <row r="2879" spans="1:4">
      <c r="A2879" s="691"/>
      <c r="D2879" s="3"/>
    </row>
    <row r="2880" spans="1:4">
      <c r="A2880" s="691"/>
      <c r="D2880" s="3"/>
    </row>
    <row r="2881" spans="1:4">
      <c r="A2881" s="691"/>
      <c r="D2881" s="3"/>
    </row>
    <row r="2882" spans="1:4">
      <c r="A2882" s="691"/>
      <c r="D2882" s="3"/>
    </row>
    <row r="2883" spans="1:4">
      <c r="A2883" s="691"/>
      <c r="D2883" s="3"/>
    </row>
    <row r="2884" spans="1:4">
      <c r="A2884" s="691"/>
      <c r="D2884" s="3"/>
    </row>
    <row r="2885" spans="1:4">
      <c r="A2885" s="691"/>
      <c r="D2885" s="3"/>
    </row>
    <row r="2886" spans="1:4">
      <c r="A2886" s="691"/>
      <c r="D2886" s="3"/>
    </row>
    <row r="2887" spans="1:4">
      <c r="A2887" s="691"/>
      <c r="D2887" s="3"/>
    </row>
    <row r="2888" spans="1:4">
      <c r="A2888" s="691"/>
      <c r="D2888" s="3"/>
    </row>
    <row r="2889" spans="1:4">
      <c r="A2889" s="691"/>
      <c r="D2889" s="3"/>
    </row>
    <row r="2890" spans="1:4">
      <c r="A2890" s="691"/>
      <c r="D2890" s="3"/>
    </row>
    <row r="2891" spans="1:4">
      <c r="A2891" s="691"/>
      <c r="D2891" s="3"/>
    </row>
    <row r="2892" spans="1:4">
      <c r="A2892" s="691"/>
      <c r="D2892" s="3"/>
    </row>
    <row r="2893" spans="1:4">
      <c r="A2893" s="691"/>
      <c r="D2893" s="3"/>
    </row>
    <row r="2894" spans="1:4">
      <c r="A2894" s="691"/>
      <c r="D2894" s="3"/>
    </row>
    <row r="2895" spans="1:4">
      <c r="A2895" s="691"/>
      <c r="D2895" s="3"/>
    </row>
    <row r="2896" spans="1:4">
      <c r="A2896" s="691"/>
      <c r="D2896" s="3"/>
    </row>
    <row r="2897" spans="1:4">
      <c r="A2897" s="691"/>
      <c r="D2897" s="3"/>
    </row>
    <row r="2898" spans="1:4">
      <c r="A2898" s="691"/>
      <c r="D2898" s="3"/>
    </row>
    <row r="2899" spans="1:4">
      <c r="A2899" s="691"/>
      <c r="D2899" s="3"/>
    </row>
    <row r="2900" spans="1:4">
      <c r="A2900" s="691"/>
      <c r="D2900" s="3"/>
    </row>
    <row r="2901" spans="1:4">
      <c r="A2901" s="691"/>
      <c r="D2901" s="3"/>
    </row>
    <row r="2902" spans="1:4">
      <c r="A2902" s="691"/>
      <c r="D2902" s="3"/>
    </row>
    <row r="2903" spans="1:4">
      <c r="A2903" s="691"/>
      <c r="D2903" s="3"/>
    </row>
    <row r="2904" spans="1:4">
      <c r="A2904" s="691"/>
      <c r="D2904" s="3"/>
    </row>
    <row r="2905" spans="1:4">
      <c r="A2905" s="691"/>
      <c r="D2905" s="3"/>
    </row>
    <row r="2906" spans="1:4">
      <c r="A2906" s="691"/>
      <c r="D2906" s="3"/>
    </row>
    <row r="2907" spans="1:4">
      <c r="A2907" s="691"/>
      <c r="D2907" s="3"/>
    </row>
    <row r="2908" spans="1:4">
      <c r="A2908" s="691"/>
      <c r="D2908" s="3"/>
    </row>
    <row r="2909" spans="1:4">
      <c r="A2909" s="691"/>
      <c r="D2909" s="3"/>
    </row>
    <row r="2910" spans="1:4">
      <c r="A2910" s="691"/>
      <c r="D2910" s="3"/>
    </row>
    <row r="2911" spans="1:4">
      <c r="A2911" s="691"/>
      <c r="D2911" s="3"/>
    </row>
    <row r="2912" spans="1:4">
      <c r="A2912" s="691"/>
      <c r="D2912" s="3"/>
    </row>
    <row r="2913" spans="1:4">
      <c r="A2913" s="691"/>
      <c r="D2913" s="3"/>
    </row>
    <row r="2914" spans="1:4">
      <c r="A2914" s="691"/>
      <c r="D2914" s="3"/>
    </row>
    <row r="2915" spans="1:4">
      <c r="A2915" s="691"/>
      <c r="D2915" s="3"/>
    </row>
    <row r="2916" spans="1:4">
      <c r="A2916" s="691"/>
      <c r="D2916" s="3"/>
    </row>
    <row r="2917" spans="1:4">
      <c r="A2917" s="691"/>
      <c r="D2917" s="3"/>
    </row>
    <row r="2918" spans="1:4">
      <c r="A2918" s="691"/>
      <c r="D2918" s="3"/>
    </row>
    <row r="2919" spans="1:4">
      <c r="A2919" s="691"/>
      <c r="D2919" s="3"/>
    </row>
    <row r="2920" spans="1:4">
      <c r="A2920" s="691"/>
      <c r="D2920" s="3"/>
    </row>
    <row r="2921" spans="1:4">
      <c r="A2921" s="691"/>
      <c r="D2921" s="3"/>
    </row>
    <row r="2922" spans="1:4">
      <c r="A2922" s="691"/>
      <c r="D2922" s="3"/>
    </row>
    <row r="2923" spans="1:4">
      <c r="A2923" s="691"/>
      <c r="D2923" s="3"/>
    </row>
    <row r="2924" spans="1:4">
      <c r="A2924" s="691"/>
      <c r="D2924" s="3"/>
    </row>
    <row r="2925" spans="1:4">
      <c r="A2925" s="691"/>
      <c r="D2925" s="3"/>
    </row>
    <row r="2926" spans="1:4">
      <c r="A2926" s="691"/>
      <c r="D2926" s="3"/>
    </row>
    <row r="2927" spans="1:4">
      <c r="A2927" s="691"/>
      <c r="D2927" s="3"/>
    </row>
    <row r="2928" spans="1:4">
      <c r="A2928" s="691"/>
      <c r="D2928" s="3"/>
    </row>
    <row r="2929" spans="1:4">
      <c r="A2929" s="691"/>
      <c r="D2929" s="3"/>
    </row>
    <row r="2930" spans="1:4">
      <c r="A2930" s="691"/>
      <c r="D2930" s="3"/>
    </row>
    <row r="2931" spans="1:4">
      <c r="A2931" s="691"/>
      <c r="D2931" s="3"/>
    </row>
    <row r="2932" spans="1:4">
      <c r="A2932" s="691"/>
      <c r="D2932" s="3"/>
    </row>
    <row r="2933" spans="1:4">
      <c r="A2933" s="691"/>
      <c r="D2933" s="3"/>
    </row>
    <row r="2934" spans="1:4">
      <c r="A2934" s="691"/>
      <c r="D2934" s="3"/>
    </row>
    <row r="2935" spans="1:4">
      <c r="A2935" s="691"/>
      <c r="D2935" s="3"/>
    </row>
    <row r="2936" spans="1:4">
      <c r="A2936" s="691"/>
      <c r="D2936" s="3"/>
    </row>
    <row r="2937" spans="1:4">
      <c r="A2937" s="691"/>
      <c r="D2937" s="3"/>
    </row>
    <row r="2938" spans="1:4">
      <c r="A2938" s="691"/>
      <c r="D2938" s="3"/>
    </row>
    <row r="2939" spans="1:4">
      <c r="A2939" s="691"/>
      <c r="D2939" s="3"/>
    </row>
    <row r="2940" spans="1:4">
      <c r="A2940" s="691"/>
      <c r="D2940" s="3"/>
    </row>
    <row r="2941" spans="1:4">
      <c r="A2941" s="691"/>
      <c r="D2941" s="3"/>
    </row>
    <row r="2942" spans="1:4">
      <c r="A2942" s="691"/>
      <c r="D2942" s="3"/>
    </row>
    <row r="2943" spans="1:4">
      <c r="A2943" s="691"/>
      <c r="D2943" s="3"/>
    </row>
    <row r="2944" spans="1:4">
      <c r="A2944" s="691"/>
      <c r="D2944" s="3"/>
    </row>
    <row r="2945" spans="1:4">
      <c r="A2945" s="691"/>
      <c r="D2945" s="3"/>
    </row>
    <row r="2946" spans="1:4">
      <c r="A2946" s="691"/>
      <c r="D2946" s="3"/>
    </row>
    <row r="2947" spans="1:4">
      <c r="A2947" s="691"/>
      <c r="D2947" s="3"/>
    </row>
    <row r="2948" spans="1:4">
      <c r="A2948" s="691"/>
      <c r="D2948" s="3"/>
    </row>
    <row r="2949" spans="1:4">
      <c r="A2949" s="691"/>
      <c r="D2949" s="3"/>
    </row>
    <row r="2950" spans="1:4">
      <c r="A2950" s="691"/>
      <c r="D2950" s="3"/>
    </row>
    <row r="2951" spans="1:4">
      <c r="A2951" s="691"/>
      <c r="D2951" s="3"/>
    </row>
    <row r="2952" spans="1:4">
      <c r="A2952" s="691"/>
      <c r="D2952" s="3"/>
    </row>
    <row r="2953" spans="1:4">
      <c r="A2953" s="691"/>
      <c r="D2953" s="3"/>
    </row>
    <row r="2954" spans="1:4">
      <c r="A2954" s="691"/>
      <c r="D2954" s="3"/>
    </row>
    <row r="2955" spans="1:4">
      <c r="A2955" s="691"/>
      <c r="D2955" s="3"/>
    </row>
    <row r="2956" spans="1:4">
      <c r="A2956" s="691"/>
      <c r="D2956" s="3"/>
    </row>
    <row r="2957" spans="1:4">
      <c r="A2957" s="691"/>
      <c r="D2957" s="3"/>
    </row>
    <row r="2958" spans="1:4">
      <c r="A2958" s="691"/>
      <c r="D2958" s="3"/>
    </row>
    <row r="2959" spans="1:4">
      <c r="A2959" s="691"/>
      <c r="D2959" s="3"/>
    </row>
    <row r="2960" spans="1:4">
      <c r="A2960" s="691"/>
      <c r="D2960" s="3"/>
    </row>
    <row r="2961" spans="1:4">
      <c r="A2961" s="691"/>
      <c r="D2961" s="3"/>
    </row>
    <row r="2962" spans="1:4">
      <c r="A2962" s="691"/>
      <c r="D2962" s="3"/>
    </row>
    <row r="2963" spans="1:4">
      <c r="A2963" s="691"/>
      <c r="D2963" s="3"/>
    </row>
    <row r="2964" spans="1:4">
      <c r="A2964" s="691"/>
      <c r="D2964" s="3"/>
    </row>
    <row r="2965" spans="1:4">
      <c r="A2965" s="691"/>
      <c r="D2965" s="3"/>
    </row>
    <row r="2966" spans="1:4">
      <c r="A2966" s="691"/>
      <c r="D2966" s="3"/>
    </row>
    <row r="2967" spans="1:4">
      <c r="A2967" s="691"/>
      <c r="D2967" s="3"/>
    </row>
    <row r="2968" spans="1:4">
      <c r="A2968" s="691"/>
      <c r="D2968" s="3"/>
    </row>
    <row r="2969" spans="1:4">
      <c r="A2969" s="691"/>
      <c r="D2969" s="3"/>
    </row>
    <row r="2970" spans="1:4">
      <c r="A2970" s="691"/>
      <c r="D2970" s="3"/>
    </row>
    <row r="2971" spans="1:4">
      <c r="A2971" s="691"/>
      <c r="D2971" s="3"/>
    </row>
    <row r="2972" spans="1:4">
      <c r="A2972" s="691"/>
      <c r="D2972" s="3"/>
    </row>
    <row r="2973" spans="1:4">
      <c r="A2973" s="691"/>
      <c r="D2973" s="3"/>
    </row>
    <row r="2974" spans="1:4">
      <c r="A2974" s="691"/>
      <c r="D2974" s="3"/>
    </row>
    <row r="2975" spans="1:4">
      <c r="A2975" s="691"/>
      <c r="D2975" s="3"/>
    </row>
    <row r="2976" spans="1:4">
      <c r="A2976" s="691"/>
      <c r="D2976" s="3"/>
    </row>
    <row r="2977" spans="1:4">
      <c r="A2977" s="691"/>
      <c r="D2977" s="3"/>
    </row>
    <row r="2978" spans="1:4">
      <c r="A2978" s="691"/>
      <c r="D2978" s="3"/>
    </row>
    <row r="2979" spans="1:4">
      <c r="A2979" s="691"/>
      <c r="D2979" s="3"/>
    </row>
    <row r="2980" spans="1:4">
      <c r="A2980" s="691"/>
      <c r="D2980" s="3"/>
    </row>
    <row r="2981" spans="1:4">
      <c r="A2981" s="691"/>
      <c r="D2981" s="3"/>
    </row>
    <row r="2982" spans="1:4">
      <c r="A2982" s="691"/>
      <c r="D2982" s="3"/>
    </row>
    <row r="2983" spans="1:4">
      <c r="A2983" s="691"/>
      <c r="D2983" s="3"/>
    </row>
    <row r="2984" spans="1:4">
      <c r="A2984" s="691"/>
      <c r="D2984" s="3"/>
    </row>
    <row r="2985" spans="1:4">
      <c r="A2985" s="691"/>
      <c r="D2985" s="3"/>
    </row>
    <row r="2986" spans="1:4">
      <c r="A2986" s="691"/>
      <c r="D2986" s="3"/>
    </row>
    <row r="2987" spans="1:4">
      <c r="A2987" s="691"/>
      <c r="D2987" s="3"/>
    </row>
    <row r="2988" spans="1:4">
      <c r="A2988" s="691"/>
      <c r="D2988" s="3"/>
    </row>
    <row r="2989" spans="1:4">
      <c r="A2989" s="691"/>
      <c r="D2989" s="3"/>
    </row>
    <row r="2990" spans="1:4">
      <c r="A2990" s="691"/>
      <c r="D2990" s="3"/>
    </row>
    <row r="2991" spans="1:4">
      <c r="A2991" s="691"/>
      <c r="D2991" s="3"/>
    </row>
    <row r="2992" spans="1:4">
      <c r="A2992" s="691"/>
      <c r="D2992" s="3"/>
    </row>
    <row r="2993" spans="1:4">
      <c r="A2993" s="691"/>
      <c r="D2993" s="3"/>
    </row>
    <row r="2994" spans="1:4">
      <c r="A2994" s="691"/>
      <c r="D2994" s="3"/>
    </row>
    <row r="2995" spans="1:4">
      <c r="A2995" s="691"/>
      <c r="D2995" s="3"/>
    </row>
    <row r="2996" spans="1:4">
      <c r="A2996" s="691"/>
      <c r="D2996" s="3"/>
    </row>
    <row r="2997" spans="1:4">
      <c r="A2997" s="691"/>
      <c r="D2997" s="3"/>
    </row>
    <row r="2998" spans="1:4">
      <c r="A2998" s="691"/>
      <c r="D2998" s="3"/>
    </row>
    <row r="2999" spans="1:4">
      <c r="A2999" s="691"/>
      <c r="D2999" s="3"/>
    </row>
    <row r="3000" spans="1:4">
      <c r="A3000" s="691"/>
      <c r="D3000" s="3"/>
    </row>
    <row r="3001" spans="1:4">
      <c r="A3001" s="691"/>
      <c r="D3001" s="3"/>
    </row>
    <row r="3002" spans="1:4">
      <c r="A3002" s="691"/>
      <c r="D3002" s="3"/>
    </row>
    <row r="3003" spans="1:4">
      <c r="A3003" s="691"/>
      <c r="D3003" s="3"/>
    </row>
    <row r="3004" spans="1:4">
      <c r="A3004" s="691"/>
      <c r="D3004" s="3"/>
    </row>
    <row r="3005" spans="1:4">
      <c r="A3005" s="691"/>
      <c r="D3005" s="3"/>
    </row>
    <row r="3006" spans="1:4">
      <c r="A3006" s="691"/>
      <c r="D3006" s="3"/>
    </row>
    <row r="3007" spans="1:4">
      <c r="A3007" s="691"/>
      <c r="D3007" s="3"/>
    </row>
    <row r="3008" spans="1:4">
      <c r="A3008" s="691"/>
      <c r="D3008" s="3"/>
    </row>
    <row r="3009" spans="1:4">
      <c r="A3009" s="691"/>
      <c r="D3009" s="3"/>
    </row>
    <row r="3010" spans="1:4">
      <c r="A3010" s="691"/>
      <c r="D3010" s="3"/>
    </row>
    <row r="3011" spans="1:4">
      <c r="A3011" s="691"/>
      <c r="D3011" s="3"/>
    </row>
    <row r="3012" spans="1:4">
      <c r="A3012" s="691"/>
      <c r="D3012" s="3"/>
    </row>
    <row r="3013" spans="1:4">
      <c r="A3013" s="691"/>
      <c r="D3013" s="3"/>
    </row>
    <row r="3014" spans="1:4">
      <c r="A3014" s="691"/>
      <c r="D3014" s="3"/>
    </row>
    <row r="3015" spans="1:4">
      <c r="A3015" s="691"/>
      <c r="D3015" s="3"/>
    </row>
    <row r="3016" spans="1:4">
      <c r="A3016" s="691"/>
      <c r="D3016" s="3"/>
    </row>
    <row r="3017" spans="1:4">
      <c r="A3017" s="691"/>
      <c r="D3017" s="3"/>
    </row>
    <row r="3018" spans="1:4">
      <c r="A3018" s="691"/>
      <c r="D3018" s="3"/>
    </row>
    <row r="3019" spans="1:4">
      <c r="A3019" s="691"/>
      <c r="D3019" s="3"/>
    </row>
    <row r="3020" spans="1:4">
      <c r="A3020" s="691"/>
      <c r="D3020" s="3"/>
    </row>
    <row r="3021" spans="1:4">
      <c r="A3021" s="691"/>
      <c r="D3021" s="3"/>
    </row>
    <row r="3022" spans="1:4">
      <c r="A3022" s="691"/>
      <c r="D3022" s="3"/>
    </row>
    <row r="3023" spans="1:4">
      <c r="A3023" s="691"/>
      <c r="D3023" s="3"/>
    </row>
    <row r="3024" spans="1:4">
      <c r="A3024" s="691"/>
      <c r="D3024" s="3"/>
    </row>
    <row r="3025" spans="1:4">
      <c r="A3025" s="691"/>
      <c r="D3025" s="3"/>
    </row>
    <row r="3026" spans="1:4">
      <c r="A3026" s="691"/>
      <c r="D3026" s="3"/>
    </row>
    <row r="3027" spans="1:4">
      <c r="A3027" s="691"/>
      <c r="D3027" s="3"/>
    </row>
    <row r="3028" spans="1:4">
      <c r="A3028" s="691"/>
      <c r="D3028" s="3"/>
    </row>
    <row r="3029" spans="1:4">
      <c r="A3029" s="691"/>
      <c r="D3029" s="3"/>
    </row>
    <row r="3030" spans="1:4">
      <c r="A3030" s="691"/>
      <c r="D3030" s="3"/>
    </row>
    <row r="3031" spans="1:4">
      <c r="A3031" s="691"/>
      <c r="D3031" s="3"/>
    </row>
    <row r="3032" spans="1:4">
      <c r="A3032" s="691"/>
      <c r="D3032" s="3"/>
    </row>
    <row r="3033" spans="1:4">
      <c r="A3033" s="691"/>
      <c r="D3033" s="3"/>
    </row>
    <row r="3034" spans="1:4">
      <c r="A3034" s="691"/>
      <c r="D3034" s="3"/>
    </row>
    <row r="3035" spans="1:4">
      <c r="A3035" s="691"/>
      <c r="D3035" s="3"/>
    </row>
    <row r="3036" spans="1:4">
      <c r="A3036" s="691"/>
      <c r="D3036" s="3"/>
    </row>
    <row r="3037" spans="1:4">
      <c r="A3037" s="691"/>
      <c r="D3037" s="3"/>
    </row>
    <row r="3038" spans="1:4">
      <c r="A3038" s="691"/>
      <c r="D3038" s="3"/>
    </row>
    <row r="3039" spans="1:4">
      <c r="A3039" s="691"/>
      <c r="D3039" s="3"/>
    </row>
    <row r="3040" spans="1:4">
      <c r="A3040" s="691"/>
      <c r="D3040" s="3"/>
    </row>
    <row r="3041" spans="1:4">
      <c r="A3041" s="691"/>
      <c r="D3041" s="3"/>
    </row>
    <row r="3042" spans="1:4">
      <c r="A3042" s="691"/>
      <c r="D3042" s="3"/>
    </row>
    <row r="3043" spans="1:4">
      <c r="A3043" s="691"/>
      <c r="D3043" s="3"/>
    </row>
    <row r="3044" spans="1:4">
      <c r="A3044" s="691"/>
      <c r="D3044" s="3"/>
    </row>
    <row r="3045" spans="1:4">
      <c r="A3045" s="691"/>
      <c r="D3045" s="3"/>
    </row>
    <row r="3046" spans="1:4">
      <c r="A3046" s="691"/>
      <c r="D3046" s="3"/>
    </row>
    <row r="3047" spans="1:4">
      <c r="A3047" s="691"/>
      <c r="D3047" s="3"/>
    </row>
    <row r="3048" spans="1:4">
      <c r="A3048" s="691"/>
      <c r="D3048" s="3"/>
    </row>
    <row r="3049" spans="1:4">
      <c r="A3049" s="691"/>
      <c r="D3049" s="3"/>
    </row>
    <row r="3050" spans="1:4">
      <c r="A3050" s="691"/>
      <c r="D3050" s="3"/>
    </row>
    <row r="3051" spans="1:4">
      <c r="A3051" s="691"/>
      <c r="D3051" s="3"/>
    </row>
    <row r="3052" spans="1:4">
      <c r="A3052" s="691"/>
      <c r="D3052" s="3"/>
    </row>
    <row r="3053" spans="1:4">
      <c r="A3053" s="691"/>
      <c r="D3053" s="3"/>
    </row>
    <row r="3054" spans="1:4">
      <c r="A3054" s="691"/>
      <c r="D3054" s="3"/>
    </row>
    <row r="3055" spans="1:4">
      <c r="A3055" s="691"/>
      <c r="D3055" s="3"/>
    </row>
    <row r="3056" spans="1:4">
      <c r="A3056" s="691"/>
      <c r="D3056" s="3"/>
    </row>
    <row r="3057" spans="1:4">
      <c r="A3057" s="691"/>
      <c r="D3057" s="3"/>
    </row>
    <row r="3058" spans="1:4">
      <c r="A3058" s="691"/>
      <c r="D3058" s="3"/>
    </row>
    <row r="3059" spans="1:4">
      <c r="A3059" s="691"/>
      <c r="D3059" s="3"/>
    </row>
    <row r="3060" spans="1:4">
      <c r="A3060" s="691"/>
      <c r="D3060" s="3"/>
    </row>
    <row r="3061" spans="1:4">
      <c r="A3061" s="691"/>
      <c r="D3061" s="3"/>
    </row>
    <row r="3062" spans="1:4">
      <c r="A3062" s="691"/>
      <c r="D3062" s="3"/>
    </row>
    <row r="3063" spans="1:4">
      <c r="A3063" s="691"/>
      <c r="D3063" s="3"/>
    </row>
    <row r="3064" spans="1:4">
      <c r="A3064" s="691"/>
      <c r="D3064" s="3"/>
    </row>
    <row r="3065" spans="1:4">
      <c r="A3065" s="691"/>
      <c r="D3065" s="3"/>
    </row>
    <row r="3066" spans="1:4">
      <c r="A3066" s="691"/>
      <c r="D3066" s="3"/>
    </row>
    <row r="3067" spans="1:4">
      <c r="A3067" s="691"/>
      <c r="D3067" s="3"/>
    </row>
    <row r="3068" spans="1:4">
      <c r="A3068" s="691"/>
      <c r="D3068" s="3"/>
    </row>
    <row r="3069" spans="1:4">
      <c r="A3069" s="691"/>
      <c r="D3069" s="3"/>
    </row>
    <row r="3070" spans="1:4">
      <c r="A3070" s="691"/>
      <c r="D3070" s="3"/>
    </row>
    <row r="3071" spans="1:4">
      <c r="A3071" s="691"/>
      <c r="D3071" s="3"/>
    </row>
    <row r="3072" spans="1:4">
      <c r="A3072" s="691"/>
      <c r="D3072" s="3"/>
    </row>
    <row r="3073" spans="1:4">
      <c r="A3073" s="691"/>
      <c r="D3073" s="3"/>
    </row>
    <row r="3074" spans="1:4">
      <c r="A3074" s="691"/>
      <c r="D3074" s="3"/>
    </row>
    <row r="3075" spans="1:4">
      <c r="A3075" s="691"/>
      <c r="D3075" s="3"/>
    </row>
    <row r="3076" spans="1:4">
      <c r="A3076" s="691"/>
      <c r="D3076" s="3"/>
    </row>
    <row r="3077" spans="1:4">
      <c r="A3077" s="691"/>
      <c r="D3077" s="3"/>
    </row>
    <row r="3078" spans="1:4">
      <c r="A3078" s="691"/>
      <c r="D3078" s="3"/>
    </row>
    <row r="3079" spans="1:4">
      <c r="A3079" s="691"/>
      <c r="D3079" s="3"/>
    </row>
    <row r="3080" spans="1:4">
      <c r="A3080" s="691"/>
      <c r="D3080" s="3"/>
    </row>
    <row r="3081" spans="1:4">
      <c r="A3081" s="691"/>
      <c r="D3081" s="3"/>
    </row>
    <row r="3082" spans="1:4">
      <c r="A3082" s="691"/>
      <c r="D3082" s="3"/>
    </row>
    <row r="3083" spans="1:4">
      <c r="A3083" s="691"/>
      <c r="D3083" s="3"/>
    </row>
    <row r="3084" spans="1:4">
      <c r="A3084" s="691"/>
      <c r="D3084" s="3"/>
    </row>
    <row r="3085" spans="1:4">
      <c r="A3085" s="691"/>
      <c r="D3085" s="3"/>
    </row>
    <row r="3086" spans="1:4">
      <c r="A3086" s="691"/>
      <c r="D3086" s="3"/>
    </row>
    <row r="3087" spans="1:4">
      <c r="A3087" s="691"/>
      <c r="D3087" s="3"/>
    </row>
    <row r="3088" spans="1:4">
      <c r="A3088" s="691"/>
      <c r="D3088" s="3"/>
    </row>
    <row r="3089" spans="1:4">
      <c r="A3089" s="691"/>
      <c r="D3089" s="3"/>
    </row>
    <row r="3090" spans="1:4">
      <c r="A3090" s="691"/>
      <c r="D3090" s="3"/>
    </row>
    <row r="3091" spans="1:4">
      <c r="A3091" s="691"/>
      <c r="D3091" s="3"/>
    </row>
    <row r="3092" spans="1:4">
      <c r="A3092" s="691"/>
      <c r="D3092" s="3"/>
    </row>
    <row r="3093" spans="1:4">
      <c r="A3093" s="691"/>
      <c r="D3093" s="3"/>
    </row>
    <row r="3094" spans="1:4">
      <c r="A3094" s="691"/>
      <c r="D3094" s="3"/>
    </row>
    <row r="3095" spans="1:4">
      <c r="A3095" s="691"/>
      <c r="D3095" s="3"/>
    </row>
    <row r="3096" spans="1:4">
      <c r="A3096" s="691"/>
      <c r="D3096" s="3"/>
    </row>
    <row r="3097" spans="1:4">
      <c r="A3097" s="691"/>
      <c r="D3097" s="3"/>
    </row>
    <row r="3098" spans="1:4">
      <c r="A3098" s="691"/>
      <c r="D3098" s="3"/>
    </row>
    <row r="3099" spans="1:4">
      <c r="A3099" s="691"/>
      <c r="D3099" s="3"/>
    </row>
    <row r="3100" spans="1:4">
      <c r="A3100" s="691"/>
      <c r="D3100" s="3"/>
    </row>
    <row r="3101" spans="1:4">
      <c r="A3101" s="691"/>
      <c r="D3101" s="3"/>
    </row>
    <row r="3102" spans="1:4">
      <c r="A3102" s="691"/>
      <c r="D3102" s="3"/>
    </row>
    <row r="3103" spans="1:4">
      <c r="A3103" s="691"/>
      <c r="D3103" s="3"/>
    </row>
    <row r="3104" spans="1:4">
      <c r="A3104" s="691"/>
      <c r="D3104" s="3"/>
    </row>
    <row r="3105" spans="1:4">
      <c r="A3105" s="691"/>
      <c r="D3105" s="3"/>
    </row>
    <row r="3106" spans="1:4">
      <c r="A3106" s="691"/>
      <c r="D3106" s="3"/>
    </row>
    <row r="3107" spans="1:4">
      <c r="A3107" s="691"/>
      <c r="D3107" s="3"/>
    </row>
    <row r="3108" spans="1:4">
      <c r="A3108" s="691"/>
      <c r="D3108" s="3"/>
    </row>
    <row r="3109" spans="1:4">
      <c r="A3109" s="691"/>
      <c r="D3109" s="3"/>
    </row>
    <row r="3110" spans="1:4">
      <c r="A3110" s="691"/>
      <c r="D3110" s="3"/>
    </row>
    <row r="3111" spans="1:4">
      <c r="A3111" s="691"/>
      <c r="D3111" s="3"/>
    </row>
    <row r="3112" spans="1:4">
      <c r="A3112" s="691"/>
      <c r="D3112" s="3"/>
    </row>
    <row r="3113" spans="1:4">
      <c r="A3113" s="691"/>
      <c r="D3113" s="3"/>
    </row>
    <row r="3114" spans="1:4">
      <c r="A3114" s="691"/>
      <c r="D3114" s="3"/>
    </row>
    <row r="3115" spans="1:4">
      <c r="A3115" s="691"/>
      <c r="D3115" s="3"/>
    </row>
    <row r="3116" spans="1:4">
      <c r="A3116" s="691"/>
      <c r="D3116" s="3"/>
    </row>
    <row r="3117" spans="1:4">
      <c r="A3117" s="691"/>
      <c r="D3117" s="3"/>
    </row>
    <row r="3118" spans="1:4">
      <c r="A3118" s="691"/>
      <c r="D3118" s="3"/>
    </row>
    <row r="3119" spans="1:4">
      <c r="A3119" s="691"/>
      <c r="D3119" s="3"/>
    </row>
    <row r="3120" spans="1:4">
      <c r="A3120" s="691"/>
      <c r="D3120" s="3"/>
    </row>
    <row r="3121" spans="1:4">
      <c r="A3121" s="691"/>
      <c r="D3121" s="3"/>
    </row>
    <row r="3122" spans="1:4">
      <c r="A3122" s="691"/>
      <c r="D3122" s="3"/>
    </row>
    <row r="3123" spans="1:4">
      <c r="A3123" s="691"/>
      <c r="D3123" s="3"/>
    </row>
    <row r="3124" spans="1:4">
      <c r="A3124" s="691"/>
      <c r="D3124" s="3"/>
    </row>
    <row r="3125" spans="1:4">
      <c r="A3125" s="691"/>
      <c r="D3125" s="3"/>
    </row>
    <row r="3126" spans="1:4">
      <c r="A3126" s="691"/>
      <c r="D3126" s="3"/>
    </row>
    <row r="3127" spans="1:4">
      <c r="A3127" s="691"/>
      <c r="D3127" s="3"/>
    </row>
    <row r="3128" spans="1:4">
      <c r="A3128" s="691"/>
      <c r="D3128" s="3"/>
    </row>
    <row r="3129" spans="1:4">
      <c r="A3129" s="691"/>
      <c r="D3129" s="3"/>
    </row>
    <row r="3130" spans="1:4">
      <c r="A3130" s="691"/>
      <c r="D3130" s="3"/>
    </row>
    <row r="3131" spans="1:4">
      <c r="A3131" s="691"/>
      <c r="D3131" s="3"/>
    </row>
    <row r="3132" spans="1:4">
      <c r="A3132" s="691"/>
      <c r="D3132" s="3"/>
    </row>
    <row r="3133" spans="1:4">
      <c r="A3133" s="691"/>
      <c r="D3133" s="3"/>
    </row>
    <row r="3134" spans="1:4">
      <c r="A3134" s="691"/>
      <c r="D3134" s="3"/>
    </row>
    <row r="3135" spans="1:4">
      <c r="A3135" s="691"/>
      <c r="D3135" s="3"/>
    </row>
    <row r="3136" spans="1:4">
      <c r="A3136" s="691"/>
      <c r="D3136" s="3"/>
    </row>
    <row r="3137" spans="1:4">
      <c r="A3137" s="691"/>
      <c r="D3137" s="3"/>
    </row>
    <row r="3138" spans="1:4">
      <c r="A3138" s="691"/>
      <c r="D3138" s="3"/>
    </row>
    <row r="3139" spans="1:4">
      <c r="A3139" s="691"/>
      <c r="D3139" s="3"/>
    </row>
    <row r="3140" spans="1:4">
      <c r="A3140" s="691"/>
      <c r="D3140" s="3"/>
    </row>
    <row r="3141" spans="1:4">
      <c r="A3141" s="691"/>
      <c r="D3141" s="3"/>
    </row>
    <row r="3142" spans="1:4">
      <c r="A3142" s="691"/>
      <c r="D3142" s="3"/>
    </row>
    <row r="3143" spans="1:4">
      <c r="A3143" s="691"/>
      <c r="D3143" s="3"/>
    </row>
    <row r="3144" spans="1:4">
      <c r="A3144" s="691"/>
      <c r="D3144" s="3"/>
    </row>
    <row r="3145" spans="1:4">
      <c r="A3145" s="691"/>
      <c r="D3145" s="3"/>
    </row>
    <row r="3146" spans="1:4">
      <c r="A3146" s="691"/>
      <c r="D3146" s="3"/>
    </row>
    <row r="3147" spans="1:4">
      <c r="A3147" s="691"/>
      <c r="D3147" s="3"/>
    </row>
    <row r="3148" spans="1:4">
      <c r="A3148" s="691"/>
      <c r="D3148" s="3"/>
    </row>
    <row r="3149" spans="1:4">
      <c r="A3149" s="691"/>
      <c r="D3149" s="3"/>
    </row>
    <row r="3150" spans="1:4">
      <c r="A3150" s="691"/>
      <c r="D3150" s="3"/>
    </row>
    <row r="3151" spans="1:4">
      <c r="A3151" s="691"/>
      <c r="D3151" s="3"/>
    </row>
    <row r="3152" spans="1:4">
      <c r="A3152" s="691"/>
      <c r="D3152" s="3"/>
    </row>
    <row r="3153" spans="1:4">
      <c r="A3153" s="691"/>
      <c r="D3153" s="3"/>
    </row>
    <row r="3154" spans="1:4">
      <c r="A3154" s="691"/>
      <c r="D3154" s="3"/>
    </row>
    <row r="3155" spans="1:4">
      <c r="A3155" s="691"/>
      <c r="D3155" s="3"/>
    </row>
    <row r="3156" spans="1:4">
      <c r="A3156" s="691"/>
      <c r="D3156" s="3"/>
    </row>
    <row r="3157" spans="1:4">
      <c r="A3157" s="691"/>
      <c r="D3157" s="3"/>
    </row>
    <row r="3158" spans="1:4">
      <c r="A3158" s="691"/>
      <c r="D3158" s="3"/>
    </row>
    <row r="3159" spans="1:4">
      <c r="A3159" s="691"/>
      <c r="D3159" s="3"/>
    </row>
    <row r="3160" spans="1:4">
      <c r="A3160" s="691"/>
      <c r="D3160" s="3"/>
    </row>
    <row r="3161" spans="1:4">
      <c r="A3161" s="691"/>
      <c r="D3161" s="3"/>
    </row>
    <row r="3162" spans="1:4">
      <c r="A3162" s="691"/>
      <c r="D3162" s="3"/>
    </row>
    <row r="3163" spans="1:4">
      <c r="A3163" s="691"/>
      <c r="D3163" s="3"/>
    </row>
    <row r="3164" spans="1:4">
      <c r="A3164" s="691"/>
      <c r="D3164" s="3"/>
    </row>
    <row r="3165" spans="1:4">
      <c r="A3165" s="691"/>
      <c r="D3165" s="3"/>
    </row>
    <row r="3166" spans="1:4">
      <c r="A3166" s="691"/>
      <c r="D3166" s="3"/>
    </row>
    <row r="3167" spans="1:4">
      <c r="A3167" s="691"/>
      <c r="D3167" s="3"/>
    </row>
    <row r="3168" spans="1:4">
      <c r="A3168" s="691"/>
      <c r="D3168" s="3"/>
    </row>
    <row r="3169" spans="1:4">
      <c r="A3169" s="691"/>
      <c r="D3169" s="3"/>
    </row>
    <row r="3170" spans="1:4">
      <c r="A3170" s="691"/>
      <c r="D3170" s="3"/>
    </row>
    <row r="3171" spans="1:4">
      <c r="A3171" s="691"/>
      <c r="D3171" s="3"/>
    </row>
    <row r="3172" spans="1:4">
      <c r="A3172" s="691"/>
      <c r="D3172" s="3"/>
    </row>
    <row r="3173" spans="1:4">
      <c r="A3173" s="691"/>
      <c r="D3173" s="3"/>
    </row>
    <row r="3174" spans="1:4">
      <c r="A3174" s="691"/>
      <c r="D3174" s="3"/>
    </row>
    <row r="3175" spans="1:4">
      <c r="A3175" s="691"/>
      <c r="D3175" s="3"/>
    </row>
    <row r="3176" spans="1:4">
      <c r="A3176" s="691"/>
      <c r="D3176" s="3"/>
    </row>
    <row r="3177" spans="1:4">
      <c r="A3177" s="691"/>
      <c r="D3177" s="3"/>
    </row>
    <row r="3178" spans="1:4">
      <c r="A3178" s="691"/>
      <c r="D3178" s="3"/>
    </row>
    <row r="3179" spans="1:4">
      <c r="A3179" s="691"/>
      <c r="D3179" s="3"/>
    </row>
    <row r="3180" spans="1:4">
      <c r="A3180" s="691"/>
      <c r="D3180" s="3"/>
    </row>
    <row r="3181" spans="1:4">
      <c r="A3181" s="691"/>
      <c r="D3181" s="3"/>
    </row>
    <row r="3182" spans="1:4">
      <c r="A3182" s="691"/>
      <c r="D3182" s="3"/>
    </row>
    <row r="3183" spans="1:4">
      <c r="A3183" s="691"/>
      <c r="D3183" s="3"/>
    </row>
    <row r="3184" spans="1:4">
      <c r="A3184" s="691"/>
      <c r="D3184" s="3"/>
    </row>
    <row r="3185" spans="1:4">
      <c r="A3185" s="691"/>
      <c r="D3185" s="3"/>
    </row>
    <row r="3186" spans="1:4">
      <c r="A3186" s="691"/>
      <c r="D3186" s="3"/>
    </row>
    <row r="3187" spans="1:4">
      <c r="A3187" s="691"/>
      <c r="D3187" s="3"/>
    </row>
    <row r="3188" spans="1:4">
      <c r="A3188" s="691"/>
      <c r="D3188" s="3"/>
    </row>
    <row r="3189" spans="1:4">
      <c r="A3189" s="691"/>
      <c r="D3189" s="3"/>
    </row>
    <row r="3190" spans="1:4">
      <c r="A3190" s="691"/>
      <c r="D3190" s="3"/>
    </row>
    <row r="3191" spans="1:4">
      <c r="A3191" s="691"/>
      <c r="D3191" s="3"/>
    </row>
    <row r="3192" spans="1:4">
      <c r="A3192" s="691"/>
      <c r="D3192" s="3"/>
    </row>
    <row r="3193" spans="1:4">
      <c r="A3193" s="691"/>
      <c r="D3193" s="3"/>
    </row>
    <row r="3194" spans="1:4">
      <c r="A3194" s="691"/>
      <c r="D3194" s="3"/>
    </row>
    <row r="3195" spans="1:4">
      <c r="A3195" s="691"/>
      <c r="D3195" s="3"/>
    </row>
    <row r="3196" spans="1:4">
      <c r="A3196" s="691"/>
      <c r="D3196" s="3"/>
    </row>
    <row r="3197" spans="1:4">
      <c r="A3197" s="691"/>
      <c r="D3197" s="3"/>
    </row>
    <row r="3198" spans="1:4">
      <c r="A3198" s="691"/>
      <c r="D3198" s="3"/>
    </row>
    <row r="3199" spans="1:4">
      <c r="A3199" s="691"/>
      <c r="D3199" s="3"/>
    </row>
    <row r="3200" spans="1:4">
      <c r="A3200" s="691"/>
      <c r="D3200" s="3"/>
    </row>
    <row r="3201" spans="1:4">
      <c r="A3201" s="691"/>
      <c r="D3201" s="3"/>
    </row>
    <row r="3202" spans="1:4">
      <c r="A3202" s="691"/>
      <c r="D3202" s="3"/>
    </row>
    <row r="3203" spans="1:4">
      <c r="A3203" s="691"/>
      <c r="D3203" s="3"/>
    </row>
    <row r="3204" spans="1:4">
      <c r="A3204" s="691"/>
      <c r="D3204" s="3"/>
    </row>
    <row r="3205" spans="1:4">
      <c r="A3205" s="691"/>
      <c r="D3205" s="3"/>
    </row>
    <row r="3206" spans="1:4">
      <c r="A3206" s="691"/>
      <c r="D3206" s="3"/>
    </row>
    <row r="3207" spans="1:4">
      <c r="A3207" s="691"/>
      <c r="D3207" s="3"/>
    </row>
    <row r="3208" spans="1:4">
      <c r="A3208" s="691"/>
      <c r="D3208" s="3"/>
    </row>
    <row r="3209" spans="1:4">
      <c r="A3209" s="691"/>
      <c r="D3209" s="3"/>
    </row>
    <row r="3210" spans="1:4">
      <c r="A3210" s="691"/>
      <c r="D3210" s="3"/>
    </row>
    <row r="3211" spans="1:4">
      <c r="A3211" s="691"/>
      <c r="D3211" s="3"/>
    </row>
    <row r="3212" spans="1:4">
      <c r="A3212" s="691"/>
      <c r="D3212" s="3"/>
    </row>
    <row r="3213" spans="1:4">
      <c r="A3213" s="691"/>
      <c r="D3213" s="3"/>
    </row>
    <row r="3214" spans="1:4">
      <c r="A3214" s="691"/>
      <c r="D3214" s="3"/>
    </row>
    <row r="3215" spans="1:4">
      <c r="A3215" s="691"/>
      <c r="D3215" s="3"/>
    </row>
    <row r="3216" spans="1:4">
      <c r="A3216" s="691"/>
      <c r="D3216" s="3"/>
    </row>
    <row r="3217" spans="1:4">
      <c r="A3217" s="691"/>
      <c r="D3217" s="3"/>
    </row>
    <row r="3218" spans="1:4">
      <c r="A3218" s="691"/>
      <c r="D3218" s="3"/>
    </row>
    <row r="3219" spans="1:4">
      <c r="A3219" s="691"/>
      <c r="D3219" s="3"/>
    </row>
    <row r="3220" spans="1:4">
      <c r="A3220" s="691"/>
      <c r="D3220" s="3"/>
    </row>
    <row r="3221" spans="1:4">
      <c r="A3221" s="691"/>
      <c r="D3221" s="3"/>
    </row>
    <row r="3222" spans="1:4">
      <c r="A3222" s="691"/>
      <c r="D3222" s="3"/>
    </row>
    <row r="3223" spans="1:4">
      <c r="A3223" s="691"/>
      <c r="D3223" s="3"/>
    </row>
    <row r="3224" spans="1:4">
      <c r="A3224" s="691"/>
      <c r="D3224" s="3"/>
    </row>
    <row r="3225" spans="1:4">
      <c r="A3225" s="691"/>
      <c r="D3225" s="3"/>
    </row>
    <row r="3226" spans="1:4">
      <c r="A3226" s="691"/>
      <c r="D3226" s="3"/>
    </row>
    <row r="3227" spans="1:4">
      <c r="A3227" s="691"/>
      <c r="D3227" s="3"/>
    </row>
    <row r="3228" spans="1:4">
      <c r="A3228" s="691"/>
      <c r="D3228" s="3"/>
    </row>
    <row r="3229" spans="1:4">
      <c r="A3229" s="691"/>
      <c r="D3229" s="3"/>
    </row>
    <row r="3230" spans="1:4">
      <c r="A3230" s="691"/>
      <c r="D3230" s="3"/>
    </row>
    <row r="3231" spans="1:4">
      <c r="A3231" s="691"/>
      <c r="D3231" s="3"/>
    </row>
    <row r="3232" spans="1:4">
      <c r="A3232" s="691"/>
      <c r="D3232" s="3"/>
    </row>
    <row r="3233" spans="1:4">
      <c r="A3233" s="691"/>
      <c r="D3233" s="3"/>
    </row>
    <row r="3234" spans="1:4">
      <c r="A3234" s="691"/>
      <c r="D3234" s="3"/>
    </row>
    <row r="3235" spans="1:4">
      <c r="A3235" s="691"/>
      <c r="D3235" s="3"/>
    </row>
    <row r="3236" spans="1:4">
      <c r="A3236" s="691"/>
      <c r="D3236" s="3"/>
    </row>
    <row r="3237" spans="1:4">
      <c r="A3237" s="691"/>
      <c r="D3237" s="3"/>
    </row>
    <row r="3238" spans="1:4">
      <c r="A3238" s="691"/>
      <c r="D3238" s="3"/>
    </row>
    <row r="3239" spans="1:4">
      <c r="A3239" s="691"/>
      <c r="D3239" s="3"/>
    </row>
    <row r="3240" spans="1:4">
      <c r="A3240" s="691"/>
      <c r="D3240" s="3"/>
    </row>
    <row r="3241" spans="1:4">
      <c r="A3241" s="691"/>
      <c r="D3241" s="3"/>
    </row>
    <row r="3242" spans="1:4">
      <c r="A3242" s="691"/>
      <c r="D3242" s="3"/>
    </row>
    <row r="3243" spans="1:4">
      <c r="A3243" s="691"/>
      <c r="D3243" s="3"/>
    </row>
    <row r="3244" spans="1:4">
      <c r="A3244" s="691"/>
      <c r="D3244" s="3"/>
    </row>
    <row r="3245" spans="1:4">
      <c r="A3245" s="691"/>
      <c r="D3245" s="3"/>
    </row>
    <row r="3246" spans="1:4">
      <c r="A3246" s="691"/>
      <c r="D3246" s="3"/>
    </row>
    <row r="3247" spans="1:4">
      <c r="A3247" s="691"/>
      <c r="D3247" s="3"/>
    </row>
    <row r="3248" spans="1:4">
      <c r="A3248" s="691"/>
      <c r="D3248" s="3"/>
    </row>
    <row r="3249" spans="1:4">
      <c r="A3249" s="691"/>
      <c r="D3249" s="3"/>
    </row>
    <row r="3250" spans="1:4">
      <c r="A3250" s="691"/>
      <c r="D3250" s="3"/>
    </row>
    <row r="3251" spans="1:4">
      <c r="A3251" s="691"/>
      <c r="D3251" s="3"/>
    </row>
    <row r="3252" spans="1:4">
      <c r="A3252" s="691"/>
      <c r="D3252" s="3"/>
    </row>
    <row r="3253" spans="1:4">
      <c r="A3253" s="691"/>
      <c r="D3253" s="3"/>
    </row>
    <row r="3254" spans="1:4">
      <c r="A3254" s="691"/>
      <c r="D3254" s="3"/>
    </row>
    <row r="3255" spans="1:4">
      <c r="A3255" s="691"/>
      <c r="D3255" s="3"/>
    </row>
    <row r="3256" spans="1:4">
      <c r="A3256" s="691"/>
      <c r="D3256" s="3"/>
    </row>
    <row r="3257" spans="1:4">
      <c r="A3257" s="691"/>
      <c r="D3257" s="3"/>
    </row>
    <row r="3258" spans="1:4">
      <c r="A3258" s="691"/>
      <c r="D3258" s="3"/>
    </row>
    <row r="3259" spans="1:4">
      <c r="A3259" s="691"/>
      <c r="D3259" s="3"/>
    </row>
    <row r="3260" spans="1:4">
      <c r="A3260" s="691"/>
      <c r="D3260" s="3"/>
    </row>
    <row r="3261" spans="1:4">
      <c r="A3261" s="691"/>
      <c r="D3261" s="3"/>
    </row>
    <row r="3262" spans="1:4">
      <c r="A3262" s="691"/>
      <c r="D3262" s="3"/>
    </row>
    <row r="3263" spans="1:4">
      <c r="A3263" s="691"/>
      <c r="D3263" s="3"/>
    </row>
    <row r="3264" spans="1:4">
      <c r="A3264" s="691"/>
      <c r="D3264" s="3"/>
    </row>
    <row r="3265" spans="1:4">
      <c r="A3265" s="691"/>
      <c r="D3265" s="3"/>
    </row>
    <row r="3266" spans="1:4">
      <c r="A3266" s="691"/>
      <c r="D3266" s="3"/>
    </row>
    <row r="3267" spans="1:4">
      <c r="A3267" s="691"/>
      <c r="D3267" s="3"/>
    </row>
    <row r="3268" spans="1:4">
      <c r="A3268" s="691"/>
      <c r="D3268" s="3"/>
    </row>
    <row r="3269" spans="1:4">
      <c r="A3269" s="691"/>
      <c r="D3269" s="3"/>
    </row>
    <row r="3270" spans="1:4">
      <c r="A3270" s="691"/>
      <c r="D3270" s="3"/>
    </row>
    <row r="3271" spans="1:4">
      <c r="A3271" s="691"/>
      <c r="D3271" s="3"/>
    </row>
    <row r="3272" spans="1:4">
      <c r="A3272" s="691"/>
      <c r="D3272" s="3"/>
    </row>
    <row r="3273" spans="1:4">
      <c r="A3273" s="691"/>
      <c r="D3273" s="3"/>
    </row>
    <row r="3274" spans="1:4">
      <c r="A3274" s="691"/>
      <c r="D3274" s="3"/>
    </row>
    <row r="3275" spans="1:4">
      <c r="A3275" s="691"/>
      <c r="D3275" s="3"/>
    </row>
    <row r="3276" spans="1:4">
      <c r="A3276" s="691"/>
      <c r="D3276" s="3"/>
    </row>
    <row r="3277" spans="1:4">
      <c r="A3277" s="691"/>
      <c r="D3277" s="3"/>
    </row>
    <row r="3278" spans="1:4">
      <c r="A3278" s="691"/>
      <c r="D3278" s="3"/>
    </row>
    <row r="3279" spans="1:4">
      <c r="A3279" s="691"/>
      <c r="D3279" s="3"/>
    </row>
    <row r="3280" spans="1:4">
      <c r="A3280" s="691"/>
      <c r="D3280" s="3"/>
    </row>
    <row r="3281" spans="1:4">
      <c r="A3281" s="691"/>
      <c r="D3281" s="3"/>
    </row>
    <row r="3282" spans="1:4">
      <c r="A3282" s="691"/>
      <c r="D3282" s="3"/>
    </row>
    <row r="3283" spans="1:4">
      <c r="A3283" s="691"/>
      <c r="D3283" s="3"/>
    </row>
    <row r="3284" spans="1:4">
      <c r="A3284" s="691"/>
      <c r="D3284" s="3"/>
    </row>
    <row r="3285" spans="1:4">
      <c r="A3285" s="691"/>
      <c r="D3285" s="3"/>
    </row>
    <row r="3286" spans="1:4">
      <c r="A3286" s="691"/>
      <c r="D3286" s="3"/>
    </row>
    <row r="3287" spans="1:4">
      <c r="A3287" s="691"/>
      <c r="D3287" s="3"/>
    </row>
    <row r="3288" spans="1:4">
      <c r="A3288" s="691"/>
      <c r="D3288" s="3"/>
    </row>
    <row r="3289" spans="1:4">
      <c r="A3289" s="691"/>
      <c r="D3289" s="3"/>
    </row>
    <row r="3290" spans="1:4">
      <c r="A3290" s="691"/>
      <c r="D3290" s="3"/>
    </row>
    <row r="3291" spans="1:4">
      <c r="A3291" s="691"/>
      <c r="D3291" s="3"/>
    </row>
    <row r="3292" spans="1:4">
      <c r="A3292" s="691"/>
      <c r="D3292" s="3"/>
    </row>
    <row r="3293" spans="1:4">
      <c r="A3293" s="691"/>
      <c r="D3293" s="3"/>
    </row>
    <row r="3294" spans="1:4">
      <c r="A3294" s="691"/>
      <c r="D3294" s="3"/>
    </row>
    <row r="3295" spans="1:4">
      <c r="A3295" s="691"/>
      <c r="D3295" s="3"/>
    </row>
    <row r="3296" spans="1:4">
      <c r="A3296" s="691"/>
      <c r="D3296" s="3"/>
    </row>
    <row r="3297" spans="1:4">
      <c r="A3297" s="691"/>
      <c r="D3297" s="3"/>
    </row>
    <row r="3298" spans="1:4">
      <c r="A3298" s="691"/>
      <c r="D3298" s="3"/>
    </row>
    <row r="3299" spans="1:4">
      <c r="A3299" s="691"/>
      <c r="D3299" s="3"/>
    </row>
    <row r="3300" spans="1:4">
      <c r="A3300" s="691"/>
      <c r="D3300" s="3"/>
    </row>
    <row r="3301" spans="1:4">
      <c r="A3301" s="691"/>
      <c r="D3301" s="3"/>
    </row>
    <row r="3302" spans="1:4">
      <c r="A3302" s="691"/>
      <c r="D3302" s="3"/>
    </row>
    <row r="3303" spans="1:4">
      <c r="A3303" s="691"/>
      <c r="D3303" s="3"/>
    </row>
    <row r="3304" spans="1:4">
      <c r="A3304" s="691"/>
      <c r="D3304" s="3"/>
    </row>
    <row r="3305" spans="1:4">
      <c r="A3305" s="691"/>
      <c r="D3305" s="3"/>
    </row>
    <row r="3306" spans="1:4">
      <c r="A3306" s="691"/>
      <c r="D3306" s="3"/>
    </row>
    <row r="3307" spans="1:4">
      <c r="A3307" s="691"/>
      <c r="D3307" s="3"/>
    </row>
    <row r="3308" spans="1:4">
      <c r="A3308" s="691"/>
      <c r="D3308" s="3"/>
    </row>
    <row r="3309" spans="1:4">
      <c r="A3309" s="691"/>
      <c r="D3309" s="3"/>
    </row>
    <row r="3310" spans="1:4">
      <c r="A3310" s="691"/>
      <c r="D3310" s="3"/>
    </row>
    <row r="3311" spans="1:4">
      <c r="A3311" s="691"/>
      <c r="D3311" s="3"/>
    </row>
    <row r="3312" spans="1:4">
      <c r="A3312" s="691"/>
      <c r="D3312" s="3"/>
    </row>
    <row r="3313" spans="1:4">
      <c r="A3313" s="691"/>
      <c r="D3313" s="3"/>
    </row>
    <row r="3314" spans="1:4">
      <c r="A3314" s="691"/>
      <c r="D3314" s="3"/>
    </row>
    <row r="3315" spans="1:4">
      <c r="A3315" s="691"/>
      <c r="D3315" s="3"/>
    </row>
    <row r="3316" spans="1:4">
      <c r="A3316" s="691"/>
      <c r="D3316" s="3"/>
    </row>
    <row r="3317" spans="1:4">
      <c r="A3317" s="691"/>
      <c r="D3317" s="3"/>
    </row>
    <row r="3318" spans="1:4">
      <c r="A3318" s="691"/>
      <c r="D3318" s="3"/>
    </row>
    <row r="3319" spans="1:4">
      <c r="A3319" s="691"/>
      <c r="D3319" s="3"/>
    </row>
    <row r="3320" spans="1:4">
      <c r="A3320" s="691"/>
      <c r="D3320" s="3"/>
    </row>
    <row r="3321" spans="1:4">
      <c r="A3321" s="691"/>
      <c r="D3321" s="3"/>
    </row>
    <row r="3322" spans="1:4">
      <c r="A3322" s="691"/>
      <c r="D3322" s="3"/>
    </row>
    <row r="3323" spans="1:4">
      <c r="A3323" s="691"/>
      <c r="D3323" s="3"/>
    </row>
    <row r="3324" spans="1:4">
      <c r="A3324" s="691"/>
      <c r="D3324" s="3"/>
    </row>
    <row r="3325" spans="1:4">
      <c r="A3325" s="691"/>
      <c r="D3325" s="3"/>
    </row>
    <row r="3326" spans="1:4">
      <c r="A3326" s="691"/>
      <c r="D3326" s="3"/>
    </row>
    <row r="3327" spans="1:4">
      <c r="A3327" s="691"/>
      <c r="D3327" s="3"/>
    </row>
    <row r="3328" spans="1:4">
      <c r="A3328" s="691"/>
      <c r="D3328" s="3"/>
    </row>
    <row r="3329" spans="1:4">
      <c r="A3329" s="691"/>
      <c r="D3329" s="3"/>
    </row>
    <row r="3330" spans="1:4">
      <c r="A3330" s="691"/>
      <c r="D3330" s="3"/>
    </row>
    <row r="3331" spans="1:4">
      <c r="A3331" s="691"/>
      <c r="D3331" s="3"/>
    </row>
    <row r="3332" spans="1:4">
      <c r="A3332" s="691"/>
      <c r="D3332" s="3"/>
    </row>
    <row r="3333" spans="1:4">
      <c r="A3333" s="691"/>
      <c r="D3333" s="3"/>
    </row>
    <row r="3334" spans="1:4">
      <c r="A3334" s="691"/>
      <c r="D3334" s="3"/>
    </row>
    <row r="3335" spans="1:4">
      <c r="A3335" s="691"/>
      <c r="D3335" s="3"/>
    </row>
    <row r="3336" spans="1:4">
      <c r="A3336" s="691"/>
      <c r="D3336" s="3"/>
    </row>
    <row r="3337" spans="1:4">
      <c r="A3337" s="691"/>
      <c r="D3337" s="3"/>
    </row>
    <row r="3338" spans="1:4">
      <c r="A3338" s="691"/>
      <c r="D3338" s="3"/>
    </row>
    <row r="3339" spans="1:4">
      <c r="A3339" s="691"/>
      <c r="D3339" s="3"/>
    </row>
    <row r="3340" spans="1:4">
      <c r="A3340" s="691"/>
      <c r="D3340" s="3"/>
    </row>
    <row r="3341" spans="1:4">
      <c r="A3341" s="691"/>
      <c r="D3341" s="3"/>
    </row>
    <row r="3342" spans="1:4">
      <c r="A3342" s="691"/>
      <c r="D3342" s="3"/>
    </row>
    <row r="3343" spans="1:4">
      <c r="A3343" s="691"/>
      <c r="D3343" s="3"/>
    </row>
    <row r="3344" spans="1:4">
      <c r="A3344" s="691"/>
      <c r="D3344" s="3"/>
    </row>
    <row r="3345" spans="1:4">
      <c r="A3345" s="691"/>
      <c r="D3345" s="3"/>
    </row>
    <row r="3346" spans="1:4">
      <c r="A3346" s="691"/>
      <c r="D3346" s="3"/>
    </row>
    <row r="3347" spans="1:4">
      <c r="A3347" s="691"/>
      <c r="D3347" s="3"/>
    </row>
    <row r="3348" spans="1:4">
      <c r="A3348" s="691"/>
      <c r="D3348" s="3"/>
    </row>
    <row r="3349" spans="1:4">
      <c r="A3349" s="691"/>
      <c r="D3349" s="3"/>
    </row>
    <row r="3350" spans="1:4">
      <c r="A3350" s="691"/>
      <c r="D3350" s="3"/>
    </row>
    <row r="3351" spans="1:4">
      <c r="A3351" s="691"/>
      <c r="D3351" s="3"/>
    </row>
    <row r="3352" spans="1:4">
      <c r="A3352" s="691"/>
      <c r="D3352" s="3"/>
    </row>
    <row r="3353" spans="1:4">
      <c r="A3353" s="691"/>
      <c r="D3353" s="3"/>
    </row>
    <row r="3354" spans="1:4">
      <c r="A3354" s="691"/>
      <c r="D3354" s="3"/>
    </row>
    <row r="3355" spans="1:4">
      <c r="A3355" s="691"/>
      <c r="D3355" s="3"/>
    </row>
    <row r="3356" spans="1:4">
      <c r="A3356" s="691"/>
      <c r="D3356" s="3"/>
    </row>
    <row r="3357" spans="1:4">
      <c r="A3357" s="691"/>
      <c r="D3357" s="3"/>
    </row>
    <row r="3358" spans="1:4">
      <c r="A3358" s="691"/>
      <c r="D3358" s="3"/>
    </row>
    <row r="3359" spans="1:4">
      <c r="A3359" s="691"/>
      <c r="D3359" s="3"/>
    </row>
    <row r="3360" spans="1:4">
      <c r="A3360" s="691"/>
      <c r="D3360" s="3"/>
    </row>
    <row r="3361" spans="1:4">
      <c r="A3361" s="691"/>
      <c r="D3361" s="3"/>
    </row>
    <row r="3362" spans="1:4">
      <c r="A3362" s="691"/>
      <c r="D3362" s="3"/>
    </row>
    <row r="3363" spans="1:4">
      <c r="A3363" s="691"/>
      <c r="D3363" s="3"/>
    </row>
    <row r="3364" spans="1:4">
      <c r="A3364" s="691"/>
      <c r="D3364" s="3"/>
    </row>
    <row r="3365" spans="1:4">
      <c r="A3365" s="691"/>
      <c r="D3365" s="3"/>
    </row>
    <row r="3366" spans="1:4">
      <c r="A3366" s="691"/>
      <c r="D3366" s="3"/>
    </row>
    <row r="3367" spans="1:4">
      <c r="A3367" s="691"/>
      <c r="D3367" s="3"/>
    </row>
    <row r="3368" spans="1:4">
      <c r="A3368" s="691"/>
      <c r="D3368" s="3"/>
    </row>
    <row r="3369" spans="1:4">
      <c r="A3369" s="691"/>
      <c r="D3369" s="3"/>
    </row>
    <row r="3370" spans="1:4">
      <c r="A3370" s="691"/>
      <c r="D3370" s="3"/>
    </row>
    <row r="3371" spans="1:4">
      <c r="A3371" s="691"/>
      <c r="D3371" s="3"/>
    </row>
    <row r="3372" spans="1:4">
      <c r="A3372" s="691"/>
      <c r="D3372" s="3"/>
    </row>
    <row r="3373" spans="1:4">
      <c r="A3373" s="691"/>
      <c r="D3373" s="3"/>
    </row>
    <row r="3374" spans="1:4">
      <c r="A3374" s="691"/>
      <c r="D3374" s="3"/>
    </row>
    <row r="3375" spans="1:4">
      <c r="A3375" s="691"/>
      <c r="D3375" s="3"/>
    </row>
    <row r="3376" spans="1:4">
      <c r="A3376" s="691"/>
      <c r="D3376" s="3"/>
    </row>
    <row r="3377" spans="1:4">
      <c r="A3377" s="691"/>
      <c r="D3377" s="3"/>
    </row>
    <row r="3378" spans="1:4">
      <c r="A3378" s="691"/>
      <c r="D3378" s="3"/>
    </row>
    <row r="3379" spans="1:4">
      <c r="A3379" s="691"/>
      <c r="D3379" s="3"/>
    </row>
    <row r="3380" spans="1:4">
      <c r="A3380" s="691"/>
      <c r="D3380" s="3"/>
    </row>
    <row r="3381" spans="1:4">
      <c r="A3381" s="691"/>
      <c r="D3381" s="3"/>
    </row>
    <row r="3382" spans="1:4">
      <c r="A3382" s="691"/>
      <c r="D3382" s="3"/>
    </row>
    <row r="3383" spans="1:4">
      <c r="A3383" s="691"/>
      <c r="D3383" s="3"/>
    </row>
    <row r="3384" spans="1:4">
      <c r="A3384" s="691"/>
      <c r="D3384" s="3"/>
    </row>
    <row r="3385" spans="1:4">
      <c r="A3385" s="691"/>
      <c r="D3385" s="3"/>
    </row>
    <row r="3386" spans="1:4">
      <c r="A3386" s="691"/>
      <c r="D3386" s="3"/>
    </row>
    <row r="3387" spans="1:4">
      <c r="A3387" s="691"/>
      <c r="D3387" s="3"/>
    </row>
    <row r="3388" spans="1:4">
      <c r="A3388" s="691"/>
      <c r="D3388" s="3"/>
    </row>
    <row r="3389" spans="1:4">
      <c r="A3389" s="691"/>
      <c r="D3389" s="3"/>
    </row>
    <row r="3390" spans="1:4">
      <c r="A3390" s="691"/>
      <c r="D3390" s="3"/>
    </row>
    <row r="3391" spans="1:4">
      <c r="A3391" s="691"/>
      <c r="D3391" s="3"/>
    </row>
    <row r="3392" spans="1:4">
      <c r="A3392" s="691"/>
      <c r="D3392" s="3"/>
    </row>
    <row r="3393" spans="1:4">
      <c r="A3393" s="691"/>
      <c r="D3393" s="3"/>
    </row>
    <row r="3394" spans="1:4">
      <c r="A3394" s="691"/>
      <c r="D3394" s="3"/>
    </row>
    <row r="3395" spans="1:4">
      <c r="A3395" s="691"/>
      <c r="D3395" s="3"/>
    </row>
    <row r="3396" spans="1:4">
      <c r="A3396" s="691"/>
      <c r="D3396" s="3"/>
    </row>
    <row r="3397" spans="1:4">
      <c r="A3397" s="691"/>
      <c r="D3397" s="3"/>
    </row>
    <row r="3398" spans="1:4">
      <c r="A3398" s="691"/>
      <c r="D3398" s="3"/>
    </row>
    <row r="3399" spans="1:4">
      <c r="A3399" s="691"/>
      <c r="D3399" s="3"/>
    </row>
    <row r="3400" spans="1:4">
      <c r="A3400" s="691"/>
      <c r="D3400" s="3"/>
    </row>
    <row r="3401" spans="1:4">
      <c r="A3401" s="691"/>
      <c r="D3401" s="3"/>
    </row>
    <row r="3402" spans="1:4">
      <c r="A3402" s="691"/>
      <c r="D3402" s="3"/>
    </row>
    <row r="3403" spans="1:4">
      <c r="A3403" s="691"/>
      <c r="D3403" s="3"/>
    </row>
    <row r="3404" spans="1:4">
      <c r="A3404" s="691"/>
      <c r="D3404" s="3"/>
    </row>
    <row r="3405" spans="1:4">
      <c r="A3405" s="691"/>
      <c r="D3405" s="3"/>
    </row>
    <row r="3406" spans="1:4">
      <c r="A3406" s="691"/>
      <c r="D3406" s="3"/>
    </row>
    <row r="3407" spans="1:4">
      <c r="A3407" s="691"/>
      <c r="D3407" s="3"/>
    </row>
    <row r="3408" spans="1:4">
      <c r="A3408" s="691"/>
      <c r="D3408" s="3"/>
    </row>
    <row r="3409" spans="1:4">
      <c r="A3409" s="691"/>
      <c r="D3409" s="3"/>
    </row>
    <row r="3410" spans="1:4">
      <c r="A3410" s="691"/>
      <c r="D3410" s="3"/>
    </row>
    <row r="3411" spans="1:4">
      <c r="A3411" s="691"/>
      <c r="D3411" s="3"/>
    </row>
    <row r="3412" spans="1:4">
      <c r="A3412" s="691"/>
      <c r="D3412" s="3"/>
    </row>
    <row r="3413" spans="1:4">
      <c r="A3413" s="691"/>
      <c r="D3413" s="3"/>
    </row>
    <row r="3414" spans="1:4">
      <c r="A3414" s="691"/>
      <c r="D3414" s="3"/>
    </row>
    <row r="3415" spans="1:4">
      <c r="A3415" s="691"/>
      <c r="D3415" s="3"/>
    </row>
    <row r="3416" spans="1:4">
      <c r="A3416" s="691"/>
      <c r="D3416" s="3"/>
    </row>
    <row r="3417" spans="1:4">
      <c r="A3417" s="691"/>
      <c r="D3417" s="3"/>
    </row>
    <row r="3418" spans="1:4">
      <c r="A3418" s="691"/>
      <c r="D3418" s="3"/>
    </row>
    <row r="3419" spans="1:4">
      <c r="A3419" s="691"/>
      <c r="D3419" s="3"/>
    </row>
    <row r="3420" spans="1:4">
      <c r="A3420" s="691"/>
      <c r="D3420" s="3"/>
    </row>
    <row r="3421" spans="1:4">
      <c r="A3421" s="691"/>
      <c r="D3421" s="3"/>
    </row>
    <row r="3422" spans="1:4">
      <c r="A3422" s="691"/>
      <c r="D3422" s="3"/>
    </row>
    <row r="3423" spans="1:4">
      <c r="A3423" s="691"/>
      <c r="D3423" s="3"/>
    </row>
    <row r="3424" spans="1:4">
      <c r="A3424" s="691"/>
      <c r="D3424" s="3"/>
    </row>
    <row r="3425" spans="1:4">
      <c r="A3425" s="691"/>
      <c r="D3425" s="3"/>
    </row>
    <row r="3426" spans="1:4">
      <c r="A3426" s="691"/>
      <c r="D3426" s="3"/>
    </row>
    <row r="3427" spans="1:4">
      <c r="A3427" s="691"/>
      <c r="D3427" s="3"/>
    </row>
    <row r="3428" spans="1:4">
      <c r="A3428" s="691"/>
      <c r="D3428" s="3"/>
    </row>
    <row r="3429" spans="1:4">
      <c r="A3429" s="691"/>
      <c r="D3429" s="3"/>
    </row>
    <row r="3430" spans="1:4">
      <c r="A3430" s="691"/>
      <c r="D3430" s="3"/>
    </row>
    <row r="3431" spans="1:4">
      <c r="A3431" s="691"/>
      <c r="D3431" s="3"/>
    </row>
    <row r="3432" spans="1:4">
      <c r="A3432" s="691"/>
      <c r="D3432" s="3"/>
    </row>
    <row r="3433" spans="1:4">
      <c r="A3433" s="691"/>
      <c r="D3433" s="3"/>
    </row>
    <row r="3434" spans="1:4">
      <c r="A3434" s="691"/>
      <c r="D3434" s="3"/>
    </row>
    <row r="3435" spans="1:4">
      <c r="A3435" s="691"/>
      <c r="D3435" s="3"/>
    </row>
    <row r="3436" spans="1:4">
      <c r="A3436" s="691"/>
      <c r="D3436" s="3"/>
    </row>
    <row r="3437" spans="1:4">
      <c r="A3437" s="691"/>
      <c r="D3437" s="3"/>
    </row>
    <row r="3438" spans="1:4">
      <c r="A3438" s="691"/>
      <c r="D3438" s="3"/>
    </row>
    <row r="3439" spans="1:4">
      <c r="A3439" s="691"/>
      <c r="D3439" s="3"/>
    </row>
    <row r="3440" spans="1:4">
      <c r="A3440" s="691"/>
      <c r="D3440" s="3"/>
    </row>
    <row r="3441" spans="1:4">
      <c r="A3441" s="691"/>
      <c r="D3441" s="3"/>
    </row>
    <row r="3442" spans="1:4">
      <c r="A3442" s="691"/>
      <c r="D3442" s="3"/>
    </row>
    <row r="3443" spans="1:4">
      <c r="A3443" s="691"/>
      <c r="D3443" s="3"/>
    </row>
    <row r="3444" spans="1:4">
      <c r="A3444" s="691"/>
      <c r="D3444" s="3"/>
    </row>
    <row r="3445" spans="1:4">
      <c r="A3445" s="691"/>
      <c r="D3445" s="3"/>
    </row>
    <row r="3446" spans="1:4">
      <c r="A3446" s="691"/>
      <c r="D3446" s="3"/>
    </row>
    <row r="3447" spans="1:4">
      <c r="A3447" s="691"/>
      <c r="D3447" s="3"/>
    </row>
    <row r="3448" spans="1:4">
      <c r="A3448" s="691"/>
      <c r="D3448" s="3"/>
    </row>
    <row r="3449" spans="1:4">
      <c r="A3449" s="691"/>
      <c r="D3449" s="3"/>
    </row>
    <row r="3450" spans="1:4">
      <c r="A3450" s="691"/>
      <c r="D3450" s="3"/>
    </row>
    <row r="3451" spans="1:4">
      <c r="A3451" s="691"/>
      <c r="D3451" s="3"/>
    </row>
    <row r="3452" spans="1:4">
      <c r="A3452" s="691"/>
      <c r="D3452" s="3"/>
    </row>
    <row r="3453" spans="1:4">
      <c r="A3453" s="691"/>
      <c r="D3453" s="3"/>
    </row>
    <row r="3454" spans="1:4">
      <c r="A3454" s="691"/>
      <c r="D3454" s="3"/>
    </row>
    <row r="3455" spans="1:4">
      <c r="A3455" s="691"/>
      <c r="D3455" s="3"/>
    </row>
    <row r="3456" spans="1:4">
      <c r="A3456" s="691"/>
      <c r="D3456" s="3"/>
    </row>
    <row r="3457" spans="1:4">
      <c r="A3457" s="691"/>
      <c r="D3457" s="3"/>
    </row>
    <row r="3458" spans="1:4">
      <c r="A3458" s="691"/>
      <c r="D3458" s="3"/>
    </row>
    <row r="3459" spans="1:4">
      <c r="A3459" s="691"/>
      <c r="D3459" s="3"/>
    </row>
    <row r="3460" spans="1:4">
      <c r="A3460" s="691"/>
      <c r="D3460" s="3"/>
    </row>
    <row r="3461" spans="1:4">
      <c r="A3461" s="691"/>
      <c r="D3461" s="3"/>
    </row>
    <row r="3462" spans="1:4">
      <c r="A3462" s="691"/>
      <c r="D3462" s="3"/>
    </row>
    <row r="3463" spans="1:4">
      <c r="A3463" s="691"/>
      <c r="D3463" s="3"/>
    </row>
    <row r="3464" spans="1:4">
      <c r="A3464" s="691"/>
      <c r="D3464" s="3"/>
    </row>
    <row r="3465" spans="1:4">
      <c r="A3465" s="691"/>
      <c r="D3465" s="3"/>
    </row>
    <row r="3466" spans="1:4">
      <c r="A3466" s="691"/>
      <c r="D3466" s="3"/>
    </row>
    <row r="3467" spans="1:4">
      <c r="A3467" s="691"/>
      <c r="D3467" s="3"/>
    </row>
    <row r="3468" spans="1:4">
      <c r="A3468" s="691"/>
      <c r="D3468" s="3"/>
    </row>
    <row r="3469" spans="1:4">
      <c r="A3469" s="691"/>
      <c r="D3469" s="3"/>
    </row>
    <row r="3470" spans="1:4">
      <c r="A3470" s="691"/>
      <c r="D3470" s="3"/>
    </row>
    <row r="3471" spans="1:4">
      <c r="A3471" s="691"/>
      <c r="D3471" s="3"/>
    </row>
    <row r="3472" spans="1:4">
      <c r="A3472" s="691"/>
      <c r="D3472" s="3"/>
    </row>
    <row r="3473" spans="1:4">
      <c r="A3473" s="691"/>
      <c r="D3473" s="3"/>
    </row>
    <row r="3474" spans="1:4">
      <c r="A3474" s="691"/>
      <c r="D3474" s="3"/>
    </row>
    <row r="3475" spans="1:4">
      <c r="A3475" s="691"/>
      <c r="D3475" s="3"/>
    </row>
    <row r="3476" spans="1:4">
      <c r="A3476" s="691"/>
      <c r="D3476" s="3"/>
    </row>
    <row r="3477" spans="1:4">
      <c r="A3477" s="691"/>
      <c r="D3477" s="3"/>
    </row>
    <row r="3478" spans="1:4">
      <c r="A3478" s="691"/>
      <c r="D3478" s="3"/>
    </row>
    <row r="3479" spans="1:4">
      <c r="A3479" s="691"/>
      <c r="D3479" s="3"/>
    </row>
    <row r="3480" spans="1:4">
      <c r="A3480" s="691"/>
      <c r="D3480" s="3"/>
    </row>
    <row r="3481" spans="1:4">
      <c r="A3481" s="691"/>
      <c r="D3481" s="3"/>
    </row>
    <row r="3482" spans="1:4">
      <c r="A3482" s="691"/>
      <c r="D3482" s="3"/>
    </row>
    <row r="3483" spans="1:4">
      <c r="A3483" s="691"/>
      <c r="D3483" s="3"/>
    </row>
    <row r="3484" spans="1:4">
      <c r="A3484" s="691"/>
      <c r="D3484" s="3"/>
    </row>
    <row r="3485" spans="1:4">
      <c r="A3485" s="691"/>
      <c r="D3485" s="3"/>
    </row>
    <row r="3486" spans="1:4">
      <c r="A3486" s="691"/>
      <c r="D3486" s="3"/>
    </row>
    <row r="3487" spans="1:4">
      <c r="A3487" s="691"/>
      <c r="D3487" s="3"/>
    </row>
    <row r="3488" spans="1:4">
      <c r="A3488" s="691"/>
      <c r="D3488" s="3"/>
    </row>
    <row r="3489" spans="1:4">
      <c r="A3489" s="691"/>
      <c r="D3489" s="3"/>
    </row>
    <row r="3490" spans="1:4">
      <c r="A3490" s="691"/>
      <c r="D3490" s="3"/>
    </row>
    <row r="3491" spans="1:4">
      <c r="A3491" s="691"/>
      <c r="D3491" s="3"/>
    </row>
    <row r="3492" spans="1:4">
      <c r="A3492" s="691"/>
      <c r="D3492" s="3"/>
    </row>
    <row r="3493" spans="1:4">
      <c r="A3493" s="691"/>
      <c r="D3493" s="3"/>
    </row>
    <row r="3494" spans="1:4">
      <c r="A3494" s="691"/>
      <c r="D3494" s="3"/>
    </row>
    <row r="3495" spans="1:4">
      <c r="A3495" s="691"/>
      <c r="D3495" s="3"/>
    </row>
    <row r="3496" spans="1:4">
      <c r="A3496" s="691"/>
      <c r="D3496" s="3"/>
    </row>
    <row r="3497" spans="1:4">
      <c r="A3497" s="691"/>
      <c r="D3497" s="3"/>
    </row>
    <row r="3498" spans="1:4">
      <c r="A3498" s="691"/>
      <c r="D3498" s="3"/>
    </row>
    <row r="3499" spans="1:4">
      <c r="A3499" s="691"/>
      <c r="D3499" s="3"/>
    </row>
    <row r="3500" spans="1:4">
      <c r="A3500" s="691"/>
      <c r="D3500" s="3"/>
    </row>
    <row r="3501" spans="1:4">
      <c r="A3501" s="691"/>
      <c r="D3501" s="3"/>
    </row>
    <row r="3502" spans="1:4">
      <c r="A3502" s="691"/>
      <c r="D3502" s="3"/>
    </row>
    <row r="3503" spans="1:4">
      <c r="A3503" s="691"/>
      <c r="D3503" s="3"/>
    </row>
    <row r="3504" spans="1:4">
      <c r="A3504" s="691"/>
      <c r="D3504" s="3"/>
    </row>
    <row r="3505" spans="1:4">
      <c r="A3505" s="691"/>
      <c r="D3505" s="3"/>
    </row>
    <row r="3506" spans="1:4">
      <c r="A3506" s="691"/>
      <c r="D3506" s="3"/>
    </row>
    <row r="3507" spans="1:4">
      <c r="A3507" s="691"/>
      <c r="D3507" s="3"/>
    </row>
    <row r="3508" spans="1:4">
      <c r="A3508" s="691"/>
      <c r="D3508" s="3"/>
    </row>
    <row r="3509" spans="1:4">
      <c r="A3509" s="691"/>
      <c r="D3509" s="3"/>
    </row>
    <row r="3510" spans="1:4">
      <c r="A3510" s="691"/>
      <c r="D3510" s="3"/>
    </row>
    <row r="3511" spans="1:4">
      <c r="A3511" s="691"/>
      <c r="D3511" s="3"/>
    </row>
    <row r="3512" spans="1:4">
      <c r="A3512" s="691"/>
      <c r="D3512" s="3"/>
    </row>
    <row r="3513" spans="1:4">
      <c r="A3513" s="691"/>
      <c r="D3513" s="3"/>
    </row>
    <row r="3514" spans="1:4">
      <c r="A3514" s="691"/>
      <c r="D3514" s="3"/>
    </row>
    <row r="3515" spans="1:4">
      <c r="A3515" s="691"/>
      <c r="D3515" s="3"/>
    </row>
    <row r="3516" spans="1:4">
      <c r="A3516" s="691"/>
      <c r="D3516" s="3"/>
    </row>
    <row r="3517" spans="1:4">
      <c r="A3517" s="691"/>
      <c r="D3517" s="3"/>
    </row>
    <row r="3518" spans="1:4">
      <c r="A3518" s="691"/>
      <c r="D3518" s="3"/>
    </row>
    <row r="3519" spans="1:4">
      <c r="A3519" s="691"/>
      <c r="D3519" s="3"/>
    </row>
    <row r="3520" spans="1:4">
      <c r="A3520" s="691"/>
      <c r="D3520" s="3"/>
    </row>
    <row r="3521" spans="1:4">
      <c r="A3521" s="691"/>
      <c r="D3521" s="3"/>
    </row>
    <row r="3522" spans="1:4">
      <c r="A3522" s="691"/>
      <c r="D3522" s="3"/>
    </row>
    <row r="3523" spans="1:4">
      <c r="A3523" s="691"/>
      <c r="D3523" s="3"/>
    </row>
    <row r="3524" spans="1:4">
      <c r="A3524" s="691"/>
      <c r="D3524" s="3"/>
    </row>
    <row r="3525" spans="1:4">
      <c r="A3525" s="691"/>
      <c r="D3525" s="3"/>
    </row>
    <row r="3526" spans="1:4">
      <c r="A3526" s="691"/>
      <c r="D3526" s="3"/>
    </row>
    <row r="3527" spans="1:4">
      <c r="A3527" s="691"/>
      <c r="D3527" s="3"/>
    </row>
    <row r="3528" spans="1:4">
      <c r="A3528" s="691"/>
      <c r="D3528" s="3"/>
    </row>
    <row r="3529" spans="1:4">
      <c r="A3529" s="691"/>
      <c r="D3529" s="3"/>
    </row>
    <row r="3530" spans="1:4">
      <c r="A3530" s="691"/>
      <c r="D3530" s="3"/>
    </row>
    <row r="3531" spans="1:4">
      <c r="A3531" s="691"/>
      <c r="D3531" s="3"/>
    </row>
    <row r="3532" spans="1:4">
      <c r="A3532" s="691"/>
      <c r="D3532" s="3"/>
    </row>
    <row r="3533" spans="1:4">
      <c r="A3533" s="691"/>
      <c r="D3533" s="3"/>
    </row>
    <row r="3534" spans="1:4">
      <c r="A3534" s="691"/>
      <c r="D3534" s="3"/>
    </row>
    <row r="3535" spans="1:4">
      <c r="A3535" s="691"/>
      <c r="D3535" s="3"/>
    </row>
    <row r="3536" spans="1:4">
      <c r="A3536" s="691"/>
      <c r="D3536" s="3"/>
    </row>
    <row r="3537" spans="1:4">
      <c r="A3537" s="691"/>
      <c r="D3537" s="3"/>
    </row>
    <row r="3538" spans="1:4">
      <c r="A3538" s="691"/>
      <c r="D3538" s="3"/>
    </row>
    <row r="3539" spans="1:4">
      <c r="A3539" s="691"/>
      <c r="D3539" s="3"/>
    </row>
    <row r="3540" spans="1:4">
      <c r="A3540" s="691"/>
      <c r="D3540" s="3"/>
    </row>
    <row r="3541" spans="1:4">
      <c r="A3541" s="691"/>
      <c r="D3541" s="3"/>
    </row>
    <row r="3542" spans="1:4">
      <c r="A3542" s="691"/>
      <c r="D3542" s="3"/>
    </row>
    <row r="3543" spans="1:4">
      <c r="A3543" s="691"/>
      <c r="D3543" s="3"/>
    </row>
    <row r="3544" spans="1:4">
      <c r="A3544" s="691"/>
      <c r="D3544" s="3"/>
    </row>
    <row r="3545" spans="1:4">
      <c r="A3545" s="691"/>
      <c r="D3545" s="3"/>
    </row>
    <row r="3546" spans="1:4">
      <c r="A3546" s="691"/>
      <c r="D3546" s="3"/>
    </row>
    <row r="3547" spans="1:4">
      <c r="A3547" s="691"/>
      <c r="D3547" s="3"/>
    </row>
    <row r="3548" spans="1:4">
      <c r="A3548" s="691"/>
      <c r="D3548" s="3"/>
    </row>
    <row r="3549" spans="1:4">
      <c r="A3549" s="691"/>
      <c r="D3549" s="3"/>
    </row>
    <row r="3550" spans="1:4">
      <c r="A3550" s="691"/>
      <c r="D3550" s="3"/>
    </row>
    <row r="3551" spans="1:4">
      <c r="A3551" s="691"/>
      <c r="D3551" s="3"/>
    </row>
    <row r="3552" spans="1:4">
      <c r="A3552" s="691"/>
      <c r="D3552" s="3"/>
    </row>
    <row r="3553" spans="1:4">
      <c r="A3553" s="691"/>
      <c r="D3553" s="3"/>
    </row>
    <row r="3554" spans="1:4">
      <c r="A3554" s="691"/>
      <c r="D3554" s="3"/>
    </row>
    <row r="3555" spans="1:4">
      <c r="A3555" s="691"/>
      <c r="D3555" s="3"/>
    </row>
    <row r="3556" spans="1:4">
      <c r="A3556" s="691"/>
      <c r="D3556" s="3"/>
    </row>
    <row r="3557" spans="1:4">
      <c r="A3557" s="691"/>
      <c r="D3557" s="3"/>
    </row>
    <row r="3558" spans="1:4">
      <c r="A3558" s="691"/>
      <c r="D3558" s="3"/>
    </row>
    <row r="3559" spans="1:4">
      <c r="A3559" s="691"/>
      <c r="D3559" s="3"/>
    </row>
    <row r="3560" spans="1:4">
      <c r="A3560" s="691"/>
      <c r="D3560" s="3"/>
    </row>
    <row r="3561" spans="1:4">
      <c r="A3561" s="691"/>
      <c r="D3561" s="3"/>
    </row>
    <row r="3562" spans="1:4">
      <c r="A3562" s="691"/>
      <c r="D3562" s="3"/>
    </row>
    <row r="3563" spans="1:4">
      <c r="A3563" s="691"/>
      <c r="D3563" s="3"/>
    </row>
    <row r="3564" spans="1:4">
      <c r="A3564" s="691"/>
      <c r="D3564" s="3"/>
    </row>
    <row r="3565" spans="1:4">
      <c r="A3565" s="691"/>
      <c r="D3565" s="3"/>
    </row>
    <row r="3566" spans="1:4">
      <c r="A3566" s="691"/>
      <c r="D3566" s="3"/>
    </row>
    <row r="3567" spans="1:4">
      <c r="A3567" s="691"/>
      <c r="D3567" s="3"/>
    </row>
    <row r="3568" spans="1:4">
      <c r="A3568" s="691"/>
      <c r="D3568" s="3"/>
    </row>
    <row r="3569" spans="1:4">
      <c r="A3569" s="691"/>
      <c r="D3569" s="3"/>
    </row>
    <row r="3570" spans="1:4">
      <c r="A3570" s="691"/>
      <c r="D3570" s="3"/>
    </row>
    <row r="3571" spans="1:4">
      <c r="A3571" s="691"/>
      <c r="D3571" s="3"/>
    </row>
    <row r="3572" spans="1:4">
      <c r="A3572" s="691"/>
      <c r="D3572" s="3"/>
    </row>
    <row r="3573" spans="1:4">
      <c r="A3573" s="691"/>
      <c r="D3573" s="3"/>
    </row>
    <row r="3574" spans="1:4">
      <c r="A3574" s="691"/>
      <c r="D3574" s="3"/>
    </row>
    <row r="3575" spans="1:4">
      <c r="A3575" s="691"/>
      <c r="D3575" s="3"/>
    </row>
    <row r="3576" spans="1:4">
      <c r="A3576" s="691"/>
      <c r="D3576" s="3"/>
    </row>
    <row r="3577" spans="1:4">
      <c r="A3577" s="691"/>
      <c r="D3577" s="3"/>
    </row>
    <row r="3578" spans="1:4">
      <c r="A3578" s="691"/>
      <c r="D3578" s="3"/>
    </row>
    <row r="3579" spans="1:4">
      <c r="A3579" s="691"/>
      <c r="D3579" s="3"/>
    </row>
    <row r="3580" spans="1:4">
      <c r="A3580" s="691"/>
      <c r="D3580" s="3"/>
    </row>
    <row r="3581" spans="1:4">
      <c r="A3581" s="691"/>
      <c r="D3581" s="3"/>
    </row>
    <row r="3582" spans="1:4">
      <c r="A3582" s="691"/>
      <c r="D3582" s="3"/>
    </row>
    <row r="3583" spans="1:4">
      <c r="A3583" s="691"/>
      <c r="D3583" s="3"/>
    </row>
    <row r="3584" spans="1:4">
      <c r="A3584" s="691"/>
      <c r="D3584" s="3"/>
    </row>
    <row r="3585" spans="1:4">
      <c r="A3585" s="691"/>
      <c r="D3585" s="3"/>
    </row>
    <row r="3586" spans="1:4">
      <c r="A3586" s="691"/>
      <c r="D3586" s="3"/>
    </row>
    <row r="3587" spans="1:4">
      <c r="A3587" s="691"/>
      <c r="D3587" s="3"/>
    </row>
    <row r="3588" spans="1:4">
      <c r="A3588" s="691"/>
      <c r="D3588" s="3"/>
    </row>
    <row r="3589" spans="1:4">
      <c r="A3589" s="691"/>
      <c r="D3589" s="3"/>
    </row>
    <row r="3590" spans="1:4">
      <c r="A3590" s="691"/>
      <c r="D3590" s="3"/>
    </row>
    <row r="3591" spans="1:4">
      <c r="A3591" s="691"/>
      <c r="D3591" s="3"/>
    </row>
    <row r="3592" spans="1:4">
      <c r="A3592" s="691"/>
      <c r="D3592" s="3"/>
    </row>
    <row r="3593" spans="1:4">
      <c r="A3593" s="691"/>
      <c r="D3593" s="3"/>
    </row>
    <row r="3594" spans="1:4">
      <c r="A3594" s="691"/>
      <c r="D3594" s="3"/>
    </row>
    <row r="3595" spans="1:4">
      <c r="A3595" s="691"/>
      <c r="D3595" s="3"/>
    </row>
    <row r="3596" spans="1:4">
      <c r="A3596" s="691"/>
      <c r="D3596" s="3"/>
    </row>
    <row r="3597" spans="1:4">
      <c r="A3597" s="691"/>
      <c r="D3597" s="3"/>
    </row>
    <row r="3598" spans="1:4">
      <c r="A3598" s="691"/>
      <c r="D3598" s="3"/>
    </row>
    <row r="3599" spans="1:4">
      <c r="A3599" s="691"/>
      <c r="D3599" s="3"/>
    </row>
    <row r="3600" spans="1:4">
      <c r="A3600" s="691"/>
      <c r="D3600" s="3"/>
    </row>
    <row r="3601" spans="1:4">
      <c r="A3601" s="691"/>
      <c r="D3601" s="3"/>
    </row>
    <row r="3602" spans="1:4">
      <c r="A3602" s="691"/>
      <c r="D3602" s="3"/>
    </row>
    <row r="3603" spans="1:4">
      <c r="A3603" s="691"/>
      <c r="D3603" s="3"/>
    </row>
    <row r="3604" spans="1:4">
      <c r="A3604" s="691"/>
      <c r="D3604" s="3"/>
    </row>
    <row r="3605" spans="1:4">
      <c r="A3605" s="691"/>
      <c r="D3605" s="3"/>
    </row>
    <row r="3606" spans="1:4">
      <c r="A3606" s="691"/>
      <c r="D3606" s="3"/>
    </row>
    <row r="3607" spans="1:4">
      <c r="A3607" s="691"/>
      <c r="D3607" s="3"/>
    </row>
    <row r="3608" spans="1:4">
      <c r="A3608" s="691"/>
      <c r="D3608" s="3"/>
    </row>
    <row r="3609" spans="1:4">
      <c r="A3609" s="691"/>
      <c r="D3609" s="3"/>
    </row>
    <row r="3610" spans="1:4">
      <c r="A3610" s="691"/>
      <c r="D3610" s="3"/>
    </row>
    <row r="3611" spans="1:4">
      <c r="A3611" s="691"/>
      <c r="D3611" s="3"/>
    </row>
    <row r="3612" spans="1:4">
      <c r="A3612" s="691"/>
      <c r="D3612" s="3"/>
    </row>
    <row r="3613" spans="1:4">
      <c r="A3613" s="691"/>
      <c r="D3613" s="3"/>
    </row>
    <row r="3614" spans="1:4">
      <c r="A3614" s="691"/>
      <c r="D3614" s="3"/>
    </row>
    <row r="3615" spans="1:4">
      <c r="A3615" s="691"/>
      <c r="D3615" s="3"/>
    </row>
    <row r="3616" spans="1:4">
      <c r="A3616" s="691"/>
      <c r="D3616" s="3"/>
    </row>
    <row r="3617" spans="1:4">
      <c r="A3617" s="691"/>
      <c r="D3617" s="3"/>
    </row>
    <row r="3618" spans="1:4">
      <c r="A3618" s="691"/>
      <c r="D3618" s="3"/>
    </row>
    <row r="3619" spans="1:4">
      <c r="A3619" s="691"/>
      <c r="D3619" s="3"/>
    </row>
    <row r="3620" spans="1:4">
      <c r="A3620" s="691"/>
      <c r="D3620" s="3"/>
    </row>
    <row r="3621" spans="1:4">
      <c r="A3621" s="691"/>
      <c r="D3621" s="3"/>
    </row>
    <row r="3622" spans="1:4">
      <c r="A3622" s="691"/>
      <c r="D3622" s="3"/>
    </row>
    <row r="3623" spans="1:4">
      <c r="A3623" s="691"/>
      <c r="D3623" s="3"/>
    </row>
    <row r="3624" spans="1:4">
      <c r="A3624" s="691"/>
      <c r="D3624" s="3"/>
    </row>
    <row r="3625" spans="1:4">
      <c r="A3625" s="691"/>
      <c r="D3625" s="3"/>
    </row>
    <row r="3626" spans="1:4">
      <c r="A3626" s="691"/>
      <c r="D3626" s="3"/>
    </row>
    <row r="3627" spans="1:4">
      <c r="A3627" s="691"/>
      <c r="D3627" s="3"/>
    </row>
    <row r="3628" spans="1:4">
      <c r="A3628" s="691"/>
      <c r="D3628" s="3"/>
    </row>
    <row r="3629" spans="1:4">
      <c r="A3629" s="691"/>
      <c r="D3629" s="3"/>
    </row>
    <row r="3630" spans="1:4">
      <c r="A3630" s="691"/>
      <c r="D3630" s="3"/>
    </row>
    <row r="3631" spans="1:4">
      <c r="A3631" s="691"/>
      <c r="D3631" s="3"/>
    </row>
    <row r="3632" spans="1:4">
      <c r="A3632" s="691"/>
      <c r="D3632" s="3"/>
    </row>
    <row r="3633" spans="1:4">
      <c r="A3633" s="691"/>
      <c r="D3633" s="3"/>
    </row>
    <row r="3634" spans="1:4">
      <c r="A3634" s="691"/>
      <c r="D3634" s="3"/>
    </row>
    <row r="3635" spans="1:4">
      <c r="A3635" s="691"/>
      <c r="D3635" s="3"/>
    </row>
    <row r="3636" spans="1:4">
      <c r="A3636" s="691"/>
      <c r="D3636" s="3"/>
    </row>
    <row r="3637" spans="1:4">
      <c r="A3637" s="691"/>
      <c r="D3637" s="3"/>
    </row>
    <row r="3638" spans="1:4">
      <c r="A3638" s="691"/>
      <c r="D3638" s="3"/>
    </row>
    <row r="3639" spans="1:4">
      <c r="A3639" s="691"/>
      <c r="D3639" s="3"/>
    </row>
    <row r="3640" spans="1:4">
      <c r="A3640" s="691"/>
      <c r="D3640" s="3"/>
    </row>
    <row r="3641" spans="1:4">
      <c r="A3641" s="691"/>
      <c r="D3641" s="3"/>
    </row>
    <row r="3642" spans="1:4">
      <c r="A3642" s="691"/>
      <c r="D3642" s="3"/>
    </row>
    <row r="3643" spans="1:4">
      <c r="A3643" s="691"/>
      <c r="D3643" s="3"/>
    </row>
    <row r="3644" spans="1:4">
      <c r="A3644" s="691"/>
      <c r="D3644" s="3"/>
    </row>
    <row r="3645" spans="1:4">
      <c r="A3645" s="691"/>
      <c r="D3645" s="3"/>
    </row>
    <row r="3646" spans="1:4">
      <c r="A3646" s="691"/>
      <c r="D3646" s="3"/>
    </row>
    <row r="3647" spans="1:4">
      <c r="A3647" s="691"/>
      <c r="D3647" s="3"/>
    </row>
    <row r="3648" spans="1:4">
      <c r="A3648" s="691"/>
      <c r="D3648" s="3"/>
    </row>
    <row r="3649" spans="1:4">
      <c r="A3649" s="691"/>
      <c r="D3649" s="3"/>
    </row>
    <row r="3650" spans="1:4">
      <c r="A3650" s="691"/>
      <c r="D3650" s="3"/>
    </row>
    <row r="3651" spans="1:4">
      <c r="A3651" s="691"/>
      <c r="D3651" s="3"/>
    </row>
    <row r="3652" spans="1:4">
      <c r="A3652" s="691"/>
      <c r="D3652" s="3"/>
    </row>
    <row r="3653" spans="1:4">
      <c r="A3653" s="691"/>
      <c r="D3653" s="3"/>
    </row>
    <row r="3654" spans="1:4">
      <c r="A3654" s="691"/>
      <c r="D3654" s="3"/>
    </row>
    <row r="3655" spans="1:4">
      <c r="A3655" s="691"/>
      <c r="D3655" s="3"/>
    </row>
    <row r="3656" spans="1:4">
      <c r="A3656" s="691"/>
      <c r="D3656" s="3"/>
    </row>
    <row r="3657" spans="1:4">
      <c r="A3657" s="691"/>
      <c r="D3657" s="3"/>
    </row>
    <row r="3658" spans="1:4">
      <c r="A3658" s="691"/>
      <c r="D3658" s="3"/>
    </row>
    <row r="3659" spans="1:4">
      <c r="A3659" s="691"/>
      <c r="D3659" s="3"/>
    </row>
    <row r="3660" spans="1:4">
      <c r="A3660" s="691"/>
      <c r="D3660" s="3"/>
    </row>
    <row r="3661" spans="1:4">
      <c r="A3661" s="691"/>
      <c r="D3661" s="3"/>
    </row>
    <row r="3662" spans="1:4">
      <c r="A3662" s="691"/>
      <c r="D3662" s="3"/>
    </row>
    <row r="3663" spans="1:4">
      <c r="A3663" s="691"/>
      <c r="D3663" s="3"/>
    </row>
    <row r="3664" spans="1:4">
      <c r="A3664" s="691"/>
      <c r="D3664" s="3"/>
    </row>
    <row r="3665" spans="1:4">
      <c r="A3665" s="691"/>
      <c r="D3665" s="3"/>
    </row>
    <row r="3666" spans="1:4">
      <c r="A3666" s="691"/>
      <c r="D3666" s="3"/>
    </row>
    <row r="3667" spans="1:4">
      <c r="A3667" s="691"/>
      <c r="D3667" s="3"/>
    </row>
    <row r="3668" spans="1:4">
      <c r="A3668" s="691"/>
      <c r="D3668" s="3"/>
    </row>
    <row r="3669" spans="1:4">
      <c r="A3669" s="691"/>
      <c r="D3669" s="3"/>
    </row>
    <row r="3670" spans="1:4">
      <c r="A3670" s="691"/>
      <c r="D3670" s="3"/>
    </row>
    <row r="3671" spans="1:4">
      <c r="A3671" s="691"/>
      <c r="D3671" s="3"/>
    </row>
    <row r="3672" spans="1:4">
      <c r="A3672" s="691"/>
      <c r="D3672" s="3"/>
    </row>
    <row r="3673" spans="1:4">
      <c r="A3673" s="691"/>
      <c r="D3673" s="3"/>
    </row>
    <row r="3674" spans="1:4">
      <c r="A3674" s="691"/>
      <c r="D3674" s="3"/>
    </row>
    <row r="3675" spans="1:4">
      <c r="A3675" s="691"/>
      <c r="D3675" s="3"/>
    </row>
    <row r="3676" spans="1:4">
      <c r="A3676" s="691"/>
      <c r="D3676" s="3"/>
    </row>
    <row r="3677" spans="1:4">
      <c r="A3677" s="691"/>
      <c r="D3677" s="3"/>
    </row>
    <row r="3678" spans="1:4">
      <c r="A3678" s="691"/>
      <c r="D3678" s="3"/>
    </row>
    <row r="3679" spans="1:4">
      <c r="A3679" s="691"/>
      <c r="D3679" s="3"/>
    </row>
    <row r="3680" spans="1:4">
      <c r="A3680" s="691"/>
      <c r="D3680" s="3"/>
    </row>
    <row r="3681" spans="1:4">
      <c r="A3681" s="691"/>
      <c r="D3681" s="3"/>
    </row>
    <row r="3682" spans="1:4">
      <c r="A3682" s="691"/>
      <c r="D3682" s="3"/>
    </row>
    <row r="3683" spans="1:4">
      <c r="A3683" s="691"/>
      <c r="D3683" s="3"/>
    </row>
    <row r="3684" spans="1:4">
      <c r="A3684" s="691"/>
      <c r="D3684" s="3"/>
    </row>
    <row r="3685" spans="1:4">
      <c r="A3685" s="691"/>
      <c r="D3685" s="3"/>
    </row>
    <row r="3686" spans="1:4">
      <c r="A3686" s="691"/>
      <c r="D3686" s="3"/>
    </row>
    <row r="3687" spans="1:4">
      <c r="A3687" s="691"/>
      <c r="D3687" s="3"/>
    </row>
    <row r="3688" spans="1:4">
      <c r="A3688" s="691"/>
      <c r="D3688" s="3"/>
    </row>
    <row r="3689" spans="1:4">
      <c r="A3689" s="691"/>
      <c r="D3689" s="3"/>
    </row>
    <row r="3690" spans="1:4">
      <c r="A3690" s="691"/>
      <c r="D3690" s="3"/>
    </row>
    <row r="3691" spans="1:4">
      <c r="A3691" s="691"/>
      <c r="D3691" s="3"/>
    </row>
    <row r="3692" spans="1:4">
      <c r="A3692" s="691"/>
      <c r="D3692" s="3"/>
    </row>
    <row r="3693" spans="1:4">
      <c r="A3693" s="691"/>
      <c r="D3693" s="3"/>
    </row>
    <row r="3694" spans="1:4">
      <c r="A3694" s="691"/>
      <c r="D3694" s="3"/>
    </row>
    <row r="3695" spans="1:4">
      <c r="A3695" s="691"/>
      <c r="D3695" s="3"/>
    </row>
    <row r="3696" spans="1:4">
      <c r="A3696" s="691"/>
      <c r="D3696" s="3"/>
    </row>
    <row r="3697" spans="1:4">
      <c r="A3697" s="691"/>
      <c r="D3697" s="3"/>
    </row>
    <row r="3698" spans="1:4">
      <c r="A3698" s="691"/>
      <c r="D3698" s="3"/>
    </row>
    <row r="3699" spans="1:4">
      <c r="A3699" s="691"/>
      <c r="D3699" s="3"/>
    </row>
    <row r="3700" spans="1:4">
      <c r="A3700" s="691"/>
      <c r="D3700" s="3"/>
    </row>
    <row r="3701" spans="1:4">
      <c r="A3701" s="691"/>
      <c r="D3701" s="3"/>
    </row>
    <row r="3702" spans="1:4">
      <c r="A3702" s="691"/>
      <c r="D3702" s="3"/>
    </row>
    <row r="3703" spans="1:4">
      <c r="A3703" s="691"/>
      <c r="D3703" s="3"/>
    </row>
    <row r="3704" spans="1:4">
      <c r="A3704" s="691"/>
      <c r="D3704" s="3"/>
    </row>
    <row r="3705" spans="1:4">
      <c r="A3705" s="691"/>
      <c r="D3705" s="3"/>
    </row>
    <row r="3706" spans="1:4">
      <c r="A3706" s="691"/>
      <c r="D3706" s="3"/>
    </row>
    <row r="3707" spans="1:4">
      <c r="A3707" s="691"/>
      <c r="D3707" s="3"/>
    </row>
    <row r="3708" spans="1:4">
      <c r="A3708" s="691"/>
      <c r="D3708" s="3"/>
    </row>
    <row r="3709" spans="1:4">
      <c r="A3709" s="691"/>
      <c r="D3709" s="3"/>
    </row>
    <row r="3710" spans="1:4">
      <c r="A3710" s="691"/>
      <c r="D3710" s="3"/>
    </row>
    <row r="3711" spans="1:4">
      <c r="A3711" s="691"/>
      <c r="D3711" s="3"/>
    </row>
    <row r="3712" spans="1:4">
      <c r="A3712" s="691"/>
      <c r="D3712" s="3"/>
    </row>
    <row r="3713" spans="1:4">
      <c r="A3713" s="691"/>
      <c r="D3713" s="3"/>
    </row>
    <row r="3714" spans="1:4">
      <c r="A3714" s="691"/>
      <c r="D3714" s="3"/>
    </row>
    <row r="3715" spans="1:4">
      <c r="A3715" s="691"/>
      <c r="D3715" s="3"/>
    </row>
    <row r="3716" spans="1:4">
      <c r="A3716" s="691"/>
      <c r="D3716" s="3"/>
    </row>
    <row r="3717" spans="1:4">
      <c r="A3717" s="691"/>
      <c r="D3717" s="3"/>
    </row>
    <row r="3718" spans="1:4">
      <c r="A3718" s="691"/>
      <c r="D3718" s="3"/>
    </row>
    <row r="3719" spans="1:4">
      <c r="A3719" s="691"/>
      <c r="D3719" s="3"/>
    </row>
    <row r="3720" spans="1:4">
      <c r="A3720" s="691"/>
      <c r="D3720" s="3"/>
    </row>
    <row r="3721" spans="1:4">
      <c r="A3721" s="691"/>
      <c r="D3721" s="3"/>
    </row>
    <row r="3722" spans="1:4">
      <c r="A3722" s="691"/>
      <c r="D3722" s="3"/>
    </row>
    <row r="3723" spans="1:4">
      <c r="A3723" s="691"/>
      <c r="D3723" s="3"/>
    </row>
    <row r="3724" spans="1:4">
      <c r="A3724" s="691"/>
      <c r="D3724" s="3"/>
    </row>
    <row r="3725" spans="1:4">
      <c r="A3725" s="691"/>
      <c r="D3725" s="3"/>
    </row>
    <row r="3726" spans="1:4">
      <c r="A3726" s="691"/>
      <c r="D3726" s="3"/>
    </row>
    <row r="3727" spans="1:4">
      <c r="A3727" s="691"/>
      <c r="D3727" s="3"/>
    </row>
    <row r="3728" spans="1:4">
      <c r="A3728" s="691"/>
      <c r="D3728" s="3"/>
    </row>
    <row r="3729" spans="1:4">
      <c r="A3729" s="691"/>
      <c r="D3729" s="3"/>
    </row>
    <row r="3730" spans="1:4">
      <c r="A3730" s="691"/>
      <c r="D3730" s="3"/>
    </row>
    <row r="3731" spans="1:4">
      <c r="A3731" s="691"/>
      <c r="D3731" s="3"/>
    </row>
    <row r="3732" spans="1:4">
      <c r="A3732" s="691"/>
      <c r="D3732" s="3"/>
    </row>
    <row r="3733" spans="1:4">
      <c r="A3733" s="691"/>
      <c r="D3733" s="3"/>
    </row>
    <row r="3734" spans="1:4">
      <c r="A3734" s="691"/>
      <c r="D3734" s="3"/>
    </row>
    <row r="3735" spans="1:4">
      <c r="A3735" s="691"/>
      <c r="D3735" s="3"/>
    </row>
    <row r="3736" spans="1:4">
      <c r="A3736" s="691"/>
      <c r="D3736" s="3"/>
    </row>
    <row r="3737" spans="1:4">
      <c r="A3737" s="691"/>
      <c r="D3737" s="3"/>
    </row>
    <row r="3738" spans="1:4">
      <c r="A3738" s="691"/>
      <c r="D3738" s="3"/>
    </row>
    <row r="3739" spans="1:4">
      <c r="A3739" s="691"/>
      <c r="D3739" s="3"/>
    </row>
    <row r="3740" spans="1:4">
      <c r="A3740" s="691"/>
      <c r="D3740" s="3"/>
    </row>
    <row r="3741" spans="1:4">
      <c r="A3741" s="691"/>
      <c r="D3741" s="3"/>
    </row>
    <row r="3742" spans="1:4">
      <c r="A3742" s="691"/>
      <c r="D3742" s="3"/>
    </row>
    <row r="3743" spans="1:4">
      <c r="A3743" s="691"/>
      <c r="D3743" s="3"/>
    </row>
    <row r="3744" spans="1:4">
      <c r="A3744" s="691"/>
      <c r="D3744" s="3"/>
    </row>
    <row r="3745" spans="1:4">
      <c r="A3745" s="691"/>
      <c r="D3745" s="3"/>
    </row>
    <row r="3746" spans="1:4">
      <c r="A3746" s="691"/>
      <c r="D3746" s="3"/>
    </row>
    <row r="3747" spans="1:4">
      <c r="A3747" s="691"/>
      <c r="D3747" s="3"/>
    </row>
    <row r="3748" spans="1:4">
      <c r="A3748" s="691"/>
      <c r="D3748" s="3"/>
    </row>
    <row r="3749" spans="1:4">
      <c r="A3749" s="691"/>
      <c r="D3749" s="3"/>
    </row>
    <row r="3750" spans="1:4">
      <c r="A3750" s="691"/>
      <c r="D3750" s="3"/>
    </row>
    <row r="3751" spans="1:4">
      <c r="A3751" s="691"/>
      <c r="D3751" s="3"/>
    </row>
    <row r="3752" spans="1:4">
      <c r="A3752" s="691"/>
      <c r="D3752" s="3"/>
    </row>
    <row r="3753" spans="1:4">
      <c r="A3753" s="691"/>
      <c r="D3753" s="3"/>
    </row>
    <row r="3754" spans="1:4">
      <c r="A3754" s="691"/>
      <c r="D3754" s="3"/>
    </row>
    <row r="3755" spans="1:4">
      <c r="A3755" s="691"/>
      <c r="D3755" s="3"/>
    </row>
    <row r="3756" spans="1:4">
      <c r="A3756" s="691"/>
      <c r="D3756" s="3"/>
    </row>
    <row r="3757" spans="1:4">
      <c r="A3757" s="691"/>
      <c r="D3757" s="3"/>
    </row>
    <row r="3758" spans="1:4">
      <c r="A3758" s="691"/>
      <c r="D3758" s="3"/>
    </row>
    <row r="3759" spans="1:4">
      <c r="A3759" s="691"/>
      <c r="D3759" s="3"/>
    </row>
    <row r="3760" spans="1:4">
      <c r="A3760" s="691"/>
      <c r="D3760" s="3"/>
    </row>
    <row r="3761" spans="1:4">
      <c r="A3761" s="691"/>
      <c r="D3761" s="3"/>
    </row>
    <row r="3762" spans="1:4">
      <c r="A3762" s="691"/>
      <c r="D3762" s="3"/>
    </row>
    <row r="3763" spans="1:4">
      <c r="A3763" s="691"/>
      <c r="D3763" s="3"/>
    </row>
    <row r="3764" spans="1:4">
      <c r="A3764" s="691"/>
      <c r="D3764" s="3"/>
    </row>
    <row r="3765" spans="1:4">
      <c r="A3765" s="691"/>
      <c r="D3765" s="3"/>
    </row>
    <row r="3766" spans="1:4">
      <c r="A3766" s="691"/>
      <c r="D3766" s="3"/>
    </row>
    <row r="3767" spans="1:4">
      <c r="A3767" s="691"/>
      <c r="D3767" s="3"/>
    </row>
    <row r="3768" spans="1:4">
      <c r="A3768" s="691"/>
      <c r="D3768" s="3"/>
    </row>
    <row r="3769" spans="1:4">
      <c r="A3769" s="691"/>
      <c r="D3769" s="3"/>
    </row>
    <row r="3770" spans="1:4">
      <c r="A3770" s="691"/>
      <c r="D3770" s="3"/>
    </row>
    <row r="3771" spans="1:4">
      <c r="A3771" s="691"/>
      <c r="D3771" s="3"/>
    </row>
    <row r="3772" spans="1:4">
      <c r="A3772" s="691"/>
      <c r="D3772" s="3"/>
    </row>
    <row r="3773" spans="1:4">
      <c r="A3773" s="691"/>
      <c r="D3773" s="3"/>
    </row>
    <row r="3774" spans="1:4">
      <c r="A3774" s="691"/>
      <c r="D3774" s="3"/>
    </row>
    <row r="3775" spans="1:4">
      <c r="A3775" s="691"/>
      <c r="D3775" s="3"/>
    </row>
    <row r="3776" spans="1:4">
      <c r="A3776" s="691"/>
      <c r="D3776" s="3"/>
    </row>
    <row r="3777" spans="1:4">
      <c r="A3777" s="691"/>
      <c r="D3777" s="3"/>
    </row>
    <row r="3778" spans="1:4">
      <c r="A3778" s="691"/>
      <c r="D3778" s="3"/>
    </row>
    <row r="3779" spans="1:4">
      <c r="A3779" s="691"/>
      <c r="D3779" s="3"/>
    </row>
    <row r="3780" spans="1:4">
      <c r="A3780" s="691"/>
      <c r="D3780" s="3"/>
    </row>
    <row r="3781" spans="1:4">
      <c r="A3781" s="691"/>
      <c r="D3781" s="3"/>
    </row>
    <row r="3782" spans="1:4">
      <c r="A3782" s="691"/>
      <c r="D3782" s="3"/>
    </row>
    <row r="3783" spans="1:4">
      <c r="A3783" s="691"/>
      <c r="D3783" s="3"/>
    </row>
    <row r="3784" spans="1:4">
      <c r="A3784" s="691"/>
      <c r="D3784" s="3"/>
    </row>
    <row r="3785" spans="1:4">
      <c r="A3785" s="691"/>
      <c r="D3785" s="3"/>
    </row>
    <row r="3786" spans="1:4">
      <c r="A3786" s="691"/>
      <c r="D3786" s="3"/>
    </row>
    <row r="3787" spans="1:4">
      <c r="A3787" s="691"/>
      <c r="D3787" s="3"/>
    </row>
    <row r="3788" spans="1:4">
      <c r="A3788" s="691"/>
      <c r="D3788" s="3"/>
    </row>
    <row r="3789" spans="1:4">
      <c r="A3789" s="691"/>
      <c r="D3789" s="3"/>
    </row>
    <row r="3790" spans="1:4">
      <c r="A3790" s="691"/>
      <c r="D3790" s="3"/>
    </row>
    <row r="3791" spans="1:4">
      <c r="A3791" s="691"/>
      <c r="D3791" s="3"/>
    </row>
    <row r="3792" spans="1:4">
      <c r="A3792" s="691"/>
      <c r="D3792" s="3"/>
    </row>
    <row r="3793" spans="1:4">
      <c r="A3793" s="691"/>
      <c r="D3793" s="3"/>
    </row>
    <row r="3794" spans="1:4">
      <c r="A3794" s="691"/>
      <c r="D3794" s="3"/>
    </row>
    <row r="3795" spans="1:4">
      <c r="A3795" s="691"/>
      <c r="D3795" s="3"/>
    </row>
    <row r="3796" spans="1:4">
      <c r="A3796" s="691"/>
      <c r="D3796" s="3"/>
    </row>
    <row r="3797" spans="1:4">
      <c r="A3797" s="691"/>
      <c r="D3797" s="3"/>
    </row>
    <row r="3798" spans="1:4">
      <c r="A3798" s="691"/>
      <c r="D3798" s="3"/>
    </row>
    <row r="3799" spans="1:4">
      <c r="A3799" s="691"/>
      <c r="D3799" s="3"/>
    </row>
    <row r="3800" spans="1:4">
      <c r="A3800" s="691"/>
      <c r="D3800" s="3"/>
    </row>
    <row r="3801" spans="1:4">
      <c r="A3801" s="691"/>
      <c r="D3801" s="3"/>
    </row>
    <row r="3802" spans="1:4">
      <c r="A3802" s="691"/>
      <c r="D3802" s="3"/>
    </row>
    <row r="3803" spans="1:4">
      <c r="A3803" s="691"/>
      <c r="D3803" s="3"/>
    </row>
    <row r="3804" spans="1:4">
      <c r="A3804" s="691"/>
      <c r="D3804" s="3"/>
    </row>
    <row r="3805" spans="1:4">
      <c r="A3805" s="691"/>
      <c r="D3805" s="3"/>
    </row>
    <row r="3806" spans="1:4">
      <c r="A3806" s="691"/>
      <c r="D3806" s="3"/>
    </row>
    <row r="3807" spans="1:4">
      <c r="A3807" s="691"/>
      <c r="D3807" s="3"/>
    </row>
    <row r="3808" spans="1:4">
      <c r="A3808" s="691"/>
      <c r="D3808" s="3"/>
    </row>
    <row r="3809" spans="1:4">
      <c r="A3809" s="691"/>
      <c r="D3809" s="3"/>
    </row>
    <row r="3810" spans="1:4">
      <c r="A3810" s="691"/>
      <c r="D3810" s="3"/>
    </row>
    <row r="3811" spans="1:4">
      <c r="A3811" s="691"/>
      <c r="D3811" s="3"/>
    </row>
    <row r="3812" spans="1:4">
      <c r="A3812" s="691"/>
      <c r="D3812" s="3"/>
    </row>
    <row r="3813" spans="1:4">
      <c r="A3813" s="691"/>
      <c r="D3813" s="3"/>
    </row>
    <row r="3814" spans="1:4">
      <c r="A3814" s="691"/>
      <c r="D3814" s="3"/>
    </row>
    <row r="3815" spans="1:4">
      <c r="A3815" s="691"/>
      <c r="D3815" s="3"/>
    </row>
    <row r="3816" spans="1:4">
      <c r="A3816" s="691"/>
      <c r="D3816" s="3"/>
    </row>
    <row r="3817" spans="1:4">
      <c r="A3817" s="691"/>
      <c r="D3817" s="3"/>
    </row>
    <row r="3818" spans="1:4">
      <c r="A3818" s="691"/>
      <c r="D3818" s="3"/>
    </row>
    <row r="3819" spans="1:4">
      <c r="A3819" s="691"/>
      <c r="D3819" s="3"/>
    </row>
    <row r="3820" spans="1:4">
      <c r="A3820" s="691"/>
      <c r="D3820" s="3"/>
    </row>
    <row r="3821" spans="1:4">
      <c r="A3821" s="691"/>
      <c r="D3821" s="3"/>
    </row>
    <row r="3822" spans="1:4">
      <c r="A3822" s="691"/>
      <c r="D3822" s="3"/>
    </row>
    <row r="3823" spans="1:4">
      <c r="A3823" s="691"/>
      <c r="D3823" s="3"/>
    </row>
    <row r="3824" spans="1:4">
      <c r="A3824" s="691"/>
      <c r="D3824" s="3"/>
    </row>
    <row r="3825" spans="1:4">
      <c r="A3825" s="691"/>
      <c r="D3825" s="3"/>
    </row>
    <row r="3826" spans="1:4">
      <c r="A3826" s="691"/>
      <c r="D3826" s="3"/>
    </row>
    <row r="3827" spans="1:4">
      <c r="A3827" s="691"/>
      <c r="D3827" s="3"/>
    </row>
    <row r="3828" spans="1:4">
      <c r="A3828" s="691"/>
      <c r="D3828" s="3"/>
    </row>
    <row r="3829" spans="1:4">
      <c r="A3829" s="691"/>
      <c r="D3829" s="3"/>
    </row>
    <row r="3830" spans="1:4">
      <c r="A3830" s="691"/>
      <c r="D3830" s="3"/>
    </row>
    <row r="3831" spans="1:4">
      <c r="A3831" s="691"/>
      <c r="D3831" s="3"/>
    </row>
    <row r="3832" spans="1:4">
      <c r="A3832" s="691"/>
      <c r="D3832" s="3"/>
    </row>
    <row r="3833" spans="1:4">
      <c r="A3833" s="691"/>
      <c r="D3833" s="3"/>
    </row>
    <row r="3834" spans="1:4">
      <c r="A3834" s="691"/>
      <c r="D3834" s="3"/>
    </row>
    <row r="3835" spans="1:4">
      <c r="A3835" s="691"/>
      <c r="D3835" s="3"/>
    </row>
    <row r="3836" spans="1:4">
      <c r="A3836" s="691"/>
      <c r="D3836" s="3"/>
    </row>
    <row r="3837" spans="1:4">
      <c r="A3837" s="691"/>
      <c r="D3837" s="3"/>
    </row>
    <row r="3838" spans="1:4">
      <c r="A3838" s="691"/>
      <c r="D3838" s="3"/>
    </row>
    <row r="3839" spans="1:4">
      <c r="A3839" s="691"/>
      <c r="D3839" s="3"/>
    </row>
    <row r="3840" spans="1:4">
      <c r="A3840" s="691"/>
      <c r="D3840" s="3"/>
    </row>
    <row r="3841" spans="1:4">
      <c r="A3841" s="691"/>
      <c r="D3841" s="3"/>
    </row>
    <row r="3842" spans="1:4">
      <c r="A3842" s="691"/>
      <c r="D3842" s="3"/>
    </row>
    <row r="3843" spans="1:4">
      <c r="A3843" s="691"/>
      <c r="D3843" s="3"/>
    </row>
    <row r="3844" spans="1:4">
      <c r="A3844" s="691"/>
      <c r="D3844" s="3"/>
    </row>
    <row r="3845" spans="1:4">
      <c r="A3845" s="691"/>
      <c r="D3845" s="3"/>
    </row>
    <row r="3846" spans="1:4">
      <c r="A3846" s="691"/>
      <c r="D3846" s="3"/>
    </row>
    <row r="3847" spans="1:4">
      <c r="A3847" s="691"/>
      <c r="D3847" s="3"/>
    </row>
    <row r="3848" spans="1:4">
      <c r="A3848" s="691"/>
      <c r="D3848" s="3"/>
    </row>
    <row r="3849" spans="1:4">
      <c r="A3849" s="691"/>
      <c r="D3849" s="3"/>
    </row>
    <row r="3850" spans="1:4">
      <c r="A3850" s="691"/>
      <c r="D3850" s="3"/>
    </row>
    <row r="3851" spans="1:4">
      <c r="A3851" s="691"/>
      <c r="D3851" s="3"/>
    </row>
    <row r="3852" spans="1:4">
      <c r="A3852" s="691"/>
      <c r="D3852" s="3"/>
    </row>
    <row r="3853" spans="1:4">
      <c r="A3853" s="691"/>
      <c r="D3853" s="3"/>
    </row>
    <row r="3854" spans="1:4">
      <c r="A3854" s="691"/>
      <c r="D3854" s="3"/>
    </row>
    <row r="3855" spans="1:4">
      <c r="A3855" s="691"/>
      <c r="D3855" s="3"/>
    </row>
    <row r="3856" spans="1:4">
      <c r="A3856" s="691"/>
      <c r="D3856" s="3"/>
    </row>
    <row r="3857" spans="1:4">
      <c r="A3857" s="691"/>
      <c r="D3857" s="3"/>
    </row>
    <row r="3858" spans="1:4">
      <c r="A3858" s="691"/>
      <c r="D3858" s="3"/>
    </row>
    <row r="3859" spans="1:4">
      <c r="A3859" s="691"/>
      <c r="D3859" s="3"/>
    </row>
    <row r="3860" spans="1:4">
      <c r="A3860" s="691"/>
      <c r="D3860" s="3"/>
    </row>
    <row r="3861" spans="1:4">
      <c r="A3861" s="691"/>
      <c r="D3861" s="3"/>
    </row>
    <row r="3862" spans="1:4">
      <c r="A3862" s="691"/>
      <c r="D3862" s="3"/>
    </row>
    <row r="3863" spans="1:4">
      <c r="A3863" s="691"/>
      <c r="D3863" s="3"/>
    </row>
    <row r="3864" spans="1:4">
      <c r="A3864" s="691"/>
      <c r="D3864" s="3"/>
    </row>
    <row r="3865" spans="1:4">
      <c r="A3865" s="691"/>
      <c r="D3865" s="3"/>
    </row>
    <row r="3866" spans="1:4">
      <c r="A3866" s="691"/>
      <c r="D3866" s="3"/>
    </row>
    <row r="3867" spans="1:4">
      <c r="A3867" s="691"/>
      <c r="D3867" s="3"/>
    </row>
    <row r="3868" spans="1:4">
      <c r="A3868" s="691"/>
      <c r="D3868" s="3"/>
    </row>
    <row r="3869" spans="1:4">
      <c r="A3869" s="691"/>
      <c r="D3869" s="3"/>
    </row>
    <row r="3870" spans="1:4">
      <c r="A3870" s="691"/>
      <c r="D3870" s="3"/>
    </row>
    <row r="3871" spans="1:4">
      <c r="A3871" s="691"/>
      <c r="D3871" s="3"/>
    </row>
    <row r="3872" spans="1:4">
      <c r="A3872" s="691"/>
      <c r="D3872" s="3"/>
    </row>
    <row r="3873" spans="1:4">
      <c r="A3873" s="691"/>
      <c r="D3873" s="3"/>
    </row>
    <row r="3874" spans="1:4">
      <c r="A3874" s="691"/>
      <c r="D3874" s="3"/>
    </row>
    <row r="3875" spans="1:4">
      <c r="A3875" s="691"/>
      <c r="D3875" s="3"/>
    </row>
    <row r="3876" spans="1:4">
      <c r="A3876" s="691"/>
      <c r="D3876" s="3"/>
    </row>
    <row r="3877" spans="1:4">
      <c r="A3877" s="691"/>
      <c r="D3877" s="3"/>
    </row>
    <row r="3878" spans="1:4">
      <c r="A3878" s="691"/>
      <c r="D3878" s="3"/>
    </row>
    <row r="3879" spans="1:4">
      <c r="A3879" s="691"/>
      <c r="D3879" s="3"/>
    </row>
    <row r="3880" spans="1:4">
      <c r="A3880" s="691"/>
      <c r="D3880" s="3"/>
    </row>
    <row r="3881" spans="1:4">
      <c r="A3881" s="691"/>
      <c r="D3881" s="3"/>
    </row>
    <row r="3882" spans="1:4">
      <c r="A3882" s="691"/>
      <c r="D3882" s="3"/>
    </row>
    <row r="3883" spans="1:4">
      <c r="A3883" s="691"/>
      <c r="D3883" s="3"/>
    </row>
    <row r="3884" spans="1:4">
      <c r="A3884" s="691"/>
      <c r="D3884" s="3"/>
    </row>
    <row r="3885" spans="1:4">
      <c r="A3885" s="691"/>
      <c r="D3885" s="3"/>
    </row>
    <row r="3886" spans="1:4">
      <c r="A3886" s="691"/>
      <c r="D3886" s="3"/>
    </row>
    <row r="3887" spans="1:4">
      <c r="A3887" s="691"/>
      <c r="D3887" s="3"/>
    </row>
    <row r="3888" spans="1:4">
      <c r="A3888" s="691"/>
      <c r="D3888" s="3"/>
    </row>
    <row r="3889" spans="1:4">
      <c r="A3889" s="691"/>
      <c r="D3889" s="3"/>
    </row>
    <row r="3890" spans="1:4">
      <c r="A3890" s="691"/>
      <c r="D3890" s="3"/>
    </row>
    <row r="3891" spans="1:4">
      <c r="A3891" s="691"/>
      <c r="D3891" s="3"/>
    </row>
    <row r="3892" spans="1:4">
      <c r="A3892" s="691"/>
      <c r="D3892" s="3"/>
    </row>
    <row r="3893" spans="1:4">
      <c r="A3893" s="691"/>
      <c r="D3893" s="3"/>
    </row>
    <row r="3894" spans="1:4">
      <c r="A3894" s="691"/>
      <c r="D3894" s="3"/>
    </row>
    <row r="3895" spans="1:4">
      <c r="A3895" s="691"/>
      <c r="D3895" s="3"/>
    </row>
    <row r="3896" spans="1:4">
      <c r="A3896" s="691"/>
      <c r="D3896" s="3"/>
    </row>
    <row r="3897" spans="1:4">
      <c r="A3897" s="691"/>
      <c r="D3897" s="3"/>
    </row>
    <row r="3898" spans="1:4">
      <c r="A3898" s="691"/>
      <c r="D3898" s="3"/>
    </row>
    <row r="3899" spans="1:4">
      <c r="A3899" s="691"/>
      <c r="D3899" s="3"/>
    </row>
    <row r="3900" spans="1:4">
      <c r="A3900" s="691"/>
      <c r="D3900" s="3"/>
    </row>
    <row r="3901" spans="1:4">
      <c r="A3901" s="691"/>
      <c r="D3901" s="3"/>
    </row>
    <row r="3902" spans="1:4">
      <c r="A3902" s="691"/>
      <c r="D3902" s="3"/>
    </row>
    <row r="3903" spans="1:4">
      <c r="A3903" s="691"/>
      <c r="D3903" s="3"/>
    </row>
    <row r="3904" spans="1:4">
      <c r="A3904" s="691"/>
      <c r="D3904" s="3"/>
    </row>
    <row r="3905" spans="1:4">
      <c r="A3905" s="691"/>
      <c r="D3905" s="3"/>
    </row>
    <row r="3906" spans="1:4">
      <c r="A3906" s="691"/>
      <c r="D3906" s="3"/>
    </row>
    <row r="3907" spans="1:4">
      <c r="A3907" s="691"/>
      <c r="D3907" s="3"/>
    </row>
    <row r="3908" spans="1:4">
      <c r="A3908" s="691"/>
      <c r="D3908" s="3"/>
    </row>
    <row r="3909" spans="1:4">
      <c r="A3909" s="691"/>
      <c r="D3909" s="3"/>
    </row>
    <row r="3910" spans="1:4">
      <c r="A3910" s="691"/>
      <c r="D3910" s="3"/>
    </row>
    <row r="3911" spans="1:4">
      <c r="A3911" s="691"/>
      <c r="D3911" s="3"/>
    </row>
    <row r="3912" spans="1:4">
      <c r="A3912" s="691"/>
      <c r="D3912" s="3"/>
    </row>
    <row r="3913" spans="1:4">
      <c r="A3913" s="691"/>
      <c r="D3913" s="3"/>
    </row>
    <row r="3914" spans="1:4">
      <c r="A3914" s="691"/>
      <c r="D3914" s="3"/>
    </row>
    <row r="3915" spans="1:4">
      <c r="A3915" s="691"/>
      <c r="D3915" s="3"/>
    </row>
    <row r="3916" spans="1:4">
      <c r="A3916" s="691"/>
      <c r="D3916" s="3"/>
    </row>
    <row r="3917" spans="1:4">
      <c r="A3917" s="691"/>
      <c r="D3917" s="3"/>
    </row>
    <row r="3918" spans="1:4">
      <c r="A3918" s="691"/>
      <c r="D3918" s="3"/>
    </row>
    <row r="3919" spans="1:4">
      <c r="A3919" s="691"/>
      <c r="D3919" s="3"/>
    </row>
    <row r="3920" spans="1:4">
      <c r="A3920" s="691"/>
      <c r="D3920" s="3"/>
    </row>
    <row r="3921" spans="1:4">
      <c r="A3921" s="691"/>
      <c r="D3921" s="3"/>
    </row>
    <row r="3922" spans="1:4">
      <c r="A3922" s="691"/>
      <c r="D3922" s="3"/>
    </row>
    <row r="3923" spans="1:4">
      <c r="A3923" s="691"/>
      <c r="D3923" s="3"/>
    </row>
    <row r="3924" spans="1:4">
      <c r="A3924" s="691"/>
      <c r="D3924" s="3"/>
    </row>
    <row r="3925" spans="1:4">
      <c r="A3925" s="691"/>
      <c r="D3925" s="3"/>
    </row>
    <row r="3926" spans="1:4">
      <c r="A3926" s="691"/>
      <c r="D3926" s="3"/>
    </row>
    <row r="3927" spans="1:4">
      <c r="A3927" s="691"/>
      <c r="D3927" s="3"/>
    </row>
    <row r="3928" spans="1:4">
      <c r="A3928" s="691"/>
      <c r="D3928" s="3"/>
    </row>
    <row r="3929" spans="1:4">
      <c r="A3929" s="691"/>
      <c r="D3929" s="3"/>
    </row>
    <row r="3930" spans="1:4">
      <c r="A3930" s="691"/>
      <c r="D3930" s="3"/>
    </row>
    <row r="3931" spans="1:4">
      <c r="A3931" s="691"/>
      <c r="D3931" s="3"/>
    </row>
    <row r="3932" spans="1:4">
      <c r="A3932" s="691"/>
      <c r="D3932" s="3"/>
    </row>
    <row r="3933" spans="1:4">
      <c r="A3933" s="691"/>
      <c r="D3933" s="3"/>
    </row>
    <row r="3934" spans="1:4">
      <c r="A3934" s="691"/>
      <c r="D3934" s="3"/>
    </row>
    <row r="3935" spans="1:4">
      <c r="A3935" s="691"/>
      <c r="D3935" s="3"/>
    </row>
    <row r="3936" spans="1:4">
      <c r="A3936" s="691"/>
      <c r="D3936" s="3"/>
    </row>
    <row r="3937" spans="1:4">
      <c r="A3937" s="691"/>
      <c r="D3937" s="3"/>
    </row>
    <row r="3938" spans="1:4">
      <c r="A3938" s="691"/>
      <c r="D3938" s="3"/>
    </row>
    <row r="3939" spans="1:4">
      <c r="A3939" s="691"/>
      <c r="D3939" s="3"/>
    </row>
    <row r="3940" spans="1:4">
      <c r="A3940" s="691"/>
      <c r="D3940" s="3"/>
    </row>
    <row r="3941" spans="1:4">
      <c r="A3941" s="691"/>
      <c r="D3941" s="3"/>
    </row>
    <row r="3942" spans="1:4">
      <c r="A3942" s="691"/>
      <c r="D3942" s="3"/>
    </row>
    <row r="3943" spans="1:4">
      <c r="A3943" s="691"/>
      <c r="D3943" s="3"/>
    </row>
    <row r="3944" spans="1:4">
      <c r="A3944" s="691"/>
      <c r="D3944" s="3"/>
    </row>
    <row r="3945" spans="1:4">
      <c r="A3945" s="691"/>
      <c r="D3945" s="3"/>
    </row>
    <row r="3946" spans="1:4">
      <c r="A3946" s="691"/>
      <c r="D3946" s="3"/>
    </row>
    <row r="3947" spans="1:4">
      <c r="A3947" s="691"/>
      <c r="D3947" s="3"/>
    </row>
    <row r="3948" spans="1:4">
      <c r="A3948" s="691"/>
      <c r="D3948" s="3"/>
    </row>
    <row r="3949" spans="1:4">
      <c r="A3949" s="691"/>
      <c r="D3949" s="3"/>
    </row>
    <row r="3950" spans="1:4">
      <c r="A3950" s="691"/>
      <c r="D3950" s="3"/>
    </row>
    <row r="3951" spans="1:4">
      <c r="A3951" s="691"/>
      <c r="D3951" s="3"/>
    </row>
    <row r="3952" spans="1:4">
      <c r="A3952" s="691"/>
      <c r="D3952" s="3"/>
    </row>
    <row r="3953" spans="1:4">
      <c r="A3953" s="691"/>
      <c r="D3953" s="3"/>
    </row>
    <row r="3954" spans="1:4">
      <c r="A3954" s="691"/>
      <c r="D3954" s="3"/>
    </row>
    <row r="3955" spans="1:4">
      <c r="A3955" s="691"/>
      <c r="D3955" s="3"/>
    </row>
    <row r="3956" spans="1:4">
      <c r="A3956" s="691"/>
      <c r="D3956" s="3"/>
    </row>
    <row r="3957" spans="1:4">
      <c r="A3957" s="691"/>
      <c r="D3957" s="3"/>
    </row>
    <row r="3958" spans="1:4">
      <c r="A3958" s="691"/>
      <c r="D3958" s="3"/>
    </row>
    <row r="3959" spans="1:4">
      <c r="A3959" s="691"/>
      <c r="D3959" s="3"/>
    </row>
    <row r="3960" spans="1:4">
      <c r="A3960" s="691"/>
      <c r="D3960" s="3"/>
    </row>
    <row r="3961" spans="1:4">
      <c r="A3961" s="691"/>
      <c r="D3961" s="3"/>
    </row>
    <row r="3962" spans="1:4">
      <c r="A3962" s="691"/>
      <c r="D3962" s="3"/>
    </row>
    <row r="3963" spans="1:4">
      <c r="A3963" s="691"/>
      <c r="D3963" s="3"/>
    </row>
    <row r="3964" spans="1:4">
      <c r="A3964" s="691"/>
      <c r="D3964" s="3"/>
    </row>
    <row r="3965" spans="1:4">
      <c r="A3965" s="691"/>
      <c r="D3965" s="3"/>
    </row>
    <row r="3966" spans="1:4">
      <c r="A3966" s="691"/>
      <c r="D3966" s="3"/>
    </row>
    <row r="3967" spans="1:4">
      <c r="A3967" s="691"/>
      <c r="D3967" s="3"/>
    </row>
    <row r="3968" spans="1:4">
      <c r="A3968" s="691"/>
      <c r="D3968" s="3"/>
    </row>
    <row r="3969" spans="1:4">
      <c r="A3969" s="691"/>
      <c r="D3969" s="3"/>
    </row>
    <row r="3970" spans="1:4">
      <c r="A3970" s="691"/>
      <c r="D3970" s="3"/>
    </row>
    <row r="3971" spans="1:4">
      <c r="A3971" s="691"/>
      <c r="D3971" s="3"/>
    </row>
    <row r="3972" spans="1:4">
      <c r="A3972" s="691"/>
      <c r="D3972" s="3"/>
    </row>
    <row r="3973" spans="1:4">
      <c r="A3973" s="691"/>
      <c r="D3973" s="3"/>
    </row>
    <row r="3974" spans="1:4">
      <c r="A3974" s="691"/>
      <c r="D3974" s="3"/>
    </row>
    <row r="3975" spans="1:4">
      <c r="A3975" s="691"/>
      <c r="D3975" s="3"/>
    </row>
    <row r="3976" spans="1:4">
      <c r="A3976" s="691"/>
      <c r="D3976" s="3"/>
    </row>
    <row r="3977" spans="1:4">
      <c r="A3977" s="691"/>
      <c r="D3977" s="3"/>
    </row>
    <row r="3978" spans="1:4">
      <c r="A3978" s="691"/>
      <c r="D3978" s="3"/>
    </row>
    <row r="3979" spans="1:4">
      <c r="A3979" s="691"/>
      <c r="D3979" s="3"/>
    </row>
    <row r="3980" spans="1:4">
      <c r="A3980" s="691"/>
      <c r="D3980" s="3"/>
    </row>
    <row r="3981" spans="1:4">
      <c r="A3981" s="691"/>
      <c r="D3981" s="3"/>
    </row>
    <row r="3982" spans="1:4">
      <c r="A3982" s="691"/>
      <c r="D3982" s="3"/>
    </row>
    <row r="3983" spans="1:4">
      <c r="A3983" s="691"/>
      <c r="D3983" s="3"/>
    </row>
    <row r="3984" spans="1:4">
      <c r="A3984" s="691"/>
      <c r="D3984" s="3"/>
    </row>
    <row r="3985" spans="1:4">
      <c r="A3985" s="691"/>
      <c r="D3985" s="3"/>
    </row>
    <row r="3986" spans="1:4">
      <c r="A3986" s="691"/>
      <c r="D3986" s="3"/>
    </row>
    <row r="3987" spans="1:4">
      <c r="A3987" s="691"/>
      <c r="D3987" s="3"/>
    </row>
    <row r="3988" spans="1:4">
      <c r="A3988" s="691"/>
      <c r="D3988" s="3"/>
    </row>
    <row r="3989" spans="1:4">
      <c r="A3989" s="691"/>
      <c r="D3989" s="3"/>
    </row>
    <row r="3990" spans="1:4">
      <c r="A3990" s="691"/>
      <c r="D3990" s="3"/>
    </row>
    <row r="3991" spans="1:4">
      <c r="A3991" s="691"/>
      <c r="D3991" s="3"/>
    </row>
    <row r="3992" spans="1:4">
      <c r="A3992" s="691"/>
      <c r="D3992" s="3"/>
    </row>
    <row r="3993" spans="1:4">
      <c r="A3993" s="691"/>
      <c r="D3993" s="3"/>
    </row>
    <row r="3994" spans="1:4">
      <c r="A3994" s="691"/>
      <c r="D3994" s="3"/>
    </row>
    <row r="3995" spans="1:4">
      <c r="A3995" s="691"/>
      <c r="D3995" s="3"/>
    </row>
    <row r="3996" spans="1:4">
      <c r="A3996" s="691"/>
      <c r="D3996" s="3"/>
    </row>
    <row r="3997" spans="1:4">
      <c r="A3997" s="691"/>
      <c r="D3997" s="3"/>
    </row>
    <row r="3998" spans="1:4">
      <c r="A3998" s="691"/>
      <c r="D3998" s="3"/>
    </row>
    <row r="3999" spans="1:4">
      <c r="A3999" s="691"/>
      <c r="D3999" s="3"/>
    </row>
    <row r="4000" spans="1:4">
      <c r="A4000" s="691"/>
      <c r="D4000" s="3"/>
    </row>
    <row r="4001" spans="1:4">
      <c r="A4001" s="691"/>
      <c r="D4001" s="3"/>
    </row>
    <row r="4002" spans="1:4">
      <c r="A4002" s="691"/>
      <c r="D4002" s="3"/>
    </row>
    <row r="4003" spans="1:4">
      <c r="A4003" s="691"/>
      <c r="D4003" s="3"/>
    </row>
    <row r="4004" spans="1:4">
      <c r="A4004" s="691"/>
      <c r="D4004" s="3"/>
    </row>
    <row r="4005" spans="1:4">
      <c r="A4005" s="691"/>
      <c r="D4005" s="3"/>
    </row>
    <row r="4006" spans="1:4">
      <c r="A4006" s="691"/>
      <c r="D4006" s="3"/>
    </row>
    <row r="4007" spans="1:4">
      <c r="A4007" s="691"/>
      <c r="D4007" s="3"/>
    </row>
    <row r="4008" spans="1:4">
      <c r="A4008" s="691"/>
      <c r="D4008" s="3"/>
    </row>
    <row r="4009" spans="1:4">
      <c r="A4009" s="691"/>
      <c r="D4009" s="3"/>
    </row>
    <row r="4010" spans="1:4">
      <c r="A4010" s="691"/>
      <c r="D4010" s="3"/>
    </row>
    <row r="4011" spans="1:4">
      <c r="A4011" s="691"/>
      <c r="D4011" s="3"/>
    </row>
    <row r="4012" spans="1:4">
      <c r="A4012" s="691"/>
      <c r="D4012" s="3"/>
    </row>
    <row r="4013" spans="1:4">
      <c r="A4013" s="691"/>
      <c r="D4013" s="3"/>
    </row>
    <row r="4014" spans="1:4">
      <c r="A4014" s="691"/>
      <c r="D4014" s="3"/>
    </row>
    <row r="4015" spans="1:4">
      <c r="A4015" s="691"/>
      <c r="D4015" s="3"/>
    </row>
    <row r="4016" spans="1:4">
      <c r="A4016" s="691"/>
      <c r="D4016" s="3"/>
    </row>
    <row r="4017" spans="1:4">
      <c r="A4017" s="691"/>
      <c r="D4017" s="3"/>
    </row>
    <row r="4018" spans="1:4">
      <c r="A4018" s="691"/>
      <c r="D4018" s="3"/>
    </row>
    <row r="4019" spans="1:4">
      <c r="A4019" s="691"/>
      <c r="D4019" s="3"/>
    </row>
    <row r="4020" spans="1:4">
      <c r="A4020" s="691"/>
      <c r="D4020" s="3"/>
    </row>
    <row r="4021" spans="1:4">
      <c r="A4021" s="691"/>
      <c r="D4021" s="3"/>
    </row>
    <row r="4022" spans="1:4">
      <c r="A4022" s="691"/>
      <c r="D4022" s="3"/>
    </row>
    <row r="4023" spans="1:4">
      <c r="A4023" s="691"/>
      <c r="D4023" s="3"/>
    </row>
    <row r="4024" spans="1:4">
      <c r="A4024" s="691"/>
      <c r="D4024" s="3"/>
    </row>
    <row r="4025" spans="1:4">
      <c r="A4025" s="691"/>
      <c r="D4025" s="3"/>
    </row>
    <row r="4026" spans="1:4">
      <c r="A4026" s="691"/>
      <c r="D4026" s="3"/>
    </row>
    <row r="4027" spans="1:4">
      <c r="A4027" s="691"/>
      <c r="D4027" s="3"/>
    </row>
    <row r="4028" spans="1:4">
      <c r="A4028" s="691"/>
      <c r="D4028" s="3"/>
    </row>
    <row r="4029" spans="1:4">
      <c r="A4029" s="691"/>
      <c r="D4029" s="3"/>
    </row>
    <row r="4030" spans="1:4">
      <c r="A4030" s="691"/>
      <c r="D4030" s="3"/>
    </row>
    <row r="4031" spans="1:4">
      <c r="A4031" s="691"/>
      <c r="D4031" s="3"/>
    </row>
    <row r="4032" spans="1:4">
      <c r="A4032" s="691"/>
      <c r="D4032" s="3"/>
    </row>
    <row r="4033" spans="1:4">
      <c r="A4033" s="691"/>
      <c r="D4033" s="3"/>
    </row>
    <row r="4034" spans="1:4">
      <c r="A4034" s="691"/>
      <c r="D4034" s="3"/>
    </row>
    <row r="4035" spans="1:4">
      <c r="A4035" s="691"/>
      <c r="D4035" s="3"/>
    </row>
    <row r="4036" spans="1:4">
      <c r="A4036" s="691"/>
      <c r="D4036" s="3"/>
    </row>
    <row r="4037" spans="1:4">
      <c r="A4037" s="691"/>
      <c r="D4037" s="3"/>
    </row>
    <row r="4038" spans="1:4">
      <c r="A4038" s="691"/>
      <c r="D4038" s="3"/>
    </row>
    <row r="4039" spans="1:4">
      <c r="A4039" s="691"/>
      <c r="D4039" s="3"/>
    </row>
    <row r="4040" spans="1:4">
      <c r="A4040" s="691"/>
      <c r="D4040" s="3"/>
    </row>
    <row r="4041" spans="1:4">
      <c r="A4041" s="691"/>
      <c r="D4041" s="3"/>
    </row>
    <row r="4042" spans="1:4">
      <c r="A4042" s="691"/>
      <c r="D4042" s="3"/>
    </row>
    <row r="4043" spans="1:4">
      <c r="A4043" s="691"/>
      <c r="D4043" s="3"/>
    </row>
    <row r="4044" spans="1:4">
      <c r="A4044" s="691"/>
      <c r="D4044" s="3"/>
    </row>
    <row r="4045" spans="1:4">
      <c r="A4045" s="691"/>
      <c r="D4045" s="3"/>
    </row>
    <row r="4046" spans="1:4">
      <c r="A4046" s="691"/>
      <c r="D4046" s="3"/>
    </row>
    <row r="4047" spans="1:4">
      <c r="A4047" s="691"/>
      <c r="D4047" s="3"/>
    </row>
    <row r="4048" spans="1:4">
      <c r="A4048" s="691"/>
      <c r="D4048" s="3"/>
    </row>
    <row r="4049" spans="1:4">
      <c r="A4049" s="691"/>
      <c r="D4049" s="3"/>
    </row>
    <row r="4050" spans="1:4">
      <c r="A4050" s="691"/>
      <c r="D4050" s="3"/>
    </row>
    <row r="4051" spans="1:4">
      <c r="A4051" s="691"/>
      <c r="D4051" s="3"/>
    </row>
    <row r="4052" spans="1:4">
      <c r="A4052" s="691"/>
      <c r="D4052" s="3"/>
    </row>
    <row r="4053" spans="1:4">
      <c r="A4053" s="691"/>
      <c r="D4053" s="3"/>
    </row>
    <row r="4054" spans="1:4">
      <c r="A4054" s="691"/>
      <c r="D4054" s="3"/>
    </row>
    <row r="4055" spans="1:4">
      <c r="A4055" s="691"/>
      <c r="D4055" s="3"/>
    </row>
    <row r="4056" spans="1:4">
      <c r="A4056" s="691"/>
      <c r="D4056" s="3"/>
    </row>
    <row r="4057" spans="1:4">
      <c r="A4057" s="691"/>
      <c r="D4057" s="3"/>
    </row>
    <row r="4058" spans="1:4">
      <c r="A4058" s="691"/>
      <c r="D4058" s="3"/>
    </row>
    <row r="4059" spans="1:4">
      <c r="A4059" s="691"/>
      <c r="D4059" s="3"/>
    </row>
    <row r="4060" spans="1:4">
      <c r="A4060" s="691"/>
      <c r="D4060" s="3"/>
    </row>
    <row r="4061" spans="1:4">
      <c r="A4061" s="691"/>
      <c r="D4061" s="3"/>
    </row>
    <row r="4062" spans="1:4">
      <c r="A4062" s="691"/>
      <c r="D4062" s="3"/>
    </row>
    <row r="4063" spans="1:4">
      <c r="A4063" s="691"/>
      <c r="D4063" s="3"/>
    </row>
    <row r="4064" spans="1:4">
      <c r="A4064" s="691"/>
      <c r="D4064" s="3"/>
    </row>
    <row r="4065" spans="1:4">
      <c r="A4065" s="691"/>
      <c r="D4065" s="3"/>
    </row>
    <row r="4066" spans="1:4">
      <c r="A4066" s="691"/>
      <c r="D4066" s="3"/>
    </row>
    <row r="4067" spans="1:4">
      <c r="A4067" s="691"/>
      <c r="D4067" s="3"/>
    </row>
    <row r="4068" spans="1:4">
      <c r="A4068" s="691"/>
      <c r="D4068" s="3"/>
    </row>
    <row r="4069" spans="1:4">
      <c r="A4069" s="691"/>
      <c r="D4069" s="3"/>
    </row>
    <row r="4070" spans="1:4">
      <c r="A4070" s="691"/>
      <c r="D4070" s="3"/>
    </row>
    <row r="4071" spans="1:4">
      <c r="A4071" s="691"/>
      <c r="D4071" s="3"/>
    </row>
    <row r="4072" spans="1:4">
      <c r="A4072" s="691"/>
      <c r="D4072" s="3"/>
    </row>
    <row r="4073" spans="1:4">
      <c r="A4073" s="691"/>
      <c r="D4073" s="3"/>
    </row>
    <row r="4074" spans="1:4">
      <c r="A4074" s="691"/>
      <c r="D4074" s="3"/>
    </row>
    <row r="4075" spans="1:4">
      <c r="A4075" s="691"/>
      <c r="D4075" s="3"/>
    </row>
    <row r="4076" spans="1:4">
      <c r="A4076" s="691"/>
      <c r="D4076" s="3"/>
    </row>
    <row r="4077" spans="1:4">
      <c r="A4077" s="691"/>
      <c r="D4077" s="3"/>
    </row>
    <row r="4078" spans="1:4">
      <c r="A4078" s="691"/>
      <c r="D4078" s="3"/>
    </row>
    <row r="4079" spans="1:4">
      <c r="A4079" s="691"/>
      <c r="D4079" s="3"/>
    </row>
    <row r="4080" spans="1:4">
      <c r="A4080" s="691"/>
      <c r="D4080" s="3"/>
    </row>
    <row r="4081" spans="1:4">
      <c r="A4081" s="691"/>
      <c r="D4081" s="3"/>
    </row>
    <row r="4082" spans="1:4">
      <c r="A4082" s="691"/>
      <c r="D4082" s="3"/>
    </row>
    <row r="4083" spans="1:4">
      <c r="A4083" s="691"/>
      <c r="D4083" s="3"/>
    </row>
    <row r="4084" spans="1:4">
      <c r="A4084" s="691"/>
      <c r="D4084" s="3"/>
    </row>
    <row r="4085" spans="1:4">
      <c r="A4085" s="691"/>
      <c r="D4085" s="3"/>
    </row>
    <row r="4086" spans="1:4">
      <c r="A4086" s="691"/>
      <c r="D4086" s="3"/>
    </row>
    <row r="4087" spans="1:4">
      <c r="A4087" s="691"/>
      <c r="D4087" s="3"/>
    </row>
    <row r="4088" spans="1:4">
      <c r="A4088" s="691"/>
      <c r="D4088" s="3"/>
    </row>
    <row r="4089" spans="1:4">
      <c r="A4089" s="691"/>
      <c r="D4089" s="3"/>
    </row>
    <row r="4090" spans="1:4">
      <c r="A4090" s="691"/>
      <c r="D4090" s="3"/>
    </row>
    <row r="4091" spans="1:4">
      <c r="A4091" s="691"/>
      <c r="D4091" s="3"/>
    </row>
    <row r="4092" spans="1:4">
      <c r="A4092" s="691"/>
      <c r="D4092" s="3"/>
    </row>
    <row r="4093" spans="1:4">
      <c r="A4093" s="691"/>
      <c r="D4093" s="3"/>
    </row>
    <row r="4094" spans="1:4">
      <c r="A4094" s="691"/>
      <c r="D4094" s="3"/>
    </row>
    <row r="4095" spans="1:4">
      <c r="A4095" s="691"/>
      <c r="D4095" s="3"/>
    </row>
    <row r="4096" spans="1:4">
      <c r="A4096" s="691"/>
      <c r="D4096" s="3"/>
    </row>
    <row r="4097" spans="1:4">
      <c r="A4097" s="691"/>
      <c r="D4097" s="3"/>
    </row>
    <row r="4098" spans="1:4">
      <c r="A4098" s="691"/>
      <c r="D4098" s="3"/>
    </row>
    <row r="4099" spans="1:4">
      <c r="A4099" s="691"/>
      <c r="D4099" s="3"/>
    </row>
    <row r="4100" spans="1:4">
      <c r="A4100" s="691"/>
      <c r="D4100" s="3"/>
    </row>
    <row r="4101" spans="1:4">
      <c r="A4101" s="691"/>
      <c r="D4101" s="3"/>
    </row>
    <row r="4102" spans="1:4">
      <c r="A4102" s="691"/>
      <c r="D4102" s="3"/>
    </row>
    <row r="4103" spans="1:4">
      <c r="A4103" s="691"/>
      <c r="D4103" s="3"/>
    </row>
    <row r="4104" spans="1:4">
      <c r="A4104" s="691"/>
      <c r="D4104" s="3"/>
    </row>
    <row r="4105" spans="1:4">
      <c r="A4105" s="691"/>
      <c r="D4105" s="3"/>
    </row>
    <row r="4106" spans="1:4">
      <c r="A4106" s="691"/>
      <c r="D4106" s="3"/>
    </row>
    <row r="4107" spans="1:4">
      <c r="A4107" s="691"/>
      <c r="D4107" s="3"/>
    </row>
    <row r="4108" spans="1:4">
      <c r="A4108" s="691"/>
      <c r="D4108" s="3"/>
    </row>
    <row r="4109" spans="1:4">
      <c r="A4109" s="691"/>
      <c r="D4109" s="3"/>
    </row>
    <row r="4110" spans="1:4">
      <c r="A4110" s="691"/>
      <c r="D4110" s="3"/>
    </row>
    <row r="4111" spans="1:4">
      <c r="A4111" s="691"/>
      <c r="D4111" s="3"/>
    </row>
    <row r="4112" spans="1:4">
      <c r="A4112" s="691"/>
      <c r="D4112" s="3"/>
    </row>
    <row r="4113" spans="1:4">
      <c r="A4113" s="691"/>
      <c r="D4113" s="3"/>
    </row>
    <row r="4114" spans="1:4">
      <c r="A4114" s="691"/>
      <c r="D4114" s="3"/>
    </row>
    <row r="4115" spans="1:4">
      <c r="A4115" s="691"/>
      <c r="D4115" s="3"/>
    </row>
    <row r="4116" spans="1:4">
      <c r="A4116" s="691"/>
      <c r="D4116" s="3"/>
    </row>
    <row r="4117" spans="1:4">
      <c r="A4117" s="691"/>
      <c r="D4117" s="3"/>
    </row>
    <row r="4118" spans="1:4">
      <c r="A4118" s="691"/>
      <c r="D4118" s="3"/>
    </row>
    <row r="4119" spans="1:4">
      <c r="A4119" s="691"/>
      <c r="D4119" s="3"/>
    </row>
    <row r="4120" spans="1:4">
      <c r="A4120" s="691"/>
      <c r="D4120" s="3"/>
    </row>
    <row r="4121" spans="1:4">
      <c r="A4121" s="691"/>
      <c r="D4121" s="3"/>
    </row>
    <row r="4122" spans="1:4">
      <c r="A4122" s="691"/>
      <c r="D4122" s="3"/>
    </row>
    <row r="4123" spans="1:4">
      <c r="A4123" s="691"/>
      <c r="D4123" s="3"/>
    </row>
    <row r="4124" spans="1:4">
      <c r="A4124" s="691"/>
      <c r="D4124" s="3"/>
    </row>
    <row r="4125" spans="1:4">
      <c r="A4125" s="691"/>
      <c r="D4125" s="3"/>
    </row>
    <row r="4126" spans="1:4">
      <c r="A4126" s="691"/>
      <c r="D4126" s="3"/>
    </row>
    <row r="4127" spans="1:4">
      <c r="A4127" s="691"/>
      <c r="D4127" s="3"/>
    </row>
    <row r="4128" spans="1:4">
      <c r="A4128" s="691"/>
      <c r="D4128" s="3"/>
    </row>
    <row r="4129" spans="1:4">
      <c r="A4129" s="691"/>
      <c r="D4129" s="3"/>
    </row>
    <row r="4130" spans="1:4">
      <c r="A4130" s="691"/>
      <c r="D4130" s="3"/>
    </row>
    <row r="4131" spans="1:4">
      <c r="A4131" s="691"/>
      <c r="D4131" s="3"/>
    </row>
    <row r="4132" spans="1:4">
      <c r="A4132" s="691"/>
      <c r="D4132" s="3"/>
    </row>
    <row r="4133" spans="1:4">
      <c r="A4133" s="691"/>
      <c r="D4133" s="3"/>
    </row>
    <row r="4134" spans="1:4">
      <c r="A4134" s="691"/>
      <c r="D4134" s="3"/>
    </row>
    <row r="4135" spans="1:4">
      <c r="A4135" s="691"/>
      <c r="D4135" s="3"/>
    </row>
    <row r="4136" spans="1:4">
      <c r="A4136" s="691"/>
      <c r="D4136" s="3"/>
    </row>
    <row r="4137" spans="1:4">
      <c r="A4137" s="691"/>
      <c r="D4137" s="3"/>
    </row>
    <row r="4138" spans="1:4">
      <c r="A4138" s="691"/>
      <c r="D4138" s="3"/>
    </row>
    <row r="4139" spans="1:4">
      <c r="A4139" s="691"/>
      <c r="D4139" s="3"/>
    </row>
    <row r="4140" spans="1:4">
      <c r="A4140" s="691"/>
      <c r="D4140" s="3"/>
    </row>
    <row r="4141" spans="1:4">
      <c r="A4141" s="691"/>
      <c r="D4141" s="3"/>
    </row>
    <row r="4142" spans="1:4">
      <c r="A4142" s="691"/>
      <c r="D4142" s="3"/>
    </row>
    <row r="4143" spans="1:4">
      <c r="A4143" s="691"/>
      <c r="D4143" s="3"/>
    </row>
    <row r="4144" spans="1:4">
      <c r="A4144" s="691"/>
      <c r="D4144" s="3"/>
    </row>
    <row r="4145" spans="1:4">
      <c r="A4145" s="691"/>
      <c r="D4145" s="3"/>
    </row>
    <row r="4146" spans="1:4">
      <c r="A4146" s="691"/>
      <c r="D4146" s="3"/>
    </row>
    <row r="4147" spans="1:4">
      <c r="A4147" s="691"/>
      <c r="D4147" s="3"/>
    </row>
    <row r="4148" spans="1:4">
      <c r="A4148" s="691"/>
      <c r="D4148" s="3"/>
    </row>
    <row r="4149" spans="1:4">
      <c r="A4149" s="691"/>
      <c r="D4149" s="3"/>
    </row>
    <row r="4150" spans="1:4">
      <c r="A4150" s="691"/>
      <c r="D4150" s="3"/>
    </row>
    <row r="4151" spans="1:4">
      <c r="A4151" s="691"/>
      <c r="D4151" s="3"/>
    </row>
    <row r="4152" spans="1:4">
      <c r="A4152" s="691"/>
      <c r="D4152" s="3"/>
    </row>
    <row r="4153" spans="1:4">
      <c r="A4153" s="691"/>
      <c r="D4153" s="3"/>
    </row>
    <row r="4154" spans="1:4">
      <c r="A4154" s="691"/>
      <c r="D4154" s="3"/>
    </row>
    <row r="4155" spans="1:4">
      <c r="A4155" s="691"/>
      <c r="D4155" s="3"/>
    </row>
    <row r="4156" spans="1:4">
      <c r="A4156" s="691"/>
      <c r="D4156" s="3"/>
    </row>
    <row r="4157" spans="1:4">
      <c r="A4157" s="691"/>
      <c r="D4157" s="3"/>
    </row>
    <row r="4158" spans="1:4">
      <c r="A4158" s="691"/>
      <c r="D4158" s="3"/>
    </row>
    <row r="4159" spans="1:4">
      <c r="A4159" s="691"/>
      <c r="D4159" s="3"/>
    </row>
    <row r="4160" spans="1:4">
      <c r="A4160" s="691"/>
      <c r="D4160" s="3"/>
    </row>
    <row r="4161" spans="1:4">
      <c r="A4161" s="691"/>
      <c r="D4161" s="3"/>
    </row>
    <row r="4162" spans="1:4">
      <c r="A4162" s="691"/>
      <c r="D4162" s="3"/>
    </row>
    <row r="4163" spans="1:4">
      <c r="A4163" s="691"/>
      <c r="D4163" s="3"/>
    </row>
    <row r="4164" spans="1:4">
      <c r="A4164" s="691"/>
      <c r="D4164" s="3"/>
    </row>
    <row r="4165" spans="1:4">
      <c r="A4165" s="691"/>
      <c r="D4165" s="3"/>
    </row>
    <row r="4166" spans="1:4">
      <c r="A4166" s="691"/>
      <c r="D4166" s="3"/>
    </row>
    <row r="4167" spans="1:4">
      <c r="A4167" s="691"/>
      <c r="D4167" s="3"/>
    </row>
    <row r="4168" spans="1:4">
      <c r="A4168" s="691"/>
      <c r="D4168" s="3"/>
    </row>
    <row r="4169" spans="1:4">
      <c r="A4169" s="691"/>
      <c r="D4169" s="3"/>
    </row>
    <row r="4170" spans="1:4">
      <c r="A4170" s="691"/>
      <c r="D4170" s="3"/>
    </row>
    <row r="4171" spans="1:4">
      <c r="A4171" s="691"/>
      <c r="D4171" s="3"/>
    </row>
    <row r="4172" spans="1:4">
      <c r="A4172" s="691"/>
      <c r="D4172" s="3"/>
    </row>
    <row r="4173" spans="1:4">
      <c r="A4173" s="691"/>
      <c r="D4173" s="3"/>
    </row>
    <row r="4174" spans="1:4">
      <c r="A4174" s="691"/>
      <c r="D4174" s="3"/>
    </row>
    <row r="4175" spans="1:4">
      <c r="A4175" s="691"/>
      <c r="D4175" s="3"/>
    </row>
    <row r="4176" spans="1:4">
      <c r="A4176" s="691"/>
      <c r="D4176" s="3"/>
    </row>
    <row r="4177" spans="1:4">
      <c r="A4177" s="691"/>
      <c r="D4177" s="3"/>
    </row>
    <row r="4178" spans="1:4">
      <c r="A4178" s="691"/>
      <c r="D4178" s="3"/>
    </row>
    <row r="4179" spans="1:4">
      <c r="A4179" s="691"/>
      <c r="D4179" s="3"/>
    </row>
    <row r="4180" spans="1:4">
      <c r="A4180" s="691"/>
      <c r="D4180" s="3"/>
    </row>
    <row r="4181" spans="1:4">
      <c r="A4181" s="691"/>
      <c r="D4181" s="3"/>
    </row>
    <row r="4182" spans="1:4">
      <c r="A4182" s="691"/>
      <c r="D4182" s="3"/>
    </row>
    <row r="4183" spans="1:4">
      <c r="A4183" s="691"/>
      <c r="D4183" s="3"/>
    </row>
    <row r="4184" spans="1:4">
      <c r="A4184" s="691"/>
      <c r="D4184" s="3"/>
    </row>
    <row r="4185" spans="1:4">
      <c r="A4185" s="691"/>
      <c r="D4185" s="3"/>
    </row>
    <row r="4186" spans="1:4">
      <c r="A4186" s="691"/>
      <c r="D4186" s="3"/>
    </row>
    <row r="4187" spans="1:4">
      <c r="A4187" s="691"/>
      <c r="D4187" s="3"/>
    </row>
    <row r="4188" spans="1:4">
      <c r="A4188" s="691"/>
      <c r="D4188" s="3"/>
    </row>
    <row r="4189" spans="1:4">
      <c r="A4189" s="691"/>
      <c r="D4189" s="3"/>
    </row>
    <row r="4190" spans="1:4">
      <c r="A4190" s="691"/>
      <c r="D4190" s="3"/>
    </row>
    <row r="4191" spans="1:4">
      <c r="A4191" s="691"/>
      <c r="D4191" s="3"/>
    </row>
    <row r="4192" spans="1:4">
      <c r="A4192" s="691"/>
      <c r="D4192" s="3"/>
    </row>
    <row r="4193" spans="1:4">
      <c r="A4193" s="691"/>
      <c r="D4193" s="3"/>
    </row>
    <row r="4194" spans="1:4">
      <c r="A4194" s="691"/>
      <c r="D4194" s="3"/>
    </row>
    <row r="4195" spans="1:4">
      <c r="A4195" s="691"/>
      <c r="D4195" s="3"/>
    </row>
    <row r="4196" spans="1:4">
      <c r="A4196" s="691"/>
      <c r="D4196" s="3"/>
    </row>
    <row r="4197" spans="1:4">
      <c r="A4197" s="691"/>
      <c r="D4197" s="3"/>
    </row>
    <row r="4198" spans="1:4">
      <c r="A4198" s="691"/>
      <c r="D4198" s="3"/>
    </row>
    <row r="4199" spans="1:4">
      <c r="A4199" s="691"/>
      <c r="D4199" s="3"/>
    </row>
    <row r="4200" spans="1:4">
      <c r="A4200" s="691"/>
      <c r="D4200" s="3"/>
    </row>
    <row r="4201" spans="1:4">
      <c r="A4201" s="691"/>
      <c r="D4201" s="3"/>
    </row>
    <row r="4202" spans="1:4">
      <c r="A4202" s="691"/>
      <c r="D4202" s="3"/>
    </row>
    <row r="4203" spans="1:4">
      <c r="A4203" s="691"/>
      <c r="D4203" s="3"/>
    </row>
    <row r="4204" spans="1:4">
      <c r="A4204" s="691"/>
      <c r="D4204" s="3"/>
    </row>
    <row r="4205" spans="1:4">
      <c r="A4205" s="691"/>
      <c r="D4205" s="3"/>
    </row>
    <row r="4206" spans="1:4">
      <c r="A4206" s="691"/>
      <c r="D4206" s="3"/>
    </row>
    <row r="4207" spans="1:4">
      <c r="A4207" s="691"/>
      <c r="D4207" s="3"/>
    </row>
    <row r="4208" spans="1:4">
      <c r="A4208" s="691"/>
      <c r="D4208" s="3"/>
    </row>
    <row r="4209" spans="1:4">
      <c r="A4209" s="691"/>
      <c r="D4209" s="3"/>
    </row>
    <row r="4210" spans="1:4">
      <c r="A4210" s="691"/>
      <c r="D4210" s="3"/>
    </row>
    <row r="4211" spans="1:4">
      <c r="A4211" s="691"/>
      <c r="D4211" s="3"/>
    </row>
    <row r="4212" spans="1:4">
      <c r="A4212" s="691"/>
      <c r="D4212" s="3"/>
    </row>
    <row r="4213" spans="1:4">
      <c r="A4213" s="691"/>
      <c r="D4213" s="3"/>
    </row>
    <row r="4214" spans="1:4">
      <c r="A4214" s="691"/>
      <c r="D4214" s="3"/>
    </row>
    <row r="4215" spans="1:4">
      <c r="A4215" s="691"/>
      <c r="D4215" s="3"/>
    </row>
    <row r="4216" spans="1:4">
      <c r="A4216" s="691"/>
      <c r="D4216" s="3"/>
    </row>
    <row r="4217" spans="1:4">
      <c r="A4217" s="691"/>
      <c r="D4217" s="3"/>
    </row>
    <row r="4218" spans="1:4">
      <c r="A4218" s="691"/>
      <c r="D4218" s="3"/>
    </row>
    <row r="4219" spans="1:4">
      <c r="A4219" s="691"/>
      <c r="D4219" s="3"/>
    </row>
    <row r="4220" spans="1:4">
      <c r="A4220" s="691"/>
      <c r="D4220" s="3"/>
    </row>
    <row r="4221" spans="1:4">
      <c r="A4221" s="691"/>
      <c r="D4221" s="3"/>
    </row>
    <row r="4222" spans="1:4">
      <c r="A4222" s="691"/>
      <c r="D4222" s="3"/>
    </row>
    <row r="4223" spans="1:4">
      <c r="A4223" s="691"/>
      <c r="D4223" s="3"/>
    </row>
    <row r="4224" spans="1:4">
      <c r="A4224" s="691"/>
      <c r="D4224" s="3"/>
    </row>
    <row r="4225" spans="1:4">
      <c r="A4225" s="691"/>
      <c r="D4225" s="3"/>
    </row>
    <row r="4226" spans="1:4">
      <c r="A4226" s="691"/>
      <c r="D4226" s="3"/>
    </row>
    <row r="4227" spans="1:4">
      <c r="A4227" s="691"/>
      <c r="D4227" s="3"/>
    </row>
    <row r="4228" spans="1:4">
      <c r="A4228" s="691"/>
      <c r="D4228" s="3"/>
    </row>
    <row r="4229" spans="1:4">
      <c r="A4229" s="691"/>
      <c r="D4229" s="3"/>
    </row>
    <row r="4230" spans="1:4">
      <c r="A4230" s="691"/>
      <c r="D4230" s="3"/>
    </row>
    <row r="4231" spans="1:4">
      <c r="A4231" s="691"/>
      <c r="D4231" s="3"/>
    </row>
    <row r="4232" spans="1:4">
      <c r="A4232" s="691"/>
      <c r="D4232" s="3"/>
    </row>
    <row r="4233" spans="1:4">
      <c r="A4233" s="691"/>
      <c r="D4233" s="3"/>
    </row>
    <row r="4234" spans="1:4">
      <c r="A4234" s="691"/>
      <c r="D4234" s="3"/>
    </row>
    <row r="4235" spans="1:4">
      <c r="A4235" s="691"/>
      <c r="D4235" s="3"/>
    </row>
    <row r="4236" spans="1:4">
      <c r="A4236" s="691"/>
      <c r="D4236" s="3"/>
    </row>
    <row r="4237" spans="1:4">
      <c r="A4237" s="691"/>
      <c r="D4237" s="3"/>
    </row>
    <row r="4238" spans="1:4">
      <c r="A4238" s="691"/>
      <c r="D4238" s="3"/>
    </row>
    <row r="4239" spans="1:4">
      <c r="A4239" s="691"/>
      <c r="D4239" s="3"/>
    </row>
    <row r="4240" spans="1:4">
      <c r="A4240" s="691"/>
      <c r="D4240" s="3"/>
    </row>
    <row r="4241" spans="1:4">
      <c r="A4241" s="691"/>
      <c r="D4241" s="3"/>
    </row>
    <row r="4242" spans="1:4">
      <c r="A4242" s="691"/>
      <c r="D4242" s="3"/>
    </row>
    <row r="4243" spans="1:4">
      <c r="A4243" s="691"/>
      <c r="D4243" s="3"/>
    </row>
    <row r="4244" spans="1:4">
      <c r="A4244" s="691"/>
      <c r="D4244" s="3"/>
    </row>
    <row r="4245" spans="1:4">
      <c r="A4245" s="691"/>
      <c r="D4245" s="3"/>
    </row>
    <row r="4246" spans="1:4">
      <c r="A4246" s="691"/>
      <c r="D4246" s="3"/>
    </row>
    <row r="4247" spans="1:4">
      <c r="A4247" s="691"/>
      <c r="D4247" s="3"/>
    </row>
    <row r="4248" spans="1:4">
      <c r="A4248" s="691"/>
      <c r="D4248" s="3"/>
    </row>
    <row r="4249" spans="1:4">
      <c r="A4249" s="691"/>
      <c r="D4249" s="3"/>
    </row>
    <row r="4250" spans="1:4">
      <c r="A4250" s="691"/>
      <c r="D4250" s="3"/>
    </row>
    <row r="4251" spans="1:4">
      <c r="A4251" s="691"/>
      <c r="D4251" s="3"/>
    </row>
    <row r="4252" spans="1:4">
      <c r="A4252" s="691"/>
      <c r="D4252" s="3"/>
    </row>
    <row r="4253" spans="1:4">
      <c r="A4253" s="691"/>
      <c r="D4253" s="3"/>
    </row>
    <row r="4254" spans="1:4">
      <c r="A4254" s="691"/>
      <c r="D4254" s="3"/>
    </row>
    <row r="4255" spans="1:4">
      <c r="A4255" s="691"/>
      <c r="D4255" s="3"/>
    </row>
    <row r="4256" spans="1:4">
      <c r="A4256" s="691"/>
      <c r="D4256" s="3"/>
    </row>
    <row r="4257" spans="1:4">
      <c r="A4257" s="691"/>
      <c r="D4257" s="3"/>
    </row>
    <row r="4258" spans="1:4">
      <c r="A4258" s="691"/>
      <c r="D4258" s="3"/>
    </row>
    <row r="4259" spans="1:4">
      <c r="A4259" s="691"/>
      <c r="D4259" s="3"/>
    </row>
    <row r="4260" spans="1:4">
      <c r="A4260" s="691"/>
      <c r="D4260" s="3"/>
    </row>
    <row r="4261" spans="1:4">
      <c r="A4261" s="691"/>
      <c r="D4261" s="3"/>
    </row>
    <row r="4262" spans="1:4">
      <c r="A4262" s="691"/>
      <c r="D4262" s="3"/>
    </row>
    <row r="4263" spans="1:4">
      <c r="A4263" s="691"/>
      <c r="D4263" s="3"/>
    </row>
    <row r="4264" spans="1:4">
      <c r="A4264" s="691"/>
      <c r="D4264" s="3"/>
    </row>
    <row r="4265" spans="1:4">
      <c r="A4265" s="691"/>
      <c r="D4265" s="3"/>
    </row>
    <row r="4266" spans="1:4">
      <c r="A4266" s="691"/>
      <c r="D4266" s="3"/>
    </row>
    <row r="4267" spans="1:4">
      <c r="A4267" s="691"/>
      <c r="D4267" s="3"/>
    </row>
    <row r="4268" spans="1:4">
      <c r="A4268" s="691"/>
      <c r="D4268" s="3"/>
    </row>
    <row r="4269" spans="1:4">
      <c r="A4269" s="691"/>
      <c r="D4269" s="3"/>
    </row>
    <row r="4270" spans="1:4">
      <c r="A4270" s="691"/>
      <c r="D4270" s="3"/>
    </row>
    <row r="4271" spans="1:4">
      <c r="A4271" s="691"/>
      <c r="D4271" s="3"/>
    </row>
    <row r="4272" spans="1:4">
      <c r="A4272" s="691"/>
      <c r="D4272" s="3"/>
    </row>
    <row r="4273" spans="1:4">
      <c r="A4273" s="691"/>
      <c r="D4273" s="3"/>
    </row>
    <row r="4274" spans="1:4">
      <c r="A4274" s="691"/>
      <c r="D4274" s="3"/>
    </row>
    <row r="4275" spans="1:4">
      <c r="A4275" s="691"/>
      <c r="D4275" s="3"/>
    </row>
    <row r="4276" spans="1:4">
      <c r="A4276" s="691"/>
      <c r="D4276" s="3"/>
    </row>
    <row r="4277" spans="1:4">
      <c r="A4277" s="691"/>
      <c r="D4277" s="3"/>
    </row>
    <row r="4278" spans="1:4">
      <c r="A4278" s="691"/>
      <c r="D4278" s="3"/>
    </row>
    <row r="4279" spans="1:4">
      <c r="A4279" s="691"/>
      <c r="D4279" s="3"/>
    </row>
    <row r="4280" spans="1:4">
      <c r="A4280" s="691"/>
      <c r="D4280" s="3"/>
    </row>
    <row r="4281" spans="1:4">
      <c r="A4281" s="691"/>
      <c r="D4281" s="3"/>
    </row>
    <row r="4282" spans="1:4">
      <c r="A4282" s="691"/>
      <c r="D4282" s="3"/>
    </row>
    <row r="4283" spans="1:4">
      <c r="A4283" s="691"/>
      <c r="D4283" s="3"/>
    </row>
    <row r="4284" spans="1:4">
      <c r="A4284" s="691"/>
      <c r="D4284" s="3"/>
    </row>
    <row r="4285" spans="1:4">
      <c r="A4285" s="691"/>
      <c r="D4285" s="3"/>
    </row>
    <row r="4286" spans="1:4">
      <c r="A4286" s="691"/>
      <c r="D4286" s="3"/>
    </row>
    <row r="4287" spans="1:4">
      <c r="A4287" s="691"/>
      <c r="D4287" s="3"/>
    </row>
    <row r="4288" spans="1:4">
      <c r="A4288" s="691"/>
      <c r="D4288" s="3"/>
    </row>
    <row r="4289" spans="1:4">
      <c r="A4289" s="691"/>
      <c r="D4289" s="3"/>
    </row>
    <row r="4290" spans="1:4">
      <c r="A4290" s="691"/>
      <c r="D4290" s="3"/>
    </row>
    <row r="4291" spans="1:4">
      <c r="A4291" s="691"/>
      <c r="D4291" s="3"/>
    </row>
    <row r="4292" spans="1:4">
      <c r="A4292" s="691"/>
      <c r="D4292" s="3"/>
    </row>
    <row r="4293" spans="1:4">
      <c r="A4293" s="691"/>
      <c r="D4293" s="3"/>
    </row>
    <row r="4294" spans="1:4">
      <c r="A4294" s="691"/>
      <c r="D4294" s="3"/>
    </row>
    <row r="4295" spans="1:4">
      <c r="A4295" s="691"/>
      <c r="D4295" s="3"/>
    </row>
    <row r="4296" spans="1:4">
      <c r="A4296" s="691"/>
      <c r="D4296" s="3"/>
    </row>
    <row r="4297" spans="1:4">
      <c r="A4297" s="691"/>
      <c r="D4297" s="3"/>
    </row>
    <row r="4298" spans="1:4">
      <c r="A4298" s="691"/>
      <c r="D4298" s="3"/>
    </row>
    <row r="4299" spans="1:4">
      <c r="A4299" s="691"/>
      <c r="D4299" s="3"/>
    </row>
    <row r="4300" spans="1:4">
      <c r="A4300" s="691"/>
      <c r="D4300" s="3"/>
    </row>
    <row r="4301" spans="1:4">
      <c r="A4301" s="691"/>
      <c r="D4301" s="3"/>
    </row>
    <row r="4302" spans="1:4">
      <c r="A4302" s="691"/>
      <c r="D4302" s="3"/>
    </row>
    <row r="4303" spans="1:4">
      <c r="A4303" s="691"/>
      <c r="D4303" s="3"/>
    </row>
    <row r="4304" spans="1:4">
      <c r="A4304" s="691"/>
      <c r="D4304" s="3"/>
    </row>
    <row r="4305" spans="1:4">
      <c r="A4305" s="691"/>
      <c r="D4305" s="3"/>
    </row>
    <row r="4306" spans="1:4">
      <c r="A4306" s="691"/>
      <c r="D4306" s="3"/>
    </row>
    <row r="4307" spans="1:4">
      <c r="A4307" s="691"/>
      <c r="D4307" s="3"/>
    </row>
    <row r="4308" spans="1:4">
      <c r="A4308" s="691"/>
      <c r="D4308" s="3"/>
    </row>
    <row r="4309" spans="1:4">
      <c r="A4309" s="691"/>
      <c r="D4309" s="3"/>
    </row>
    <row r="4310" spans="1:4">
      <c r="A4310" s="691"/>
      <c r="D4310" s="3"/>
    </row>
    <row r="4311" spans="1:4">
      <c r="A4311" s="691"/>
      <c r="D4311" s="3"/>
    </row>
    <row r="4312" spans="1:4">
      <c r="A4312" s="691"/>
      <c r="D4312" s="3"/>
    </row>
    <row r="4313" spans="1:4">
      <c r="A4313" s="691"/>
      <c r="D4313" s="3"/>
    </row>
    <row r="4314" spans="1:4">
      <c r="A4314" s="691"/>
      <c r="D4314" s="3"/>
    </row>
    <row r="4315" spans="1:4">
      <c r="A4315" s="691"/>
      <c r="D4315" s="3"/>
    </row>
    <row r="4316" spans="1:4">
      <c r="A4316" s="691"/>
      <c r="D4316" s="3"/>
    </row>
    <row r="4317" spans="1:4">
      <c r="A4317" s="691"/>
      <c r="D4317" s="3"/>
    </row>
    <row r="4318" spans="1:4">
      <c r="A4318" s="691"/>
      <c r="D4318" s="3"/>
    </row>
    <row r="4319" spans="1:4">
      <c r="A4319" s="691"/>
      <c r="D4319" s="3"/>
    </row>
    <row r="4320" spans="1:4">
      <c r="A4320" s="691"/>
      <c r="D4320" s="3"/>
    </row>
    <row r="4321" spans="1:4">
      <c r="A4321" s="691"/>
      <c r="D4321" s="3"/>
    </row>
    <row r="4322" spans="1:4">
      <c r="A4322" s="691"/>
      <c r="D4322" s="3"/>
    </row>
    <row r="4323" spans="1:4">
      <c r="A4323" s="691"/>
      <c r="D4323" s="3"/>
    </row>
    <row r="4324" spans="1:4">
      <c r="A4324" s="691"/>
      <c r="D4324" s="3"/>
    </row>
    <row r="4325" spans="1:4">
      <c r="A4325" s="691"/>
      <c r="D4325" s="3"/>
    </row>
    <row r="4326" spans="1:4">
      <c r="A4326" s="691"/>
      <c r="D4326" s="3"/>
    </row>
    <row r="4327" spans="1:4">
      <c r="A4327" s="691"/>
      <c r="D4327" s="3"/>
    </row>
    <row r="4328" spans="1:4">
      <c r="A4328" s="691"/>
      <c r="D4328" s="3"/>
    </row>
    <row r="4329" spans="1:4">
      <c r="A4329" s="691"/>
      <c r="D4329" s="3"/>
    </row>
    <row r="4330" spans="1:4">
      <c r="A4330" s="691"/>
      <c r="D4330" s="3"/>
    </row>
    <row r="4331" spans="1:4">
      <c r="A4331" s="691"/>
      <c r="D4331" s="3"/>
    </row>
    <row r="4332" spans="1:4">
      <c r="A4332" s="691"/>
      <c r="D4332" s="3"/>
    </row>
    <row r="4333" spans="1:4">
      <c r="A4333" s="691"/>
      <c r="D4333" s="3"/>
    </row>
    <row r="4334" spans="1:4">
      <c r="A4334" s="691"/>
      <c r="D4334" s="3"/>
    </row>
    <row r="4335" spans="1:4">
      <c r="A4335" s="691"/>
      <c r="D4335" s="3"/>
    </row>
    <row r="4336" spans="1:4">
      <c r="A4336" s="691"/>
      <c r="D4336" s="3"/>
    </row>
    <row r="4337" spans="1:4">
      <c r="A4337" s="691"/>
      <c r="D4337" s="3"/>
    </row>
    <row r="4338" spans="1:4">
      <c r="A4338" s="691"/>
      <c r="D4338" s="3"/>
    </row>
    <row r="4339" spans="1:4">
      <c r="A4339" s="691"/>
      <c r="D4339" s="3"/>
    </row>
    <row r="4340" spans="1:4">
      <c r="A4340" s="691"/>
      <c r="D4340" s="3"/>
    </row>
    <row r="4341" spans="1:4">
      <c r="A4341" s="691"/>
      <c r="D4341" s="3"/>
    </row>
    <row r="4342" spans="1:4">
      <c r="A4342" s="691"/>
      <c r="D4342" s="3"/>
    </row>
    <row r="4343" spans="1:4">
      <c r="A4343" s="691"/>
      <c r="D4343" s="3"/>
    </row>
    <row r="4344" spans="1:4">
      <c r="A4344" s="691"/>
      <c r="D4344" s="3"/>
    </row>
    <row r="4345" spans="1:4">
      <c r="A4345" s="691"/>
      <c r="D4345" s="3"/>
    </row>
    <row r="4346" spans="1:4">
      <c r="A4346" s="691"/>
      <c r="D4346" s="3"/>
    </row>
    <row r="4347" spans="1:4">
      <c r="A4347" s="691"/>
      <c r="D4347" s="3"/>
    </row>
    <row r="4348" spans="1:4">
      <c r="A4348" s="691"/>
      <c r="D4348" s="3"/>
    </row>
    <row r="4349" spans="1:4">
      <c r="A4349" s="691"/>
      <c r="D4349" s="3"/>
    </row>
    <row r="4350" spans="1:4">
      <c r="A4350" s="691"/>
      <c r="D4350" s="3"/>
    </row>
    <row r="4351" spans="1:4">
      <c r="A4351" s="691"/>
      <c r="D4351" s="3"/>
    </row>
    <row r="4352" spans="1:4">
      <c r="A4352" s="691"/>
      <c r="D4352" s="3"/>
    </row>
    <row r="4353" spans="1:4">
      <c r="A4353" s="691"/>
      <c r="D4353" s="3"/>
    </row>
    <row r="4354" spans="1:4">
      <c r="A4354" s="691"/>
      <c r="D4354" s="3"/>
    </row>
    <row r="4355" spans="1:4">
      <c r="A4355" s="691"/>
      <c r="D4355" s="3"/>
    </row>
    <row r="4356" spans="1:4">
      <c r="A4356" s="691"/>
      <c r="D4356" s="3"/>
    </row>
    <row r="4357" spans="1:4">
      <c r="A4357" s="691"/>
      <c r="D4357" s="3"/>
    </row>
    <row r="4358" spans="1:4">
      <c r="A4358" s="691"/>
      <c r="D4358" s="3"/>
    </row>
    <row r="4359" spans="1:4">
      <c r="A4359" s="691"/>
      <c r="D4359" s="3"/>
    </row>
    <row r="4360" spans="1:4">
      <c r="A4360" s="691"/>
      <c r="D4360" s="3"/>
    </row>
    <row r="4361" spans="1:4">
      <c r="A4361" s="691"/>
      <c r="D4361" s="3"/>
    </row>
    <row r="4362" spans="1:4">
      <c r="A4362" s="691"/>
      <c r="D4362" s="3"/>
    </row>
    <row r="4363" spans="1:4">
      <c r="A4363" s="691"/>
      <c r="D4363" s="3"/>
    </row>
    <row r="4364" spans="1:4">
      <c r="A4364" s="691"/>
      <c r="D4364" s="3"/>
    </row>
    <row r="4365" spans="1:4">
      <c r="A4365" s="691"/>
      <c r="D4365" s="3"/>
    </row>
    <row r="4366" spans="1:4">
      <c r="A4366" s="691"/>
      <c r="D4366" s="3"/>
    </row>
    <row r="4367" spans="1:4">
      <c r="A4367" s="691"/>
      <c r="D4367" s="3"/>
    </row>
    <row r="4368" spans="1:4">
      <c r="A4368" s="691"/>
      <c r="D4368" s="3"/>
    </row>
    <row r="4369" spans="1:4">
      <c r="A4369" s="691"/>
      <c r="D4369" s="3"/>
    </row>
    <row r="4370" spans="1:4">
      <c r="A4370" s="691"/>
      <c r="D4370" s="3"/>
    </row>
    <row r="4371" spans="1:4">
      <c r="A4371" s="691"/>
      <c r="D4371" s="3"/>
    </row>
    <row r="4372" spans="1:4">
      <c r="A4372" s="691"/>
      <c r="D4372" s="3"/>
    </row>
    <row r="4373" spans="1:4">
      <c r="A4373" s="691"/>
      <c r="D4373" s="3"/>
    </row>
    <row r="4374" spans="1:4">
      <c r="A4374" s="691"/>
      <c r="D4374" s="3"/>
    </row>
    <row r="4375" spans="1:4">
      <c r="A4375" s="691"/>
      <c r="D4375" s="3"/>
    </row>
    <row r="4376" spans="1:4">
      <c r="A4376" s="691"/>
      <c r="D4376" s="3"/>
    </row>
    <row r="4377" spans="1:4">
      <c r="A4377" s="691"/>
      <c r="D4377" s="3"/>
    </row>
    <row r="4378" spans="1:4">
      <c r="A4378" s="691"/>
      <c r="D4378" s="3"/>
    </row>
    <row r="4379" spans="1:4">
      <c r="A4379" s="691"/>
      <c r="D4379" s="3"/>
    </row>
    <row r="4380" spans="1:4">
      <c r="A4380" s="691"/>
      <c r="D4380" s="3"/>
    </row>
    <row r="4381" spans="1:4">
      <c r="A4381" s="691"/>
      <c r="D4381" s="3"/>
    </row>
    <row r="4382" spans="1:4">
      <c r="A4382" s="691"/>
      <c r="D4382" s="3"/>
    </row>
    <row r="4383" spans="1:4">
      <c r="A4383" s="691"/>
      <c r="D4383" s="3"/>
    </row>
    <row r="4384" spans="1:4">
      <c r="A4384" s="691"/>
      <c r="D4384" s="3"/>
    </row>
    <row r="4385" spans="1:4">
      <c r="A4385" s="691"/>
      <c r="D4385" s="3"/>
    </row>
    <row r="4386" spans="1:4">
      <c r="A4386" s="691"/>
      <c r="D4386" s="3"/>
    </row>
    <row r="4387" spans="1:4">
      <c r="A4387" s="691"/>
      <c r="D4387" s="3"/>
    </row>
    <row r="4388" spans="1:4">
      <c r="A4388" s="691"/>
      <c r="D4388" s="3"/>
    </row>
    <row r="4389" spans="1:4">
      <c r="A4389" s="691"/>
      <c r="D4389" s="3"/>
    </row>
    <row r="4390" spans="1:4">
      <c r="A4390" s="691"/>
      <c r="D4390" s="3"/>
    </row>
    <row r="4391" spans="1:4">
      <c r="A4391" s="691"/>
      <c r="D4391" s="3"/>
    </row>
    <row r="4392" spans="1:4">
      <c r="A4392" s="691"/>
      <c r="D4392" s="3"/>
    </row>
    <row r="4393" spans="1:4">
      <c r="A4393" s="691"/>
      <c r="D4393" s="3"/>
    </row>
    <row r="4394" spans="1:4">
      <c r="A4394" s="691"/>
      <c r="D4394" s="3"/>
    </row>
    <row r="4395" spans="1:4">
      <c r="A4395" s="691"/>
      <c r="D4395" s="3"/>
    </row>
    <row r="4396" spans="1:4">
      <c r="A4396" s="691"/>
      <c r="D4396" s="3"/>
    </row>
    <row r="4397" spans="1:4">
      <c r="A4397" s="691"/>
      <c r="D4397" s="3"/>
    </row>
    <row r="4398" spans="1:4">
      <c r="A4398" s="691"/>
      <c r="D4398" s="3"/>
    </row>
    <row r="4399" spans="1:4">
      <c r="A4399" s="691"/>
      <c r="D4399" s="3"/>
    </row>
    <row r="4400" spans="1:4">
      <c r="A4400" s="691"/>
      <c r="D4400" s="3"/>
    </row>
    <row r="4401" spans="1:4">
      <c r="A4401" s="691"/>
      <c r="D4401" s="3"/>
    </row>
    <row r="4402" spans="1:4">
      <c r="A4402" s="691"/>
      <c r="D4402" s="3"/>
    </row>
    <row r="4403" spans="1:4">
      <c r="A4403" s="691"/>
      <c r="D4403" s="3"/>
    </row>
    <row r="4404" spans="1:4">
      <c r="A4404" s="691"/>
      <c r="D4404" s="3"/>
    </row>
    <row r="4405" spans="1:4">
      <c r="A4405" s="691"/>
      <c r="D4405" s="3"/>
    </row>
    <row r="4406" spans="1:4">
      <c r="A4406" s="691"/>
      <c r="D4406" s="3"/>
    </row>
    <row r="4407" spans="1:4">
      <c r="A4407" s="691"/>
      <c r="D4407" s="3"/>
    </row>
    <row r="4408" spans="1:4">
      <c r="A4408" s="691"/>
      <c r="D4408" s="3"/>
    </row>
    <row r="4409" spans="1:4">
      <c r="A4409" s="691"/>
      <c r="D4409" s="3"/>
    </row>
    <row r="4410" spans="1:4">
      <c r="A4410" s="691"/>
      <c r="D4410" s="3"/>
    </row>
    <row r="4411" spans="1:4">
      <c r="A4411" s="691"/>
      <c r="D4411" s="3"/>
    </row>
    <row r="4412" spans="1:4">
      <c r="A4412" s="691"/>
      <c r="D4412" s="3"/>
    </row>
    <row r="4413" spans="1:4">
      <c r="A4413" s="691"/>
      <c r="D4413" s="3"/>
    </row>
    <row r="4414" spans="1:4">
      <c r="A4414" s="691"/>
      <c r="D4414" s="3"/>
    </row>
    <row r="4415" spans="1:4">
      <c r="A4415" s="691"/>
      <c r="D4415" s="3"/>
    </row>
    <row r="4416" spans="1:4">
      <c r="A4416" s="691"/>
      <c r="D4416" s="3"/>
    </row>
    <row r="4417" spans="1:4">
      <c r="A4417" s="691"/>
      <c r="D4417" s="3"/>
    </row>
    <row r="4418" spans="1:4">
      <c r="A4418" s="691"/>
      <c r="D4418" s="3"/>
    </row>
    <row r="4419" spans="1:4">
      <c r="A4419" s="691"/>
      <c r="D4419" s="3"/>
    </row>
    <row r="4420" spans="1:4">
      <c r="A4420" s="691"/>
      <c r="D4420" s="3"/>
    </row>
    <row r="4421" spans="1:4">
      <c r="A4421" s="691"/>
      <c r="D4421" s="3"/>
    </row>
    <row r="4422" spans="1:4">
      <c r="A4422" s="691"/>
      <c r="D4422" s="3"/>
    </row>
    <row r="4423" spans="1:4">
      <c r="A4423" s="691"/>
      <c r="D4423" s="3"/>
    </row>
    <row r="4424" spans="1:4">
      <c r="A4424" s="691"/>
      <c r="D4424" s="3"/>
    </row>
    <row r="4425" spans="1:4">
      <c r="A4425" s="691"/>
      <c r="D4425" s="3"/>
    </row>
    <row r="4426" spans="1:4">
      <c r="A4426" s="691"/>
      <c r="D4426" s="3"/>
    </row>
    <row r="4427" spans="1:4">
      <c r="A4427" s="691"/>
      <c r="D4427" s="3"/>
    </row>
    <row r="4428" spans="1:4">
      <c r="A4428" s="691"/>
      <c r="D4428" s="3"/>
    </row>
    <row r="4429" spans="1:4">
      <c r="A4429" s="691"/>
      <c r="D4429" s="3"/>
    </row>
    <row r="4430" spans="1:4">
      <c r="A4430" s="691"/>
      <c r="D4430" s="3"/>
    </row>
    <row r="4431" spans="1:4">
      <c r="A4431" s="691"/>
      <c r="D4431" s="3"/>
    </row>
    <row r="4432" spans="1:4">
      <c r="A4432" s="691"/>
      <c r="D4432" s="3"/>
    </row>
    <row r="4433" spans="1:4">
      <c r="A4433" s="691"/>
      <c r="D4433" s="3"/>
    </row>
    <row r="4434" spans="1:4">
      <c r="A4434" s="691"/>
      <c r="D4434" s="3"/>
    </row>
    <row r="4435" spans="1:4">
      <c r="A4435" s="691"/>
      <c r="D4435" s="3"/>
    </row>
    <row r="4436" spans="1:4">
      <c r="A4436" s="691"/>
      <c r="D4436" s="3"/>
    </row>
    <row r="4437" spans="1:4">
      <c r="A4437" s="691"/>
      <c r="D4437" s="3"/>
    </row>
    <row r="4438" spans="1:4">
      <c r="A4438" s="691"/>
      <c r="D4438" s="3"/>
    </row>
    <row r="4439" spans="1:4">
      <c r="A4439" s="691"/>
      <c r="D4439" s="3"/>
    </row>
    <row r="4440" spans="1:4">
      <c r="A4440" s="691"/>
      <c r="D4440" s="3"/>
    </row>
    <row r="4441" spans="1:4">
      <c r="A4441" s="691"/>
      <c r="D4441" s="3"/>
    </row>
    <row r="4442" spans="1:4">
      <c r="A4442" s="691"/>
      <c r="D4442" s="3"/>
    </row>
    <row r="4443" spans="1:4">
      <c r="A4443" s="691"/>
      <c r="D4443" s="3"/>
    </row>
    <row r="4444" spans="1:4">
      <c r="A4444" s="691"/>
      <c r="D4444" s="3"/>
    </row>
    <row r="4445" spans="1:4">
      <c r="A4445" s="691"/>
      <c r="D4445" s="3"/>
    </row>
    <row r="4446" spans="1:4">
      <c r="A4446" s="691"/>
      <c r="D4446" s="3"/>
    </row>
    <row r="4447" spans="1:4">
      <c r="A4447" s="691"/>
      <c r="D4447" s="3"/>
    </row>
    <row r="4448" spans="1:4">
      <c r="A4448" s="691"/>
      <c r="D4448" s="3"/>
    </row>
    <row r="4449" spans="1:4">
      <c r="A4449" s="691"/>
      <c r="D4449" s="3"/>
    </row>
    <row r="4450" spans="1:4">
      <c r="A4450" s="691"/>
      <c r="D4450" s="3"/>
    </row>
    <row r="4451" spans="1:4">
      <c r="A4451" s="691"/>
      <c r="D4451" s="3"/>
    </row>
    <row r="4452" spans="1:4">
      <c r="A4452" s="691"/>
      <c r="D4452" s="3"/>
    </row>
    <row r="4453" spans="1:4">
      <c r="A4453" s="691"/>
      <c r="D4453" s="3"/>
    </row>
    <row r="4454" spans="1:4">
      <c r="A4454" s="691"/>
      <c r="D4454" s="3"/>
    </row>
    <row r="4455" spans="1:4">
      <c r="A4455" s="691"/>
      <c r="D4455" s="3"/>
    </row>
    <row r="4456" spans="1:4">
      <c r="A4456" s="691"/>
      <c r="D4456" s="3"/>
    </row>
    <row r="4457" spans="1:4">
      <c r="A4457" s="691"/>
      <c r="D4457" s="3"/>
    </row>
    <row r="4458" spans="1:4">
      <c r="A4458" s="691"/>
      <c r="D4458" s="3"/>
    </row>
    <row r="4459" spans="1:4">
      <c r="A4459" s="691"/>
      <c r="D4459" s="3"/>
    </row>
    <row r="4460" spans="1:4">
      <c r="A4460" s="691"/>
      <c r="D4460" s="3"/>
    </row>
    <row r="4461" spans="1:4">
      <c r="A4461" s="691"/>
      <c r="D4461" s="3"/>
    </row>
    <row r="4462" spans="1:4">
      <c r="A4462" s="691"/>
      <c r="D4462" s="3"/>
    </row>
    <row r="4463" spans="1:4">
      <c r="A4463" s="691"/>
      <c r="D4463" s="3"/>
    </row>
    <row r="4464" spans="1:4">
      <c r="A4464" s="691"/>
      <c r="D4464" s="3"/>
    </row>
    <row r="4465" spans="1:4">
      <c r="A4465" s="691"/>
      <c r="D4465" s="3"/>
    </row>
    <row r="4466" spans="1:4">
      <c r="A4466" s="691"/>
      <c r="D4466" s="3"/>
    </row>
    <row r="4467" spans="1:4">
      <c r="A4467" s="691"/>
      <c r="D4467" s="3"/>
    </row>
    <row r="4468" spans="1:4">
      <c r="A4468" s="691"/>
      <c r="D4468" s="3"/>
    </row>
    <row r="4469" spans="1:4">
      <c r="A4469" s="691"/>
      <c r="D4469" s="3"/>
    </row>
    <row r="4470" spans="1:4">
      <c r="A4470" s="691"/>
      <c r="D4470" s="3"/>
    </row>
    <row r="4471" spans="1:4">
      <c r="A4471" s="691"/>
      <c r="D4471" s="3"/>
    </row>
    <row r="4472" spans="1:4">
      <c r="A4472" s="691"/>
      <c r="D4472" s="3"/>
    </row>
    <row r="4473" spans="1:4">
      <c r="A4473" s="691"/>
      <c r="D4473" s="3"/>
    </row>
    <row r="4474" spans="1:4">
      <c r="A4474" s="691"/>
      <c r="D4474" s="3"/>
    </row>
    <row r="4475" spans="1:4">
      <c r="A4475" s="691"/>
      <c r="D4475" s="3"/>
    </row>
    <row r="4476" spans="1:4">
      <c r="A4476" s="691"/>
      <c r="D4476" s="3"/>
    </row>
    <row r="4477" spans="1:4">
      <c r="A4477" s="691"/>
      <c r="D4477" s="3"/>
    </row>
    <row r="4478" spans="1:4">
      <c r="A4478" s="691"/>
      <c r="D4478" s="3"/>
    </row>
    <row r="4479" spans="1:4">
      <c r="A4479" s="691"/>
      <c r="D4479" s="3"/>
    </row>
    <row r="4480" spans="1:4">
      <c r="A4480" s="691"/>
      <c r="D4480" s="3"/>
    </row>
    <row r="4481" spans="1:4">
      <c r="A4481" s="691"/>
      <c r="D4481" s="3"/>
    </row>
    <row r="4482" spans="1:4">
      <c r="A4482" s="691"/>
      <c r="D4482" s="3"/>
    </row>
    <row r="4483" spans="1:4">
      <c r="A4483" s="691"/>
      <c r="D4483" s="3"/>
    </row>
    <row r="4484" spans="1:4">
      <c r="A4484" s="691"/>
      <c r="D4484" s="3"/>
    </row>
    <row r="4485" spans="1:4">
      <c r="A4485" s="691"/>
      <c r="D4485" s="3"/>
    </row>
    <row r="4486" spans="1:4">
      <c r="A4486" s="691"/>
      <c r="D4486" s="3"/>
    </row>
    <row r="4487" spans="1:4">
      <c r="A4487" s="691"/>
      <c r="D4487" s="3"/>
    </row>
    <row r="4488" spans="1:4">
      <c r="A4488" s="691"/>
      <c r="D4488" s="3"/>
    </row>
    <row r="4489" spans="1:4">
      <c r="A4489" s="691"/>
      <c r="D4489" s="3"/>
    </row>
    <row r="4490" spans="1:4">
      <c r="A4490" s="691"/>
      <c r="D4490" s="3"/>
    </row>
    <row r="4491" spans="1:4">
      <c r="A4491" s="691"/>
      <c r="D4491" s="3"/>
    </row>
    <row r="4492" spans="1:4">
      <c r="A4492" s="691"/>
      <c r="D4492" s="3"/>
    </row>
    <row r="4493" spans="1:4">
      <c r="A4493" s="691"/>
      <c r="D4493" s="3"/>
    </row>
    <row r="4494" spans="1:4">
      <c r="A4494" s="691"/>
      <c r="D4494" s="3"/>
    </row>
    <row r="4495" spans="1:4">
      <c r="A4495" s="691"/>
      <c r="D4495" s="3"/>
    </row>
    <row r="4496" spans="1:4">
      <c r="A4496" s="691"/>
      <c r="D4496" s="3"/>
    </row>
    <row r="4497" spans="1:4">
      <c r="A4497" s="691"/>
      <c r="D4497" s="3"/>
    </row>
    <row r="4498" spans="1:4">
      <c r="A4498" s="691"/>
      <c r="D4498" s="3"/>
    </row>
    <row r="4499" spans="1:4">
      <c r="A4499" s="691"/>
      <c r="D4499" s="3"/>
    </row>
    <row r="4500" spans="1:4">
      <c r="A4500" s="691"/>
      <c r="D4500" s="3"/>
    </row>
    <row r="4501" spans="1:4">
      <c r="A4501" s="691"/>
      <c r="D4501" s="3"/>
    </row>
    <row r="4502" spans="1:4">
      <c r="A4502" s="691"/>
      <c r="D4502" s="3"/>
    </row>
    <row r="4503" spans="1:4">
      <c r="A4503" s="691"/>
      <c r="D4503" s="3"/>
    </row>
    <row r="4504" spans="1:4">
      <c r="A4504" s="691"/>
      <c r="D4504" s="3"/>
    </row>
    <row r="4505" spans="1:4">
      <c r="A4505" s="691"/>
      <c r="D4505" s="3"/>
    </row>
    <row r="4506" spans="1:4">
      <c r="A4506" s="691"/>
      <c r="D4506" s="3"/>
    </row>
    <row r="4507" spans="1:4">
      <c r="A4507" s="691"/>
      <c r="D4507" s="3"/>
    </row>
    <row r="4508" spans="1:4">
      <c r="A4508" s="691"/>
      <c r="D4508" s="3"/>
    </row>
    <row r="4509" spans="1:4">
      <c r="A4509" s="691"/>
      <c r="D4509" s="3"/>
    </row>
    <row r="4510" spans="1:4">
      <c r="A4510" s="691"/>
      <c r="D4510" s="3"/>
    </row>
    <row r="4511" spans="1:4">
      <c r="A4511" s="691"/>
      <c r="D4511" s="3"/>
    </row>
    <row r="4512" spans="1:4">
      <c r="A4512" s="691"/>
      <c r="D4512" s="3"/>
    </row>
    <row r="4513" spans="1:4">
      <c r="A4513" s="691"/>
      <c r="D4513" s="3"/>
    </row>
    <row r="4514" spans="1:4">
      <c r="A4514" s="691"/>
      <c r="D4514" s="3"/>
    </row>
    <row r="4515" spans="1:4">
      <c r="A4515" s="691"/>
      <c r="D4515" s="3"/>
    </row>
    <row r="4516" spans="1:4">
      <c r="A4516" s="691"/>
      <c r="D4516" s="3"/>
    </row>
    <row r="4517" spans="1:4">
      <c r="A4517" s="691"/>
      <c r="D4517" s="3"/>
    </row>
    <row r="4518" spans="1:4">
      <c r="A4518" s="691"/>
      <c r="D4518" s="3"/>
    </row>
    <row r="4519" spans="1:4">
      <c r="A4519" s="691"/>
      <c r="D4519" s="3"/>
    </row>
    <row r="4520" spans="1:4">
      <c r="A4520" s="691"/>
      <c r="D4520" s="3"/>
    </row>
    <row r="4521" spans="1:4">
      <c r="A4521" s="691"/>
      <c r="D4521" s="3"/>
    </row>
    <row r="4522" spans="1:4">
      <c r="A4522" s="691"/>
      <c r="D4522" s="3"/>
    </row>
    <row r="4523" spans="1:4">
      <c r="A4523" s="691"/>
      <c r="D4523" s="3"/>
    </row>
    <row r="4524" spans="1:4">
      <c r="A4524" s="691"/>
      <c r="D4524" s="3"/>
    </row>
    <row r="4525" spans="1:4">
      <c r="A4525" s="691"/>
      <c r="D4525" s="3"/>
    </row>
    <row r="4526" spans="1:4">
      <c r="A4526" s="691"/>
      <c r="D4526" s="3"/>
    </row>
    <row r="4527" spans="1:4">
      <c r="A4527" s="691"/>
      <c r="D4527" s="3"/>
    </row>
    <row r="4528" spans="1:4">
      <c r="A4528" s="691"/>
      <c r="D4528" s="3"/>
    </row>
    <row r="4529" spans="1:4">
      <c r="A4529" s="691"/>
      <c r="D4529" s="3"/>
    </row>
    <row r="4530" spans="1:4">
      <c r="A4530" s="691"/>
      <c r="D4530" s="3"/>
    </row>
    <row r="4531" spans="1:4">
      <c r="A4531" s="691"/>
      <c r="D4531" s="3"/>
    </row>
    <row r="4532" spans="1:4">
      <c r="A4532" s="691"/>
      <c r="D4532" s="3"/>
    </row>
    <row r="4533" spans="1:4">
      <c r="A4533" s="691"/>
      <c r="D4533" s="3"/>
    </row>
    <row r="4534" spans="1:4">
      <c r="A4534" s="691"/>
      <c r="D4534" s="3"/>
    </row>
    <row r="4535" spans="1:4">
      <c r="A4535" s="691"/>
      <c r="D4535" s="3"/>
    </row>
    <row r="4536" spans="1:4">
      <c r="A4536" s="691"/>
      <c r="D4536" s="3"/>
    </row>
    <row r="4537" spans="1:4">
      <c r="A4537" s="691"/>
      <c r="D4537" s="3"/>
    </row>
    <row r="4538" spans="1:4">
      <c r="A4538" s="691"/>
      <c r="D4538" s="3"/>
    </row>
    <row r="4539" spans="1:4">
      <c r="A4539" s="691"/>
      <c r="D4539" s="3"/>
    </row>
    <row r="4540" spans="1:4">
      <c r="A4540" s="691"/>
      <c r="D4540" s="3"/>
    </row>
    <row r="4541" spans="1:4">
      <c r="A4541" s="691"/>
      <c r="D4541" s="3"/>
    </row>
    <row r="4542" spans="1:4">
      <c r="A4542" s="691"/>
      <c r="D4542" s="3"/>
    </row>
    <row r="4543" spans="1:4">
      <c r="A4543" s="691"/>
      <c r="D4543" s="3"/>
    </row>
    <row r="4544" spans="1:4">
      <c r="A4544" s="691"/>
      <c r="D4544" s="3"/>
    </row>
    <row r="4545" spans="1:4">
      <c r="A4545" s="691"/>
      <c r="D4545" s="3"/>
    </row>
    <row r="4546" spans="1:4">
      <c r="A4546" s="691"/>
      <c r="D4546" s="3"/>
    </row>
    <row r="4547" spans="1:4">
      <c r="A4547" s="691"/>
      <c r="D4547" s="3"/>
    </row>
    <row r="4548" spans="1:4">
      <c r="A4548" s="691"/>
      <c r="D4548" s="3"/>
    </row>
    <row r="4549" spans="1:4">
      <c r="A4549" s="691"/>
      <c r="D4549" s="3"/>
    </row>
    <row r="4550" spans="1:4">
      <c r="A4550" s="691"/>
      <c r="D4550" s="3"/>
    </row>
    <row r="4551" spans="1:4">
      <c r="A4551" s="691"/>
      <c r="D4551" s="3"/>
    </row>
    <row r="4552" spans="1:4">
      <c r="A4552" s="691"/>
      <c r="D4552" s="3"/>
    </row>
    <row r="4553" spans="1:4">
      <c r="A4553" s="691"/>
      <c r="D4553" s="3"/>
    </row>
    <row r="4554" spans="1:4">
      <c r="A4554" s="691"/>
      <c r="D4554" s="3"/>
    </row>
    <row r="4555" spans="1:4">
      <c r="A4555" s="691"/>
      <c r="D4555" s="3"/>
    </row>
    <row r="4556" spans="1:4">
      <c r="A4556" s="691"/>
      <c r="D4556" s="3"/>
    </row>
    <row r="4557" spans="1:4">
      <c r="A4557" s="691"/>
      <c r="D4557" s="3"/>
    </row>
    <row r="4558" spans="1:4">
      <c r="A4558" s="691"/>
      <c r="D4558" s="3"/>
    </row>
    <row r="4559" spans="1:4">
      <c r="A4559" s="691"/>
      <c r="D4559" s="3"/>
    </row>
    <row r="4560" spans="1:4">
      <c r="A4560" s="691"/>
      <c r="D4560" s="3"/>
    </row>
    <row r="4561" spans="1:4">
      <c r="A4561" s="691"/>
      <c r="D4561" s="3"/>
    </row>
    <row r="4562" spans="1:4">
      <c r="A4562" s="691"/>
      <c r="D4562" s="3"/>
    </row>
    <row r="4563" spans="1:4">
      <c r="A4563" s="691"/>
      <c r="D4563" s="3"/>
    </row>
    <row r="4564" spans="1:4">
      <c r="A4564" s="691"/>
      <c r="D4564" s="3"/>
    </row>
    <row r="4565" spans="1:4">
      <c r="A4565" s="691"/>
      <c r="D4565" s="3"/>
    </row>
    <row r="4566" spans="1:4">
      <c r="A4566" s="691"/>
      <c r="D4566" s="3"/>
    </row>
    <row r="4567" spans="1:4">
      <c r="A4567" s="691"/>
      <c r="D4567" s="3"/>
    </row>
    <row r="4568" spans="1:4">
      <c r="A4568" s="691"/>
      <c r="D4568" s="3"/>
    </row>
    <row r="4569" spans="1:4">
      <c r="A4569" s="691"/>
      <c r="D4569" s="3"/>
    </row>
    <row r="4570" spans="1:4">
      <c r="A4570" s="691"/>
      <c r="D4570" s="3"/>
    </row>
    <row r="4571" spans="1:4">
      <c r="A4571" s="691"/>
      <c r="D4571" s="3"/>
    </row>
    <row r="4572" spans="1:4">
      <c r="A4572" s="691"/>
      <c r="D4572" s="3"/>
    </row>
    <row r="4573" spans="1:4">
      <c r="A4573" s="691"/>
      <c r="D4573" s="3"/>
    </row>
    <row r="4574" spans="1:4">
      <c r="A4574" s="691"/>
      <c r="D4574" s="3"/>
    </row>
    <row r="4575" spans="1:4">
      <c r="A4575" s="691"/>
      <c r="D4575" s="3"/>
    </row>
    <row r="4576" spans="1:4">
      <c r="A4576" s="691"/>
      <c r="D4576" s="3"/>
    </row>
    <row r="4577" spans="1:4">
      <c r="A4577" s="691"/>
      <c r="D4577" s="3"/>
    </row>
    <row r="4578" spans="1:4">
      <c r="A4578" s="691"/>
      <c r="D4578" s="3"/>
    </row>
    <row r="4579" spans="1:4">
      <c r="A4579" s="691"/>
      <c r="D4579" s="3"/>
    </row>
    <row r="4580" spans="1:4">
      <c r="A4580" s="691"/>
      <c r="D4580" s="3"/>
    </row>
    <row r="4581" spans="1:4">
      <c r="A4581" s="691"/>
      <c r="D4581" s="3"/>
    </row>
    <row r="4582" spans="1:4">
      <c r="A4582" s="691"/>
      <c r="D4582" s="3"/>
    </row>
    <row r="4583" spans="1:4">
      <c r="A4583" s="691"/>
      <c r="D4583" s="3"/>
    </row>
    <row r="4584" spans="1:4">
      <c r="A4584" s="691"/>
      <c r="D4584" s="3"/>
    </row>
    <row r="4585" spans="1:4">
      <c r="A4585" s="691"/>
      <c r="D4585" s="3"/>
    </row>
    <row r="4586" spans="1:4">
      <c r="A4586" s="691"/>
      <c r="D4586" s="3"/>
    </row>
    <row r="4587" spans="1:4">
      <c r="A4587" s="691"/>
      <c r="D4587" s="3"/>
    </row>
    <row r="4588" spans="1:4">
      <c r="A4588" s="691"/>
      <c r="D4588" s="3"/>
    </row>
    <row r="4589" spans="1:4">
      <c r="A4589" s="691"/>
      <c r="D4589" s="3"/>
    </row>
    <row r="4590" spans="1:4">
      <c r="A4590" s="691"/>
      <c r="D4590" s="3"/>
    </row>
    <row r="4591" spans="1:4">
      <c r="A4591" s="691"/>
      <c r="D4591" s="3"/>
    </row>
    <row r="4592" spans="1:4">
      <c r="A4592" s="691"/>
      <c r="D4592" s="3"/>
    </row>
    <row r="4593" spans="1:4">
      <c r="A4593" s="691"/>
      <c r="D4593" s="3"/>
    </row>
    <row r="4594" spans="1:4">
      <c r="A4594" s="691"/>
      <c r="D4594" s="3"/>
    </row>
    <row r="4595" spans="1:4">
      <c r="A4595" s="691"/>
      <c r="D4595" s="3"/>
    </row>
    <row r="4596" spans="1:4">
      <c r="A4596" s="691"/>
      <c r="D4596" s="3"/>
    </row>
    <row r="4597" spans="1:4">
      <c r="A4597" s="691"/>
      <c r="D4597" s="3"/>
    </row>
    <row r="4598" spans="1:4">
      <c r="A4598" s="691"/>
      <c r="D4598" s="3"/>
    </row>
    <row r="4599" spans="1:4">
      <c r="A4599" s="691"/>
      <c r="D4599" s="3"/>
    </row>
    <row r="4600" spans="1:4">
      <c r="A4600" s="691"/>
      <c r="D4600" s="3"/>
    </row>
    <row r="4601" spans="1:4">
      <c r="A4601" s="691"/>
      <c r="D4601" s="3"/>
    </row>
    <row r="4602" spans="1:4">
      <c r="A4602" s="691"/>
      <c r="D4602" s="3"/>
    </row>
    <row r="4603" spans="1:4">
      <c r="A4603" s="691"/>
      <c r="D4603" s="3"/>
    </row>
    <row r="4604" spans="1:4">
      <c r="A4604" s="691"/>
      <c r="D4604" s="3"/>
    </row>
    <row r="4605" spans="1:4">
      <c r="A4605" s="691"/>
      <c r="D4605" s="3"/>
    </row>
    <row r="4606" spans="1:4">
      <c r="A4606" s="691"/>
      <c r="D4606" s="3"/>
    </row>
    <row r="4607" spans="1:4">
      <c r="A4607" s="691"/>
      <c r="D4607" s="3"/>
    </row>
    <row r="4608" spans="1:4">
      <c r="A4608" s="691"/>
      <c r="D4608" s="3"/>
    </row>
    <row r="4609" spans="1:4">
      <c r="A4609" s="691"/>
      <c r="D4609" s="3"/>
    </row>
    <row r="4610" spans="1:4">
      <c r="A4610" s="691"/>
      <c r="D4610" s="3"/>
    </row>
    <row r="4611" spans="1:4">
      <c r="A4611" s="691"/>
      <c r="D4611" s="3"/>
    </row>
    <row r="4612" spans="1:4">
      <c r="A4612" s="691"/>
      <c r="D4612" s="3"/>
    </row>
    <row r="4613" spans="1:4">
      <c r="A4613" s="691"/>
      <c r="D4613" s="3"/>
    </row>
    <row r="4614" spans="1:4">
      <c r="A4614" s="691"/>
      <c r="D4614" s="3"/>
    </row>
    <row r="4615" spans="1:4">
      <c r="A4615" s="691"/>
      <c r="D4615" s="3"/>
    </row>
    <row r="4616" spans="1:4">
      <c r="A4616" s="691"/>
      <c r="D4616" s="3"/>
    </row>
    <row r="4617" spans="1:4">
      <c r="A4617" s="691"/>
      <c r="D4617" s="3"/>
    </row>
    <row r="4618" spans="1:4">
      <c r="A4618" s="691"/>
      <c r="D4618" s="3"/>
    </row>
    <row r="4619" spans="1:4">
      <c r="A4619" s="691"/>
      <c r="D4619" s="3"/>
    </row>
    <row r="4620" spans="1:4">
      <c r="A4620" s="691"/>
      <c r="D4620" s="3"/>
    </row>
    <row r="4621" spans="1:4">
      <c r="A4621" s="691"/>
      <c r="D4621" s="3"/>
    </row>
    <row r="4622" spans="1:4">
      <c r="A4622" s="691"/>
      <c r="D4622" s="3"/>
    </row>
    <row r="4623" spans="1:4">
      <c r="A4623" s="691"/>
      <c r="D4623" s="3"/>
    </row>
    <row r="4624" spans="1:4">
      <c r="A4624" s="691"/>
      <c r="D4624" s="3"/>
    </row>
    <row r="4625" spans="1:4">
      <c r="A4625" s="691"/>
      <c r="D4625" s="3"/>
    </row>
    <row r="4626" spans="1:4">
      <c r="A4626" s="691"/>
      <c r="D4626" s="3"/>
    </row>
    <row r="4627" spans="1:4">
      <c r="A4627" s="691"/>
      <c r="D4627" s="3"/>
    </row>
    <row r="4628" spans="1:4">
      <c r="A4628" s="691"/>
      <c r="D4628" s="3"/>
    </row>
    <row r="4629" spans="1:4">
      <c r="A4629" s="691"/>
      <c r="D4629" s="3"/>
    </row>
    <row r="4630" spans="1:4">
      <c r="A4630" s="691"/>
      <c r="D4630" s="3"/>
    </row>
    <row r="4631" spans="1:4">
      <c r="A4631" s="691"/>
      <c r="D4631" s="3"/>
    </row>
    <row r="4632" spans="1:4">
      <c r="A4632" s="691"/>
      <c r="D4632" s="3"/>
    </row>
    <row r="4633" spans="1:4">
      <c r="A4633" s="691"/>
      <c r="D4633" s="3"/>
    </row>
    <row r="4634" spans="1:4">
      <c r="A4634" s="691"/>
      <c r="D4634" s="3"/>
    </row>
    <row r="4635" spans="1:4">
      <c r="A4635" s="691"/>
      <c r="D4635" s="3"/>
    </row>
    <row r="4636" spans="1:4">
      <c r="A4636" s="691"/>
      <c r="D4636" s="3"/>
    </row>
    <row r="4637" spans="1:4">
      <c r="A4637" s="691"/>
      <c r="D4637" s="3"/>
    </row>
    <row r="4638" spans="1:4">
      <c r="A4638" s="691"/>
      <c r="D4638" s="3"/>
    </row>
    <row r="4639" spans="1:4">
      <c r="A4639" s="691"/>
      <c r="D4639" s="3"/>
    </row>
    <row r="4640" spans="1:4">
      <c r="A4640" s="691"/>
      <c r="D4640" s="3"/>
    </row>
    <row r="4641" spans="1:4">
      <c r="A4641" s="691"/>
      <c r="D4641" s="3"/>
    </row>
    <row r="4642" spans="1:4">
      <c r="A4642" s="691"/>
      <c r="D4642" s="3"/>
    </row>
    <row r="4643" spans="1:4">
      <c r="A4643" s="691"/>
      <c r="D4643" s="3"/>
    </row>
    <row r="4644" spans="1:4">
      <c r="A4644" s="691"/>
      <c r="D4644" s="3"/>
    </row>
    <row r="4645" spans="1:4">
      <c r="A4645" s="691"/>
      <c r="D4645" s="3"/>
    </row>
    <row r="4646" spans="1:4">
      <c r="A4646" s="691"/>
      <c r="D4646" s="3"/>
    </row>
    <row r="4647" spans="1:4">
      <c r="A4647" s="691"/>
      <c r="D4647" s="3"/>
    </row>
    <row r="4648" spans="1:4">
      <c r="A4648" s="691"/>
      <c r="D4648" s="3"/>
    </row>
    <row r="4649" spans="1:4">
      <c r="A4649" s="691"/>
      <c r="D4649" s="3"/>
    </row>
    <row r="4650" spans="1:4">
      <c r="A4650" s="691"/>
      <c r="D4650" s="3"/>
    </row>
    <row r="4651" spans="1:4">
      <c r="A4651" s="691"/>
      <c r="D4651" s="3"/>
    </row>
    <row r="4652" spans="1:4">
      <c r="A4652" s="691"/>
      <c r="D4652" s="3"/>
    </row>
    <row r="4653" spans="1:4">
      <c r="A4653" s="691"/>
      <c r="D4653" s="3"/>
    </row>
    <row r="4654" spans="1:4">
      <c r="A4654" s="691"/>
      <c r="D4654" s="3"/>
    </row>
    <row r="4655" spans="1:4">
      <c r="A4655" s="691"/>
      <c r="D4655" s="3"/>
    </row>
    <row r="4656" spans="1:4">
      <c r="A4656" s="691"/>
      <c r="D4656" s="3"/>
    </row>
    <row r="4657" spans="1:4">
      <c r="A4657" s="691"/>
      <c r="D4657" s="3"/>
    </row>
    <row r="4658" spans="1:4">
      <c r="A4658" s="691"/>
      <c r="D4658" s="3"/>
    </row>
    <row r="4659" spans="1:4">
      <c r="A4659" s="691"/>
      <c r="D4659" s="3"/>
    </row>
    <row r="4660" spans="1:4">
      <c r="A4660" s="691"/>
      <c r="D4660" s="3"/>
    </row>
    <row r="4661" spans="1:4">
      <c r="A4661" s="691"/>
      <c r="D4661" s="3"/>
    </row>
    <row r="4662" spans="1:4">
      <c r="A4662" s="691"/>
      <c r="D4662" s="3"/>
    </row>
    <row r="4663" spans="1:4">
      <c r="A4663" s="691"/>
      <c r="D4663" s="3"/>
    </row>
    <row r="4664" spans="1:4">
      <c r="A4664" s="691"/>
      <c r="D4664" s="3"/>
    </row>
    <row r="4665" spans="1:4">
      <c r="A4665" s="691"/>
      <c r="D4665" s="3"/>
    </row>
    <row r="4666" spans="1:4">
      <c r="A4666" s="691"/>
      <c r="D4666" s="3"/>
    </row>
    <row r="4667" spans="1:4">
      <c r="A4667" s="691"/>
      <c r="D4667" s="3"/>
    </row>
    <row r="4668" spans="1:4">
      <c r="A4668" s="691"/>
      <c r="D4668" s="3"/>
    </row>
    <row r="4669" spans="1:4">
      <c r="A4669" s="691"/>
      <c r="D4669" s="3"/>
    </row>
    <row r="4670" spans="1:4">
      <c r="A4670" s="691"/>
      <c r="D4670" s="3"/>
    </row>
    <row r="4671" spans="1:4">
      <c r="A4671" s="691"/>
      <c r="D4671" s="3"/>
    </row>
    <row r="4672" spans="1:4">
      <c r="A4672" s="691"/>
      <c r="D4672" s="3"/>
    </row>
    <row r="4673" spans="1:4">
      <c r="A4673" s="691"/>
      <c r="D4673" s="3"/>
    </row>
    <row r="4674" spans="1:4">
      <c r="A4674" s="691"/>
      <c r="D4674" s="3"/>
    </row>
    <row r="4675" spans="1:4">
      <c r="A4675" s="691"/>
      <c r="D4675" s="3"/>
    </row>
    <row r="4676" spans="1:4">
      <c r="A4676" s="691"/>
      <c r="D4676" s="3"/>
    </row>
    <row r="4677" spans="1:4">
      <c r="A4677" s="691"/>
      <c r="D4677" s="3"/>
    </row>
    <row r="4678" spans="1:4">
      <c r="A4678" s="691"/>
      <c r="D4678" s="3"/>
    </row>
    <row r="4679" spans="1:4">
      <c r="A4679" s="691"/>
      <c r="D4679" s="3"/>
    </row>
    <row r="4680" spans="1:4">
      <c r="A4680" s="691"/>
      <c r="D4680" s="3"/>
    </row>
    <row r="4681" spans="1:4">
      <c r="A4681" s="691"/>
      <c r="D4681" s="3"/>
    </row>
    <row r="4682" spans="1:4">
      <c r="A4682" s="691"/>
      <c r="D4682" s="3"/>
    </row>
    <row r="4683" spans="1:4">
      <c r="A4683" s="691"/>
      <c r="D4683" s="3"/>
    </row>
    <row r="4684" spans="1:4">
      <c r="A4684" s="691"/>
      <c r="D4684" s="3"/>
    </row>
    <row r="4685" spans="1:4">
      <c r="A4685" s="691"/>
      <c r="D4685" s="3"/>
    </row>
    <row r="4686" spans="1:4">
      <c r="A4686" s="691"/>
      <c r="D4686" s="3"/>
    </row>
    <row r="4687" spans="1:4">
      <c r="A4687" s="691"/>
      <c r="D4687" s="3"/>
    </row>
    <row r="4688" spans="1:4">
      <c r="A4688" s="691"/>
      <c r="D4688" s="3"/>
    </row>
    <row r="4689" spans="1:4">
      <c r="A4689" s="691"/>
      <c r="D4689" s="3"/>
    </row>
    <row r="4690" spans="1:4">
      <c r="A4690" s="691"/>
      <c r="D4690" s="3"/>
    </row>
    <row r="4691" spans="1:4">
      <c r="A4691" s="691"/>
      <c r="D4691" s="3"/>
    </row>
    <row r="4692" spans="1:4">
      <c r="A4692" s="691"/>
      <c r="D4692" s="3"/>
    </row>
    <row r="4693" spans="1:4">
      <c r="A4693" s="691"/>
      <c r="D4693" s="3"/>
    </row>
    <row r="4694" spans="1:4">
      <c r="A4694" s="691"/>
      <c r="D4694" s="3"/>
    </row>
    <row r="4695" spans="1:4">
      <c r="A4695" s="691"/>
      <c r="D4695" s="3"/>
    </row>
    <row r="4696" spans="1:4">
      <c r="A4696" s="691"/>
      <c r="D4696" s="3"/>
    </row>
    <row r="4697" spans="1:4">
      <c r="A4697" s="691"/>
      <c r="D4697" s="3"/>
    </row>
    <row r="4698" spans="1:4">
      <c r="A4698" s="691"/>
      <c r="D4698" s="3"/>
    </row>
    <row r="4699" spans="1:4">
      <c r="A4699" s="691"/>
      <c r="D4699" s="3"/>
    </row>
    <row r="4700" spans="1:4">
      <c r="A4700" s="691"/>
      <c r="D4700" s="3"/>
    </row>
    <row r="4701" spans="1:4">
      <c r="A4701" s="691"/>
      <c r="D4701" s="3"/>
    </row>
    <row r="4702" spans="1:4">
      <c r="A4702" s="691"/>
      <c r="D4702" s="3"/>
    </row>
    <row r="4703" spans="1:4">
      <c r="A4703" s="691"/>
      <c r="D4703" s="3"/>
    </row>
    <row r="4704" spans="1:4">
      <c r="A4704" s="691"/>
      <c r="D4704" s="3"/>
    </row>
    <row r="4705" spans="1:4">
      <c r="A4705" s="691"/>
      <c r="D4705" s="3"/>
    </row>
    <row r="4706" spans="1:4">
      <c r="A4706" s="691"/>
      <c r="D4706" s="3"/>
    </row>
    <row r="4707" spans="1:4">
      <c r="A4707" s="691"/>
      <c r="D4707" s="3"/>
    </row>
    <row r="4708" spans="1:4">
      <c r="A4708" s="691"/>
      <c r="D4708" s="3"/>
    </row>
    <row r="4709" spans="1:4">
      <c r="A4709" s="691"/>
      <c r="D4709" s="3"/>
    </row>
    <row r="4710" spans="1:4">
      <c r="A4710" s="691"/>
      <c r="D4710" s="3"/>
    </row>
    <row r="4711" spans="1:4">
      <c r="A4711" s="691"/>
      <c r="D4711" s="3"/>
    </row>
    <row r="4712" spans="1:4">
      <c r="A4712" s="691"/>
      <c r="D4712" s="3"/>
    </row>
    <row r="4713" spans="1:4">
      <c r="A4713" s="691"/>
      <c r="D4713" s="3"/>
    </row>
    <row r="4714" spans="1:4">
      <c r="A4714" s="691"/>
      <c r="D4714" s="3"/>
    </row>
    <row r="4715" spans="1:4">
      <c r="A4715" s="691"/>
      <c r="D4715" s="3"/>
    </row>
    <row r="4716" spans="1:4">
      <c r="A4716" s="691"/>
      <c r="D4716" s="3"/>
    </row>
    <row r="4717" spans="1:4">
      <c r="A4717" s="691"/>
      <c r="D4717" s="3"/>
    </row>
    <row r="4718" spans="1:4">
      <c r="A4718" s="691"/>
      <c r="D4718" s="3"/>
    </row>
    <row r="4719" spans="1:4">
      <c r="A4719" s="691"/>
      <c r="D4719" s="3"/>
    </row>
    <row r="4720" spans="1:4">
      <c r="A4720" s="691"/>
      <c r="D4720" s="3"/>
    </row>
    <row r="4721" spans="1:4">
      <c r="A4721" s="691"/>
      <c r="D4721" s="3"/>
    </row>
    <row r="4722" spans="1:4">
      <c r="A4722" s="691"/>
      <c r="D4722" s="3"/>
    </row>
    <row r="4723" spans="1:4">
      <c r="A4723" s="691"/>
      <c r="D4723" s="3"/>
    </row>
    <row r="4724" spans="1:4">
      <c r="A4724" s="691"/>
      <c r="D4724" s="3"/>
    </row>
    <row r="4725" spans="1:4">
      <c r="A4725" s="691"/>
      <c r="D4725" s="3"/>
    </row>
    <row r="4726" spans="1:4">
      <c r="A4726" s="691"/>
      <c r="D4726" s="3"/>
    </row>
    <row r="4727" spans="1:4">
      <c r="A4727" s="691"/>
      <c r="D4727" s="3"/>
    </row>
    <row r="4728" spans="1:4">
      <c r="A4728" s="691"/>
      <c r="D4728" s="3"/>
    </row>
    <row r="4729" spans="1:4">
      <c r="A4729" s="691"/>
      <c r="D4729" s="3"/>
    </row>
    <row r="4730" spans="1:4">
      <c r="A4730" s="691"/>
      <c r="D4730" s="3"/>
    </row>
    <row r="4731" spans="1:4">
      <c r="A4731" s="691"/>
      <c r="D4731" s="3"/>
    </row>
    <row r="4732" spans="1:4">
      <c r="A4732" s="691"/>
      <c r="D4732" s="3"/>
    </row>
    <row r="4733" spans="1:4">
      <c r="A4733" s="691"/>
      <c r="D4733" s="3"/>
    </row>
    <row r="4734" spans="1:4">
      <c r="A4734" s="691"/>
      <c r="D4734" s="3"/>
    </row>
    <row r="4735" spans="1:4">
      <c r="A4735" s="691"/>
      <c r="D4735" s="3"/>
    </row>
    <row r="4736" spans="1:4">
      <c r="A4736" s="691"/>
      <c r="D4736" s="3"/>
    </row>
    <row r="4737" spans="1:4">
      <c r="A4737" s="691"/>
      <c r="D4737" s="3"/>
    </row>
    <row r="4738" spans="1:4">
      <c r="A4738" s="691"/>
      <c r="D4738" s="3"/>
    </row>
    <row r="4739" spans="1:4">
      <c r="A4739" s="691"/>
      <c r="D4739" s="3"/>
    </row>
    <row r="4740" spans="1:4">
      <c r="A4740" s="691"/>
      <c r="D4740" s="3"/>
    </row>
    <row r="4741" spans="1:4">
      <c r="A4741" s="691"/>
      <c r="D4741" s="3"/>
    </row>
    <row r="4742" spans="1:4">
      <c r="A4742" s="691"/>
      <c r="D4742" s="3"/>
    </row>
    <row r="4743" spans="1:4">
      <c r="A4743" s="691"/>
      <c r="D4743" s="3"/>
    </row>
    <row r="4744" spans="1:4">
      <c r="A4744" s="691"/>
      <c r="D4744" s="3"/>
    </row>
    <row r="4745" spans="1:4">
      <c r="A4745" s="691"/>
      <c r="D4745" s="3"/>
    </row>
    <row r="4746" spans="1:4">
      <c r="A4746" s="691"/>
      <c r="D4746" s="3"/>
    </row>
    <row r="4747" spans="1:4">
      <c r="A4747" s="691"/>
      <c r="D4747" s="3"/>
    </row>
    <row r="4748" spans="1:4">
      <c r="A4748" s="691"/>
      <c r="D4748" s="3"/>
    </row>
    <row r="4749" spans="1:4">
      <c r="A4749" s="691"/>
      <c r="D4749" s="3"/>
    </row>
    <row r="4750" spans="1:4">
      <c r="A4750" s="691"/>
      <c r="D4750" s="3"/>
    </row>
    <row r="4751" spans="1:4">
      <c r="A4751" s="691"/>
      <c r="D4751" s="3"/>
    </row>
    <row r="4752" spans="1:4">
      <c r="A4752" s="691"/>
      <c r="D4752" s="3"/>
    </row>
    <row r="4753" spans="1:4">
      <c r="A4753" s="691"/>
      <c r="D4753" s="3"/>
    </row>
    <row r="4754" spans="1:4">
      <c r="A4754" s="691"/>
      <c r="D4754" s="3"/>
    </row>
    <row r="4755" spans="1:4">
      <c r="A4755" s="691"/>
      <c r="D4755" s="3"/>
    </row>
    <row r="4756" spans="1:4">
      <c r="A4756" s="691"/>
      <c r="D4756" s="3"/>
    </row>
    <row r="4757" spans="1:4">
      <c r="A4757" s="691"/>
      <c r="D4757" s="3"/>
    </row>
    <row r="4758" spans="1:4">
      <c r="A4758" s="691"/>
      <c r="D4758" s="3"/>
    </row>
    <row r="4759" spans="1:4">
      <c r="A4759" s="691"/>
      <c r="D4759" s="3"/>
    </row>
    <row r="4760" spans="1:4">
      <c r="A4760" s="691"/>
      <c r="D4760" s="3"/>
    </row>
    <row r="4761" spans="1:4">
      <c r="A4761" s="691"/>
      <c r="D4761" s="3"/>
    </row>
    <row r="4762" spans="1:4">
      <c r="A4762" s="691"/>
      <c r="D4762" s="3"/>
    </row>
    <row r="4763" spans="1:4">
      <c r="A4763" s="691"/>
      <c r="D4763" s="3"/>
    </row>
    <row r="4764" spans="1:4">
      <c r="A4764" s="691"/>
      <c r="D4764" s="3"/>
    </row>
    <row r="4765" spans="1:4">
      <c r="A4765" s="691"/>
      <c r="D4765" s="3"/>
    </row>
    <row r="4766" spans="1:4">
      <c r="A4766" s="691"/>
      <c r="D4766" s="3"/>
    </row>
    <row r="4767" spans="1:4">
      <c r="A4767" s="691"/>
      <c r="D4767" s="3"/>
    </row>
    <row r="4768" spans="1:4">
      <c r="A4768" s="691"/>
      <c r="D4768" s="3"/>
    </row>
    <row r="4769" spans="1:4">
      <c r="A4769" s="691"/>
      <c r="D4769" s="3"/>
    </row>
    <row r="4770" spans="1:4">
      <c r="A4770" s="691"/>
      <c r="D4770" s="3"/>
    </row>
    <row r="4771" spans="1:4">
      <c r="A4771" s="691"/>
      <c r="D4771" s="3"/>
    </row>
    <row r="4772" spans="1:4">
      <c r="A4772" s="691"/>
      <c r="D4772" s="3"/>
    </row>
    <row r="4773" spans="1:4">
      <c r="A4773" s="691"/>
      <c r="D4773" s="3"/>
    </row>
    <row r="4774" spans="1:4">
      <c r="A4774" s="691"/>
      <c r="D4774" s="3"/>
    </row>
    <row r="4775" spans="1:4">
      <c r="A4775" s="691"/>
      <c r="D4775" s="3"/>
    </row>
    <row r="4776" spans="1:4">
      <c r="A4776" s="691"/>
      <c r="D4776" s="3"/>
    </row>
    <row r="4777" spans="1:4">
      <c r="A4777" s="691"/>
      <c r="D4777" s="3"/>
    </row>
    <row r="4778" spans="1:4">
      <c r="A4778" s="691"/>
      <c r="D4778" s="3"/>
    </row>
    <row r="4779" spans="1:4">
      <c r="A4779" s="691"/>
      <c r="D4779" s="3"/>
    </row>
    <row r="4780" spans="1:4">
      <c r="A4780" s="691"/>
      <c r="D4780" s="3"/>
    </row>
    <row r="4781" spans="1:4">
      <c r="A4781" s="691"/>
      <c r="D4781" s="3"/>
    </row>
    <row r="4782" spans="1:4">
      <c r="A4782" s="691"/>
      <c r="D4782" s="3"/>
    </row>
    <row r="4783" spans="1:4">
      <c r="A4783" s="691"/>
      <c r="D4783" s="3"/>
    </row>
    <row r="4784" spans="1:4">
      <c r="A4784" s="691"/>
      <c r="D4784" s="3"/>
    </row>
    <row r="4785" spans="1:4">
      <c r="A4785" s="691"/>
      <c r="D4785" s="3"/>
    </row>
    <row r="4786" spans="1:4">
      <c r="A4786" s="691"/>
      <c r="D4786" s="3"/>
    </row>
    <row r="4787" spans="1:4">
      <c r="A4787" s="691"/>
      <c r="D4787" s="3"/>
    </row>
    <row r="4788" spans="1:4">
      <c r="A4788" s="691"/>
      <c r="D4788" s="3"/>
    </row>
    <row r="4789" spans="1:4">
      <c r="A4789" s="691"/>
      <c r="D4789" s="3"/>
    </row>
    <row r="4790" spans="1:4">
      <c r="A4790" s="691"/>
      <c r="D4790" s="3"/>
    </row>
    <row r="4791" spans="1:4">
      <c r="A4791" s="691"/>
      <c r="D4791" s="3"/>
    </row>
    <row r="4792" spans="1:4">
      <c r="A4792" s="691"/>
      <c r="D4792" s="3"/>
    </row>
    <row r="4793" spans="1:4">
      <c r="A4793" s="691"/>
      <c r="D4793" s="3"/>
    </row>
    <row r="4794" spans="1:4">
      <c r="A4794" s="691"/>
      <c r="D4794" s="3"/>
    </row>
    <row r="4795" spans="1:4">
      <c r="A4795" s="691"/>
      <c r="D4795" s="3"/>
    </row>
    <row r="4796" spans="1:4">
      <c r="A4796" s="691"/>
      <c r="D4796" s="3"/>
    </row>
    <row r="4797" spans="1:4">
      <c r="A4797" s="691"/>
      <c r="D4797" s="3"/>
    </row>
    <row r="4798" spans="1:4">
      <c r="A4798" s="691"/>
      <c r="D4798" s="3"/>
    </row>
    <row r="4799" spans="1:4">
      <c r="A4799" s="691"/>
      <c r="D4799" s="3"/>
    </row>
    <row r="4800" spans="1:4">
      <c r="A4800" s="691"/>
      <c r="D4800" s="3"/>
    </row>
    <row r="4801" spans="1:4">
      <c r="A4801" s="691"/>
      <c r="D4801" s="3"/>
    </row>
    <row r="4802" spans="1:4">
      <c r="A4802" s="691"/>
      <c r="D4802" s="3"/>
    </row>
    <row r="4803" spans="1:4">
      <c r="A4803" s="691"/>
      <c r="D4803" s="3"/>
    </row>
    <row r="4804" spans="1:4">
      <c r="A4804" s="691"/>
      <c r="D4804" s="3"/>
    </row>
    <row r="4805" spans="1:4">
      <c r="A4805" s="691"/>
      <c r="D4805" s="3"/>
    </row>
    <row r="4806" spans="1:4">
      <c r="A4806" s="691"/>
      <c r="D4806" s="3"/>
    </row>
    <row r="4807" spans="1:4">
      <c r="A4807" s="691"/>
      <c r="D4807" s="3"/>
    </row>
    <row r="4808" spans="1:4">
      <c r="A4808" s="691"/>
      <c r="D4808" s="3"/>
    </row>
    <row r="4809" spans="1:4">
      <c r="A4809" s="691"/>
      <c r="D4809" s="3"/>
    </row>
    <row r="4810" spans="1:4">
      <c r="A4810" s="691"/>
      <c r="D4810" s="3"/>
    </row>
    <row r="4811" spans="1:4">
      <c r="A4811" s="691"/>
      <c r="D4811" s="3"/>
    </row>
    <row r="4812" spans="1:4">
      <c r="A4812" s="691"/>
      <c r="D4812" s="3"/>
    </row>
    <row r="4813" spans="1:4">
      <c r="A4813" s="691"/>
      <c r="D4813" s="3"/>
    </row>
    <row r="4814" spans="1:4">
      <c r="A4814" s="691"/>
      <c r="D4814" s="3"/>
    </row>
    <row r="4815" spans="1:4">
      <c r="A4815" s="691"/>
      <c r="D4815" s="3"/>
    </row>
    <row r="4816" spans="1:4">
      <c r="A4816" s="691"/>
      <c r="D4816" s="3"/>
    </row>
    <row r="4817" spans="1:4">
      <c r="A4817" s="691"/>
      <c r="D4817" s="3"/>
    </row>
    <row r="4818" spans="1:4">
      <c r="A4818" s="691"/>
      <c r="D4818" s="3"/>
    </row>
    <row r="4819" spans="1:4">
      <c r="A4819" s="691"/>
      <c r="D4819" s="3"/>
    </row>
    <row r="4820" spans="1:4">
      <c r="A4820" s="691"/>
      <c r="D4820" s="3"/>
    </row>
    <row r="4821" spans="1:4">
      <c r="A4821" s="691"/>
      <c r="D4821" s="3"/>
    </row>
    <row r="4822" spans="1:4">
      <c r="A4822" s="691"/>
      <c r="D4822" s="3"/>
    </row>
    <row r="4823" spans="1:4">
      <c r="A4823" s="691"/>
      <c r="D4823" s="3"/>
    </row>
    <row r="4824" spans="1:4">
      <c r="A4824" s="691"/>
      <c r="D4824" s="3"/>
    </row>
    <row r="4825" spans="1:4">
      <c r="A4825" s="691"/>
      <c r="D4825" s="3"/>
    </row>
    <row r="4826" spans="1:4">
      <c r="A4826" s="691"/>
      <c r="D4826" s="3"/>
    </row>
    <row r="4827" spans="1:4">
      <c r="A4827" s="691"/>
      <c r="D4827" s="3"/>
    </row>
    <row r="4828" spans="1:4">
      <c r="A4828" s="691"/>
      <c r="D4828" s="3"/>
    </row>
    <row r="4829" spans="1:4">
      <c r="A4829" s="691"/>
      <c r="D4829" s="3"/>
    </row>
    <row r="4830" spans="1:4">
      <c r="A4830" s="691"/>
      <c r="D4830" s="3"/>
    </row>
    <row r="4831" spans="1:4">
      <c r="A4831" s="691"/>
      <c r="D4831" s="3"/>
    </row>
    <row r="4832" spans="1:4">
      <c r="A4832" s="691"/>
      <c r="D4832" s="3"/>
    </row>
    <row r="4833" spans="1:4">
      <c r="A4833" s="691"/>
      <c r="D4833" s="3"/>
    </row>
    <row r="4834" spans="1:4">
      <c r="A4834" s="691"/>
      <c r="D4834" s="3"/>
    </row>
    <row r="4835" spans="1:4">
      <c r="A4835" s="691"/>
      <c r="D4835" s="3"/>
    </row>
    <row r="4836" spans="1:4">
      <c r="A4836" s="691"/>
      <c r="D4836" s="3"/>
    </row>
    <row r="4837" spans="1:4">
      <c r="A4837" s="691"/>
      <c r="D4837" s="3"/>
    </row>
    <row r="4838" spans="1:4">
      <c r="A4838" s="691"/>
      <c r="D4838" s="3"/>
    </row>
    <row r="4839" spans="1:4">
      <c r="A4839" s="691"/>
      <c r="D4839" s="3"/>
    </row>
    <row r="4840" spans="1:4">
      <c r="A4840" s="691"/>
      <c r="D4840" s="3"/>
    </row>
    <row r="4841" spans="1:4">
      <c r="A4841" s="691"/>
      <c r="D4841" s="3"/>
    </row>
    <row r="4842" spans="1:4">
      <c r="A4842" s="691"/>
      <c r="D4842" s="3"/>
    </row>
    <row r="4843" spans="1:4">
      <c r="A4843" s="691"/>
      <c r="D4843" s="3"/>
    </row>
    <row r="4844" spans="1:4">
      <c r="A4844" s="691"/>
      <c r="D4844" s="3"/>
    </row>
    <row r="4845" spans="1:4">
      <c r="A4845" s="691"/>
      <c r="D4845" s="3"/>
    </row>
    <row r="4846" spans="1:4">
      <c r="A4846" s="691"/>
      <c r="D4846" s="3"/>
    </row>
    <row r="4847" spans="1:4">
      <c r="A4847" s="691"/>
      <c r="D4847" s="3"/>
    </row>
    <row r="4848" spans="1:4">
      <c r="A4848" s="691"/>
      <c r="D4848" s="3"/>
    </row>
    <row r="4849" spans="1:4">
      <c r="A4849" s="691"/>
      <c r="D4849" s="3"/>
    </row>
    <row r="4850" spans="1:4">
      <c r="A4850" s="691"/>
      <c r="D4850" s="3"/>
    </row>
    <row r="4851" spans="1:4">
      <c r="A4851" s="691"/>
      <c r="D4851" s="3"/>
    </row>
    <row r="4852" spans="1:4">
      <c r="A4852" s="691"/>
      <c r="D4852" s="3"/>
    </row>
    <row r="4853" spans="1:4">
      <c r="A4853" s="691"/>
      <c r="D4853" s="3"/>
    </row>
    <row r="4854" spans="1:4">
      <c r="A4854" s="691"/>
      <c r="D4854" s="3"/>
    </row>
    <row r="4855" spans="1:4">
      <c r="A4855" s="691"/>
      <c r="D4855" s="3"/>
    </row>
    <row r="4856" spans="1:4">
      <c r="A4856" s="691"/>
      <c r="D4856" s="3"/>
    </row>
    <row r="4857" spans="1:4">
      <c r="A4857" s="691"/>
      <c r="D4857" s="3"/>
    </row>
    <row r="4858" spans="1:4">
      <c r="A4858" s="691"/>
      <c r="D4858" s="3"/>
    </row>
    <row r="4859" spans="1:4">
      <c r="A4859" s="691"/>
      <c r="D4859" s="3"/>
    </row>
    <row r="4860" spans="1:4">
      <c r="A4860" s="691"/>
      <c r="D4860" s="3"/>
    </row>
    <row r="4861" spans="1:4">
      <c r="A4861" s="691"/>
      <c r="D4861" s="3"/>
    </row>
    <row r="4862" spans="1:4">
      <c r="A4862" s="691"/>
      <c r="D4862" s="3"/>
    </row>
    <row r="4863" spans="1:4">
      <c r="A4863" s="691"/>
      <c r="D4863" s="3"/>
    </row>
    <row r="4864" spans="1:4">
      <c r="A4864" s="691"/>
      <c r="D4864" s="3"/>
    </row>
    <row r="4865" spans="1:4">
      <c r="A4865" s="691"/>
      <c r="D4865" s="3"/>
    </row>
    <row r="4866" spans="1:4">
      <c r="A4866" s="691"/>
      <c r="D4866" s="3"/>
    </row>
    <row r="4867" spans="1:4">
      <c r="A4867" s="691"/>
      <c r="D4867" s="3"/>
    </row>
    <row r="4868" spans="1:4">
      <c r="A4868" s="691"/>
      <c r="D4868" s="3"/>
    </row>
    <row r="4869" spans="1:4">
      <c r="A4869" s="691"/>
      <c r="D4869" s="3"/>
    </row>
    <row r="4870" spans="1:4">
      <c r="A4870" s="691"/>
      <c r="D4870" s="3"/>
    </row>
    <row r="4871" spans="1:4">
      <c r="A4871" s="691"/>
      <c r="D4871" s="3"/>
    </row>
    <row r="4872" spans="1:4">
      <c r="A4872" s="691"/>
      <c r="D4872" s="3"/>
    </row>
    <row r="4873" spans="1:4">
      <c r="A4873" s="691"/>
      <c r="D4873" s="3"/>
    </row>
    <row r="4874" spans="1:4">
      <c r="A4874" s="691"/>
      <c r="D4874" s="3"/>
    </row>
    <row r="4875" spans="1:4">
      <c r="A4875" s="691"/>
      <c r="D4875" s="3"/>
    </row>
    <row r="4876" spans="1:4">
      <c r="A4876" s="691"/>
      <c r="D4876" s="3"/>
    </row>
    <row r="4877" spans="1:4">
      <c r="A4877" s="691"/>
      <c r="D4877" s="3"/>
    </row>
    <row r="4878" spans="1:4">
      <c r="A4878" s="691"/>
      <c r="D4878" s="3"/>
    </row>
    <row r="4879" spans="1:4">
      <c r="A4879" s="691"/>
      <c r="D4879" s="3"/>
    </row>
    <row r="4880" spans="1:4">
      <c r="A4880" s="691"/>
      <c r="D4880" s="3"/>
    </row>
    <row r="4881" spans="1:4">
      <c r="A4881" s="691"/>
      <c r="D4881" s="3"/>
    </row>
    <row r="4882" spans="1:4">
      <c r="A4882" s="691"/>
      <c r="D4882" s="3"/>
    </row>
    <row r="4883" spans="1:4">
      <c r="A4883" s="691"/>
      <c r="D4883" s="3"/>
    </row>
    <row r="4884" spans="1:4">
      <c r="A4884" s="691"/>
      <c r="D4884" s="3"/>
    </row>
    <row r="4885" spans="1:4">
      <c r="A4885" s="691"/>
      <c r="D4885" s="3"/>
    </row>
    <row r="4886" spans="1:4">
      <c r="A4886" s="691"/>
      <c r="D4886" s="3"/>
    </row>
    <row r="4887" spans="1:4">
      <c r="A4887" s="691"/>
      <c r="D4887" s="3"/>
    </row>
    <row r="4888" spans="1:4">
      <c r="A4888" s="691"/>
      <c r="D4888" s="3"/>
    </row>
    <row r="4889" spans="1:4">
      <c r="A4889" s="691"/>
      <c r="D4889" s="3"/>
    </row>
    <row r="4890" spans="1:4">
      <c r="A4890" s="691"/>
      <c r="D4890" s="3"/>
    </row>
    <row r="4891" spans="1:4">
      <c r="A4891" s="691"/>
      <c r="D4891" s="3"/>
    </row>
    <row r="4892" spans="1:4">
      <c r="A4892" s="691"/>
      <c r="D4892" s="3"/>
    </row>
    <row r="4893" spans="1:4">
      <c r="A4893" s="691"/>
      <c r="D4893" s="3"/>
    </row>
    <row r="4894" spans="1:4">
      <c r="A4894" s="691"/>
      <c r="D4894" s="3"/>
    </row>
    <row r="4895" spans="1:4">
      <c r="A4895" s="691"/>
      <c r="D4895" s="3"/>
    </row>
    <row r="4896" spans="1:4">
      <c r="A4896" s="691"/>
      <c r="D4896" s="3"/>
    </row>
    <row r="4897" spans="1:4">
      <c r="A4897" s="691"/>
      <c r="D4897" s="3"/>
    </row>
    <row r="4898" spans="1:4">
      <c r="A4898" s="691"/>
      <c r="D4898" s="3"/>
    </row>
    <row r="4899" spans="1:4">
      <c r="A4899" s="691"/>
      <c r="D4899" s="3"/>
    </row>
    <row r="4900" spans="1:4">
      <c r="A4900" s="691"/>
      <c r="D4900" s="3"/>
    </row>
    <row r="4901" spans="1:4">
      <c r="A4901" s="691"/>
      <c r="D4901" s="3"/>
    </row>
    <row r="4902" spans="1:4">
      <c r="A4902" s="691"/>
      <c r="D4902" s="3"/>
    </row>
    <row r="4903" spans="1:4">
      <c r="A4903" s="691"/>
      <c r="D4903" s="3"/>
    </row>
    <row r="4904" spans="1:4">
      <c r="A4904" s="691"/>
      <c r="D4904" s="3"/>
    </row>
    <row r="4905" spans="1:4">
      <c r="A4905" s="691"/>
      <c r="D4905" s="3"/>
    </row>
    <row r="4906" spans="1:4">
      <c r="A4906" s="691"/>
      <c r="D4906" s="3"/>
    </row>
    <row r="4907" spans="1:4">
      <c r="A4907" s="691"/>
      <c r="D4907" s="3"/>
    </row>
    <row r="4908" spans="1:4">
      <c r="A4908" s="691"/>
      <c r="D4908" s="3"/>
    </row>
    <row r="4909" spans="1:4">
      <c r="A4909" s="691"/>
      <c r="D4909" s="3"/>
    </row>
    <row r="4910" spans="1:4">
      <c r="A4910" s="691"/>
      <c r="D4910" s="3"/>
    </row>
    <row r="4911" spans="1:4">
      <c r="A4911" s="691"/>
      <c r="D4911" s="3"/>
    </row>
    <row r="4912" spans="1:4">
      <c r="A4912" s="691"/>
      <c r="D4912" s="3"/>
    </row>
    <row r="4913" spans="1:4">
      <c r="A4913" s="691"/>
      <c r="D4913" s="3"/>
    </row>
    <row r="4914" spans="1:4">
      <c r="A4914" s="691"/>
      <c r="D4914" s="3"/>
    </row>
    <row r="4915" spans="1:4">
      <c r="A4915" s="691"/>
      <c r="D4915" s="3"/>
    </row>
    <row r="4916" spans="1:4">
      <c r="A4916" s="691"/>
      <c r="D4916" s="3"/>
    </row>
    <row r="4917" spans="1:4">
      <c r="A4917" s="691"/>
      <c r="D4917" s="3"/>
    </row>
    <row r="4918" spans="1:4">
      <c r="A4918" s="691"/>
      <c r="D4918" s="3"/>
    </row>
    <row r="4919" spans="1:4">
      <c r="A4919" s="691"/>
      <c r="D4919" s="3"/>
    </row>
    <row r="4920" spans="1:4">
      <c r="A4920" s="691"/>
      <c r="D4920" s="3"/>
    </row>
    <row r="4921" spans="1:4">
      <c r="A4921" s="691"/>
      <c r="D4921" s="3"/>
    </row>
    <row r="4922" spans="1:4">
      <c r="A4922" s="691"/>
      <c r="D4922" s="3"/>
    </row>
    <row r="4923" spans="1:4">
      <c r="A4923" s="691"/>
      <c r="D4923" s="3"/>
    </row>
    <row r="4924" spans="1:4">
      <c r="A4924" s="691"/>
      <c r="D4924" s="3"/>
    </row>
    <row r="4925" spans="1:4">
      <c r="A4925" s="691"/>
      <c r="D4925" s="3"/>
    </row>
    <row r="4926" spans="1:4">
      <c r="A4926" s="691"/>
      <c r="D4926" s="3"/>
    </row>
    <row r="4927" spans="1:4">
      <c r="A4927" s="691"/>
      <c r="D4927" s="3"/>
    </row>
    <row r="4928" spans="1:4">
      <c r="A4928" s="691"/>
      <c r="D4928" s="3"/>
    </row>
    <row r="4929" spans="1:4">
      <c r="A4929" s="691"/>
      <c r="D4929" s="3"/>
    </row>
    <row r="4930" spans="1:4">
      <c r="A4930" s="691"/>
      <c r="D4930" s="3"/>
    </row>
    <row r="4931" spans="1:4">
      <c r="A4931" s="691"/>
      <c r="D4931" s="3"/>
    </row>
    <row r="4932" spans="1:4">
      <c r="A4932" s="691"/>
      <c r="D4932" s="3"/>
    </row>
    <row r="4933" spans="1:4">
      <c r="A4933" s="691"/>
      <c r="D4933" s="3"/>
    </row>
    <row r="4934" spans="1:4">
      <c r="A4934" s="691"/>
      <c r="D4934" s="3"/>
    </row>
    <row r="4935" spans="1:4">
      <c r="A4935" s="691"/>
      <c r="D4935" s="3"/>
    </row>
    <row r="4936" spans="1:4">
      <c r="A4936" s="691"/>
      <c r="D4936" s="3"/>
    </row>
    <row r="4937" spans="1:4">
      <c r="A4937" s="691"/>
      <c r="D4937" s="3"/>
    </row>
    <row r="4938" spans="1:4">
      <c r="A4938" s="691"/>
      <c r="D4938" s="3"/>
    </row>
    <row r="4939" spans="1:4">
      <c r="A4939" s="691"/>
      <c r="D4939" s="3"/>
    </row>
    <row r="4940" spans="1:4">
      <c r="A4940" s="691"/>
      <c r="D4940" s="3"/>
    </row>
    <row r="4941" spans="1:4">
      <c r="A4941" s="691"/>
      <c r="D4941" s="3"/>
    </row>
    <row r="4942" spans="1:4">
      <c r="A4942" s="691"/>
      <c r="D4942" s="3"/>
    </row>
    <row r="4943" spans="1:4">
      <c r="A4943" s="691"/>
      <c r="D4943" s="3"/>
    </row>
    <row r="4944" spans="1:4">
      <c r="A4944" s="691"/>
      <c r="D4944" s="3"/>
    </row>
    <row r="4945" spans="1:4">
      <c r="A4945" s="691"/>
      <c r="D4945" s="3"/>
    </row>
    <row r="4946" spans="1:4">
      <c r="A4946" s="691"/>
      <c r="D4946" s="3"/>
    </row>
    <row r="4947" spans="1:4">
      <c r="A4947" s="691"/>
      <c r="D4947" s="3"/>
    </row>
    <row r="4948" spans="1:4">
      <c r="A4948" s="691"/>
      <c r="D4948" s="3"/>
    </row>
    <row r="4949" spans="1:4">
      <c r="A4949" s="691"/>
      <c r="D4949" s="3"/>
    </row>
    <row r="4950" spans="1:4">
      <c r="A4950" s="691"/>
      <c r="D4950" s="3"/>
    </row>
    <row r="4951" spans="1:4">
      <c r="A4951" s="691"/>
      <c r="D4951" s="3"/>
    </row>
    <row r="4952" spans="1:4">
      <c r="A4952" s="691"/>
      <c r="D4952" s="3"/>
    </row>
    <row r="4953" spans="1:4">
      <c r="A4953" s="691"/>
      <c r="D4953" s="3"/>
    </row>
    <row r="4954" spans="1:4">
      <c r="A4954" s="691"/>
      <c r="D4954" s="3"/>
    </row>
    <row r="4955" spans="1:4">
      <c r="A4955" s="691"/>
      <c r="D4955" s="3"/>
    </row>
    <row r="4956" spans="1:4">
      <c r="A4956" s="691"/>
      <c r="D4956" s="3"/>
    </row>
    <row r="4957" spans="1:4">
      <c r="A4957" s="691"/>
      <c r="D4957" s="3"/>
    </row>
    <row r="4958" spans="1:4">
      <c r="A4958" s="691"/>
      <c r="D4958" s="3"/>
    </row>
    <row r="4959" spans="1:4">
      <c r="A4959" s="691"/>
      <c r="D4959" s="3"/>
    </row>
    <row r="4960" spans="1:4">
      <c r="A4960" s="691"/>
      <c r="D4960" s="3"/>
    </row>
    <row r="4961" spans="1:4">
      <c r="A4961" s="691"/>
      <c r="D4961" s="3"/>
    </row>
    <row r="4962" spans="1:4">
      <c r="A4962" s="691"/>
      <c r="D4962" s="3"/>
    </row>
    <row r="4963" spans="1:4">
      <c r="A4963" s="691"/>
      <c r="D4963" s="3"/>
    </row>
    <row r="4964" spans="1:4">
      <c r="A4964" s="691"/>
      <c r="D4964" s="3"/>
    </row>
    <row r="4965" spans="1:4">
      <c r="A4965" s="691"/>
      <c r="D4965" s="3"/>
    </row>
    <row r="4966" spans="1:4">
      <c r="A4966" s="691"/>
      <c r="D4966" s="3"/>
    </row>
    <row r="4967" spans="1:4">
      <c r="A4967" s="691"/>
      <c r="D4967" s="3"/>
    </row>
    <row r="4968" spans="1:4">
      <c r="A4968" s="691"/>
      <c r="D4968" s="3"/>
    </row>
    <row r="4969" spans="1:4">
      <c r="A4969" s="691"/>
      <c r="D4969" s="3"/>
    </row>
    <row r="4970" spans="1:4">
      <c r="A4970" s="691"/>
      <c r="D4970" s="3"/>
    </row>
    <row r="4971" spans="1:4">
      <c r="A4971" s="691"/>
      <c r="D4971" s="3"/>
    </row>
    <row r="4972" spans="1:4">
      <c r="A4972" s="691"/>
      <c r="D4972" s="3"/>
    </row>
    <row r="4973" spans="1:4">
      <c r="A4973" s="691"/>
      <c r="D4973" s="3"/>
    </row>
    <row r="4974" spans="1:4">
      <c r="A4974" s="691"/>
      <c r="D4974" s="3"/>
    </row>
    <row r="4975" spans="1:4">
      <c r="A4975" s="691"/>
      <c r="D4975" s="3"/>
    </row>
    <row r="4976" spans="1:4">
      <c r="A4976" s="691"/>
      <c r="D4976" s="3"/>
    </row>
    <row r="4977" spans="1:4">
      <c r="A4977" s="691"/>
      <c r="D4977" s="3"/>
    </row>
    <row r="4978" spans="1:4">
      <c r="A4978" s="691"/>
      <c r="D4978" s="3"/>
    </row>
    <row r="4979" spans="1:4">
      <c r="A4979" s="691"/>
      <c r="D4979" s="3"/>
    </row>
    <row r="4980" spans="1:4">
      <c r="A4980" s="691"/>
      <c r="D4980" s="3"/>
    </row>
    <row r="4981" spans="1:4">
      <c r="A4981" s="691"/>
      <c r="D4981" s="3"/>
    </row>
    <row r="4982" spans="1:4">
      <c r="A4982" s="691"/>
      <c r="D4982" s="3"/>
    </row>
    <row r="4983" spans="1:4">
      <c r="A4983" s="691"/>
      <c r="D4983" s="3"/>
    </row>
    <row r="4984" spans="1:4">
      <c r="A4984" s="691"/>
      <c r="D4984" s="3"/>
    </row>
    <row r="4985" spans="1:4">
      <c r="A4985" s="691"/>
      <c r="D4985" s="3"/>
    </row>
    <row r="4986" spans="1:4">
      <c r="A4986" s="691"/>
      <c r="D4986" s="3"/>
    </row>
    <row r="4987" spans="1:4">
      <c r="A4987" s="691"/>
      <c r="D4987" s="3"/>
    </row>
    <row r="4988" spans="1:4">
      <c r="A4988" s="691"/>
      <c r="D4988" s="3"/>
    </row>
    <row r="4989" spans="1:4">
      <c r="A4989" s="691"/>
      <c r="D4989" s="3"/>
    </row>
    <row r="4990" spans="1:4">
      <c r="A4990" s="691"/>
      <c r="D4990" s="3"/>
    </row>
    <row r="4991" spans="1:4">
      <c r="A4991" s="691"/>
      <c r="D4991" s="3"/>
    </row>
    <row r="4992" spans="1:4">
      <c r="A4992" s="691"/>
      <c r="D4992" s="3"/>
    </row>
    <row r="4993" spans="1:4">
      <c r="A4993" s="691"/>
      <c r="D4993" s="3"/>
    </row>
    <row r="4994" spans="1:4">
      <c r="A4994" s="691"/>
      <c r="D4994" s="3"/>
    </row>
    <row r="4995" spans="1:4">
      <c r="A4995" s="691"/>
      <c r="D4995" s="3"/>
    </row>
    <row r="4996" spans="1:4">
      <c r="A4996" s="691"/>
      <c r="D4996" s="3"/>
    </row>
    <row r="4997" spans="1:4">
      <c r="A4997" s="691"/>
      <c r="D4997" s="3"/>
    </row>
    <row r="4998" spans="1:4">
      <c r="A4998" s="691"/>
      <c r="D4998" s="3"/>
    </row>
    <row r="4999" spans="1:4">
      <c r="A4999" s="691"/>
      <c r="D4999" s="3"/>
    </row>
    <row r="5000" spans="1:4">
      <c r="A5000" s="691"/>
      <c r="D5000" s="3"/>
    </row>
    <row r="5001" spans="1:4">
      <c r="A5001" s="691"/>
      <c r="D5001" s="3"/>
    </row>
    <row r="5002" spans="1:4">
      <c r="A5002" s="691"/>
      <c r="D5002" s="3"/>
    </row>
    <row r="5003" spans="1:4">
      <c r="A5003" s="691"/>
      <c r="D5003" s="3"/>
    </row>
    <row r="5004" spans="1:4">
      <c r="A5004" s="691"/>
      <c r="D5004" s="3"/>
    </row>
    <row r="5005" spans="1:4">
      <c r="A5005" s="691"/>
      <c r="D5005" s="3"/>
    </row>
    <row r="5006" spans="1:4">
      <c r="A5006" s="691"/>
      <c r="D5006" s="3"/>
    </row>
    <row r="5007" spans="1:4">
      <c r="A5007" s="691"/>
      <c r="D5007" s="3"/>
    </row>
    <row r="5008" spans="1:4">
      <c r="A5008" s="691"/>
      <c r="D5008" s="3"/>
    </row>
    <row r="5009" spans="1:4">
      <c r="A5009" s="691"/>
      <c r="D5009" s="3"/>
    </row>
    <row r="5010" spans="1:4">
      <c r="A5010" s="691"/>
      <c r="D5010" s="3"/>
    </row>
    <row r="5011" spans="1:4">
      <c r="A5011" s="691"/>
      <c r="D5011" s="3"/>
    </row>
    <row r="5012" spans="1:4">
      <c r="A5012" s="691"/>
      <c r="D5012" s="3"/>
    </row>
    <row r="5013" spans="1:4">
      <c r="A5013" s="691"/>
      <c r="D5013" s="3"/>
    </row>
    <row r="5014" spans="1:4">
      <c r="A5014" s="691"/>
      <c r="D5014" s="3"/>
    </row>
    <row r="5015" spans="1:4">
      <c r="A5015" s="691"/>
      <c r="D5015" s="3"/>
    </row>
    <row r="5016" spans="1:4">
      <c r="A5016" s="691"/>
      <c r="D5016" s="3"/>
    </row>
    <row r="5017" spans="1:4">
      <c r="A5017" s="691"/>
      <c r="D5017" s="3"/>
    </row>
    <row r="5018" spans="1:4">
      <c r="A5018" s="691"/>
      <c r="D5018" s="3"/>
    </row>
    <row r="5019" spans="1:4">
      <c r="A5019" s="691"/>
      <c r="D5019" s="3"/>
    </row>
    <row r="5020" spans="1:4">
      <c r="A5020" s="691"/>
      <c r="D5020" s="3"/>
    </row>
    <row r="5021" spans="1:4">
      <c r="A5021" s="691"/>
      <c r="D5021" s="3"/>
    </row>
    <row r="5022" spans="1:4">
      <c r="A5022" s="691"/>
      <c r="D5022" s="3"/>
    </row>
    <row r="5023" spans="1:4">
      <c r="A5023" s="691"/>
      <c r="D5023" s="3"/>
    </row>
    <row r="5024" spans="1:4">
      <c r="A5024" s="691"/>
      <c r="D5024" s="3"/>
    </row>
    <row r="5025" spans="1:4">
      <c r="A5025" s="691"/>
      <c r="D5025" s="3"/>
    </row>
    <row r="5026" spans="1:4">
      <c r="A5026" s="691"/>
      <c r="D5026" s="3"/>
    </row>
    <row r="5027" spans="1:4">
      <c r="A5027" s="691"/>
      <c r="D5027" s="3"/>
    </row>
    <row r="5028" spans="1:4">
      <c r="A5028" s="691"/>
      <c r="D5028" s="3"/>
    </row>
    <row r="5029" spans="1:4">
      <c r="A5029" s="691"/>
      <c r="D5029" s="3"/>
    </row>
    <row r="5030" spans="1:4">
      <c r="A5030" s="691"/>
      <c r="D5030" s="3"/>
    </row>
    <row r="5031" spans="1:4">
      <c r="A5031" s="691"/>
      <c r="D5031" s="3"/>
    </row>
    <row r="5032" spans="1:4">
      <c r="A5032" s="691"/>
      <c r="D5032" s="3"/>
    </row>
    <row r="5033" spans="1:4">
      <c r="A5033" s="691"/>
      <c r="D5033" s="3"/>
    </row>
    <row r="5034" spans="1:4">
      <c r="A5034" s="691"/>
      <c r="D5034" s="3"/>
    </row>
    <row r="5035" spans="1:4">
      <c r="A5035" s="691"/>
      <c r="D5035" s="3"/>
    </row>
    <row r="5036" spans="1:4">
      <c r="A5036" s="691"/>
      <c r="D5036" s="3"/>
    </row>
    <row r="5037" spans="1:4">
      <c r="A5037" s="691"/>
      <c r="D5037" s="3"/>
    </row>
    <row r="5038" spans="1:4">
      <c r="A5038" s="691"/>
      <c r="D5038" s="3"/>
    </row>
    <row r="5039" spans="1:4">
      <c r="A5039" s="691"/>
      <c r="D5039" s="3"/>
    </row>
    <row r="5040" spans="1:4">
      <c r="A5040" s="691"/>
      <c r="D5040" s="3"/>
    </row>
    <row r="5041" spans="1:4">
      <c r="A5041" s="691"/>
      <c r="D5041" s="3"/>
    </row>
    <row r="5042" spans="1:4">
      <c r="A5042" s="691"/>
      <c r="D5042" s="3"/>
    </row>
    <row r="5043" spans="1:4">
      <c r="A5043" s="691"/>
      <c r="D5043" s="3"/>
    </row>
    <row r="5044" spans="1:4">
      <c r="A5044" s="691"/>
      <c r="D5044" s="3"/>
    </row>
    <row r="5045" spans="1:4">
      <c r="A5045" s="691"/>
      <c r="D5045" s="3"/>
    </row>
    <row r="5046" spans="1:4">
      <c r="A5046" s="691"/>
      <c r="D5046" s="3"/>
    </row>
    <row r="5047" spans="1:4">
      <c r="A5047" s="691"/>
      <c r="D5047" s="3"/>
    </row>
    <row r="5048" spans="1:4">
      <c r="A5048" s="691"/>
      <c r="D5048" s="3"/>
    </row>
    <row r="5049" spans="1:4">
      <c r="A5049" s="691"/>
      <c r="D5049" s="3"/>
    </row>
    <row r="5050" spans="1:4">
      <c r="A5050" s="691"/>
      <c r="D5050" s="3"/>
    </row>
    <row r="5051" spans="1:4">
      <c r="A5051" s="691"/>
      <c r="D5051" s="3"/>
    </row>
    <row r="5052" spans="1:4">
      <c r="A5052" s="691"/>
      <c r="D5052" s="3"/>
    </row>
    <row r="5053" spans="1:4">
      <c r="A5053" s="691"/>
      <c r="D5053" s="3"/>
    </row>
    <row r="5054" spans="1:4">
      <c r="A5054" s="691"/>
      <c r="D5054" s="3"/>
    </row>
    <row r="5055" spans="1:4">
      <c r="A5055" s="691"/>
      <c r="D5055" s="3"/>
    </row>
    <row r="5056" spans="1:4">
      <c r="A5056" s="691"/>
      <c r="D5056" s="3"/>
    </row>
    <row r="5057" spans="1:4">
      <c r="A5057" s="691"/>
      <c r="D5057" s="3"/>
    </row>
    <row r="5058" spans="1:4">
      <c r="A5058" s="691"/>
      <c r="D5058" s="3"/>
    </row>
    <row r="5059" spans="1:4">
      <c r="A5059" s="691"/>
      <c r="D5059" s="3"/>
    </row>
    <row r="5060" spans="1:4">
      <c r="A5060" s="691"/>
      <c r="D5060" s="3"/>
    </row>
    <row r="5061" spans="1:4">
      <c r="A5061" s="691"/>
      <c r="D5061" s="3"/>
    </row>
    <row r="5062" spans="1:4">
      <c r="A5062" s="691"/>
      <c r="D5062" s="3"/>
    </row>
    <row r="5063" spans="1:4">
      <c r="A5063" s="691"/>
      <c r="D5063" s="3"/>
    </row>
    <row r="5064" spans="1:4">
      <c r="A5064" s="691"/>
      <c r="D5064" s="3"/>
    </row>
    <row r="5065" spans="1:4">
      <c r="A5065" s="691"/>
      <c r="D5065" s="3"/>
    </row>
    <row r="5066" spans="1:4">
      <c r="A5066" s="691"/>
      <c r="D5066" s="3"/>
    </row>
    <row r="5067" spans="1:4">
      <c r="A5067" s="691"/>
      <c r="D5067" s="3"/>
    </row>
    <row r="5068" spans="1:4">
      <c r="A5068" s="691"/>
      <c r="D5068" s="3"/>
    </row>
    <row r="5069" spans="1:4">
      <c r="A5069" s="691"/>
      <c r="D5069" s="3"/>
    </row>
    <row r="5070" spans="1:4">
      <c r="A5070" s="691"/>
      <c r="D5070" s="3"/>
    </row>
    <row r="5071" spans="1:4">
      <c r="A5071" s="691"/>
      <c r="D5071" s="3"/>
    </row>
    <row r="5072" spans="1:4">
      <c r="A5072" s="691"/>
      <c r="D5072" s="3"/>
    </row>
    <row r="5073" spans="1:4">
      <c r="A5073" s="691"/>
      <c r="D5073" s="3"/>
    </row>
    <row r="5074" spans="1:4">
      <c r="A5074" s="691"/>
      <c r="D5074" s="3"/>
    </row>
    <row r="5075" spans="1:4">
      <c r="A5075" s="691"/>
      <c r="D5075" s="3"/>
    </row>
    <row r="5076" spans="1:4">
      <c r="A5076" s="691"/>
      <c r="D5076" s="3"/>
    </row>
    <row r="5077" spans="1:4">
      <c r="A5077" s="691"/>
      <c r="D5077" s="3"/>
    </row>
    <row r="5078" spans="1:4">
      <c r="A5078" s="691"/>
      <c r="D5078" s="3"/>
    </row>
    <row r="5079" spans="1:4">
      <c r="A5079" s="691"/>
      <c r="D5079" s="3"/>
    </row>
    <row r="5080" spans="1:4">
      <c r="A5080" s="691"/>
      <c r="D5080" s="3"/>
    </row>
    <row r="5081" spans="1:4">
      <c r="A5081" s="691"/>
      <c r="D5081" s="3"/>
    </row>
    <row r="5082" spans="1:4">
      <c r="A5082" s="691"/>
      <c r="D5082" s="3"/>
    </row>
    <row r="5083" spans="1:4">
      <c r="A5083" s="691"/>
      <c r="D5083" s="3"/>
    </row>
    <row r="5084" spans="1:4">
      <c r="A5084" s="691"/>
      <c r="D5084" s="3"/>
    </row>
    <row r="5085" spans="1:4">
      <c r="A5085" s="691"/>
      <c r="D5085" s="3"/>
    </row>
    <row r="5086" spans="1:4">
      <c r="A5086" s="691"/>
      <c r="D5086" s="3"/>
    </row>
    <row r="5087" spans="1:4">
      <c r="A5087" s="691"/>
      <c r="D5087" s="3"/>
    </row>
    <row r="5088" spans="1:4">
      <c r="A5088" s="691"/>
      <c r="D5088" s="3"/>
    </row>
    <row r="5089" spans="1:4">
      <c r="A5089" s="691"/>
      <c r="D5089" s="3"/>
    </row>
    <row r="5090" spans="1:4">
      <c r="A5090" s="691"/>
      <c r="D5090" s="3"/>
    </row>
    <row r="5091" spans="1:4">
      <c r="A5091" s="691"/>
      <c r="D5091" s="3"/>
    </row>
    <row r="5092" spans="1:4">
      <c r="A5092" s="691"/>
      <c r="D5092" s="3"/>
    </row>
    <row r="5093" spans="1:4">
      <c r="A5093" s="691"/>
      <c r="D5093" s="3"/>
    </row>
    <row r="5094" spans="1:4">
      <c r="A5094" s="691"/>
      <c r="D5094" s="3"/>
    </row>
    <row r="5095" spans="1:4">
      <c r="A5095" s="691"/>
      <c r="D5095" s="3"/>
    </row>
    <row r="5096" spans="1:4">
      <c r="A5096" s="691"/>
      <c r="D5096" s="3"/>
    </row>
    <row r="5097" spans="1:4">
      <c r="A5097" s="691"/>
      <c r="D5097" s="3"/>
    </row>
    <row r="5098" spans="1:4">
      <c r="A5098" s="691"/>
      <c r="D5098" s="3"/>
    </row>
    <row r="5099" spans="1:4">
      <c r="A5099" s="691"/>
      <c r="D5099" s="3"/>
    </row>
    <row r="5100" spans="1:4">
      <c r="A5100" s="691"/>
      <c r="D5100" s="3"/>
    </row>
    <row r="5101" spans="1:4">
      <c r="A5101" s="691"/>
      <c r="D5101" s="3"/>
    </row>
    <row r="5102" spans="1:4">
      <c r="A5102" s="691"/>
      <c r="D5102" s="3"/>
    </row>
    <row r="5103" spans="1:4">
      <c r="A5103" s="691"/>
      <c r="D5103" s="3"/>
    </row>
    <row r="5104" spans="1:4">
      <c r="A5104" s="691"/>
      <c r="D5104" s="3"/>
    </row>
    <row r="5105" spans="1:4">
      <c r="A5105" s="691"/>
      <c r="D5105" s="3"/>
    </row>
    <row r="5106" spans="1:4">
      <c r="A5106" s="691"/>
      <c r="D5106" s="3"/>
    </row>
    <row r="5107" spans="1:4">
      <c r="A5107" s="691"/>
      <c r="D5107" s="3"/>
    </row>
    <row r="5108" spans="1:4">
      <c r="A5108" s="691"/>
      <c r="D5108" s="3"/>
    </row>
    <row r="5109" spans="1:4">
      <c r="A5109" s="691"/>
      <c r="D5109" s="3"/>
    </row>
    <row r="5110" spans="1:4">
      <c r="A5110" s="691"/>
      <c r="D5110" s="3"/>
    </row>
    <row r="5111" spans="1:4">
      <c r="A5111" s="691"/>
      <c r="D5111" s="3"/>
    </row>
    <row r="5112" spans="1:4">
      <c r="A5112" s="691"/>
      <c r="D5112" s="3"/>
    </row>
    <row r="5113" spans="1:4">
      <c r="A5113" s="691"/>
      <c r="D5113" s="3"/>
    </row>
    <row r="5114" spans="1:4">
      <c r="A5114" s="691"/>
      <c r="D5114" s="3"/>
    </row>
    <row r="5115" spans="1:4">
      <c r="A5115" s="691"/>
      <c r="D5115" s="3"/>
    </row>
    <row r="5116" spans="1:4">
      <c r="A5116" s="691"/>
      <c r="D5116" s="3"/>
    </row>
    <row r="5117" spans="1:4">
      <c r="A5117" s="691"/>
      <c r="D5117" s="3"/>
    </row>
    <row r="5118" spans="1:4">
      <c r="A5118" s="691"/>
      <c r="D5118" s="3"/>
    </row>
    <row r="5119" spans="1:4">
      <c r="A5119" s="691"/>
      <c r="D5119" s="3"/>
    </row>
    <row r="5120" spans="1:4">
      <c r="A5120" s="691"/>
      <c r="D5120" s="3"/>
    </row>
    <row r="5121" spans="1:4">
      <c r="A5121" s="691"/>
      <c r="D5121" s="3"/>
    </row>
    <row r="5122" spans="1:4">
      <c r="A5122" s="691"/>
      <c r="D5122" s="3"/>
    </row>
    <row r="5123" spans="1:4">
      <c r="A5123" s="691"/>
      <c r="D5123" s="3"/>
    </row>
    <row r="5124" spans="1:4">
      <c r="A5124" s="691"/>
      <c r="D5124" s="3"/>
    </row>
    <row r="5125" spans="1:4">
      <c r="A5125" s="691"/>
      <c r="D5125" s="3"/>
    </row>
    <row r="5126" spans="1:4">
      <c r="A5126" s="691"/>
      <c r="D5126" s="3"/>
    </row>
    <row r="5127" spans="1:4">
      <c r="A5127" s="691"/>
      <c r="D5127" s="3"/>
    </row>
    <row r="5128" spans="1:4">
      <c r="A5128" s="691"/>
      <c r="D5128" s="3"/>
    </row>
    <row r="5129" spans="1:4">
      <c r="A5129" s="691"/>
      <c r="D5129" s="3"/>
    </row>
    <row r="5130" spans="1:4">
      <c r="A5130" s="691"/>
      <c r="D5130" s="3"/>
    </row>
    <row r="5131" spans="1:4">
      <c r="A5131" s="691"/>
      <c r="D5131" s="3"/>
    </row>
    <row r="5132" spans="1:4">
      <c r="A5132" s="691"/>
      <c r="D5132" s="3"/>
    </row>
    <row r="5133" spans="1:4">
      <c r="A5133" s="691"/>
      <c r="D5133" s="3"/>
    </row>
    <row r="5134" spans="1:4">
      <c r="A5134" s="691"/>
      <c r="D5134" s="3"/>
    </row>
    <row r="5135" spans="1:4">
      <c r="A5135" s="691"/>
      <c r="D5135" s="3"/>
    </row>
    <row r="5136" spans="1:4">
      <c r="A5136" s="691"/>
      <c r="D5136" s="3"/>
    </row>
    <row r="5137" spans="1:4">
      <c r="A5137" s="691"/>
      <c r="D5137" s="3"/>
    </row>
    <row r="5138" spans="1:4">
      <c r="A5138" s="691"/>
      <c r="D5138" s="3"/>
    </row>
    <row r="5139" spans="1:4">
      <c r="A5139" s="691"/>
      <c r="D5139" s="3"/>
    </row>
    <row r="5140" spans="1:4">
      <c r="A5140" s="691"/>
      <c r="D5140" s="3"/>
    </row>
    <row r="5141" spans="1:4">
      <c r="A5141" s="691"/>
      <c r="D5141" s="3"/>
    </row>
    <row r="5142" spans="1:4">
      <c r="A5142" s="691"/>
      <c r="D5142" s="3"/>
    </row>
    <row r="5143" spans="1:4">
      <c r="A5143" s="691"/>
      <c r="D5143" s="3"/>
    </row>
    <row r="5144" spans="1:4">
      <c r="A5144" s="691"/>
      <c r="D5144" s="3"/>
    </row>
    <row r="5145" spans="1:4">
      <c r="A5145" s="691"/>
      <c r="D5145" s="3"/>
    </row>
    <row r="5146" spans="1:4">
      <c r="A5146" s="691"/>
      <c r="D5146" s="3"/>
    </row>
    <row r="5147" spans="1:4">
      <c r="A5147" s="691"/>
      <c r="D5147" s="3"/>
    </row>
    <row r="5148" spans="1:4">
      <c r="A5148" s="691"/>
      <c r="D5148" s="3"/>
    </row>
    <row r="5149" spans="1:4">
      <c r="A5149" s="691"/>
      <c r="D5149" s="3"/>
    </row>
    <row r="5150" spans="1:4">
      <c r="A5150" s="691"/>
      <c r="D5150" s="3"/>
    </row>
    <row r="5151" spans="1:4">
      <c r="A5151" s="691"/>
      <c r="D5151" s="3"/>
    </row>
    <row r="5152" spans="1:4">
      <c r="A5152" s="691"/>
      <c r="D5152" s="3"/>
    </row>
    <row r="5153" spans="1:4">
      <c r="A5153" s="691"/>
      <c r="D5153" s="3"/>
    </row>
    <row r="5154" spans="1:4">
      <c r="A5154" s="691"/>
      <c r="D5154" s="3"/>
    </row>
    <row r="5155" spans="1:4">
      <c r="A5155" s="691"/>
      <c r="D5155" s="3"/>
    </row>
    <row r="5156" spans="1:4">
      <c r="A5156" s="691"/>
      <c r="D5156" s="3"/>
    </row>
    <row r="5157" spans="1:4">
      <c r="A5157" s="691"/>
      <c r="D5157" s="3"/>
    </row>
    <row r="5158" spans="1:4">
      <c r="A5158" s="691"/>
      <c r="D5158" s="3"/>
    </row>
    <row r="5159" spans="1:4">
      <c r="A5159" s="691"/>
      <c r="D5159" s="3"/>
    </row>
    <row r="5160" spans="1:4">
      <c r="A5160" s="691"/>
      <c r="D5160" s="3"/>
    </row>
    <row r="5161" spans="1:4">
      <c r="A5161" s="691"/>
      <c r="D5161" s="3"/>
    </row>
    <row r="5162" spans="1:4">
      <c r="A5162" s="691"/>
      <c r="D5162" s="3"/>
    </row>
    <row r="5163" spans="1:4">
      <c r="A5163" s="691"/>
      <c r="D5163" s="3"/>
    </row>
    <row r="5164" spans="1:4">
      <c r="A5164" s="691"/>
      <c r="D5164" s="3"/>
    </row>
    <row r="5165" spans="1:4">
      <c r="A5165" s="691"/>
      <c r="D5165" s="3"/>
    </row>
    <row r="5166" spans="1:4">
      <c r="A5166" s="691"/>
      <c r="D5166" s="3"/>
    </row>
    <row r="5167" spans="1:4">
      <c r="A5167" s="691"/>
      <c r="D5167" s="3"/>
    </row>
    <row r="5168" spans="1:4">
      <c r="A5168" s="691"/>
      <c r="D5168" s="3"/>
    </row>
    <row r="5169" spans="1:4">
      <c r="A5169" s="691"/>
      <c r="D5169" s="3"/>
    </row>
    <row r="5170" spans="1:4">
      <c r="A5170" s="691"/>
      <c r="D5170" s="3"/>
    </row>
    <row r="5171" spans="1:4">
      <c r="A5171" s="691"/>
      <c r="D5171" s="3"/>
    </row>
    <row r="5172" spans="1:4">
      <c r="A5172" s="691"/>
      <c r="D5172" s="3"/>
    </row>
    <row r="5173" spans="1:4">
      <c r="A5173" s="691"/>
      <c r="D5173" s="3"/>
    </row>
    <row r="5174" spans="1:4">
      <c r="A5174" s="691"/>
      <c r="D5174" s="3"/>
    </row>
    <row r="5175" spans="1:4">
      <c r="A5175" s="691"/>
      <c r="D5175" s="3"/>
    </row>
    <row r="5176" spans="1:4">
      <c r="A5176" s="691"/>
      <c r="D5176" s="3"/>
    </row>
    <row r="5177" spans="1:4">
      <c r="A5177" s="691"/>
      <c r="D5177" s="3"/>
    </row>
    <row r="5178" spans="1:4">
      <c r="A5178" s="691"/>
      <c r="D5178" s="3"/>
    </row>
    <row r="5179" spans="1:4">
      <c r="A5179" s="691"/>
      <c r="D5179" s="3"/>
    </row>
    <row r="5180" spans="1:4">
      <c r="A5180" s="691"/>
      <c r="D5180" s="3"/>
    </row>
    <row r="5181" spans="1:4">
      <c r="A5181" s="691"/>
      <c r="D5181" s="3"/>
    </row>
    <row r="5182" spans="1:4">
      <c r="A5182" s="691"/>
      <c r="D5182" s="3"/>
    </row>
    <row r="5183" spans="1:4">
      <c r="A5183" s="691"/>
      <c r="D5183" s="3"/>
    </row>
    <row r="5184" spans="1:4">
      <c r="A5184" s="691"/>
      <c r="D5184" s="3"/>
    </row>
    <row r="5185" spans="1:4">
      <c r="A5185" s="691"/>
      <c r="D5185" s="3"/>
    </row>
    <row r="5186" spans="1:4">
      <c r="A5186" s="691"/>
      <c r="D5186" s="3"/>
    </row>
    <row r="5187" spans="1:4">
      <c r="A5187" s="691"/>
      <c r="D5187" s="3"/>
    </row>
    <row r="5188" spans="1:4">
      <c r="A5188" s="691"/>
      <c r="D5188" s="3"/>
    </row>
    <row r="5189" spans="1:4">
      <c r="A5189" s="691"/>
      <c r="D5189" s="3"/>
    </row>
    <row r="5190" spans="1:4">
      <c r="A5190" s="691"/>
      <c r="D5190" s="3"/>
    </row>
    <row r="5191" spans="1:4">
      <c r="A5191" s="691"/>
      <c r="D5191" s="3"/>
    </row>
    <row r="5192" spans="1:4">
      <c r="A5192" s="691"/>
      <c r="D5192" s="3"/>
    </row>
    <row r="5193" spans="1:4">
      <c r="A5193" s="691"/>
      <c r="D5193" s="3"/>
    </row>
    <row r="5194" spans="1:4">
      <c r="A5194" s="691"/>
      <c r="D5194" s="3"/>
    </row>
    <row r="5195" spans="1:4">
      <c r="A5195" s="691"/>
      <c r="D5195" s="3"/>
    </row>
    <row r="5196" spans="1:4">
      <c r="A5196" s="691"/>
      <c r="D5196" s="3"/>
    </row>
    <row r="5197" spans="1:4">
      <c r="A5197" s="691"/>
      <c r="D5197" s="3"/>
    </row>
    <row r="5198" spans="1:4">
      <c r="A5198" s="691"/>
      <c r="D5198" s="3"/>
    </row>
    <row r="5199" spans="1:4">
      <c r="A5199" s="691"/>
      <c r="D5199" s="3"/>
    </row>
    <row r="5200" spans="1:4">
      <c r="A5200" s="691"/>
      <c r="D5200" s="3"/>
    </row>
    <row r="5201" spans="1:4">
      <c r="A5201" s="691"/>
      <c r="D5201" s="3"/>
    </row>
    <row r="5202" spans="1:4">
      <c r="A5202" s="691"/>
      <c r="D5202" s="3"/>
    </row>
    <row r="5203" spans="1:4">
      <c r="A5203" s="691"/>
      <c r="D5203" s="3"/>
    </row>
    <row r="5204" spans="1:4">
      <c r="A5204" s="691"/>
      <c r="D5204" s="3"/>
    </row>
    <row r="5205" spans="1:4">
      <c r="A5205" s="691"/>
      <c r="D5205" s="3"/>
    </row>
    <row r="5206" spans="1:4">
      <c r="A5206" s="691"/>
      <c r="D5206" s="3"/>
    </row>
    <row r="5207" spans="1:4">
      <c r="A5207" s="691"/>
      <c r="D5207" s="3"/>
    </row>
    <row r="5208" spans="1:4">
      <c r="A5208" s="691"/>
      <c r="D5208" s="3"/>
    </row>
    <row r="5209" spans="1:4">
      <c r="A5209" s="691"/>
      <c r="D5209" s="3"/>
    </row>
    <row r="5210" spans="1:4">
      <c r="A5210" s="691"/>
      <c r="D5210" s="3"/>
    </row>
    <row r="5211" spans="1:4">
      <c r="A5211" s="691"/>
      <c r="D5211" s="3"/>
    </row>
    <row r="5212" spans="1:4">
      <c r="A5212" s="691"/>
      <c r="D5212" s="3"/>
    </row>
    <row r="5213" spans="1:4">
      <c r="A5213" s="691"/>
      <c r="D5213" s="3"/>
    </row>
    <row r="5214" spans="1:4">
      <c r="A5214" s="691"/>
      <c r="D5214" s="3"/>
    </row>
    <row r="5215" spans="1:4">
      <c r="A5215" s="691"/>
      <c r="D5215" s="3"/>
    </row>
    <row r="5216" spans="1:4">
      <c r="A5216" s="691"/>
      <c r="D5216" s="3"/>
    </row>
    <row r="5217" spans="1:4">
      <c r="A5217" s="691"/>
      <c r="D5217" s="3"/>
    </row>
    <row r="5218" spans="1:4">
      <c r="A5218" s="691"/>
      <c r="D5218" s="3"/>
    </row>
    <row r="5219" spans="1:4">
      <c r="A5219" s="691"/>
      <c r="D5219" s="3"/>
    </row>
    <row r="5220" spans="1:4">
      <c r="A5220" s="691"/>
      <c r="D5220" s="3"/>
    </row>
    <row r="5221" spans="1:4">
      <c r="A5221" s="691"/>
      <c r="D5221" s="3"/>
    </row>
    <row r="5222" spans="1:4">
      <c r="A5222" s="691"/>
      <c r="D5222" s="3"/>
    </row>
    <row r="5223" spans="1:4">
      <c r="A5223" s="691"/>
      <c r="D5223" s="3"/>
    </row>
    <row r="5224" spans="1:4">
      <c r="A5224" s="691"/>
      <c r="D5224" s="3"/>
    </row>
    <row r="5225" spans="1:4">
      <c r="A5225" s="691"/>
      <c r="D5225" s="3"/>
    </row>
    <row r="5226" spans="1:4">
      <c r="A5226" s="691"/>
      <c r="D5226" s="3"/>
    </row>
    <row r="5227" spans="1:4">
      <c r="A5227" s="691"/>
      <c r="D5227" s="3"/>
    </row>
    <row r="5228" spans="1:4">
      <c r="A5228" s="691"/>
      <c r="D5228" s="3"/>
    </row>
    <row r="5229" spans="1:4">
      <c r="A5229" s="691"/>
      <c r="D5229" s="3"/>
    </row>
    <row r="5230" spans="1:4">
      <c r="A5230" s="691"/>
      <c r="D5230" s="3"/>
    </row>
    <row r="5231" spans="1:4">
      <c r="A5231" s="691"/>
      <c r="D5231" s="3"/>
    </row>
    <row r="5232" spans="1:4">
      <c r="A5232" s="691"/>
      <c r="D5232" s="3"/>
    </row>
    <row r="5233" spans="1:4">
      <c r="A5233" s="691"/>
      <c r="D5233" s="3"/>
    </row>
    <row r="5234" spans="1:4">
      <c r="A5234" s="691"/>
      <c r="D5234" s="3"/>
    </row>
    <row r="5235" spans="1:4">
      <c r="A5235" s="691"/>
      <c r="D5235" s="3"/>
    </row>
    <row r="5236" spans="1:4">
      <c r="A5236" s="691"/>
      <c r="D5236" s="3"/>
    </row>
    <row r="5237" spans="1:4">
      <c r="A5237" s="691"/>
      <c r="D5237" s="3"/>
    </row>
    <row r="5238" spans="1:4">
      <c r="A5238" s="691"/>
      <c r="D5238" s="3"/>
    </row>
    <row r="5239" spans="1:4">
      <c r="A5239" s="691"/>
      <c r="D5239" s="3"/>
    </row>
    <row r="5240" spans="1:4">
      <c r="A5240" s="691"/>
      <c r="D5240" s="3"/>
    </row>
    <row r="5241" spans="1:4">
      <c r="A5241" s="691"/>
      <c r="D5241" s="3"/>
    </row>
    <row r="5242" spans="1:4">
      <c r="A5242" s="691"/>
      <c r="D5242" s="3"/>
    </row>
    <row r="5243" spans="1:4">
      <c r="A5243" s="691"/>
      <c r="D5243" s="3"/>
    </row>
    <row r="5244" spans="1:4">
      <c r="A5244" s="691"/>
      <c r="D5244" s="3"/>
    </row>
    <row r="5245" spans="1:4">
      <c r="A5245" s="691"/>
      <c r="D5245" s="3"/>
    </row>
    <row r="5246" spans="1:4">
      <c r="A5246" s="691"/>
      <c r="D5246" s="3"/>
    </row>
    <row r="5247" spans="1:4">
      <c r="A5247" s="691"/>
      <c r="D5247" s="3"/>
    </row>
    <row r="5248" spans="1:4">
      <c r="A5248" s="691"/>
      <c r="D5248" s="3"/>
    </row>
    <row r="5249" spans="1:4">
      <c r="A5249" s="691"/>
      <c r="D5249" s="3"/>
    </row>
    <row r="5250" spans="1:4">
      <c r="A5250" s="691"/>
      <c r="D5250" s="3"/>
    </row>
    <row r="5251" spans="1:4">
      <c r="A5251" s="691"/>
      <c r="D5251" s="3"/>
    </row>
    <row r="5252" spans="1:4">
      <c r="A5252" s="691"/>
      <c r="D5252" s="3"/>
    </row>
    <row r="5253" spans="1:4">
      <c r="A5253" s="691"/>
      <c r="D5253" s="3"/>
    </row>
    <row r="5254" spans="1:4">
      <c r="A5254" s="691"/>
      <c r="D5254" s="3"/>
    </row>
    <row r="5255" spans="1:4">
      <c r="A5255" s="691"/>
      <c r="D5255" s="3"/>
    </row>
    <row r="5256" spans="1:4">
      <c r="A5256" s="691"/>
      <c r="D5256" s="3"/>
    </row>
    <row r="5257" spans="1:4">
      <c r="A5257" s="691"/>
      <c r="D5257" s="3"/>
    </row>
    <row r="5258" spans="1:4">
      <c r="A5258" s="691"/>
      <c r="D5258" s="3"/>
    </row>
    <row r="5259" spans="1:4">
      <c r="A5259" s="691"/>
      <c r="D5259" s="3"/>
    </row>
    <row r="5260" spans="1:4">
      <c r="A5260" s="691"/>
      <c r="D5260" s="3"/>
    </row>
    <row r="5261" spans="1:4">
      <c r="A5261" s="691"/>
      <c r="D5261" s="3"/>
    </row>
    <row r="5262" spans="1:4">
      <c r="A5262" s="691"/>
      <c r="D5262" s="3"/>
    </row>
    <row r="5263" spans="1:4">
      <c r="A5263" s="691"/>
      <c r="D5263" s="3"/>
    </row>
    <row r="5264" spans="1:4">
      <c r="A5264" s="691"/>
      <c r="D5264" s="3"/>
    </row>
    <row r="5265" spans="1:4">
      <c r="A5265" s="691"/>
      <c r="D5265" s="3"/>
    </row>
    <row r="5266" spans="1:4">
      <c r="A5266" s="691"/>
      <c r="D5266" s="3"/>
    </row>
    <row r="5267" spans="1:4">
      <c r="A5267" s="691"/>
      <c r="D5267" s="3"/>
    </row>
    <row r="5268" spans="1:4">
      <c r="A5268" s="691"/>
      <c r="D5268" s="3"/>
    </row>
    <row r="5269" spans="1:4">
      <c r="A5269" s="691"/>
      <c r="D5269" s="3"/>
    </row>
    <row r="5270" spans="1:4">
      <c r="A5270" s="691"/>
      <c r="D5270" s="3"/>
    </row>
    <row r="5271" spans="1:4">
      <c r="A5271" s="691"/>
      <c r="D5271" s="3"/>
    </row>
    <row r="5272" spans="1:4">
      <c r="A5272" s="691"/>
      <c r="D5272" s="3"/>
    </row>
    <row r="5273" spans="1:4">
      <c r="A5273" s="691"/>
      <c r="D5273" s="3"/>
    </row>
    <row r="5274" spans="1:4">
      <c r="A5274" s="691"/>
      <c r="D5274" s="3"/>
    </row>
    <row r="5275" spans="1:4">
      <c r="A5275" s="691"/>
      <c r="D5275" s="3"/>
    </row>
    <row r="5276" spans="1:4">
      <c r="A5276" s="691"/>
      <c r="D5276" s="3"/>
    </row>
    <row r="5277" spans="1:4">
      <c r="A5277" s="691"/>
      <c r="D5277" s="3"/>
    </row>
    <row r="5278" spans="1:4">
      <c r="A5278" s="691"/>
      <c r="D5278" s="3"/>
    </row>
    <row r="5279" spans="1:4">
      <c r="A5279" s="691"/>
      <c r="D5279" s="3"/>
    </row>
    <row r="5280" spans="1:4">
      <c r="A5280" s="691"/>
      <c r="D5280" s="3"/>
    </row>
    <row r="5281" spans="1:4">
      <c r="A5281" s="691"/>
      <c r="D5281" s="3"/>
    </row>
    <row r="5282" spans="1:4">
      <c r="A5282" s="691"/>
      <c r="D5282" s="3"/>
    </row>
    <row r="5283" spans="1:4">
      <c r="A5283" s="691"/>
      <c r="D5283" s="3"/>
    </row>
    <row r="5284" spans="1:4">
      <c r="A5284" s="691"/>
      <c r="D5284" s="3"/>
    </row>
    <row r="5285" spans="1:4">
      <c r="A5285" s="691"/>
      <c r="D5285" s="3"/>
    </row>
    <row r="5286" spans="1:4">
      <c r="A5286" s="691"/>
      <c r="D5286" s="3"/>
    </row>
    <row r="5287" spans="1:4">
      <c r="A5287" s="691"/>
      <c r="D5287" s="3"/>
    </row>
    <row r="5288" spans="1:4">
      <c r="A5288" s="691"/>
      <c r="D5288" s="3"/>
    </row>
    <row r="5289" spans="1:4">
      <c r="A5289" s="691"/>
      <c r="D5289" s="3"/>
    </row>
    <row r="5290" spans="1:4">
      <c r="A5290" s="691"/>
      <c r="D5290" s="3"/>
    </row>
    <row r="5291" spans="1:4">
      <c r="A5291" s="691"/>
      <c r="D5291" s="3"/>
    </row>
    <row r="5292" spans="1:4">
      <c r="A5292" s="691"/>
      <c r="D5292" s="3"/>
    </row>
    <row r="5293" spans="1:4">
      <c r="A5293" s="691"/>
      <c r="D5293" s="3"/>
    </row>
    <row r="5294" spans="1:4">
      <c r="A5294" s="691"/>
      <c r="D5294" s="3"/>
    </row>
    <row r="5295" spans="1:4">
      <c r="A5295" s="691"/>
      <c r="D5295" s="3"/>
    </row>
    <row r="5296" spans="1:4">
      <c r="A5296" s="691"/>
      <c r="D5296" s="3"/>
    </row>
    <row r="5297" spans="1:4">
      <c r="A5297" s="691"/>
      <c r="D5297" s="3"/>
    </row>
    <row r="5298" spans="1:4">
      <c r="A5298" s="691"/>
      <c r="D5298" s="3"/>
    </row>
    <row r="5299" spans="1:4">
      <c r="A5299" s="691"/>
      <c r="D5299" s="3"/>
    </row>
    <row r="5300" spans="1:4">
      <c r="A5300" s="691"/>
      <c r="D5300" s="3"/>
    </row>
    <row r="5301" spans="1:4">
      <c r="A5301" s="691"/>
      <c r="D5301" s="3"/>
    </row>
    <row r="5302" spans="1:4">
      <c r="A5302" s="691"/>
      <c r="D5302" s="3"/>
    </row>
    <row r="5303" spans="1:4">
      <c r="A5303" s="691"/>
      <c r="D5303" s="3"/>
    </row>
    <row r="5304" spans="1:4">
      <c r="A5304" s="691"/>
      <c r="D5304" s="3"/>
    </row>
    <row r="5305" spans="1:4">
      <c r="A5305" s="691"/>
      <c r="D5305" s="3"/>
    </row>
    <row r="5306" spans="1:4">
      <c r="A5306" s="691"/>
      <c r="D5306" s="3"/>
    </row>
    <row r="5307" spans="1:4">
      <c r="A5307" s="691"/>
      <c r="D5307" s="3"/>
    </row>
    <row r="5308" spans="1:4">
      <c r="A5308" s="691"/>
      <c r="D5308" s="3"/>
    </row>
    <row r="5309" spans="1:4">
      <c r="A5309" s="691"/>
      <c r="D5309" s="3"/>
    </row>
    <row r="5310" spans="1:4">
      <c r="A5310" s="691"/>
      <c r="D5310" s="3"/>
    </row>
    <row r="5311" spans="1:4">
      <c r="A5311" s="691"/>
      <c r="D5311" s="3"/>
    </row>
    <row r="5312" spans="1:4">
      <c r="A5312" s="691"/>
      <c r="D5312" s="3"/>
    </row>
    <row r="5313" spans="1:4">
      <c r="A5313" s="691"/>
      <c r="D5313" s="3"/>
    </row>
    <row r="5314" spans="1:4">
      <c r="A5314" s="691"/>
      <c r="D5314" s="3"/>
    </row>
    <row r="5315" spans="1:4">
      <c r="A5315" s="691"/>
      <c r="D5315" s="3"/>
    </row>
    <row r="5316" spans="1:4">
      <c r="A5316" s="691"/>
      <c r="D5316" s="3"/>
    </row>
    <row r="5317" spans="1:4">
      <c r="A5317" s="691"/>
      <c r="D5317" s="3"/>
    </row>
    <row r="5318" spans="1:4">
      <c r="A5318" s="691"/>
      <c r="D5318" s="3"/>
    </row>
    <row r="5319" spans="1:4">
      <c r="A5319" s="691"/>
      <c r="D5319" s="3"/>
    </row>
    <row r="5320" spans="1:4">
      <c r="A5320" s="691"/>
      <c r="D5320" s="3"/>
    </row>
    <row r="5321" spans="1:4">
      <c r="A5321" s="691"/>
      <c r="D5321" s="3"/>
    </row>
    <row r="5322" spans="1:4">
      <c r="A5322" s="691"/>
      <c r="D5322" s="3"/>
    </row>
    <row r="5323" spans="1:4">
      <c r="A5323" s="691"/>
      <c r="D5323" s="3"/>
    </row>
    <row r="5324" spans="1:4">
      <c r="A5324" s="691"/>
      <c r="D5324" s="3"/>
    </row>
    <row r="5325" spans="1:4">
      <c r="A5325" s="691"/>
      <c r="D5325" s="3"/>
    </row>
    <row r="5326" spans="1:4">
      <c r="A5326" s="691"/>
      <c r="D5326" s="3"/>
    </row>
    <row r="5327" spans="1:4">
      <c r="A5327" s="691"/>
      <c r="D5327" s="3"/>
    </row>
    <row r="5328" spans="1:4">
      <c r="A5328" s="691"/>
      <c r="D5328" s="3"/>
    </row>
    <row r="5329" spans="1:4">
      <c r="A5329" s="691"/>
      <c r="D5329" s="3"/>
    </row>
    <row r="5330" spans="1:4">
      <c r="A5330" s="691"/>
      <c r="D5330" s="3"/>
    </row>
    <row r="5331" spans="1:4">
      <c r="A5331" s="691"/>
      <c r="D5331" s="3"/>
    </row>
    <row r="5332" spans="1:4">
      <c r="A5332" s="691"/>
      <c r="D5332" s="3"/>
    </row>
    <row r="5333" spans="1:4">
      <c r="A5333" s="691"/>
      <c r="D5333" s="3"/>
    </row>
    <row r="5334" spans="1:4">
      <c r="A5334" s="691"/>
      <c r="D5334" s="3"/>
    </row>
    <row r="5335" spans="1:4">
      <c r="A5335" s="691"/>
      <c r="D5335" s="3"/>
    </row>
    <row r="5336" spans="1:4">
      <c r="A5336" s="691"/>
      <c r="D5336" s="3"/>
    </row>
    <row r="5337" spans="1:4">
      <c r="A5337" s="691"/>
      <c r="D5337" s="3"/>
    </row>
    <row r="5338" spans="1:4">
      <c r="A5338" s="691"/>
      <c r="D5338" s="3"/>
    </row>
    <row r="5339" spans="1:4">
      <c r="A5339" s="691"/>
      <c r="D5339" s="3"/>
    </row>
    <row r="5340" spans="1:4">
      <c r="A5340" s="691"/>
      <c r="D5340" s="3"/>
    </row>
    <row r="5341" spans="1:4">
      <c r="A5341" s="691"/>
      <c r="D5341" s="3"/>
    </row>
    <row r="5342" spans="1:4">
      <c r="A5342" s="691"/>
      <c r="D5342" s="3"/>
    </row>
    <row r="5343" spans="1:4">
      <c r="A5343" s="691"/>
      <c r="D5343" s="3"/>
    </row>
    <row r="5344" spans="1:4">
      <c r="A5344" s="691"/>
      <c r="D5344" s="3"/>
    </row>
    <row r="5345" spans="1:4">
      <c r="A5345" s="691"/>
      <c r="D5345" s="3"/>
    </row>
    <row r="5346" spans="1:4">
      <c r="A5346" s="691"/>
      <c r="D5346" s="3"/>
    </row>
    <row r="5347" spans="1:4">
      <c r="A5347" s="691"/>
      <c r="D5347" s="3"/>
    </row>
    <row r="5348" spans="1:4">
      <c r="A5348" s="691"/>
      <c r="D5348" s="3"/>
    </row>
    <row r="5349" spans="1:4">
      <c r="A5349" s="691"/>
      <c r="D5349" s="3"/>
    </row>
    <row r="5350" spans="1:4">
      <c r="A5350" s="691"/>
      <c r="D5350" s="3"/>
    </row>
    <row r="5351" spans="1:4">
      <c r="A5351" s="691"/>
      <c r="D5351" s="3"/>
    </row>
    <row r="5352" spans="1:4">
      <c r="A5352" s="691"/>
      <c r="D5352" s="3"/>
    </row>
    <row r="5353" spans="1:4">
      <c r="A5353" s="691"/>
      <c r="D5353" s="3"/>
    </row>
    <row r="5354" spans="1:4">
      <c r="A5354" s="691"/>
      <c r="D5354" s="3"/>
    </row>
    <row r="5355" spans="1:4">
      <c r="A5355" s="691"/>
      <c r="D5355" s="3"/>
    </row>
    <row r="5356" spans="1:4">
      <c r="A5356" s="691"/>
      <c r="D5356" s="3"/>
    </row>
    <row r="5357" spans="1:4">
      <c r="A5357" s="691"/>
      <c r="D5357" s="3"/>
    </row>
    <row r="5358" spans="1:4">
      <c r="A5358" s="691"/>
      <c r="D5358" s="3"/>
    </row>
    <row r="5359" spans="1:4">
      <c r="A5359" s="691"/>
      <c r="D5359" s="3"/>
    </row>
    <row r="5360" spans="1:4">
      <c r="A5360" s="691"/>
      <c r="D5360" s="3"/>
    </row>
    <row r="5361" spans="1:4">
      <c r="A5361" s="691"/>
      <c r="D5361" s="3"/>
    </row>
    <row r="5362" spans="1:4">
      <c r="A5362" s="691"/>
      <c r="D5362" s="3"/>
    </row>
    <row r="5363" spans="1:4">
      <c r="A5363" s="691"/>
      <c r="D5363" s="3"/>
    </row>
    <row r="5364" spans="1:4">
      <c r="A5364" s="691"/>
      <c r="D5364" s="3"/>
    </row>
    <row r="5365" spans="1:4">
      <c r="A5365" s="691"/>
      <c r="D5365" s="3"/>
    </row>
    <row r="5366" spans="1:4">
      <c r="A5366" s="691"/>
      <c r="D5366" s="3"/>
    </row>
    <row r="5367" spans="1:4">
      <c r="A5367" s="691"/>
      <c r="D5367" s="3"/>
    </row>
    <row r="5368" spans="1:4">
      <c r="A5368" s="691"/>
      <c r="D5368" s="3"/>
    </row>
    <row r="5369" spans="1:4">
      <c r="A5369" s="691"/>
      <c r="D5369" s="3"/>
    </row>
    <row r="5370" spans="1:4">
      <c r="A5370" s="691"/>
      <c r="D5370" s="3"/>
    </row>
    <row r="5371" spans="1:4">
      <c r="A5371" s="691"/>
      <c r="D5371" s="3"/>
    </row>
    <row r="5372" spans="1:4">
      <c r="A5372" s="691"/>
      <c r="D5372" s="3"/>
    </row>
    <row r="5373" spans="1:4">
      <c r="A5373" s="691"/>
      <c r="D5373" s="3"/>
    </row>
    <row r="5374" spans="1:4">
      <c r="A5374" s="691"/>
      <c r="D5374" s="3"/>
    </row>
    <row r="5375" spans="1:4">
      <c r="A5375" s="691"/>
      <c r="D5375" s="3"/>
    </row>
    <row r="5376" spans="1:4">
      <c r="A5376" s="691"/>
      <c r="D5376" s="3"/>
    </row>
    <row r="5377" spans="1:4">
      <c r="A5377" s="691"/>
      <c r="D5377" s="3"/>
    </row>
    <row r="5378" spans="1:4">
      <c r="A5378" s="691"/>
      <c r="D5378" s="3"/>
    </row>
    <row r="5379" spans="1:4">
      <c r="A5379" s="691"/>
      <c r="D5379" s="3"/>
    </row>
    <row r="5380" spans="1:4">
      <c r="A5380" s="691"/>
      <c r="D5380" s="3"/>
    </row>
    <row r="5381" spans="1:4">
      <c r="A5381" s="691"/>
      <c r="D5381" s="3"/>
    </row>
    <row r="5382" spans="1:4">
      <c r="A5382" s="691"/>
      <c r="D5382" s="3"/>
    </row>
    <row r="5383" spans="1:4">
      <c r="A5383" s="691"/>
      <c r="D5383" s="3"/>
    </row>
    <row r="5384" spans="1:4">
      <c r="A5384" s="691"/>
      <c r="D5384" s="3"/>
    </row>
    <row r="5385" spans="1:4">
      <c r="A5385" s="691"/>
      <c r="D5385" s="3"/>
    </row>
    <row r="5386" spans="1:4">
      <c r="A5386" s="691"/>
      <c r="D5386" s="3"/>
    </row>
    <row r="5387" spans="1:4">
      <c r="A5387" s="691"/>
      <c r="D5387" s="3"/>
    </row>
    <row r="5388" spans="1:4">
      <c r="A5388" s="691"/>
      <c r="D5388" s="3"/>
    </row>
    <row r="5389" spans="1:4">
      <c r="A5389" s="691"/>
      <c r="D5389" s="3"/>
    </row>
    <row r="5390" spans="1:4">
      <c r="A5390" s="691"/>
      <c r="D5390" s="3"/>
    </row>
    <row r="5391" spans="1:4">
      <c r="A5391" s="691"/>
      <c r="D5391" s="3"/>
    </row>
    <row r="5392" spans="1:4">
      <c r="A5392" s="691"/>
      <c r="D5392" s="3"/>
    </row>
    <row r="5393" spans="1:4">
      <c r="A5393" s="691"/>
      <c r="D5393" s="3"/>
    </row>
    <row r="5394" spans="1:4">
      <c r="A5394" s="691"/>
      <c r="D5394" s="3"/>
    </row>
    <row r="5395" spans="1:4">
      <c r="A5395" s="691"/>
      <c r="D5395" s="3"/>
    </row>
    <row r="5396" spans="1:4">
      <c r="A5396" s="691"/>
      <c r="D5396" s="3"/>
    </row>
    <row r="5397" spans="1:4">
      <c r="A5397" s="691"/>
      <c r="D5397" s="3"/>
    </row>
    <row r="5398" spans="1:4">
      <c r="A5398" s="691"/>
      <c r="D5398" s="3"/>
    </row>
    <row r="5399" spans="1:4">
      <c r="A5399" s="691"/>
      <c r="D5399" s="3"/>
    </row>
    <row r="5400" spans="1:4">
      <c r="A5400" s="691"/>
      <c r="D5400" s="3"/>
    </row>
    <row r="5401" spans="1:4">
      <c r="A5401" s="691"/>
      <c r="D5401" s="3"/>
    </row>
    <row r="5402" spans="1:4">
      <c r="A5402" s="691"/>
      <c r="D5402" s="3"/>
    </row>
    <row r="5403" spans="1:4">
      <c r="A5403" s="691"/>
      <c r="D5403" s="3"/>
    </row>
    <row r="5404" spans="1:4">
      <c r="A5404" s="691"/>
      <c r="D5404" s="3"/>
    </row>
    <row r="5405" spans="1:4">
      <c r="A5405" s="691"/>
      <c r="D5405" s="3"/>
    </row>
    <row r="5406" spans="1:4">
      <c r="A5406" s="691"/>
      <c r="D5406" s="3"/>
    </row>
    <row r="5407" spans="1:4">
      <c r="A5407" s="691"/>
      <c r="D5407" s="3"/>
    </row>
    <row r="5408" spans="1:4">
      <c r="A5408" s="691"/>
      <c r="D5408" s="3"/>
    </row>
    <row r="5409" spans="1:4">
      <c r="A5409" s="691"/>
      <c r="D5409" s="3"/>
    </row>
    <row r="5410" spans="1:4">
      <c r="A5410" s="691"/>
      <c r="D5410" s="3"/>
    </row>
    <row r="5411" spans="1:4">
      <c r="A5411" s="691"/>
      <c r="D5411" s="3"/>
    </row>
    <row r="5412" spans="1:4">
      <c r="A5412" s="691"/>
      <c r="D5412" s="3"/>
    </row>
    <row r="5413" spans="1:4">
      <c r="A5413" s="691"/>
      <c r="D5413" s="3"/>
    </row>
    <row r="5414" spans="1:4">
      <c r="A5414" s="691"/>
      <c r="D5414" s="3"/>
    </row>
    <row r="5415" spans="1:4">
      <c r="A5415" s="691"/>
      <c r="D5415" s="3"/>
    </row>
    <row r="5416" spans="1:4">
      <c r="A5416" s="691"/>
      <c r="D5416" s="3"/>
    </row>
    <row r="5417" spans="1:4">
      <c r="A5417" s="691"/>
      <c r="D5417" s="3"/>
    </row>
    <row r="5418" spans="1:4">
      <c r="A5418" s="691"/>
      <c r="D5418" s="3"/>
    </row>
    <row r="5419" spans="1:4">
      <c r="A5419" s="691"/>
      <c r="D5419" s="3"/>
    </row>
    <row r="5420" spans="1:4">
      <c r="A5420" s="691"/>
      <c r="D5420" s="3"/>
    </row>
    <row r="5421" spans="1:4">
      <c r="A5421" s="691"/>
      <c r="D5421" s="3"/>
    </row>
    <row r="5422" spans="1:4">
      <c r="A5422" s="691"/>
      <c r="D5422" s="3"/>
    </row>
    <row r="5423" spans="1:4">
      <c r="A5423" s="691"/>
      <c r="D5423" s="3"/>
    </row>
    <row r="5424" spans="1:4">
      <c r="A5424" s="691"/>
      <c r="D5424" s="3"/>
    </row>
    <row r="5425" spans="1:4">
      <c r="A5425" s="691"/>
      <c r="D5425" s="3"/>
    </row>
    <row r="5426" spans="1:4">
      <c r="A5426" s="691"/>
      <c r="D5426" s="3"/>
    </row>
    <row r="5427" spans="1:4">
      <c r="A5427" s="691"/>
      <c r="D5427" s="3"/>
    </row>
    <row r="5428" spans="1:4">
      <c r="A5428" s="691"/>
      <c r="D5428" s="3"/>
    </row>
    <row r="5429" spans="1:4">
      <c r="A5429" s="691"/>
      <c r="D5429" s="3"/>
    </row>
    <row r="5430" spans="1:4">
      <c r="A5430" s="691"/>
      <c r="D5430" s="3"/>
    </row>
    <row r="5431" spans="1:4">
      <c r="A5431" s="691"/>
      <c r="D5431" s="3"/>
    </row>
    <row r="5432" spans="1:4">
      <c r="A5432" s="691"/>
      <c r="D5432" s="3"/>
    </row>
    <row r="5433" spans="1:4">
      <c r="A5433" s="691"/>
      <c r="D5433" s="3"/>
    </row>
    <row r="5434" spans="1:4">
      <c r="A5434" s="691"/>
      <c r="D5434" s="3"/>
    </row>
    <row r="5435" spans="1:4">
      <c r="A5435" s="691"/>
      <c r="D5435" s="3"/>
    </row>
    <row r="5436" spans="1:4">
      <c r="A5436" s="691"/>
      <c r="D5436" s="3"/>
    </row>
    <row r="5437" spans="1:4">
      <c r="A5437" s="691"/>
      <c r="D5437" s="3"/>
    </row>
    <row r="5438" spans="1:4">
      <c r="A5438" s="691"/>
      <c r="D5438" s="3"/>
    </row>
    <row r="5439" spans="1:4">
      <c r="A5439" s="691"/>
      <c r="D5439" s="3"/>
    </row>
    <row r="5440" spans="1:4">
      <c r="A5440" s="691"/>
      <c r="D5440" s="3"/>
    </row>
    <row r="5441" spans="1:4">
      <c r="A5441" s="691"/>
      <c r="D5441" s="3"/>
    </row>
    <row r="5442" spans="1:4">
      <c r="A5442" s="691"/>
      <c r="D5442" s="3"/>
    </row>
    <row r="5443" spans="1:4">
      <c r="A5443" s="691"/>
      <c r="D5443" s="3"/>
    </row>
    <row r="5444" spans="1:4">
      <c r="A5444" s="691"/>
      <c r="D5444" s="3"/>
    </row>
    <row r="5445" spans="1:4">
      <c r="A5445" s="691"/>
      <c r="D5445" s="3"/>
    </row>
    <row r="5446" spans="1:4">
      <c r="A5446" s="691"/>
      <c r="D5446" s="3"/>
    </row>
    <row r="5447" spans="1:4">
      <c r="A5447" s="691"/>
      <c r="D5447" s="3"/>
    </row>
    <row r="5448" spans="1:4">
      <c r="A5448" s="691"/>
      <c r="D5448" s="3"/>
    </row>
    <row r="5449" spans="1:4">
      <c r="A5449" s="691"/>
      <c r="D5449" s="3"/>
    </row>
    <row r="5450" spans="1:4">
      <c r="A5450" s="691"/>
      <c r="D5450" s="3"/>
    </row>
    <row r="5451" spans="1:4">
      <c r="A5451" s="691"/>
      <c r="D5451" s="3"/>
    </row>
    <row r="5452" spans="1:4">
      <c r="A5452" s="691"/>
      <c r="D5452" s="3"/>
    </row>
    <row r="5453" spans="1:4">
      <c r="A5453" s="691"/>
      <c r="D5453" s="3"/>
    </row>
    <row r="5454" spans="1:4">
      <c r="A5454" s="691"/>
      <c r="D5454" s="3"/>
    </row>
    <row r="5455" spans="1:4">
      <c r="A5455" s="691"/>
      <c r="D5455" s="3"/>
    </row>
    <row r="5456" spans="1:4">
      <c r="A5456" s="691"/>
      <c r="D5456" s="3"/>
    </row>
    <row r="5457" spans="1:4">
      <c r="A5457" s="691"/>
      <c r="D5457" s="3"/>
    </row>
    <row r="5458" spans="1:4">
      <c r="A5458" s="691"/>
      <c r="D5458" s="3"/>
    </row>
    <row r="5459" spans="1:4">
      <c r="A5459" s="691"/>
      <c r="D5459" s="3"/>
    </row>
    <row r="5460" spans="1:4">
      <c r="A5460" s="691"/>
      <c r="D5460" s="3"/>
    </row>
    <row r="5461" spans="1:4">
      <c r="A5461" s="691"/>
      <c r="D5461" s="3"/>
    </row>
    <row r="5462" spans="1:4">
      <c r="A5462" s="691"/>
      <c r="D5462" s="3"/>
    </row>
    <row r="5463" spans="1:4">
      <c r="A5463" s="691"/>
      <c r="D5463" s="3"/>
    </row>
    <row r="5464" spans="1:4">
      <c r="A5464" s="691"/>
      <c r="D5464" s="3"/>
    </row>
    <row r="5465" spans="1:4">
      <c r="A5465" s="691"/>
      <c r="D5465" s="3"/>
    </row>
    <row r="5466" spans="1:4">
      <c r="A5466" s="691"/>
      <c r="D5466" s="3"/>
    </row>
    <row r="5467" spans="1:4">
      <c r="A5467" s="691"/>
      <c r="D5467" s="3"/>
    </row>
    <row r="5468" spans="1:4">
      <c r="A5468" s="691"/>
      <c r="D5468" s="3"/>
    </row>
    <row r="5469" spans="1:4">
      <c r="A5469" s="691"/>
      <c r="D5469" s="3"/>
    </row>
    <row r="5470" spans="1:4">
      <c r="A5470" s="691"/>
      <c r="D5470" s="3"/>
    </row>
    <row r="5471" spans="1:4">
      <c r="A5471" s="691"/>
      <c r="D5471" s="3"/>
    </row>
    <row r="5472" spans="1:4">
      <c r="A5472" s="691"/>
      <c r="D5472" s="3"/>
    </row>
    <row r="5473" spans="1:4">
      <c r="A5473" s="691"/>
      <c r="D5473" s="3"/>
    </row>
    <row r="5474" spans="1:4">
      <c r="A5474" s="691"/>
      <c r="D5474" s="3"/>
    </row>
    <row r="5475" spans="1:4">
      <c r="A5475" s="691"/>
      <c r="D5475" s="3"/>
    </row>
    <row r="5476" spans="1:4">
      <c r="A5476" s="691"/>
      <c r="D5476" s="3"/>
    </row>
    <row r="5477" spans="1:4">
      <c r="A5477" s="691"/>
      <c r="D5477" s="3"/>
    </row>
    <row r="5478" spans="1:4">
      <c r="A5478" s="691"/>
      <c r="D5478" s="3"/>
    </row>
    <row r="5479" spans="1:4">
      <c r="A5479" s="691"/>
      <c r="D5479" s="3"/>
    </row>
    <row r="5480" spans="1:4">
      <c r="A5480" s="691"/>
      <c r="D5480" s="3"/>
    </row>
    <row r="5481" spans="1:4">
      <c r="A5481" s="691"/>
      <c r="D5481" s="3"/>
    </row>
    <row r="5482" spans="1:4">
      <c r="A5482" s="691"/>
      <c r="D5482" s="3"/>
    </row>
    <row r="5483" spans="1:4">
      <c r="A5483" s="691"/>
      <c r="D5483" s="3"/>
    </row>
    <row r="5484" spans="1:4">
      <c r="A5484" s="691"/>
      <c r="D5484" s="3"/>
    </row>
    <row r="5485" spans="1:4">
      <c r="A5485" s="691"/>
      <c r="D5485" s="3"/>
    </row>
    <row r="5486" spans="1:4">
      <c r="A5486" s="691"/>
      <c r="D5486" s="3"/>
    </row>
    <row r="5487" spans="1:4">
      <c r="A5487" s="691"/>
      <c r="D5487" s="3"/>
    </row>
    <row r="5488" spans="1:4">
      <c r="A5488" s="691"/>
      <c r="D5488" s="3"/>
    </row>
    <row r="5489" spans="1:4">
      <c r="A5489" s="691"/>
      <c r="D5489" s="3"/>
    </row>
    <row r="5490" spans="1:4">
      <c r="A5490" s="691"/>
      <c r="D5490" s="3"/>
    </row>
    <row r="5491" spans="1:4">
      <c r="A5491" s="691"/>
      <c r="D5491" s="3"/>
    </row>
    <row r="5492" spans="1:4">
      <c r="A5492" s="691"/>
      <c r="D5492" s="3"/>
    </row>
    <row r="5493" spans="1:4">
      <c r="A5493" s="691"/>
      <c r="D5493" s="3"/>
    </row>
    <row r="5494" spans="1:4">
      <c r="A5494" s="691"/>
      <c r="D5494" s="3"/>
    </row>
    <row r="5495" spans="1:4">
      <c r="A5495" s="691"/>
      <c r="D5495" s="3"/>
    </row>
    <row r="5496" spans="1:4">
      <c r="A5496" s="691"/>
      <c r="D5496" s="3"/>
    </row>
    <row r="5497" spans="1:4">
      <c r="A5497" s="691"/>
      <c r="D5497" s="3"/>
    </row>
    <row r="5498" spans="1:4">
      <c r="A5498" s="691"/>
      <c r="D5498" s="3"/>
    </row>
    <row r="5499" spans="1:4">
      <c r="A5499" s="691"/>
      <c r="D5499" s="3"/>
    </row>
    <row r="5500" spans="1:4">
      <c r="A5500" s="691"/>
      <c r="D5500" s="3"/>
    </row>
    <row r="5501" spans="1:4">
      <c r="A5501" s="691"/>
      <c r="D5501" s="3"/>
    </row>
    <row r="5502" spans="1:4">
      <c r="A5502" s="691"/>
      <c r="D5502" s="3"/>
    </row>
    <row r="5503" spans="1:4">
      <c r="A5503" s="691"/>
      <c r="D5503" s="3"/>
    </row>
    <row r="5504" spans="1:4">
      <c r="A5504" s="691"/>
      <c r="D5504" s="3"/>
    </row>
    <row r="5505" spans="1:4">
      <c r="A5505" s="691"/>
      <c r="D5505" s="3"/>
    </row>
    <row r="5506" spans="1:4">
      <c r="A5506" s="691"/>
      <c r="D5506" s="3"/>
    </row>
    <row r="5507" spans="1:4">
      <c r="A5507" s="691"/>
      <c r="D5507" s="3"/>
    </row>
    <row r="5508" spans="1:4">
      <c r="A5508" s="691"/>
      <c r="D5508" s="3"/>
    </row>
    <row r="5509" spans="1:4">
      <c r="A5509" s="691"/>
      <c r="D5509" s="3"/>
    </row>
    <row r="5510" spans="1:4">
      <c r="A5510" s="691"/>
      <c r="D5510" s="3"/>
    </row>
    <row r="5511" spans="1:4">
      <c r="A5511" s="691"/>
      <c r="D5511" s="3"/>
    </row>
    <row r="5512" spans="1:4">
      <c r="A5512" s="691"/>
      <c r="D5512" s="3"/>
    </row>
    <row r="5513" spans="1:4">
      <c r="A5513" s="691"/>
      <c r="D5513" s="3"/>
    </row>
    <row r="5514" spans="1:4">
      <c r="A5514" s="691"/>
      <c r="D5514" s="3"/>
    </row>
    <row r="5515" spans="1:4">
      <c r="A5515" s="691"/>
      <c r="D5515" s="3"/>
    </row>
    <row r="5516" spans="1:4">
      <c r="A5516" s="691"/>
      <c r="D5516" s="3"/>
    </row>
    <row r="5517" spans="1:4">
      <c r="A5517" s="691"/>
      <c r="D5517" s="3"/>
    </row>
    <row r="5518" spans="1:4">
      <c r="A5518" s="691"/>
      <c r="D5518" s="3"/>
    </row>
    <row r="5519" spans="1:4">
      <c r="A5519" s="691"/>
      <c r="D5519" s="3"/>
    </row>
    <row r="5520" spans="1:4">
      <c r="A5520" s="691"/>
      <c r="D5520" s="3"/>
    </row>
    <row r="5521" spans="1:4">
      <c r="A5521" s="691"/>
      <c r="D5521" s="3"/>
    </row>
    <row r="5522" spans="1:4">
      <c r="A5522" s="691"/>
      <c r="D5522" s="3"/>
    </row>
    <row r="5523" spans="1:4">
      <c r="A5523" s="691"/>
      <c r="D5523" s="3"/>
    </row>
    <row r="5524" spans="1:4">
      <c r="A5524" s="691"/>
      <c r="D5524" s="3"/>
    </row>
    <row r="5525" spans="1:4">
      <c r="A5525" s="691"/>
      <c r="D5525" s="3"/>
    </row>
    <row r="5526" spans="1:4">
      <c r="A5526" s="691"/>
      <c r="D5526" s="3"/>
    </row>
    <row r="5527" spans="1:4">
      <c r="A5527" s="691"/>
      <c r="D5527" s="3"/>
    </row>
    <row r="5528" spans="1:4">
      <c r="A5528" s="691"/>
      <c r="D5528" s="3"/>
    </row>
    <row r="5529" spans="1:4">
      <c r="A5529" s="691"/>
      <c r="D5529" s="3"/>
    </row>
    <row r="5530" spans="1:4">
      <c r="A5530" s="691"/>
      <c r="D5530" s="3"/>
    </row>
    <row r="5531" spans="1:4">
      <c r="A5531" s="691"/>
      <c r="D5531" s="3"/>
    </row>
    <row r="5532" spans="1:4">
      <c r="A5532" s="691"/>
      <c r="D5532" s="3"/>
    </row>
    <row r="5533" spans="1:4">
      <c r="A5533" s="691"/>
      <c r="D5533" s="3"/>
    </row>
    <row r="5534" spans="1:4">
      <c r="A5534" s="691"/>
      <c r="D5534" s="3"/>
    </row>
    <row r="5535" spans="1:4">
      <c r="A5535" s="691"/>
      <c r="D5535" s="3"/>
    </row>
    <row r="5536" spans="1:4">
      <c r="A5536" s="691"/>
      <c r="D5536" s="3"/>
    </row>
    <row r="5537" spans="1:4">
      <c r="A5537" s="691"/>
      <c r="D5537" s="3"/>
    </row>
    <row r="5538" spans="1:4">
      <c r="A5538" s="691"/>
      <c r="D5538" s="3"/>
    </row>
    <row r="5539" spans="1:4">
      <c r="A5539" s="691"/>
      <c r="D5539" s="3"/>
    </row>
    <row r="5540" spans="1:4">
      <c r="A5540" s="691"/>
      <c r="D5540" s="3"/>
    </row>
    <row r="5541" spans="1:4">
      <c r="A5541" s="691"/>
      <c r="D5541" s="3"/>
    </row>
    <row r="5542" spans="1:4">
      <c r="A5542" s="691"/>
      <c r="D5542" s="3"/>
    </row>
    <row r="5543" spans="1:4">
      <c r="A5543" s="691"/>
      <c r="D5543" s="3"/>
    </row>
    <row r="5544" spans="1:4">
      <c r="A5544" s="691"/>
      <c r="D5544" s="3"/>
    </row>
    <row r="5545" spans="1:4">
      <c r="A5545" s="691"/>
      <c r="D5545" s="3"/>
    </row>
    <row r="5546" spans="1:4">
      <c r="A5546" s="691"/>
      <c r="D5546" s="3"/>
    </row>
    <row r="5547" spans="1:4">
      <c r="A5547" s="691"/>
      <c r="D5547" s="3"/>
    </row>
    <row r="5548" spans="1:4">
      <c r="A5548" s="691"/>
      <c r="D5548" s="3"/>
    </row>
    <row r="5549" spans="1:4">
      <c r="A5549" s="691"/>
      <c r="D5549" s="3"/>
    </row>
    <row r="5550" spans="1:4">
      <c r="A5550" s="691"/>
      <c r="D5550" s="3"/>
    </row>
    <row r="5551" spans="1:4">
      <c r="A5551" s="691"/>
      <c r="D5551" s="3"/>
    </row>
    <row r="5552" spans="1:4">
      <c r="A5552" s="691"/>
      <c r="D5552" s="3"/>
    </row>
    <row r="5553" spans="1:4">
      <c r="A5553" s="691"/>
      <c r="D5553" s="3"/>
    </row>
    <row r="5554" spans="1:4">
      <c r="A5554" s="691"/>
      <c r="D5554" s="3"/>
    </row>
    <row r="5555" spans="1:4">
      <c r="A5555" s="691"/>
      <c r="D5555" s="3"/>
    </row>
    <row r="5556" spans="1:4">
      <c r="A5556" s="691"/>
      <c r="D5556" s="3"/>
    </row>
    <row r="5557" spans="1:4">
      <c r="A5557" s="691"/>
      <c r="D5557" s="3"/>
    </row>
    <row r="5558" spans="1:4">
      <c r="A5558" s="691"/>
      <c r="D5558" s="3"/>
    </row>
    <row r="5559" spans="1:4">
      <c r="A5559" s="691"/>
      <c r="D5559" s="3"/>
    </row>
    <row r="5560" spans="1:4">
      <c r="A5560" s="691"/>
      <c r="D5560" s="3"/>
    </row>
    <row r="5561" spans="1:4">
      <c r="A5561" s="691"/>
      <c r="D5561" s="3"/>
    </row>
    <row r="5562" spans="1:4">
      <c r="A5562" s="691"/>
      <c r="D5562" s="3"/>
    </row>
    <row r="5563" spans="1:4">
      <c r="A5563" s="691"/>
      <c r="D5563" s="3"/>
    </row>
    <row r="5564" spans="1:4">
      <c r="A5564" s="691"/>
      <c r="D5564" s="3"/>
    </row>
    <row r="5565" spans="1:4">
      <c r="A5565" s="691"/>
      <c r="D5565" s="3"/>
    </row>
    <row r="5566" spans="1:4">
      <c r="A5566" s="691"/>
      <c r="D5566" s="3"/>
    </row>
    <row r="5567" spans="1:4">
      <c r="A5567" s="691"/>
      <c r="D5567" s="3"/>
    </row>
    <row r="5568" spans="1:4">
      <c r="A5568" s="691"/>
      <c r="D5568" s="3"/>
    </row>
    <row r="5569" spans="1:4">
      <c r="A5569" s="691"/>
      <c r="D5569" s="3"/>
    </row>
    <row r="5570" spans="1:4">
      <c r="A5570" s="691"/>
      <c r="D5570" s="3"/>
    </row>
    <row r="5571" spans="1:4">
      <c r="A5571" s="691"/>
      <c r="D5571" s="3"/>
    </row>
    <row r="5572" spans="1:4">
      <c r="A5572" s="691"/>
      <c r="D5572" s="3"/>
    </row>
    <row r="5573" spans="1:4">
      <c r="A5573" s="691"/>
      <c r="D5573" s="3"/>
    </row>
    <row r="5574" spans="1:4">
      <c r="A5574" s="691"/>
      <c r="D5574" s="3"/>
    </row>
    <row r="5575" spans="1:4">
      <c r="A5575" s="691"/>
      <c r="D5575" s="3"/>
    </row>
    <row r="5576" spans="1:4">
      <c r="A5576" s="691"/>
      <c r="D5576" s="3"/>
    </row>
    <row r="5577" spans="1:4">
      <c r="A5577" s="691"/>
      <c r="D5577" s="3"/>
    </row>
    <row r="5578" spans="1:4">
      <c r="A5578" s="691"/>
      <c r="D5578" s="3"/>
    </row>
    <row r="5579" spans="1:4">
      <c r="A5579" s="691"/>
      <c r="D5579" s="3"/>
    </row>
    <row r="5580" spans="1:4">
      <c r="A5580" s="691"/>
      <c r="D5580" s="3"/>
    </row>
    <row r="5581" spans="1:4">
      <c r="A5581" s="691"/>
      <c r="D5581" s="3"/>
    </row>
    <row r="5582" spans="1:4">
      <c r="A5582" s="691"/>
      <c r="D5582" s="3"/>
    </row>
    <row r="5583" spans="1:4">
      <c r="A5583" s="691"/>
      <c r="D5583" s="3"/>
    </row>
    <row r="5584" spans="1:4">
      <c r="A5584" s="691"/>
      <c r="D5584" s="3"/>
    </row>
    <row r="5585" spans="1:4">
      <c r="A5585" s="691"/>
      <c r="D5585" s="3"/>
    </row>
    <row r="5586" spans="1:4">
      <c r="A5586" s="691"/>
      <c r="D5586" s="3"/>
    </row>
    <row r="5587" spans="1:4">
      <c r="A5587" s="691"/>
      <c r="D5587" s="3"/>
    </row>
    <row r="5588" spans="1:4">
      <c r="A5588" s="691"/>
      <c r="D5588" s="3"/>
    </row>
    <row r="5589" spans="1:4">
      <c r="A5589" s="691"/>
      <c r="D5589" s="3"/>
    </row>
    <row r="5590" spans="1:4">
      <c r="A5590" s="691"/>
      <c r="D5590" s="3"/>
    </row>
    <row r="5591" spans="1:4">
      <c r="A5591" s="691"/>
      <c r="D5591" s="3"/>
    </row>
    <row r="5592" spans="1:4">
      <c r="A5592" s="691"/>
      <c r="D5592" s="3"/>
    </row>
    <row r="5593" spans="1:4">
      <c r="A5593" s="691"/>
      <c r="D5593" s="3"/>
    </row>
    <row r="5594" spans="1:4">
      <c r="A5594" s="691"/>
      <c r="D5594" s="3"/>
    </row>
    <row r="5595" spans="1:4">
      <c r="A5595" s="691"/>
      <c r="D5595" s="3"/>
    </row>
    <row r="5596" spans="1:4">
      <c r="A5596" s="691"/>
      <c r="D5596" s="3"/>
    </row>
    <row r="5597" spans="1:4">
      <c r="A5597" s="691"/>
      <c r="D5597" s="3"/>
    </row>
    <row r="5598" spans="1:4">
      <c r="A5598" s="691"/>
      <c r="D5598" s="3"/>
    </row>
    <row r="5599" spans="1:4">
      <c r="A5599" s="691"/>
      <c r="D5599" s="3"/>
    </row>
    <row r="5600" spans="1:4">
      <c r="A5600" s="691"/>
      <c r="D5600" s="3"/>
    </row>
    <row r="5601" spans="1:4">
      <c r="A5601" s="691"/>
      <c r="D5601" s="3"/>
    </row>
    <row r="5602" spans="1:4">
      <c r="A5602" s="691"/>
      <c r="D5602" s="3"/>
    </row>
    <row r="5603" spans="1:4">
      <c r="A5603" s="691"/>
      <c r="D5603" s="3"/>
    </row>
    <row r="5604" spans="1:4">
      <c r="A5604" s="691"/>
      <c r="D5604" s="3"/>
    </row>
    <row r="5605" spans="1:4">
      <c r="A5605" s="691"/>
      <c r="D5605" s="3"/>
    </row>
    <row r="5606" spans="1:4">
      <c r="A5606" s="691"/>
      <c r="D5606" s="3"/>
    </row>
    <row r="5607" spans="1:4">
      <c r="A5607" s="691"/>
      <c r="D5607" s="3"/>
    </row>
    <row r="5608" spans="1:4">
      <c r="A5608" s="691"/>
      <c r="D5608" s="3"/>
    </row>
    <row r="5609" spans="1:4">
      <c r="A5609" s="691"/>
      <c r="D5609" s="3"/>
    </row>
    <row r="5610" spans="1:4">
      <c r="A5610" s="691"/>
      <c r="D5610" s="3"/>
    </row>
    <row r="5611" spans="1:4">
      <c r="A5611" s="691"/>
      <c r="D5611" s="3"/>
    </row>
    <row r="5612" spans="1:4">
      <c r="A5612" s="691"/>
      <c r="D5612" s="3"/>
    </row>
    <row r="5613" spans="1:4">
      <c r="A5613" s="691"/>
      <c r="D5613" s="3"/>
    </row>
    <row r="5614" spans="1:4">
      <c r="A5614" s="691"/>
      <c r="D5614" s="3"/>
    </row>
    <row r="5615" spans="1:4">
      <c r="A5615" s="691"/>
      <c r="D5615" s="3"/>
    </row>
    <row r="5616" spans="1:4">
      <c r="A5616" s="691"/>
      <c r="D5616" s="3"/>
    </row>
    <row r="5617" spans="1:4">
      <c r="A5617" s="691"/>
      <c r="D5617" s="3"/>
    </row>
    <row r="5618" spans="1:4">
      <c r="A5618" s="691"/>
      <c r="D5618" s="3"/>
    </row>
    <row r="5619" spans="1:4">
      <c r="A5619" s="691"/>
      <c r="D5619" s="3"/>
    </row>
    <row r="5620" spans="1:4">
      <c r="A5620" s="691"/>
      <c r="D5620" s="3"/>
    </row>
    <row r="5621" spans="1:4">
      <c r="A5621" s="691"/>
      <c r="D5621" s="3"/>
    </row>
    <row r="5622" spans="1:4">
      <c r="A5622" s="691"/>
      <c r="D5622" s="3"/>
    </row>
    <row r="5623" spans="1:4">
      <c r="A5623" s="691"/>
      <c r="D5623" s="3"/>
    </row>
    <row r="5624" spans="1:4">
      <c r="A5624" s="691"/>
      <c r="D5624" s="3"/>
    </row>
    <row r="5625" spans="1:4">
      <c r="A5625" s="691"/>
      <c r="D5625" s="3"/>
    </row>
    <row r="5626" spans="1:4">
      <c r="A5626" s="691"/>
      <c r="D5626" s="3"/>
    </row>
    <row r="5627" spans="1:4">
      <c r="A5627" s="691"/>
      <c r="D5627" s="3"/>
    </row>
    <row r="5628" spans="1:4">
      <c r="A5628" s="691"/>
      <c r="D5628" s="3"/>
    </row>
    <row r="5629" spans="1:4">
      <c r="A5629" s="691"/>
      <c r="D5629" s="3"/>
    </row>
    <row r="5630" spans="1:4">
      <c r="A5630" s="691"/>
      <c r="D5630" s="3"/>
    </row>
    <row r="5631" spans="1:4">
      <c r="A5631" s="691"/>
      <c r="D5631" s="3"/>
    </row>
    <row r="5632" spans="1:4">
      <c r="A5632" s="691"/>
      <c r="D5632" s="3"/>
    </row>
    <row r="5633" spans="1:4">
      <c r="A5633" s="691"/>
      <c r="D5633" s="3"/>
    </row>
    <row r="5634" spans="1:4">
      <c r="A5634" s="691"/>
      <c r="D5634" s="3"/>
    </row>
    <row r="5635" spans="1:4">
      <c r="A5635" s="691"/>
      <c r="D5635" s="3"/>
    </row>
    <row r="5636" spans="1:4">
      <c r="A5636" s="691"/>
      <c r="D5636" s="3"/>
    </row>
    <row r="5637" spans="1:4">
      <c r="A5637" s="691"/>
      <c r="D5637" s="3"/>
    </row>
    <row r="5638" spans="1:4">
      <c r="A5638" s="691"/>
      <c r="D5638" s="3"/>
    </row>
    <row r="5639" spans="1:4">
      <c r="A5639" s="691"/>
      <c r="D5639" s="3"/>
    </row>
    <row r="5640" spans="1:4">
      <c r="A5640" s="691"/>
      <c r="D5640" s="3"/>
    </row>
    <row r="5641" spans="1:4">
      <c r="A5641" s="691"/>
      <c r="D5641" s="3"/>
    </row>
    <row r="5642" spans="1:4">
      <c r="A5642" s="691"/>
      <c r="D5642" s="3"/>
    </row>
    <row r="5643" spans="1:4">
      <c r="A5643" s="691"/>
      <c r="D5643" s="3"/>
    </row>
    <row r="5644" spans="1:4">
      <c r="A5644" s="691"/>
      <c r="D5644" s="3"/>
    </row>
    <row r="5645" spans="1:4">
      <c r="A5645" s="691"/>
      <c r="D5645" s="3"/>
    </row>
    <row r="5646" spans="1:4">
      <c r="A5646" s="691"/>
      <c r="D5646" s="3"/>
    </row>
    <row r="5647" spans="1:4">
      <c r="A5647" s="691"/>
      <c r="D5647" s="3"/>
    </row>
    <row r="5648" spans="1:4">
      <c r="A5648" s="691"/>
      <c r="D5648" s="3"/>
    </row>
    <row r="5649" spans="1:4">
      <c r="A5649" s="691"/>
      <c r="D5649" s="3"/>
    </row>
    <row r="5650" spans="1:4">
      <c r="A5650" s="691"/>
      <c r="D5650" s="3"/>
    </row>
    <row r="5651" spans="1:4">
      <c r="A5651" s="691"/>
      <c r="D5651" s="3"/>
    </row>
    <row r="5652" spans="1:4">
      <c r="A5652" s="691"/>
      <c r="D5652" s="3"/>
    </row>
    <row r="5653" spans="1:4">
      <c r="A5653" s="691"/>
      <c r="D5653" s="3"/>
    </row>
    <row r="5654" spans="1:4">
      <c r="A5654" s="691"/>
      <c r="D5654" s="3"/>
    </row>
    <row r="5655" spans="1:4">
      <c r="A5655" s="691"/>
      <c r="D5655" s="3"/>
    </row>
    <row r="5656" spans="1:4">
      <c r="A5656" s="691"/>
      <c r="D5656" s="3"/>
    </row>
    <row r="5657" spans="1:4">
      <c r="A5657" s="691"/>
      <c r="D5657" s="3"/>
    </row>
    <row r="5658" spans="1:4">
      <c r="A5658" s="691"/>
      <c r="D5658" s="3"/>
    </row>
    <row r="5659" spans="1:4">
      <c r="A5659" s="691"/>
      <c r="D5659" s="3"/>
    </row>
    <row r="5660" spans="1:4">
      <c r="A5660" s="691"/>
      <c r="D5660" s="3"/>
    </row>
    <row r="5661" spans="1:4">
      <c r="A5661" s="691"/>
      <c r="D5661" s="3"/>
    </row>
    <row r="5662" spans="1:4">
      <c r="A5662" s="691"/>
      <c r="D5662" s="3"/>
    </row>
    <row r="5663" spans="1:4">
      <c r="A5663" s="691"/>
      <c r="D5663" s="3"/>
    </row>
    <row r="5664" spans="1:4">
      <c r="A5664" s="691"/>
      <c r="D5664" s="3"/>
    </row>
    <row r="5665" spans="1:4">
      <c r="A5665" s="691"/>
      <c r="D5665" s="3"/>
    </row>
    <row r="5666" spans="1:4">
      <c r="A5666" s="691"/>
      <c r="D5666" s="3"/>
    </row>
    <row r="5667" spans="1:4">
      <c r="A5667" s="691"/>
      <c r="D5667" s="3"/>
    </row>
    <row r="5668" spans="1:4">
      <c r="A5668" s="691"/>
      <c r="D5668" s="3"/>
    </row>
    <row r="5669" spans="1:4">
      <c r="A5669" s="691"/>
      <c r="D5669" s="3"/>
    </row>
    <row r="5670" spans="1:4">
      <c r="A5670" s="691"/>
      <c r="D5670" s="3"/>
    </row>
    <row r="5671" spans="1:4">
      <c r="A5671" s="691"/>
      <c r="D5671" s="3"/>
    </row>
    <row r="5672" spans="1:4">
      <c r="A5672" s="691"/>
      <c r="D5672" s="3"/>
    </row>
    <row r="5673" spans="1:4">
      <c r="A5673" s="691"/>
      <c r="D5673" s="3"/>
    </row>
    <row r="5674" spans="1:4">
      <c r="A5674" s="691"/>
      <c r="D5674" s="3"/>
    </row>
    <row r="5675" spans="1:4">
      <c r="A5675" s="691"/>
      <c r="D5675" s="3"/>
    </row>
    <row r="5676" spans="1:4">
      <c r="A5676" s="691"/>
      <c r="D5676" s="3"/>
    </row>
    <row r="5677" spans="1:4">
      <c r="A5677" s="691"/>
      <c r="D5677" s="3"/>
    </row>
    <row r="5678" spans="1:4">
      <c r="A5678" s="691"/>
      <c r="D5678" s="3"/>
    </row>
    <row r="5679" spans="1:4">
      <c r="A5679" s="691"/>
      <c r="D5679" s="3"/>
    </row>
    <row r="5680" spans="1:4">
      <c r="A5680" s="691"/>
      <c r="D5680" s="3"/>
    </row>
    <row r="5681" spans="1:4">
      <c r="A5681" s="691"/>
      <c r="D5681" s="3"/>
    </row>
    <row r="5682" spans="1:4">
      <c r="A5682" s="691"/>
      <c r="D5682" s="3"/>
    </row>
    <row r="5683" spans="1:4">
      <c r="A5683" s="691"/>
      <c r="D5683" s="3"/>
    </row>
    <row r="5684" spans="1:4">
      <c r="A5684" s="691"/>
      <c r="D5684" s="3"/>
    </row>
    <row r="5685" spans="1:4">
      <c r="A5685" s="691"/>
      <c r="D5685" s="3"/>
    </row>
    <row r="5686" spans="1:4">
      <c r="A5686" s="691"/>
      <c r="D5686" s="3"/>
    </row>
    <row r="5687" spans="1:4">
      <c r="A5687" s="691"/>
      <c r="D5687" s="3"/>
    </row>
    <row r="5688" spans="1:4">
      <c r="A5688" s="691"/>
      <c r="D5688" s="3"/>
    </row>
    <row r="5689" spans="1:4">
      <c r="A5689" s="691"/>
      <c r="D5689" s="3"/>
    </row>
    <row r="5690" spans="1:4">
      <c r="A5690" s="691"/>
      <c r="D5690" s="3"/>
    </row>
    <row r="5691" spans="1:4">
      <c r="A5691" s="691"/>
      <c r="D5691" s="3"/>
    </row>
    <row r="5692" spans="1:4">
      <c r="A5692" s="691"/>
      <c r="D5692" s="3"/>
    </row>
    <row r="5693" spans="1:4">
      <c r="A5693" s="691"/>
      <c r="D5693" s="3"/>
    </row>
    <row r="5694" spans="1:4">
      <c r="A5694" s="691"/>
      <c r="D5694" s="3"/>
    </row>
    <row r="5695" spans="1:4">
      <c r="A5695" s="691"/>
      <c r="D5695" s="3"/>
    </row>
    <row r="5696" spans="1:4">
      <c r="A5696" s="691"/>
      <c r="D5696" s="3"/>
    </row>
    <row r="5697" spans="1:4">
      <c r="A5697" s="691"/>
      <c r="D5697" s="3"/>
    </row>
    <row r="5698" spans="1:4">
      <c r="A5698" s="691"/>
      <c r="D5698" s="3"/>
    </row>
    <row r="5699" spans="1:4">
      <c r="A5699" s="691"/>
      <c r="D5699" s="3"/>
    </row>
    <row r="5700" spans="1:4">
      <c r="A5700" s="691"/>
      <c r="D5700" s="3"/>
    </row>
    <row r="5701" spans="1:4">
      <c r="A5701" s="691"/>
      <c r="D5701" s="3"/>
    </row>
    <row r="5702" spans="1:4">
      <c r="A5702" s="691"/>
      <c r="D5702" s="3"/>
    </row>
    <row r="5703" spans="1:4">
      <c r="A5703" s="691"/>
      <c r="D5703" s="3"/>
    </row>
    <row r="5704" spans="1:4">
      <c r="A5704" s="691"/>
      <c r="D5704" s="3"/>
    </row>
    <row r="5705" spans="1:4">
      <c r="A5705" s="691"/>
      <c r="D5705" s="3"/>
    </row>
    <row r="5706" spans="1:4">
      <c r="A5706" s="691"/>
      <c r="D5706" s="3"/>
    </row>
    <row r="5707" spans="1:4">
      <c r="A5707" s="691"/>
      <c r="D5707" s="3"/>
    </row>
    <row r="5708" spans="1:4">
      <c r="A5708" s="691"/>
      <c r="D5708" s="3"/>
    </row>
    <row r="5709" spans="1:4">
      <c r="A5709" s="691"/>
      <c r="D5709" s="3"/>
    </row>
    <row r="5710" spans="1:4">
      <c r="A5710" s="691"/>
      <c r="D5710" s="3"/>
    </row>
    <row r="5711" spans="1:4">
      <c r="A5711" s="691"/>
      <c r="D5711" s="3"/>
    </row>
    <row r="5712" spans="1:4">
      <c r="A5712" s="691"/>
      <c r="D5712" s="3"/>
    </row>
    <row r="5713" spans="1:4">
      <c r="A5713" s="691"/>
      <c r="D5713" s="3"/>
    </row>
    <row r="5714" spans="1:4">
      <c r="A5714" s="691"/>
      <c r="D5714" s="3"/>
    </row>
    <row r="5715" spans="1:4">
      <c r="A5715" s="691"/>
      <c r="D5715" s="3"/>
    </row>
    <row r="5716" spans="1:4">
      <c r="A5716" s="691"/>
      <c r="D5716" s="3"/>
    </row>
    <row r="5717" spans="1:4">
      <c r="A5717" s="691"/>
      <c r="D5717" s="3"/>
    </row>
    <row r="5718" spans="1:4">
      <c r="A5718" s="691"/>
      <c r="D5718" s="3"/>
    </row>
    <row r="5719" spans="1:4">
      <c r="A5719" s="691"/>
      <c r="D5719" s="3"/>
    </row>
    <row r="5720" spans="1:4">
      <c r="A5720" s="691"/>
      <c r="D5720" s="3"/>
    </row>
    <row r="5721" spans="1:4">
      <c r="A5721" s="691"/>
      <c r="D5721" s="3"/>
    </row>
    <row r="5722" spans="1:4">
      <c r="A5722" s="691"/>
      <c r="D5722" s="3"/>
    </row>
    <row r="5723" spans="1:4">
      <c r="A5723" s="691"/>
      <c r="D5723" s="3"/>
    </row>
    <row r="5724" spans="1:4">
      <c r="A5724" s="691"/>
      <c r="D5724" s="3"/>
    </row>
    <row r="5725" spans="1:4">
      <c r="A5725" s="691"/>
      <c r="D5725" s="3"/>
    </row>
    <row r="5726" spans="1:4">
      <c r="A5726" s="691"/>
      <c r="D5726" s="3"/>
    </row>
    <row r="5727" spans="1:4">
      <c r="A5727" s="691"/>
      <c r="D5727" s="3"/>
    </row>
    <row r="5728" spans="1:4">
      <c r="A5728" s="691"/>
      <c r="D5728" s="3"/>
    </row>
    <row r="5729" spans="1:4">
      <c r="A5729" s="691"/>
      <c r="D5729" s="3"/>
    </row>
    <row r="5730" spans="1:4">
      <c r="A5730" s="691"/>
      <c r="D5730" s="3"/>
    </row>
    <row r="5731" spans="1:4">
      <c r="A5731" s="691"/>
      <c r="D5731" s="3"/>
    </row>
    <row r="5732" spans="1:4">
      <c r="A5732" s="691"/>
      <c r="D5732" s="3"/>
    </row>
    <row r="5733" spans="1:4">
      <c r="A5733" s="691"/>
      <c r="D5733" s="3"/>
    </row>
    <row r="5734" spans="1:4">
      <c r="A5734" s="691"/>
      <c r="D5734" s="3"/>
    </row>
    <row r="5735" spans="1:4">
      <c r="A5735" s="691"/>
      <c r="D5735" s="3"/>
    </row>
    <row r="5736" spans="1:4">
      <c r="A5736" s="691"/>
      <c r="D5736" s="3"/>
    </row>
    <row r="5737" spans="1:4">
      <c r="A5737" s="691"/>
      <c r="D5737" s="3"/>
    </row>
    <row r="5738" spans="1:4">
      <c r="A5738" s="691"/>
      <c r="D5738" s="3"/>
    </row>
    <row r="5739" spans="1:4">
      <c r="A5739" s="691"/>
      <c r="D5739" s="3"/>
    </row>
    <row r="5740" spans="1:4">
      <c r="A5740" s="691"/>
      <c r="D5740" s="3"/>
    </row>
    <row r="5741" spans="1:4">
      <c r="A5741" s="691"/>
      <c r="D5741" s="3"/>
    </row>
    <row r="5742" spans="1:4">
      <c r="A5742" s="691"/>
      <c r="D5742" s="3"/>
    </row>
    <row r="5743" spans="1:4">
      <c r="A5743" s="691"/>
      <c r="D5743" s="3"/>
    </row>
    <row r="5744" spans="1:4">
      <c r="A5744" s="691"/>
      <c r="D5744" s="3"/>
    </row>
    <row r="5745" spans="1:4">
      <c r="A5745" s="691"/>
      <c r="D5745" s="3"/>
    </row>
    <row r="5746" spans="1:4">
      <c r="A5746" s="691"/>
      <c r="D5746" s="3"/>
    </row>
    <row r="5747" spans="1:4">
      <c r="A5747" s="691"/>
      <c r="D5747" s="3"/>
    </row>
    <row r="5748" spans="1:4">
      <c r="A5748" s="691"/>
      <c r="D5748" s="3"/>
    </row>
    <row r="5749" spans="1:4">
      <c r="A5749" s="691"/>
      <c r="D5749" s="3"/>
    </row>
    <row r="5750" spans="1:4">
      <c r="A5750" s="691"/>
      <c r="D5750" s="3"/>
    </row>
    <row r="5751" spans="1:4">
      <c r="A5751" s="691"/>
      <c r="D5751" s="3"/>
    </row>
    <row r="5752" spans="1:4">
      <c r="A5752" s="691"/>
      <c r="D5752" s="3"/>
    </row>
    <row r="5753" spans="1:4">
      <c r="A5753" s="691"/>
      <c r="D5753" s="3"/>
    </row>
    <row r="5754" spans="1:4">
      <c r="A5754" s="691"/>
      <c r="D5754" s="3"/>
    </row>
    <row r="5755" spans="1:4">
      <c r="A5755" s="691"/>
      <c r="D5755" s="3"/>
    </row>
    <row r="5756" spans="1:4">
      <c r="A5756" s="691"/>
      <c r="D5756" s="3"/>
    </row>
    <row r="5757" spans="1:4">
      <c r="A5757" s="691"/>
      <c r="D5757" s="3"/>
    </row>
    <row r="5758" spans="1:4">
      <c r="A5758" s="691"/>
      <c r="D5758" s="3"/>
    </row>
    <row r="5759" spans="1:4">
      <c r="A5759" s="691"/>
      <c r="D5759" s="3"/>
    </row>
    <row r="5760" spans="1:4">
      <c r="A5760" s="691"/>
      <c r="D5760" s="3"/>
    </row>
    <row r="5761" spans="1:4">
      <c r="A5761" s="691"/>
      <c r="D5761" s="3"/>
    </row>
    <row r="5762" spans="1:4">
      <c r="A5762" s="691"/>
      <c r="D5762" s="3"/>
    </row>
    <row r="5763" spans="1:4">
      <c r="A5763" s="691"/>
      <c r="D5763" s="3"/>
    </row>
    <row r="5764" spans="1:4">
      <c r="A5764" s="691"/>
      <c r="D5764" s="3"/>
    </row>
    <row r="5765" spans="1:4">
      <c r="A5765" s="691"/>
      <c r="D5765" s="3"/>
    </row>
    <row r="5766" spans="1:4">
      <c r="A5766" s="691"/>
      <c r="D5766" s="3"/>
    </row>
    <row r="5767" spans="1:4">
      <c r="A5767" s="691"/>
      <c r="D5767" s="3"/>
    </row>
    <row r="5768" spans="1:4">
      <c r="A5768" s="691"/>
      <c r="D5768" s="3"/>
    </row>
    <row r="5769" spans="1:4">
      <c r="A5769" s="691"/>
      <c r="D5769" s="3"/>
    </row>
    <row r="5770" spans="1:4">
      <c r="A5770" s="691"/>
      <c r="D5770" s="3"/>
    </row>
    <row r="5771" spans="1:4">
      <c r="A5771" s="691"/>
      <c r="D5771" s="3"/>
    </row>
    <row r="5772" spans="1:4">
      <c r="A5772" s="691"/>
      <c r="D5772" s="3"/>
    </row>
    <row r="5773" spans="1:4">
      <c r="A5773" s="691"/>
      <c r="D5773" s="3"/>
    </row>
    <row r="5774" spans="1:4">
      <c r="A5774" s="691"/>
      <c r="D5774" s="3"/>
    </row>
    <row r="5775" spans="1:4">
      <c r="A5775" s="691"/>
      <c r="D5775" s="3"/>
    </row>
    <row r="5776" spans="1:4">
      <c r="A5776" s="691"/>
      <c r="D5776" s="3"/>
    </row>
    <row r="5777" spans="1:4">
      <c r="A5777" s="691"/>
      <c r="D5777" s="3"/>
    </row>
    <row r="5778" spans="1:4">
      <c r="A5778" s="691"/>
      <c r="D5778" s="3"/>
    </row>
    <row r="5779" spans="1:4">
      <c r="A5779" s="691"/>
      <c r="D5779" s="3"/>
    </row>
    <row r="5780" spans="1:4">
      <c r="A5780" s="691"/>
      <c r="D5780" s="3"/>
    </row>
    <row r="5781" spans="1:4">
      <c r="A5781" s="691"/>
      <c r="D5781" s="3"/>
    </row>
    <row r="5782" spans="1:4">
      <c r="A5782" s="691"/>
      <c r="D5782" s="3"/>
    </row>
    <row r="5783" spans="1:4">
      <c r="A5783" s="691"/>
      <c r="D5783" s="3"/>
    </row>
    <row r="5784" spans="1:4">
      <c r="A5784" s="691"/>
      <c r="D5784" s="3"/>
    </row>
    <row r="5785" spans="1:4">
      <c r="A5785" s="691"/>
      <c r="D5785" s="3"/>
    </row>
    <row r="5786" spans="1:4">
      <c r="A5786" s="691"/>
      <c r="D5786" s="3"/>
    </row>
    <row r="5787" spans="1:4">
      <c r="A5787" s="691"/>
      <c r="D5787" s="3"/>
    </row>
    <row r="5788" spans="1:4">
      <c r="A5788" s="691"/>
      <c r="D5788" s="3"/>
    </row>
    <row r="5789" spans="1:4">
      <c r="A5789" s="691"/>
      <c r="D5789" s="3"/>
    </row>
    <row r="5790" spans="1:4">
      <c r="A5790" s="691"/>
      <c r="D5790" s="3"/>
    </row>
    <row r="5791" spans="1:4">
      <c r="A5791" s="691"/>
      <c r="D5791" s="3"/>
    </row>
    <row r="5792" spans="1:4">
      <c r="A5792" s="691"/>
      <c r="D5792" s="3"/>
    </row>
    <row r="5793" spans="1:4">
      <c r="A5793" s="691"/>
      <c r="D5793" s="3"/>
    </row>
    <row r="5794" spans="1:4">
      <c r="A5794" s="691"/>
      <c r="D5794" s="3"/>
    </row>
    <row r="5795" spans="1:4">
      <c r="A5795" s="691"/>
      <c r="D5795" s="3"/>
    </row>
    <row r="5796" spans="1:4">
      <c r="A5796" s="691"/>
      <c r="D5796" s="3"/>
    </row>
    <row r="5797" spans="1:4">
      <c r="A5797" s="691"/>
      <c r="D5797" s="3"/>
    </row>
    <row r="5798" spans="1:4">
      <c r="A5798" s="691"/>
      <c r="D5798" s="3"/>
    </row>
    <row r="5799" spans="1:4">
      <c r="A5799" s="691"/>
      <c r="D5799" s="3"/>
    </row>
    <row r="5800" spans="1:4">
      <c r="A5800" s="691"/>
      <c r="D5800" s="3"/>
    </row>
    <row r="5801" spans="1:4">
      <c r="A5801" s="691"/>
      <c r="D5801" s="3"/>
    </row>
    <row r="5802" spans="1:4">
      <c r="A5802" s="691"/>
      <c r="D5802" s="3"/>
    </row>
    <row r="5803" spans="1:4">
      <c r="A5803" s="691"/>
      <c r="D5803" s="3"/>
    </row>
    <row r="5804" spans="1:4">
      <c r="A5804" s="691"/>
      <c r="D5804" s="3"/>
    </row>
    <row r="5805" spans="1:4">
      <c r="A5805" s="691"/>
      <c r="D5805" s="3"/>
    </row>
    <row r="5806" spans="1:4">
      <c r="A5806" s="691"/>
      <c r="D5806" s="3"/>
    </row>
    <row r="5807" spans="1:4">
      <c r="A5807" s="691"/>
      <c r="D5807" s="3"/>
    </row>
    <row r="5808" spans="1:4">
      <c r="A5808" s="691"/>
      <c r="D5808" s="3"/>
    </row>
    <row r="5809" spans="1:4">
      <c r="A5809" s="691"/>
      <c r="D5809" s="3"/>
    </row>
    <row r="5810" spans="1:4">
      <c r="A5810" s="691"/>
      <c r="D5810" s="3"/>
    </row>
    <row r="5811" spans="1:4">
      <c r="A5811" s="691"/>
      <c r="D5811" s="3"/>
    </row>
    <row r="5812" spans="1:4">
      <c r="A5812" s="691"/>
      <c r="D5812" s="3"/>
    </row>
    <row r="5813" spans="1:4">
      <c r="A5813" s="691"/>
      <c r="D5813" s="3"/>
    </row>
    <row r="5814" spans="1:4">
      <c r="A5814" s="691"/>
      <c r="D5814" s="3"/>
    </row>
    <row r="5815" spans="1:4">
      <c r="A5815" s="691"/>
      <c r="D5815" s="3"/>
    </row>
    <row r="5816" spans="1:4">
      <c r="A5816" s="691"/>
      <c r="D5816" s="3"/>
    </row>
    <row r="5817" spans="1:4">
      <c r="A5817" s="691"/>
      <c r="D5817" s="3"/>
    </row>
    <row r="5818" spans="1:4">
      <c r="A5818" s="691"/>
      <c r="D5818" s="3"/>
    </row>
    <row r="5819" spans="1:4">
      <c r="A5819" s="691"/>
      <c r="D5819" s="3"/>
    </row>
    <row r="5820" spans="1:4">
      <c r="A5820" s="691"/>
      <c r="D5820" s="3"/>
    </row>
    <row r="5821" spans="1:4">
      <c r="A5821" s="691"/>
      <c r="D5821" s="3"/>
    </row>
    <row r="5822" spans="1:4">
      <c r="A5822" s="691"/>
      <c r="D5822" s="3"/>
    </row>
    <row r="5823" spans="1:4">
      <c r="A5823" s="691"/>
      <c r="D5823" s="3"/>
    </row>
    <row r="5824" spans="1:4">
      <c r="A5824" s="691"/>
      <c r="D5824" s="3"/>
    </row>
    <row r="5825" spans="1:4">
      <c r="A5825" s="691"/>
      <c r="D5825" s="3"/>
    </row>
    <row r="5826" spans="1:4">
      <c r="A5826" s="691"/>
      <c r="D5826" s="3"/>
    </row>
    <row r="5827" spans="1:4">
      <c r="A5827" s="691"/>
      <c r="D5827" s="3"/>
    </row>
    <row r="5828" spans="1:4">
      <c r="A5828" s="691"/>
      <c r="D5828" s="3"/>
    </row>
    <row r="5829" spans="1:4">
      <c r="A5829" s="691"/>
      <c r="D5829" s="3"/>
    </row>
    <row r="5830" spans="1:4">
      <c r="A5830" s="691"/>
      <c r="D5830" s="3"/>
    </row>
    <row r="5831" spans="1:4">
      <c r="A5831" s="691"/>
      <c r="D5831" s="3"/>
    </row>
    <row r="5832" spans="1:4">
      <c r="A5832" s="691"/>
      <c r="D5832" s="3"/>
    </row>
    <row r="5833" spans="1:4">
      <c r="A5833" s="691"/>
      <c r="D5833" s="3"/>
    </row>
    <row r="5834" spans="1:4">
      <c r="A5834" s="691"/>
      <c r="D5834" s="3"/>
    </row>
    <row r="5835" spans="1:4">
      <c r="A5835" s="691"/>
      <c r="D5835" s="3"/>
    </row>
    <row r="5836" spans="1:4">
      <c r="A5836" s="691"/>
      <c r="D5836" s="3"/>
    </row>
    <row r="5837" spans="1:4">
      <c r="A5837" s="691"/>
      <c r="D5837" s="3"/>
    </row>
    <row r="5838" spans="1:4">
      <c r="A5838" s="691"/>
      <c r="D5838" s="3"/>
    </row>
    <row r="5839" spans="1:4">
      <c r="A5839" s="691"/>
      <c r="D5839" s="3"/>
    </row>
    <row r="5840" spans="1:4">
      <c r="A5840" s="691"/>
      <c r="D5840" s="3"/>
    </row>
    <row r="5841" spans="1:4">
      <c r="A5841" s="691"/>
      <c r="D5841" s="3"/>
    </row>
    <row r="5842" spans="1:4">
      <c r="A5842" s="691"/>
      <c r="D5842" s="3"/>
    </row>
    <row r="5843" spans="1:4">
      <c r="A5843" s="691"/>
      <c r="D5843" s="3"/>
    </row>
    <row r="5844" spans="1:4">
      <c r="A5844" s="691"/>
      <c r="D5844" s="3"/>
    </row>
    <row r="5845" spans="1:4">
      <c r="A5845" s="691"/>
      <c r="D5845" s="3"/>
    </row>
    <row r="5846" spans="1:4">
      <c r="A5846" s="691"/>
      <c r="D5846" s="3"/>
    </row>
    <row r="5847" spans="1:4">
      <c r="A5847" s="691"/>
      <c r="D5847" s="3"/>
    </row>
    <row r="5848" spans="1:4">
      <c r="A5848" s="691"/>
      <c r="D5848" s="3"/>
    </row>
    <row r="5849" spans="1:4">
      <c r="A5849" s="691"/>
      <c r="D5849" s="3"/>
    </row>
    <row r="5850" spans="1:4">
      <c r="A5850" s="691"/>
      <c r="D5850" s="3"/>
    </row>
    <row r="5851" spans="1:4">
      <c r="A5851" s="691"/>
      <c r="D5851" s="3"/>
    </row>
    <row r="5852" spans="1:4">
      <c r="A5852" s="691"/>
      <c r="D5852" s="3"/>
    </row>
    <row r="5853" spans="1:4">
      <c r="A5853" s="691"/>
      <c r="D5853" s="3"/>
    </row>
    <row r="5854" spans="1:4">
      <c r="A5854" s="691"/>
      <c r="D5854" s="3"/>
    </row>
    <row r="5855" spans="1:4">
      <c r="A5855" s="691"/>
      <c r="D5855" s="3"/>
    </row>
    <row r="5856" spans="1:4">
      <c r="A5856" s="691"/>
      <c r="D5856" s="3"/>
    </row>
    <row r="5857" spans="1:4">
      <c r="A5857" s="691"/>
      <c r="D5857" s="3"/>
    </row>
    <row r="5858" spans="1:4">
      <c r="A5858" s="691"/>
      <c r="D5858" s="3"/>
    </row>
    <row r="5859" spans="1:4">
      <c r="A5859" s="691"/>
      <c r="D5859" s="3"/>
    </row>
    <row r="5860" spans="1:4">
      <c r="A5860" s="691"/>
      <c r="D5860" s="3"/>
    </row>
    <row r="5861" spans="1:4">
      <c r="A5861" s="691"/>
      <c r="D5861" s="3"/>
    </row>
    <row r="5862" spans="1:4">
      <c r="A5862" s="691"/>
      <c r="D5862" s="3"/>
    </row>
    <row r="5863" spans="1:4">
      <c r="A5863" s="691"/>
      <c r="D5863" s="3"/>
    </row>
    <row r="5864" spans="1:4">
      <c r="A5864" s="691"/>
      <c r="D5864" s="3"/>
    </row>
    <row r="5865" spans="1:4">
      <c r="A5865" s="691"/>
      <c r="D5865" s="3"/>
    </row>
    <row r="5866" spans="1:4">
      <c r="A5866" s="691"/>
      <c r="D5866" s="3"/>
    </row>
    <row r="5867" spans="1:4">
      <c r="A5867" s="691"/>
      <c r="D5867" s="3"/>
    </row>
    <row r="5868" spans="1:4">
      <c r="A5868" s="691"/>
      <c r="D5868" s="3"/>
    </row>
    <row r="5869" spans="1:4">
      <c r="A5869" s="691"/>
      <c r="D5869" s="3"/>
    </row>
    <row r="5870" spans="1:4">
      <c r="A5870" s="691"/>
      <c r="D5870" s="3"/>
    </row>
    <row r="5871" spans="1:4">
      <c r="A5871" s="691"/>
      <c r="D5871" s="3"/>
    </row>
    <row r="5872" spans="1:4">
      <c r="A5872" s="691"/>
      <c r="D5872" s="3"/>
    </row>
    <row r="5873" spans="1:4">
      <c r="A5873" s="691"/>
      <c r="D5873" s="3"/>
    </row>
    <row r="5874" spans="1:4">
      <c r="A5874" s="691"/>
      <c r="D5874" s="3"/>
    </row>
    <row r="5875" spans="1:4">
      <c r="A5875" s="691"/>
      <c r="D5875" s="3"/>
    </row>
    <row r="5876" spans="1:4">
      <c r="A5876" s="691"/>
      <c r="D5876" s="3"/>
    </row>
    <row r="5877" spans="1:4">
      <c r="A5877" s="691"/>
      <c r="D5877" s="3"/>
    </row>
    <row r="5878" spans="1:4">
      <c r="A5878" s="691"/>
      <c r="D5878" s="3"/>
    </row>
    <row r="5879" spans="1:4">
      <c r="A5879" s="691"/>
      <c r="D5879" s="3"/>
    </row>
    <row r="5880" spans="1:4">
      <c r="A5880" s="691"/>
      <c r="D5880" s="3"/>
    </row>
    <row r="5881" spans="1:4">
      <c r="A5881" s="691"/>
      <c r="D5881" s="3"/>
    </row>
    <row r="5882" spans="1:4">
      <c r="A5882" s="691"/>
      <c r="D5882" s="3"/>
    </row>
    <row r="5883" spans="1:4">
      <c r="A5883" s="691"/>
      <c r="D5883" s="3"/>
    </row>
    <row r="5884" spans="1:4">
      <c r="A5884" s="691"/>
      <c r="D5884" s="3"/>
    </row>
    <row r="5885" spans="1:4">
      <c r="A5885" s="691"/>
      <c r="D5885" s="3"/>
    </row>
    <row r="5886" spans="1:4">
      <c r="A5886" s="691"/>
      <c r="D5886" s="3"/>
    </row>
    <row r="5887" spans="1:4">
      <c r="A5887" s="691"/>
      <c r="D5887" s="3"/>
    </row>
    <row r="5888" spans="1:4">
      <c r="A5888" s="691"/>
      <c r="D5888" s="3"/>
    </row>
    <row r="5889" spans="1:4">
      <c r="A5889" s="691"/>
      <c r="D5889" s="3"/>
    </row>
    <row r="5890" spans="1:4">
      <c r="A5890" s="691"/>
      <c r="D5890" s="3"/>
    </row>
    <row r="5891" spans="1:4">
      <c r="A5891" s="691"/>
      <c r="D5891" s="3"/>
    </row>
    <row r="5892" spans="1:4">
      <c r="A5892" s="691"/>
      <c r="D5892" s="3"/>
    </row>
    <row r="5893" spans="1:4">
      <c r="A5893" s="691"/>
      <c r="D5893" s="3"/>
    </row>
    <row r="5894" spans="1:4">
      <c r="A5894" s="691"/>
      <c r="D5894" s="3"/>
    </row>
    <row r="5895" spans="1:4">
      <c r="A5895" s="691"/>
      <c r="D5895" s="3"/>
    </row>
    <row r="5896" spans="1:4">
      <c r="A5896" s="691"/>
      <c r="D5896" s="3"/>
    </row>
    <row r="5897" spans="1:4">
      <c r="A5897" s="691"/>
      <c r="D5897" s="3"/>
    </row>
    <row r="5898" spans="1:4">
      <c r="A5898" s="691"/>
      <c r="D5898" s="3"/>
    </row>
    <row r="5899" spans="1:4">
      <c r="A5899" s="691"/>
      <c r="D5899" s="3"/>
    </row>
    <row r="5900" spans="1:4">
      <c r="A5900" s="691"/>
      <c r="D5900" s="3"/>
    </row>
    <row r="5901" spans="1:4">
      <c r="A5901" s="691"/>
      <c r="D5901" s="3"/>
    </row>
    <row r="5902" spans="1:4">
      <c r="A5902" s="691"/>
      <c r="D5902" s="3"/>
    </row>
    <row r="5903" spans="1:4">
      <c r="A5903" s="691"/>
      <c r="D5903" s="3"/>
    </row>
    <row r="5904" spans="1:4">
      <c r="A5904" s="691"/>
      <c r="D5904" s="3"/>
    </row>
    <row r="5905" spans="1:4">
      <c r="A5905" s="691"/>
      <c r="D5905" s="3"/>
    </row>
    <row r="5906" spans="1:4">
      <c r="A5906" s="691"/>
      <c r="D5906" s="3"/>
    </row>
    <row r="5907" spans="1:4">
      <c r="A5907" s="691"/>
      <c r="D5907" s="3"/>
    </row>
    <row r="5908" spans="1:4">
      <c r="A5908" s="691"/>
      <c r="D5908" s="3"/>
    </row>
    <row r="5909" spans="1:4">
      <c r="A5909" s="691"/>
      <c r="D5909" s="3"/>
    </row>
    <row r="5910" spans="1:4">
      <c r="A5910" s="691"/>
      <c r="D5910" s="3"/>
    </row>
    <row r="5911" spans="1:4">
      <c r="A5911" s="691"/>
      <c r="D5911" s="3"/>
    </row>
    <row r="5912" spans="1:4">
      <c r="A5912" s="691"/>
      <c r="D5912" s="3"/>
    </row>
    <row r="5913" spans="1:4">
      <c r="A5913" s="691"/>
      <c r="D5913" s="3"/>
    </row>
    <row r="5914" spans="1:4">
      <c r="A5914" s="691"/>
      <c r="D5914" s="3"/>
    </row>
    <row r="5915" spans="1:4">
      <c r="A5915" s="691"/>
      <c r="D5915" s="3"/>
    </row>
    <row r="5916" spans="1:4">
      <c r="A5916" s="691"/>
      <c r="D5916" s="3"/>
    </row>
    <row r="5917" spans="1:4">
      <c r="A5917" s="691"/>
      <c r="D5917" s="3"/>
    </row>
    <row r="5918" spans="1:4">
      <c r="A5918" s="691"/>
      <c r="D5918" s="3"/>
    </row>
    <row r="5919" spans="1:4">
      <c r="A5919" s="691"/>
      <c r="D5919" s="3"/>
    </row>
    <row r="5920" spans="1:4">
      <c r="A5920" s="691"/>
      <c r="D5920" s="3"/>
    </row>
    <row r="5921" spans="1:4">
      <c r="A5921" s="691"/>
      <c r="D5921" s="3"/>
    </row>
    <row r="5922" spans="1:4">
      <c r="A5922" s="691"/>
      <c r="D5922" s="3"/>
    </row>
    <row r="5923" spans="1:4">
      <c r="A5923" s="691"/>
      <c r="D5923" s="3"/>
    </row>
    <row r="5924" spans="1:4">
      <c r="A5924" s="691"/>
      <c r="D5924" s="3"/>
    </row>
    <row r="5925" spans="1:4">
      <c r="A5925" s="691"/>
      <c r="D5925" s="3"/>
    </row>
    <row r="5926" spans="1:4">
      <c r="A5926" s="691"/>
      <c r="D5926" s="3"/>
    </row>
    <row r="5927" spans="1:4">
      <c r="A5927" s="691"/>
      <c r="D5927" s="3"/>
    </row>
    <row r="5928" spans="1:4">
      <c r="A5928" s="691"/>
      <c r="D5928" s="3"/>
    </row>
    <row r="5929" spans="1:4">
      <c r="A5929" s="691"/>
      <c r="D5929" s="3"/>
    </row>
    <row r="5930" spans="1:4">
      <c r="A5930" s="691"/>
      <c r="D5930" s="3"/>
    </row>
    <row r="5931" spans="1:4">
      <c r="A5931" s="691"/>
      <c r="D5931" s="3"/>
    </row>
    <row r="5932" spans="1:4">
      <c r="A5932" s="691"/>
      <c r="D5932" s="3"/>
    </row>
    <row r="5933" spans="1:4">
      <c r="A5933" s="691"/>
      <c r="D5933" s="3"/>
    </row>
    <row r="5934" spans="1:4">
      <c r="A5934" s="691"/>
      <c r="D5934" s="3"/>
    </row>
    <row r="5935" spans="1:4">
      <c r="A5935" s="691"/>
      <c r="D5935" s="3"/>
    </row>
    <row r="5936" spans="1:4">
      <c r="A5936" s="691"/>
      <c r="D5936" s="3"/>
    </row>
    <row r="5937" spans="1:4">
      <c r="A5937" s="691"/>
      <c r="D5937" s="3"/>
    </row>
    <row r="5938" spans="1:4">
      <c r="A5938" s="691"/>
      <c r="D5938" s="3"/>
    </row>
    <row r="5939" spans="1:4">
      <c r="A5939" s="691"/>
      <c r="D5939" s="3"/>
    </row>
    <row r="5940" spans="1:4">
      <c r="A5940" s="691"/>
      <c r="D5940" s="3"/>
    </row>
    <row r="5941" spans="1:4">
      <c r="A5941" s="691"/>
      <c r="D5941" s="3"/>
    </row>
    <row r="5942" spans="1:4">
      <c r="A5942" s="691"/>
      <c r="D5942" s="3"/>
    </row>
    <row r="5943" spans="1:4">
      <c r="A5943" s="691"/>
      <c r="D5943" s="3"/>
    </row>
    <row r="5944" spans="1:4">
      <c r="A5944" s="691"/>
      <c r="D5944" s="3"/>
    </row>
    <row r="5945" spans="1:4">
      <c r="A5945" s="691"/>
      <c r="D5945" s="3"/>
    </row>
    <row r="5946" spans="1:4">
      <c r="A5946" s="691"/>
      <c r="D5946" s="3"/>
    </row>
    <row r="5947" spans="1:4">
      <c r="A5947" s="691"/>
      <c r="D5947" s="3"/>
    </row>
    <row r="5948" spans="1:4">
      <c r="A5948" s="691"/>
      <c r="D5948" s="3"/>
    </row>
    <row r="5949" spans="1:4">
      <c r="A5949" s="691"/>
      <c r="D5949" s="3"/>
    </row>
    <row r="5950" spans="1:4">
      <c r="A5950" s="691"/>
      <c r="D5950" s="3"/>
    </row>
    <row r="5951" spans="1:4">
      <c r="A5951" s="691"/>
      <c r="D5951" s="3"/>
    </row>
    <row r="5952" spans="1:4">
      <c r="A5952" s="691"/>
      <c r="D5952" s="3"/>
    </row>
    <row r="5953" spans="1:4">
      <c r="A5953" s="691"/>
      <c r="D5953" s="3"/>
    </row>
    <row r="5954" spans="1:4">
      <c r="A5954" s="691"/>
      <c r="D5954" s="3"/>
    </row>
    <row r="5955" spans="1:4">
      <c r="A5955" s="691"/>
      <c r="D5955" s="3"/>
    </row>
    <row r="5956" spans="1:4">
      <c r="A5956" s="691"/>
      <c r="D5956" s="3"/>
    </row>
    <row r="5957" spans="1:4">
      <c r="A5957" s="691"/>
      <c r="D5957" s="3"/>
    </row>
    <row r="5958" spans="1:4">
      <c r="A5958" s="691"/>
      <c r="D5958" s="3"/>
    </row>
    <row r="5959" spans="1:4">
      <c r="A5959" s="691"/>
      <c r="D5959" s="3"/>
    </row>
    <row r="5960" spans="1:4">
      <c r="A5960" s="691"/>
      <c r="D5960" s="3"/>
    </row>
    <row r="5961" spans="1:4">
      <c r="A5961" s="691"/>
      <c r="D5961" s="3"/>
    </row>
    <row r="5962" spans="1:4">
      <c r="A5962" s="691"/>
      <c r="D5962" s="3"/>
    </row>
    <row r="5963" spans="1:4">
      <c r="A5963" s="691"/>
      <c r="D5963" s="3"/>
    </row>
    <row r="5964" spans="1:4">
      <c r="A5964" s="691"/>
      <c r="D5964" s="3"/>
    </row>
    <row r="5965" spans="1:4">
      <c r="A5965" s="691"/>
      <c r="D5965" s="3"/>
    </row>
    <row r="5966" spans="1:4">
      <c r="A5966" s="691"/>
      <c r="D5966" s="3"/>
    </row>
    <row r="5967" spans="1:4">
      <c r="A5967" s="691"/>
      <c r="D5967" s="3"/>
    </row>
    <row r="5968" spans="1:4">
      <c r="A5968" s="691"/>
      <c r="D5968" s="3"/>
    </row>
    <row r="5969" spans="1:4">
      <c r="A5969" s="691"/>
      <c r="D5969" s="3"/>
    </row>
    <row r="5970" spans="1:4">
      <c r="A5970" s="691"/>
      <c r="D5970" s="3"/>
    </row>
    <row r="5971" spans="1:4">
      <c r="A5971" s="691"/>
      <c r="D5971" s="3"/>
    </row>
    <row r="5972" spans="1:4">
      <c r="A5972" s="691"/>
      <c r="D5972" s="3"/>
    </row>
    <row r="5973" spans="1:4">
      <c r="A5973" s="691"/>
      <c r="D5973" s="3"/>
    </row>
    <row r="5974" spans="1:4">
      <c r="A5974" s="691"/>
      <c r="D5974" s="3"/>
    </row>
    <row r="5975" spans="1:4">
      <c r="A5975" s="691"/>
      <c r="D5975" s="3"/>
    </row>
    <row r="5976" spans="1:4">
      <c r="A5976" s="691"/>
      <c r="D5976" s="3"/>
    </row>
    <row r="5977" spans="1:4">
      <c r="A5977" s="691"/>
      <c r="D5977" s="3"/>
    </row>
    <row r="5978" spans="1:4">
      <c r="A5978" s="691"/>
      <c r="D5978" s="3"/>
    </row>
    <row r="5979" spans="1:4">
      <c r="A5979" s="691"/>
      <c r="D5979" s="3"/>
    </row>
    <row r="5980" spans="1:4">
      <c r="A5980" s="691"/>
      <c r="D5980" s="3"/>
    </row>
    <row r="5981" spans="1:4">
      <c r="A5981" s="691"/>
      <c r="D5981" s="3"/>
    </row>
    <row r="5982" spans="1:4">
      <c r="A5982" s="691"/>
      <c r="D5982" s="3"/>
    </row>
    <row r="5983" spans="1:4">
      <c r="A5983" s="691"/>
      <c r="D5983" s="3"/>
    </row>
    <row r="5984" spans="1:4">
      <c r="A5984" s="691"/>
      <c r="D5984" s="3"/>
    </row>
    <row r="5985" spans="1:4">
      <c r="A5985" s="691"/>
      <c r="D5985" s="3"/>
    </row>
    <row r="5986" spans="1:4">
      <c r="A5986" s="691"/>
      <c r="D5986" s="3"/>
    </row>
    <row r="5987" spans="1:4">
      <c r="A5987" s="691"/>
      <c r="D5987" s="3"/>
    </row>
    <row r="5988" spans="1:4">
      <c r="A5988" s="691"/>
      <c r="D5988" s="3"/>
    </row>
    <row r="5989" spans="1:4">
      <c r="A5989" s="691"/>
      <c r="D5989" s="3"/>
    </row>
    <row r="5990" spans="1:4">
      <c r="A5990" s="691"/>
      <c r="D5990" s="3"/>
    </row>
    <row r="5991" spans="1:4">
      <c r="A5991" s="691"/>
      <c r="D5991" s="3"/>
    </row>
    <row r="5992" spans="1:4">
      <c r="A5992" s="691"/>
      <c r="D5992" s="3"/>
    </row>
    <row r="5993" spans="1:4">
      <c r="A5993" s="691"/>
      <c r="D5993" s="3"/>
    </row>
    <row r="5994" spans="1:4">
      <c r="A5994" s="691"/>
      <c r="D5994" s="3"/>
    </row>
    <row r="5995" spans="1:4">
      <c r="A5995" s="691"/>
      <c r="D5995" s="3"/>
    </row>
    <row r="5996" spans="1:4">
      <c r="A5996" s="691"/>
      <c r="D5996" s="3"/>
    </row>
    <row r="5997" spans="1:4">
      <c r="A5997" s="691"/>
      <c r="D5997" s="3"/>
    </row>
    <row r="5998" spans="1:4">
      <c r="A5998" s="691"/>
      <c r="D5998" s="3"/>
    </row>
    <row r="5999" spans="1:4">
      <c r="A5999" s="691"/>
      <c r="D5999" s="3"/>
    </row>
    <row r="6000" spans="1:4">
      <c r="A6000" s="691"/>
      <c r="D6000" s="3"/>
    </row>
    <row r="6001" spans="1:4">
      <c r="A6001" s="691"/>
      <c r="D6001" s="3"/>
    </row>
    <row r="6002" spans="1:4">
      <c r="A6002" s="691"/>
      <c r="D6002" s="3"/>
    </row>
    <row r="6003" spans="1:4">
      <c r="A6003" s="691"/>
      <c r="D6003" s="3"/>
    </row>
    <row r="6004" spans="1:4">
      <c r="A6004" s="691"/>
      <c r="D6004" s="3"/>
    </row>
    <row r="6005" spans="1:4">
      <c r="A6005" s="691"/>
      <c r="D6005" s="3"/>
    </row>
    <row r="6006" spans="1:4">
      <c r="A6006" s="691"/>
      <c r="D6006" s="3"/>
    </row>
    <row r="6007" spans="1:4">
      <c r="A6007" s="691"/>
      <c r="D6007" s="3"/>
    </row>
    <row r="6008" spans="1:4">
      <c r="A6008" s="691"/>
      <c r="D6008" s="3"/>
    </row>
    <row r="6009" spans="1:4">
      <c r="A6009" s="691"/>
      <c r="D6009" s="3"/>
    </row>
    <row r="6010" spans="1:4">
      <c r="A6010" s="691"/>
      <c r="D6010" s="3"/>
    </row>
    <row r="6011" spans="1:4">
      <c r="A6011" s="691"/>
      <c r="D6011" s="3"/>
    </row>
    <row r="6012" spans="1:4">
      <c r="A6012" s="691"/>
      <c r="D6012" s="3"/>
    </row>
    <row r="6013" spans="1:4">
      <c r="A6013" s="691"/>
      <c r="D6013" s="3"/>
    </row>
    <row r="6014" spans="1:4">
      <c r="A6014" s="691"/>
      <c r="D6014" s="3"/>
    </row>
    <row r="6015" spans="1:4">
      <c r="A6015" s="691"/>
      <c r="D6015" s="3"/>
    </row>
    <row r="6016" spans="1:4">
      <c r="A6016" s="691"/>
      <c r="D6016" s="3"/>
    </row>
    <row r="6017" spans="1:4">
      <c r="A6017" s="691"/>
      <c r="D6017" s="3"/>
    </row>
    <row r="6018" spans="1:4">
      <c r="A6018" s="691"/>
      <c r="D6018" s="3"/>
    </row>
    <row r="6019" spans="1:4">
      <c r="A6019" s="691"/>
      <c r="D6019" s="3"/>
    </row>
    <row r="6020" spans="1:4">
      <c r="A6020" s="691"/>
      <c r="D6020" s="3"/>
    </row>
    <row r="6021" spans="1:4">
      <c r="A6021" s="691"/>
      <c r="D6021" s="3"/>
    </row>
    <row r="6022" spans="1:4">
      <c r="A6022" s="691"/>
      <c r="D6022" s="3"/>
    </row>
    <row r="6023" spans="1:4">
      <c r="A6023" s="691"/>
      <c r="D6023" s="3"/>
    </row>
    <row r="6024" spans="1:4">
      <c r="A6024" s="691"/>
      <c r="D6024" s="3"/>
    </row>
    <row r="6025" spans="1:4">
      <c r="A6025" s="691"/>
      <c r="D6025" s="3"/>
    </row>
    <row r="6026" spans="1:4">
      <c r="A6026" s="691"/>
      <c r="D6026" s="3"/>
    </row>
    <row r="6027" spans="1:4">
      <c r="A6027" s="691"/>
      <c r="D6027" s="3"/>
    </row>
    <row r="6028" spans="1:4">
      <c r="A6028" s="691"/>
      <c r="D6028" s="3"/>
    </row>
    <row r="6029" spans="1:4">
      <c r="A6029" s="691"/>
      <c r="D6029" s="3"/>
    </row>
    <row r="6030" spans="1:4">
      <c r="A6030" s="691"/>
      <c r="D6030" s="3"/>
    </row>
    <row r="6031" spans="1:4">
      <c r="A6031" s="691"/>
      <c r="D6031" s="3"/>
    </row>
    <row r="6032" spans="1:4">
      <c r="A6032" s="691"/>
      <c r="D6032" s="3"/>
    </row>
    <row r="6033" spans="1:4">
      <c r="A6033" s="691"/>
      <c r="D6033" s="3"/>
    </row>
    <row r="6034" spans="1:4">
      <c r="A6034" s="691"/>
      <c r="D6034" s="3"/>
    </row>
    <row r="6035" spans="1:4">
      <c r="A6035" s="691"/>
      <c r="D6035" s="3"/>
    </row>
    <row r="6036" spans="1:4">
      <c r="A6036" s="691"/>
      <c r="D6036" s="3"/>
    </row>
    <row r="6037" spans="1:4">
      <c r="A6037" s="691"/>
      <c r="D6037" s="3"/>
    </row>
    <row r="6038" spans="1:4">
      <c r="A6038" s="691"/>
      <c r="D6038" s="3"/>
    </row>
    <row r="6039" spans="1:4">
      <c r="A6039" s="691"/>
      <c r="D6039" s="3"/>
    </row>
    <row r="6040" spans="1:4">
      <c r="A6040" s="691"/>
      <c r="D6040" s="3"/>
    </row>
    <row r="6041" spans="1:4">
      <c r="A6041" s="691"/>
      <c r="D6041" s="3"/>
    </row>
    <row r="6042" spans="1:4">
      <c r="A6042" s="691"/>
      <c r="D6042" s="3"/>
    </row>
    <row r="6043" spans="1:4">
      <c r="A6043" s="691"/>
      <c r="D6043" s="3"/>
    </row>
    <row r="6044" spans="1:4">
      <c r="A6044" s="691"/>
      <c r="D6044" s="3"/>
    </row>
    <row r="6045" spans="1:4">
      <c r="A6045" s="691"/>
      <c r="D6045" s="3"/>
    </row>
    <row r="6046" spans="1:4">
      <c r="A6046" s="691"/>
      <c r="D6046" s="3"/>
    </row>
    <row r="6047" spans="1:4">
      <c r="A6047" s="691"/>
      <c r="D6047" s="3"/>
    </row>
    <row r="6048" spans="1:4">
      <c r="A6048" s="691"/>
      <c r="D6048" s="3"/>
    </row>
    <row r="6049" spans="1:4">
      <c r="A6049" s="691"/>
      <c r="D6049" s="3"/>
    </row>
    <row r="6050" spans="1:4">
      <c r="A6050" s="691"/>
      <c r="D6050" s="3"/>
    </row>
    <row r="6051" spans="1:4">
      <c r="A6051" s="691"/>
      <c r="D6051" s="3"/>
    </row>
    <row r="6052" spans="1:4">
      <c r="A6052" s="691"/>
      <c r="D6052" s="3"/>
    </row>
    <row r="6053" spans="1:4">
      <c r="A6053" s="691"/>
      <c r="D6053" s="3"/>
    </row>
    <row r="6054" spans="1:4">
      <c r="A6054" s="691"/>
      <c r="D6054" s="3"/>
    </row>
    <row r="6055" spans="1:4">
      <c r="A6055" s="691"/>
      <c r="D6055" s="3"/>
    </row>
    <row r="6056" spans="1:4">
      <c r="A6056" s="691"/>
      <c r="D6056" s="3"/>
    </row>
    <row r="6057" spans="1:4">
      <c r="A6057" s="691"/>
      <c r="D6057" s="3"/>
    </row>
    <row r="6058" spans="1:4">
      <c r="A6058" s="691"/>
      <c r="D6058" s="3"/>
    </row>
    <row r="6059" spans="1:4">
      <c r="A6059" s="691"/>
      <c r="D6059" s="3"/>
    </row>
    <row r="6060" spans="1:4">
      <c r="A6060" s="691"/>
      <c r="D6060" s="3"/>
    </row>
    <row r="6061" spans="1:4">
      <c r="A6061" s="691"/>
      <c r="D6061" s="3"/>
    </row>
    <row r="6062" spans="1:4">
      <c r="A6062" s="691"/>
      <c r="D6062" s="3"/>
    </row>
    <row r="6063" spans="1:4">
      <c r="A6063" s="691"/>
      <c r="D6063" s="3"/>
    </row>
    <row r="6064" spans="1:4">
      <c r="A6064" s="691"/>
      <c r="D6064" s="3"/>
    </row>
    <row r="6065" spans="1:4">
      <c r="A6065" s="691"/>
      <c r="D6065" s="3"/>
    </row>
    <row r="6066" spans="1:4">
      <c r="A6066" s="691"/>
      <c r="D6066" s="3"/>
    </row>
    <row r="6067" spans="1:4">
      <c r="A6067" s="691"/>
      <c r="D6067" s="3"/>
    </row>
    <row r="6068" spans="1:4">
      <c r="A6068" s="691"/>
      <c r="D6068" s="3"/>
    </row>
    <row r="6069" spans="1:4">
      <c r="A6069" s="691"/>
      <c r="D6069" s="3"/>
    </row>
    <row r="6070" spans="1:4">
      <c r="A6070" s="691"/>
      <c r="D6070" s="3"/>
    </row>
    <row r="6071" spans="1:4">
      <c r="A6071" s="691"/>
      <c r="D6071" s="3"/>
    </row>
    <row r="6072" spans="1:4">
      <c r="A6072" s="691"/>
      <c r="D6072" s="3"/>
    </row>
    <row r="6073" spans="1:4">
      <c r="A6073" s="691"/>
      <c r="D6073" s="3"/>
    </row>
    <row r="6074" spans="1:4">
      <c r="A6074" s="691"/>
      <c r="D6074" s="3"/>
    </row>
    <row r="6075" spans="1:4">
      <c r="A6075" s="691"/>
      <c r="D6075" s="3"/>
    </row>
    <row r="6076" spans="1:4">
      <c r="A6076" s="691"/>
      <c r="D6076" s="3"/>
    </row>
    <row r="6077" spans="1:4">
      <c r="A6077" s="691"/>
      <c r="D6077" s="3"/>
    </row>
    <row r="6078" spans="1:4">
      <c r="A6078" s="691"/>
      <c r="D6078" s="3"/>
    </row>
    <row r="6079" spans="1:4">
      <c r="A6079" s="691"/>
      <c r="D6079" s="3"/>
    </row>
    <row r="6080" spans="1:4">
      <c r="A6080" s="691"/>
      <c r="D6080" s="3"/>
    </row>
    <row r="6081" spans="1:4">
      <c r="A6081" s="691"/>
      <c r="D6081" s="3"/>
    </row>
    <row r="6082" spans="1:4">
      <c r="A6082" s="691"/>
      <c r="D6082" s="3"/>
    </row>
    <row r="6083" spans="1:4">
      <c r="A6083" s="691"/>
      <c r="D6083" s="3"/>
    </row>
    <row r="6084" spans="1:4">
      <c r="A6084" s="691"/>
      <c r="D6084" s="3"/>
    </row>
    <row r="6085" spans="1:4">
      <c r="A6085" s="691"/>
      <c r="D6085" s="3"/>
    </row>
    <row r="6086" spans="1:4">
      <c r="A6086" s="691"/>
      <c r="D6086" s="3"/>
    </row>
    <row r="6087" spans="1:4">
      <c r="A6087" s="691"/>
      <c r="D6087" s="3"/>
    </row>
    <row r="6088" spans="1:4">
      <c r="A6088" s="691"/>
      <c r="D6088" s="3"/>
    </row>
    <row r="6089" spans="1:4">
      <c r="A6089" s="691"/>
      <c r="D6089" s="3"/>
    </row>
    <row r="6090" spans="1:4">
      <c r="A6090" s="691"/>
      <c r="D6090" s="3"/>
    </row>
    <row r="6091" spans="1:4">
      <c r="A6091" s="691"/>
      <c r="D6091" s="3"/>
    </row>
    <row r="6092" spans="1:4">
      <c r="A6092" s="691"/>
      <c r="D6092" s="3"/>
    </row>
    <row r="6093" spans="1:4">
      <c r="A6093" s="691"/>
      <c r="D6093" s="3"/>
    </row>
    <row r="6094" spans="1:4">
      <c r="A6094" s="691"/>
      <c r="D6094" s="3"/>
    </row>
    <row r="6095" spans="1:4">
      <c r="A6095" s="691"/>
      <c r="D6095" s="3"/>
    </row>
    <row r="6096" spans="1:4">
      <c r="A6096" s="691"/>
      <c r="D6096" s="3"/>
    </row>
    <row r="6097" spans="1:4">
      <c r="A6097" s="691"/>
      <c r="D6097" s="3"/>
    </row>
    <row r="6098" spans="1:4">
      <c r="A6098" s="691"/>
      <c r="D6098" s="3"/>
    </row>
    <row r="6099" spans="1:4">
      <c r="A6099" s="691"/>
      <c r="D6099" s="3"/>
    </row>
    <row r="6100" spans="1:4">
      <c r="A6100" s="691"/>
      <c r="D6100" s="3"/>
    </row>
    <row r="6101" spans="1:4">
      <c r="A6101" s="691"/>
      <c r="D6101" s="3"/>
    </row>
    <row r="6102" spans="1:4">
      <c r="A6102" s="691"/>
      <c r="D6102" s="3"/>
    </row>
    <row r="6103" spans="1:4">
      <c r="A6103" s="691"/>
      <c r="D6103" s="3"/>
    </row>
    <row r="6104" spans="1:4">
      <c r="A6104" s="691"/>
      <c r="D6104" s="3"/>
    </row>
    <row r="6105" spans="1:4">
      <c r="A6105" s="691"/>
      <c r="D6105" s="3"/>
    </row>
    <row r="6106" spans="1:4">
      <c r="A6106" s="691"/>
      <c r="D6106" s="3"/>
    </row>
    <row r="6107" spans="1:4">
      <c r="A6107" s="691"/>
      <c r="D6107" s="3"/>
    </row>
    <row r="6108" spans="1:4">
      <c r="A6108" s="691"/>
      <c r="D6108" s="3"/>
    </row>
    <row r="6109" spans="1:4">
      <c r="A6109" s="691"/>
      <c r="D6109" s="3"/>
    </row>
    <row r="6110" spans="1:4">
      <c r="A6110" s="691"/>
      <c r="D6110" s="3"/>
    </row>
    <row r="6111" spans="1:4">
      <c r="A6111" s="691"/>
      <c r="D6111" s="3"/>
    </row>
    <row r="6112" spans="1:4">
      <c r="A6112" s="691"/>
      <c r="D6112" s="3"/>
    </row>
    <row r="6113" spans="1:4">
      <c r="A6113" s="691"/>
      <c r="D6113" s="3"/>
    </row>
    <row r="6114" spans="1:4">
      <c r="A6114" s="691"/>
      <c r="D6114" s="3"/>
    </row>
    <row r="6115" spans="1:4">
      <c r="A6115" s="691"/>
      <c r="D6115" s="3"/>
    </row>
    <row r="6116" spans="1:4">
      <c r="A6116" s="691"/>
      <c r="D6116" s="3"/>
    </row>
    <row r="6117" spans="1:4">
      <c r="A6117" s="691"/>
      <c r="D6117" s="3"/>
    </row>
    <row r="6118" spans="1:4">
      <c r="A6118" s="691"/>
      <c r="D6118" s="3"/>
    </row>
    <row r="6119" spans="1:4">
      <c r="A6119" s="691"/>
      <c r="D6119" s="3"/>
    </row>
    <row r="6120" spans="1:4">
      <c r="A6120" s="691"/>
      <c r="D6120" s="3"/>
    </row>
    <row r="6121" spans="1:4">
      <c r="A6121" s="691"/>
      <c r="D6121" s="3"/>
    </row>
    <row r="6122" spans="1:4">
      <c r="A6122" s="691"/>
      <c r="D6122" s="3"/>
    </row>
    <row r="6123" spans="1:4">
      <c r="A6123" s="691"/>
      <c r="D6123" s="3"/>
    </row>
    <row r="6124" spans="1:4">
      <c r="A6124" s="691"/>
      <c r="D6124" s="3"/>
    </row>
    <row r="6125" spans="1:4">
      <c r="A6125" s="691"/>
      <c r="D6125" s="3"/>
    </row>
    <row r="6126" spans="1:4">
      <c r="A6126" s="691"/>
      <c r="D6126" s="3"/>
    </row>
    <row r="6127" spans="1:4">
      <c r="A6127" s="691"/>
      <c r="D6127" s="3"/>
    </row>
    <row r="6128" spans="1:4">
      <c r="A6128" s="691"/>
      <c r="D6128" s="3"/>
    </row>
    <row r="6129" spans="1:4">
      <c r="A6129" s="691"/>
      <c r="D6129" s="3"/>
    </row>
    <row r="6130" spans="1:4">
      <c r="A6130" s="691"/>
      <c r="D6130" s="3"/>
    </row>
    <row r="6131" spans="1:4">
      <c r="A6131" s="691"/>
      <c r="D6131" s="3"/>
    </row>
    <row r="6132" spans="1:4">
      <c r="A6132" s="691"/>
      <c r="D6132" s="3"/>
    </row>
    <row r="6133" spans="1:4">
      <c r="A6133" s="691"/>
      <c r="D6133" s="3"/>
    </row>
    <row r="6134" spans="1:4">
      <c r="A6134" s="691"/>
      <c r="D6134" s="3"/>
    </row>
    <row r="6135" spans="1:4">
      <c r="A6135" s="691"/>
      <c r="D6135" s="3"/>
    </row>
    <row r="6136" spans="1:4">
      <c r="A6136" s="691"/>
      <c r="D6136" s="3"/>
    </row>
    <row r="6137" spans="1:4">
      <c r="A6137" s="691"/>
      <c r="D6137" s="3"/>
    </row>
    <row r="6138" spans="1:4">
      <c r="A6138" s="691"/>
      <c r="D6138" s="3"/>
    </row>
    <row r="6139" spans="1:4">
      <c r="A6139" s="691"/>
      <c r="D6139" s="3"/>
    </row>
    <row r="6140" spans="1:4">
      <c r="A6140" s="691"/>
      <c r="D6140" s="3"/>
    </row>
    <row r="6141" spans="1:4">
      <c r="A6141" s="691"/>
      <c r="D6141" s="3"/>
    </row>
    <row r="6142" spans="1:4">
      <c r="A6142" s="691"/>
      <c r="D6142" s="3"/>
    </row>
    <row r="6143" spans="1:4">
      <c r="A6143" s="691"/>
      <c r="D6143" s="3"/>
    </row>
    <row r="6144" spans="1:4">
      <c r="A6144" s="691"/>
      <c r="D6144" s="3"/>
    </row>
    <row r="6145" spans="1:4">
      <c r="A6145" s="691"/>
      <c r="D6145" s="3"/>
    </row>
    <row r="6146" spans="1:4">
      <c r="A6146" s="691"/>
      <c r="D6146" s="3"/>
    </row>
    <row r="6147" spans="1:4">
      <c r="A6147" s="691"/>
      <c r="D6147" s="3"/>
    </row>
    <row r="6148" spans="1:4">
      <c r="A6148" s="691"/>
      <c r="D6148" s="3"/>
    </row>
    <row r="6149" spans="1:4">
      <c r="A6149" s="691"/>
      <c r="D6149" s="3"/>
    </row>
    <row r="6150" spans="1:4">
      <c r="A6150" s="691"/>
      <c r="D6150" s="3"/>
    </row>
    <row r="6151" spans="1:4">
      <c r="A6151" s="691"/>
      <c r="D6151" s="3"/>
    </row>
    <row r="6152" spans="1:4">
      <c r="A6152" s="691"/>
      <c r="D6152" s="3"/>
    </row>
    <row r="6153" spans="1:4">
      <c r="A6153" s="691"/>
      <c r="D6153" s="3"/>
    </row>
    <row r="6154" spans="1:4">
      <c r="A6154" s="691"/>
      <c r="D6154" s="3"/>
    </row>
    <row r="6155" spans="1:4">
      <c r="A6155" s="691"/>
      <c r="D6155" s="3"/>
    </row>
    <row r="6156" spans="1:4">
      <c r="A6156" s="691"/>
      <c r="D6156" s="3"/>
    </row>
    <row r="6157" spans="1:4">
      <c r="A6157" s="691"/>
      <c r="D6157" s="3"/>
    </row>
    <row r="6158" spans="1:4">
      <c r="A6158" s="691"/>
      <c r="D6158" s="3"/>
    </row>
    <row r="6159" spans="1:4">
      <c r="A6159" s="691"/>
      <c r="D6159" s="3"/>
    </row>
    <row r="6160" spans="1:4">
      <c r="A6160" s="691"/>
      <c r="D6160" s="3"/>
    </row>
    <row r="6161" spans="1:4">
      <c r="A6161" s="691"/>
      <c r="D6161" s="3"/>
    </row>
    <row r="6162" spans="1:4">
      <c r="A6162" s="691"/>
      <c r="D6162" s="3"/>
    </row>
    <row r="6163" spans="1:4">
      <c r="A6163" s="691"/>
      <c r="D6163" s="3"/>
    </row>
    <row r="6164" spans="1:4">
      <c r="A6164" s="691"/>
      <c r="D6164" s="3"/>
    </row>
    <row r="6165" spans="1:4">
      <c r="A6165" s="691"/>
      <c r="D6165" s="3"/>
    </row>
    <row r="6166" spans="1:4">
      <c r="A6166" s="691"/>
      <c r="D6166" s="3"/>
    </row>
    <row r="6167" spans="1:4">
      <c r="A6167" s="691"/>
      <c r="D6167" s="3"/>
    </row>
    <row r="6168" spans="1:4">
      <c r="A6168" s="691"/>
      <c r="D6168" s="3"/>
    </row>
    <row r="6169" spans="1:4">
      <c r="A6169" s="691"/>
      <c r="D6169" s="3"/>
    </row>
    <row r="6170" spans="1:4">
      <c r="A6170" s="691"/>
      <c r="D6170" s="3"/>
    </row>
    <row r="6171" spans="1:4">
      <c r="A6171" s="691"/>
      <c r="D6171" s="3"/>
    </row>
    <row r="6172" spans="1:4">
      <c r="A6172" s="691"/>
      <c r="D6172" s="3"/>
    </row>
    <row r="6173" spans="1:4">
      <c r="A6173" s="691"/>
      <c r="D6173" s="3"/>
    </row>
    <row r="6174" spans="1:4">
      <c r="A6174" s="691"/>
      <c r="D6174" s="3"/>
    </row>
    <row r="6175" spans="1:4">
      <c r="A6175" s="691"/>
      <c r="D6175" s="3"/>
    </row>
    <row r="6176" spans="1:4">
      <c r="A6176" s="691"/>
      <c r="D6176" s="3"/>
    </row>
    <row r="6177" spans="1:4">
      <c r="A6177" s="691"/>
      <c r="D6177" s="3"/>
    </row>
    <row r="6178" spans="1:4">
      <c r="A6178" s="691"/>
      <c r="D6178" s="3"/>
    </row>
    <row r="6179" spans="1:4">
      <c r="A6179" s="691"/>
      <c r="D6179" s="3"/>
    </row>
    <row r="6180" spans="1:4">
      <c r="A6180" s="691"/>
      <c r="D6180" s="3"/>
    </row>
    <row r="6181" spans="1:4">
      <c r="A6181" s="691"/>
      <c r="D6181" s="3"/>
    </row>
    <row r="6182" spans="1:4">
      <c r="A6182" s="691"/>
      <c r="D6182" s="3"/>
    </row>
    <row r="6183" spans="1:4">
      <c r="A6183" s="691"/>
      <c r="D6183" s="3"/>
    </row>
    <row r="6184" spans="1:4">
      <c r="A6184" s="691"/>
      <c r="D6184" s="3"/>
    </row>
    <row r="6185" spans="1:4">
      <c r="A6185" s="691"/>
      <c r="D6185" s="3"/>
    </row>
    <row r="6186" spans="1:4">
      <c r="A6186" s="691"/>
      <c r="D6186" s="3"/>
    </row>
    <row r="6187" spans="1:4">
      <c r="A6187" s="691"/>
      <c r="D6187" s="3"/>
    </row>
    <row r="6188" spans="1:4">
      <c r="A6188" s="691"/>
      <c r="D6188" s="3"/>
    </row>
    <row r="6189" spans="1:4">
      <c r="A6189" s="691"/>
      <c r="D6189" s="3"/>
    </row>
    <row r="6190" spans="1:4">
      <c r="A6190" s="691"/>
      <c r="D6190" s="3"/>
    </row>
    <row r="6191" spans="1:4">
      <c r="A6191" s="691"/>
      <c r="D6191" s="3"/>
    </row>
    <row r="6192" spans="1:4">
      <c r="A6192" s="691"/>
      <c r="D6192" s="3"/>
    </row>
    <row r="6193" spans="1:4">
      <c r="A6193" s="691"/>
      <c r="D6193" s="3"/>
    </row>
    <row r="6194" spans="1:4">
      <c r="A6194" s="691"/>
      <c r="D6194" s="3"/>
    </row>
    <row r="6195" spans="1:4">
      <c r="A6195" s="691"/>
      <c r="D6195" s="3"/>
    </row>
    <row r="6196" spans="1:4">
      <c r="A6196" s="691"/>
      <c r="D6196" s="3"/>
    </row>
    <row r="6197" spans="1:4">
      <c r="A6197" s="691"/>
      <c r="D6197" s="3"/>
    </row>
    <row r="6198" spans="1:4">
      <c r="A6198" s="691"/>
      <c r="D6198" s="3"/>
    </row>
    <row r="6199" spans="1:4">
      <c r="A6199" s="691"/>
      <c r="D6199" s="3"/>
    </row>
    <row r="6200" spans="1:4">
      <c r="A6200" s="691"/>
      <c r="D6200" s="3"/>
    </row>
    <row r="6201" spans="1:4">
      <c r="A6201" s="691"/>
      <c r="D6201" s="3"/>
    </row>
    <row r="6202" spans="1:4">
      <c r="A6202" s="691"/>
      <c r="D6202" s="3"/>
    </row>
    <row r="6203" spans="1:4">
      <c r="A6203" s="691"/>
      <c r="D6203" s="3"/>
    </row>
    <row r="6204" spans="1:4">
      <c r="A6204" s="691"/>
      <c r="D6204" s="3"/>
    </row>
    <row r="6205" spans="1:4">
      <c r="A6205" s="691"/>
      <c r="D6205" s="3"/>
    </row>
    <row r="6206" spans="1:4">
      <c r="A6206" s="691"/>
      <c r="D6206" s="3"/>
    </row>
    <row r="6207" spans="1:4">
      <c r="A6207" s="691"/>
      <c r="D6207" s="3"/>
    </row>
    <row r="6208" spans="1:4">
      <c r="A6208" s="691"/>
      <c r="D6208" s="3"/>
    </row>
    <row r="6209" spans="1:4">
      <c r="A6209" s="691"/>
      <c r="D6209" s="3"/>
    </row>
    <row r="6210" spans="1:4">
      <c r="A6210" s="691"/>
      <c r="D6210" s="3"/>
    </row>
    <row r="6211" spans="1:4">
      <c r="A6211" s="691"/>
      <c r="D6211" s="3"/>
    </row>
    <row r="6212" spans="1:4">
      <c r="A6212" s="691"/>
      <c r="D6212" s="3"/>
    </row>
    <row r="6213" spans="1:4">
      <c r="A6213" s="691"/>
      <c r="D6213" s="3"/>
    </row>
    <row r="6214" spans="1:4">
      <c r="A6214" s="691"/>
      <c r="D6214" s="3"/>
    </row>
    <row r="6215" spans="1:4">
      <c r="A6215" s="691"/>
      <c r="D6215" s="3"/>
    </row>
    <row r="6216" spans="1:4">
      <c r="A6216" s="691"/>
      <c r="D6216" s="3"/>
    </row>
    <row r="6217" spans="1:4">
      <c r="A6217" s="691"/>
      <c r="D6217" s="3"/>
    </row>
    <row r="6218" spans="1:4">
      <c r="A6218" s="691"/>
      <c r="D6218" s="3"/>
    </row>
    <row r="6219" spans="1:4">
      <c r="A6219" s="691"/>
      <c r="D6219" s="3"/>
    </row>
    <row r="6220" spans="1:4">
      <c r="A6220" s="691"/>
      <c r="D6220" s="3"/>
    </row>
    <row r="6221" spans="1:4">
      <c r="A6221" s="691"/>
      <c r="D6221" s="3"/>
    </row>
    <row r="6222" spans="1:4">
      <c r="A6222" s="691"/>
      <c r="D6222" s="3"/>
    </row>
    <row r="6223" spans="1:4">
      <c r="A6223" s="691"/>
      <c r="D6223" s="3"/>
    </row>
    <row r="6224" spans="1:4">
      <c r="A6224" s="691"/>
      <c r="D6224" s="3"/>
    </row>
    <row r="6225" spans="1:4">
      <c r="A6225" s="691"/>
      <c r="D6225" s="3"/>
    </row>
    <row r="6226" spans="1:4">
      <c r="A6226" s="691"/>
      <c r="D6226" s="3"/>
    </row>
    <row r="6227" spans="1:4">
      <c r="A6227" s="691"/>
      <c r="D6227" s="3"/>
    </row>
    <row r="6228" spans="1:4">
      <c r="A6228" s="691"/>
      <c r="D6228" s="3"/>
    </row>
    <row r="6229" spans="1:4">
      <c r="A6229" s="691"/>
      <c r="D6229" s="3"/>
    </row>
    <row r="6230" spans="1:4">
      <c r="A6230" s="691"/>
      <c r="D6230" s="3"/>
    </row>
    <row r="6231" spans="1:4">
      <c r="A6231" s="691"/>
      <c r="D6231" s="3"/>
    </row>
    <row r="6232" spans="1:4">
      <c r="A6232" s="691"/>
      <c r="D6232" s="3"/>
    </row>
    <row r="6233" spans="1:4">
      <c r="A6233" s="691"/>
      <c r="D6233" s="3"/>
    </row>
    <row r="6234" spans="1:4">
      <c r="A6234" s="691"/>
      <c r="D6234" s="3"/>
    </row>
    <row r="6235" spans="1:4">
      <c r="A6235" s="691"/>
      <c r="D6235" s="3"/>
    </row>
    <row r="6236" spans="1:4">
      <c r="A6236" s="691"/>
      <c r="D6236" s="3"/>
    </row>
    <row r="6237" spans="1:4">
      <c r="A6237" s="691"/>
      <c r="D6237" s="3"/>
    </row>
    <row r="6238" spans="1:4">
      <c r="A6238" s="691"/>
      <c r="D6238" s="3"/>
    </row>
    <row r="6239" spans="1:4">
      <c r="A6239" s="691"/>
      <c r="D6239" s="3"/>
    </row>
    <row r="6240" spans="1:4">
      <c r="A6240" s="691"/>
      <c r="D6240" s="3"/>
    </row>
    <row r="6241" spans="1:4">
      <c r="A6241" s="691"/>
      <c r="D6241" s="3"/>
    </row>
    <row r="6242" spans="1:4">
      <c r="A6242" s="691"/>
      <c r="D6242" s="3"/>
    </row>
    <row r="6243" spans="1:4">
      <c r="A6243" s="691"/>
      <c r="D6243" s="3"/>
    </row>
    <row r="6244" spans="1:4">
      <c r="A6244" s="691"/>
      <c r="D6244" s="3"/>
    </row>
    <row r="6245" spans="1:4">
      <c r="A6245" s="691"/>
      <c r="D6245" s="3"/>
    </row>
    <row r="6246" spans="1:4">
      <c r="A6246" s="691"/>
      <c r="D6246" s="3"/>
    </row>
    <row r="6247" spans="1:4">
      <c r="A6247" s="691"/>
      <c r="D6247" s="3"/>
    </row>
    <row r="6248" spans="1:4">
      <c r="A6248" s="691"/>
      <c r="D6248" s="3"/>
    </row>
    <row r="6249" spans="1:4">
      <c r="A6249" s="691"/>
      <c r="D6249" s="3"/>
    </row>
    <row r="6250" spans="1:4">
      <c r="A6250" s="691"/>
      <c r="D6250" s="3"/>
    </row>
    <row r="6251" spans="1:4">
      <c r="A6251" s="691"/>
      <c r="D6251" s="3"/>
    </row>
    <row r="6252" spans="1:4">
      <c r="A6252" s="691"/>
      <c r="D6252" s="3"/>
    </row>
    <row r="6253" spans="1:4">
      <c r="A6253" s="691"/>
      <c r="D6253" s="3"/>
    </row>
    <row r="6254" spans="1:4">
      <c r="A6254" s="691"/>
      <c r="D6254" s="3"/>
    </row>
    <row r="6255" spans="1:4">
      <c r="A6255" s="691"/>
      <c r="D6255" s="3"/>
    </row>
    <row r="6256" spans="1:4">
      <c r="A6256" s="691"/>
      <c r="D6256" s="3"/>
    </row>
    <row r="6257" spans="1:4">
      <c r="A6257" s="691"/>
      <c r="D6257" s="3"/>
    </row>
    <row r="6258" spans="1:4">
      <c r="A6258" s="691"/>
      <c r="D6258" s="3"/>
    </row>
    <row r="6259" spans="1:4">
      <c r="A6259" s="691"/>
      <c r="D6259" s="3"/>
    </row>
    <row r="6260" spans="1:4">
      <c r="A6260" s="691"/>
      <c r="D6260" s="3"/>
    </row>
    <row r="6261" spans="1:4">
      <c r="A6261" s="691"/>
      <c r="D6261" s="3"/>
    </row>
    <row r="6262" spans="1:4">
      <c r="A6262" s="691"/>
      <c r="D6262" s="3"/>
    </row>
    <row r="6263" spans="1:4">
      <c r="A6263" s="691"/>
      <c r="D6263" s="3"/>
    </row>
    <row r="6264" spans="1:4">
      <c r="A6264" s="691"/>
      <c r="D6264" s="3"/>
    </row>
    <row r="6265" spans="1:4">
      <c r="A6265" s="691"/>
      <c r="D6265" s="3"/>
    </row>
    <row r="6266" spans="1:4">
      <c r="A6266" s="691"/>
      <c r="D6266" s="3"/>
    </row>
    <row r="6267" spans="1:4">
      <c r="A6267" s="691"/>
      <c r="D6267" s="3"/>
    </row>
    <row r="6268" spans="1:4">
      <c r="A6268" s="691"/>
      <c r="D6268" s="3"/>
    </row>
    <row r="6269" spans="1:4">
      <c r="A6269" s="691"/>
      <c r="D6269" s="3"/>
    </row>
    <row r="6270" spans="1:4">
      <c r="A6270" s="691"/>
      <c r="D6270" s="3"/>
    </row>
    <row r="6271" spans="1:4">
      <c r="A6271" s="691"/>
      <c r="D6271" s="3"/>
    </row>
    <row r="6272" spans="1:4">
      <c r="A6272" s="691"/>
      <c r="D6272" s="3"/>
    </row>
    <row r="6273" spans="1:4">
      <c r="A6273" s="691"/>
      <c r="D6273" s="3"/>
    </row>
    <row r="6274" spans="1:4">
      <c r="A6274" s="691"/>
      <c r="D6274" s="3"/>
    </row>
    <row r="6275" spans="1:4">
      <c r="A6275" s="691"/>
      <c r="D6275" s="3"/>
    </row>
    <row r="6276" spans="1:4">
      <c r="A6276" s="691"/>
      <c r="D6276" s="3"/>
    </row>
    <row r="6277" spans="1:4">
      <c r="A6277" s="691"/>
      <c r="D6277" s="3"/>
    </row>
    <row r="6278" spans="1:4">
      <c r="A6278" s="691"/>
      <c r="D6278" s="3"/>
    </row>
    <row r="6279" spans="1:4">
      <c r="A6279" s="691"/>
      <c r="D6279" s="3"/>
    </row>
    <row r="6280" spans="1:4">
      <c r="A6280" s="691"/>
      <c r="D6280" s="3"/>
    </row>
    <row r="6281" spans="1:4">
      <c r="A6281" s="691"/>
      <c r="D6281" s="3"/>
    </row>
    <row r="6282" spans="1:4">
      <c r="A6282" s="691"/>
      <c r="D6282" s="3"/>
    </row>
    <row r="6283" spans="1:4">
      <c r="A6283" s="691"/>
      <c r="D6283" s="3"/>
    </row>
    <row r="6284" spans="1:4">
      <c r="A6284" s="691"/>
      <c r="D6284" s="3"/>
    </row>
    <row r="6285" spans="1:4">
      <c r="A6285" s="691"/>
      <c r="D6285" s="3"/>
    </row>
    <row r="6286" spans="1:4">
      <c r="A6286" s="691"/>
      <c r="D6286" s="3"/>
    </row>
    <row r="6287" spans="1:4">
      <c r="A6287" s="691"/>
      <c r="D6287" s="3"/>
    </row>
    <row r="6288" spans="1:4">
      <c r="A6288" s="691"/>
      <c r="D6288" s="3"/>
    </row>
    <row r="6289" spans="1:4">
      <c r="A6289" s="691"/>
      <c r="D6289" s="3"/>
    </row>
    <row r="6290" spans="1:4">
      <c r="A6290" s="691"/>
      <c r="D6290" s="3"/>
    </row>
    <row r="6291" spans="1:4">
      <c r="A6291" s="691"/>
      <c r="D6291" s="3"/>
    </row>
    <row r="6292" spans="1:4">
      <c r="A6292" s="691"/>
      <c r="D6292" s="3"/>
    </row>
    <row r="6293" spans="1:4">
      <c r="A6293" s="691"/>
      <c r="D6293" s="3"/>
    </row>
    <row r="6294" spans="1:4">
      <c r="A6294" s="691"/>
      <c r="D6294" s="3"/>
    </row>
    <row r="6295" spans="1:4">
      <c r="A6295" s="691"/>
      <c r="D6295" s="3"/>
    </row>
    <row r="6296" spans="1:4">
      <c r="A6296" s="691"/>
      <c r="D6296" s="3"/>
    </row>
    <row r="6297" spans="1:4">
      <c r="A6297" s="691"/>
      <c r="D6297" s="3"/>
    </row>
    <row r="6298" spans="1:4">
      <c r="A6298" s="691"/>
      <c r="D6298" s="3"/>
    </row>
    <row r="6299" spans="1:4">
      <c r="A6299" s="691"/>
      <c r="D6299" s="3"/>
    </row>
    <row r="6300" spans="1:4">
      <c r="A6300" s="691"/>
      <c r="D6300" s="3"/>
    </row>
    <row r="6301" spans="1:4">
      <c r="A6301" s="691"/>
      <c r="D6301" s="3"/>
    </row>
    <row r="6302" spans="1:4">
      <c r="A6302" s="691"/>
      <c r="D6302" s="3"/>
    </row>
    <row r="6303" spans="1:4">
      <c r="A6303" s="691"/>
      <c r="D6303" s="3"/>
    </row>
    <row r="6304" spans="1:4">
      <c r="A6304" s="691"/>
      <c r="D6304" s="3"/>
    </row>
    <row r="6305" spans="1:4">
      <c r="A6305" s="691"/>
      <c r="D6305" s="3"/>
    </row>
    <row r="6306" spans="1:4">
      <c r="A6306" s="691"/>
      <c r="D6306" s="3"/>
    </row>
    <row r="6307" spans="1:4">
      <c r="A6307" s="691"/>
      <c r="D6307" s="3"/>
    </row>
    <row r="6308" spans="1:4">
      <c r="A6308" s="691"/>
      <c r="D6308" s="3"/>
    </row>
    <row r="6309" spans="1:4">
      <c r="A6309" s="691"/>
      <c r="D6309" s="3"/>
    </row>
    <row r="6310" spans="1:4">
      <c r="A6310" s="691"/>
      <c r="D6310" s="3"/>
    </row>
    <row r="6311" spans="1:4">
      <c r="A6311" s="691"/>
      <c r="D6311" s="3"/>
    </row>
    <row r="6312" spans="1:4">
      <c r="A6312" s="691"/>
      <c r="D6312" s="3"/>
    </row>
    <row r="6313" spans="1:4">
      <c r="A6313" s="691"/>
      <c r="D6313" s="3"/>
    </row>
    <row r="6314" spans="1:4">
      <c r="A6314" s="691"/>
      <c r="D6314" s="3"/>
    </row>
    <row r="6315" spans="1:4">
      <c r="A6315" s="691"/>
      <c r="D6315" s="3"/>
    </row>
    <row r="6316" spans="1:4">
      <c r="A6316" s="691"/>
      <c r="D6316" s="3"/>
    </row>
    <row r="6317" spans="1:4">
      <c r="A6317" s="691"/>
      <c r="D6317" s="3"/>
    </row>
    <row r="6318" spans="1:4">
      <c r="A6318" s="691"/>
      <c r="D6318" s="3"/>
    </row>
    <row r="6319" spans="1:4">
      <c r="A6319" s="691"/>
      <c r="D6319" s="3"/>
    </row>
    <row r="6320" spans="1:4">
      <c r="A6320" s="691"/>
      <c r="D6320" s="3"/>
    </row>
    <row r="6321" spans="1:4">
      <c r="A6321" s="691"/>
      <c r="D6321" s="3"/>
    </row>
    <row r="6322" spans="1:4">
      <c r="A6322" s="691"/>
      <c r="D6322" s="3"/>
    </row>
    <row r="6323" spans="1:4">
      <c r="A6323" s="691"/>
      <c r="D6323" s="3"/>
    </row>
    <row r="6324" spans="1:4">
      <c r="A6324" s="691"/>
      <c r="D6324" s="3"/>
    </row>
    <row r="6325" spans="1:4">
      <c r="A6325" s="691"/>
      <c r="D6325" s="3"/>
    </row>
    <row r="6326" spans="1:4">
      <c r="A6326" s="691"/>
      <c r="D6326" s="3"/>
    </row>
    <row r="6327" spans="1:4">
      <c r="A6327" s="691"/>
      <c r="D6327" s="3"/>
    </row>
    <row r="6328" spans="1:4">
      <c r="A6328" s="691"/>
      <c r="D6328" s="3"/>
    </row>
    <row r="6329" spans="1:4">
      <c r="A6329" s="691"/>
      <c r="D6329" s="3"/>
    </row>
    <row r="6330" spans="1:4">
      <c r="A6330" s="691"/>
      <c r="D6330" s="3"/>
    </row>
    <row r="6331" spans="1:4">
      <c r="A6331" s="691"/>
      <c r="D6331" s="3"/>
    </row>
    <row r="6332" spans="1:4">
      <c r="A6332" s="691"/>
      <c r="D6332" s="3"/>
    </row>
    <row r="6333" spans="1:4">
      <c r="A6333" s="691"/>
      <c r="D6333" s="3"/>
    </row>
    <row r="6334" spans="1:4">
      <c r="A6334" s="691"/>
      <c r="D6334" s="3"/>
    </row>
    <row r="6335" spans="1:4">
      <c r="A6335" s="691"/>
      <c r="D6335" s="3"/>
    </row>
    <row r="6336" spans="1:4">
      <c r="A6336" s="691"/>
      <c r="D6336" s="3"/>
    </row>
    <row r="6337" spans="1:4">
      <c r="A6337" s="691"/>
      <c r="D6337" s="3"/>
    </row>
    <row r="6338" spans="1:4">
      <c r="A6338" s="691"/>
      <c r="D6338" s="3"/>
    </row>
    <row r="6339" spans="1:4">
      <c r="A6339" s="691"/>
      <c r="D6339" s="3"/>
    </row>
    <row r="6340" spans="1:4">
      <c r="A6340" s="691"/>
      <c r="D6340" s="3"/>
    </row>
    <row r="6341" spans="1:4">
      <c r="A6341" s="691"/>
      <c r="D6341" s="3"/>
    </row>
    <row r="6342" spans="1:4">
      <c r="A6342" s="691"/>
      <c r="D6342" s="3"/>
    </row>
    <row r="6343" spans="1:4">
      <c r="A6343" s="691"/>
      <c r="D6343" s="3"/>
    </row>
    <row r="6344" spans="1:4">
      <c r="A6344" s="691"/>
      <c r="D6344" s="3"/>
    </row>
    <row r="6345" spans="1:4">
      <c r="A6345" s="691"/>
      <c r="D6345" s="3"/>
    </row>
    <row r="6346" spans="1:4">
      <c r="A6346" s="691"/>
      <c r="D6346" s="3"/>
    </row>
    <row r="6347" spans="1:4">
      <c r="A6347" s="691"/>
      <c r="D6347" s="3"/>
    </row>
    <row r="6348" spans="1:4">
      <c r="A6348" s="691"/>
      <c r="D6348" s="3"/>
    </row>
    <row r="6349" spans="1:4">
      <c r="A6349" s="691"/>
      <c r="D6349" s="3"/>
    </row>
    <row r="6350" spans="1:4">
      <c r="A6350" s="691"/>
      <c r="D6350" s="3"/>
    </row>
    <row r="6351" spans="1:4">
      <c r="A6351" s="691"/>
      <c r="D6351" s="3"/>
    </row>
    <row r="6352" spans="1:4">
      <c r="A6352" s="691"/>
      <c r="D6352" s="3"/>
    </row>
    <row r="6353" spans="1:4">
      <c r="A6353" s="691"/>
      <c r="D6353" s="3"/>
    </row>
    <row r="6354" spans="1:4">
      <c r="A6354" s="691"/>
      <c r="D6354" s="3"/>
    </row>
    <row r="6355" spans="1:4">
      <c r="A6355" s="691"/>
      <c r="D6355" s="3"/>
    </row>
    <row r="6356" spans="1:4">
      <c r="A6356" s="691"/>
      <c r="D6356" s="3"/>
    </row>
    <row r="6357" spans="1:4">
      <c r="A6357" s="691"/>
      <c r="D6357" s="3"/>
    </row>
    <row r="6358" spans="1:4">
      <c r="A6358" s="691"/>
      <c r="D6358" s="3"/>
    </row>
    <row r="6359" spans="1:4">
      <c r="A6359" s="691"/>
      <c r="D6359" s="3"/>
    </row>
    <row r="6360" spans="1:4">
      <c r="A6360" s="691"/>
      <c r="D6360" s="3"/>
    </row>
    <row r="6361" spans="1:4">
      <c r="A6361" s="691"/>
      <c r="D6361" s="3"/>
    </row>
    <row r="6362" spans="1:4">
      <c r="A6362" s="691"/>
      <c r="D6362" s="3"/>
    </row>
    <row r="6363" spans="1:4">
      <c r="A6363" s="691"/>
      <c r="D6363" s="3"/>
    </row>
    <row r="6364" spans="1:4">
      <c r="A6364" s="691"/>
      <c r="D6364" s="3"/>
    </row>
    <row r="6365" spans="1:4">
      <c r="A6365" s="691"/>
      <c r="D6365" s="3"/>
    </row>
    <row r="6366" spans="1:4">
      <c r="A6366" s="691"/>
      <c r="D6366" s="3"/>
    </row>
    <row r="6367" spans="1:4">
      <c r="A6367" s="691"/>
      <c r="D6367" s="3"/>
    </row>
    <row r="6368" spans="1:4">
      <c r="A6368" s="691"/>
      <c r="D6368" s="3"/>
    </row>
    <row r="6369" spans="1:4">
      <c r="A6369" s="691"/>
      <c r="D6369" s="3"/>
    </row>
    <row r="6370" spans="1:4">
      <c r="A6370" s="691"/>
      <c r="D6370" s="3"/>
    </row>
    <row r="6371" spans="1:4">
      <c r="A6371" s="691"/>
      <c r="D6371" s="3"/>
    </row>
    <row r="6372" spans="1:4">
      <c r="A6372" s="691"/>
      <c r="D6372" s="3"/>
    </row>
    <row r="6373" spans="1:4">
      <c r="A6373" s="691"/>
      <c r="D6373" s="3"/>
    </row>
    <row r="6374" spans="1:4">
      <c r="A6374" s="691"/>
      <c r="D6374" s="3"/>
    </row>
    <row r="6375" spans="1:4">
      <c r="A6375" s="691"/>
      <c r="D6375" s="3"/>
    </row>
    <row r="6376" spans="1:4">
      <c r="A6376" s="691"/>
      <c r="D6376" s="3"/>
    </row>
    <row r="6377" spans="1:4">
      <c r="A6377" s="691"/>
      <c r="D6377" s="3"/>
    </row>
    <row r="6378" spans="1:4">
      <c r="A6378" s="691"/>
      <c r="D6378" s="3"/>
    </row>
    <row r="6379" spans="1:4">
      <c r="A6379" s="691"/>
      <c r="D6379" s="3"/>
    </row>
    <row r="6380" spans="1:4">
      <c r="A6380" s="691"/>
      <c r="D6380" s="3"/>
    </row>
    <row r="6381" spans="1:4">
      <c r="A6381" s="691"/>
      <c r="D6381" s="3"/>
    </row>
    <row r="6382" spans="1:4">
      <c r="A6382" s="691"/>
      <c r="D6382" s="3"/>
    </row>
    <row r="6383" spans="1:4">
      <c r="A6383" s="691"/>
      <c r="D6383" s="3"/>
    </row>
    <row r="6384" spans="1:4">
      <c r="A6384" s="691"/>
      <c r="D6384" s="3"/>
    </row>
    <row r="6385" spans="1:4">
      <c r="A6385" s="691"/>
      <c r="D6385" s="3"/>
    </row>
    <row r="6386" spans="1:4">
      <c r="A6386" s="691"/>
      <c r="D6386" s="3"/>
    </row>
    <row r="6387" spans="1:4">
      <c r="A6387" s="691"/>
      <c r="D6387" s="3"/>
    </row>
    <row r="6388" spans="1:4">
      <c r="A6388" s="691"/>
      <c r="D6388" s="3"/>
    </row>
    <row r="6389" spans="1:4">
      <c r="A6389" s="691"/>
      <c r="D6389" s="3"/>
    </row>
    <row r="6390" spans="1:4">
      <c r="A6390" s="691"/>
      <c r="D6390" s="3"/>
    </row>
    <row r="6391" spans="1:4">
      <c r="A6391" s="691"/>
      <c r="D6391" s="3"/>
    </row>
    <row r="6392" spans="1:4">
      <c r="A6392" s="691"/>
      <c r="D6392" s="3"/>
    </row>
    <row r="6393" spans="1:4">
      <c r="A6393" s="691"/>
      <c r="D6393" s="3"/>
    </row>
    <row r="6394" spans="1:4">
      <c r="A6394" s="691"/>
      <c r="D6394" s="3"/>
    </row>
    <row r="6395" spans="1:4">
      <c r="A6395" s="691"/>
      <c r="D6395" s="3"/>
    </row>
    <row r="6396" spans="1:4">
      <c r="A6396" s="691"/>
      <c r="D6396" s="3"/>
    </row>
    <row r="6397" spans="1:4">
      <c r="A6397" s="691"/>
      <c r="D6397" s="3"/>
    </row>
    <row r="6398" spans="1:4">
      <c r="A6398" s="691"/>
      <c r="D6398" s="3"/>
    </row>
    <row r="6399" spans="1:4">
      <c r="A6399" s="691"/>
      <c r="D6399" s="3"/>
    </row>
    <row r="6400" spans="1:4">
      <c r="A6400" s="691"/>
      <c r="D6400" s="3"/>
    </row>
    <row r="6401" spans="1:4">
      <c r="A6401" s="691"/>
      <c r="D6401" s="3"/>
    </row>
    <row r="6402" spans="1:4">
      <c r="A6402" s="691"/>
      <c r="D6402" s="3"/>
    </row>
    <row r="6403" spans="1:4">
      <c r="A6403" s="691"/>
      <c r="D6403" s="3"/>
    </row>
    <row r="6404" spans="1:4">
      <c r="A6404" s="691"/>
      <c r="D6404" s="3"/>
    </row>
    <row r="6405" spans="1:4">
      <c r="A6405" s="691"/>
      <c r="D6405" s="3"/>
    </row>
    <row r="6406" spans="1:4">
      <c r="A6406" s="691"/>
      <c r="D6406" s="3"/>
    </row>
    <row r="6407" spans="1:4">
      <c r="A6407" s="691"/>
      <c r="D6407" s="3"/>
    </row>
    <row r="6408" spans="1:4">
      <c r="A6408" s="691"/>
      <c r="D6408" s="3"/>
    </row>
    <row r="6409" spans="1:4">
      <c r="A6409" s="691"/>
      <c r="D6409" s="3"/>
    </row>
    <row r="6410" spans="1:4">
      <c r="A6410" s="691"/>
      <c r="D6410" s="3"/>
    </row>
    <row r="6411" spans="1:4">
      <c r="A6411" s="691"/>
      <c r="D6411" s="3"/>
    </row>
    <row r="6412" spans="1:4">
      <c r="A6412" s="691"/>
      <c r="D6412" s="3"/>
    </row>
    <row r="6413" spans="1:4">
      <c r="A6413" s="691"/>
      <c r="D6413" s="3"/>
    </row>
    <row r="6414" spans="1:4">
      <c r="A6414" s="691"/>
      <c r="D6414" s="3"/>
    </row>
    <row r="6415" spans="1:4">
      <c r="A6415" s="691"/>
      <c r="D6415" s="3"/>
    </row>
    <row r="6416" spans="1:4">
      <c r="A6416" s="691"/>
      <c r="D6416" s="3"/>
    </row>
    <row r="6417" spans="1:4">
      <c r="A6417" s="691"/>
      <c r="D6417" s="3"/>
    </row>
    <row r="6418" spans="1:4">
      <c r="A6418" s="691"/>
      <c r="D6418" s="3"/>
    </row>
    <row r="6419" spans="1:4">
      <c r="A6419" s="691"/>
      <c r="D6419" s="3"/>
    </row>
    <row r="6420" spans="1:4">
      <c r="A6420" s="691"/>
      <c r="D6420" s="3"/>
    </row>
    <row r="6421" spans="1:4">
      <c r="A6421" s="691"/>
      <c r="D6421" s="3"/>
    </row>
    <row r="6422" spans="1:4">
      <c r="A6422" s="691"/>
      <c r="D6422" s="3"/>
    </row>
    <row r="6423" spans="1:4">
      <c r="A6423" s="691"/>
      <c r="D6423" s="3"/>
    </row>
    <row r="6424" spans="1:4">
      <c r="A6424" s="691"/>
      <c r="D6424" s="3"/>
    </row>
    <row r="6425" spans="1:4">
      <c r="A6425" s="691"/>
      <c r="D6425" s="3"/>
    </row>
    <row r="6426" spans="1:4">
      <c r="A6426" s="691"/>
      <c r="D6426" s="3"/>
    </row>
    <row r="6427" spans="1:4">
      <c r="A6427" s="691"/>
      <c r="D6427" s="3"/>
    </row>
    <row r="6428" spans="1:4">
      <c r="A6428" s="691"/>
      <c r="D6428" s="3"/>
    </row>
    <row r="6429" spans="1:4">
      <c r="A6429" s="691"/>
      <c r="D6429" s="3"/>
    </row>
    <row r="6430" spans="1:4">
      <c r="A6430" s="691"/>
      <c r="D6430" s="3"/>
    </row>
    <row r="6431" spans="1:4">
      <c r="A6431" s="691"/>
      <c r="D6431" s="3"/>
    </row>
    <row r="6432" spans="1:4">
      <c r="A6432" s="691"/>
      <c r="D6432" s="3"/>
    </row>
    <row r="6433" spans="1:4">
      <c r="A6433" s="691"/>
      <c r="D6433" s="3"/>
    </row>
    <row r="6434" spans="1:4">
      <c r="A6434" s="691"/>
      <c r="D6434" s="3"/>
    </row>
    <row r="6435" spans="1:4">
      <c r="A6435" s="691"/>
      <c r="D6435" s="3"/>
    </row>
    <row r="6436" spans="1:4">
      <c r="A6436" s="691"/>
      <c r="D6436" s="3"/>
    </row>
    <row r="6437" spans="1:4">
      <c r="A6437" s="691"/>
      <c r="D6437" s="3"/>
    </row>
    <row r="6438" spans="1:4">
      <c r="A6438" s="691"/>
      <c r="D6438" s="3"/>
    </row>
    <row r="6439" spans="1:4">
      <c r="A6439" s="691"/>
      <c r="D6439" s="3"/>
    </row>
    <row r="6440" spans="1:4">
      <c r="A6440" s="691"/>
      <c r="D6440" s="3"/>
    </row>
    <row r="6441" spans="1:4">
      <c r="A6441" s="691"/>
      <c r="D6441" s="3"/>
    </row>
    <row r="6442" spans="1:4">
      <c r="A6442" s="691"/>
      <c r="D6442" s="3"/>
    </row>
    <row r="6443" spans="1:4">
      <c r="A6443" s="691"/>
      <c r="D6443" s="3"/>
    </row>
    <row r="6444" spans="1:4">
      <c r="A6444" s="691"/>
      <c r="D6444" s="3"/>
    </row>
    <row r="6445" spans="1:4">
      <c r="A6445" s="691"/>
      <c r="D6445" s="3"/>
    </row>
    <row r="6446" spans="1:4">
      <c r="A6446" s="691"/>
      <c r="D6446" s="3"/>
    </row>
    <row r="6447" spans="1:4">
      <c r="A6447" s="691"/>
      <c r="D6447" s="3"/>
    </row>
    <row r="6448" spans="1:4">
      <c r="A6448" s="691"/>
      <c r="D6448" s="3"/>
    </row>
    <row r="6449" spans="1:4">
      <c r="A6449" s="691"/>
      <c r="D6449" s="3"/>
    </row>
    <row r="6450" spans="1:4">
      <c r="A6450" s="691"/>
      <c r="D6450" s="3"/>
    </row>
    <row r="6451" spans="1:4">
      <c r="A6451" s="691"/>
      <c r="D6451" s="3"/>
    </row>
    <row r="6452" spans="1:4">
      <c r="A6452" s="691"/>
      <c r="D6452" s="3"/>
    </row>
    <row r="6453" spans="1:4">
      <c r="A6453" s="691"/>
      <c r="D6453" s="3"/>
    </row>
    <row r="6454" spans="1:4">
      <c r="A6454" s="691"/>
      <c r="D6454" s="3"/>
    </row>
    <row r="6455" spans="1:4">
      <c r="A6455" s="691"/>
      <c r="D6455" s="3"/>
    </row>
    <row r="6456" spans="1:4">
      <c r="A6456" s="691"/>
      <c r="D6456" s="3"/>
    </row>
    <row r="6457" spans="1:4">
      <c r="A6457" s="691"/>
      <c r="D6457" s="3"/>
    </row>
    <row r="6458" spans="1:4">
      <c r="A6458" s="691"/>
      <c r="D6458" s="3"/>
    </row>
    <row r="6459" spans="1:4">
      <c r="A6459" s="691"/>
      <c r="D6459" s="3"/>
    </row>
    <row r="6460" spans="1:4">
      <c r="A6460" s="691"/>
      <c r="D6460" s="3"/>
    </row>
    <row r="6461" spans="1:4">
      <c r="A6461" s="691"/>
      <c r="D6461" s="3"/>
    </row>
    <row r="6462" spans="1:4">
      <c r="A6462" s="691"/>
      <c r="D6462" s="3"/>
    </row>
    <row r="6463" spans="1:4">
      <c r="A6463" s="691"/>
      <c r="D6463" s="3"/>
    </row>
    <row r="6464" spans="1:4">
      <c r="A6464" s="691"/>
      <c r="D6464" s="3"/>
    </row>
    <row r="6465" spans="1:4">
      <c r="A6465" s="691"/>
      <c r="D6465" s="3"/>
    </row>
    <row r="6466" spans="1:4">
      <c r="A6466" s="691"/>
      <c r="D6466" s="3"/>
    </row>
    <row r="6467" spans="1:4">
      <c r="A6467" s="691"/>
      <c r="D6467" s="3"/>
    </row>
    <row r="6468" spans="1:4">
      <c r="A6468" s="691"/>
      <c r="D6468" s="3"/>
    </row>
    <row r="6469" spans="1:4">
      <c r="A6469" s="691"/>
      <c r="D6469" s="3"/>
    </row>
    <row r="6470" spans="1:4">
      <c r="A6470" s="691"/>
      <c r="D6470" s="3"/>
    </row>
    <row r="6471" spans="1:4">
      <c r="A6471" s="691"/>
      <c r="D6471" s="3"/>
    </row>
    <row r="6472" spans="1:4">
      <c r="A6472" s="691"/>
      <c r="D6472" s="3"/>
    </row>
    <row r="6473" spans="1:4">
      <c r="A6473" s="691"/>
      <c r="D6473" s="3"/>
    </row>
    <row r="6474" spans="1:4">
      <c r="A6474" s="691"/>
      <c r="D6474" s="3"/>
    </row>
    <row r="6475" spans="1:4">
      <c r="A6475" s="691"/>
      <c r="D6475" s="3"/>
    </row>
    <row r="6476" spans="1:4">
      <c r="A6476" s="691"/>
      <c r="D6476" s="3"/>
    </row>
    <row r="6477" spans="1:4">
      <c r="A6477" s="691"/>
      <c r="D6477" s="3"/>
    </row>
    <row r="6478" spans="1:4">
      <c r="A6478" s="691"/>
      <c r="D6478" s="3"/>
    </row>
    <row r="6479" spans="1:4">
      <c r="A6479" s="691"/>
      <c r="D6479" s="3"/>
    </row>
    <row r="6480" spans="1:4">
      <c r="A6480" s="691"/>
      <c r="D6480" s="3"/>
    </row>
    <row r="6481" spans="1:4">
      <c r="A6481" s="691"/>
      <c r="D6481" s="3"/>
    </row>
    <row r="6482" spans="1:4">
      <c r="A6482" s="691"/>
      <c r="D6482" s="3"/>
    </row>
    <row r="6483" spans="1:4">
      <c r="A6483" s="691"/>
      <c r="D6483" s="3"/>
    </row>
    <row r="6484" spans="1:4">
      <c r="A6484" s="691"/>
      <c r="D6484" s="3"/>
    </row>
    <row r="6485" spans="1:4">
      <c r="A6485" s="691"/>
      <c r="D6485" s="3"/>
    </row>
    <row r="6486" spans="1:4">
      <c r="A6486" s="691"/>
      <c r="D6486" s="3"/>
    </row>
    <row r="6487" spans="1:4">
      <c r="A6487" s="691"/>
      <c r="D6487" s="3"/>
    </row>
    <row r="6488" spans="1:4">
      <c r="A6488" s="691"/>
      <c r="D6488" s="3"/>
    </row>
    <row r="6489" spans="1:4">
      <c r="A6489" s="691"/>
      <c r="D6489" s="3"/>
    </row>
    <row r="6490" spans="1:4">
      <c r="A6490" s="691"/>
      <c r="D6490" s="3"/>
    </row>
    <row r="6491" spans="1:4">
      <c r="A6491" s="691"/>
      <c r="D6491" s="3"/>
    </row>
    <row r="6492" spans="1:4">
      <c r="A6492" s="691"/>
      <c r="D6492" s="3"/>
    </row>
    <row r="6493" spans="1:4">
      <c r="A6493" s="691"/>
      <c r="D6493" s="3"/>
    </row>
    <row r="6494" spans="1:4">
      <c r="A6494" s="691"/>
      <c r="D6494" s="3"/>
    </row>
    <row r="6495" spans="1:4">
      <c r="A6495" s="691"/>
      <c r="D6495" s="3"/>
    </row>
    <row r="6496" spans="1:4">
      <c r="A6496" s="691"/>
      <c r="D6496" s="3"/>
    </row>
    <row r="6497" spans="1:4">
      <c r="A6497" s="691"/>
      <c r="D6497" s="3"/>
    </row>
    <row r="6498" spans="1:4">
      <c r="A6498" s="691"/>
      <c r="D6498" s="3"/>
    </row>
    <row r="6499" spans="1:4">
      <c r="A6499" s="691"/>
      <c r="D6499" s="3"/>
    </row>
    <row r="6500" spans="1:4">
      <c r="A6500" s="691"/>
      <c r="D6500" s="3"/>
    </row>
    <row r="6501" spans="1:4">
      <c r="A6501" s="691"/>
      <c r="D6501" s="3"/>
    </row>
    <row r="6502" spans="1:4">
      <c r="A6502" s="691"/>
      <c r="D6502" s="3"/>
    </row>
    <row r="6503" spans="1:4">
      <c r="A6503" s="691"/>
      <c r="D6503" s="3"/>
    </row>
    <row r="6504" spans="1:4">
      <c r="A6504" s="691"/>
      <c r="D6504" s="3"/>
    </row>
    <row r="6505" spans="1:4">
      <c r="A6505" s="691"/>
      <c r="D6505" s="3"/>
    </row>
    <row r="6506" spans="1:4">
      <c r="A6506" s="691"/>
      <c r="D6506" s="3"/>
    </row>
    <row r="6507" spans="1:4">
      <c r="A6507" s="691"/>
      <c r="D6507" s="3"/>
    </row>
    <row r="6508" spans="1:4">
      <c r="A6508" s="691"/>
      <c r="D6508" s="3"/>
    </row>
    <row r="6509" spans="1:4">
      <c r="A6509" s="691"/>
      <c r="D6509" s="3"/>
    </row>
    <row r="6510" spans="1:4">
      <c r="A6510" s="691"/>
      <c r="D6510" s="3"/>
    </row>
    <row r="6511" spans="1:4">
      <c r="A6511" s="691"/>
      <c r="D6511" s="3"/>
    </row>
    <row r="6512" spans="1:4">
      <c r="A6512" s="691"/>
      <c r="D6512" s="3"/>
    </row>
    <row r="6513" spans="1:4">
      <c r="A6513" s="691"/>
      <c r="D6513" s="3"/>
    </row>
    <row r="6514" spans="1:4">
      <c r="A6514" s="691"/>
      <c r="D6514" s="3"/>
    </row>
    <row r="6515" spans="1:4">
      <c r="A6515" s="691"/>
      <c r="D6515" s="3"/>
    </row>
    <row r="6516" spans="1:4">
      <c r="A6516" s="691"/>
      <c r="D6516" s="3"/>
    </row>
    <row r="6517" spans="1:4">
      <c r="A6517" s="691"/>
      <c r="D6517" s="3"/>
    </row>
    <row r="6518" spans="1:4">
      <c r="A6518" s="691"/>
      <c r="D6518" s="3"/>
    </row>
    <row r="6519" spans="1:4">
      <c r="A6519" s="691"/>
      <c r="D6519" s="3"/>
    </row>
    <row r="6520" spans="1:4">
      <c r="A6520" s="691"/>
      <c r="D6520" s="3"/>
    </row>
    <row r="6521" spans="1:4">
      <c r="A6521" s="691"/>
      <c r="D6521" s="3"/>
    </row>
    <row r="6522" spans="1:4">
      <c r="A6522" s="691"/>
      <c r="D6522" s="3"/>
    </row>
    <row r="6523" spans="1:4">
      <c r="A6523" s="691"/>
      <c r="D6523" s="3"/>
    </row>
    <row r="6524" spans="1:4">
      <c r="A6524" s="691"/>
      <c r="D6524" s="3"/>
    </row>
    <row r="6525" spans="1:4">
      <c r="A6525" s="691"/>
      <c r="D6525" s="3"/>
    </row>
    <row r="6526" spans="1:4">
      <c r="A6526" s="691"/>
      <c r="D6526" s="3"/>
    </row>
    <row r="6527" spans="1:4">
      <c r="A6527" s="691"/>
      <c r="D6527" s="3"/>
    </row>
    <row r="6528" spans="1:4">
      <c r="A6528" s="691"/>
      <c r="D6528" s="3"/>
    </row>
    <row r="6529" spans="1:4">
      <c r="A6529" s="691"/>
      <c r="D6529" s="3"/>
    </row>
    <row r="6530" spans="1:4">
      <c r="A6530" s="691"/>
      <c r="D6530" s="3"/>
    </row>
    <row r="6531" spans="1:4">
      <c r="A6531" s="691"/>
      <c r="D6531" s="3"/>
    </row>
    <row r="6532" spans="1:4">
      <c r="A6532" s="691"/>
      <c r="D6532" s="3"/>
    </row>
    <row r="6533" spans="1:4">
      <c r="A6533" s="691"/>
      <c r="D6533" s="3"/>
    </row>
    <row r="6534" spans="1:4">
      <c r="A6534" s="691"/>
      <c r="D6534" s="3"/>
    </row>
    <row r="6535" spans="1:4">
      <c r="A6535" s="691"/>
      <c r="D6535" s="3"/>
    </row>
    <row r="6536" spans="1:4">
      <c r="A6536" s="691"/>
      <c r="D6536" s="3"/>
    </row>
    <row r="6537" spans="1:4">
      <c r="A6537" s="691"/>
      <c r="D6537" s="3"/>
    </row>
    <row r="6538" spans="1:4">
      <c r="A6538" s="691"/>
      <c r="D6538" s="3"/>
    </row>
    <row r="6539" spans="1:4">
      <c r="A6539" s="691"/>
      <c r="D6539" s="3"/>
    </row>
    <row r="6540" spans="1:4">
      <c r="A6540" s="691"/>
      <c r="D6540" s="3"/>
    </row>
    <row r="6541" spans="1:4">
      <c r="A6541" s="691"/>
      <c r="D6541" s="3"/>
    </row>
    <row r="6542" spans="1:4">
      <c r="A6542" s="691"/>
      <c r="D6542" s="3"/>
    </row>
    <row r="6543" spans="1:4">
      <c r="A6543" s="691"/>
      <c r="D6543" s="3"/>
    </row>
    <row r="6544" spans="1:4">
      <c r="A6544" s="691"/>
      <c r="D6544" s="3"/>
    </row>
    <row r="6545" spans="1:4">
      <c r="A6545" s="691"/>
      <c r="D6545" s="3"/>
    </row>
    <row r="6546" spans="1:4">
      <c r="A6546" s="691"/>
      <c r="D6546" s="3"/>
    </row>
    <row r="6547" spans="1:4">
      <c r="A6547" s="691"/>
      <c r="D6547" s="3"/>
    </row>
    <row r="6548" spans="1:4">
      <c r="A6548" s="691"/>
      <c r="D6548" s="3"/>
    </row>
    <row r="6549" spans="1:4">
      <c r="A6549" s="691"/>
      <c r="D6549" s="3"/>
    </row>
    <row r="6550" spans="1:4">
      <c r="A6550" s="691"/>
      <c r="D6550" s="3"/>
    </row>
    <row r="6551" spans="1:4">
      <c r="A6551" s="691"/>
      <c r="D6551" s="3"/>
    </row>
    <row r="6552" spans="1:4">
      <c r="A6552" s="691"/>
      <c r="D6552" s="3"/>
    </row>
    <row r="6553" spans="1:4">
      <c r="A6553" s="691"/>
      <c r="D6553" s="3"/>
    </row>
    <row r="6554" spans="1:4">
      <c r="A6554" s="691"/>
      <c r="D6554" s="3"/>
    </row>
    <row r="6555" spans="1:4">
      <c r="A6555" s="691"/>
      <c r="D6555" s="3"/>
    </row>
    <row r="6556" spans="1:4">
      <c r="A6556" s="691"/>
      <c r="D6556" s="3"/>
    </row>
    <row r="6557" spans="1:4">
      <c r="A6557" s="691"/>
      <c r="D6557" s="3"/>
    </row>
    <row r="6558" spans="1:4">
      <c r="A6558" s="691"/>
      <c r="D6558" s="3"/>
    </row>
    <row r="6559" spans="1:4">
      <c r="A6559" s="691"/>
      <c r="D6559" s="3"/>
    </row>
    <row r="6560" spans="1:4">
      <c r="A6560" s="691"/>
      <c r="D6560" s="3"/>
    </row>
    <row r="6561" spans="1:4">
      <c r="A6561" s="691"/>
      <c r="D6561" s="3"/>
    </row>
    <row r="6562" spans="1:4">
      <c r="A6562" s="691"/>
      <c r="D6562" s="3"/>
    </row>
    <row r="6563" spans="1:4">
      <c r="A6563" s="691"/>
      <c r="D6563" s="3"/>
    </row>
    <row r="6564" spans="1:4">
      <c r="A6564" s="691"/>
      <c r="D6564" s="3"/>
    </row>
    <row r="6565" spans="1:4">
      <c r="A6565" s="691"/>
      <c r="D6565" s="3"/>
    </row>
    <row r="6566" spans="1:4">
      <c r="A6566" s="691"/>
      <c r="D6566" s="3"/>
    </row>
    <row r="6567" spans="1:4">
      <c r="A6567" s="691"/>
      <c r="D6567" s="3"/>
    </row>
    <row r="6568" spans="1:4">
      <c r="A6568" s="691"/>
      <c r="D6568" s="3"/>
    </row>
    <row r="6569" spans="1:4">
      <c r="A6569" s="691"/>
      <c r="D6569" s="3"/>
    </row>
    <row r="6570" spans="1:4">
      <c r="A6570" s="691"/>
      <c r="D6570" s="3"/>
    </row>
    <row r="6571" spans="1:4">
      <c r="A6571" s="691"/>
      <c r="D6571" s="3"/>
    </row>
    <row r="6572" spans="1:4">
      <c r="A6572" s="691"/>
      <c r="D6572" s="3"/>
    </row>
    <row r="6573" spans="1:4">
      <c r="A6573" s="691"/>
      <c r="D6573" s="3"/>
    </row>
    <row r="6574" spans="1:4">
      <c r="A6574" s="691"/>
      <c r="D6574" s="3"/>
    </row>
    <row r="6575" spans="1:4">
      <c r="A6575" s="691"/>
      <c r="D6575" s="3"/>
    </row>
    <row r="6576" spans="1:4">
      <c r="A6576" s="691"/>
      <c r="D6576" s="3"/>
    </row>
    <row r="6577" spans="1:4">
      <c r="A6577" s="691"/>
      <c r="D6577" s="3"/>
    </row>
    <row r="6578" spans="1:4">
      <c r="A6578" s="691"/>
      <c r="D6578" s="3"/>
    </row>
    <row r="6579" spans="1:4">
      <c r="A6579" s="691"/>
      <c r="D6579" s="3"/>
    </row>
    <row r="6580" spans="1:4">
      <c r="A6580" s="691"/>
      <c r="D6580" s="3"/>
    </row>
    <row r="6581" spans="1:4">
      <c r="A6581" s="691"/>
      <c r="D6581" s="3"/>
    </row>
    <row r="6582" spans="1:4">
      <c r="A6582" s="691"/>
      <c r="D6582" s="3"/>
    </row>
    <row r="6583" spans="1:4">
      <c r="A6583" s="691"/>
      <c r="D6583" s="3"/>
    </row>
    <row r="6584" spans="1:4">
      <c r="A6584" s="691"/>
      <c r="D6584" s="3"/>
    </row>
    <row r="6585" spans="1:4">
      <c r="A6585" s="691"/>
      <c r="D6585" s="3"/>
    </row>
    <row r="6586" spans="1:4">
      <c r="A6586" s="691"/>
      <c r="D6586" s="3"/>
    </row>
    <row r="6587" spans="1:4">
      <c r="A6587" s="691"/>
      <c r="D6587" s="3"/>
    </row>
    <row r="6588" spans="1:4">
      <c r="A6588" s="691"/>
      <c r="D6588" s="3"/>
    </row>
    <row r="6589" spans="1:4">
      <c r="A6589" s="691"/>
      <c r="D6589" s="3"/>
    </row>
    <row r="6590" spans="1:4">
      <c r="A6590" s="691"/>
      <c r="D6590" s="3"/>
    </row>
    <row r="6591" spans="1:4">
      <c r="A6591" s="691"/>
      <c r="D6591" s="3"/>
    </row>
    <row r="6592" spans="1:4">
      <c r="A6592" s="691"/>
      <c r="D6592" s="3"/>
    </row>
    <row r="6593" spans="1:4">
      <c r="A6593" s="691"/>
      <c r="D6593" s="3"/>
    </row>
    <row r="6594" spans="1:4">
      <c r="A6594" s="691"/>
      <c r="D6594" s="3"/>
    </row>
    <row r="6595" spans="1:4">
      <c r="A6595" s="691"/>
      <c r="D6595" s="3"/>
    </row>
    <row r="6596" spans="1:4">
      <c r="A6596" s="691"/>
      <c r="D6596" s="3"/>
    </row>
    <row r="6597" spans="1:4">
      <c r="A6597" s="691"/>
      <c r="D6597" s="3"/>
    </row>
    <row r="6598" spans="1:4">
      <c r="A6598" s="691"/>
      <c r="D6598" s="3"/>
    </row>
    <row r="6599" spans="1:4">
      <c r="A6599" s="691"/>
      <c r="D6599" s="3"/>
    </row>
    <row r="6600" spans="1:4">
      <c r="A6600" s="691"/>
      <c r="D6600" s="3"/>
    </row>
    <row r="6601" spans="1:4">
      <c r="A6601" s="691"/>
      <c r="D6601" s="3"/>
    </row>
    <row r="6602" spans="1:4">
      <c r="A6602" s="691"/>
      <c r="D6602" s="3"/>
    </row>
    <row r="6603" spans="1:4">
      <c r="A6603" s="691"/>
      <c r="D6603" s="3"/>
    </row>
    <row r="6604" spans="1:4">
      <c r="A6604" s="691"/>
      <c r="D6604" s="3"/>
    </row>
    <row r="6605" spans="1:4">
      <c r="A6605" s="691"/>
      <c r="D6605" s="3"/>
    </row>
    <row r="6606" spans="1:4">
      <c r="A6606" s="691"/>
      <c r="D6606" s="3"/>
    </row>
    <row r="6607" spans="1:4">
      <c r="A6607" s="691"/>
      <c r="D6607" s="3"/>
    </row>
    <row r="6608" spans="1:4">
      <c r="A6608" s="691"/>
      <c r="D6608" s="3"/>
    </row>
    <row r="6609" spans="1:4">
      <c r="A6609" s="691"/>
      <c r="D6609" s="3"/>
    </row>
    <row r="6610" spans="1:4">
      <c r="A6610" s="691"/>
      <c r="D6610" s="3"/>
    </row>
    <row r="6611" spans="1:4">
      <c r="A6611" s="691"/>
      <c r="D6611" s="3"/>
    </row>
    <row r="6612" spans="1:4">
      <c r="A6612" s="691"/>
      <c r="D6612" s="3"/>
    </row>
    <row r="6613" spans="1:4">
      <c r="A6613" s="691"/>
      <c r="D6613" s="3"/>
    </row>
    <row r="6614" spans="1:4">
      <c r="A6614" s="691"/>
      <c r="D6614" s="3"/>
    </row>
    <row r="6615" spans="1:4">
      <c r="A6615" s="691"/>
      <c r="D6615" s="3"/>
    </row>
    <row r="6616" spans="1:4">
      <c r="A6616" s="691"/>
      <c r="D6616" s="3"/>
    </row>
    <row r="6617" spans="1:4">
      <c r="A6617" s="691"/>
      <c r="D6617" s="3"/>
    </row>
    <row r="6618" spans="1:4">
      <c r="A6618" s="691"/>
      <c r="D6618" s="3"/>
    </row>
    <row r="6619" spans="1:4">
      <c r="A6619" s="691"/>
      <c r="D6619" s="3"/>
    </row>
    <row r="6620" spans="1:4">
      <c r="A6620" s="691"/>
      <c r="D6620" s="3"/>
    </row>
    <row r="6621" spans="1:4">
      <c r="A6621" s="691"/>
      <c r="D6621" s="3"/>
    </row>
    <row r="6622" spans="1:4">
      <c r="A6622" s="691"/>
      <c r="D6622" s="3"/>
    </row>
    <row r="6623" spans="1:4">
      <c r="A6623" s="691"/>
      <c r="D6623" s="3"/>
    </row>
    <row r="6624" spans="1:4">
      <c r="A6624" s="691"/>
      <c r="D6624" s="3"/>
    </row>
    <row r="6625" spans="1:4">
      <c r="A6625" s="691"/>
      <c r="D6625" s="3"/>
    </row>
    <row r="6626" spans="1:4">
      <c r="A6626" s="691"/>
      <c r="D6626" s="3"/>
    </row>
    <row r="6627" spans="1:4">
      <c r="A6627" s="691"/>
      <c r="D6627" s="3"/>
    </row>
    <row r="6628" spans="1:4">
      <c r="A6628" s="691"/>
      <c r="D6628" s="3"/>
    </row>
    <row r="6629" spans="1:4">
      <c r="A6629" s="691"/>
      <c r="D6629" s="3"/>
    </row>
    <row r="6630" spans="1:4">
      <c r="A6630" s="691"/>
      <c r="D6630" s="3"/>
    </row>
    <row r="6631" spans="1:4">
      <c r="A6631" s="691"/>
      <c r="D6631" s="3"/>
    </row>
    <row r="6632" spans="1:4">
      <c r="A6632" s="691"/>
      <c r="D6632" s="3"/>
    </row>
    <row r="6633" spans="1:4">
      <c r="A6633" s="691"/>
      <c r="D6633" s="3"/>
    </row>
    <row r="6634" spans="1:4">
      <c r="A6634" s="691"/>
      <c r="D6634" s="3"/>
    </row>
    <row r="6635" spans="1:4">
      <c r="A6635" s="691"/>
      <c r="D6635" s="3"/>
    </row>
    <row r="6636" spans="1:4">
      <c r="A6636" s="691"/>
      <c r="D6636" s="3"/>
    </row>
    <row r="6637" spans="1:4">
      <c r="A6637" s="691"/>
      <c r="D6637" s="3"/>
    </row>
    <row r="6638" spans="1:4">
      <c r="A6638" s="691"/>
      <c r="D6638" s="3"/>
    </row>
    <row r="6639" spans="1:4">
      <c r="A6639" s="691"/>
      <c r="D6639" s="3"/>
    </row>
    <row r="6640" spans="1:4">
      <c r="A6640" s="691"/>
      <c r="D6640" s="3"/>
    </row>
    <row r="6641" spans="1:4">
      <c r="A6641" s="691"/>
      <c r="D6641" s="3"/>
    </row>
    <row r="6642" spans="1:4">
      <c r="A6642" s="691"/>
      <c r="D6642" s="3"/>
    </row>
    <row r="6643" spans="1:4">
      <c r="A6643" s="691"/>
      <c r="D6643" s="3"/>
    </row>
    <row r="6644" spans="1:4">
      <c r="A6644" s="691"/>
      <c r="D6644" s="3"/>
    </row>
    <row r="6645" spans="1:4">
      <c r="A6645" s="691"/>
      <c r="D6645" s="3"/>
    </row>
    <row r="6646" spans="1:4">
      <c r="A6646" s="691"/>
      <c r="D6646" s="3"/>
    </row>
    <row r="6647" spans="1:4">
      <c r="A6647" s="691"/>
      <c r="D6647" s="3"/>
    </row>
    <row r="6648" spans="1:4">
      <c r="A6648" s="691"/>
      <c r="D6648" s="3"/>
    </row>
    <row r="6649" spans="1:4">
      <c r="A6649" s="691"/>
      <c r="D6649" s="3"/>
    </row>
    <row r="6650" spans="1:4">
      <c r="A6650" s="691"/>
      <c r="D6650" s="3"/>
    </row>
    <row r="6651" spans="1:4">
      <c r="A6651" s="691"/>
      <c r="D6651" s="3"/>
    </row>
    <row r="6652" spans="1:4">
      <c r="A6652" s="691"/>
      <c r="D6652" s="3"/>
    </row>
    <row r="6653" spans="1:4">
      <c r="A6653" s="691"/>
      <c r="D6653" s="3"/>
    </row>
    <row r="6654" spans="1:4">
      <c r="A6654" s="691"/>
      <c r="D6654" s="3"/>
    </row>
    <row r="6655" spans="1:4">
      <c r="A6655" s="691"/>
      <c r="D6655" s="3"/>
    </row>
    <row r="6656" spans="1:4">
      <c r="A6656" s="691"/>
      <c r="D6656" s="3"/>
    </row>
    <row r="6657" spans="1:4">
      <c r="A6657" s="691"/>
      <c r="D6657" s="3"/>
    </row>
    <row r="6658" spans="1:4">
      <c r="A6658" s="691"/>
      <c r="D6658" s="3"/>
    </row>
    <row r="6659" spans="1:4">
      <c r="A6659" s="691"/>
      <c r="D6659" s="3"/>
    </row>
    <row r="6660" spans="1:4">
      <c r="A6660" s="691"/>
      <c r="D6660" s="3"/>
    </row>
    <row r="6661" spans="1:4">
      <c r="A6661" s="691"/>
      <c r="D6661" s="3"/>
    </row>
    <row r="6662" spans="1:4">
      <c r="A6662" s="691"/>
      <c r="D6662" s="3"/>
    </row>
    <row r="6663" spans="1:4">
      <c r="A6663" s="691"/>
      <c r="D6663" s="3"/>
    </row>
    <row r="6664" spans="1:4">
      <c r="A6664" s="691"/>
      <c r="D6664" s="3"/>
    </row>
    <row r="6665" spans="1:4">
      <c r="A6665" s="691"/>
      <c r="D6665" s="3"/>
    </row>
    <row r="6666" spans="1:4">
      <c r="A6666" s="691"/>
      <c r="D6666" s="3"/>
    </row>
    <row r="6667" spans="1:4">
      <c r="A6667" s="691"/>
      <c r="D6667" s="3"/>
    </row>
    <row r="6668" spans="1:4">
      <c r="A6668" s="691"/>
      <c r="D6668" s="3"/>
    </row>
    <row r="6669" spans="1:4">
      <c r="A6669" s="691"/>
      <c r="D6669" s="3"/>
    </row>
    <row r="6670" spans="1:4">
      <c r="A6670" s="691"/>
      <c r="D6670" s="3"/>
    </row>
    <row r="6671" spans="1:4">
      <c r="A6671" s="691"/>
      <c r="D6671" s="3"/>
    </row>
    <row r="6672" spans="1:4">
      <c r="A6672" s="691"/>
      <c r="D6672" s="3"/>
    </row>
    <row r="6673" spans="1:4">
      <c r="A6673" s="691"/>
      <c r="D6673" s="3"/>
    </row>
    <row r="6674" spans="1:4">
      <c r="A6674" s="691"/>
      <c r="D6674" s="3"/>
    </row>
    <row r="6675" spans="1:4">
      <c r="A6675" s="691"/>
      <c r="D6675" s="3"/>
    </row>
    <row r="6676" spans="1:4">
      <c r="A6676" s="691"/>
      <c r="D6676" s="3"/>
    </row>
    <row r="6677" spans="1:4">
      <c r="A6677" s="691"/>
      <c r="D6677" s="3"/>
    </row>
    <row r="6678" spans="1:4">
      <c r="A6678" s="691"/>
      <c r="D6678" s="3"/>
    </row>
    <row r="6679" spans="1:4">
      <c r="A6679" s="691"/>
      <c r="D6679" s="3"/>
    </row>
    <row r="6680" spans="1:4">
      <c r="A6680" s="691"/>
      <c r="D6680" s="3"/>
    </row>
    <row r="6681" spans="1:4">
      <c r="A6681" s="691"/>
      <c r="D6681" s="3"/>
    </row>
    <row r="6682" spans="1:4">
      <c r="A6682" s="691"/>
      <c r="D6682" s="3"/>
    </row>
    <row r="6683" spans="1:4">
      <c r="A6683" s="691"/>
      <c r="D6683" s="3"/>
    </row>
    <row r="6684" spans="1:4">
      <c r="A6684" s="691"/>
      <c r="D6684" s="3"/>
    </row>
    <row r="6685" spans="1:4">
      <c r="A6685" s="691"/>
      <c r="D6685" s="3"/>
    </row>
    <row r="6686" spans="1:4">
      <c r="A6686" s="691"/>
      <c r="D6686" s="3"/>
    </row>
    <row r="6687" spans="1:4">
      <c r="A6687" s="691"/>
      <c r="D6687" s="3"/>
    </row>
    <row r="6688" spans="1:4">
      <c r="A6688" s="691"/>
      <c r="D6688" s="3"/>
    </row>
    <row r="6689" spans="1:4">
      <c r="A6689" s="691"/>
      <c r="D6689" s="3"/>
    </row>
    <row r="6690" spans="1:4">
      <c r="A6690" s="691"/>
      <c r="D6690" s="3"/>
    </row>
    <row r="6691" spans="1:4">
      <c r="A6691" s="691"/>
      <c r="D6691" s="3"/>
    </row>
    <row r="6692" spans="1:4">
      <c r="A6692" s="691"/>
      <c r="D6692" s="3"/>
    </row>
    <row r="6693" spans="1:4">
      <c r="A6693" s="691"/>
      <c r="D6693" s="3"/>
    </row>
    <row r="6694" spans="1:4">
      <c r="A6694" s="691"/>
      <c r="D6694" s="3"/>
    </row>
    <row r="6695" spans="1:4">
      <c r="A6695" s="691"/>
      <c r="D6695" s="3"/>
    </row>
    <row r="6696" spans="1:4">
      <c r="A6696" s="691"/>
      <c r="D6696" s="3"/>
    </row>
    <row r="6697" spans="1:4">
      <c r="A6697" s="691"/>
      <c r="D6697" s="3"/>
    </row>
    <row r="6698" spans="1:4">
      <c r="A6698" s="691"/>
      <c r="D6698" s="3"/>
    </row>
    <row r="6699" spans="1:4">
      <c r="A6699" s="691"/>
      <c r="D6699" s="3"/>
    </row>
    <row r="6700" spans="1:4">
      <c r="A6700" s="691"/>
      <c r="D6700" s="3"/>
    </row>
    <row r="6701" spans="1:4">
      <c r="A6701" s="691"/>
      <c r="D6701" s="3"/>
    </row>
    <row r="6702" spans="1:4">
      <c r="A6702" s="691"/>
      <c r="D6702" s="3"/>
    </row>
    <row r="6703" spans="1:4">
      <c r="A6703" s="691"/>
      <c r="D6703" s="3"/>
    </row>
    <row r="6704" spans="1:4">
      <c r="A6704" s="691"/>
      <c r="D6704" s="3"/>
    </row>
    <row r="6705" spans="1:4">
      <c r="A6705" s="691"/>
      <c r="D6705" s="3"/>
    </row>
    <row r="6706" spans="1:4">
      <c r="A6706" s="691"/>
      <c r="D6706" s="3"/>
    </row>
    <row r="6707" spans="1:4">
      <c r="A6707" s="691"/>
      <c r="D6707" s="3"/>
    </row>
    <row r="6708" spans="1:4">
      <c r="A6708" s="691"/>
      <c r="D6708" s="3"/>
    </row>
    <row r="6709" spans="1:4">
      <c r="A6709" s="691"/>
      <c r="D6709" s="3"/>
    </row>
    <row r="6710" spans="1:4">
      <c r="A6710" s="691"/>
      <c r="D6710" s="3"/>
    </row>
    <row r="6711" spans="1:4">
      <c r="A6711" s="691"/>
      <c r="D6711" s="3"/>
    </row>
    <row r="6712" spans="1:4">
      <c r="A6712" s="691"/>
      <c r="D6712" s="3"/>
    </row>
    <row r="6713" spans="1:4">
      <c r="A6713" s="691"/>
      <c r="D6713" s="3"/>
    </row>
    <row r="6714" spans="1:4">
      <c r="A6714" s="691"/>
      <c r="D6714" s="3"/>
    </row>
    <row r="6715" spans="1:4">
      <c r="A6715" s="691"/>
      <c r="D6715" s="3"/>
    </row>
    <row r="6716" spans="1:4">
      <c r="A6716" s="691"/>
      <c r="D6716" s="3"/>
    </row>
    <row r="6717" spans="1:4">
      <c r="A6717" s="691"/>
      <c r="D6717" s="3"/>
    </row>
    <row r="6718" spans="1:4">
      <c r="A6718" s="691"/>
      <c r="D6718" s="3"/>
    </row>
    <row r="6719" spans="1:4">
      <c r="A6719" s="691"/>
      <c r="D6719" s="3"/>
    </row>
    <row r="6720" spans="1:4">
      <c r="A6720" s="691"/>
      <c r="D6720" s="3"/>
    </row>
    <row r="6721" spans="1:4">
      <c r="A6721" s="691"/>
      <c r="D6721" s="3"/>
    </row>
    <row r="6722" spans="1:4">
      <c r="A6722" s="691"/>
      <c r="D6722" s="3"/>
    </row>
    <row r="6723" spans="1:4">
      <c r="A6723" s="691"/>
      <c r="D6723" s="3"/>
    </row>
    <row r="6724" spans="1:4">
      <c r="A6724" s="691"/>
      <c r="D6724" s="3"/>
    </row>
    <row r="6725" spans="1:4">
      <c r="A6725" s="691"/>
      <c r="D6725" s="3"/>
    </row>
    <row r="6726" spans="1:4">
      <c r="A6726" s="691"/>
      <c r="D6726" s="3"/>
    </row>
    <row r="6727" spans="1:4">
      <c r="A6727" s="691"/>
      <c r="D6727" s="3"/>
    </row>
    <row r="6728" spans="1:4">
      <c r="A6728" s="691"/>
      <c r="D6728" s="3"/>
    </row>
    <row r="6729" spans="1:4">
      <c r="A6729" s="691"/>
      <c r="D6729" s="3"/>
    </row>
    <row r="6730" spans="1:4">
      <c r="A6730" s="691"/>
      <c r="D6730" s="3"/>
    </row>
    <row r="6731" spans="1:4">
      <c r="A6731" s="691"/>
      <c r="D6731" s="3"/>
    </row>
    <row r="6732" spans="1:4">
      <c r="A6732" s="691"/>
      <c r="D6732" s="3"/>
    </row>
    <row r="6733" spans="1:4">
      <c r="A6733" s="691"/>
      <c r="D6733" s="3"/>
    </row>
    <row r="6734" spans="1:4">
      <c r="A6734" s="691"/>
      <c r="D6734" s="3"/>
    </row>
    <row r="6735" spans="1:4">
      <c r="A6735" s="691"/>
      <c r="D6735" s="3"/>
    </row>
    <row r="6736" spans="1:4">
      <c r="A6736" s="691"/>
      <c r="D6736" s="3"/>
    </row>
    <row r="6737" spans="1:4">
      <c r="A6737" s="691"/>
      <c r="D6737" s="3"/>
    </row>
    <row r="6738" spans="1:4">
      <c r="A6738" s="691"/>
      <c r="D6738" s="3"/>
    </row>
    <row r="6739" spans="1:4">
      <c r="A6739" s="691"/>
      <c r="D6739" s="3"/>
    </row>
    <row r="6740" spans="1:4">
      <c r="A6740" s="691"/>
      <c r="D6740" s="3"/>
    </row>
    <row r="6741" spans="1:4">
      <c r="A6741" s="691"/>
      <c r="D6741" s="3"/>
    </row>
    <row r="6742" spans="1:4">
      <c r="A6742" s="691"/>
      <c r="D6742" s="3"/>
    </row>
    <row r="6743" spans="1:4">
      <c r="A6743" s="691"/>
      <c r="D6743" s="3"/>
    </row>
    <row r="6744" spans="1:4">
      <c r="A6744" s="691"/>
      <c r="D6744" s="3"/>
    </row>
    <row r="6745" spans="1:4">
      <c r="A6745" s="691"/>
      <c r="D6745" s="3"/>
    </row>
    <row r="6746" spans="1:4">
      <c r="A6746" s="691"/>
      <c r="D6746" s="3"/>
    </row>
    <row r="6747" spans="1:4">
      <c r="A6747" s="691"/>
      <c r="D6747" s="3"/>
    </row>
    <row r="6748" spans="1:4">
      <c r="A6748" s="691"/>
      <c r="D6748" s="3"/>
    </row>
    <row r="6749" spans="1:4">
      <c r="A6749" s="691"/>
      <c r="D6749" s="3"/>
    </row>
    <row r="6750" spans="1:4">
      <c r="A6750" s="691"/>
      <c r="D6750" s="3"/>
    </row>
    <row r="6751" spans="1:4">
      <c r="A6751" s="691"/>
      <c r="D6751" s="3"/>
    </row>
    <row r="6752" spans="1:4">
      <c r="A6752" s="691"/>
      <c r="D6752" s="3"/>
    </row>
    <row r="6753" spans="1:4">
      <c r="A6753" s="691"/>
      <c r="D6753" s="3"/>
    </row>
    <row r="6754" spans="1:4">
      <c r="A6754" s="691"/>
      <c r="D6754" s="3"/>
    </row>
    <row r="6755" spans="1:4">
      <c r="A6755" s="691"/>
      <c r="D6755" s="3"/>
    </row>
    <row r="6756" spans="1:4">
      <c r="A6756" s="691"/>
      <c r="D6756" s="3"/>
    </row>
    <row r="6757" spans="1:4">
      <c r="A6757" s="691"/>
      <c r="D6757" s="3"/>
    </row>
    <row r="6758" spans="1:4">
      <c r="A6758" s="691"/>
      <c r="D6758" s="3"/>
    </row>
    <row r="6759" spans="1:4">
      <c r="A6759" s="691"/>
      <c r="D6759" s="3"/>
    </row>
    <row r="6760" spans="1:4">
      <c r="A6760" s="691"/>
      <c r="D6760" s="3"/>
    </row>
    <row r="6761" spans="1:4">
      <c r="A6761" s="691"/>
      <c r="D6761" s="3"/>
    </row>
    <row r="6762" spans="1:4">
      <c r="A6762" s="691"/>
      <c r="D6762" s="3"/>
    </row>
    <row r="6763" spans="1:4">
      <c r="A6763" s="691"/>
      <c r="D6763" s="3"/>
    </row>
    <row r="6764" spans="1:4">
      <c r="A6764" s="691"/>
      <c r="D6764" s="3"/>
    </row>
    <row r="6765" spans="1:4">
      <c r="A6765" s="691"/>
      <c r="D6765" s="3"/>
    </row>
    <row r="6766" spans="1:4">
      <c r="A6766" s="691"/>
      <c r="D6766" s="3"/>
    </row>
    <row r="6767" spans="1:4">
      <c r="A6767" s="691"/>
      <c r="D6767" s="3"/>
    </row>
    <row r="6768" spans="1:4">
      <c r="A6768" s="691"/>
      <c r="D6768" s="3"/>
    </row>
    <row r="6769" spans="1:4">
      <c r="A6769" s="691"/>
      <c r="D6769" s="3"/>
    </row>
    <row r="6770" spans="1:4">
      <c r="A6770" s="691"/>
      <c r="D6770" s="3"/>
    </row>
    <row r="6771" spans="1:4">
      <c r="A6771" s="691"/>
      <c r="D6771" s="3"/>
    </row>
    <row r="6772" spans="1:4">
      <c r="A6772" s="691"/>
      <c r="D6772" s="3"/>
    </row>
    <row r="6773" spans="1:4">
      <c r="A6773" s="691"/>
      <c r="D6773" s="3"/>
    </row>
    <row r="6774" spans="1:4">
      <c r="A6774" s="691"/>
      <c r="D6774" s="3"/>
    </row>
    <row r="6775" spans="1:4">
      <c r="A6775" s="691"/>
      <c r="D6775" s="3"/>
    </row>
    <row r="6776" spans="1:4">
      <c r="A6776" s="691"/>
      <c r="D6776" s="3"/>
    </row>
    <row r="6777" spans="1:4">
      <c r="A6777" s="691"/>
      <c r="D6777" s="3"/>
    </row>
    <row r="6778" spans="1:4">
      <c r="A6778" s="691"/>
      <c r="D6778" s="3"/>
    </row>
    <row r="6779" spans="1:4">
      <c r="A6779" s="691"/>
      <c r="D6779" s="3"/>
    </row>
    <row r="6780" spans="1:4">
      <c r="A6780" s="691"/>
      <c r="D6780" s="3"/>
    </row>
    <row r="6781" spans="1:4">
      <c r="A6781" s="691"/>
      <c r="D6781" s="3"/>
    </row>
    <row r="6782" spans="1:4">
      <c r="A6782" s="691"/>
      <c r="D6782" s="3"/>
    </row>
    <row r="6783" spans="1:4">
      <c r="A6783" s="691"/>
      <c r="D6783" s="3"/>
    </row>
    <row r="6784" spans="1:4">
      <c r="A6784" s="691"/>
      <c r="D6784" s="3"/>
    </row>
    <row r="6785" spans="1:4">
      <c r="A6785" s="691"/>
      <c r="D6785" s="3"/>
    </row>
    <row r="6786" spans="1:4">
      <c r="A6786" s="691"/>
      <c r="D6786" s="3"/>
    </row>
    <row r="6787" spans="1:4">
      <c r="A6787" s="691"/>
      <c r="D6787" s="3"/>
    </row>
    <row r="6788" spans="1:4">
      <c r="A6788" s="691"/>
      <c r="D6788" s="3"/>
    </row>
    <row r="6789" spans="1:4">
      <c r="A6789" s="691"/>
      <c r="D6789" s="3"/>
    </row>
    <row r="6790" spans="1:4">
      <c r="A6790" s="691"/>
      <c r="D6790" s="3"/>
    </row>
    <row r="6791" spans="1:4">
      <c r="A6791" s="691"/>
      <c r="D6791" s="3"/>
    </row>
    <row r="6792" spans="1:4">
      <c r="A6792" s="691"/>
      <c r="D6792" s="3"/>
    </row>
    <row r="6793" spans="1:4">
      <c r="A6793" s="691"/>
      <c r="D6793" s="3"/>
    </row>
    <row r="6794" spans="1:4">
      <c r="A6794" s="691"/>
      <c r="D6794" s="3"/>
    </row>
    <row r="6795" spans="1:4">
      <c r="A6795" s="691"/>
      <c r="D6795" s="3"/>
    </row>
    <row r="6796" spans="1:4">
      <c r="A6796" s="691"/>
      <c r="D6796" s="3"/>
    </row>
    <row r="6797" spans="1:4">
      <c r="A6797" s="691"/>
      <c r="D6797" s="3"/>
    </row>
    <row r="6798" spans="1:4">
      <c r="A6798" s="691"/>
      <c r="D6798" s="3"/>
    </row>
    <row r="6799" spans="1:4">
      <c r="A6799" s="691"/>
      <c r="D6799" s="3"/>
    </row>
    <row r="6800" spans="1:4">
      <c r="A6800" s="691"/>
      <c r="D6800" s="3"/>
    </row>
    <row r="6801" spans="1:4">
      <c r="A6801" s="691"/>
      <c r="D6801" s="3"/>
    </row>
    <row r="6802" spans="1:4">
      <c r="A6802" s="691"/>
      <c r="D6802" s="3"/>
    </row>
    <row r="6803" spans="1:4">
      <c r="A6803" s="691"/>
      <c r="D6803" s="3"/>
    </row>
    <row r="6804" spans="1:4">
      <c r="A6804" s="691"/>
      <c r="D6804" s="3"/>
    </row>
    <row r="6805" spans="1:4">
      <c r="A6805" s="691"/>
      <c r="D6805" s="3"/>
    </row>
    <row r="6806" spans="1:4">
      <c r="A6806" s="691"/>
      <c r="D6806" s="3"/>
    </row>
    <row r="6807" spans="1:4">
      <c r="A6807" s="691"/>
      <c r="D6807" s="3"/>
    </row>
    <row r="6808" spans="1:4">
      <c r="A6808" s="691"/>
      <c r="D6808" s="3"/>
    </row>
    <row r="6809" spans="1:4">
      <c r="A6809" s="691"/>
      <c r="D6809" s="3"/>
    </row>
    <row r="6810" spans="1:4">
      <c r="A6810" s="691"/>
      <c r="D6810" s="3"/>
    </row>
    <row r="6811" spans="1:4">
      <c r="A6811" s="691"/>
      <c r="D6811" s="3"/>
    </row>
    <row r="6812" spans="1:4">
      <c r="A6812" s="691"/>
      <c r="D6812" s="3"/>
    </row>
    <row r="6813" spans="1:4">
      <c r="A6813" s="691"/>
      <c r="D6813" s="3"/>
    </row>
    <row r="6814" spans="1:4">
      <c r="A6814" s="691"/>
      <c r="D6814" s="3"/>
    </row>
    <row r="6815" spans="1:4">
      <c r="A6815" s="691"/>
      <c r="D6815" s="3"/>
    </row>
    <row r="6816" spans="1:4">
      <c r="A6816" s="691"/>
      <c r="D6816" s="3"/>
    </row>
    <row r="6817" spans="1:4">
      <c r="A6817" s="691"/>
      <c r="D6817" s="3"/>
    </row>
    <row r="6818" spans="1:4">
      <c r="A6818" s="691"/>
      <c r="D6818" s="3"/>
    </row>
    <row r="6819" spans="1:4">
      <c r="A6819" s="691"/>
      <c r="D6819" s="3"/>
    </row>
    <row r="6820" spans="1:4">
      <c r="A6820" s="691"/>
      <c r="D6820" s="3"/>
    </row>
    <row r="6821" spans="1:4">
      <c r="A6821" s="691"/>
      <c r="D6821" s="3"/>
    </row>
    <row r="6822" spans="1:4">
      <c r="A6822" s="691"/>
      <c r="D6822" s="3"/>
    </row>
    <row r="6823" spans="1:4">
      <c r="A6823" s="691"/>
      <c r="D6823" s="3"/>
    </row>
    <row r="6824" spans="1:4">
      <c r="A6824" s="691"/>
      <c r="D6824" s="3"/>
    </row>
    <row r="6825" spans="1:4">
      <c r="A6825" s="691"/>
      <c r="D6825" s="3"/>
    </row>
    <row r="6826" spans="1:4">
      <c r="A6826" s="691"/>
      <c r="D6826" s="3"/>
    </row>
    <row r="6827" spans="1:4">
      <c r="A6827" s="691"/>
      <c r="D6827" s="3"/>
    </row>
    <row r="6828" spans="1:4">
      <c r="A6828" s="691"/>
      <c r="D6828" s="3"/>
    </row>
    <row r="6829" spans="1:4">
      <c r="A6829" s="691"/>
      <c r="D6829" s="3"/>
    </row>
    <row r="6830" spans="1:4">
      <c r="A6830" s="691"/>
      <c r="D6830" s="3"/>
    </row>
    <row r="6831" spans="1:4">
      <c r="A6831" s="691"/>
      <c r="D6831" s="3"/>
    </row>
    <row r="6832" spans="1:4">
      <c r="A6832" s="691"/>
      <c r="D6832" s="3"/>
    </row>
    <row r="6833" spans="1:4">
      <c r="A6833" s="691"/>
      <c r="D6833" s="3"/>
    </row>
    <row r="6834" spans="1:4">
      <c r="A6834" s="691"/>
      <c r="D6834" s="3"/>
    </row>
    <row r="6835" spans="1:4">
      <c r="A6835" s="691"/>
      <c r="D6835" s="3"/>
    </row>
    <row r="6836" spans="1:4">
      <c r="A6836" s="691"/>
      <c r="D6836" s="3"/>
    </row>
    <row r="6837" spans="1:4">
      <c r="A6837" s="691"/>
      <c r="D6837" s="3"/>
    </row>
    <row r="6838" spans="1:4">
      <c r="A6838" s="691"/>
      <c r="D6838" s="3"/>
    </row>
    <row r="6839" spans="1:4">
      <c r="A6839" s="691"/>
      <c r="D6839" s="3"/>
    </row>
    <row r="6840" spans="1:4">
      <c r="A6840" s="691"/>
      <c r="D6840" s="3"/>
    </row>
    <row r="6841" spans="1:4">
      <c r="A6841" s="691"/>
      <c r="D6841" s="3"/>
    </row>
    <row r="6842" spans="1:4">
      <c r="A6842" s="691"/>
      <c r="D6842" s="3"/>
    </row>
    <row r="6843" spans="1:4">
      <c r="A6843" s="691"/>
      <c r="D6843" s="3"/>
    </row>
    <row r="6844" spans="1:4">
      <c r="A6844" s="691"/>
      <c r="D6844" s="3"/>
    </row>
    <row r="6845" spans="1:4">
      <c r="A6845" s="691"/>
      <c r="D6845" s="3"/>
    </row>
    <row r="6846" spans="1:4">
      <c r="A6846" s="691"/>
      <c r="D6846" s="3"/>
    </row>
    <row r="6847" spans="1:4">
      <c r="A6847" s="691"/>
      <c r="D6847" s="3"/>
    </row>
    <row r="6848" spans="1:4">
      <c r="A6848" s="691"/>
      <c r="D6848" s="3"/>
    </row>
    <row r="6849" spans="1:4">
      <c r="A6849" s="691"/>
      <c r="D6849" s="3"/>
    </row>
    <row r="6850" spans="1:4">
      <c r="A6850" s="691"/>
      <c r="D6850" s="3"/>
    </row>
    <row r="6851" spans="1:4">
      <c r="A6851" s="691"/>
      <c r="D6851" s="3"/>
    </row>
    <row r="6852" spans="1:4">
      <c r="A6852" s="691"/>
      <c r="D6852" s="3"/>
    </row>
    <row r="6853" spans="1:4">
      <c r="A6853" s="691"/>
      <c r="D6853" s="3"/>
    </row>
    <row r="6854" spans="1:4">
      <c r="A6854" s="691"/>
      <c r="D6854" s="3"/>
    </row>
    <row r="6855" spans="1:4">
      <c r="A6855" s="691"/>
      <c r="D6855" s="3"/>
    </row>
    <row r="6856" spans="1:4">
      <c r="A6856" s="691"/>
      <c r="D6856" s="3"/>
    </row>
    <row r="6857" spans="1:4">
      <c r="A6857" s="691"/>
      <c r="D6857" s="3"/>
    </row>
    <row r="6858" spans="1:4">
      <c r="A6858" s="691"/>
      <c r="D6858" s="3"/>
    </row>
    <row r="6859" spans="1:4">
      <c r="A6859" s="691"/>
      <c r="D6859" s="3"/>
    </row>
    <row r="6860" spans="1:4">
      <c r="A6860" s="691"/>
      <c r="D6860" s="3"/>
    </row>
    <row r="6861" spans="1:4">
      <c r="A6861" s="691"/>
      <c r="D6861" s="3"/>
    </row>
    <row r="6862" spans="1:4">
      <c r="A6862" s="691"/>
      <c r="D6862" s="3"/>
    </row>
    <row r="6863" spans="1:4">
      <c r="A6863" s="691"/>
      <c r="D6863" s="3"/>
    </row>
    <row r="6864" spans="1:4">
      <c r="A6864" s="691"/>
      <c r="D6864" s="3"/>
    </row>
    <row r="6865" spans="1:4">
      <c r="A6865" s="691"/>
      <c r="D6865" s="3"/>
    </row>
    <row r="6866" spans="1:4">
      <c r="A6866" s="691"/>
      <c r="D6866" s="3"/>
    </row>
    <row r="6867" spans="1:4">
      <c r="A6867" s="691"/>
      <c r="D6867" s="3"/>
    </row>
    <row r="6868" spans="1:4">
      <c r="A6868" s="691"/>
      <c r="D6868" s="3"/>
    </row>
    <row r="6869" spans="1:4">
      <c r="A6869" s="691"/>
      <c r="D6869" s="3"/>
    </row>
    <row r="6870" spans="1:4">
      <c r="A6870" s="691"/>
      <c r="D6870" s="3"/>
    </row>
    <row r="6871" spans="1:4">
      <c r="A6871" s="691"/>
      <c r="D6871" s="3"/>
    </row>
    <row r="6872" spans="1:4">
      <c r="A6872" s="691"/>
      <c r="D6872" s="3"/>
    </row>
    <row r="6873" spans="1:4">
      <c r="A6873" s="691"/>
      <c r="D6873" s="3"/>
    </row>
    <row r="6874" spans="1:4">
      <c r="A6874" s="691"/>
      <c r="D6874" s="3"/>
    </row>
    <row r="6875" spans="1:4">
      <c r="A6875" s="691"/>
      <c r="D6875" s="3"/>
    </row>
    <row r="6876" spans="1:4">
      <c r="A6876" s="691"/>
      <c r="D6876" s="3"/>
    </row>
    <row r="6877" spans="1:4">
      <c r="A6877" s="691"/>
      <c r="D6877" s="3"/>
    </row>
    <row r="6878" spans="1:4">
      <c r="A6878" s="691"/>
      <c r="D6878" s="3"/>
    </row>
    <row r="6879" spans="1:4">
      <c r="A6879" s="691"/>
      <c r="D6879" s="3"/>
    </row>
    <row r="6880" spans="1:4">
      <c r="A6880" s="691"/>
      <c r="D6880" s="3"/>
    </row>
    <row r="6881" spans="1:4">
      <c r="A6881" s="691"/>
      <c r="D6881" s="3"/>
    </row>
    <row r="6882" spans="1:4">
      <c r="A6882" s="691"/>
      <c r="D6882" s="3"/>
    </row>
    <row r="6883" spans="1:4">
      <c r="A6883" s="691"/>
      <c r="D6883" s="3"/>
    </row>
    <row r="6884" spans="1:4">
      <c r="A6884" s="691"/>
      <c r="D6884" s="3"/>
    </row>
    <row r="6885" spans="1:4">
      <c r="A6885" s="691"/>
      <c r="D6885" s="3"/>
    </row>
    <row r="6886" spans="1:4">
      <c r="A6886" s="691"/>
      <c r="D6886" s="3"/>
    </row>
    <row r="6887" spans="1:4">
      <c r="A6887" s="691"/>
      <c r="D6887" s="3"/>
    </row>
    <row r="6888" spans="1:4">
      <c r="A6888" s="691"/>
      <c r="D6888" s="3"/>
    </row>
    <row r="6889" spans="1:4">
      <c r="A6889" s="691"/>
      <c r="D6889" s="3"/>
    </row>
    <row r="6890" spans="1:4">
      <c r="A6890" s="691"/>
      <c r="D6890" s="3"/>
    </row>
    <row r="6891" spans="1:4">
      <c r="A6891" s="691"/>
      <c r="D6891" s="3"/>
    </row>
    <row r="6892" spans="1:4">
      <c r="A6892" s="691"/>
      <c r="D6892" s="3"/>
    </row>
    <row r="6893" spans="1:4">
      <c r="A6893" s="691"/>
      <c r="D6893" s="3"/>
    </row>
    <row r="6894" spans="1:4">
      <c r="A6894" s="691"/>
      <c r="D6894" s="3"/>
    </row>
    <row r="6895" spans="1:4">
      <c r="A6895" s="691"/>
      <c r="D6895" s="3"/>
    </row>
    <row r="6896" spans="1:4">
      <c r="A6896" s="691"/>
      <c r="D6896" s="3"/>
    </row>
    <row r="6897" spans="1:4">
      <c r="A6897" s="691"/>
      <c r="D6897" s="3"/>
    </row>
    <row r="6898" spans="1:4">
      <c r="A6898" s="691"/>
      <c r="D6898" s="3"/>
    </row>
    <row r="6899" spans="1:4">
      <c r="A6899" s="691"/>
      <c r="D6899" s="3"/>
    </row>
    <row r="6900" spans="1:4">
      <c r="A6900" s="691"/>
      <c r="D6900" s="3"/>
    </row>
    <row r="6901" spans="1:4">
      <c r="A6901" s="691"/>
      <c r="D6901" s="3"/>
    </row>
    <row r="6902" spans="1:4">
      <c r="A6902" s="691"/>
      <c r="D6902" s="3"/>
    </row>
    <row r="6903" spans="1:4">
      <c r="A6903" s="691"/>
      <c r="D6903" s="3"/>
    </row>
    <row r="6904" spans="1:4">
      <c r="A6904" s="691"/>
      <c r="D6904" s="3"/>
    </row>
    <row r="6905" spans="1:4">
      <c r="A6905" s="691"/>
      <c r="D6905" s="3"/>
    </row>
    <row r="6906" spans="1:4">
      <c r="A6906" s="691"/>
      <c r="D6906" s="3"/>
    </row>
    <row r="6907" spans="1:4">
      <c r="A6907" s="691"/>
      <c r="D6907" s="3"/>
    </row>
    <row r="6908" spans="1:4">
      <c r="A6908" s="691"/>
      <c r="D6908" s="3"/>
    </row>
    <row r="6909" spans="1:4">
      <c r="A6909" s="691"/>
      <c r="D6909" s="3"/>
    </row>
    <row r="6910" spans="1:4">
      <c r="A6910" s="691"/>
      <c r="D6910" s="3"/>
    </row>
    <row r="6911" spans="1:4">
      <c r="A6911" s="691"/>
      <c r="D6911" s="3"/>
    </row>
    <row r="6912" spans="1:4">
      <c r="A6912" s="691"/>
      <c r="D6912" s="3"/>
    </row>
    <row r="6913" spans="1:4">
      <c r="A6913" s="691"/>
      <c r="D6913" s="3"/>
    </row>
    <row r="6914" spans="1:4">
      <c r="A6914" s="691"/>
      <c r="D6914" s="3"/>
    </row>
    <row r="6915" spans="1:4">
      <c r="A6915" s="691"/>
      <c r="D6915" s="3"/>
    </row>
    <row r="6916" spans="1:4">
      <c r="A6916" s="691"/>
      <c r="D6916" s="3"/>
    </row>
    <row r="6917" spans="1:4">
      <c r="A6917" s="691"/>
      <c r="D6917" s="3"/>
    </row>
    <row r="6918" spans="1:4">
      <c r="A6918" s="691"/>
      <c r="D6918" s="3"/>
    </row>
    <row r="6919" spans="1:4">
      <c r="A6919" s="691"/>
      <c r="D6919" s="3"/>
    </row>
    <row r="6920" spans="1:4">
      <c r="A6920" s="691"/>
      <c r="D6920" s="3"/>
    </row>
    <row r="6921" spans="1:4">
      <c r="A6921" s="691"/>
      <c r="D6921" s="3"/>
    </row>
    <row r="6922" spans="1:4">
      <c r="A6922" s="691"/>
      <c r="D6922" s="3"/>
    </row>
    <row r="6923" spans="1:4">
      <c r="A6923" s="691"/>
      <c r="D6923" s="3"/>
    </row>
    <row r="6924" spans="1:4">
      <c r="A6924" s="691"/>
      <c r="D6924" s="3"/>
    </row>
    <row r="6925" spans="1:4">
      <c r="A6925" s="691"/>
      <c r="D6925" s="3"/>
    </row>
    <row r="6926" spans="1:4">
      <c r="A6926" s="691"/>
      <c r="D6926" s="3"/>
    </row>
    <row r="6927" spans="1:4">
      <c r="A6927" s="691"/>
      <c r="D6927" s="3"/>
    </row>
    <row r="6928" spans="1:4">
      <c r="A6928" s="691"/>
      <c r="D6928" s="3"/>
    </row>
    <row r="6929" spans="1:4">
      <c r="A6929" s="691"/>
      <c r="D6929" s="3"/>
    </row>
    <row r="6930" spans="1:4">
      <c r="A6930" s="691"/>
      <c r="D6930" s="3"/>
    </row>
    <row r="6931" spans="1:4">
      <c r="A6931" s="691"/>
      <c r="D6931" s="3"/>
    </row>
    <row r="6932" spans="1:4">
      <c r="A6932" s="691"/>
      <c r="D6932" s="3"/>
    </row>
    <row r="6933" spans="1:4">
      <c r="A6933" s="691"/>
      <c r="D6933" s="3"/>
    </row>
    <row r="6934" spans="1:4">
      <c r="A6934" s="691"/>
      <c r="D6934" s="3"/>
    </row>
    <row r="6935" spans="1:4">
      <c r="A6935" s="691"/>
      <c r="D6935" s="3"/>
    </row>
    <row r="6936" spans="1:4">
      <c r="A6936" s="691"/>
      <c r="D6936" s="3"/>
    </row>
    <row r="6937" spans="1:4">
      <c r="A6937" s="691"/>
      <c r="D6937" s="3"/>
    </row>
    <row r="6938" spans="1:4">
      <c r="A6938" s="691"/>
      <c r="D6938" s="3"/>
    </row>
    <row r="6939" spans="1:4">
      <c r="A6939" s="691"/>
      <c r="D6939" s="3"/>
    </row>
    <row r="6940" spans="1:4">
      <c r="A6940" s="691"/>
      <c r="D6940" s="3"/>
    </row>
    <row r="6941" spans="1:4">
      <c r="A6941" s="691"/>
      <c r="D6941" s="3"/>
    </row>
    <row r="6942" spans="1:4">
      <c r="A6942" s="691"/>
      <c r="D6942" s="3"/>
    </row>
    <row r="6943" spans="1:4">
      <c r="A6943" s="691"/>
      <c r="D6943" s="3"/>
    </row>
    <row r="6944" spans="1:4">
      <c r="A6944" s="691"/>
      <c r="D6944" s="3"/>
    </row>
    <row r="6945" spans="1:4">
      <c r="A6945" s="691"/>
      <c r="D6945" s="3"/>
    </row>
    <row r="6946" spans="1:4">
      <c r="A6946" s="691"/>
      <c r="D6946" s="3"/>
    </row>
    <row r="6947" spans="1:4">
      <c r="A6947" s="691"/>
      <c r="D6947" s="3"/>
    </row>
    <row r="6948" spans="1:4">
      <c r="A6948" s="691"/>
      <c r="D6948" s="3"/>
    </row>
    <row r="6949" spans="1:4">
      <c r="A6949" s="691"/>
      <c r="D6949" s="3"/>
    </row>
    <row r="6950" spans="1:4">
      <c r="A6950" s="691"/>
      <c r="D6950" s="3"/>
    </row>
    <row r="6951" spans="1:4">
      <c r="A6951" s="691"/>
      <c r="D6951" s="3"/>
    </row>
    <row r="6952" spans="1:4">
      <c r="A6952" s="691"/>
      <c r="D6952" s="3"/>
    </row>
    <row r="6953" spans="1:4">
      <c r="A6953" s="691"/>
      <c r="D6953" s="3"/>
    </row>
    <row r="6954" spans="1:4">
      <c r="A6954" s="691"/>
      <c r="D6954" s="3"/>
    </row>
    <row r="6955" spans="1:4">
      <c r="A6955" s="691"/>
      <c r="D6955" s="3"/>
    </row>
    <row r="6956" spans="1:4">
      <c r="A6956" s="691"/>
      <c r="D6956" s="3"/>
    </row>
    <row r="6957" spans="1:4">
      <c r="A6957" s="691"/>
      <c r="D6957" s="3"/>
    </row>
    <row r="6958" spans="1:4">
      <c r="A6958" s="691"/>
      <c r="D6958" s="3"/>
    </row>
    <row r="6959" spans="1:4">
      <c r="A6959" s="691"/>
      <c r="D6959" s="3"/>
    </row>
    <row r="6960" spans="1:4">
      <c r="A6960" s="691"/>
      <c r="D6960" s="3"/>
    </row>
    <row r="6961" spans="1:4">
      <c r="A6961" s="691"/>
      <c r="D6961" s="3"/>
    </row>
    <row r="6962" spans="1:4">
      <c r="A6962" s="691"/>
      <c r="D6962" s="3"/>
    </row>
    <row r="6963" spans="1:4">
      <c r="A6963" s="691"/>
      <c r="D6963" s="3"/>
    </row>
    <row r="6964" spans="1:4">
      <c r="A6964" s="691"/>
      <c r="D6964" s="3"/>
    </row>
    <row r="6965" spans="1:4">
      <c r="A6965" s="691"/>
      <c r="D6965" s="3"/>
    </row>
    <row r="6966" spans="1:4">
      <c r="A6966" s="691"/>
      <c r="D6966" s="3"/>
    </row>
    <row r="6967" spans="1:4">
      <c r="A6967" s="691"/>
      <c r="D6967" s="3"/>
    </row>
    <row r="6968" spans="1:4">
      <c r="A6968" s="691"/>
      <c r="D6968" s="3"/>
    </row>
    <row r="6969" spans="1:4">
      <c r="A6969" s="691"/>
      <c r="D6969" s="3"/>
    </row>
    <row r="6970" spans="1:4">
      <c r="A6970" s="691"/>
      <c r="D6970" s="3"/>
    </row>
    <row r="6971" spans="1:4">
      <c r="A6971" s="691"/>
      <c r="D6971" s="3"/>
    </row>
    <row r="6972" spans="1:4">
      <c r="A6972" s="691"/>
      <c r="D6972" s="3"/>
    </row>
    <row r="6973" spans="1:4">
      <c r="A6973" s="691"/>
      <c r="D6973" s="3"/>
    </row>
    <row r="6974" spans="1:4">
      <c r="A6974" s="691"/>
      <c r="D6974" s="3"/>
    </row>
    <row r="6975" spans="1:4">
      <c r="A6975" s="691"/>
      <c r="D6975" s="3"/>
    </row>
    <row r="6976" spans="1:4">
      <c r="A6976" s="691"/>
      <c r="D6976" s="3"/>
    </row>
    <row r="6977" spans="1:4">
      <c r="A6977" s="691"/>
      <c r="D6977" s="3"/>
    </row>
    <row r="6978" spans="1:4">
      <c r="A6978" s="691"/>
      <c r="D6978" s="3"/>
    </row>
    <row r="6979" spans="1:4">
      <c r="A6979" s="691"/>
      <c r="D6979" s="3"/>
    </row>
    <row r="6980" spans="1:4">
      <c r="A6980" s="691"/>
      <c r="D6980" s="3"/>
    </row>
    <row r="6981" spans="1:4">
      <c r="A6981" s="691"/>
      <c r="D6981" s="3"/>
    </row>
    <row r="6982" spans="1:4">
      <c r="A6982" s="691"/>
      <c r="D6982" s="3"/>
    </row>
    <row r="6983" spans="1:4">
      <c r="A6983" s="691"/>
      <c r="D6983" s="3"/>
    </row>
    <row r="6984" spans="1:4">
      <c r="A6984" s="691"/>
      <c r="D6984" s="3"/>
    </row>
    <row r="6985" spans="1:4">
      <c r="A6985" s="691"/>
      <c r="D6985" s="3"/>
    </row>
    <row r="6986" spans="1:4">
      <c r="A6986" s="691"/>
      <c r="D6986" s="3"/>
    </row>
    <row r="6987" spans="1:4">
      <c r="A6987" s="691"/>
      <c r="D6987" s="3"/>
    </row>
    <row r="6988" spans="1:4">
      <c r="A6988" s="691"/>
      <c r="D6988" s="3"/>
    </row>
    <row r="6989" spans="1:4">
      <c r="A6989" s="691"/>
      <c r="D6989" s="3"/>
    </row>
    <row r="6990" spans="1:4">
      <c r="A6990" s="691"/>
      <c r="D6990" s="3"/>
    </row>
    <row r="6991" spans="1:4">
      <c r="A6991" s="691"/>
      <c r="D6991" s="3"/>
    </row>
    <row r="6992" spans="1:4">
      <c r="A6992" s="691"/>
      <c r="D6992" s="3"/>
    </row>
    <row r="6993" spans="1:4">
      <c r="A6993" s="691"/>
      <c r="D6993" s="3"/>
    </row>
    <row r="6994" spans="1:4">
      <c r="A6994" s="691"/>
      <c r="D6994" s="3"/>
    </row>
    <row r="6995" spans="1:4">
      <c r="A6995" s="691"/>
      <c r="D6995" s="3"/>
    </row>
    <row r="6996" spans="1:4">
      <c r="A6996" s="691"/>
      <c r="D6996" s="3"/>
    </row>
    <row r="6997" spans="1:4">
      <c r="A6997" s="691"/>
      <c r="D6997" s="3"/>
    </row>
    <row r="6998" spans="1:4">
      <c r="A6998" s="691"/>
      <c r="D6998" s="3"/>
    </row>
    <row r="6999" spans="1:4">
      <c r="A6999" s="691"/>
      <c r="D6999" s="3"/>
    </row>
    <row r="7000" spans="1:4">
      <c r="A7000" s="691"/>
      <c r="D7000" s="3"/>
    </row>
    <row r="7001" spans="1:4">
      <c r="A7001" s="691"/>
      <c r="D7001" s="3"/>
    </row>
    <row r="7002" spans="1:4">
      <c r="A7002" s="691"/>
      <c r="D7002" s="3"/>
    </row>
    <row r="7003" spans="1:4">
      <c r="A7003" s="691"/>
      <c r="D7003" s="3"/>
    </row>
    <row r="7004" spans="1:4">
      <c r="A7004" s="691"/>
      <c r="D7004" s="3"/>
    </row>
    <row r="7005" spans="1:4">
      <c r="A7005" s="691"/>
      <c r="D7005" s="3"/>
    </row>
    <row r="7006" spans="1:4">
      <c r="A7006" s="691"/>
      <c r="D7006" s="3"/>
    </row>
    <row r="7007" spans="1:4">
      <c r="A7007" s="691"/>
      <c r="D7007" s="3"/>
    </row>
    <row r="7008" spans="1:4">
      <c r="A7008" s="691"/>
      <c r="D7008" s="3"/>
    </row>
    <row r="7009" spans="1:4">
      <c r="A7009" s="691"/>
      <c r="D7009" s="3"/>
    </row>
    <row r="7010" spans="1:4">
      <c r="A7010" s="691"/>
      <c r="D7010" s="3"/>
    </row>
    <row r="7011" spans="1:4">
      <c r="A7011" s="691"/>
      <c r="D7011" s="3"/>
    </row>
    <row r="7012" spans="1:4">
      <c r="A7012" s="691"/>
      <c r="D7012" s="3"/>
    </row>
    <row r="7013" spans="1:4">
      <c r="A7013" s="691"/>
      <c r="D7013" s="3"/>
    </row>
    <row r="7014" spans="1:4">
      <c r="A7014" s="691"/>
      <c r="D7014" s="3"/>
    </row>
    <row r="7015" spans="1:4">
      <c r="A7015" s="691"/>
      <c r="D7015" s="3"/>
    </row>
    <row r="7016" spans="1:4">
      <c r="A7016" s="691"/>
      <c r="D7016" s="3"/>
    </row>
    <row r="7017" spans="1:4">
      <c r="A7017" s="691"/>
      <c r="D7017" s="3"/>
    </row>
    <row r="7018" spans="1:4">
      <c r="A7018" s="691"/>
      <c r="D7018" s="3"/>
    </row>
    <row r="7019" spans="1:4">
      <c r="A7019" s="691"/>
      <c r="D7019" s="3"/>
    </row>
    <row r="7020" spans="1:4">
      <c r="A7020" s="691"/>
      <c r="D7020" s="3"/>
    </row>
    <row r="7021" spans="1:4">
      <c r="A7021" s="691"/>
      <c r="D7021" s="3"/>
    </row>
    <row r="7022" spans="1:4">
      <c r="A7022" s="691"/>
      <c r="D7022" s="3"/>
    </row>
    <row r="7023" spans="1:4">
      <c r="A7023" s="691"/>
      <c r="D7023" s="3"/>
    </row>
    <row r="7024" spans="1:4">
      <c r="A7024" s="691"/>
      <c r="D7024" s="3"/>
    </row>
    <row r="7025" spans="1:4">
      <c r="A7025" s="691"/>
      <c r="D7025" s="3"/>
    </row>
    <row r="7026" spans="1:4">
      <c r="A7026" s="691"/>
      <c r="D7026" s="3"/>
    </row>
    <row r="7027" spans="1:4">
      <c r="A7027" s="691"/>
      <c r="D7027" s="3"/>
    </row>
    <row r="7028" spans="1:4">
      <c r="A7028" s="691"/>
      <c r="D7028" s="3"/>
    </row>
    <row r="7029" spans="1:4">
      <c r="A7029" s="691"/>
      <c r="D7029" s="3"/>
    </row>
    <row r="7030" spans="1:4">
      <c r="A7030" s="691"/>
      <c r="D7030" s="3"/>
    </row>
    <row r="7031" spans="1:4">
      <c r="A7031" s="691"/>
      <c r="D7031" s="3"/>
    </row>
    <row r="7032" spans="1:4">
      <c r="A7032" s="691"/>
      <c r="D7032" s="3"/>
    </row>
    <row r="7033" spans="1:4">
      <c r="A7033" s="691"/>
      <c r="D7033" s="3"/>
    </row>
    <row r="7034" spans="1:4">
      <c r="A7034" s="691"/>
      <c r="D7034" s="3"/>
    </row>
    <row r="7035" spans="1:4">
      <c r="A7035" s="691"/>
      <c r="D7035" s="3"/>
    </row>
    <row r="7036" spans="1:4">
      <c r="A7036" s="691"/>
      <c r="D7036" s="3"/>
    </row>
    <row r="7037" spans="1:4">
      <c r="A7037" s="691"/>
      <c r="D7037" s="3"/>
    </row>
    <row r="7038" spans="1:4">
      <c r="A7038" s="691"/>
      <c r="D7038" s="3"/>
    </row>
    <row r="7039" spans="1:4">
      <c r="A7039" s="691"/>
      <c r="D7039" s="3"/>
    </row>
    <row r="7040" spans="1:4">
      <c r="A7040" s="691"/>
      <c r="D7040" s="3"/>
    </row>
    <row r="7041" spans="1:4">
      <c r="A7041" s="691"/>
      <c r="D7041" s="3"/>
    </row>
    <row r="7042" spans="1:4">
      <c r="A7042" s="691"/>
      <c r="D7042" s="3"/>
    </row>
    <row r="7043" spans="1:4">
      <c r="A7043" s="691"/>
      <c r="D7043" s="3"/>
    </row>
    <row r="7044" spans="1:4">
      <c r="A7044" s="691"/>
      <c r="D7044" s="3"/>
    </row>
    <row r="7045" spans="1:4">
      <c r="A7045" s="691"/>
      <c r="D7045" s="3"/>
    </row>
    <row r="7046" spans="1:4">
      <c r="A7046" s="691"/>
      <c r="D7046" s="3"/>
    </row>
    <row r="7047" spans="1:4">
      <c r="A7047" s="691"/>
      <c r="D7047" s="3"/>
    </row>
    <row r="7048" spans="1:4">
      <c r="A7048" s="691"/>
      <c r="D7048" s="3"/>
    </row>
    <row r="7049" spans="1:4">
      <c r="A7049" s="691"/>
      <c r="D7049" s="3"/>
    </row>
    <row r="7050" spans="1:4">
      <c r="A7050" s="691"/>
      <c r="D7050" s="3"/>
    </row>
    <row r="7051" spans="1:4">
      <c r="A7051" s="691"/>
      <c r="D7051" s="3"/>
    </row>
    <row r="7052" spans="1:4">
      <c r="A7052" s="691"/>
      <c r="D7052" s="3"/>
    </row>
    <row r="7053" spans="1:4">
      <c r="A7053" s="691"/>
      <c r="D7053" s="3"/>
    </row>
    <row r="7054" spans="1:4">
      <c r="A7054" s="691"/>
      <c r="D7054" s="3"/>
    </row>
    <row r="7055" spans="1:4">
      <c r="A7055" s="691"/>
      <c r="D7055" s="3"/>
    </row>
    <row r="7056" spans="1:4">
      <c r="A7056" s="691"/>
      <c r="D7056" s="3"/>
    </row>
    <row r="7057" spans="1:4">
      <c r="A7057" s="691"/>
      <c r="D7057" s="3"/>
    </row>
    <row r="7058" spans="1:4">
      <c r="A7058" s="691"/>
      <c r="D7058" s="3"/>
    </row>
    <row r="7059" spans="1:4">
      <c r="A7059" s="691"/>
      <c r="D7059" s="3"/>
    </row>
    <row r="7060" spans="1:4">
      <c r="A7060" s="691"/>
      <c r="D7060" s="3"/>
    </row>
    <row r="7061" spans="1:4">
      <c r="A7061" s="691"/>
      <c r="D7061" s="3"/>
    </row>
    <row r="7062" spans="1:4">
      <c r="A7062" s="691"/>
      <c r="D7062" s="3"/>
    </row>
    <row r="7063" spans="1:4">
      <c r="A7063" s="691"/>
      <c r="D7063" s="3"/>
    </row>
    <row r="7064" spans="1:4">
      <c r="A7064" s="691"/>
      <c r="D7064" s="3"/>
    </row>
    <row r="7065" spans="1:4">
      <c r="A7065" s="691"/>
      <c r="D7065" s="3"/>
    </row>
    <row r="7066" spans="1:4">
      <c r="A7066" s="691"/>
      <c r="D7066" s="3"/>
    </row>
    <row r="7067" spans="1:4">
      <c r="A7067" s="691"/>
      <c r="D7067" s="3"/>
    </row>
    <row r="7068" spans="1:4">
      <c r="A7068" s="691"/>
      <c r="D7068" s="3"/>
    </row>
    <row r="7069" spans="1:4">
      <c r="A7069" s="691"/>
      <c r="D7069" s="3"/>
    </row>
    <row r="7070" spans="1:4">
      <c r="A7070" s="691"/>
      <c r="D7070" s="3"/>
    </row>
    <row r="7071" spans="1:4">
      <c r="A7071" s="691"/>
      <c r="D7071" s="3"/>
    </row>
    <row r="7072" spans="1:4">
      <c r="A7072" s="691"/>
      <c r="D7072" s="3"/>
    </row>
    <row r="7073" spans="1:4">
      <c r="A7073" s="691"/>
      <c r="D7073" s="3"/>
    </row>
    <row r="7074" spans="1:4">
      <c r="A7074" s="691"/>
      <c r="D7074" s="3"/>
    </row>
    <row r="7075" spans="1:4">
      <c r="A7075" s="691"/>
      <c r="D7075" s="3"/>
    </row>
    <row r="7076" spans="1:4">
      <c r="A7076" s="691"/>
      <c r="D7076" s="3"/>
    </row>
    <row r="7077" spans="1:4">
      <c r="A7077" s="691"/>
      <c r="D7077" s="3"/>
    </row>
    <row r="7078" spans="1:4">
      <c r="A7078" s="691"/>
      <c r="D7078" s="3"/>
    </row>
    <row r="7079" spans="1:4">
      <c r="A7079" s="691"/>
      <c r="D7079" s="3"/>
    </row>
    <row r="7080" spans="1:4">
      <c r="A7080" s="691"/>
      <c r="D7080" s="3"/>
    </row>
    <row r="7081" spans="1:4">
      <c r="A7081" s="691"/>
      <c r="D7081" s="3"/>
    </row>
    <row r="7082" spans="1:4">
      <c r="A7082" s="691"/>
      <c r="D7082" s="3"/>
    </row>
    <row r="7083" spans="1:4">
      <c r="A7083" s="691"/>
      <c r="D7083" s="3"/>
    </row>
    <row r="7084" spans="1:4">
      <c r="A7084" s="691"/>
      <c r="D7084" s="3"/>
    </row>
    <row r="7085" spans="1:4">
      <c r="A7085" s="691"/>
      <c r="D7085" s="3"/>
    </row>
    <row r="7086" spans="1:4">
      <c r="A7086" s="691"/>
      <c r="D7086" s="3"/>
    </row>
    <row r="7087" spans="1:4">
      <c r="A7087" s="691"/>
      <c r="D7087" s="3"/>
    </row>
    <row r="7088" spans="1:4">
      <c r="A7088" s="691"/>
      <c r="D7088" s="3"/>
    </row>
    <row r="7089" spans="1:4">
      <c r="A7089" s="691"/>
      <c r="D7089" s="3"/>
    </row>
    <row r="7090" spans="1:4">
      <c r="A7090" s="691"/>
      <c r="D7090" s="3"/>
    </row>
    <row r="7091" spans="1:4">
      <c r="A7091" s="691"/>
      <c r="D7091" s="3"/>
    </row>
    <row r="7092" spans="1:4">
      <c r="A7092" s="691"/>
      <c r="D7092" s="3"/>
    </row>
    <row r="7093" spans="1:4">
      <c r="A7093" s="691"/>
      <c r="D7093" s="3"/>
    </row>
    <row r="7094" spans="1:4">
      <c r="A7094" s="691"/>
      <c r="D7094" s="3"/>
    </row>
    <row r="7095" spans="1:4">
      <c r="A7095" s="691"/>
      <c r="D7095" s="3"/>
    </row>
    <row r="7096" spans="1:4">
      <c r="A7096" s="691"/>
      <c r="D7096" s="3"/>
    </row>
    <row r="7097" spans="1:4">
      <c r="A7097" s="691"/>
      <c r="D7097" s="3"/>
    </row>
    <row r="7098" spans="1:4">
      <c r="A7098" s="691"/>
      <c r="D7098" s="3"/>
    </row>
    <row r="7099" spans="1:4">
      <c r="A7099" s="691"/>
      <c r="D7099" s="3"/>
    </row>
    <row r="7100" spans="1:4">
      <c r="A7100" s="691"/>
      <c r="D7100" s="3"/>
    </row>
    <row r="7101" spans="1:4">
      <c r="A7101" s="691"/>
      <c r="D7101" s="3"/>
    </row>
    <row r="7102" spans="1:4">
      <c r="A7102" s="691"/>
      <c r="D7102" s="3"/>
    </row>
    <row r="7103" spans="1:4">
      <c r="A7103" s="691"/>
      <c r="D7103" s="3"/>
    </row>
    <row r="7104" spans="1:4">
      <c r="A7104" s="691"/>
      <c r="D7104" s="3"/>
    </row>
    <row r="7105" spans="1:4">
      <c r="A7105" s="691"/>
      <c r="D7105" s="3"/>
    </row>
    <row r="7106" spans="1:4">
      <c r="A7106" s="691"/>
      <c r="D7106" s="3"/>
    </row>
    <row r="7107" spans="1:4">
      <c r="A7107" s="691"/>
      <c r="D7107" s="3"/>
    </row>
    <row r="7108" spans="1:4">
      <c r="A7108" s="691"/>
      <c r="D7108" s="3"/>
    </row>
    <row r="7109" spans="1:4">
      <c r="A7109" s="691"/>
      <c r="D7109" s="3"/>
    </row>
    <row r="7110" spans="1:4">
      <c r="A7110" s="691"/>
      <c r="D7110" s="3"/>
    </row>
    <row r="7111" spans="1:4">
      <c r="A7111" s="691"/>
      <c r="D7111" s="3"/>
    </row>
    <row r="7112" spans="1:4">
      <c r="A7112" s="691"/>
      <c r="D7112" s="3"/>
    </row>
    <row r="7113" spans="1:4">
      <c r="A7113" s="691"/>
      <c r="D7113" s="3"/>
    </row>
    <row r="7114" spans="1:4">
      <c r="A7114" s="691"/>
      <c r="D7114" s="3"/>
    </row>
    <row r="7115" spans="1:4">
      <c r="A7115" s="691"/>
      <c r="D7115" s="3"/>
    </row>
    <row r="7116" spans="1:4">
      <c r="A7116" s="691"/>
      <c r="D7116" s="3"/>
    </row>
    <row r="7117" spans="1:4">
      <c r="A7117" s="691"/>
      <c r="D7117" s="3"/>
    </row>
    <row r="7118" spans="1:4">
      <c r="A7118" s="691"/>
      <c r="D7118" s="3"/>
    </row>
    <row r="7119" spans="1:4">
      <c r="A7119" s="691"/>
      <c r="D7119" s="3"/>
    </row>
    <row r="7120" spans="1:4">
      <c r="A7120" s="691"/>
      <c r="D7120" s="3"/>
    </row>
    <row r="7121" spans="1:4">
      <c r="A7121" s="691"/>
      <c r="D7121" s="3"/>
    </row>
    <row r="7122" spans="1:4">
      <c r="A7122" s="691"/>
      <c r="D7122" s="3"/>
    </row>
    <row r="7123" spans="1:4">
      <c r="A7123" s="691"/>
      <c r="D7123" s="3"/>
    </row>
    <row r="7124" spans="1:4">
      <c r="A7124" s="691"/>
      <c r="D7124" s="3"/>
    </row>
    <row r="7125" spans="1:4">
      <c r="A7125" s="691"/>
      <c r="D7125" s="3"/>
    </row>
    <row r="7126" spans="1:4">
      <c r="A7126" s="691"/>
      <c r="D7126" s="3"/>
    </row>
    <row r="7127" spans="1:4">
      <c r="A7127" s="691"/>
      <c r="D7127" s="3"/>
    </row>
    <row r="7128" spans="1:4">
      <c r="A7128" s="691"/>
      <c r="D7128" s="3"/>
    </row>
    <row r="7129" spans="1:4">
      <c r="A7129" s="691"/>
      <c r="D7129" s="3"/>
    </row>
    <row r="7130" spans="1:4">
      <c r="A7130" s="691"/>
      <c r="D7130" s="3"/>
    </row>
    <row r="7131" spans="1:4">
      <c r="A7131" s="691"/>
      <c r="D7131" s="3"/>
    </row>
    <row r="7132" spans="1:4">
      <c r="A7132" s="691"/>
      <c r="D7132" s="3"/>
    </row>
    <row r="7133" spans="1:4">
      <c r="A7133" s="691"/>
      <c r="D7133" s="3"/>
    </row>
    <row r="7134" spans="1:4">
      <c r="A7134" s="691"/>
      <c r="D7134" s="3"/>
    </row>
    <row r="7135" spans="1:4">
      <c r="A7135" s="691"/>
      <c r="D7135" s="3"/>
    </row>
    <row r="7136" spans="1:4">
      <c r="A7136" s="691"/>
      <c r="D7136" s="3"/>
    </row>
    <row r="7137" spans="1:4">
      <c r="A7137" s="691"/>
      <c r="D7137" s="3"/>
    </row>
    <row r="7138" spans="1:4">
      <c r="A7138" s="691"/>
      <c r="D7138" s="3"/>
    </row>
    <row r="7139" spans="1:4">
      <c r="A7139" s="691"/>
      <c r="D7139" s="3"/>
    </row>
    <row r="7140" spans="1:4">
      <c r="A7140" s="691"/>
      <c r="D7140" s="3"/>
    </row>
    <row r="7141" spans="1:4">
      <c r="A7141" s="691"/>
      <c r="D7141" s="3"/>
    </row>
    <row r="7142" spans="1:4">
      <c r="A7142" s="691"/>
      <c r="D7142" s="3"/>
    </row>
    <row r="7143" spans="1:4">
      <c r="A7143" s="691"/>
      <c r="D7143" s="3"/>
    </row>
    <row r="7144" spans="1:4">
      <c r="A7144" s="691"/>
      <c r="D7144" s="3"/>
    </row>
    <row r="7145" spans="1:4">
      <c r="A7145" s="691"/>
      <c r="D7145" s="3"/>
    </row>
    <row r="7146" spans="1:4">
      <c r="A7146" s="691"/>
      <c r="D7146" s="3"/>
    </row>
    <row r="7147" spans="1:4">
      <c r="A7147" s="691"/>
      <c r="D7147" s="3"/>
    </row>
    <row r="7148" spans="1:4">
      <c r="A7148" s="691"/>
      <c r="D7148" s="3"/>
    </row>
    <row r="7149" spans="1:4">
      <c r="A7149" s="691"/>
      <c r="D7149" s="3"/>
    </row>
    <row r="7150" spans="1:4">
      <c r="A7150" s="691"/>
      <c r="D7150" s="3"/>
    </row>
    <row r="7151" spans="1:4">
      <c r="A7151" s="691"/>
      <c r="D7151" s="3"/>
    </row>
    <row r="7152" spans="1:4">
      <c r="A7152" s="691"/>
      <c r="D7152" s="3"/>
    </row>
    <row r="7153" spans="1:4">
      <c r="A7153" s="691"/>
      <c r="D7153" s="3"/>
    </row>
    <row r="7154" spans="1:4">
      <c r="A7154" s="691"/>
      <c r="D7154" s="3"/>
    </row>
    <row r="7155" spans="1:4">
      <c r="A7155" s="691"/>
      <c r="D7155" s="3"/>
    </row>
    <row r="7156" spans="1:4">
      <c r="A7156" s="691"/>
      <c r="D7156" s="3"/>
    </row>
    <row r="7157" spans="1:4">
      <c r="A7157" s="691"/>
      <c r="D7157" s="3"/>
    </row>
    <row r="7158" spans="1:4">
      <c r="A7158" s="691"/>
      <c r="D7158" s="3"/>
    </row>
    <row r="7159" spans="1:4">
      <c r="A7159" s="691"/>
      <c r="D7159" s="3"/>
    </row>
    <row r="7160" spans="1:4">
      <c r="A7160" s="691"/>
      <c r="D7160" s="3"/>
    </row>
    <row r="7161" spans="1:4">
      <c r="A7161" s="691"/>
      <c r="D7161" s="3"/>
    </row>
    <row r="7162" spans="1:4">
      <c r="A7162" s="691"/>
      <c r="D7162" s="3"/>
    </row>
    <row r="7163" spans="1:4">
      <c r="A7163" s="691"/>
      <c r="D7163" s="3"/>
    </row>
    <row r="7164" spans="1:4">
      <c r="A7164" s="691"/>
      <c r="D7164" s="3"/>
    </row>
    <row r="7165" spans="1:4">
      <c r="A7165" s="691"/>
      <c r="D7165" s="3"/>
    </row>
    <row r="7166" spans="1:4">
      <c r="A7166" s="691"/>
      <c r="D7166" s="3"/>
    </row>
    <row r="7167" spans="1:4">
      <c r="A7167" s="691"/>
      <c r="D7167" s="3"/>
    </row>
    <row r="7168" spans="1:4">
      <c r="A7168" s="691"/>
      <c r="D7168" s="3"/>
    </row>
    <row r="7169" spans="1:4">
      <c r="A7169" s="691"/>
      <c r="D7169" s="3"/>
    </row>
    <row r="7170" spans="1:4">
      <c r="A7170" s="691"/>
      <c r="D7170" s="3"/>
    </row>
    <row r="7171" spans="1:4">
      <c r="A7171" s="691"/>
      <c r="D7171" s="3"/>
    </row>
    <row r="7172" spans="1:4">
      <c r="A7172" s="691"/>
      <c r="D7172" s="3"/>
    </row>
    <row r="7173" spans="1:4">
      <c r="A7173" s="691"/>
      <c r="D7173" s="3"/>
    </row>
    <row r="7174" spans="1:4">
      <c r="A7174" s="691"/>
      <c r="D7174" s="3"/>
    </row>
    <row r="7175" spans="1:4">
      <c r="A7175" s="691"/>
      <c r="D7175" s="3"/>
    </row>
    <row r="7176" spans="1:4">
      <c r="A7176" s="691"/>
      <c r="D7176" s="3"/>
    </row>
    <row r="7177" spans="1:4">
      <c r="A7177" s="691"/>
      <c r="D7177" s="3"/>
    </row>
    <row r="7178" spans="1:4">
      <c r="A7178" s="691"/>
      <c r="D7178" s="3"/>
    </row>
    <row r="7179" spans="1:4">
      <c r="A7179" s="691"/>
      <c r="D7179" s="3"/>
    </row>
    <row r="7180" spans="1:4">
      <c r="A7180" s="691"/>
      <c r="D7180" s="3"/>
    </row>
    <row r="7181" spans="1:4">
      <c r="A7181" s="691"/>
      <c r="D7181" s="3"/>
    </row>
    <row r="7182" spans="1:4">
      <c r="A7182" s="691"/>
      <c r="D7182" s="3"/>
    </row>
    <row r="7183" spans="1:4">
      <c r="A7183" s="691"/>
      <c r="D7183" s="3"/>
    </row>
    <row r="7184" spans="1:4">
      <c r="A7184" s="691"/>
      <c r="D7184" s="3"/>
    </row>
    <row r="7185" spans="1:4">
      <c r="A7185" s="691"/>
      <c r="D7185" s="3"/>
    </row>
    <row r="7186" spans="1:4">
      <c r="A7186" s="691"/>
      <c r="D7186" s="3"/>
    </row>
    <row r="7187" spans="1:4">
      <c r="A7187" s="691"/>
      <c r="D7187" s="3"/>
    </row>
    <row r="7188" spans="1:4">
      <c r="A7188" s="691"/>
      <c r="D7188" s="3"/>
    </row>
    <row r="7189" spans="1:4">
      <c r="A7189" s="691"/>
      <c r="D7189" s="3"/>
    </row>
    <row r="7190" spans="1:4">
      <c r="A7190" s="691"/>
      <c r="D7190" s="3"/>
    </row>
    <row r="7191" spans="1:4">
      <c r="A7191" s="691"/>
      <c r="D7191" s="3"/>
    </row>
    <row r="7192" spans="1:4">
      <c r="A7192" s="691"/>
      <c r="D7192" s="3"/>
    </row>
    <row r="7193" spans="1:4">
      <c r="A7193" s="691"/>
      <c r="D7193" s="3"/>
    </row>
    <row r="7194" spans="1:4">
      <c r="A7194" s="691"/>
      <c r="D7194" s="3"/>
    </row>
    <row r="7195" spans="1:4">
      <c r="A7195" s="691"/>
      <c r="D7195" s="3"/>
    </row>
    <row r="7196" spans="1:4">
      <c r="A7196" s="691"/>
      <c r="D7196" s="3"/>
    </row>
    <row r="7197" spans="1:4">
      <c r="A7197" s="691"/>
      <c r="D7197" s="3"/>
    </row>
    <row r="7198" spans="1:4">
      <c r="A7198" s="691"/>
      <c r="D7198" s="3"/>
    </row>
    <row r="7199" spans="1:4">
      <c r="A7199" s="691"/>
      <c r="D7199" s="3"/>
    </row>
    <row r="7200" spans="1:4">
      <c r="A7200" s="691"/>
      <c r="D7200" s="3"/>
    </row>
    <row r="7201" spans="1:4">
      <c r="A7201" s="691"/>
      <c r="D7201" s="3"/>
    </row>
    <row r="7202" spans="1:4">
      <c r="A7202" s="691"/>
      <c r="D7202" s="3"/>
    </row>
    <row r="7203" spans="1:4">
      <c r="A7203" s="691"/>
      <c r="D7203" s="3"/>
    </row>
    <row r="7204" spans="1:4">
      <c r="A7204" s="691"/>
      <c r="D7204" s="3"/>
    </row>
    <row r="7205" spans="1:4">
      <c r="A7205" s="691"/>
      <c r="D7205" s="3"/>
    </row>
    <row r="7206" spans="1:4">
      <c r="A7206" s="691"/>
      <c r="D7206" s="3"/>
    </row>
    <row r="7207" spans="1:4">
      <c r="A7207" s="691"/>
      <c r="D7207" s="3"/>
    </row>
    <row r="7208" spans="1:4">
      <c r="A7208" s="691"/>
      <c r="D7208" s="3"/>
    </row>
    <row r="7209" spans="1:4">
      <c r="A7209" s="691"/>
      <c r="D7209" s="3"/>
    </row>
    <row r="7210" spans="1:4">
      <c r="A7210" s="691"/>
      <c r="D7210" s="3"/>
    </row>
    <row r="7211" spans="1:4">
      <c r="A7211" s="691"/>
      <c r="D7211" s="3"/>
    </row>
    <row r="7212" spans="1:4">
      <c r="A7212" s="691"/>
      <c r="D7212" s="3"/>
    </row>
    <row r="7213" spans="1:4">
      <c r="A7213" s="691"/>
      <c r="D7213" s="3"/>
    </row>
    <row r="7214" spans="1:4">
      <c r="A7214" s="691"/>
      <c r="D7214" s="3"/>
    </row>
    <row r="7215" spans="1:4">
      <c r="A7215" s="691"/>
      <c r="D7215" s="3"/>
    </row>
    <row r="7216" spans="1:4">
      <c r="A7216" s="691"/>
      <c r="D7216" s="3"/>
    </row>
    <row r="7217" spans="1:4">
      <c r="A7217" s="691"/>
      <c r="D7217" s="3"/>
    </row>
    <row r="7218" spans="1:4">
      <c r="A7218" s="691"/>
      <c r="D7218" s="3"/>
    </row>
    <row r="7219" spans="1:4">
      <c r="A7219" s="691"/>
      <c r="D7219" s="3"/>
    </row>
    <row r="7220" spans="1:4">
      <c r="A7220" s="691"/>
      <c r="D7220" s="3"/>
    </row>
    <row r="7221" spans="1:4">
      <c r="A7221" s="691"/>
      <c r="D7221" s="3"/>
    </row>
    <row r="7222" spans="1:4">
      <c r="A7222" s="691"/>
      <c r="D7222" s="3"/>
    </row>
    <row r="7223" spans="1:4">
      <c r="A7223" s="691"/>
      <c r="D7223" s="3"/>
    </row>
    <row r="7224" spans="1:4">
      <c r="A7224" s="691"/>
      <c r="D7224" s="3"/>
    </row>
    <row r="7225" spans="1:4">
      <c r="A7225" s="691"/>
      <c r="D7225" s="3"/>
    </row>
    <row r="7226" spans="1:4">
      <c r="A7226" s="691"/>
      <c r="D7226" s="3"/>
    </row>
    <row r="7227" spans="1:4">
      <c r="A7227" s="691"/>
      <c r="D7227" s="3"/>
    </row>
    <row r="7228" spans="1:4">
      <c r="A7228" s="691"/>
      <c r="D7228" s="3"/>
    </row>
    <row r="7229" spans="1:4">
      <c r="A7229" s="691"/>
      <c r="D7229" s="3"/>
    </row>
    <row r="7230" spans="1:4">
      <c r="A7230" s="691"/>
      <c r="D7230" s="3"/>
    </row>
    <row r="7231" spans="1:4">
      <c r="A7231" s="691"/>
      <c r="D7231" s="3"/>
    </row>
    <row r="7232" spans="1:4">
      <c r="A7232" s="691"/>
      <c r="D7232" s="3"/>
    </row>
    <row r="7233" spans="1:4">
      <c r="A7233" s="691"/>
      <c r="D7233" s="3"/>
    </row>
    <row r="7234" spans="1:4">
      <c r="A7234" s="691"/>
      <c r="D7234" s="3"/>
    </row>
    <row r="7235" spans="1:4">
      <c r="A7235" s="691"/>
      <c r="D7235" s="3"/>
    </row>
    <row r="7236" spans="1:4">
      <c r="A7236" s="691"/>
      <c r="D7236" s="3"/>
    </row>
    <row r="7237" spans="1:4">
      <c r="A7237" s="691"/>
      <c r="D7237" s="3"/>
    </row>
    <row r="7238" spans="1:4">
      <c r="A7238" s="691"/>
      <c r="D7238" s="3"/>
    </row>
    <row r="7239" spans="1:4">
      <c r="A7239" s="691"/>
      <c r="D7239" s="3"/>
    </row>
    <row r="7240" spans="1:4">
      <c r="A7240" s="691"/>
      <c r="D7240" s="3"/>
    </row>
    <row r="7241" spans="1:4">
      <c r="A7241" s="691"/>
      <c r="D7241" s="3"/>
    </row>
    <row r="7242" spans="1:4">
      <c r="A7242" s="691"/>
      <c r="D7242" s="3"/>
    </row>
    <row r="7243" spans="1:4">
      <c r="A7243" s="691"/>
      <c r="D7243" s="3"/>
    </row>
    <row r="7244" spans="1:4">
      <c r="A7244" s="691"/>
      <c r="D7244" s="3"/>
    </row>
    <row r="7245" spans="1:4">
      <c r="A7245" s="691"/>
      <c r="D7245" s="3"/>
    </row>
    <row r="7246" spans="1:4">
      <c r="A7246" s="691"/>
      <c r="D7246" s="3"/>
    </row>
    <row r="7247" spans="1:4">
      <c r="A7247" s="691"/>
      <c r="D7247" s="3"/>
    </row>
    <row r="7248" spans="1:4">
      <c r="A7248" s="691"/>
      <c r="D7248" s="3"/>
    </row>
    <row r="7249" spans="1:4">
      <c r="A7249" s="691"/>
      <c r="D7249" s="3"/>
    </row>
    <row r="7250" spans="1:4">
      <c r="A7250" s="691"/>
      <c r="D7250" s="3"/>
    </row>
    <row r="7251" spans="1:4">
      <c r="A7251" s="691"/>
      <c r="D7251" s="3"/>
    </row>
    <row r="7252" spans="1:4">
      <c r="A7252" s="691"/>
      <c r="D7252" s="3"/>
    </row>
    <row r="7253" spans="1:4">
      <c r="A7253" s="691"/>
      <c r="D7253" s="3"/>
    </row>
    <row r="7254" spans="1:4">
      <c r="A7254" s="691"/>
      <c r="D7254" s="3"/>
    </row>
    <row r="7255" spans="1:4">
      <c r="A7255" s="691"/>
      <c r="D7255" s="3"/>
    </row>
    <row r="7256" spans="1:4">
      <c r="A7256" s="691"/>
      <c r="D7256" s="3"/>
    </row>
    <row r="7257" spans="1:4">
      <c r="A7257" s="691"/>
      <c r="D7257" s="3"/>
    </row>
    <row r="7258" spans="1:4">
      <c r="A7258" s="691"/>
      <c r="D7258" s="3"/>
    </row>
    <row r="7259" spans="1:4">
      <c r="A7259" s="691"/>
      <c r="D7259" s="3"/>
    </row>
    <row r="7260" spans="1:4">
      <c r="A7260" s="691"/>
      <c r="D7260" s="3"/>
    </row>
    <row r="7261" spans="1:4">
      <c r="A7261" s="691"/>
      <c r="D7261" s="3"/>
    </row>
    <row r="7262" spans="1:4">
      <c r="A7262" s="691"/>
      <c r="D7262" s="3"/>
    </row>
    <row r="7263" spans="1:4">
      <c r="A7263" s="691"/>
      <c r="D7263" s="3"/>
    </row>
    <row r="7264" spans="1:4">
      <c r="A7264" s="691"/>
      <c r="D7264" s="3"/>
    </row>
    <row r="7265" spans="1:4">
      <c r="A7265" s="691"/>
      <c r="D7265" s="3"/>
    </row>
    <row r="7266" spans="1:4">
      <c r="A7266" s="691"/>
      <c r="D7266" s="3"/>
    </row>
    <row r="7267" spans="1:4">
      <c r="A7267" s="691"/>
      <c r="D7267" s="3"/>
    </row>
    <row r="7268" spans="1:4">
      <c r="A7268" s="691"/>
      <c r="D7268" s="3"/>
    </row>
    <row r="7269" spans="1:4">
      <c r="A7269" s="691"/>
      <c r="D7269" s="3"/>
    </row>
    <row r="7270" spans="1:4">
      <c r="A7270" s="691"/>
      <c r="D7270" s="3"/>
    </row>
    <row r="7271" spans="1:4">
      <c r="A7271" s="691"/>
      <c r="D7271" s="3"/>
    </row>
    <row r="7272" spans="1:4">
      <c r="A7272" s="691"/>
      <c r="D7272" s="3"/>
    </row>
    <row r="7273" spans="1:4">
      <c r="A7273" s="691"/>
      <c r="D7273" s="3"/>
    </row>
    <row r="7274" spans="1:4">
      <c r="A7274" s="691"/>
      <c r="D7274" s="3"/>
    </row>
    <row r="7275" spans="1:4">
      <c r="A7275" s="691"/>
      <c r="D7275" s="3"/>
    </row>
    <row r="7276" spans="1:4">
      <c r="A7276" s="691"/>
      <c r="D7276" s="3"/>
    </row>
    <row r="7277" spans="1:4">
      <c r="A7277" s="691"/>
      <c r="D7277" s="3"/>
    </row>
    <row r="7278" spans="1:4">
      <c r="A7278" s="691"/>
      <c r="D7278" s="3"/>
    </row>
    <row r="7279" spans="1:4">
      <c r="A7279" s="691"/>
      <c r="D7279" s="3"/>
    </row>
    <row r="7280" spans="1:4">
      <c r="A7280" s="691"/>
      <c r="D7280" s="3"/>
    </row>
    <row r="7281" spans="1:4">
      <c r="A7281" s="691"/>
      <c r="D7281" s="3"/>
    </row>
    <row r="7282" spans="1:4">
      <c r="A7282" s="691"/>
      <c r="D7282" s="3"/>
    </row>
    <row r="7283" spans="1:4">
      <c r="A7283" s="691"/>
      <c r="D7283" s="3"/>
    </row>
    <row r="7284" spans="1:4">
      <c r="A7284" s="691"/>
      <c r="D7284" s="3"/>
    </row>
    <row r="7285" spans="1:4">
      <c r="A7285" s="691"/>
      <c r="D7285" s="3"/>
    </row>
    <row r="7286" spans="1:4">
      <c r="A7286" s="691"/>
      <c r="D7286" s="3"/>
    </row>
    <row r="7287" spans="1:4">
      <c r="A7287" s="691"/>
      <c r="D7287" s="3"/>
    </row>
    <row r="7288" spans="1:4">
      <c r="A7288" s="691"/>
      <c r="D7288" s="3"/>
    </row>
    <row r="7289" spans="1:4">
      <c r="A7289" s="691"/>
      <c r="D7289" s="3"/>
    </row>
    <row r="7290" spans="1:4">
      <c r="A7290" s="691"/>
      <c r="D7290" s="3"/>
    </row>
    <row r="7291" spans="1:4">
      <c r="A7291" s="691"/>
      <c r="D7291" s="3"/>
    </row>
    <row r="7292" spans="1:4">
      <c r="A7292" s="691"/>
      <c r="D7292" s="3"/>
    </row>
    <row r="7293" spans="1:4">
      <c r="A7293" s="691"/>
      <c r="D7293" s="3"/>
    </row>
    <row r="7294" spans="1:4">
      <c r="A7294" s="691"/>
      <c r="D7294" s="3"/>
    </row>
    <row r="7295" spans="1:4">
      <c r="A7295" s="691"/>
      <c r="D7295" s="3"/>
    </row>
    <row r="7296" spans="1:4">
      <c r="A7296" s="691"/>
      <c r="D7296" s="3"/>
    </row>
    <row r="7297" spans="1:4">
      <c r="A7297" s="691"/>
      <c r="D7297" s="3"/>
    </row>
    <row r="7298" spans="1:4">
      <c r="A7298" s="691"/>
      <c r="D7298" s="3"/>
    </row>
    <row r="7299" spans="1:4">
      <c r="A7299" s="691"/>
      <c r="D7299" s="3"/>
    </row>
    <row r="7300" spans="1:4">
      <c r="A7300" s="691"/>
      <c r="D7300" s="3"/>
    </row>
    <row r="7301" spans="1:4">
      <c r="A7301" s="691"/>
      <c r="D7301" s="3"/>
    </row>
    <row r="7302" spans="1:4">
      <c r="A7302" s="691"/>
      <c r="D7302" s="3"/>
    </row>
    <row r="7303" spans="1:4">
      <c r="A7303" s="691"/>
      <c r="D7303" s="3"/>
    </row>
    <row r="7304" spans="1:4">
      <c r="A7304" s="691"/>
      <c r="D7304" s="3"/>
    </row>
    <row r="7305" spans="1:4">
      <c r="A7305" s="691"/>
      <c r="D7305" s="3"/>
    </row>
    <row r="7306" spans="1:4">
      <c r="A7306" s="691"/>
      <c r="D7306" s="3"/>
    </row>
    <row r="7307" spans="1:4">
      <c r="A7307" s="691"/>
      <c r="D7307" s="3"/>
    </row>
    <row r="7308" spans="1:4">
      <c r="A7308" s="691"/>
      <c r="D7308" s="3"/>
    </row>
    <row r="7309" spans="1:4">
      <c r="A7309" s="691"/>
      <c r="D7309" s="3"/>
    </row>
    <row r="7310" spans="1:4">
      <c r="A7310" s="691"/>
      <c r="D7310" s="3"/>
    </row>
    <row r="7311" spans="1:4">
      <c r="A7311" s="691"/>
      <c r="D7311" s="3"/>
    </row>
    <row r="7312" spans="1:4">
      <c r="A7312" s="691"/>
      <c r="D7312" s="3"/>
    </row>
    <row r="7313" spans="1:4">
      <c r="A7313" s="691"/>
      <c r="D7313" s="3"/>
    </row>
    <row r="7314" spans="1:4">
      <c r="A7314" s="691"/>
      <c r="D7314" s="3"/>
    </row>
    <row r="7315" spans="1:4">
      <c r="A7315" s="691"/>
      <c r="D7315" s="3"/>
    </row>
    <row r="7316" spans="1:4">
      <c r="A7316" s="691"/>
      <c r="D7316" s="3"/>
    </row>
    <row r="7317" spans="1:4">
      <c r="A7317" s="691"/>
      <c r="D7317" s="3"/>
    </row>
    <row r="7318" spans="1:4">
      <c r="A7318" s="691"/>
      <c r="D7318" s="3"/>
    </row>
    <row r="7319" spans="1:4">
      <c r="A7319" s="691"/>
      <c r="D7319" s="3"/>
    </row>
    <row r="7320" spans="1:4">
      <c r="A7320" s="691"/>
      <c r="D7320" s="3"/>
    </row>
    <row r="7321" spans="1:4">
      <c r="A7321" s="691"/>
      <c r="D7321" s="3"/>
    </row>
    <row r="7322" spans="1:4">
      <c r="A7322" s="691"/>
      <c r="D7322" s="3"/>
    </row>
    <row r="7323" spans="1:4">
      <c r="A7323" s="691"/>
      <c r="D7323" s="3"/>
    </row>
    <row r="7324" spans="1:4">
      <c r="A7324" s="691"/>
      <c r="D7324" s="3"/>
    </row>
    <row r="7325" spans="1:4">
      <c r="A7325" s="691"/>
      <c r="D7325" s="3"/>
    </row>
    <row r="7326" spans="1:4">
      <c r="A7326" s="691"/>
      <c r="D7326" s="3"/>
    </row>
    <row r="7327" spans="1:4">
      <c r="A7327" s="691"/>
      <c r="D7327" s="3"/>
    </row>
    <row r="7328" spans="1:4">
      <c r="A7328" s="691"/>
      <c r="D7328" s="3"/>
    </row>
    <row r="7329" spans="1:4">
      <c r="A7329" s="691"/>
      <c r="D7329" s="3"/>
    </row>
    <row r="7330" spans="1:4">
      <c r="A7330" s="691"/>
      <c r="D7330" s="3"/>
    </row>
    <row r="7331" spans="1:4">
      <c r="A7331" s="691"/>
      <c r="D7331" s="3"/>
    </row>
    <row r="7332" spans="1:4">
      <c r="A7332" s="691"/>
      <c r="D7332" s="3"/>
    </row>
    <row r="7333" spans="1:4">
      <c r="A7333" s="691"/>
      <c r="D7333" s="3"/>
    </row>
    <row r="7334" spans="1:4">
      <c r="A7334" s="691"/>
      <c r="D7334" s="3"/>
    </row>
    <row r="7335" spans="1:4">
      <c r="A7335" s="691"/>
      <c r="D7335" s="3"/>
    </row>
    <row r="7336" spans="1:4">
      <c r="A7336" s="691"/>
      <c r="D7336" s="3"/>
    </row>
    <row r="7337" spans="1:4">
      <c r="A7337" s="691"/>
      <c r="D7337" s="3"/>
    </row>
    <row r="7338" spans="1:4">
      <c r="A7338" s="691"/>
      <c r="D7338" s="3"/>
    </row>
    <row r="7339" spans="1:4">
      <c r="A7339" s="691"/>
      <c r="D7339" s="3"/>
    </row>
    <row r="7340" spans="1:4">
      <c r="A7340" s="691"/>
      <c r="D7340" s="3"/>
    </row>
    <row r="7341" spans="1:4">
      <c r="A7341" s="691"/>
      <c r="D7341" s="3"/>
    </row>
    <row r="7342" spans="1:4">
      <c r="A7342" s="691"/>
      <c r="D7342" s="3"/>
    </row>
    <row r="7343" spans="1:4">
      <c r="A7343" s="691"/>
      <c r="D7343" s="3"/>
    </row>
    <row r="7344" spans="1:4">
      <c r="A7344" s="691"/>
      <c r="D7344" s="3"/>
    </row>
    <row r="7345" spans="1:4">
      <c r="A7345" s="691"/>
      <c r="D7345" s="3"/>
    </row>
    <row r="7346" spans="1:4">
      <c r="A7346" s="691"/>
      <c r="D7346" s="3"/>
    </row>
    <row r="7347" spans="1:4">
      <c r="A7347" s="691"/>
      <c r="D7347" s="3"/>
    </row>
    <row r="7348" spans="1:4">
      <c r="A7348" s="691"/>
      <c r="D7348" s="3"/>
    </row>
    <row r="7349" spans="1:4">
      <c r="A7349" s="691"/>
      <c r="D7349" s="3"/>
    </row>
    <row r="7350" spans="1:4">
      <c r="A7350" s="691"/>
      <c r="D7350" s="3"/>
    </row>
    <row r="7351" spans="1:4">
      <c r="A7351" s="691"/>
      <c r="D7351" s="3"/>
    </row>
    <row r="7352" spans="1:4">
      <c r="A7352" s="691"/>
      <c r="D7352" s="3"/>
    </row>
    <row r="7353" spans="1:4">
      <c r="A7353" s="691"/>
      <c r="D7353" s="3"/>
    </row>
    <row r="7354" spans="1:4">
      <c r="A7354" s="691"/>
      <c r="D7354" s="3"/>
    </row>
    <row r="7355" spans="1:4">
      <c r="A7355" s="691"/>
      <c r="D7355" s="3"/>
    </row>
    <row r="7356" spans="1:4">
      <c r="A7356" s="691"/>
      <c r="D7356" s="3"/>
    </row>
    <row r="7357" spans="1:4">
      <c r="A7357" s="691"/>
      <c r="D7357" s="3"/>
    </row>
    <row r="7358" spans="1:4">
      <c r="A7358" s="691"/>
      <c r="D7358" s="3"/>
    </row>
    <row r="7359" spans="1:4">
      <c r="A7359" s="691"/>
      <c r="D7359" s="3"/>
    </row>
    <row r="7360" spans="1:4">
      <c r="A7360" s="691"/>
      <c r="D7360" s="3"/>
    </row>
    <row r="7361" spans="1:4">
      <c r="A7361" s="691"/>
      <c r="D7361" s="3"/>
    </row>
    <row r="7362" spans="1:4">
      <c r="A7362" s="691"/>
      <c r="D7362" s="3"/>
    </row>
    <row r="7363" spans="1:4">
      <c r="A7363" s="691"/>
      <c r="D7363" s="3"/>
    </row>
    <row r="7364" spans="1:4">
      <c r="A7364" s="691"/>
      <c r="D7364" s="3"/>
    </row>
    <row r="7365" spans="1:4">
      <c r="A7365" s="691"/>
      <c r="D7365" s="3"/>
    </row>
    <row r="7366" spans="1:4">
      <c r="A7366" s="691"/>
      <c r="D7366" s="3"/>
    </row>
    <row r="7367" spans="1:4">
      <c r="A7367" s="691"/>
      <c r="D7367" s="3"/>
    </row>
    <row r="7368" spans="1:4">
      <c r="A7368" s="691"/>
      <c r="D7368" s="3"/>
    </row>
    <row r="7369" spans="1:4">
      <c r="A7369" s="691"/>
      <c r="D7369" s="3"/>
    </row>
    <row r="7370" spans="1:4">
      <c r="A7370" s="691"/>
      <c r="D7370" s="3"/>
    </row>
    <row r="7371" spans="1:4">
      <c r="A7371" s="691"/>
      <c r="D7371" s="3"/>
    </row>
    <row r="7372" spans="1:4">
      <c r="A7372" s="691"/>
      <c r="D7372" s="3"/>
    </row>
    <row r="7373" spans="1:4">
      <c r="A7373" s="691"/>
      <c r="D7373" s="3"/>
    </row>
    <row r="7374" spans="1:4">
      <c r="A7374" s="691"/>
      <c r="D7374" s="3"/>
    </row>
    <row r="7375" spans="1:4">
      <c r="A7375" s="691"/>
      <c r="D7375" s="3"/>
    </row>
    <row r="7376" spans="1:4">
      <c r="A7376" s="691"/>
      <c r="D7376" s="3"/>
    </row>
    <row r="7377" spans="1:4">
      <c r="A7377" s="691"/>
      <c r="D7377" s="3"/>
    </row>
    <row r="7378" spans="1:4">
      <c r="A7378" s="691"/>
      <c r="D7378" s="3"/>
    </row>
    <row r="7379" spans="1:4">
      <c r="A7379" s="691"/>
      <c r="D7379" s="3"/>
    </row>
    <row r="7380" spans="1:4">
      <c r="A7380" s="691"/>
      <c r="D7380" s="3"/>
    </row>
    <row r="7381" spans="1:4">
      <c r="A7381" s="691"/>
      <c r="D7381" s="3"/>
    </row>
    <row r="7382" spans="1:4">
      <c r="A7382" s="691"/>
      <c r="D7382" s="3"/>
    </row>
    <row r="7383" spans="1:4">
      <c r="A7383" s="691"/>
      <c r="D7383" s="3"/>
    </row>
    <row r="7384" spans="1:4">
      <c r="A7384" s="691"/>
      <c r="D7384" s="3"/>
    </row>
    <row r="7385" spans="1:4">
      <c r="A7385" s="691"/>
      <c r="D7385" s="3"/>
    </row>
    <row r="7386" spans="1:4">
      <c r="A7386" s="691"/>
      <c r="D7386" s="3"/>
    </row>
    <row r="7387" spans="1:4">
      <c r="A7387" s="691"/>
      <c r="D7387" s="3"/>
    </row>
    <row r="7388" spans="1:4">
      <c r="A7388" s="691"/>
      <c r="D7388" s="3"/>
    </row>
    <row r="7389" spans="1:4">
      <c r="A7389" s="691"/>
      <c r="D7389" s="3"/>
    </row>
    <row r="7390" spans="1:4">
      <c r="A7390" s="691"/>
      <c r="D7390" s="3"/>
    </row>
    <row r="7391" spans="1:4">
      <c r="A7391" s="691"/>
      <c r="D7391" s="3"/>
    </row>
    <row r="7392" spans="1:4">
      <c r="A7392" s="691"/>
      <c r="D7392" s="3"/>
    </row>
    <row r="7393" spans="1:4">
      <c r="A7393" s="691"/>
      <c r="D7393" s="3"/>
    </row>
    <row r="7394" spans="1:4">
      <c r="A7394" s="691"/>
      <c r="D7394" s="3"/>
    </row>
    <row r="7395" spans="1:4">
      <c r="A7395" s="691"/>
      <c r="D7395" s="3"/>
    </row>
    <row r="7396" spans="1:4">
      <c r="A7396" s="691"/>
      <c r="D7396" s="3"/>
    </row>
    <row r="7397" spans="1:4">
      <c r="A7397" s="691"/>
      <c r="D7397" s="3"/>
    </row>
    <row r="7398" spans="1:4">
      <c r="A7398" s="691"/>
      <c r="D7398" s="3"/>
    </row>
    <row r="7399" spans="1:4">
      <c r="A7399" s="691"/>
      <c r="D7399" s="3"/>
    </row>
    <row r="7400" spans="1:4">
      <c r="A7400" s="691"/>
      <c r="D7400" s="3"/>
    </row>
    <row r="7401" spans="1:4">
      <c r="A7401" s="691"/>
      <c r="D7401" s="3"/>
    </row>
    <row r="7402" spans="1:4">
      <c r="A7402" s="691"/>
      <c r="D7402" s="3"/>
    </row>
    <row r="7403" spans="1:4">
      <c r="A7403" s="691"/>
      <c r="D7403" s="3"/>
    </row>
    <row r="7404" spans="1:4">
      <c r="A7404" s="691"/>
      <c r="D7404" s="3"/>
    </row>
    <row r="7405" spans="1:4">
      <c r="A7405" s="691"/>
      <c r="D7405" s="3"/>
    </row>
    <row r="7406" spans="1:4">
      <c r="A7406" s="691"/>
      <c r="D7406" s="3"/>
    </row>
    <row r="7407" spans="1:4">
      <c r="A7407" s="691"/>
      <c r="D7407" s="3"/>
    </row>
    <row r="7408" spans="1:4">
      <c r="A7408" s="691"/>
      <c r="D7408" s="3"/>
    </row>
    <row r="7409" spans="1:4">
      <c r="A7409" s="691"/>
      <c r="D7409" s="3"/>
    </row>
    <row r="7410" spans="1:4">
      <c r="A7410" s="691"/>
      <c r="D7410" s="3"/>
    </row>
    <row r="7411" spans="1:4">
      <c r="A7411" s="691"/>
      <c r="D7411" s="3"/>
    </row>
    <row r="7412" spans="1:4">
      <c r="A7412" s="691"/>
      <c r="D7412" s="3"/>
    </row>
    <row r="7413" spans="1:4">
      <c r="A7413" s="691"/>
      <c r="D7413" s="3"/>
    </row>
    <row r="7414" spans="1:4">
      <c r="A7414" s="691"/>
      <c r="D7414" s="3"/>
    </row>
    <row r="7415" spans="1:4">
      <c r="A7415" s="691"/>
      <c r="D7415" s="3"/>
    </row>
    <row r="7416" spans="1:4">
      <c r="A7416" s="691"/>
      <c r="D7416" s="3"/>
    </row>
    <row r="7417" spans="1:4">
      <c r="A7417" s="691"/>
      <c r="D7417" s="3"/>
    </row>
    <row r="7418" spans="1:4">
      <c r="A7418" s="691"/>
      <c r="D7418" s="3"/>
    </row>
    <row r="7419" spans="1:4">
      <c r="A7419" s="691"/>
      <c r="D7419" s="3"/>
    </row>
    <row r="7420" spans="1:4">
      <c r="A7420" s="691"/>
      <c r="D7420" s="3"/>
    </row>
    <row r="7421" spans="1:4">
      <c r="A7421" s="691"/>
      <c r="D7421" s="3"/>
    </row>
    <row r="7422" spans="1:4">
      <c r="A7422" s="691"/>
      <c r="D7422" s="3"/>
    </row>
    <row r="7423" spans="1:4">
      <c r="A7423" s="691"/>
      <c r="D7423" s="3"/>
    </row>
    <row r="7424" spans="1:4">
      <c r="A7424" s="691"/>
      <c r="D7424" s="3"/>
    </row>
    <row r="7425" spans="1:4">
      <c r="A7425" s="691"/>
      <c r="D7425" s="3"/>
    </row>
    <row r="7426" spans="1:4">
      <c r="A7426" s="691"/>
      <c r="D7426" s="3"/>
    </row>
    <row r="7427" spans="1:4">
      <c r="A7427" s="691"/>
      <c r="D7427" s="3"/>
    </row>
    <row r="7428" spans="1:4">
      <c r="A7428" s="691"/>
      <c r="D7428" s="3"/>
    </row>
    <row r="7429" spans="1:4">
      <c r="A7429" s="691"/>
      <c r="D7429" s="3"/>
    </row>
    <row r="7430" spans="1:4">
      <c r="A7430" s="691"/>
      <c r="D7430" s="3"/>
    </row>
    <row r="7431" spans="1:4">
      <c r="A7431" s="691"/>
      <c r="D7431" s="3"/>
    </row>
    <row r="7432" spans="1:4">
      <c r="A7432" s="691"/>
      <c r="D7432" s="3"/>
    </row>
    <row r="7433" spans="1:4">
      <c r="A7433" s="691"/>
      <c r="D7433" s="3"/>
    </row>
    <row r="7434" spans="1:4">
      <c r="A7434" s="691"/>
      <c r="D7434" s="3"/>
    </row>
    <row r="7435" spans="1:4">
      <c r="A7435" s="691"/>
      <c r="D7435" s="3"/>
    </row>
    <row r="7436" spans="1:4">
      <c r="A7436" s="691"/>
      <c r="D7436" s="3"/>
    </row>
    <row r="7437" spans="1:4">
      <c r="A7437" s="691"/>
      <c r="D7437" s="3"/>
    </row>
    <row r="7438" spans="1:4">
      <c r="A7438" s="691"/>
      <c r="D7438" s="3"/>
    </row>
    <row r="7439" spans="1:4">
      <c r="A7439" s="691"/>
      <c r="D7439" s="3"/>
    </row>
    <row r="7440" spans="1:4">
      <c r="A7440" s="691"/>
      <c r="D7440" s="3"/>
    </row>
    <row r="7441" spans="1:4">
      <c r="A7441" s="691"/>
      <c r="D7441" s="3"/>
    </row>
    <row r="7442" spans="1:4">
      <c r="A7442" s="691"/>
      <c r="D7442" s="3"/>
    </row>
    <row r="7443" spans="1:4">
      <c r="A7443" s="691"/>
      <c r="D7443" s="3"/>
    </row>
    <row r="7444" spans="1:4">
      <c r="A7444" s="691"/>
      <c r="D7444" s="3"/>
    </row>
    <row r="7445" spans="1:4">
      <c r="A7445" s="691"/>
      <c r="D7445" s="3"/>
    </row>
    <row r="7446" spans="1:4">
      <c r="A7446" s="691"/>
      <c r="D7446" s="3"/>
    </row>
    <row r="7447" spans="1:4">
      <c r="A7447" s="691"/>
      <c r="D7447" s="3"/>
    </row>
    <row r="7448" spans="1:4">
      <c r="A7448" s="691"/>
      <c r="D7448" s="3"/>
    </row>
    <row r="7449" spans="1:4">
      <c r="A7449" s="691"/>
      <c r="D7449" s="3"/>
    </row>
    <row r="7450" spans="1:4">
      <c r="A7450" s="691"/>
      <c r="D7450" s="3"/>
    </row>
    <row r="7451" spans="1:4">
      <c r="A7451" s="691"/>
      <c r="D7451" s="3"/>
    </row>
    <row r="7452" spans="1:4">
      <c r="A7452" s="691"/>
      <c r="D7452" s="3"/>
    </row>
    <row r="7453" spans="1:4">
      <c r="A7453" s="691"/>
      <c r="D7453" s="3"/>
    </row>
    <row r="7454" spans="1:4">
      <c r="A7454" s="691"/>
      <c r="D7454" s="3"/>
    </row>
    <row r="7455" spans="1:4">
      <c r="A7455" s="691"/>
      <c r="D7455" s="3"/>
    </row>
    <row r="7456" spans="1:4">
      <c r="A7456" s="691"/>
      <c r="D7456" s="3"/>
    </row>
    <row r="7457" spans="1:4">
      <c r="A7457" s="691"/>
      <c r="D7457" s="3"/>
    </row>
    <row r="7458" spans="1:4">
      <c r="A7458" s="691"/>
      <c r="D7458" s="3"/>
    </row>
    <row r="7459" spans="1:4">
      <c r="A7459" s="691"/>
      <c r="D7459" s="3"/>
    </row>
    <row r="7460" spans="1:4">
      <c r="A7460" s="691"/>
      <c r="D7460" s="3"/>
    </row>
    <row r="7461" spans="1:4">
      <c r="A7461" s="691"/>
      <c r="D7461" s="3"/>
    </row>
    <row r="7462" spans="1:4">
      <c r="A7462" s="691"/>
      <c r="D7462" s="3"/>
    </row>
    <row r="7463" spans="1:4">
      <c r="A7463" s="691"/>
      <c r="D7463" s="3"/>
    </row>
    <row r="7464" spans="1:4">
      <c r="A7464" s="691"/>
      <c r="D7464" s="3"/>
    </row>
    <row r="7465" spans="1:4">
      <c r="A7465" s="691"/>
      <c r="D7465" s="3"/>
    </row>
    <row r="7466" spans="1:4">
      <c r="A7466" s="691"/>
      <c r="D7466" s="3"/>
    </row>
    <row r="7467" spans="1:4">
      <c r="A7467" s="691"/>
      <c r="D7467" s="3"/>
    </row>
    <row r="7468" spans="1:4">
      <c r="A7468" s="691"/>
      <c r="D7468" s="3"/>
    </row>
    <row r="7469" spans="1:4">
      <c r="A7469" s="691"/>
      <c r="D7469" s="3"/>
    </row>
    <row r="7470" spans="1:4">
      <c r="A7470" s="691"/>
      <c r="D7470" s="3"/>
    </row>
    <row r="7471" spans="1:4">
      <c r="A7471" s="691"/>
      <c r="D7471" s="3"/>
    </row>
    <row r="7472" spans="1:4">
      <c r="A7472" s="691"/>
      <c r="D7472" s="3"/>
    </row>
    <row r="7473" spans="1:4">
      <c r="A7473" s="691"/>
      <c r="D7473" s="3"/>
    </row>
    <row r="7474" spans="1:4">
      <c r="A7474" s="691"/>
      <c r="D7474" s="3"/>
    </row>
    <row r="7475" spans="1:4">
      <c r="A7475" s="691"/>
      <c r="D7475" s="3"/>
    </row>
    <row r="7476" spans="1:4">
      <c r="A7476" s="691"/>
      <c r="D7476" s="3"/>
    </row>
    <row r="7477" spans="1:4">
      <c r="A7477" s="691"/>
      <c r="D7477" s="3"/>
    </row>
    <row r="7478" spans="1:4">
      <c r="A7478" s="691"/>
      <c r="D7478" s="3"/>
    </row>
    <row r="7479" spans="1:4">
      <c r="A7479" s="691"/>
      <c r="D7479" s="3"/>
    </row>
    <row r="7480" spans="1:4">
      <c r="A7480" s="691"/>
      <c r="D7480" s="3"/>
    </row>
    <row r="7481" spans="1:4">
      <c r="A7481" s="691"/>
      <c r="D7481" s="3"/>
    </row>
    <row r="7482" spans="1:4">
      <c r="A7482" s="691"/>
      <c r="D7482" s="3"/>
    </row>
    <row r="7483" spans="1:4">
      <c r="A7483" s="691"/>
      <c r="D7483" s="3"/>
    </row>
    <row r="7484" spans="1:4">
      <c r="A7484" s="691"/>
      <c r="D7484" s="3"/>
    </row>
    <row r="7485" spans="1:4">
      <c r="A7485" s="691"/>
      <c r="D7485" s="3"/>
    </row>
    <row r="7486" spans="1:4">
      <c r="A7486" s="691"/>
      <c r="D7486" s="3"/>
    </row>
    <row r="7487" spans="1:4">
      <c r="A7487" s="691"/>
      <c r="D7487" s="3"/>
    </row>
    <row r="7488" spans="1:4">
      <c r="A7488" s="691"/>
      <c r="D7488" s="3"/>
    </row>
    <row r="7489" spans="1:4">
      <c r="A7489" s="691"/>
      <c r="D7489" s="3"/>
    </row>
    <row r="7490" spans="1:4">
      <c r="A7490" s="691"/>
      <c r="D7490" s="3"/>
    </row>
    <row r="7491" spans="1:4">
      <c r="A7491" s="691"/>
      <c r="D7491" s="3"/>
    </row>
    <row r="7492" spans="1:4">
      <c r="A7492" s="691"/>
      <c r="D7492" s="3"/>
    </row>
    <row r="7493" spans="1:4">
      <c r="A7493" s="691"/>
      <c r="D7493" s="3"/>
    </row>
    <row r="7494" spans="1:4">
      <c r="A7494" s="691"/>
      <c r="D7494" s="3"/>
    </row>
    <row r="7495" spans="1:4">
      <c r="A7495" s="691"/>
      <c r="D7495" s="3"/>
    </row>
    <row r="7496" spans="1:4">
      <c r="A7496" s="691"/>
      <c r="D7496" s="3"/>
    </row>
    <row r="7497" spans="1:4">
      <c r="A7497" s="691"/>
      <c r="D7497" s="3"/>
    </row>
    <row r="7498" spans="1:4">
      <c r="A7498" s="691"/>
      <c r="D7498" s="3"/>
    </row>
    <row r="7499" spans="1:4">
      <c r="A7499" s="691"/>
      <c r="D7499" s="3"/>
    </row>
    <row r="7500" spans="1:4">
      <c r="A7500" s="691"/>
      <c r="D7500" s="3"/>
    </row>
    <row r="7501" spans="1:4">
      <c r="A7501" s="691"/>
      <c r="D7501" s="3"/>
    </row>
    <row r="7502" spans="1:4">
      <c r="A7502" s="691"/>
      <c r="D7502" s="3"/>
    </row>
    <row r="7503" spans="1:4">
      <c r="A7503" s="691"/>
      <c r="D7503" s="3"/>
    </row>
    <row r="7504" spans="1:4">
      <c r="A7504" s="691"/>
      <c r="D7504" s="3"/>
    </row>
    <row r="7505" spans="1:4">
      <c r="A7505" s="691"/>
      <c r="D7505" s="3"/>
    </row>
    <row r="7506" spans="1:4">
      <c r="A7506" s="691"/>
      <c r="D7506" s="3"/>
    </row>
    <row r="7507" spans="1:4">
      <c r="A7507" s="691"/>
      <c r="D7507" s="3"/>
    </row>
    <row r="7508" spans="1:4">
      <c r="A7508" s="691"/>
      <c r="D7508" s="3"/>
    </row>
    <row r="7509" spans="1:4">
      <c r="A7509" s="691"/>
      <c r="D7509" s="3"/>
    </row>
    <row r="7510" spans="1:4">
      <c r="A7510" s="691"/>
      <c r="D7510" s="3"/>
    </row>
    <row r="7511" spans="1:4">
      <c r="A7511" s="691"/>
      <c r="D7511" s="3"/>
    </row>
    <row r="7512" spans="1:4">
      <c r="A7512" s="691"/>
      <c r="D7512" s="3"/>
    </row>
    <row r="7513" spans="1:4">
      <c r="A7513" s="691"/>
      <c r="D7513" s="3"/>
    </row>
    <row r="7514" spans="1:4">
      <c r="A7514" s="691"/>
      <c r="D7514" s="3"/>
    </row>
    <row r="7515" spans="1:4">
      <c r="A7515" s="691"/>
      <c r="D7515" s="3"/>
    </row>
    <row r="7516" spans="1:4">
      <c r="A7516" s="691"/>
      <c r="D7516" s="3"/>
    </row>
    <row r="7517" spans="1:4">
      <c r="A7517" s="691"/>
      <c r="D7517" s="3"/>
    </row>
    <row r="7518" spans="1:4">
      <c r="A7518" s="691"/>
      <c r="D7518" s="3"/>
    </row>
    <row r="7519" spans="1:4">
      <c r="A7519" s="691"/>
      <c r="D7519" s="3"/>
    </row>
    <row r="7520" spans="1:4">
      <c r="A7520" s="691"/>
      <c r="D7520" s="3"/>
    </row>
    <row r="7521" spans="1:4">
      <c r="A7521" s="691"/>
      <c r="D7521" s="3"/>
    </row>
    <row r="7522" spans="1:4">
      <c r="A7522" s="691"/>
      <c r="D7522" s="3"/>
    </row>
    <row r="7523" spans="1:4">
      <c r="A7523" s="691"/>
      <c r="D7523" s="3"/>
    </row>
    <row r="7524" spans="1:4">
      <c r="A7524" s="691"/>
      <c r="D7524" s="3"/>
    </row>
    <row r="7525" spans="1:4">
      <c r="A7525" s="691"/>
      <c r="D7525" s="3"/>
    </row>
    <row r="7526" spans="1:4">
      <c r="A7526" s="691"/>
      <c r="D7526" s="3"/>
    </row>
    <row r="7527" spans="1:4">
      <c r="A7527" s="691"/>
      <c r="D7527" s="3"/>
    </row>
    <row r="7528" spans="1:4">
      <c r="A7528" s="691"/>
      <c r="D7528" s="3"/>
    </row>
    <row r="7529" spans="1:4">
      <c r="A7529" s="691"/>
      <c r="D7529" s="3"/>
    </row>
    <row r="7530" spans="1:4">
      <c r="A7530" s="691"/>
      <c r="D7530" s="3"/>
    </row>
    <row r="7531" spans="1:4">
      <c r="A7531" s="691"/>
      <c r="D7531" s="3"/>
    </row>
    <row r="7532" spans="1:4">
      <c r="A7532" s="691"/>
      <c r="D7532" s="3"/>
    </row>
    <row r="7533" spans="1:4">
      <c r="A7533" s="691"/>
      <c r="D7533" s="3"/>
    </row>
    <row r="7534" spans="1:4">
      <c r="A7534" s="691"/>
      <c r="D7534" s="3"/>
    </row>
    <row r="7535" spans="1:4">
      <c r="A7535" s="691"/>
      <c r="D7535" s="3"/>
    </row>
    <row r="7536" spans="1:4">
      <c r="A7536" s="691"/>
      <c r="D7536" s="3"/>
    </row>
    <row r="7537" spans="1:4">
      <c r="A7537" s="691"/>
      <c r="D7537" s="3"/>
    </row>
    <row r="7538" spans="1:4">
      <c r="A7538" s="691"/>
      <c r="D7538" s="3"/>
    </row>
    <row r="7539" spans="1:4">
      <c r="A7539" s="691"/>
      <c r="D7539" s="3"/>
    </row>
    <row r="7540" spans="1:4">
      <c r="A7540" s="691"/>
      <c r="D7540" s="3"/>
    </row>
    <row r="7541" spans="1:4">
      <c r="A7541" s="691"/>
      <c r="D7541" s="3"/>
    </row>
    <row r="7542" spans="1:4">
      <c r="A7542" s="691"/>
      <c r="D7542" s="3"/>
    </row>
    <row r="7543" spans="1:4">
      <c r="A7543" s="691"/>
      <c r="D7543" s="3"/>
    </row>
    <row r="7544" spans="1:4">
      <c r="A7544" s="691"/>
      <c r="D7544" s="3"/>
    </row>
    <row r="7545" spans="1:4">
      <c r="A7545" s="691"/>
      <c r="D7545" s="3"/>
    </row>
    <row r="7546" spans="1:4">
      <c r="A7546" s="691"/>
      <c r="D7546" s="3"/>
    </row>
    <row r="7547" spans="1:4">
      <c r="A7547" s="691"/>
      <c r="D7547" s="3"/>
    </row>
    <row r="7548" spans="1:4">
      <c r="A7548" s="691"/>
      <c r="D7548" s="3"/>
    </row>
    <row r="7549" spans="1:4">
      <c r="A7549" s="691"/>
      <c r="D7549" s="3"/>
    </row>
    <row r="7550" spans="1:4">
      <c r="A7550" s="691"/>
      <c r="D7550" s="3"/>
    </row>
    <row r="7551" spans="1:4">
      <c r="A7551" s="691"/>
      <c r="D7551" s="3"/>
    </row>
    <row r="7552" spans="1:4">
      <c r="A7552" s="691"/>
      <c r="D7552" s="3"/>
    </row>
    <row r="7553" spans="1:4">
      <c r="A7553" s="691"/>
      <c r="D7553" s="3"/>
    </row>
    <row r="7554" spans="1:4">
      <c r="A7554" s="691"/>
      <c r="D7554" s="3"/>
    </row>
    <row r="7555" spans="1:4">
      <c r="A7555" s="691"/>
      <c r="D7555" s="3"/>
    </row>
    <row r="7556" spans="1:4">
      <c r="A7556" s="691"/>
      <c r="D7556" s="3"/>
    </row>
    <row r="7557" spans="1:4">
      <c r="A7557" s="691"/>
      <c r="D7557" s="3"/>
    </row>
    <row r="7558" spans="1:4">
      <c r="A7558" s="691"/>
      <c r="D7558" s="3"/>
    </row>
    <row r="7559" spans="1:4">
      <c r="A7559" s="691"/>
      <c r="D7559" s="3"/>
    </row>
    <row r="7560" spans="1:4">
      <c r="A7560" s="691"/>
      <c r="D7560" s="3"/>
    </row>
    <row r="7561" spans="1:4">
      <c r="A7561" s="691"/>
      <c r="D7561" s="3"/>
    </row>
    <row r="7562" spans="1:4">
      <c r="A7562" s="691"/>
      <c r="D7562" s="3"/>
    </row>
    <row r="7563" spans="1:4">
      <c r="A7563" s="691"/>
      <c r="D7563" s="3"/>
    </row>
    <row r="7564" spans="1:4">
      <c r="A7564" s="691"/>
      <c r="D7564" s="3"/>
    </row>
    <row r="7565" spans="1:4">
      <c r="A7565" s="691"/>
      <c r="D7565" s="3"/>
    </row>
    <row r="7566" spans="1:4">
      <c r="A7566" s="691"/>
      <c r="D7566" s="3"/>
    </row>
    <row r="7567" spans="1:4">
      <c r="A7567" s="691"/>
      <c r="D7567" s="3"/>
    </row>
    <row r="7568" spans="1:4">
      <c r="A7568" s="691"/>
      <c r="D7568" s="3"/>
    </row>
    <row r="7569" spans="1:4">
      <c r="A7569" s="691"/>
      <c r="D7569" s="3"/>
    </row>
    <row r="7570" spans="1:4">
      <c r="A7570" s="691"/>
      <c r="D7570" s="3"/>
    </row>
    <row r="7571" spans="1:4">
      <c r="A7571" s="691"/>
      <c r="D7571" s="3"/>
    </row>
    <row r="7572" spans="1:4">
      <c r="A7572" s="691"/>
      <c r="D7572" s="3"/>
    </row>
    <row r="7573" spans="1:4">
      <c r="A7573" s="691"/>
      <c r="D7573" s="3"/>
    </row>
    <row r="7574" spans="1:4">
      <c r="A7574" s="691"/>
      <c r="D7574" s="3"/>
    </row>
    <row r="7575" spans="1:4">
      <c r="A7575" s="691"/>
      <c r="D7575" s="3"/>
    </row>
    <row r="7576" spans="1:4">
      <c r="A7576" s="691"/>
      <c r="D7576" s="3"/>
    </row>
    <row r="7577" spans="1:4">
      <c r="A7577" s="691"/>
      <c r="D7577" s="3"/>
    </row>
    <row r="7578" spans="1:4">
      <c r="A7578" s="691"/>
      <c r="D7578" s="3"/>
    </row>
    <row r="7579" spans="1:4">
      <c r="A7579" s="691"/>
      <c r="D7579" s="3"/>
    </row>
    <row r="7580" spans="1:4">
      <c r="A7580" s="691"/>
      <c r="D7580" s="3"/>
    </row>
    <row r="7581" spans="1:4">
      <c r="A7581" s="691"/>
      <c r="D7581" s="3"/>
    </row>
    <row r="7582" spans="1:4">
      <c r="A7582" s="691"/>
      <c r="D7582" s="3"/>
    </row>
    <row r="7583" spans="1:4">
      <c r="A7583" s="691"/>
      <c r="D7583" s="3"/>
    </row>
    <row r="7584" spans="1:4">
      <c r="A7584" s="691"/>
      <c r="D7584" s="3"/>
    </row>
    <row r="7585" spans="1:4">
      <c r="A7585" s="691"/>
      <c r="D7585" s="3"/>
    </row>
    <row r="7586" spans="1:4">
      <c r="A7586" s="691"/>
      <c r="D7586" s="3"/>
    </row>
    <row r="7587" spans="1:4">
      <c r="A7587" s="691"/>
      <c r="D7587" s="3"/>
    </row>
    <row r="7588" spans="1:4">
      <c r="A7588" s="691"/>
      <c r="D7588" s="3"/>
    </row>
    <row r="7589" spans="1:4">
      <c r="A7589" s="691"/>
      <c r="D7589" s="3"/>
    </row>
    <row r="7590" spans="1:4">
      <c r="A7590" s="691"/>
      <c r="D7590" s="3"/>
    </row>
    <row r="7591" spans="1:4">
      <c r="A7591" s="691"/>
      <c r="D7591" s="3"/>
    </row>
    <row r="7592" spans="1:4">
      <c r="A7592" s="691"/>
      <c r="D7592" s="3"/>
    </row>
    <row r="7593" spans="1:4">
      <c r="A7593" s="691"/>
      <c r="D7593" s="3"/>
    </row>
    <row r="7594" spans="1:4">
      <c r="A7594" s="691"/>
      <c r="D7594" s="3"/>
    </row>
    <row r="7595" spans="1:4">
      <c r="A7595" s="691"/>
      <c r="D7595" s="3"/>
    </row>
    <row r="7596" spans="1:4">
      <c r="A7596" s="691"/>
      <c r="D7596" s="3"/>
    </row>
    <row r="7597" spans="1:4">
      <c r="A7597" s="691"/>
      <c r="D7597" s="3"/>
    </row>
    <row r="7598" spans="1:4">
      <c r="A7598" s="691"/>
      <c r="D7598" s="3"/>
    </row>
    <row r="7599" spans="1:4">
      <c r="A7599" s="691"/>
      <c r="D7599" s="3"/>
    </row>
    <row r="7600" spans="1:4">
      <c r="A7600" s="691"/>
      <c r="D7600" s="3"/>
    </row>
    <row r="7601" spans="1:4">
      <c r="A7601" s="691"/>
      <c r="D7601" s="3"/>
    </row>
    <row r="7602" spans="1:4">
      <c r="A7602" s="691"/>
      <c r="D7602" s="3"/>
    </row>
    <row r="7603" spans="1:4">
      <c r="A7603" s="691"/>
      <c r="D7603" s="3"/>
    </row>
    <row r="7604" spans="1:4">
      <c r="A7604" s="691"/>
      <c r="D7604" s="3"/>
    </row>
    <row r="7605" spans="1:4">
      <c r="A7605" s="691"/>
      <c r="D7605" s="3"/>
    </row>
    <row r="7606" spans="1:4">
      <c r="A7606" s="691"/>
      <c r="D7606" s="3"/>
    </row>
    <row r="7607" spans="1:4">
      <c r="A7607" s="691"/>
      <c r="D7607" s="3"/>
    </row>
    <row r="7608" spans="1:4">
      <c r="A7608" s="691"/>
      <c r="D7608" s="3"/>
    </row>
    <row r="7609" spans="1:4">
      <c r="A7609" s="691"/>
      <c r="D7609" s="3"/>
    </row>
    <row r="7610" spans="1:4">
      <c r="A7610" s="691"/>
      <c r="D7610" s="3"/>
    </row>
    <row r="7611" spans="1:4">
      <c r="A7611" s="691"/>
      <c r="D7611" s="3"/>
    </row>
    <row r="7612" spans="1:4">
      <c r="A7612" s="691"/>
      <c r="D7612" s="3"/>
    </row>
    <row r="7613" spans="1:4">
      <c r="A7613" s="691"/>
      <c r="D7613" s="3"/>
    </row>
    <row r="7614" spans="1:4">
      <c r="A7614" s="691"/>
      <c r="D7614" s="3"/>
    </row>
    <row r="7615" spans="1:4">
      <c r="A7615" s="691"/>
      <c r="D7615" s="3"/>
    </row>
    <row r="7616" spans="1:4">
      <c r="A7616" s="691"/>
      <c r="D7616" s="3"/>
    </row>
    <row r="7617" spans="1:4">
      <c r="A7617" s="691"/>
      <c r="D7617" s="3"/>
    </row>
    <row r="7618" spans="1:4">
      <c r="A7618" s="691"/>
      <c r="D7618" s="3"/>
    </row>
    <row r="7619" spans="1:4">
      <c r="A7619" s="691"/>
      <c r="D7619" s="3"/>
    </row>
    <row r="7620" spans="1:4">
      <c r="A7620" s="691"/>
      <c r="D7620" s="3"/>
    </row>
    <row r="7621" spans="1:4">
      <c r="A7621" s="691"/>
      <c r="D7621" s="3"/>
    </row>
    <row r="7622" spans="1:4">
      <c r="A7622" s="691"/>
      <c r="D7622" s="3"/>
    </row>
    <row r="7623" spans="1:4">
      <c r="A7623" s="691"/>
      <c r="D7623" s="3"/>
    </row>
    <row r="7624" spans="1:4">
      <c r="A7624" s="691"/>
      <c r="D7624" s="3"/>
    </row>
    <row r="7625" spans="1:4">
      <c r="A7625" s="691"/>
      <c r="D7625" s="3"/>
    </row>
    <row r="7626" spans="1:4">
      <c r="A7626" s="691"/>
      <c r="D7626" s="3"/>
    </row>
    <row r="7627" spans="1:4">
      <c r="A7627" s="691"/>
      <c r="D7627" s="3"/>
    </row>
    <row r="7628" spans="1:4">
      <c r="A7628" s="691"/>
      <c r="D7628" s="3"/>
    </row>
    <row r="7629" spans="1:4">
      <c r="A7629" s="691"/>
      <c r="D7629" s="3"/>
    </row>
    <row r="7630" spans="1:4">
      <c r="A7630" s="691"/>
      <c r="D7630" s="3"/>
    </row>
    <row r="7631" spans="1:4">
      <c r="A7631" s="691"/>
      <c r="D7631" s="3"/>
    </row>
    <row r="7632" spans="1:4">
      <c r="A7632" s="691"/>
      <c r="D7632" s="3"/>
    </row>
    <row r="7633" spans="1:4">
      <c r="A7633" s="691"/>
      <c r="D7633" s="3"/>
    </row>
    <row r="7634" spans="1:4">
      <c r="A7634" s="691"/>
      <c r="D7634" s="3"/>
    </row>
    <row r="7635" spans="1:4">
      <c r="A7635" s="691"/>
      <c r="D7635" s="3"/>
    </row>
    <row r="7636" spans="1:4">
      <c r="A7636" s="691"/>
      <c r="D7636" s="3"/>
    </row>
    <row r="7637" spans="1:4">
      <c r="A7637" s="691"/>
      <c r="D7637" s="3"/>
    </row>
    <row r="7638" spans="1:4">
      <c r="A7638" s="691"/>
      <c r="D7638" s="3"/>
    </row>
    <row r="7639" spans="1:4">
      <c r="A7639" s="691"/>
      <c r="D7639" s="3"/>
    </row>
    <row r="7640" spans="1:4">
      <c r="A7640" s="691"/>
      <c r="D7640" s="3"/>
    </row>
    <row r="7641" spans="1:4">
      <c r="A7641" s="691"/>
      <c r="D7641" s="3"/>
    </row>
    <row r="7642" spans="1:4">
      <c r="A7642" s="691"/>
      <c r="D7642" s="3"/>
    </row>
    <row r="7643" spans="1:4">
      <c r="A7643" s="691"/>
      <c r="D7643" s="3"/>
    </row>
    <row r="7644" spans="1:4">
      <c r="A7644" s="691"/>
      <c r="D7644" s="3"/>
    </row>
    <row r="7645" spans="1:4">
      <c r="A7645" s="691"/>
      <c r="D7645" s="3"/>
    </row>
    <row r="7646" spans="1:4">
      <c r="A7646" s="691"/>
      <c r="D7646" s="3"/>
    </row>
    <row r="7647" spans="1:4">
      <c r="A7647" s="691"/>
      <c r="D7647" s="3"/>
    </row>
    <row r="7648" spans="1:4">
      <c r="A7648" s="691"/>
      <c r="D7648" s="3"/>
    </row>
    <row r="7649" spans="1:4">
      <c r="A7649" s="691"/>
      <c r="D7649" s="3"/>
    </row>
    <row r="7650" spans="1:4">
      <c r="A7650" s="691"/>
      <c r="D7650" s="3"/>
    </row>
    <row r="7651" spans="1:4">
      <c r="A7651" s="691"/>
      <c r="D7651" s="3"/>
    </row>
    <row r="7652" spans="1:4">
      <c r="A7652" s="691"/>
      <c r="D7652" s="3"/>
    </row>
    <row r="7653" spans="1:4">
      <c r="A7653" s="691"/>
      <c r="D7653" s="3"/>
    </row>
    <row r="7654" spans="1:4">
      <c r="A7654" s="691"/>
      <c r="D7654" s="3"/>
    </row>
    <row r="7655" spans="1:4">
      <c r="A7655" s="691"/>
      <c r="D7655" s="3"/>
    </row>
    <row r="7656" spans="1:4">
      <c r="A7656" s="691"/>
      <c r="D7656" s="3"/>
    </row>
    <row r="7657" spans="1:4">
      <c r="A7657" s="691"/>
      <c r="D7657" s="3"/>
    </row>
    <row r="7658" spans="1:4">
      <c r="A7658" s="691"/>
      <c r="D7658" s="3"/>
    </row>
    <row r="7659" spans="1:4">
      <c r="A7659" s="691"/>
      <c r="D7659" s="3"/>
    </row>
    <row r="7660" spans="1:4">
      <c r="A7660" s="691"/>
      <c r="D7660" s="3"/>
    </row>
    <row r="7661" spans="1:4">
      <c r="A7661" s="691"/>
      <c r="D7661" s="3"/>
    </row>
    <row r="7662" spans="1:4">
      <c r="A7662" s="691"/>
      <c r="D7662" s="3"/>
    </row>
    <row r="7663" spans="1:4">
      <c r="A7663" s="691"/>
      <c r="D7663" s="3"/>
    </row>
    <row r="7664" spans="1:4">
      <c r="A7664" s="691"/>
      <c r="D7664" s="3"/>
    </row>
    <row r="7665" spans="1:4">
      <c r="A7665" s="691"/>
      <c r="D7665" s="3"/>
    </row>
    <row r="7666" spans="1:4">
      <c r="A7666" s="691"/>
      <c r="D7666" s="3"/>
    </row>
    <row r="7667" spans="1:4">
      <c r="A7667" s="691"/>
      <c r="D7667" s="3"/>
    </row>
    <row r="7668" spans="1:4">
      <c r="A7668" s="691"/>
      <c r="D7668" s="3"/>
    </row>
    <row r="7669" spans="1:4">
      <c r="A7669" s="691"/>
      <c r="D7669" s="3"/>
    </row>
    <row r="7670" spans="1:4">
      <c r="A7670" s="691"/>
      <c r="D7670" s="3"/>
    </row>
    <row r="7671" spans="1:4">
      <c r="A7671" s="691"/>
      <c r="D7671" s="3"/>
    </row>
    <row r="7672" spans="1:4">
      <c r="A7672" s="691"/>
      <c r="D7672" s="3"/>
    </row>
    <row r="7673" spans="1:4">
      <c r="A7673" s="691"/>
      <c r="D7673" s="3"/>
    </row>
    <row r="7674" spans="1:4">
      <c r="A7674" s="691"/>
      <c r="D7674" s="3"/>
    </row>
    <row r="7675" spans="1:4">
      <c r="A7675" s="691"/>
      <c r="D7675" s="3"/>
    </row>
    <row r="7676" spans="1:4">
      <c r="A7676" s="691"/>
      <c r="D7676" s="3"/>
    </row>
    <row r="7677" spans="1:4">
      <c r="A7677" s="691"/>
      <c r="D7677" s="3"/>
    </row>
    <row r="7678" spans="1:4">
      <c r="A7678" s="691"/>
      <c r="D7678" s="3"/>
    </row>
    <row r="7679" spans="1:4">
      <c r="A7679" s="691"/>
      <c r="D7679" s="3"/>
    </row>
    <row r="7680" spans="1:4">
      <c r="A7680" s="691"/>
      <c r="D7680" s="3"/>
    </row>
    <row r="7681" spans="1:4">
      <c r="A7681" s="691"/>
      <c r="D7681" s="3"/>
    </row>
    <row r="7682" spans="1:4">
      <c r="A7682" s="691"/>
      <c r="D7682" s="3"/>
    </row>
    <row r="7683" spans="1:4">
      <c r="A7683" s="691"/>
      <c r="D7683" s="3"/>
    </row>
    <row r="7684" spans="1:4">
      <c r="A7684" s="691"/>
      <c r="D7684" s="3"/>
    </row>
    <row r="7685" spans="1:4">
      <c r="A7685" s="691"/>
      <c r="D7685" s="3"/>
    </row>
    <row r="7686" spans="1:4">
      <c r="A7686" s="691"/>
      <c r="D7686" s="3"/>
    </row>
    <row r="7687" spans="1:4">
      <c r="A7687" s="691"/>
      <c r="D7687" s="3"/>
    </row>
    <row r="7688" spans="1:4">
      <c r="A7688" s="691"/>
      <c r="D7688" s="3"/>
    </row>
    <row r="7689" spans="1:4">
      <c r="A7689" s="691"/>
      <c r="D7689" s="3"/>
    </row>
    <row r="7690" spans="1:4">
      <c r="A7690" s="691"/>
      <c r="D7690" s="3"/>
    </row>
    <row r="7691" spans="1:4">
      <c r="A7691" s="691"/>
      <c r="D7691" s="3"/>
    </row>
    <row r="7692" spans="1:4">
      <c r="A7692" s="691"/>
      <c r="D7692" s="3"/>
    </row>
    <row r="7693" spans="1:4">
      <c r="A7693" s="691"/>
      <c r="D7693" s="3"/>
    </row>
    <row r="7694" spans="1:4">
      <c r="A7694" s="691"/>
      <c r="D7694" s="3"/>
    </row>
    <row r="7695" spans="1:4">
      <c r="A7695" s="691"/>
      <c r="D7695" s="3"/>
    </row>
    <row r="7696" spans="1:4">
      <c r="A7696" s="691"/>
      <c r="D7696" s="3"/>
    </row>
    <row r="7697" spans="1:4">
      <c r="A7697" s="691"/>
      <c r="D7697" s="3"/>
    </row>
    <row r="7698" spans="1:4">
      <c r="A7698" s="691"/>
      <c r="D7698" s="3"/>
    </row>
    <row r="7699" spans="1:4">
      <c r="A7699" s="691"/>
      <c r="D7699" s="3"/>
    </row>
    <row r="7700" spans="1:4">
      <c r="A7700" s="691"/>
      <c r="D7700" s="3"/>
    </row>
    <row r="7701" spans="1:4">
      <c r="A7701" s="691"/>
      <c r="D7701" s="3"/>
    </row>
    <row r="7702" spans="1:4">
      <c r="A7702" s="691"/>
      <c r="D7702" s="3"/>
    </row>
    <row r="7703" spans="1:4">
      <c r="A7703" s="691"/>
      <c r="D7703" s="3"/>
    </row>
    <row r="7704" spans="1:4">
      <c r="A7704" s="691"/>
      <c r="D7704" s="3"/>
    </row>
    <row r="7705" spans="1:4">
      <c r="A7705" s="691"/>
      <c r="D7705" s="3"/>
    </row>
    <row r="7706" spans="1:4">
      <c r="A7706" s="691"/>
      <c r="D7706" s="3"/>
    </row>
    <row r="7707" spans="1:4">
      <c r="A7707" s="691"/>
      <c r="D7707" s="3"/>
    </row>
    <row r="7708" spans="1:4">
      <c r="A7708" s="691"/>
      <c r="D7708" s="3"/>
    </row>
    <row r="7709" spans="1:4">
      <c r="A7709" s="691"/>
      <c r="D7709" s="3"/>
    </row>
    <row r="7710" spans="1:4">
      <c r="A7710" s="691"/>
      <c r="D7710" s="3"/>
    </row>
    <row r="7711" spans="1:4">
      <c r="A7711" s="691"/>
      <c r="D7711" s="3"/>
    </row>
    <row r="7712" spans="1:4">
      <c r="A7712" s="691"/>
      <c r="D7712" s="3"/>
    </row>
    <row r="7713" spans="1:4">
      <c r="A7713" s="691"/>
      <c r="D7713" s="3"/>
    </row>
    <row r="7714" spans="1:4">
      <c r="A7714" s="691"/>
      <c r="D7714" s="3"/>
    </row>
    <row r="7715" spans="1:4">
      <c r="A7715" s="691"/>
      <c r="D7715" s="3"/>
    </row>
    <row r="7716" spans="1:4">
      <c r="A7716" s="691"/>
      <c r="D7716" s="3"/>
    </row>
    <row r="7717" spans="1:4">
      <c r="A7717" s="691"/>
      <c r="D7717" s="3"/>
    </row>
    <row r="7718" spans="1:4">
      <c r="A7718" s="691"/>
      <c r="D7718" s="3"/>
    </row>
    <row r="7719" spans="1:4">
      <c r="A7719" s="691"/>
      <c r="D7719" s="3"/>
    </row>
    <row r="7720" spans="1:4">
      <c r="A7720" s="691"/>
      <c r="D7720" s="3"/>
    </row>
    <row r="7721" spans="1:4">
      <c r="A7721" s="691"/>
      <c r="D7721" s="3"/>
    </row>
    <row r="7722" spans="1:4">
      <c r="A7722" s="691"/>
      <c r="D7722" s="3"/>
    </row>
    <row r="7723" spans="1:4">
      <c r="A7723" s="691"/>
      <c r="D7723" s="3"/>
    </row>
    <row r="7724" spans="1:4">
      <c r="A7724" s="691"/>
      <c r="D7724" s="3"/>
    </row>
    <row r="7725" spans="1:4">
      <c r="A7725" s="691"/>
      <c r="D7725" s="3"/>
    </row>
    <row r="7726" spans="1:4">
      <c r="A7726" s="691"/>
      <c r="D7726" s="3"/>
    </row>
    <row r="7727" spans="1:4">
      <c r="A7727" s="691"/>
      <c r="D7727" s="3"/>
    </row>
    <row r="7728" spans="1:4">
      <c r="A7728" s="691"/>
      <c r="D7728" s="3"/>
    </row>
    <row r="7729" spans="1:4">
      <c r="A7729" s="691"/>
      <c r="D7729" s="3"/>
    </row>
    <row r="7730" spans="1:4">
      <c r="A7730" s="691"/>
      <c r="D7730" s="3"/>
    </row>
    <row r="7731" spans="1:4">
      <c r="A7731" s="691"/>
      <c r="D7731" s="3"/>
    </row>
    <row r="7732" spans="1:4">
      <c r="A7732" s="691"/>
      <c r="D7732" s="3"/>
    </row>
    <row r="7733" spans="1:4">
      <c r="A7733" s="691"/>
      <c r="D7733" s="3"/>
    </row>
    <row r="7734" spans="1:4">
      <c r="A7734" s="691"/>
      <c r="D7734" s="3"/>
    </row>
    <row r="7735" spans="1:4">
      <c r="A7735" s="691"/>
      <c r="D7735" s="3"/>
    </row>
    <row r="7736" spans="1:4">
      <c r="A7736" s="691"/>
      <c r="D7736" s="3"/>
    </row>
    <row r="7737" spans="1:4">
      <c r="A7737" s="691"/>
      <c r="D7737" s="3"/>
    </row>
    <row r="7738" spans="1:4">
      <c r="A7738" s="691"/>
      <c r="D7738" s="3"/>
    </row>
    <row r="7739" spans="1:4">
      <c r="A7739" s="691"/>
      <c r="D7739" s="3"/>
    </row>
    <row r="7740" spans="1:4">
      <c r="A7740" s="691"/>
      <c r="D7740" s="3"/>
    </row>
    <row r="7741" spans="1:4">
      <c r="A7741" s="691"/>
      <c r="D7741" s="3"/>
    </row>
    <row r="7742" spans="1:4">
      <c r="A7742" s="691"/>
      <c r="D7742" s="3"/>
    </row>
    <row r="7743" spans="1:4">
      <c r="A7743" s="691"/>
      <c r="D7743" s="3"/>
    </row>
    <row r="7744" spans="1:4">
      <c r="A7744" s="691"/>
      <c r="D7744" s="3"/>
    </row>
    <row r="7745" spans="1:4">
      <c r="A7745" s="691"/>
      <c r="D7745" s="3"/>
    </row>
    <row r="7746" spans="1:4">
      <c r="A7746" s="691"/>
      <c r="D7746" s="3"/>
    </row>
    <row r="7747" spans="1:4">
      <c r="A7747" s="691"/>
      <c r="D7747" s="3"/>
    </row>
    <row r="7748" spans="1:4">
      <c r="A7748" s="691"/>
      <c r="D7748" s="3"/>
    </row>
    <row r="7749" spans="1:4">
      <c r="A7749" s="691"/>
      <c r="D7749" s="3"/>
    </row>
    <row r="7750" spans="1:4">
      <c r="A7750" s="691"/>
      <c r="D7750" s="3"/>
    </row>
    <row r="7751" spans="1:4">
      <c r="A7751" s="691"/>
      <c r="D7751" s="3"/>
    </row>
    <row r="7752" spans="1:4">
      <c r="A7752" s="691"/>
      <c r="D7752" s="3"/>
    </row>
    <row r="7753" spans="1:4">
      <c r="A7753" s="691"/>
      <c r="D7753" s="3"/>
    </row>
    <row r="7754" spans="1:4">
      <c r="A7754" s="691"/>
      <c r="D7754" s="3"/>
    </row>
    <row r="7755" spans="1:4">
      <c r="A7755" s="691"/>
      <c r="D7755" s="3"/>
    </row>
    <row r="7756" spans="1:4">
      <c r="A7756" s="691"/>
      <c r="D7756" s="3"/>
    </row>
    <row r="7757" spans="1:4">
      <c r="A7757" s="691"/>
      <c r="D7757" s="3"/>
    </row>
    <row r="7758" spans="1:4">
      <c r="A7758" s="691"/>
      <c r="D7758" s="3"/>
    </row>
    <row r="7759" spans="1:4">
      <c r="A7759" s="691"/>
      <c r="D7759" s="3"/>
    </row>
    <row r="7760" spans="1:4">
      <c r="A7760" s="691"/>
      <c r="D7760" s="3"/>
    </row>
    <row r="7761" spans="1:4">
      <c r="A7761" s="691"/>
      <c r="D7761" s="3"/>
    </row>
    <row r="7762" spans="1:4">
      <c r="A7762" s="691"/>
      <c r="D7762" s="3"/>
    </row>
    <row r="7763" spans="1:4">
      <c r="A7763" s="691"/>
      <c r="D7763" s="3"/>
    </row>
    <row r="7764" spans="1:4">
      <c r="A7764" s="691"/>
      <c r="D7764" s="3"/>
    </row>
    <row r="7765" spans="1:4">
      <c r="A7765" s="691"/>
      <c r="D7765" s="3"/>
    </row>
    <row r="7766" spans="1:4">
      <c r="A7766" s="691"/>
      <c r="D7766" s="3"/>
    </row>
    <row r="7767" spans="1:4">
      <c r="A7767" s="691"/>
      <c r="D7767" s="3"/>
    </row>
    <row r="7768" spans="1:4">
      <c r="A7768" s="691"/>
      <c r="D7768" s="3"/>
    </row>
    <row r="7769" spans="1:4">
      <c r="A7769" s="691"/>
      <c r="D7769" s="3"/>
    </row>
    <row r="7770" spans="1:4">
      <c r="A7770" s="691"/>
      <c r="D7770" s="3"/>
    </row>
    <row r="7771" spans="1:4">
      <c r="A7771" s="691"/>
      <c r="D7771" s="3"/>
    </row>
    <row r="7772" spans="1:4">
      <c r="A7772" s="691"/>
      <c r="D7772" s="3"/>
    </row>
    <row r="7773" spans="1:4">
      <c r="A7773" s="691"/>
      <c r="D7773" s="3"/>
    </row>
    <row r="7774" spans="1:4">
      <c r="A7774" s="691"/>
      <c r="D7774" s="3"/>
    </row>
    <row r="7775" spans="1:4">
      <c r="A7775" s="691"/>
      <c r="D7775" s="3"/>
    </row>
    <row r="7776" spans="1:4">
      <c r="A7776" s="691"/>
      <c r="D7776" s="3"/>
    </row>
    <row r="7777" spans="1:4">
      <c r="A7777" s="691"/>
      <c r="D7777" s="3"/>
    </row>
    <row r="7778" spans="1:4">
      <c r="A7778" s="691"/>
      <c r="D7778" s="3"/>
    </row>
    <row r="7779" spans="1:4">
      <c r="A7779" s="691"/>
      <c r="D7779" s="3"/>
    </row>
    <row r="7780" spans="1:4">
      <c r="A7780" s="691"/>
      <c r="D7780" s="3"/>
    </row>
    <row r="7781" spans="1:4">
      <c r="A7781" s="691"/>
      <c r="D7781" s="3"/>
    </row>
    <row r="7782" spans="1:4">
      <c r="A7782" s="691"/>
      <c r="D7782" s="3"/>
    </row>
    <row r="7783" spans="1:4">
      <c r="A7783" s="691"/>
      <c r="D7783" s="3"/>
    </row>
    <row r="7784" spans="1:4">
      <c r="A7784" s="691"/>
      <c r="D7784" s="3"/>
    </row>
    <row r="7785" spans="1:4">
      <c r="A7785" s="691"/>
      <c r="D7785" s="3"/>
    </row>
    <row r="7786" spans="1:4">
      <c r="A7786" s="691"/>
      <c r="D7786" s="3"/>
    </row>
    <row r="7787" spans="1:4">
      <c r="A7787" s="691"/>
      <c r="D7787" s="3"/>
    </row>
    <row r="7788" spans="1:4">
      <c r="A7788" s="691"/>
      <c r="D7788" s="3"/>
    </row>
    <row r="7789" spans="1:4">
      <c r="A7789" s="691"/>
      <c r="D7789" s="3"/>
    </row>
    <row r="7790" spans="1:4">
      <c r="A7790" s="691"/>
      <c r="D7790" s="3"/>
    </row>
    <row r="7791" spans="1:4">
      <c r="A7791" s="691"/>
      <c r="D7791" s="3"/>
    </row>
    <row r="7792" spans="1:4">
      <c r="A7792" s="691"/>
      <c r="D7792" s="3"/>
    </row>
    <row r="7793" spans="1:4">
      <c r="A7793" s="691"/>
      <c r="D7793" s="3"/>
    </row>
    <row r="7794" spans="1:4">
      <c r="A7794" s="691"/>
      <c r="D7794" s="3"/>
    </row>
    <row r="7795" spans="1:4">
      <c r="A7795" s="691"/>
      <c r="D7795" s="3"/>
    </row>
    <row r="7796" spans="1:4">
      <c r="A7796" s="691"/>
      <c r="D7796" s="3"/>
    </row>
    <row r="7797" spans="1:4">
      <c r="A7797" s="691"/>
      <c r="D7797" s="3"/>
    </row>
    <row r="7798" spans="1:4">
      <c r="A7798" s="691"/>
      <c r="D7798" s="3"/>
    </row>
    <row r="7799" spans="1:4">
      <c r="A7799" s="691"/>
      <c r="D7799" s="3"/>
    </row>
    <row r="7800" spans="1:4">
      <c r="A7800" s="691"/>
      <c r="D7800" s="3"/>
    </row>
    <row r="7801" spans="1:4">
      <c r="A7801" s="691"/>
      <c r="D7801" s="3"/>
    </row>
    <row r="7802" spans="1:4">
      <c r="A7802" s="691"/>
      <c r="D7802" s="3"/>
    </row>
    <row r="7803" spans="1:4">
      <c r="A7803" s="691"/>
      <c r="D7803" s="3"/>
    </row>
    <row r="7804" spans="1:4">
      <c r="A7804" s="691"/>
      <c r="D7804" s="3"/>
    </row>
    <row r="7805" spans="1:4">
      <c r="A7805" s="691"/>
      <c r="D7805" s="3"/>
    </row>
    <row r="7806" spans="1:4">
      <c r="A7806" s="691"/>
      <c r="D7806" s="3"/>
    </row>
    <row r="7807" spans="1:4">
      <c r="A7807" s="691"/>
      <c r="D7807" s="3"/>
    </row>
    <row r="7808" spans="1:4">
      <c r="A7808" s="691"/>
      <c r="D7808" s="3"/>
    </row>
    <row r="7809" spans="1:4">
      <c r="A7809" s="691"/>
      <c r="D7809" s="3"/>
    </row>
    <row r="7810" spans="1:4">
      <c r="A7810" s="691"/>
      <c r="D7810" s="3"/>
    </row>
    <row r="7811" spans="1:4">
      <c r="A7811" s="691"/>
      <c r="D7811" s="3"/>
    </row>
    <row r="7812" spans="1:4">
      <c r="A7812" s="691"/>
      <c r="D7812" s="3"/>
    </row>
    <row r="7813" spans="1:4">
      <c r="A7813" s="691"/>
      <c r="D7813" s="3"/>
    </row>
    <row r="7814" spans="1:4">
      <c r="A7814" s="691"/>
      <c r="D7814" s="3"/>
    </row>
    <row r="7815" spans="1:4">
      <c r="A7815" s="691"/>
      <c r="D7815" s="3"/>
    </row>
    <row r="7816" spans="1:4">
      <c r="A7816" s="691"/>
      <c r="D7816" s="3"/>
    </row>
    <row r="7817" spans="1:4">
      <c r="A7817" s="691"/>
      <c r="D7817" s="3"/>
    </row>
    <row r="7818" spans="1:4">
      <c r="A7818" s="691"/>
      <c r="D7818" s="3"/>
    </row>
    <row r="7819" spans="1:4">
      <c r="A7819" s="691"/>
      <c r="D7819" s="3"/>
    </row>
    <row r="7820" spans="1:4">
      <c r="A7820" s="691"/>
      <c r="D7820" s="3"/>
    </row>
    <row r="7821" spans="1:4">
      <c r="A7821" s="691"/>
      <c r="D7821" s="3"/>
    </row>
    <row r="7822" spans="1:4">
      <c r="A7822" s="691"/>
      <c r="D7822" s="3"/>
    </row>
    <row r="7823" spans="1:4">
      <c r="A7823" s="691"/>
      <c r="D7823" s="3"/>
    </row>
    <row r="7824" spans="1:4">
      <c r="A7824" s="691"/>
      <c r="D7824" s="3"/>
    </row>
    <row r="7825" spans="1:4">
      <c r="A7825" s="691"/>
      <c r="D7825" s="3"/>
    </row>
    <row r="7826" spans="1:4">
      <c r="A7826" s="691"/>
      <c r="D7826" s="3"/>
    </row>
    <row r="7827" spans="1:4">
      <c r="A7827" s="691"/>
      <c r="D7827" s="3"/>
    </row>
    <row r="7828" spans="1:4">
      <c r="A7828" s="691"/>
      <c r="D7828" s="3"/>
    </row>
    <row r="7829" spans="1:4">
      <c r="A7829" s="691"/>
      <c r="D7829" s="3"/>
    </row>
    <row r="7830" spans="1:4">
      <c r="A7830" s="691"/>
      <c r="D7830" s="3"/>
    </row>
    <row r="7831" spans="1:4">
      <c r="A7831" s="691"/>
      <c r="D7831" s="3"/>
    </row>
    <row r="7832" spans="1:4">
      <c r="A7832" s="691"/>
      <c r="D7832" s="3"/>
    </row>
    <row r="7833" spans="1:4">
      <c r="A7833" s="691"/>
      <c r="D7833" s="3"/>
    </row>
    <row r="7834" spans="1:4">
      <c r="A7834" s="691"/>
      <c r="D7834" s="3"/>
    </row>
    <row r="7835" spans="1:4">
      <c r="A7835" s="691"/>
      <c r="D7835" s="3"/>
    </row>
    <row r="7836" spans="1:4">
      <c r="A7836" s="691"/>
      <c r="D7836" s="3"/>
    </row>
    <row r="7837" spans="1:4">
      <c r="A7837" s="691"/>
      <c r="D7837" s="3"/>
    </row>
    <row r="7838" spans="1:4">
      <c r="A7838" s="691"/>
      <c r="D7838" s="3"/>
    </row>
    <row r="7839" spans="1:4">
      <c r="A7839" s="691"/>
      <c r="D7839" s="3"/>
    </row>
    <row r="7840" spans="1:4">
      <c r="A7840" s="691"/>
      <c r="D7840" s="3"/>
    </row>
    <row r="7841" spans="1:4">
      <c r="A7841" s="691"/>
      <c r="D7841" s="3"/>
    </row>
    <row r="7842" spans="1:4">
      <c r="A7842" s="691"/>
      <c r="D7842" s="3"/>
    </row>
    <row r="7843" spans="1:4">
      <c r="A7843" s="691"/>
      <c r="D7843" s="3"/>
    </row>
    <row r="7844" spans="1:4">
      <c r="A7844" s="691"/>
      <c r="D7844" s="3"/>
    </row>
    <row r="7845" spans="1:4">
      <c r="A7845" s="691"/>
      <c r="D7845" s="3"/>
    </row>
    <row r="7846" spans="1:4">
      <c r="A7846" s="691"/>
      <c r="D7846" s="3"/>
    </row>
    <row r="7847" spans="1:4">
      <c r="A7847" s="691"/>
      <c r="D7847" s="3"/>
    </row>
    <row r="7848" spans="1:4">
      <c r="A7848" s="691"/>
      <c r="D7848" s="3"/>
    </row>
    <row r="7849" spans="1:4">
      <c r="A7849" s="691"/>
      <c r="D7849" s="3"/>
    </row>
    <row r="7850" spans="1:4">
      <c r="A7850" s="691"/>
      <c r="D7850" s="3"/>
    </row>
    <row r="7851" spans="1:4">
      <c r="A7851" s="691"/>
      <c r="D7851" s="3"/>
    </row>
    <row r="7852" spans="1:4">
      <c r="A7852" s="691"/>
      <c r="D7852" s="3"/>
    </row>
    <row r="7853" spans="1:4">
      <c r="A7853" s="691"/>
      <c r="D7853" s="3"/>
    </row>
    <row r="7854" spans="1:4">
      <c r="A7854" s="691"/>
      <c r="D7854" s="3"/>
    </row>
    <row r="7855" spans="1:4">
      <c r="A7855" s="691"/>
      <c r="D7855" s="3"/>
    </row>
    <row r="7856" spans="1:4">
      <c r="A7856" s="691"/>
      <c r="D7856" s="3"/>
    </row>
    <row r="7857" spans="1:4">
      <c r="A7857" s="691"/>
      <c r="D7857" s="3"/>
    </row>
    <row r="7858" spans="1:4">
      <c r="A7858" s="691"/>
      <c r="D7858" s="3"/>
    </row>
    <row r="7859" spans="1:4">
      <c r="A7859" s="691"/>
      <c r="D7859" s="3"/>
    </row>
    <row r="7860" spans="1:4">
      <c r="A7860" s="691"/>
      <c r="D7860" s="3"/>
    </row>
    <row r="7861" spans="1:4">
      <c r="A7861" s="691"/>
      <c r="D7861" s="3"/>
    </row>
    <row r="7862" spans="1:4">
      <c r="A7862" s="691"/>
      <c r="D7862" s="3"/>
    </row>
    <row r="7863" spans="1:4">
      <c r="A7863" s="691"/>
      <c r="D7863" s="3"/>
    </row>
    <row r="7864" spans="1:4">
      <c r="A7864" s="691"/>
      <c r="D7864" s="3"/>
    </row>
    <row r="7865" spans="1:4">
      <c r="A7865" s="691"/>
      <c r="D7865" s="3"/>
    </row>
    <row r="7866" spans="1:4">
      <c r="A7866" s="691"/>
      <c r="D7866" s="3"/>
    </row>
    <row r="7867" spans="1:4">
      <c r="A7867" s="691"/>
      <c r="D7867" s="3"/>
    </row>
    <row r="7868" spans="1:4">
      <c r="A7868" s="691"/>
      <c r="D7868" s="3"/>
    </row>
    <row r="7869" spans="1:4">
      <c r="A7869" s="691"/>
      <c r="D7869" s="3"/>
    </row>
    <row r="7870" spans="1:4">
      <c r="A7870" s="691"/>
      <c r="D7870" s="3"/>
    </row>
    <row r="7871" spans="1:4">
      <c r="A7871" s="691"/>
      <c r="D7871" s="3"/>
    </row>
    <row r="7872" spans="1:4">
      <c r="A7872" s="691"/>
      <c r="D7872" s="3"/>
    </row>
    <row r="7873" spans="1:4">
      <c r="A7873" s="691"/>
      <c r="D7873" s="3"/>
    </row>
    <row r="7874" spans="1:4">
      <c r="A7874" s="691"/>
      <c r="D7874" s="3"/>
    </row>
    <row r="7875" spans="1:4">
      <c r="A7875" s="691"/>
      <c r="D7875" s="3"/>
    </row>
    <row r="7876" spans="1:4">
      <c r="A7876" s="691"/>
      <c r="D7876" s="3"/>
    </row>
    <row r="7877" spans="1:4">
      <c r="A7877" s="691"/>
      <c r="D7877" s="3"/>
    </row>
    <row r="7878" spans="1:4">
      <c r="A7878" s="691"/>
      <c r="D7878" s="3"/>
    </row>
    <row r="7879" spans="1:4">
      <c r="A7879" s="691"/>
      <c r="D7879" s="3"/>
    </row>
    <row r="7880" spans="1:4">
      <c r="A7880" s="691"/>
      <c r="D7880" s="3"/>
    </row>
    <row r="7881" spans="1:4">
      <c r="A7881" s="691"/>
      <c r="D7881" s="3"/>
    </row>
    <row r="7882" spans="1:4">
      <c r="A7882" s="691"/>
      <c r="D7882" s="3"/>
    </row>
    <row r="7883" spans="1:4">
      <c r="A7883" s="691"/>
      <c r="D7883" s="3"/>
    </row>
    <row r="7884" spans="1:4">
      <c r="A7884" s="691"/>
      <c r="D7884" s="3"/>
    </row>
    <row r="7885" spans="1:4">
      <c r="A7885" s="691"/>
      <c r="D7885" s="3"/>
    </row>
    <row r="7886" spans="1:4">
      <c r="A7886" s="691"/>
      <c r="D7886" s="3"/>
    </row>
    <row r="7887" spans="1:4">
      <c r="A7887" s="691"/>
      <c r="D7887" s="3"/>
    </row>
    <row r="7888" spans="1:4">
      <c r="A7888" s="691"/>
      <c r="D7888" s="3"/>
    </row>
    <row r="7889" spans="1:4">
      <c r="A7889" s="691"/>
      <c r="D7889" s="3"/>
    </row>
    <row r="7890" spans="1:4">
      <c r="A7890" s="691"/>
      <c r="D7890" s="3"/>
    </row>
    <row r="7891" spans="1:4">
      <c r="A7891" s="691"/>
      <c r="D7891" s="3"/>
    </row>
    <row r="7892" spans="1:4">
      <c r="A7892" s="691"/>
      <c r="D7892" s="3"/>
    </row>
    <row r="7893" spans="1:4">
      <c r="A7893" s="691"/>
      <c r="D7893" s="3"/>
    </row>
    <row r="7894" spans="1:4">
      <c r="A7894" s="691"/>
      <c r="D7894" s="3"/>
    </row>
    <row r="7895" spans="1:4">
      <c r="A7895" s="691"/>
      <c r="D7895" s="3"/>
    </row>
    <row r="7896" spans="1:4">
      <c r="A7896" s="691"/>
      <c r="D7896" s="3"/>
    </row>
    <row r="7897" spans="1:4">
      <c r="A7897" s="691"/>
      <c r="D7897" s="3"/>
    </row>
    <row r="7898" spans="1:4">
      <c r="A7898" s="691"/>
      <c r="D7898" s="3"/>
    </row>
    <row r="7899" spans="1:4">
      <c r="A7899" s="691"/>
      <c r="D7899" s="3"/>
    </row>
    <row r="7900" spans="1:4">
      <c r="A7900" s="691"/>
      <c r="D7900" s="3"/>
    </row>
    <row r="7901" spans="1:4">
      <c r="A7901" s="691"/>
      <c r="D7901" s="3"/>
    </row>
    <row r="7902" spans="1:4">
      <c r="A7902" s="691"/>
      <c r="D7902" s="3"/>
    </row>
    <row r="7903" spans="1:4">
      <c r="A7903" s="691"/>
      <c r="D7903" s="3"/>
    </row>
    <row r="7904" spans="1:4">
      <c r="A7904" s="691"/>
      <c r="D7904" s="3"/>
    </row>
    <row r="7905" spans="1:4">
      <c r="A7905" s="691"/>
      <c r="D7905" s="3"/>
    </row>
    <row r="7906" spans="1:4">
      <c r="A7906" s="691"/>
      <c r="D7906" s="3"/>
    </row>
    <row r="7907" spans="1:4">
      <c r="A7907" s="691"/>
      <c r="D7907" s="3"/>
    </row>
    <row r="7908" spans="1:4">
      <c r="A7908" s="691"/>
      <c r="D7908" s="3"/>
    </row>
    <row r="7909" spans="1:4">
      <c r="A7909" s="691"/>
      <c r="D7909" s="3"/>
    </row>
    <row r="7910" spans="1:4">
      <c r="A7910" s="691"/>
      <c r="D7910" s="3"/>
    </row>
    <row r="7911" spans="1:4">
      <c r="A7911" s="691"/>
      <c r="D7911" s="3"/>
    </row>
    <row r="7912" spans="1:4">
      <c r="A7912" s="691"/>
      <c r="D7912" s="3"/>
    </row>
    <row r="7913" spans="1:4">
      <c r="A7913" s="691"/>
      <c r="D7913" s="3"/>
    </row>
    <row r="7914" spans="1:4">
      <c r="A7914" s="691"/>
      <c r="D7914" s="3"/>
    </row>
    <row r="7915" spans="1:4">
      <c r="A7915" s="691"/>
      <c r="D7915" s="3"/>
    </row>
    <row r="7916" spans="1:4">
      <c r="A7916" s="691"/>
      <c r="D7916" s="3"/>
    </row>
    <row r="7917" spans="1:4">
      <c r="A7917" s="691"/>
      <c r="D7917" s="3"/>
    </row>
    <row r="7918" spans="1:4">
      <c r="A7918" s="691"/>
      <c r="D7918" s="3"/>
    </row>
    <row r="7919" spans="1:4">
      <c r="A7919" s="691"/>
      <c r="D7919" s="3"/>
    </row>
    <row r="7920" spans="1:4">
      <c r="A7920" s="691"/>
      <c r="D7920" s="3"/>
    </row>
    <row r="7921" spans="1:4">
      <c r="A7921" s="691"/>
      <c r="D7921" s="3"/>
    </row>
    <row r="7922" spans="1:4">
      <c r="A7922" s="691"/>
      <c r="D7922" s="3"/>
    </row>
    <row r="7923" spans="1:4">
      <c r="A7923" s="691"/>
      <c r="D7923" s="3"/>
    </row>
    <row r="7924" spans="1:4">
      <c r="A7924" s="691"/>
      <c r="D7924" s="3"/>
    </row>
    <row r="7925" spans="1:4">
      <c r="A7925" s="691"/>
      <c r="D7925" s="3"/>
    </row>
    <row r="7926" spans="1:4">
      <c r="A7926" s="691"/>
      <c r="D7926" s="3"/>
    </row>
    <row r="7927" spans="1:4">
      <c r="A7927" s="691"/>
      <c r="D7927" s="3"/>
    </row>
    <row r="7928" spans="1:4">
      <c r="A7928" s="691"/>
      <c r="D7928" s="3"/>
    </row>
    <row r="7929" spans="1:4">
      <c r="A7929" s="691"/>
      <c r="D7929" s="3"/>
    </row>
    <row r="7930" spans="1:4">
      <c r="A7930" s="691"/>
      <c r="D7930" s="3"/>
    </row>
    <row r="7931" spans="1:4">
      <c r="A7931" s="691"/>
      <c r="D7931" s="3"/>
    </row>
    <row r="7932" spans="1:4">
      <c r="A7932" s="691"/>
      <c r="D7932" s="3"/>
    </row>
    <row r="7933" spans="1:4">
      <c r="A7933" s="691"/>
      <c r="D7933" s="3"/>
    </row>
    <row r="7934" spans="1:4">
      <c r="A7934" s="691"/>
      <c r="D7934" s="3"/>
    </row>
    <row r="7935" spans="1:4">
      <c r="A7935" s="691"/>
      <c r="D7935" s="3"/>
    </row>
    <row r="7936" spans="1:4">
      <c r="A7936" s="691"/>
      <c r="D7936" s="3"/>
    </row>
    <row r="7937" spans="1:4">
      <c r="A7937" s="691"/>
      <c r="D7937" s="3"/>
    </row>
    <row r="7938" spans="1:4">
      <c r="A7938" s="691"/>
      <c r="D7938" s="3"/>
    </row>
    <row r="7939" spans="1:4">
      <c r="A7939" s="691"/>
      <c r="D7939" s="3"/>
    </row>
    <row r="7940" spans="1:4">
      <c r="A7940" s="691"/>
      <c r="D7940" s="3"/>
    </row>
    <row r="7941" spans="1:4">
      <c r="A7941" s="691"/>
      <c r="D7941" s="3"/>
    </row>
    <row r="7942" spans="1:4">
      <c r="A7942" s="691"/>
      <c r="D7942" s="3"/>
    </row>
    <row r="7943" spans="1:4">
      <c r="A7943" s="691"/>
      <c r="D7943" s="3"/>
    </row>
    <row r="7944" spans="1:4">
      <c r="A7944" s="691"/>
      <c r="D7944" s="3"/>
    </row>
    <row r="7945" spans="1:4">
      <c r="A7945" s="691"/>
      <c r="D7945" s="3"/>
    </row>
    <row r="7946" spans="1:4">
      <c r="A7946" s="691"/>
      <c r="D7946" s="3"/>
    </row>
    <row r="7947" spans="1:4">
      <c r="A7947" s="691"/>
      <c r="D7947" s="3"/>
    </row>
    <row r="7948" spans="1:4">
      <c r="A7948" s="691"/>
      <c r="D7948" s="3"/>
    </row>
    <row r="7949" spans="1:4">
      <c r="A7949" s="691"/>
      <c r="D7949" s="3"/>
    </row>
    <row r="7950" spans="1:4">
      <c r="A7950" s="691"/>
      <c r="D7950" s="3"/>
    </row>
    <row r="7951" spans="1:4">
      <c r="A7951" s="691"/>
      <c r="D7951" s="3"/>
    </row>
    <row r="7952" spans="1:4">
      <c r="A7952" s="691"/>
      <c r="D7952" s="3"/>
    </row>
    <row r="7953" spans="1:4">
      <c r="A7953" s="691"/>
      <c r="D7953" s="3"/>
    </row>
    <row r="7954" spans="1:4">
      <c r="A7954" s="691"/>
      <c r="D7954" s="3"/>
    </row>
    <row r="7955" spans="1:4">
      <c r="A7955" s="691"/>
      <c r="D7955" s="3"/>
    </row>
    <row r="7956" spans="1:4">
      <c r="A7956" s="691"/>
      <c r="D7956" s="3"/>
    </row>
    <row r="7957" spans="1:4">
      <c r="A7957" s="691"/>
      <c r="D7957" s="3"/>
    </row>
    <row r="7958" spans="1:4">
      <c r="A7958" s="691"/>
      <c r="D7958" s="3"/>
    </row>
    <row r="7959" spans="1:4">
      <c r="A7959" s="691"/>
      <c r="D7959" s="3"/>
    </row>
    <row r="7960" spans="1:4">
      <c r="A7960" s="691"/>
      <c r="D7960" s="3"/>
    </row>
    <row r="7961" spans="1:4">
      <c r="A7961" s="691"/>
      <c r="D7961" s="3"/>
    </row>
    <row r="7962" spans="1:4">
      <c r="A7962" s="691"/>
      <c r="D7962" s="3"/>
    </row>
    <row r="7963" spans="1:4">
      <c r="A7963" s="691"/>
      <c r="D7963" s="3"/>
    </row>
    <row r="7964" spans="1:4">
      <c r="A7964" s="691"/>
      <c r="D7964" s="3"/>
    </row>
    <row r="7965" spans="1:4">
      <c r="A7965" s="691"/>
      <c r="D7965" s="3"/>
    </row>
    <row r="7966" spans="1:4">
      <c r="A7966" s="691"/>
      <c r="D7966" s="3"/>
    </row>
    <row r="7967" spans="1:4">
      <c r="A7967" s="691"/>
      <c r="D7967" s="3"/>
    </row>
    <row r="7968" spans="1:4">
      <c r="A7968" s="691"/>
      <c r="D7968" s="3"/>
    </row>
    <row r="7969" spans="1:4">
      <c r="A7969" s="691"/>
      <c r="D7969" s="3"/>
    </row>
    <row r="7970" spans="1:4">
      <c r="A7970" s="691"/>
      <c r="D7970" s="3"/>
    </row>
    <row r="7971" spans="1:4">
      <c r="A7971" s="691"/>
      <c r="D7971" s="3"/>
    </row>
    <row r="7972" spans="1:4">
      <c r="A7972" s="691"/>
      <c r="D7972" s="3"/>
    </row>
    <row r="7973" spans="1:4">
      <c r="A7973" s="691"/>
      <c r="D7973" s="3"/>
    </row>
    <row r="7974" spans="1:4">
      <c r="A7974" s="691"/>
      <c r="D7974" s="3"/>
    </row>
    <row r="7975" spans="1:4">
      <c r="A7975" s="691"/>
      <c r="D7975" s="3"/>
    </row>
    <row r="7976" spans="1:4">
      <c r="A7976" s="691"/>
      <c r="D7976" s="3"/>
    </row>
    <row r="7977" spans="1:4">
      <c r="A7977" s="691"/>
      <c r="D7977" s="3"/>
    </row>
    <row r="7978" spans="1:4">
      <c r="A7978" s="691"/>
      <c r="D7978" s="3"/>
    </row>
    <row r="7979" spans="1:4">
      <c r="A7979" s="691"/>
      <c r="D7979" s="3"/>
    </row>
    <row r="7980" spans="1:4">
      <c r="A7980" s="691"/>
      <c r="D7980" s="3"/>
    </row>
    <row r="7981" spans="1:4">
      <c r="A7981" s="691"/>
      <c r="D7981" s="3"/>
    </row>
    <row r="7982" spans="1:4">
      <c r="A7982" s="691"/>
      <c r="D7982" s="3"/>
    </row>
    <row r="7983" spans="1:4">
      <c r="A7983" s="691"/>
      <c r="D7983" s="3"/>
    </row>
    <row r="7984" spans="1:4">
      <c r="A7984" s="691"/>
      <c r="D7984" s="3"/>
    </row>
    <row r="7985" spans="1:4">
      <c r="A7985" s="691"/>
      <c r="D7985" s="3"/>
    </row>
    <row r="7986" spans="1:4">
      <c r="A7986" s="691"/>
      <c r="D7986" s="3"/>
    </row>
    <row r="7987" spans="1:4">
      <c r="A7987" s="691"/>
      <c r="D7987" s="3"/>
    </row>
    <row r="7988" spans="1:4">
      <c r="A7988" s="691"/>
      <c r="D7988" s="3"/>
    </row>
    <row r="7989" spans="1:4">
      <c r="A7989" s="691"/>
      <c r="D7989" s="3"/>
    </row>
    <row r="7990" spans="1:4">
      <c r="A7990" s="691"/>
      <c r="D7990" s="3"/>
    </row>
    <row r="7991" spans="1:4">
      <c r="A7991" s="691"/>
      <c r="D7991" s="3"/>
    </row>
    <row r="7992" spans="1:4">
      <c r="A7992" s="691"/>
      <c r="D7992" s="3"/>
    </row>
    <row r="7993" spans="1:4">
      <c r="A7993" s="691"/>
      <c r="D7993" s="3"/>
    </row>
    <row r="7994" spans="1:4">
      <c r="A7994" s="691"/>
      <c r="D7994" s="3"/>
    </row>
    <row r="7995" spans="1:4">
      <c r="A7995" s="691"/>
      <c r="D7995" s="3"/>
    </row>
    <row r="7996" spans="1:4">
      <c r="A7996" s="691"/>
      <c r="D7996" s="3"/>
    </row>
    <row r="7997" spans="1:4">
      <c r="A7997" s="691"/>
      <c r="D7997" s="3"/>
    </row>
    <row r="7998" spans="1:4">
      <c r="A7998" s="691"/>
      <c r="D7998" s="3"/>
    </row>
    <row r="7999" spans="1:4">
      <c r="A7999" s="691"/>
      <c r="D7999" s="3"/>
    </row>
    <row r="8000" spans="1:4">
      <c r="A8000" s="691"/>
      <c r="D8000" s="3"/>
    </row>
    <row r="8001" spans="1:4">
      <c r="A8001" s="691"/>
      <c r="D8001" s="3"/>
    </row>
    <row r="8002" spans="1:4">
      <c r="A8002" s="691"/>
      <c r="D8002" s="3"/>
    </row>
    <row r="8003" spans="1:4">
      <c r="A8003" s="691"/>
      <c r="D8003" s="3"/>
    </row>
    <row r="8004" spans="1:4">
      <c r="A8004" s="691"/>
      <c r="D8004" s="3"/>
    </row>
    <row r="8005" spans="1:4">
      <c r="A8005" s="691"/>
      <c r="D8005" s="3"/>
    </row>
    <row r="8006" spans="1:4">
      <c r="A8006" s="691"/>
      <c r="D8006" s="3"/>
    </row>
    <row r="8007" spans="1:4">
      <c r="A8007" s="691"/>
      <c r="D8007" s="3"/>
    </row>
    <row r="8008" spans="1:4">
      <c r="A8008" s="691"/>
      <c r="D8008" s="3"/>
    </row>
    <row r="8009" spans="1:4">
      <c r="A8009" s="691"/>
      <c r="D8009" s="3"/>
    </row>
    <row r="8010" spans="1:4">
      <c r="A8010" s="691"/>
      <c r="D8010" s="3"/>
    </row>
    <row r="8011" spans="1:4">
      <c r="A8011" s="691"/>
      <c r="D8011" s="3"/>
    </row>
    <row r="8012" spans="1:4">
      <c r="A8012" s="691"/>
      <c r="D8012" s="3"/>
    </row>
    <row r="8013" spans="1:4">
      <c r="A8013" s="691"/>
      <c r="D8013" s="3"/>
    </row>
    <row r="8014" spans="1:4">
      <c r="A8014" s="691"/>
      <c r="D8014" s="3"/>
    </row>
    <row r="8015" spans="1:4">
      <c r="A8015" s="691"/>
      <c r="D8015" s="3"/>
    </row>
    <row r="8016" spans="1:4">
      <c r="A8016" s="691"/>
      <c r="D8016" s="3"/>
    </row>
    <row r="8017" spans="1:4">
      <c r="A8017" s="691"/>
      <c r="D8017" s="3"/>
    </row>
    <row r="8018" spans="1:4">
      <c r="A8018" s="691"/>
      <c r="D8018" s="3"/>
    </row>
    <row r="8019" spans="1:4">
      <c r="A8019" s="691"/>
      <c r="D8019" s="3"/>
    </row>
    <row r="8020" spans="1:4">
      <c r="A8020" s="691"/>
      <c r="D8020" s="3"/>
    </row>
    <row r="8021" spans="1:4">
      <c r="A8021" s="691"/>
      <c r="D8021" s="3"/>
    </row>
    <row r="8022" spans="1:4">
      <c r="A8022" s="691"/>
      <c r="D8022" s="3"/>
    </row>
    <row r="8023" spans="1:4">
      <c r="A8023" s="691"/>
      <c r="D8023" s="3"/>
    </row>
    <row r="8024" spans="1:4">
      <c r="A8024" s="691"/>
      <c r="D8024" s="3"/>
    </row>
    <row r="8025" spans="1:4">
      <c r="A8025" s="691"/>
      <c r="D8025" s="3"/>
    </row>
    <row r="8026" spans="1:4">
      <c r="A8026" s="691"/>
      <c r="D8026" s="3"/>
    </row>
    <row r="8027" spans="1:4">
      <c r="A8027" s="691"/>
      <c r="D8027" s="3"/>
    </row>
    <row r="8028" spans="1:4">
      <c r="A8028" s="691"/>
      <c r="D8028" s="3"/>
    </row>
    <row r="8029" spans="1:4">
      <c r="A8029" s="691"/>
      <c r="D8029" s="3"/>
    </row>
    <row r="8030" spans="1:4">
      <c r="A8030" s="691"/>
      <c r="D8030" s="3"/>
    </row>
    <row r="8031" spans="1:4">
      <c r="A8031" s="691"/>
      <c r="D8031" s="3"/>
    </row>
    <row r="8032" spans="1:4">
      <c r="A8032" s="691"/>
      <c r="D8032" s="3"/>
    </row>
    <row r="8033" spans="1:4">
      <c r="A8033" s="691"/>
      <c r="D8033" s="3"/>
    </row>
    <row r="8034" spans="1:4">
      <c r="A8034" s="691"/>
      <c r="D8034" s="3"/>
    </row>
    <row r="8035" spans="1:4">
      <c r="A8035" s="691"/>
      <c r="D8035" s="3"/>
    </row>
    <row r="8036" spans="1:4">
      <c r="A8036" s="691"/>
      <c r="D8036" s="3"/>
    </row>
    <row r="8037" spans="1:4">
      <c r="A8037" s="691"/>
      <c r="D8037" s="3"/>
    </row>
    <row r="8038" spans="1:4">
      <c r="A8038" s="691"/>
      <c r="D8038" s="3"/>
    </row>
    <row r="8039" spans="1:4">
      <c r="A8039" s="691"/>
      <c r="D8039" s="3"/>
    </row>
    <row r="8040" spans="1:4">
      <c r="A8040" s="691"/>
      <c r="D8040" s="3"/>
    </row>
    <row r="8041" spans="1:4">
      <c r="A8041" s="691"/>
      <c r="D8041" s="3"/>
    </row>
    <row r="8042" spans="1:4">
      <c r="A8042" s="691"/>
      <c r="D8042" s="3"/>
    </row>
    <row r="8043" spans="1:4">
      <c r="A8043" s="691"/>
      <c r="D8043" s="3"/>
    </row>
    <row r="8044" spans="1:4">
      <c r="A8044" s="691"/>
      <c r="D8044" s="3"/>
    </row>
    <row r="8045" spans="1:4">
      <c r="A8045" s="691"/>
      <c r="D8045" s="3"/>
    </row>
    <row r="8046" spans="1:4">
      <c r="A8046" s="691"/>
      <c r="D8046" s="3"/>
    </row>
    <row r="8047" spans="1:4">
      <c r="A8047" s="691"/>
      <c r="D8047" s="3"/>
    </row>
    <row r="8048" spans="1:4">
      <c r="A8048" s="691"/>
      <c r="D8048" s="3"/>
    </row>
    <row r="8049" spans="1:4">
      <c r="A8049" s="691"/>
      <c r="D8049" s="3"/>
    </row>
    <row r="8050" spans="1:4">
      <c r="A8050" s="691"/>
      <c r="D8050" s="3"/>
    </row>
    <row r="8051" spans="1:4">
      <c r="A8051" s="691"/>
      <c r="D8051" s="3"/>
    </row>
    <row r="8052" spans="1:4">
      <c r="A8052" s="691"/>
      <c r="D8052" s="3"/>
    </row>
    <row r="8053" spans="1:4">
      <c r="A8053" s="691"/>
      <c r="D8053" s="3"/>
    </row>
    <row r="8054" spans="1:4">
      <c r="A8054" s="691"/>
      <c r="D8054" s="3"/>
    </row>
    <row r="8055" spans="1:4">
      <c r="A8055" s="691"/>
      <c r="D8055" s="3"/>
    </row>
    <row r="8056" spans="1:4">
      <c r="A8056" s="691"/>
      <c r="D8056" s="3"/>
    </row>
    <row r="8057" spans="1:4">
      <c r="A8057" s="691"/>
      <c r="D8057" s="3"/>
    </row>
    <row r="8058" spans="1:4">
      <c r="A8058" s="691"/>
      <c r="D8058" s="3"/>
    </row>
    <row r="8059" spans="1:4">
      <c r="A8059" s="691"/>
      <c r="D8059" s="3"/>
    </row>
    <row r="8060" spans="1:4">
      <c r="A8060" s="691"/>
      <c r="D8060" s="3"/>
    </row>
    <row r="8061" spans="1:4">
      <c r="A8061" s="691"/>
      <c r="D8061" s="3"/>
    </row>
    <row r="8062" spans="1:4">
      <c r="A8062" s="691"/>
      <c r="D8062" s="3"/>
    </row>
    <row r="8063" spans="1:4">
      <c r="A8063" s="691"/>
      <c r="D8063" s="3"/>
    </row>
    <row r="8064" spans="1:4">
      <c r="A8064" s="691"/>
      <c r="D8064" s="3"/>
    </row>
    <row r="8065" spans="1:4">
      <c r="A8065" s="691"/>
      <c r="D8065" s="3"/>
    </row>
    <row r="8066" spans="1:4">
      <c r="A8066" s="691"/>
      <c r="D8066" s="3"/>
    </row>
    <row r="8067" spans="1:4">
      <c r="A8067" s="691"/>
      <c r="D8067" s="3"/>
    </row>
    <row r="8068" spans="1:4">
      <c r="A8068" s="691"/>
      <c r="D8068" s="3"/>
    </row>
    <row r="8069" spans="1:4">
      <c r="A8069" s="691"/>
      <c r="D8069" s="3"/>
    </row>
    <row r="8070" spans="1:4">
      <c r="A8070" s="691"/>
      <c r="D8070" s="3"/>
    </row>
    <row r="8071" spans="1:4">
      <c r="A8071" s="691"/>
      <c r="D8071" s="3"/>
    </row>
    <row r="8072" spans="1:4">
      <c r="A8072" s="691"/>
      <c r="D8072" s="3"/>
    </row>
    <row r="8073" spans="1:4">
      <c r="A8073" s="691"/>
      <c r="D8073" s="3"/>
    </row>
    <row r="8074" spans="1:4">
      <c r="A8074" s="691"/>
      <c r="D8074" s="3"/>
    </row>
    <row r="8075" spans="1:4">
      <c r="A8075" s="691"/>
      <c r="D8075" s="3"/>
    </row>
    <row r="8076" spans="1:4">
      <c r="A8076" s="691"/>
      <c r="D8076" s="3"/>
    </row>
    <row r="8077" spans="1:4">
      <c r="A8077" s="691"/>
      <c r="D8077" s="3"/>
    </row>
    <row r="8078" spans="1:4">
      <c r="A8078" s="691"/>
      <c r="D8078" s="3"/>
    </row>
    <row r="8079" spans="1:4">
      <c r="A8079" s="691"/>
      <c r="D8079" s="3"/>
    </row>
    <row r="8080" spans="1:4">
      <c r="A8080" s="691"/>
      <c r="D8080" s="3"/>
    </row>
    <row r="8081" spans="1:4">
      <c r="A8081" s="691"/>
      <c r="D8081" s="3"/>
    </row>
    <row r="8082" spans="1:4">
      <c r="A8082" s="691"/>
      <c r="D8082" s="3"/>
    </row>
    <row r="8083" spans="1:4">
      <c r="A8083" s="691"/>
      <c r="D8083" s="3"/>
    </row>
    <row r="8084" spans="1:4">
      <c r="A8084" s="691"/>
      <c r="D8084" s="3"/>
    </row>
    <row r="8085" spans="1:4">
      <c r="A8085" s="691"/>
      <c r="D8085" s="3"/>
    </row>
    <row r="8086" spans="1:4">
      <c r="A8086" s="691"/>
      <c r="D8086" s="3"/>
    </row>
    <row r="8087" spans="1:4">
      <c r="A8087" s="691"/>
      <c r="D8087" s="3"/>
    </row>
    <row r="8088" spans="1:4">
      <c r="A8088" s="691"/>
      <c r="D8088" s="3"/>
    </row>
    <row r="8089" spans="1:4">
      <c r="A8089" s="691"/>
      <c r="D8089" s="3"/>
    </row>
    <row r="8090" spans="1:4">
      <c r="A8090" s="691"/>
      <c r="D8090" s="3"/>
    </row>
    <row r="8091" spans="1:4">
      <c r="A8091" s="691"/>
      <c r="D8091" s="3"/>
    </row>
    <row r="8092" spans="1:4">
      <c r="A8092" s="691"/>
      <c r="D8092" s="3"/>
    </row>
    <row r="8093" spans="1:4">
      <c r="A8093" s="691"/>
      <c r="D8093" s="3"/>
    </row>
    <row r="8094" spans="1:4">
      <c r="A8094" s="691"/>
      <c r="D8094" s="3"/>
    </row>
    <row r="8095" spans="1:4">
      <c r="A8095" s="691"/>
      <c r="D8095" s="3"/>
    </row>
    <row r="8096" spans="1:4">
      <c r="A8096" s="691"/>
      <c r="D8096" s="3"/>
    </row>
    <row r="8097" spans="1:4">
      <c r="A8097" s="691"/>
      <c r="D8097" s="3"/>
    </row>
    <row r="8098" spans="1:4">
      <c r="A8098" s="691"/>
      <c r="D8098" s="3"/>
    </row>
    <row r="8099" spans="1:4">
      <c r="A8099" s="691"/>
      <c r="D8099" s="3"/>
    </row>
    <row r="8100" spans="1:4">
      <c r="A8100" s="691"/>
      <c r="D8100" s="3"/>
    </row>
    <row r="8101" spans="1:4">
      <c r="A8101" s="691"/>
      <c r="D8101" s="3"/>
    </row>
    <row r="8102" spans="1:4">
      <c r="A8102" s="691"/>
      <c r="D8102" s="3"/>
    </row>
    <row r="8103" spans="1:4">
      <c r="A8103" s="691"/>
      <c r="D8103" s="3"/>
    </row>
    <row r="8104" spans="1:4">
      <c r="A8104" s="691"/>
      <c r="D8104" s="3"/>
    </row>
    <row r="8105" spans="1:4">
      <c r="A8105" s="691"/>
      <c r="D8105" s="3"/>
    </row>
    <row r="8106" spans="1:4">
      <c r="A8106" s="691"/>
      <c r="D8106" s="3"/>
    </row>
    <row r="8107" spans="1:4">
      <c r="A8107" s="691"/>
      <c r="D8107" s="3"/>
    </row>
    <row r="8108" spans="1:4">
      <c r="A8108" s="691"/>
      <c r="D8108" s="3"/>
    </row>
    <row r="8109" spans="1:4">
      <c r="A8109" s="691"/>
      <c r="D8109" s="3"/>
    </row>
    <row r="8110" spans="1:4">
      <c r="A8110" s="691"/>
      <c r="D8110" s="3"/>
    </row>
    <row r="8111" spans="1:4">
      <c r="A8111" s="691"/>
      <c r="D8111" s="3"/>
    </row>
    <row r="8112" spans="1:4">
      <c r="A8112" s="691"/>
      <c r="D8112" s="3"/>
    </row>
    <row r="8113" spans="1:4">
      <c r="A8113" s="691"/>
      <c r="D8113" s="3"/>
    </row>
    <row r="8114" spans="1:4">
      <c r="A8114" s="691"/>
      <c r="D8114" s="3"/>
    </row>
    <row r="8115" spans="1:4">
      <c r="A8115" s="691"/>
      <c r="D8115" s="3"/>
    </row>
    <row r="8116" spans="1:4">
      <c r="A8116" s="691"/>
      <c r="D8116" s="3"/>
    </row>
    <row r="8117" spans="1:4">
      <c r="A8117" s="691"/>
      <c r="D8117" s="3"/>
    </row>
    <row r="8118" spans="1:4">
      <c r="A8118" s="691"/>
      <c r="D8118" s="3"/>
    </row>
    <row r="8119" spans="1:4">
      <c r="A8119" s="691"/>
      <c r="D8119" s="3"/>
    </row>
    <row r="8120" spans="1:4">
      <c r="A8120" s="691"/>
      <c r="D8120" s="3"/>
    </row>
    <row r="8121" spans="1:4">
      <c r="A8121" s="691"/>
      <c r="D8121" s="3"/>
    </row>
    <row r="8122" spans="1:4">
      <c r="A8122" s="691"/>
      <c r="D8122" s="3"/>
    </row>
    <row r="8123" spans="1:4">
      <c r="A8123" s="691"/>
      <c r="D8123" s="3"/>
    </row>
    <row r="8124" spans="1:4">
      <c r="A8124" s="691"/>
      <c r="D8124" s="3"/>
    </row>
    <row r="8125" spans="1:4">
      <c r="A8125" s="691"/>
      <c r="D8125" s="3"/>
    </row>
    <row r="8126" spans="1:4">
      <c r="A8126" s="691"/>
      <c r="D8126" s="3"/>
    </row>
    <row r="8127" spans="1:4">
      <c r="A8127" s="691"/>
      <c r="D8127" s="3"/>
    </row>
    <row r="8128" spans="1:4">
      <c r="A8128" s="691"/>
      <c r="D8128" s="3"/>
    </row>
    <row r="8129" spans="1:4">
      <c r="A8129" s="691"/>
      <c r="D8129" s="3"/>
    </row>
    <row r="8130" spans="1:4">
      <c r="A8130" s="691"/>
      <c r="D8130" s="3"/>
    </row>
    <row r="8131" spans="1:4">
      <c r="A8131" s="691"/>
      <c r="D8131" s="3"/>
    </row>
    <row r="8132" spans="1:4">
      <c r="A8132" s="691"/>
      <c r="D8132" s="3"/>
    </row>
    <row r="8133" spans="1:4">
      <c r="A8133" s="691"/>
      <c r="D8133" s="3"/>
    </row>
    <row r="8134" spans="1:4">
      <c r="A8134" s="691"/>
      <c r="D8134" s="3"/>
    </row>
    <row r="8135" spans="1:4">
      <c r="A8135" s="691"/>
      <c r="D8135" s="3"/>
    </row>
    <row r="8136" spans="1:4">
      <c r="A8136" s="691"/>
      <c r="D8136" s="3"/>
    </row>
    <row r="8137" spans="1:4">
      <c r="A8137" s="691"/>
      <c r="D8137" s="3"/>
    </row>
    <row r="8138" spans="1:4">
      <c r="A8138" s="691"/>
      <c r="D8138" s="3"/>
    </row>
    <row r="8139" spans="1:4">
      <c r="A8139" s="691"/>
      <c r="D8139" s="3"/>
    </row>
    <row r="8140" spans="1:4">
      <c r="A8140" s="691"/>
      <c r="D8140" s="3"/>
    </row>
    <row r="8141" spans="1:4">
      <c r="A8141" s="691"/>
      <c r="D8141" s="3"/>
    </row>
    <row r="8142" spans="1:4">
      <c r="A8142" s="691"/>
      <c r="D8142" s="3"/>
    </row>
    <row r="8143" spans="1:4">
      <c r="A8143" s="691"/>
      <c r="D8143" s="3"/>
    </row>
    <row r="8144" spans="1:4">
      <c r="A8144" s="691"/>
      <c r="D8144" s="3"/>
    </row>
    <row r="8145" spans="1:4">
      <c r="A8145" s="691"/>
      <c r="D8145" s="3"/>
    </row>
    <row r="8146" spans="1:4">
      <c r="A8146" s="691"/>
      <c r="D8146" s="3"/>
    </row>
    <row r="8147" spans="1:4">
      <c r="A8147" s="691"/>
      <c r="D8147" s="3"/>
    </row>
    <row r="8148" spans="1:4">
      <c r="A8148" s="691"/>
      <c r="D8148" s="3"/>
    </row>
    <row r="8149" spans="1:4">
      <c r="A8149" s="691"/>
      <c r="D8149" s="3"/>
    </row>
    <row r="8150" spans="1:4">
      <c r="A8150" s="691"/>
      <c r="D8150" s="3"/>
    </row>
    <row r="8151" spans="1:4">
      <c r="A8151" s="691"/>
      <c r="D8151" s="3"/>
    </row>
    <row r="8152" spans="1:4">
      <c r="A8152" s="691"/>
      <c r="D8152" s="3"/>
    </row>
    <row r="8153" spans="1:4">
      <c r="A8153" s="691"/>
      <c r="D8153" s="3"/>
    </row>
    <row r="8154" spans="1:4">
      <c r="A8154" s="691"/>
      <c r="D8154" s="3"/>
    </row>
    <row r="8155" spans="1:4">
      <c r="A8155" s="691"/>
      <c r="D8155" s="3"/>
    </row>
    <row r="8156" spans="1:4">
      <c r="A8156" s="691"/>
      <c r="D8156" s="3"/>
    </row>
    <row r="8157" spans="1:4">
      <c r="A8157" s="691"/>
      <c r="D8157" s="3"/>
    </row>
    <row r="8158" spans="1:4">
      <c r="A8158" s="691"/>
      <c r="D8158" s="3"/>
    </row>
    <row r="8159" spans="1:4">
      <c r="A8159" s="691"/>
      <c r="D8159" s="3"/>
    </row>
    <row r="8160" spans="1:4">
      <c r="A8160" s="691"/>
      <c r="D8160" s="3"/>
    </row>
    <row r="8161" spans="1:4">
      <c r="A8161" s="691"/>
      <c r="D8161" s="3"/>
    </row>
    <row r="8162" spans="1:4">
      <c r="A8162" s="691"/>
      <c r="D8162" s="3"/>
    </row>
    <row r="8163" spans="1:4">
      <c r="A8163" s="691"/>
      <c r="D8163" s="3"/>
    </row>
    <row r="8164" spans="1:4">
      <c r="A8164" s="691"/>
      <c r="D8164" s="3"/>
    </row>
    <row r="8165" spans="1:4">
      <c r="A8165" s="691"/>
      <c r="D8165" s="3"/>
    </row>
    <row r="8166" spans="1:4">
      <c r="A8166" s="691"/>
      <c r="D8166" s="3"/>
    </row>
    <row r="8167" spans="1:4">
      <c r="A8167" s="691"/>
      <c r="D8167" s="3"/>
    </row>
    <row r="8168" spans="1:4">
      <c r="A8168" s="691"/>
      <c r="D8168" s="3"/>
    </row>
    <row r="8169" spans="1:4">
      <c r="A8169" s="691"/>
      <c r="D8169" s="3"/>
    </row>
    <row r="8170" spans="1:4">
      <c r="A8170" s="691"/>
      <c r="D8170" s="3"/>
    </row>
    <row r="8171" spans="1:4">
      <c r="A8171" s="691"/>
      <c r="D8171" s="3"/>
    </row>
    <row r="8172" spans="1:4">
      <c r="A8172" s="691"/>
      <c r="D8172" s="3"/>
    </row>
    <row r="8173" spans="1:4">
      <c r="A8173" s="691"/>
      <c r="D8173" s="3"/>
    </row>
    <row r="8174" spans="1:4">
      <c r="A8174" s="691"/>
      <c r="D8174" s="3"/>
    </row>
    <row r="8175" spans="1:4">
      <c r="A8175" s="691"/>
      <c r="D8175" s="3"/>
    </row>
    <row r="8176" spans="1:4">
      <c r="A8176" s="691"/>
      <c r="D8176" s="3"/>
    </row>
    <row r="8177" spans="1:4">
      <c r="A8177" s="691"/>
      <c r="D8177" s="3"/>
    </row>
    <row r="8178" spans="1:4">
      <c r="A8178" s="691"/>
      <c r="D8178" s="3"/>
    </row>
    <row r="8179" spans="1:4">
      <c r="A8179" s="691"/>
      <c r="D8179" s="3"/>
    </row>
    <row r="8180" spans="1:4">
      <c r="A8180" s="691"/>
      <c r="D8180" s="3"/>
    </row>
    <row r="8181" spans="1:4">
      <c r="A8181" s="691"/>
      <c r="D8181" s="3"/>
    </row>
    <row r="8182" spans="1:4">
      <c r="A8182" s="691"/>
      <c r="D8182" s="3"/>
    </row>
    <row r="8183" spans="1:4">
      <c r="A8183" s="691"/>
      <c r="D8183" s="3"/>
    </row>
    <row r="8184" spans="1:4">
      <c r="A8184" s="691"/>
      <c r="D8184" s="3"/>
    </row>
    <row r="8185" spans="1:4">
      <c r="A8185" s="691"/>
      <c r="D8185" s="3"/>
    </row>
    <row r="8186" spans="1:4">
      <c r="A8186" s="691"/>
      <c r="D8186" s="3"/>
    </row>
    <row r="8187" spans="1:4">
      <c r="A8187" s="691"/>
      <c r="D8187" s="3"/>
    </row>
    <row r="8188" spans="1:4">
      <c r="A8188" s="691"/>
      <c r="D8188" s="3"/>
    </row>
    <row r="8189" spans="1:4">
      <c r="A8189" s="691"/>
      <c r="D8189" s="3"/>
    </row>
    <row r="8190" spans="1:4">
      <c r="A8190" s="691"/>
      <c r="D8190" s="3"/>
    </row>
    <row r="8191" spans="1:4">
      <c r="A8191" s="691"/>
      <c r="D8191" s="3"/>
    </row>
    <row r="8192" spans="1:4">
      <c r="A8192" s="691"/>
      <c r="D8192" s="3"/>
    </row>
    <row r="8193" spans="1:4">
      <c r="A8193" s="691"/>
      <c r="D8193" s="3"/>
    </row>
    <row r="8194" spans="1:4">
      <c r="A8194" s="691"/>
      <c r="D8194" s="3"/>
    </row>
    <row r="8195" spans="1:4">
      <c r="A8195" s="691"/>
      <c r="D8195" s="3"/>
    </row>
    <row r="8196" spans="1:4">
      <c r="A8196" s="691"/>
      <c r="D8196" s="3"/>
    </row>
    <row r="8197" spans="1:4">
      <c r="A8197" s="691"/>
      <c r="D8197" s="3"/>
    </row>
    <row r="8198" spans="1:4">
      <c r="A8198" s="691"/>
      <c r="D8198" s="3"/>
    </row>
    <row r="8199" spans="1:4">
      <c r="A8199" s="691"/>
      <c r="D8199" s="3"/>
    </row>
    <row r="8200" spans="1:4">
      <c r="A8200" s="691"/>
      <c r="D8200" s="3"/>
    </row>
    <row r="8201" spans="1:4">
      <c r="A8201" s="691"/>
      <c r="D8201" s="3"/>
    </row>
    <row r="8202" spans="1:4">
      <c r="A8202" s="691"/>
      <c r="D8202" s="3"/>
    </row>
    <row r="8203" spans="1:4">
      <c r="A8203" s="691"/>
      <c r="D8203" s="3"/>
    </row>
    <row r="8204" spans="1:4">
      <c r="A8204" s="691"/>
      <c r="D8204" s="3"/>
    </row>
    <row r="8205" spans="1:4">
      <c r="A8205" s="691"/>
      <c r="D8205" s="3"/>
    </row>
    <row r="8206" spans="1:4">
      <c r="A8206" s="691"/>
      <c r="D8206" s="3"/>
    </row>
    <row r="8207" spans="1:4">
      <c r="A8207" s="691"/>
      <c r="D8207" s="3"/>
    </row>
    <row r="8208" spans="1:4">
      <c r="A8208" s="691"/>
      <c r="D8208" s="3"/>
    </row>
    <row r="8209" spans="1:4">
      <c r="A8209" s="691"/>
      <c r="D8209" s="3"/>
    </row>
    <row r="8210" spans="1:4">
      <c r="A8210" s="691"/>
      <c r="D8210" s="3"/>
    </row>
    <row r="8211" spans="1:4">
      <c r="A8211" s="691"/>
      <c r="D8211" s="3"/>
    </row>
    <row r="8212" spans="1:4">
      <c r="A8212" s="691"/>
      <c r="D8212" s="3"/>
    </row>
    <row r="8213" spans="1:4">
      <c r="A8213" s="691"/>
      <c r="D8213" s="3"/>
    </row>
    <row r="8214" spans="1:4">
      <c r="A8214" s="691"/>
      <c r="D8214" s="3"/>
    </row>
    <row r="8215" spans="1:4">
      <c r="A8215" s="691"/>
      <c r="D8215" s="3"/>
    </row>
    <row r="8216" spans="1:4">
      <c r="A8216" s="691"/>
      <c r="D8216" s="3"/>
    </row>
    <row r="8217" spans="1:4">
      <c r="A8217" s="691"/>
      <c r="D8217" s="3"/>
    </row>
    <row r="8218" spans="1:4">
      <c r="A8218" s="691"/>
      <c r="D8218" s="3"/>
    </row>
    <row r="8219" spans="1:4">
      <c r="A8219" s="691"/>
      <c r="D8219" s="3"/>
    </row>
    <row r="8220" spans="1:4">
      <c r="A8220" s="691"/>
      <c r="D8220" s="3"/>
    </row>
    <row r="8221" spans="1:4">
      <c r="A8221" s="691"/>
      <c r="D8221" s="3"/>
    </row>
    <row r="8222" spans="1:4">
      <c r="A8222" s="691"/>
      <c r="D8222" s="3"/>
    </row>
    <row r="8223" spans="1:4">
      <c r="A8223" s="691"/>
      <c r="D8223" s="3"/>
    </row>
    <row r="8224" spans="1:4">
      <c r="A8224" s="691"/>
      <c r="D8224" s="3"/>
    </row>
    <row r="8225" spans="1:4">
      <c r="A8225" s="691"/>
      <c r="D8225" s="3"/>
    </row>
    <row r="8226" spans="1:4">
      <c r="A8226" s="691"/>
      <c r="D8226" s="3"/>
    </row>
    <row r="8227" spans="1:4">
      <c r="A8227" s="691"/>
      <c r="D8227" s="3"/>
    </row>
    <row r="8228" spans="1:4">
      <c r="A8228" s="691"/>
      <c r="D8228" s="3"/>
    </row>
    <row r="8229" spans="1:4">
      <c r="A8229" s="691"/>
      <c r="D8229" s="3"/>
    </row>
    <row r="8230" spans="1:4">
      <c r="A8230" s="691"/>
      <c r="D8230" s="3"/>
    </row>
    <row r="8231" spans="1:4">
      <c r="A8231" s="691"/>
      <c r="D8231" s="3"/>
    </row>
    <row r="8232" spans="1:4">
      <c r="A8232" s="691"/>
      <c r="D8232" s="3"/>
    </row>
    <row r="8233" spans="1:4">
      <c r="A8233" s="691"/>
      <c r="D8233" s="3"/>
    </row>
    <row r="8234" spans="1:4">
      <c r="A8234" s="691"/>
      <c r="D8234" s="3"/>
    </row>
    <row r="8235" spans="1:4">
      <c r="A8235" s="691"/>
      <c r="D8235" s="3"/>
    </row>
    <row r="8236" spans="1:4">
      <c r="A8236" s="691"/>
      <c r="D8236" s="3"/>
    </row>
    <row r="8237" spans="1:4">
      <c r="A8237" s="691"/>
      <c r="D8237" s="3"/>
    </row>
    <row r="8238" spans="1:4">
      <c r="A8238" s="691"/>
      <c r="D8238" s="3"/>
    </row>
    <row r="8239" spans="1:4">
      <c r="A8239" s="691"/>
      <c r="D8239" s="3"/>
    </row>
    <row r="8240" spans="1:4">
      <c r="A8240" s="691"/>
      <c r="D8240" s="3"/>
    </row>
    <row r="8241" spans="1:4">
      <c r="A8241" s="691"/>
      <c r="D8241" s="3"/>
    </row>
    <row r="8242" spans="1:4">
      <c r="A8242" s="691"/>
      <c r="D8242" s="3"/>
    </row>
    <row r="8243" spans="1:4">
      <c r="A8243" s="691"/>
      <c r="D8243" s="3"/>
    </row>
    <row r="8244" spans="1:4">
      <c r="A8244" s="691"/>
      <c r="D8244" s="3"/>
    </row>
    <row r="8245" spans="1:4">
      <c r="A8245" s="691"/>
      <c r="D8245" s="3"/>
    </row>
    <row r="8246" spans="1:4">
      <c r="A8246" s="691"/>
      <c r="D8246" s="3"/>
    </row>
    <row r="8247" spans="1:4">
      <c r="A8247" s="691"/>
      <c r="D8247" s="3"/>
    </row>
    <row r="8248" spans="1:4">
      <c r="A8248" s="691"/>
      <c r="D8248" s="3"/>
    </row>
    <row r="8249" spans="1:4">
      <c r="A8249" s="691"/>
      <c r="D8249" s="3"/>
    </row>
    <row r="8250" spans="1:4">
      <c r="A8250" s="691"/>
      <c r="D8250" s="3"/>
    </row>
    <row r="8251" spans="1:4">
      <c r="A8251" s="691"/>
      <c r="D8251" s="3"/>
    </row>
    <row r="8252" spans="1:4">
      <c r="A8252" s="691"/>
      <c r="D8252" s="3"/>
    </row>
    <row r="8253" spans="1:4">
      <c r="A8253" s="691"/>
      <c r="D8253" s="3"/>
    </row>
    <row r="8254" spans="1:4">
      <c r="A8254" s="691"/>
      <c r="D8254" s="3"/>
    </row>
    <row r="8255" spans="1:4">
      <c r="A8255" s="691"/>
      <c r="D8255" s="3"/>
    </row>
    <row r="8256" spans="1:4">
      <c r="A8256" s="691"/>
      <c r="D8256" s="3"/>
    </row>
    <row r="8257" spans="1:4">
      <c r="A8257" s="691"/>
      <c r="D8257" s="3"/>
    </row>
    <row r="8258" spans="1:4">
      <c r="A8258" s="691"/>
      <c r="D8258" s="3"/>
    </row>
    <row r="8259" spans="1:4">
      <c r="A8259" s="691"/>
      <c r="D8259" s="3"/>
    </row>
    <row r="8260" spans="1:4">
      <c r="A8260" s="691"/>
      <c r="D8260" s="3"/>
    </row>
    <row r="8261" spans="1:4">
      <c r="A8261" s="691"/>
      <c r="D8261" s="3"/>
    </row>
    <row r="8262" spans="1:4">
      <c r="A8262" s="691"/>
      <c r="D8262" s="3"/>
    </row>
    <row r="8263" spans="1:4">
      <c r="A8263" s="691"/>
      <c r="D8263" s="3"/>
    </row>
    <row r="8264" spans="1:4">
      <c r="A8264" s="691"/>
      <c r="D8264" s="3"/>
    </row>
    <row r="8265" spans="1:4">
      <c r="A8265" s="691"/>
      <c r="D8265" s="3"/>
    </row>
    <row r="8266" spans="1:4">
      <c r="A8266" s="691"/>
      <c r="D8266" s="3"/>
    </row>
    <row r="8267" spans="1:4">
      <c r="A8267" s="691"/>
      <c r="D8267" s="3"/>
    </row>
    <row r="8268" spans="1:4">
      <c r="A8268" s="691"/>
      <c r="D8268" s="3"/>
    </row>
    <row r="8269" spans="1:4">
      <c r="A8269" s="691"/>
      <c r="D8269" s="3"/>
    </row>
    <row r="8270" spans="1:4">
      <c r="A8270" s="691"/>
      <c r="D8270" s="3"/>
    </row>
    <row r="8271" spans="1:4">
      <c r="A8271" s="691"/>
      <c r="D8271" s="3"/>
    </row>
    <row r="8272" spans="1:4">
      <c r="A8272" s="691"/>
      <c r="D8272" s="3"/>
    </row>
    <row r="8273" spans="1:4">
      <c r="A8273" s="691"/>
      <c r="D8273" s="3"/>
    </row>
    <row r="8274" spans="1:4">
      <c r="A8274" s="691"/>
      <c r="D8274" s="3"/>
    </row>
    <row r="8275" spans="1:4">
      <c r="A8275" s="691"/>
      <c r="D8275" s="3"/>
    </row>
    <row r="8276" spans="1:4">
      <c r="A8276" s="691"/>
      <c r="D8276" s="3"/>
    </row>
    <row r="8277" spans="1:4">
      <c r="A8277" s="691"/>
      <c r="D8277" s="3"/>
    </row>
    <row r="8278" spans="1:4">
      <c r="A8278" s="691"/>
      <c r="D8278" s="3"/>
    </row>
    <row r="8279" spans="1:4">
      <c r="A8279" s="691"/>
      <c r="D8279" s="3"/>
    </row>
    <row r="8280" spans="1:4">
      <c r="A8280" s="691"/>
      <c r="D8280" s="3"/>
    </row>
    <row r="8281" spans="1:4">
      <c r="A8281" s="691"/>
      <c r="D8281" s="3"/>
    </row>
    <row r="8282" spans="1:4">
      <c r="A8282" s="691"/>
      <c r="D8282" s="3"/>
    </row>
    <row r="8283" spans="1:4">
      <c r="A8283" s="691"/>
      <c r="D8283" s="3"/>
    </row>
    <row r="8284" spans="1:4">
      <c r="A8284" s="691"/>
      <c r="D8284" s="3"/>
    </row>
    <row r="8285" spans="1:4">
      <c r="A8285" s="691"/>
      <c r="D8285" s="3"/>
    </row>
    <row r="8286" spans="1:4">
      <c r="A8286" s="691"/>
      <c r="D8286" s="3"/>
    </row>
    <row r="8287" spans="1:4">
      <c r="A8287" s="691"/>
      <c r="D8287" s="3"/>
    </row>
    <row r="8288" spans="1:4">
      <c r="A8288" s="691"/>
      <c r="D8288" s="3"/>
    </row>
    <row r="8289" spans="1:4">
      <c r="A8289" s="691"/>
      <c r="D8289" s="3"/>
    </row>
    <row r="8290" spans="1:4">
      <c r="A8290" s="691"/>
      <c r="D8290" s="3"/>
    </row>
    <row r="8291" spans="1:4">
      <c r="A8291" s="691"/>
      <c r="D8291" s="3"/>
    </row>
    <row r="8292" spans="1:4">
      <c r="A8292" s="691"/>
      <c r="D8292" s="3"/>
    </row>
    <row r="8293" spans="1:4">
      <c r="A8293" s="691"/>
      <c r="D8293" s="3"/>
    </row>
    <row r="8294" spans="1:4">
      <c r="A8294" s="691"/>
      <c r="D8294" s="3"/>
    </row>
    <row r="8295" spans="1:4">
      <c r="A8295" s="691"/>
      <c r="D8295" s="3"/>
    </row>
    <row r="8296" spans="1:4">
      <c r="A8296" s="691"/>
      <c r="D8296" s="3"/>
    </row>
    <row r="8297" spans="1:4">
      <c r="A8297" s="691"/>
      <c r="D8297" s="3"/>
    </row>
    <row r="8298" spans="1:4">
      <c r="A8298" s="691"/>
      <c r="D8298" s="3"/>
    </row>
    <row r="8299" spans="1:4">
      <c r="A8299" s="691"/>
      <c r="D8299" s="3"/>
    </row>
    <row r="8300" spans="1:4">
      <c r="A8300" s="691"/>
      <c r="D8300" s="3"/>
    </row>
    <row r="8301" spans="1:4">
      <c r="A8301" s="691"/>
      <c r="D8301" s="3"/>
    </row>
    <row r="8302" spans="1:4">
      <c r="A8302" s="691"/>
      <c r="D8302" s="3"/>
    </row>
    <row r="8303" spans="1:4">
      <c r="A8303" s="691"/>
      <c r="D8303" s="3"/>
    </row>
    <row r="8304" spans="1:4">
      <c r="A8304" s="691"/>
      <c r="D8304" s="3"/>
    </row>
    <row r="8305" spans="1:4">
      <c r="A8305" s="691"/>
      <c r="D8305" s="3"/>
    </row>
    <row r="8306" spans="1:4">
      <c r="A8306" s="691"/>
      <c r="D8306" s="3"/>
    </row>
    <row r="8307" spans="1:4">
      <c r="A8307" s="691"/>
      <c r="D8307" s="3"/>
    </row>
    <row r="8308" spans="1:4">
      <c r="A8308" s="691"/>
      <c r="D8308" s="3"/>
    </row>
    <row r="8309" spans="1:4">
      <c r="A8309" s="691"/>
      <c r="D8309" s="3"/>
    </row>
    <row r="8310" spans="1:4">
      <c r="A8310" s="691"/>
      <c r="D8310" s="3"/>
    </row>
    <row r="8311" spans="1:4">
      <c r="A8311" s="691"/>
      <c r="D8311" s="3"/>
    </row>
    <row r="8312" spans="1:4">
      <c r="A8312" s="691"/>
      <c r="D8312" s="3"/>
    </row>
    <row r="8313" spans="1:4">
      <c r="A8313" s="691"/>
      <c r="D8313" s="3"/>
    </row>
    <row r="8314" spans="1:4">
      <c r="A8314" s="691"/>
      <c r="D8314" s="3"/>
    </row>
    <row r="8315" spans="1:4">
      <c r="A8315" s="691"/>
      <c r="D8315" s="3"/>
    </row>
    <row r="8316" spans="1:4">
      <c r="A8316" s="691"/>
      <c r="D8316" s="3"/>
    </row>
    <row r="8317" spans="1:4">
      <c r="A8317" s="691"/>
      <c r="D8317" s="3"/>
    </row>
    <row r="8318" spans="1:4">
      <c r="A8318" s="691"/>
      <c r="D8318" s="3"/>
    </row>
    <row r="8319" spans="1:4">
      <c r="A8319" s="691"/>
      <c r="D8319" s="3"/>
    </row>
    <row r="8320" spans="1:4">
      <c r="A8320" s="691"/>
      <c r="D8320" s="3"/>
    </row>
    <row r="8321" spans="1:4">
      <c r="A8321" s="691"/>
      <c r="D8321" s="3"/>
    </row>
    <row r="8322" spans="1:4">
      <c r="A8322" s="691"/>
      <c r="D8322" s="3"/>
    </row>
    <row r="8323" spans="1:4">
      <c r="A8323" s="691"/>
      <c r="D8323" s="3"/>
    </row>
    <row r="8324" spans="1:4">
      <c r="A8324" s="691"/>
      <c r="D8324" s="3"/>
    </row>
    <row r="8325" spans="1:4">
      <c r="A8325" s="691"/>
      <c r="D8325" s="3"/>
    </row>
    <row r="8326" spans="1:4">
      <c r="A8326" s="691"/>
      <c r="D8326" s="3"/>
    </row>
    <row r="8327" spans="1:4">
      <c r="A8327" s="691"/>
      <c r="D8327" s="3"/>
    </row>
    <row r="8328" spans="1:4">
      <c r="A8328" s="691"/>
      <c r="D8328" s="3"/>
    </row>
    <row r="8329" spans="1:4">
      <c r="A8329" s="691"/>
      <c r="D8329" s="3"/>
    </row>
    <row r="8330" spans="1:4">
      <c r="A8330" s="691"/>
      <c r="D8330" s="3"/>
    </row>
    <row r="8331" spans="1:4">
      <c r="A8331" s="691"/>
      <c r="D8331" s="3"/>
    </row>
    <row r="8332" spans="1:4">
      <c r="A8332" s="691"/>
      <c r="D8332" s="3"/>
    </row>
    <row r="8333" spans="1:4">
      <c r="A8333" s="691"/>
      <c r="D8333" s="3"/>
    </row>
    <row r="8334" spans="1:4">
      <c r="A8334" s="691"/>
      <c r="D8334" s="3"/>
    </row>
    <row r="8335" spans="1:4">
      <c r="A8335" s="691"/>
      <c r="D8335" s="3"/>
    </row>
    <row r="8336" spans="1:4">
      <c r="A8336" s="691"/>
      <c r="D8336" s="3"/>
    </row>
    <row r="8337" spans="1:4">
      <c r="A8337" s="691"/>
      <c r="D8337" s="3"/>
    </row>
    <row r="8338" spans="1:4">
      <c r="A8338" s="691"/>
      <c r="D8338" s="3"/>
    </row>
    <row r="8339" spans="1:4">
      <c r="A8339" s="691"/>
      <c r="D8339" s="3"/>
    </row>
    <row r="8340" spans="1:4">
      <c r="A8340" s="691"/>
      <c r="D8340" s="3"/>
    </row>
    <row r="8341" spans="1:4">
      <c r="A8341" s="691"/>
      <c r="D8341" s="3"/>
    </row>
    <row r="8342" spans="1:4">
      <c r="A8342" s="691"/>
      <c r="D8342" s="3"/>
    </row>
    <row r="8343" spans="1:4">
      <c r="A8343" s="691"/>
      <c r="D8343" s="3"/>
    </row>
    <row r="8344" spans="1:4">
      <c r="A8344" s="691"/>
      <c r="D8344" s="3"/>
    </row>
    <row r="8345" spans="1:4">
      <c r="A8345" s="691"/>
      <c r="D8345" s="3"/>
    </row>
    <row r="8346" spans="1:4">
      <c r="A8346" s="691"/>
      <c r="D8346" s="3"/>
    </row>
    <row r="8347" spans="1:4">
      <c r="A8347" s="691"/>
      <c r="D8347" s="3"/>
    </row>
    <row r="8348" spans="1:4">
      <c r="A8348" s="691"/>
      <c r="D8348" s="3"/>
    </row>
    <row r="8349" spans="1:4">
      <c r="A8349" s="691"/>
      <c r="D8349" s="3"/>
    </row>
    <row r="8350" spans="1:4">
      <c r="A8350" s="691"/>
      <c r="D8350" s="3"/>
    </row>
    <row r="8351" spans="1:4">
      <c r="A8351" s="691"/>
      <c r="D8351" s="3"/>
    </row>
    <row r="8352" spans="1:4">
      <c r="A8352" s="691"/>
      <c r="D8352" s="3"/>
    </row>
    <row r="8353" spans="1:4">
      <c r="A8353" s="691"/>
      <c r="D8353" s="3"/>
    </row>
    <row r="8354" spans="1:4">
      <c r="A8354" s="691"/>
      <c r="D8354" s="3"/>
    </row>
    <row r="8355" spans="1:4">
      <c r="A8355" s="691"/>
      <c r="D8355" s="3"/>
    </row>
    <row r="8356" spans="1:4">
      <c r="A8356" s="691"/>
      <c r="D8356" s="3"/>
    </row>
    <row r="8357" spans="1:4">
      <c r="A8357" s="691"/>
      <c r="D8357" s="3"/>
    </row>
    <row r="8358" spans="1:4">
      <c r="A8358" s="691"/>
      <c r="D8358" s="3"/>
    </row>
    <row r="8359" spans="1:4">
      <c r="A8359" s="691"/>
      <c r="D8359" s="3"/>
    </row>
    <row r="8360" spans="1:4">
      <c r="A8360" s="691"/>
      <c r="D8360" s="3"/>
    </row>
    <row r="8361" spans="1:4">
      <c r="A8361" s="691"/>
      <c r="D8361" s="3"/>
    </row>
    <row r="8362" spans="1:4">
      <c r="A8362" s="691"/>
      <c r="D8362" s="3"/>
    </row>
    <row r="8363" spans="1:4">
      <c r="A8363" s="691"/>
      <c r="D8363" s="3"/>
    </row>
    <row r="8364" spans="1:4">
      <c r="A8364" s="691"/>
      <c r="D8364" s="3"/>
    </row>
    <row r="8365" spans="1:4">
      <c r="A8365" s="691"/>
      <c r="D8365" s="3"/>
    </row>
    <row r="8366" spans="1:4">
      <c r="A8366" s="691"/>
      <c r="D8366" s="3"/>
    </row>
    <row r="8367" spans="1:4">
      <c r="A8367" s="691"/>
      <c r="D8367" s="3"/>
    </row>
    <row r="8368" spans="1:4">
      <c r="A8368" s="691"/>
      <c r="D8368" s="3"/>
    </row>
    <row r="8369" spans="1:4">
      <c r="A8369" s="691"/>
      <c r="D8369" s="3"/>
    </row>
    <row r="8370" spans="1:4">
      <c r="A8370" s="691"/>
      <c r="D8370" s="3"/>
    </row>
    <row r="8371" spans="1:4">
      <c r="A8371" s="691"/>
      <c r="D8371" s="3"/>
    </row>
    <row r="8372" spans="1:4">
      <c r="A8372" s="691"/>
      <c r="D8372" s="3"/>
    </row>
    <row r="8373" spans="1:4">
      <c r="A8373" s="691"/>
      <c r="D8373" s="3"/>
    </row>
    <row r="8374" spans="1:4">
      <c r="A8374" s="691"/>
      <c r="D8374" s="3"/>
    </row>
    <row r="8375" spans="1:4">
      <c r="A8375" s="691"/>
      <c r="D8375" s="3"/>
    </row>
    <row r="8376" spans="1:4">
      <c r="A8376" s="691"/>
      <c r="D8376" s="3"/>
    </row>
    <row r="8377" spans="1:4">
      <c r="A8377" s="691"/>
      <c r="D8377" s="3"/>
    </row>
    <row r="8378" spans="1:4">
      <c r="A8378" s="691"/>
      <c r="D8378" s="3"/>
    </row>
    <row r="8379" spans="1:4">
      <c r="A8379" s="691"/>
      <c r="D8379" s="3"/>
    </row>
    <row r="8380" spans="1:4">
      <c r="A8380" s="691"/>
      <c r="D8380" s="3"/>
    </row>
    <row r="8381" spans="1:4">
      <c r="A8381" s="691"/>
      <c r="D8381" s="3"/>
    </row>
    <row r="8382" spans="1:4">
      <c r="A8382" s="691"/>
      <c r="D8382" s="3"/>
    </row>
    <row r="8383" spans="1:4">
      <c r="A8383" s="691"/>
      <c r="D8383" s="3"/>
    </row>
    <row r="8384" spans="1:4">
      <c r="A8384" s="691"/>
      <c r="D8384" s="3"/>
    </row>
    <row r="8385" spans="1:4">
      <c r="A8385" s="691"/>
      <c r="D8385" s="3"/>
    </row>
    <row r="8386" spans="1:4">
      <c r="A8386" s="691"/>
      <c r="D8386" s="3"/>
    </row>
    <row r="8387" spans="1:4">
      <c r="A8387" s="691"/>
      <c r="D8387" s="3"/>
    </row>
    <row r="8388" spans="1:4">
      <c r="A8388" s="691"/>
      <c r="D8388" s="3"/>
    </row>
    <row r="8389" spans="1:4">
      <c r="A8389" s="691"/>
      <c r="D8389" s="3"/>
    </row>
    <row r="8390" spans="1:4">
      <c r="A8390" s="691"/>
      <c r="D8390" s="3"/>
    </row>
    <row r="8391" spans="1:4">
      <c r="A8391" s="691"/>
      <c r="D8391" s="3"/>
    </row>
    <row r="8392" spans="1:4">
      <c r="A8392" s="691"/>
      <c r="D8392" s="3"/>
    </row>
    <row r="8393" spans="1:4">
      <c r="A8393" s="691"/>
      <c r="D8393" s="3"/>
    </row>
    <row r="8394" spans="1:4">
      <c r="A8394" s="691"/>
      <c r="D8394" s="3"/>
    </row>
    <row r="8395" spans="1:4">
      <c r="A8395" s="691"/>
      <c r="D8395" s="3"/>
    </row>
    <row r="8396" spans="1:4">
      <c r="A8396" s="691"/>
      <c r="D8396" s="3"/>
    </row>
    <row r="8397" spans="1:4">
      <c r="A8397" s="691"/>
      <c r="D8397" s="3"/>
    </row>
    <row r="8398" spans="1:4">
      <c r="A8398" s="691"/>
      <c r="D8398" s="3"/>
    </row>
    <row r="8399" spans="1:4">
      <c r="A8399" s="691"/>
      <c r="D8399" s="3"/>
    </row>
    <row r="8400" spans="1:4">
      <c r="A8400" s="691"/>
      <c r="D8400" s="3"/>
    </row>
    <row r="8401" spans="1:4">
      <c r="A8401" s="691"/>
      <c r="D8401" s="3"/>
    </row>
    <row r="8402" spans="1:4">
      <c r="A8402" s="691"/>
      <c r="D8402" s="3"/>
    </row>
    <row r="8403" spans="1:4">
      <c r="A8403" s="691"/>
      <c r="D8403" s="3"/>
    </row>
    <row r="8404" spans="1:4">
      <c r="A8404" s="691"/>
      <c r="D8404" s="3"/>
    </row>
    <row r="8405" spans="1:4">
      <c r="A8405" s="691"/>
      <c r="D8405" s="3"/>
    </row>
    <row r="8406" spans="1:4">
      <c r="A8406" s="691"/>
      <c r="D8406" s="3"/>
    </row>
    <row r="8407" spans="1:4">
      <c r="A8407" s="691"/>
      <c r="D8407" s="3"/>
    </row>
    <row r="8408" spans="1:4">
      <c r="A8408" s="691"/>
      <c r="D8408" s="3"/>
    </row>
    <row r="8409" spans="1:4">
      <c r="A8409" s="691"/>
      <c r="D8409" s="3"/>
    </row>
    <row r="8410" spans="1:4">
      <c r="A8410" s="691"/>
      <c r="D8410" s="3"/>
    </row>
    <row r="8411" spans="1:4">
      <c r="A8411" s="691"/>
      <c r="D8411" s="3"/>
    </row>
    <row r="8412" spans="1:4">
      <c r="A8412" s="691"/>
      <c r="D8412" s="3"/>
    </row>
    <row r="8413" spans="1:4">
      <c r="A8413" s="691"/>
      <c r="D8413" s="3"/>
    </row>
    <row r="8414" spans="1:4">
      <c r="A8414" s="691"/>
      <c r="D8414" s="3"/>
    </row>
    <row r="8415" spans="1:4">
      <c r="A8415" s="691"/>
      <c r="D8415" s="3"/>
    </row>
    <row r="8416" spans="1:4">
      <c r="A8416" s="691"/>
      <c r="D8416" s="3"/>
    </row>
    <row r="8417" spans="1:4">
      <c r="A8417" s="691"/>
      <c r="D8417" s="3"/>
    </row>
    <row r="8418" spans="1:4">
      <c r="A8418" s="691"/>
      <c r="D8418" s="3"/>
    </row>
    <row r="8419" spans="1:4">
      <c r="A8419" s="691"/>
      <c r="D8419" s="3"/>
    </row>
    <row r="8420" spans="1:4">
      <c r="A8420" s="691"/>
      <c r="D8420" s="3"/>
    </row>
    <row r="8421" spans="1:4">
      <c r="A8421" s="691"/>
      <c r="D8421" s="3"/>
    </row>
    <row r="8422" spans="1:4">
      <c r="A8422" s="691"/>
      <c r="D8422" s="3"/>
    </row>
    <row r="8423" spans="1:4">
      <c r="A8423" s="691"/>
      <c r="D8423" s="3"/>
    </row>
    <row r="8424" spans="1:4">
      <c r="A8424" s="691"/>
      <c r="D8424" s="3"/>
    </row>
    <row r="8425" spans="1:4">
      <c r="A8425" s="691"/>
      <c r="D8425" s="3"/>
    </row>
    <row r="8426" spans="1:4">
      <c r="A8426" s="691"/>
      <c r="D8426" s="3"/>
    </row>
    <row r="8427" spans="1:4">
      <c r="A8427" s="691"/>
      <c r="D8427" s="3"/>
    </row>
    <row r="8428" spans="1:4">
      <c r="A8428" s="691"/>
      <c r="D8428" s="3"/>
    </row>
    <row r="8429" spans="1:4">
      <c r="A8429" s="691"/>
      <c r="D8429" s="3"/>
    </row>
    <row r="8430" spans="1:4">
      <c r="A8430" s="691"/>
      <c r="D8430" s="3"/>
    </row>
    <row r="8431" spans="1:4">
      <c r="A8431" s="691"/>
      <c r="D8431" s="3"/>
    </row>
    <row r="8432" spans="1:4">
      <c r="A8432" s="691"/>
      <c r="D8432" s="3"/>
    </row>
    <row r="8433" spans="1:4">
      <c r="A8433" s="691"/>
      <c r="D8433" s="3"/>
    </row>
    <row r="8434" spans="1:4">
      <c r="A8434" s="691"/>
      <c r="D8434" s="3"/>
    </row>
    <row r="8435" spans="1:4">
      <c r="A8435" s="691"/>
      <c r="D8435" s="3"/>
    </row>
    <row r="8436" spans="1:4">
      <c r="A8436" s="691"/>
      <c r="D8436" s="3"/>
    </row>
    <row r="8437" spans="1:4">
      <c r="A8437" s="691"/>
      <c r="D8437" s="3"/>
    </row>
    <row r="8438" spans="1:4">
      <c r="A8438" s="691"/>
      <c r="D8438" s="3"/>
    </row>
    <row r="8439" spans="1:4">
      <c r="A8439" s="691"/>
      <c r="D8439" s="3"/>
    </row>
    <row r="8440" spans="1:4">
      <c r="A8440" s="691"/>
      <c r="D8440" s="3"/>
    </row>
    <row r="8441" spans="1:4">
      <c r="A8441" s="691"/>
      <c r="D8441" s="3"/>
    </row>
    <row r="8442" spans="1:4">
      <c r="A8442" s="691"/>
      <c r="D8442" s="3"/>
    </row>
    <row r="8443" spans="1:4">
      <c r="A8443" s="691"/>
      <c r="D8443" s="3"/>
    </row>
    <row r="8444" spans="1:4">
      <c r="A8444" s="691"/>
      <c r="D8444" s="3"/>
    </row>
    <row r="8445" spans="1:4">
      <c r="A8445" s="691"/>
      <c r="D8445" s="3"/>
    </row>
    <row r="8446" spans="1:4">
      <c r="A8446" s="691"/>
      <c r="D8446" s="3"/>
    </row>
    <row r="8447" spans="1:4">
      <c r="A8447" s="691"/>
      <c r="D8447" s="3"/>
    </row>
    <row r="8448" spans="1:4">
      <c r="A8448" s="691"/>
      <c r="D8448" s="3"/>
    </row>
    <row r="8449" spans="1:4">
      <c r="A8449" s="691"/>
      <c r="D8449" s="3"/>
    </row>
    <row r="8450" spans="1:4">
      <c r="A8450" s="691"/>
      <c r="D8450" s="3"/>
    </row>
    <row r="8451" spans="1:4">
      <c r="A8451" s="691"/>
      <c r="D8451" s="3"/>
    </row>
    <row r="8452" spans="1:4">
      <c r="A8452" s="691"/>
      <c r="D8452" s="3"/>
    </row>
    <row r="8453" spans="1:4">
      <c r="A8453" s="691"/>
      <c r="D8453" s="3"/>
    </row>
    <row r="8454" spans="1:4">
      <c r="A8454" s="691"/>
      <c r="D8454" s="3"/>
    </row>
    <row r="8455" spans="1:4">
      <c r="A8455" s="691"/>
      <c r="D8455" s="3"/>
    </row>
    <row r="8456" spans="1:4">
      <c r="A8456" s="691"/>
      <c r="D8456" s="3"/>
    </row>
    <row r="8457" spans="1:4">
      <c r="A8457" s="691"/>
      <c r="D8457" s="3"/>
    </row>
    <row r="8458" spans="1:4">
      <c r="A8458" s="691"/>
      <c r="D8458" s="3"/>
    </row>
    <row r="8459" spans="1:4">
      <c r="A8459" s="691"/>
      <c r="D8459" s="3"/>
    </row>
    <row r="8460" spans="1:4">
      <c r="A8460" s="691"/>
      <c r="D8460" s="3"/>
    </row>
    <row r="8461" spans="1:4">
      <c r="A8461" s="691"/>
      <c r="D8461" s="3"/>
    </row>
    <row r="8462" spans="1:4">
      <c r="A8462" s="691"/>
      <c r="D8462" s="3"/>
    </row>
    <row r="8463" spans="1:4">
      <c r="A8463" s="691"/>
      <c r="D8463" s="3"/>
    </row>
    <row r="8464" spans="1:4">
      <c r="A8464" s="691"/>
      <c r="D8464" s="3"/>
    </row>
    <row r="8465" spans="1:4">
      <c r="A8465" s="691"/>
      <c r="D8465" s="3"/>
    </row>
    <row r="8466" spans="1:4">
      <c r="A8466" s="691"/>
      <c r="D8466" s="3"/>
    </row>
    <row r="8467" spans="1:4">
      <c r="A8467" s="691"/>
      <c r="D8467" s="3"/>
    </row>
    <row r="8468" spans="1:4">
      <c r="A8468" s="691"/>
      <c r="D8468" s="3"/>
    </row>
    <row r="8469" spans="1:4">
      <c r="A8469" s="691"/>
      <c r="D8469" s="3"/>
    </row>
    <row r="8470" spans="1:4">
      <c r="A8470" s="691"/>
      <c r="D8470" s="3"/>
    </row>
    <row r="8471" spans="1:4">
      <c r="A8471" s="691"/>
      <c r="D8471" s="3"/>
    </row>
    <row r="8472" spans="1:4">
      <c r="A8472" s="691"/>
      <c r="D8472" s="3"/>
    </row>
    <row r="8473" spans="1:4">
      <c r="A8473" s="691"/>
      <c r="D8473" s="3"/>
    </row>
    <row r="8474" spans="1:4">
      <c r="A8474" s="691"/>
      <c r="D8474" s="3"/>
    </row>
    <row r="8475" spans="1:4">
      <c r="A8475" s="691"/>
      <c r="D8475" s="3"/>
    </row>
    <row r="8476" spans="1:4">
      <c r="A8476" s="691"/>
      <c r="D8476" s="3"/>
    </row>
    <row r="8477" spans="1:4">
      <c r="A8477" s="691"/>
      <c r="D8477" s="3"/>
    </row>
    <row r="8478" spans="1:4">
      <c r="A8478" s="691"/>
      <c r="D8478" s="3"/>
    </row>
    <row r="8479" spans="1:4">
      <c r="A8479" s="691"/>
      <c r="D8479" s="3"/>
    </row>
    <row r="8480" spans="1:4">
      <c r="A8480" s="691"/>
      <c r="D8480" s="3"/>
    </row>
    <row r="8481" spans="1:4">
      <c r="A8481" s="691"/>
      <c r="D8481" s="3"/>
    </row>
    <row r="8482" spans="1:4">
      <c r="A8482" s="691"/>
      <c r="D8482" s="3"/>
    </row>
    <row r="8483" spans="1:4">
      <c r="A8483" s="691"/>
      <c r="D8483" s="3"/>
    </row>
    <row r="8484" spans="1:4">
      <c r="A8484" s="691"/>
      <c r="D8484" s="3"/>
    </row>
    <row r="8485" spans="1:4">
      <c r="A8485" s="691"/>
      <c r="D8485" s="3"/>
    </row>
    <row r="8486" spans="1:4">
      <c r="A8486" s="691"/>
      <c r="D8486" s="3"/>
    </row>
    <row r="8487" spans="1:4">
      <c r="A8487" s="691"/>
      <c r="D8487" s="3"/>
    </row>
    <row r="8488" spans="1:4">
      <c r="A8488" s="691"/>
      <c r="D8488" s="3"/>
    </row>
    <row r="8489" spans="1:4">
      <c r="A8489" s="691"/>
      <c r="D8489" s="3"/>
    </row>
    <row r="8490" spans="1:4">
      <c r="A8490" s="691"/>
      <c r="D8490" s="3"/>
    </row>
    <row r="8491" spans="1:4">
      <c r="A8491" s="691"/>
      <c r="D8491" s="3"/>
    </row>
    <row r="8492" spans="1:4">
      <c r="A8492" s="691"/>
      <c r="D8492" s="3"/>
    </row>
    <row r="8493" spans="1:4">
      <c r="A8493" s="691"/>
      <c r="D8493" s="3"/>
    </row>
    <row r="8494" spans="1:4">
      <c r="A8494" s="691"/>
      <c r="D8494" s="3"/>
    </row>
    <row r="8495" spans="1:4">
      <c r="A8495" s="691"/>
      <c r="D8495" s="3"/>
    </row>
    <row r="8496" spans="1:4">
      <c r="A8496" s="691"/>
      <c r="D8496" s="3"/>
    </row>
    <row r="8497" spans="1:4">
      <c r="A8497" s="691"/>
      <c r="D8497" s="3"/>
    </row>
    <row r="8498" spans="1:4">
      <c r="A8498" s="691"/>
      <c r="D8498" s="3"/>
    </row>
    <row r="8499" spans="1:4">
      <c r="A8499" s="691"/>
      <c r="D8499" s="3"/>
    </row>
    <row r="8500" spans="1:4">
      <c r="A8500" s="691"/>
      <c r="D8500" s="3"/>
    </row>
    <row r="8501" spans="1:4">
      <c r="A8501" s="691"/>
      <c r="D8501" s="3"/>
    </row>
    <row r="8502" spans="1:4">
      <c r="A8502" s="691"/>
      <c r="D8502" s="3"/>
    </row>
    <row r="8503" spans="1:4">
      <c r="A8503" s="691"/>
      <c r="D8503" s="3"/>
    </row>
    <row r="8504" spans="1:4">
      <c r="A8504" s="691"/>
      <c r="D8504" s="3"/>
    </row>
    <row r="8505" spans="1:4">
      <c r="A8505" s="691"/>
      <c r="D8505" s="3"/>
    </row>
    <row r="8506" spans="1:4">
      <c r="A8506" s="691"/>
      <c r="D8506" s="3"/>
    </row>
    <row r="8507" spans="1:4">
      <c r="A8507" s="691"/>
      <c r="D8507" s="3"/>
    </row>
    <row r="8508" spans="1:4">
      <c r="A8508" s="691"/>
      <c r="D8508" s="3"/>
    </row>
    <row r="8509" spans="1:4">
      <c r="A8509" s="691"/>
      <c r="D8509" s="3"/>
    </row>
    <row r="8510" spans="1:4">
      <c r="A8510" s="691"/>
      <c r="D8510" s="3"/>
    </row>
    <row r="8511" spans="1:4">
      <c r="A8511" s="691"/>
      <c r="D8511" s="3"/>
    </row>
    <row r="8512" spans="1:4">
      <c r="A8512" s="691"/>
      <c r="D8512" s="3"/>
    </row>
    <row r="8513" spans="1:4">
      <c r="A8513" s="691"/>
      <c r="D8513" s="3"/>
    </row>
    <row r="8514" spans="1:4">
      <c r="A8514" s="691"/>
      <c r="D8514" s="3"/>
    </row>
    <row r="8515" spans="1:4">
      <c r="A8515" s="691"/>
      <c r="D8515" s="3"/>
    </row>
    <row r="8516" spans="1:4">
      <c r="A8516" s="691"/>
      <c r="D8516" s="3"/>
    </row>
    <row r="8517" spans="1:4">
      <c r="A8517" s="691"/>
      <c r="D8517" s="3"/>
    </row>
    <row r="8518" spans="1:4">
      <c r="A8518" s="691"/>
      <c r="D8518" s="3"/>
    </row>
    <row r="8519" spans="1:4">
      <c r="A8519" s="691"/>
      <c r="D8519" s="3"/>
    </row>
    <row r="8520" spans="1:4">
      <c r="A8520" s="691"/>
      <c r="D8520" s="3"/>
    </row>
    <row r="8521" spans="1:4">
      <c r="A8521" s="691"/>
      <c r="D8521" s="3"/>
    </row>
    <row r="8522" spans="1:4">
      <c r="A8522" s="691"/>
      <c r="D8522" s="3"/>
    </row>
    <row r="8523" spans="1:4">
      <c r="A8523" s="691"/>
      <c r="D8523" s="3"/>
    </row>
    <row r="8524" spans="1:4">
      <c r="A8524" s="691"/>
      <c r="D8524" s="3"/>
    </row>
    <row r="8525" spans="1:4">
      <c r="A8525" s="691"/>
      <c r="D8525" s="3"/>
    </row>
    <row r="8526" spans="1:4">
      <c r="A8526" s="691"/>
      <c r="D8526" s="3"/>
    </row>
    <row r="8527" spans="1:4">
      <c r="A8527" s="691"/>
      <c r="D8527" s="3"/>
    </row>
    <row r="8528" spans="1:4">
      <c r="A8528" s="691"/>
      <c r="D8528" s="3"/>
    </row>
    <row r="8529" spans="1:4">
      <c r="A8529" s="691"/>
      <c r="D8529" s="3"/>
    </row>
    <row r="8530" spans="1:4">
      <c r="A8530" s="691"/>
      <c r="D8530" s="3"/>
    </row>
    <row r="8531" spans="1:4">
      <c r="A8531" s="691"/>
      <c r="D8531" s="3"/>
    </row>
    <row r="8532" spans="1:4">
      <c r="A8532" s="691"/>
      <c r="D8532" s="3"/>
    </row>
    <row r="8533" spans="1:4">
      <c r="A8533" s="691"/>
      <c r="D8533" s="3"/>
    </row>
    <row r="8534" spans="1:4">
      <c r="A8534" s="691"/>
      <c r="D8534" s="3"/>
    </row>
    <row r="8535" spans="1:4">
      <c r="A8535" s="691"/>
      <c r="D8535" s="3"/>
    </row>
    <row r="8536" spans="1:4">
      <c r="A8536" s="691"/>
      <c r="D8536" s="3"/>
    </row>
    <row r="8537" spans="1:4">
      <c r="A8537" s="691"/>
      <c r="D8537" s="3"/>
    </row>
    <row r="8538" spans="1:4">
      <c r="A8538" s="691"/>
      <c r="D8538" s="3"/>
    </row>
    <row r="8539" spans="1:4">
      <c r="A8539" s="691"/>
      <c r="D8539" s="3"/>
    </row>
    <row r="8540" spans="1:4">
      <c r="A8540" s="691"/>
      <c r="D8540" s="3"/>
    </row>
    <row r="8541" spans="1:4">
      <c r="A8541" s="691"/>
      <c r="D8541" s="3"/>
    </row>
    <row r="8542" spans="1:4">
      <c r="A8542" s="691"/>
      <c r="D8542" s="3"/>
    </row>
    <row r="8543" spans="1:4">
      <c r="A8543" s="691"/>
      <c r="D8543" s="3"/>
    </row>
    <row r="8544" spans="1:4">
      <c r="A8544" s="691"/>
      <c r="D8544" s="3"/>
    </row>
    <row r="8545" spans="1:4">
      <c r="A8545" s="691"/>
      <c r="D8545" s="3"/>
    </row>
    <row r="8546" spans="1:4">
      <c r="A8546" s="691"/>
      <c r="D8546" s="3"/>
    </row>
    <row r="8547" spans="1:4">
      <c r="A8547" s="691"/>
      <c r="D8547" s="3"/>
    </row>
    <row r="8548" spans="1:4">
      <c r="A8548" s="691"/>
      <c r="D8548" s="3"/>
    </row>
    <row r="8549" spans="1:4">
      <c r="A8549" s="691"/>
      <c r="D8549" s="3"/>
    </row>
    <row r="8550" spans="1:4">
      <c r="A8550" s="691"/>
      <c r="D8550" s="3"/>
    </row>
    <row r="8551" spans="1:4">
      <c r="A8551" s="691"/>
      <c r="D8551" s="3"/>
    </row>
    <row r="8552" spans="1:4">
      <c r="A8552" s="691"/>
      <c r="D8552" s="3"/>
    </row>
    <row r="8553" spans="1:4">
      <c r="A8553" s="691"/>
      <c r="D8553" s="3"/>
    </row>
    <row r="8554" spans="1:4">
      <c r="A8554" s="691"/>
      <c r="D8554" s="3"/>
    </row>
    <row r="8555" spans="1:4">
      <c r="A8555" s="691"/>
      <c r="D8555" s="3"/>
    </row>
    <row r="8556" spans="1:4">
      <c r="A8556" s="691"/>
      <c r="D8556" s="3"/>
    </row>
    <row r="8557" spans="1:4">
      <c r="A8557" s="691"/>
      <c r="D8557" s="3"/>
    </row>
    <row r="8558" spans="1:4">
      <c r="A8558" s="691"/>
      <c r="D8558" s="3"/>
    </row>
    <row r="8559" spans="1:4">
      <c r="A8559" s="691"/>
      <c r="D8559" s="3"/>
    </row>
    <row r="8560" spans="1:4">
      <c r="A8560" s="691"/>
      <c r="D8560" s="3"/>
    </row>
    <row r="8561" spans="1:4">
      <c r="A8561" s="691"/>
      <c r="D8561" s="3"/>
    </row>
    <row r="8562" spans="1:4">
      <c r="A8562" s="691"/>
      <c r="D8562" s="3"/>
    </row>
    <row r="8563" spans="1:4">
      <c r="A8563" s="691"/>
      <c r="D8563" s="3"/>
    </row>
    <row r="8564" spans="1:4">
      <c r="A8564" s="691"/>
      <c r="D8564" s="3"/>
    </row>
    <row r="8565" spans="1:4">
      <c r="A8565" s="691"/>
      <c r="D8565" s="3"/>
    </row>
    <row r="8566" spans="1:4">
      <c r="A8566" s="691"/>
      <c r="D8566" s="3"/>
    </row>
    <row r="8567" spans="1:4">
      <c r="A8567" s="691"/>
      <c r="D8567" s="3"/>
    </row>
    <row r="8568" spans="1:4">
      <c r="A8568" s="691"/>
      <c r="D8568" s="3"/>
    </row>
    <row r="8569" spans="1:4">
      <c r="A8569" s="691"/>
      <c r="D8569" s="3"/>
    </row>
    <row r="8570" spans="1:4">
      <c r="A8570" s="691"/>
      <c r="D8570" s="3"/>
    </row>
    <row r="8571" spans="1:4">
      <c r="A8571" s="691"/>
      <c r="D8571" s="3"/>
    </row>
    <row r="8572" spans="1:4">
      <c r="A8572" s="691"/>
      <c r="D8572" s="3"/>
    </row>
    <row r="8573" spans="1:4">
      <c r="A8573" s="691"/>
      <c r="D8573" s="3"/>
    </row>
    <row r="8574" spans="1:4">
      <c r="A8574" s="691"/>
      <c r="D8574" s="3"/>
    </row>
    <row r="8575" spans="1:4">
      <c r="A8575" s="691"/>
      <c r="D8575" s="3"/>
    </row>
    <row r="8576" spans="1:4">
      <c r="A8576" s="691"/>
      <c r="D8576" s="3"/>
    </row>
    <row r="8577" spans="1:4">
      <c r="A8577" s="691"/>
      <c r="D8577" s="3"/>
    </row>
    <row r="8578" spans="1:4">
      <c r="A8578" s="691"/>
      <c r="D8578" s="3"/>
    </row>
    <row r="8579" spans="1:4">
      <c r="A8579" s="691"/>
      <c r="D8579" s="3"/>
    </row>
    <row r="8580" spans="1:4">
      <c r="A8580" s="691"/>
      <c r="D8580" s="3"/>
    </row>
    <row r="8581" spans="1:4">
      <c r="A8581" s="691"/>
      <c r="D8581" s="3"/>
    </row>
    <row r="8582" spans="1:4">
      <c r="A8582" s="691"/>
      <c r="D8582" s="3"/>
    </row>
    <row r="8583" spans="1:4">
      <c r="A8583" s="691"/>
      <c r="D8583" s="3"/>
    </row>
    <row r="8584" spans="1:4">
      <c r="A8584" s="691"/>
      <c r="D8584" s="3"/>
    </row>
    <row r="8585" spans="1:4">
      <c r="A8585" s="691"/>
      <c r="D8585" s="3"/>
    </row>
    <row r="8586" spans="1:4">
      <c r="A8586" s="691"/>
      <c r="D8586" s="3"/>
    </row>
    <row r="8587" spans="1:4">
      <c r="A8587" s="691"/>
      <c r="D8587" s="3"/>
    </row>
    <row r="8588" spans="1:4">
      <c r="A8588" s="691"/>
      <c r="D8588" s="3"/>
    </row>
    <row r="8589" spans="1:4">
      <c r="A8589" s="691"/>
      <c r="D8589" s="3"/>
    </row>
    <row r="8590" spans="1:4">
      <c r="A8590" s="691"/>
      <c r="D8590" s="3"/>
    </row>
    <row r="8591" spans="1:4">
      <c r="A8591" s="691"/>
      <c r="D8591" s="3"/>
    </row>
    <row r="8592" spans="1:4">
      <c r="A8592" s="691"/>
      <c r="D8592" s="3"/>
    </row>
    <row r="8593" spans="1:4">
      <c r="A8593" s="691"/>
      <c r="D8593" s="3"/>
    </row>
    <row r="8594" spans="1:4">
      <c r="A8594" s="691"/>
      <c r="D8594" s="3"/>
    </row>
    <row r="8595" spans="1:4">
      <c r="A8595" s="691"/>
      <c r="D8595" s="3"/>
    </row>
    <row r="8596" spans="1:4">
      <c r="A8596" s="691"/>
      <c r="D8596" s="3"/>
    </row>
    <row r="8597" spans="1:4">
      <c r="A8597" s="691"/>
      <c r="D8597" s="3"/>
    </row>
    <row r="8598" spans="1:4">
      <c r="A8598" s="691"/>
      <c r="D8598" s="3"/>
    </row>
    <row r="8599" spans="1:4">
      <c r="A8599" s="691"/>
      <c r="D8599" s="3"/>
    </row>
    <row r="8600" spans="1:4">
      <c r="A8600" s="691"/>
      <c r="D8600" s="3"/>
    </row>
    <row r="8601" spans="1:4">
      <c r="A8601" s="691"/>
      <c r="D8601" s="3"/>
    </row>
    <row r="8602" spans="1:4">
      <c r="A8602" s="691"/>
      <c r="D8602" s="3"/>
    </row>
    <row r="8603" spans="1:4">
      <c r="A8603" s="691"/>
      <c r="D8603" s="3"/>
    </row>
    <row r="8604" spans="1:4">
      <c r="A8604" s="691"/>
      <c r="D8604" s="3"/>
    </row>
    <row r="8605" spans="1:4">
      <c r="A8605" s="691"/>
      <c r="D8605" s="3"/>
    </row>
    <row r="8606" spans="1:4">
      <c r="A8606" s="691"/>
      <c r="D8606" s="3"/>
    </row>
    <row r="8607" spans="1:4">
      <c r="A8607" s="691"/>
      <c r="D8607" s="3"/>
    </row>
    <row r="8608" spans="1:4">
      <c r="A8608" s="691"/>
      <c r="D8608" s="3"/>
    </row>
    <row r="8609" spans="1:4">
      <c r="A8609" s="691"/>
      <c r="D8609" s="3"/>
    </row>
    <row r="8610" spans="1:4">
      <c r="A8610" s="691"/>
      <c r="D8610" s="3"/>
    </row>
    <row r="8611" spans="1:4">
      <c r="A8611" s="691"/>
      <c r="D8611" s="3"/>
    </row>
    <row r="8612" spans="1:4">
      <c r="A8612" s="691"/>
      <c r="D8612" s="3"/>
    </row>
    <row r="8613" spans="1:4">
      <c r="A8613" s="691"/>
      <c r="D8613" s="3"/>
    </row>
    <row r="8614" spans="1:4">
      <c r="A8614" s="691"/>
      <c r="D8614" s="3"/>
    </row>
    <row r="8615" spans="1:4">
      <c r="A8615" s="691"/>
      <c r="D8615" s="3"/>
    </row>
    <row r="8616" spans="1:4">
      <c r="A8616" s="691"/>
      <c r="D8616" s="3"/>
    </row>
    <row r="8617" spans="1:4">
      <c r="A8617" s="691"/>
      <c r="D8617" s="3"/>
    </row>
    <row r="8618" spans="1:4">
      <c r="A8618" s="691"/>
      <c r="D8618" s="3"/>
    </row>
    <row r="8619" spans="1:4">
      <c r="A8619" s="691"/>
      <c r="D8619" s="3"/>
    </row>
    <row r="8620" spans="1:4">
      <c r="A8620" s="691"/>
      <c r="D8620" s="3"/>
    </row>
    <row r="8621" spans="1:4">
      <c r="A8621" s="691"/>
      <c r="D8621" s="3"/>
    </row>
    <row r="8622" spans="1:4">
      <c r="A8622" s="691"/>
      <c r="D8622" s="3"/>
    </row>
    <row r="8623" spans="1:4">
      <c r="A8623" s="691"/>
      <c r="D8623" s="3"/>
    </row>
    <row r="8624" spans="1:4">
      <c r="A8624" s="691"/>
      <c r="D8624" s="3"/>
    </row>
    <row r="8625" spans="1:4">
      <c r="A8625" s="691"/>
      <c r="D8625" s="3"/>
    </row>
    <row r="8626" spans="1:4">
      <c r="A8626" s="691"/>
      <c r="D8626" s="3"/>
    </row>
    <row r="8627" spans="1:4">
      <c r="A8627" s="691"/>
      <c r="D8627" s="3"/>
    </row>
    <row r="8628" spans="1:4">
      <c r="A8628" s="691"/>
      <c r="D8628" s="3"/>
    </row>
    <row r="8629" spans="1:4">
      <c r="A8629" s="691"/>
      <c r="D8629" s="3"/>
    </row>
    <row r="8630" spans="1:4">
      <c r="A8630" s="691"/>
      <c r="D8630" s="3"/>
    </row>
    <row r="8631" spans="1:4">
      <c r="A8631" s="691"/>
      <c r="D8631" s="3"/>
    </row>
    <row r="8632" spans="1:4">
      <c r="A8632" s="691"/>
      <c r="D8632" s="3"/>
    </row>
    <row r="8633" spans="1:4">
      <c r="A8633" s="691"/>
      <c r="D8633" s="3"/>
    </row>
    <row r="8634" spans="1:4">
      <c r="A8634" s="691"/>
      <c r="D8634" s="3"/>
    </row>
    <row r="8635" spans="1:4">
      <c r="A8635" s="691"/>
      <c r="D8635" s="3"/>
    </row>
    <row r="8636" spans="1:4">
      <c r="A8636" s="691"/>
      <c r="D8636" s="3"/>
    </row>
    <row r="8637" spans="1:4">
      <c r="A8637" s="691"/>
      <c r="D8637" s="3"/>
    </row>
    <row r="8638" spans="1:4">
      <c r="A8638" s="691"/>
      <c r="D8638" s="3"/>
    </row>
    <row r="8639" spans="1:4">
      <c r="A8639" s="691"/>
      <c r="D8639" s="3"/>
    </row>
    <row r="8640" spans="1:4">
      <c r="A8640" s="691"/>
      <c r="D8640" s="3"/>
    </row>
    <row r="8641" spans="1:4">
      <c r="A8641" s="691"/>
      <c r="D8641" s="3"/>
    </row>
    <row r="8642" spans="1:4">
      <c r="A8642" s="691"/>
      <c r="D8642" s="3"/>
    </row>
    <row r="8643" spans="1:4">
      <c r="A8643" s="691"/>
      <c r="D8643" s="3"/>
    </row>
    <row r="8644" spans="1:4">
      <c r="A8644" s="691"/>
      <c r="D8644" s="3"/>
    </row>
    <row r="8645" spans="1:4">
      <c r="A8645" s="691"/>
      <c r="D8645" s="3"/>
    </row>
    <row r="8646" spans="1:4">
      <c r="A8646" s="691"/>
      <c r="D8646" s="3"/>
    </row>
    <row r="8647" spans="1:4">
      <c r="A8647" s="691"/>
      <c r="D8647" s="3"/>
    </row>
    <row r="8648" spans="1:4">
      <c r="A8648" s="691"/>
      <c r="D8648" s="3"/>
    </row>
    <row r="8649" spans="1:4">
      <c r="A8649" s="691"/>
      <c r="D8649" s="3"/>
    </row>
    <row r="8650" spans="1:4">
      <c r="A8650" s="691"/>
      <c r="D8650" s="3"/>
    </row>
    <row r="8651" spans="1:4">
      <c r="A8651" s="691"/>
      <c r="D8651" s="3"/>
    </row>
    <row r="8652" spans="1:4">
      <c r="A8652" s="691"/>
      <c r="D8652" s="3"/>
    </row>
    <row r="8653" spans="1:4">
      <c r="A8653" s="691"/>
      <c r="D8653" s="3"/>
    </row>
    <row r="8654" spans="1:4">
      <c r="A8654" s="691"/>
      <c r="D8654" s="3"/>
    </row>
    <row r="8655" spans="1:4">
      <c r="A8655" s="691"/>
      <c r="D8655" s="3"/>
    </row>
    <row r="8656" spans="1:4">
      <c r="A8656" s="691"/>
      <c r="D8656" s="3"/>
    </row>
    <row r="8657" spans="1:4">
      <c r="A8657" s="691"/>
      <c r="D8657" s="3"/>
    </row>
    <row r="8658" spans="1:4">
      <c r="A8658" s="691"/>
      <c r="D8658" s="3"/>
    </row>
    <row r="8659" spans="1:4">
      <c r="A8659" s="691"/>
      <c r="D8659" s="3"/>
    </row>
    <row r="8660" spans="1:4">
      <c r="A8660" s="691"/>
      <c r="D8660" s="3"/>
    </row>
    <row r="8661" spans="1:4">
      <c r="A8661" s="691"/>
      <c r="D8661" s="3"/>
    </row>
    <row r="8662" spans="1:4">
      <c r="A8662" s="691"/>
      <c r="D8662" s="3"/>
    </row>
    <row r="8663" spans="1:4">
      <c r="A8663" s="691"/>
      <c r="D8663" s="3"/>
    </row>
    <row r="8664" spans="1:4">
      <c r="A8664" s="691"/>
      <c r="D8664" s="3"/>
    </row>
    <row r="8665" spans="1:4">
      <c r="A8665" s="691"/>
      <c r="D8665" s="3"/>
    </row>
    <row r="8666" spans="1:4">
      <c r="A8666" s="691"/>
      <c r="D8666" s="3"/>
    </row>
    <row r="8667" spans="1:4">
      <c r="A8667" s="691"/>
      <c r="D8667" s="3"/>
    </row>
    <row r="8668" spans="1:4">
      <c r="A8668" s="691"/>
      <c r="D8668" s="3"/>
    </row>
    <row r="8669" spans="1:4">
      <c r="A8669" s="691"/>
      <c r="D8669" s="3"/>
    </row>
    <row r="8670" spans="1:4">
      <c r="A8670" s="691"/>
      <c r="D8670" s="3"/>
    </row>
    <row r="8671" spans="1:4">
      <c r="A8671" s="691"/>
      <c r="D8671" s="3"/>
    </row>
    <row r="8672" spans="1:4">
      <c r="A8672" s="691"/>
      <c r="D8672" s="3"/>
    </row>
    <row r="8673" spans="1:4">
      <c r="A8673" s="691"/>
      <c r="D8673" s="3"/>
    </row>
    <row r="8674" spans="1:4">
      <c r="A8674" s="691"/>
      <c r="D8674" s="3"/>
    </row>
    <row r="8675" spans="1:4">
      <c r="A8675" s="691"/>
      <c r="D8675" s="3"/>
    </row>
    <row r="8676" spans="1:4">
      <c r="A8676" s="691"/>
      <c r="D8676" s="3"/>
    </row>
    <row r="8677" spans="1:4">
      <c r="A8677" s="691"/>
      <c r="D8677" s="3"/>
    </row>
    <row r="8678" spans="1:4">
      <c r="A8678" s="691"/>
      <c r="D8678" s="3"/>
    </row>
    <row r="8679" spans="1:4">
      <c r="A8679" s="691"/>
      <c r="D8679" s="3"/>
    </row>
    <row r="8680" spans="1:4">
      <c r="A8680" s="691"/>
      <c r="D8680" s="3"/>
    </row>
    <row r="8681" spans="1:4">
      <c r="A8681" s="691"/>
      <c r="D8681" s="3"/>
    </row>
    <row r="8682" spans="1:4">
      <c r="A8682" s="691"/>
      <c r="D8682" s="3"/>
    </row>
    <row r="8683" spans="1:4">
      <c r="A8683" s="691"/>
      <c r="D8683" s="3"/>
    </row>
    <row r="8684" spans="1:4">
      <c r="A8684" s="691"/>
      <c r="D8684" s="3"/>
    </row>
    <row r="8685" spans="1:4">
      <c r="A8685" s="691"/>
      <c r="D8685" s="3"/>
    </row>
    <row r="8686" spans="1:4">
      <c r="A8686" s="691"/>
      <c r="D8686" s="3"/>
    </row>
    <row r="8687" spans="1:4">
      <c r="A8687" s="691"/>
      <c r="D8687" s="3"/>
    </row>
    <row r="8688" spans="1:4">
      <c r="A8688" s="691"/>
      <c r="D8688" s="3"/>
    </row>
    <row r="8689" spans="1:4">
      <c r="A8689" s="691"/>
      <c r="D8689" s="3"/>
    </row>
    <row r="8690" spans="1:4">
      <c r="A8690" s="691"/>
      <c r="D8690" s="3"/>
    </row>
    <row r="8691" spans="1:4">
      <c r="A8691" s="691"/>
      <c r="D8691" s="3"/>
    </row>
    <row r="8692" spans="1:4">
      <c r="A8692" s="691"/>
      <c r="D8692" s="3"/>
    </row>
    <row r="8693" spans="1:4">
      <c r="A8693" s="691"/>
      <c r="D8693" s="3"/>
    </row>
    <row r="8694" spans="1:4">
      <c r="A8694" s="691"/>
      <c r="D8694" s="3"/>
    </row>
    <row r="8695" spans="1:4">
      <c r="A8695" s="691"/>
      <c r="D8695" s="3"/>
    </row>
    <row r="8696" spans="1:4">
      <c r="A8696" s="691"/>
      <c r="D8696" s="3"/>
    </row>
    <row r="8697" spans="1:4">
      <c r="A8697" s="691"/>
      <c r="D8697" s="3"/>
    </row>
    <row r="8698" spans="1:4">
      <c r="A8698" s="691"/>
      <c r="D8698" s="3"/>
    </row>
    <row r="8699" spans="1:4">
      <c r="A8699" s="691"/>
      <c r="D8699" s="3"/>
    </row>
    <row r="8700" spans="1:4">
      <c r="A8700" s="691"/>
      <c r="D8700" s="3"/>
    </row>
    <row r="8701" spans="1:4">
      <c r="A8701" s="691"/>
      <c r="D8701" s="3"/>
    </row>
    <row r="8702" spans="1:4">
      <c r="A8702" s="691"/>
      <c r="D8702" s="3"/>
    </row>
    <row r="8703" spans="1:4">
      <c r="A8703" s="691"/>
      <c r="D8703" s="3"/>
    </row>
    <row r="8704" spans="1:4">
      <c r="A8704" s="691"/>
      <c r="D8704" s="3"/>
    </row>
    <row r="8705" spans="1:4">
      <c r="A8705" s="691"/>
      <c r="D8705" s="3"/>
    </row>
    <row r="8706" spans="1:4">
      <c r="A8706" s="691"/>
      <c r="D8706" s="3"/>
    </row>
    <row r="8707" spans="1:4">
      <c r="A8707" s="691"/>
      <c r="D8707" s="3"/>
    </row>
    <row r="8708" spans="1:4">
      <c r="A8708" s="691"/>
      <c r="D8708" s="3"/>
    </row>
    <row r="8709" spans="1:4">
      <c r="A8709" s="691"/>
      <c r="D8709" s="3"/>
    </row>
    <row r="8710" spans="1:4">
      <c r="A8710" s="691"/>
      <c r="D8710" s="3"/>
    </row>
    <row r="8711" spans="1:4">
      <c r="A8711" s="691"/>
      <c r="D8711" s="3"/>
    </row>
    <row r="8712" spans="1:4">
      <c r="A8712" s="691"/>
      <c r="D8712" s="3"/>
    </row>
    <row r="8713" spans="1:4">
      <c r="A8713" s="691"/>
      <c r="D8713" s="3"/>
    </row>
    <row r="8714" spans="1:4">
      <c r="A8714" s="691"/>
      <c r="D8714" s="3"/>
    </row>
    <row r="8715" spans="1:4">
      <c r="A8715" s="691"/>
      <c r="D8715" s="3"/>
    </row>
    <row r="8716" spans="1:4">
      <c r="A8716" s="691"/>
      <c r="D8716" s="3"/>
    </row>
    <row r="8717" spans="1:4">
      <c r="A8717" s="691"/>
      <c r="D8717" s="3"/>
    </row>
    <row r="8718" spans="1:4">
      <c r="A8718" s="691"/>
      <c r="D8718" s="3"/>
    </row>
    <row r="8719" spans="1:4">
      <c r="A8719" s="691"/>
      <c r="D8719" s="3"/>
    </row>
    <row r="8720" spans="1:4">
      <c r="A8720" s="691"/>
      <c r="D8720" s="3"/>
    </row>
    <row r="8721" spans="1:4">
      <c r="A8721" s="691"/>
      <c r="D8721" s="3"/>
    </row>
    <row r="8722" spans="1:4">
      <c r="A8722" s="691"/>
      <c r="D8722" s="3"/>
    </row>
    <row r="8723" spans="1:4">
      <c r="A8723" s="691"/>
      <c r="D8723" s="3"/>
    </row>
    <row r="8724" spans="1:4">
      <c r="A8724" s="691"/>
      <c r="D8724" s="3"/>
    </row>
    <row r="8725" spans="1:4">
      <c r="A8725" s="691"/>
      <c r="D8725" s="3"/>
    </row>
    <row r="8726" spans="1:4">
      <c r="A8726" s="691"/>
      <c r="D8726" s="3"/>
    </row>
    <row r="8727" spans="1:4">
      <c r="A8727" s="691"/>
      <c r="D8727" s="3"/>
    </row>
    <row r="8728" spans="1:4">
      <c r="A8728" s="691"/>
      <c r="D8728" s="3"/>
    </row>
    <row r="8729" spans="1:4">
      <c r="A8729" s="691"/>
      <c r="D8729" s="3"/>
    </row>
    <row r="8730" spans="1:4">
      <c r="A8730" s="691"/>
      <c r="D8730" s="3"/>
    </row>
    <row r="8731" spans="1:4">
      <c r="A8731" s="691"/>
      <c r="D8731" s="3"/>
    </row>
    <row r="8732" spans="1:4">
      <c r="A8732" s="691"/>
      <c r="D8732" s="3"/>
    </row>
    <row r="8733" spans="1:4">
      <c r="A8733" s="691"/>
      <c r="D8733" s="3"/>
    </row>
    <row r="8734" spans="1:4">
      <c r="A8734" s="691"/>
      <c r="D8734" s="3"/>
    </row>
    <row r="8735" spans="1:4">
      <c r="A8735" s="691"/>
      <c r="D8735" s="3"/>
    </row>
    <row r="8736" spans="1:4">
      <c r="A8736" s="691"/>
      <c r="D8736" s="3"/>
    </row>
    <row r="8737" spans="1:4">
      <c r="A8737" s="691"/>
      <c r="D8737" s="3"/>
    </row>
    <row r="8738" spans="1:4">
      <c r="A8738" s="691"/>
      <c r="D8738" s="3"/>
    </row>
    <row r="8739" spans="1:4">
      <c r="A8739" s="691"/>
      <c r="D8739" s="3"/>
    </row>
    <row r="8740" spans="1:4">
      <c r="A8740" s="691"/>
      <c r="D8740" s="3"/>
    </row>
    <row r="8741" spans="1:4">
      <c r="A8741" s="691"/>
      <c r="D8741" s="3"/>
    </row>
    <row r="8742" spans="1:4">
      <c r="A8742" s="691"/>
      <c r="D8742" s="3"/>
    </row>
    <row r="8743" spans="1:4">
      <c r="A8743" s="691"/>
      <c r="D8743" s="3"/>
    </row>
    <row r="8744" spans="1:4">
      <c r="A8744" s="691"/>
      <c r="D8744" s="3"/>
    </row>
    <row r="8745" spans="1:4">
      <c r="A8745" s="691"/>
      <c r="D8745" s="3"/>
    </row>
    <row r="8746" spans="1:4">
      <c r="A8746" s="691"/>
      <c r="D8746" s="3"/>
    </row>
    <row r="8747" spans="1:4">
      <c r="A8747" s="691"/>
      <c r="D8747" s="3"/>
    </row>
    <row r="8748" spans="1:4">
      <c r="A8748" s="691"/>
      <c r="D8748" s="3"/>
    </row>
    <row r="8749" spans="1:4">
      <c r="A8749" s="691"/>
      <c r="D8749" s="3"/>
    </row>
    <row r="8750" spans="1:4">
      <c r="A8750" s="691"/>
      <c r="D8750" s="3"/>
    </row>
    <row r="8751" spans="1:4">
      <c r="A8751" s="691"/>
      <c r="D8751" s="3"/>
    </row>
    <row r="8752" spans="1:4">
      <c r="A8752" s="691"/>
      <c r="D8752" s="3"/>
    </row>
    <row r="8753" spans="1:4">
      <c r="A8753" s="691"/>
      <c r="D8753" s="3"/>
    </row>
    <row r="8754" spans="1:4">
      <c r="A8754" s="691"/>
      <c r="D8754" s="3"/>
    </row>
    <row r="8755" spans="1:4">
      <c r="A8755" s="691"/>
      <c r="D8755" s="3"/>
    </row>
    <row r="8756" spans="1:4">
      <c r="A8756" s="691"/>
      <c r="D8756" s="3"/>
    </row>
    <row r="8757" spans="1:4">
      <c r="A8757" s="691"/>
      <c r="D8757" s="3"/>
    </row>
    <row r="8758" spans="1:4">
      <c r="A8758" s="691"/>
      <c r="D8758" s="3"/>
    </row>
    <row r="8759" spans="1:4">
      <c r="A8759" s="691"/>
      <c r="D8759" s="3"/>
    </row>
    <row r="8760" spans="1:4">
      <c r="A8760" s="691"/>
      <c r="D8760" s="3"/>
    </row>
    <row r="8761" spans="1:4">
      <c r="A8761" s="691"/>
      <c r="D8761" s="3"/>
    </row>
    <row r="8762" spans="1:4">
      <c r="A8762" s="691"/>
      <c r="D8762" s="3"/>
    </row>
    <row r="8763" spans="1:4">
      <c r="A8763" s="691"/>
      <c r="D8763" s="3"/>
    </row>
    <row r="8764" spans="1:4">
      <c r="A8764" s="691"/>
      <c r="D8764" s="3"/>
    </row>
    <row r="8765" spans="1:4">
      <c r="A8765" s="691"/>
      <c r="D8765" s="3"/>
    </row>
    <row r="8766" spans="1:4">
      <c r="A8766" s="691"/>
      <c r="D8766" s="3"/>
    </row>
    <row r="8767" spans="1:4">
      <c r="A8767" s="691"/>
      <c r="D8767" s="3"/>
    </row>
    <row r="8768" spans="1:4">
      <c r="A8768" s="691"/>
      <c r="D8768" s="3"/>
    </row>
    <row r="8769" spans="1:4">
      <c r="A8769" s="691"/>
      <c r="D8769" s="3"/>
    </row>
    <row r="8770" spans="1:4">
      <c r="A8770" s="691"/>
      <c r="D8770" s="3"/>
    </row>
    <row r="8771" spans="1:4">
      <c r="A8771" s="691"/>
      <c r="D8771" s="3"/>
    </row>
    <row r="8772" spans="1:4">
      <c r="A8772" s="691"/>
      <c r="D8772" s="3"/>
    </row>
    <row r="8773" spans="1:4">
      <c r="A8773" s="691"/>
      <c r="D8773" s="3"/>
    </row>
    <row r="8774" spans="1:4">
      <c r="A8774" s="691"/>
      <c r="D8774" s="3"/>
    </row>
    <row r="8775" spans="1:4">
      <c r="A8775" s="691"/>
      <c r="D8775" s="3"/>
    </row>
    <row r="8776" spans="1:4">
      <c r="A8776" s="691"/>
      <c r="D8776" s="3"/>
    </row>
    <row r="8777" spans="1:4">
      <c r="A8777" s="691"/>
      <c r="D8777" s="3"/>
    </row>
    <row r="8778" spans="1:4">
      <c r="A8778" s="691"/>
      <c r="D8778" s="3"/>
    </row>
    <row r="8779" spans="1:4">
      <c r="A8779" s="691"/>
      <c r="D8779" s="3"/>
    </row>
    <row r="8780" spans="1:4">
      <c r="A8780" s="691"/>
      <c r="D8780" s="3"/>
    </row>
    <row r="8781" spans="1:4">
      <c r="A8781" s="691"/>
      <c r="D8781" s="3"/>
    </row>
    <row r="8782" spans="1:4">
      <c r="A8782" s="691"/>
      <c r="D8782" s="3"/>
    </row>
    <row r="8783" spans="1:4">
      <c r="A8783" s="691"/>
      <c r="D8783" s="3"/>
    </row>
    <row r="8784" spans="1:4">
      <c r="A8784" s="691"/>
      <c r="D8784" s="3"/>
    </row>
    <row r="8785" spans="1:4">
      <c r="A8785" s="691"/>
      <c r="D8785" s="3"/>
    </row>
    <row r="8786" spans="1:4">
      <c r="A8786" s="691"/>
      <c r="D8786" s="3"/>
    </row>
    <row r="8787" spans="1:4">
      <c r="A8787" s="691"/>
      <c r="D8787" s="3"/>
    </row>
    <row r="8788" spans="1:4">
      <c r="A8788" s="691"/>
      <c r="D8788" s="3"/>
    </row>
    <row r="8789" spans="1:4">
      <c r="A8789" s="691"/>
      <c r="D8789" s="3"/>
    </row>
    <row r="8790" spans="1:4">
      <c r="A8790" s="691"/>
      <c r="D8790" s="3"/>
    </row>
    <row r="8791" spans="1:4">
      <c r="A8791" s="691"/>
      <c r="D8791" s="3"/>
    </row>
    <row r="8792" spans="1:4">
      <c r="A8792" s="691"/>
      <c r="D8792" s="3"/>
    </row>
    <row r="8793" spans="1:4">
      <c r="A8793" s="691"/>
      <c r="D8793" s="3"/>
    </row>
    <row r="8794" spans="1:4">
      <c r="A8794" s="691"/>
      <c r="D8794" s="3"/>
    </row>
    <row r="8795" spans="1:4">
      <c r="A8795" s="691"/>
      <c r="D8795" s="3"/>
    </row>
    <row r="8796" spans="1:4">
      <c r="A8796" s="691"/>
      <c r="D8796" s="3"/>
    </row>
    <row r="8797" spans="1:4">
      <c r="A8797" s="691"/>
      <c r="D8797" s="3"/>
    </row>
    <row r="8798" spans="1:4">
      <c r="A8798" s="691"/>
      <c r="D8798" s="3"/>
    </row>
    <row r="8799" spans="1:4">
      <c r="A8799" s="691"/>
      <c r="D8799" s="3"/>
    </row>
    <row r="8800" spans="1:4">
      <c r="A8800" s="691"/>
      <c r="D8800" s="3"/>
    </row>
    <row r="8801" spans="1:4">
      <c r="A8801" s="691"/>
      <c r="D8801" s="3"/>
    </row>
    <row r="8802" spans="1:4">
      <c r="A8802" s="691"/>
      <c r="D8802" s="3"/>
    </row>
    <row r="8803" spans="1:4">
      <c r="A8803" s="691"/>
      <c r="D8803" s="3"/>
    </row>
    <row r="8804" spans="1:4">
      <c r="A8804" s="691"/>
      <c r="D8804" s="3"/>
    </row>
    <row r="8805" spans="1:4">
      <c r="A8805" s="691"/>
      <c r="D8805" s="3"/>
    </row>
    <row r="8806" spans="1:4">
      <c r="A8806" s="691"/>
      <c r="D8806" s="3"/>
    </row>
    <row r="8807" spans="1:4">
      <c r="A8807" s="691"/>
      <c r="D8807" s="3"/>
    </row>
    <row r="8808" spans="1:4">
      <c r="A8808" s="691"/>
      <c r="D8808" s="3"/>
    </row>
    <row r="8809" spans="1:4">
      <c r="A8809" s="691"/>
      <c r="D8809" s="3"/>
    </row>
    <row r="8810" spans="1:4">
      <c r="A8810" s="691"/>
      <c r="D8810" s="3"/>
    </row>
    <row r="8811" spans="1:4">
      <c r="A8811" s="691"/>
      <c r="D8811" s="3"/>
    </row>
    <row r="8812" spans="1:4">
      <c r="A8812" s="691"/>
      <c r="D8812" s="3"/>
    </row>
    <row r="8813" spans="1:4">
      <c r="A8813" s="691"/>
      <c r="D8813" s="3"/>
    </row>
    <row r="8814" spans="1:4">
      <c r="A8814" s="691"/>
      <c r="D8814" s="3"/>
    </row>
    <row r="8815" spans="1:4">
      <c r="A8815" s="691"/>
      <c r="D8815" s="3"/>
    </row>
    <row r="8816" spans="1:4">
      <c r="A8816" s="691"/>
      <c r="D8816" s="3"/>
    </row>
    <row r="8817" spans="1:4">
      <c r="A8817" s="691"/>
      <c r="D8817" s="3"/>
    </row>
    <row r="8818" spans="1:4">
      <c r="A8818" s="691"/>
      <c r="D8818" s="3"/>
    </row>
    <row r="8819" spans="1:4">
      <c r="A8819" s="691"/>
      <c r="D8819" s="3"/>
    </row>
    <row r="8820" spans="1:4">
      <c r="A8820" s="691"/>
      <c r="D8820" s="3"/>
    </row>
    <row r="8821" spans="1:4">
      <c r="A8821" s="691"/>
      <c r="D8821" s="3"/>
    </row>
    <row r="8822" spans="1:4">
      <c r="A8822" s="691"/>
      <c r="D8822" s="3"/>
    </row>
    <row r="8823" spans="1:4">
      <c r="A8823" s="691"/>
      <c r="D8823" s="3"/>
    </row>
    <row r="8824" spans="1:4">
      <c r="A8824" s="691"/>
      <c r="D8824" s="3"/>
    </row>
    <row r="8825" spans="1:4">
      <c r="A8825" s="691"/>
      <c r="D8825" s="3"/>
    </row>
    <row r="8826" spans="1:4">
      <c r="A8826" s="691"/>
      <c r="D8826" s="3"/>
    </row>
    <row r="8827" spans="1:4">
      <c r="A8827" s="691"/>
      <c r="D8827" s="3"/>
    </row>
    <row r="8828" spans="1:4">
      <c r="A8828" s="691"/>
      <c r="D8828" s="3"/>
    </row>
    <row r="8829" spans="1:4">
      <c r="A8829" s="691"/>
      <c r="D8829" s="3"/>
    </row>
    <row r="8830" spans="1:4">
      <c r="A8830" s="691"/>
      <c r="D8830" s="3"/>
    </row>
    <row r="8831" spans="1:4">
      <c r="A8831" s="691"/>
      <c r="D8831" s="3"/>
    </row>
    <row r="8832" spans="1:4">
      <c r="A8832" s="691"/>
      <c r="D8832" s="3"/>
    </row>
    <row r="8833" spans="1:4">
      <c r="A8833" s="691"/>
      <c r="D8833" s="3"/>
    </row>
    <row r="8834" spans="1:4">
      <c r="A8834" s="691"/>
      <c r="D8834" s="3"/>
    </row>
    <row r="8835" spans="1:4">
      <c r="A8835" s="691"/>
      <c r="D8835" s="3"/>
    </row>
    <row r="8836" spans="1:4">
      <c r="A8836" s="691"/>
      <c r="D8836" s="3"/>
    </row>
    <row r="8837" spans="1:4">
      <c r="A8837" s="691"/>
      <c r="D8837" s="3"/>
    </row>
    <row r="8838" spans="1:4">
      <c r="A8838" s="691"/>
      <c r="D8838" s="3"/>
    </row>
    <row r="8839" spans="1:4">
      <c r="A8839" s="691"/>
      <c r="D8839" s="3"/>
    </row>
    <row r="8840" spans="1:4">
      <c r="A8840" s="691"/>
      <c r="D8840" s="3"/>
    </row>
    <row r="8841" spans="1:4">
      <c r="A8841" s="691"/>
      <c r="D8841" s="3"/>
    </row>
    <row r="8842" spans="1:4">
      <c r="A8842" s="691"/>
      <c r="D8842" s="3"/>
    </row>
    <row r="8843" spans="1:4">
      <c r="A8843" s="691"/>
      <c r="D8843" s="3"/>
    </row>
    <row r="8844" spans="1:4">
      <c r="A8844" s="691"/>
      <c r="D8844" s="3"/>
    </row>
    <row r="8845" spans="1:4">
      <c r="A8845" s="691"/>
      <c r="D8845" s="3"/>
    </row>
    <row r="8846" spans="1:4">
      <c r="A8846" s="691"/>
      <c r="D8846" s="3"/>
    </row>
    <row r="8847" spans="1:4">
      <c r="A8847" s="691"/>
      <c r="D8847" s="3"/>
    </row>
    <row r="8848" spans="1:4">
      <c r="A8848" s="691"/>
      <c r="D8848" s="3"/>
    </row>
    <row r="8849" spans="1:4">
      <c r="A8849" s="691"/>
      <c r="D8849" s="3"/>
    </row>
    <row r="8850" spans="1:4">
      <c r="A8850" s="691"/>
      <c r="D8850" s="3"/>
    </row>
    <row r="8851" spans="1:4">
      <c r="A8851" s="691"/>
      <c r="D8851" s="3"/>
    </row>
    <row r="8852" spans="1:4">
      <c r="A8852" s="691"/>
      <c r="D8852" s="3"/>
    </row>
    <row r="8853" spans="1:4">
      <c r="A8853" s="691"/>
      <c r="D8853" s="3"/>
    </row>
    <row r="8854" spans="1:4">
      <c r="A8854" s="691"/>
      <c r="D8854" s="3"/>
    </row>
    <row r="8855" spans="1:4">
      <c r="A8855" s="691"/>
      <c r="D8855" s="3"/>
    </row>
    <row r="8856" spans="1:4">
      <c r="A8856" s="691"/>
      <c r="D8856" s="3"/>
    </row>
    <row r="8857" spans="1:4">
      <c r="A8857" s="691"/>
      <c r="D8857" s="3"/>
    </row>
    <row r="8858" spans="1:4">
      <c r="A8858" s="691"/>
      <c r="D8858" s="3"/>
    </row>
    <row r="8859" spans="1:4">
      <c r="A8859" s="691"/>
      <c r="D8859" s="3"/>
    </row>
    <row r="8860" spans="1:4">
      <c r="A8860" s="691"/>
      <c r="D8860" s="3"/>
    </row>
    <row r="8861" spans="1:4">
      <c r="A8861" s="691"/>
      <c r="D8861" s="3"/>
    </row>
    <row r="8862" spans="1:4">
      <c r="A8862" s="691"/>
      <c r="D8862" s="3"/>
    </row>
    <row r="8863" spans="1:4">
      <c r="A8863" s="691"/>
      <c r="D8863" s="3"/>
    </row>
    <row r="8864" spans="1:4">
      <c r="A8864" s="691"/>
      <c r="D8864" s="3"/>
    </row>
    <row r="8865" spans="1:4">
      <c r="A8865" s="691"/>
      <c r="D8865" s="3"/>
    </row>
    <row r="8866" spans="1:4">
      <c r="A8866" s="691"/>
      <c r="D8866" s="3"/>
    </row>
    <row r="8867" spans="1:4">
      <c r="A8867" s="691"/>
      <c r="D8867" s="3"/>
    </row>
    <row r="8868" spans="1:4">
      <c r="A8868" s="691"/>
      <c r="D8868" s="3"/>
    </row>
    <row r="8869" spans="1:4">
      <c r="A8869" s="691"/>
      <c r="D8869" s="3"/>
    </row>
    <row r="8870" spans="1:4">
      <c r="A8870" s="691"/>
      <c r="D8870" s="3"/>
    </row>
    <row r="8871" spans="1:4">
      <c r="A8871" s="691"/>
      <c r="D8871" s="3"/>
    </row>
    <row r="8872" spans="1:4">
      <c r="A8872" s="691"/>
      <c r="D8872" s="3"/>
    </row>
    <row r="8873" spans="1:4">
      <c r="A8873" s="691"/>
      <c r="D8873" s="3"/>
    </row>
    <row r="8874" spans="1:4">
      <c r="A8874" s="691"/>
      <c r="D8874" s="3"/>
    </row>
    <row r="8875" spans="1:4">
      <c r="A8875" s="691"/>
      <c r="D8875" s="3"/>
    </row>
    <row r="8876" spans="1:4">
      <c r="A8876" s="691"/>
      <c r="D8876" s="3"/>
    </row>
    <row r="8877" spans="1:4">
      <c r="A8877" s="691"/>
      <c r="D8877" s="3"/>
    </row>
    <row r="8878" spans="1:4">
      <c r="A8878" s="691"/>
      <c r="D8878" s="3"/>
    </row>
    <row r="8879" spans="1:4">
      <c r="A8879" s="691"/>
      <c r="D8879" s="3"/>
    </row>
    <row r="8880" spans="1:4">
      <c r="A8880" s="691"/>
      <c r="D8880" s="3"/>
    </row>
    <row r="8881" spans="1:4">
      <c r="A8881" s="691"/>
      <c r="D8881" s="3"/>
    </row>
    <row r="8882" spans="1:4">
      <c r="A8882" s="691"/>
      <c r="D8882" s="3"/>
    </row>
    <row r="8883" spans="1:4">
      <c r="A8883" s="691"/>
      <c r="D8883" s="3"/>
    </row>
    <row r="8884" spans="1:4">
      <c r="A8884" s="691"/>
      <c r="D8884" s="3"/>
    </row>
    <row r="8885" spans="1:4">
      <c r="A8885" s="691"/>
      <c r="D8885" s="3"/>
    </row>
    <row r="8886" spans="1:4">
      <c r="A8886" s="691"/>
      <c r="D8886" s="3"/>
    </row>
    <row r="8887" spans="1:4">
      <c r="A8887" s="691"/>
      <c r="D8887" s="3"/>
    </row>
    <row r="8888" spans="1:4">
      <c r="A8888" s="691"/>
      <c r="D8888" s="3"/>
    </row>
    <row r="8889" spans="1:4">
      <c r="A8889" s="691"/>
      <c r="D8889" s="3"/>
    </row>
    <row r="8890" spans="1:4">
      <c r="A8890" s="691"/>
      <c r="D8890" s="3"/>
    </row>
    <row r="8891" spans="1:4">
      <c r="A8891" s="691"/>
      <c r="D8891" s="3"/>
    </row>
    <row r="8892" spans="1:4">
      <c r="A8892" s="691"/>
      <c r="D8892" s="3"/>
    </row>
    <row r="8893" spans="1:4">
      <c r="A8893" s="691"/>
      <c r="D8893" s="3"/>
    </row>
    <row r="8894" spans="1:4">
      <c r="A8894" s="691"/>
      <c r="D8894" s="3"/>
    </row>
    <row r="8895" spans="1:4">
      <c r="A8895" s="691"/>
      <c r="D8895" s="3"/>
    </row>
    <row r="8896" spans="1:4">
      <c r="A8896" s="691"/>
      <c r="D8896" s="3"/>
    </row>
    <row r="8897" spans="1:4">
      <c r="A8897" s="691"/>
      <c r="D8897" s="3"/>
    </row>
    <row r="8898" spans="1:4">
      <c r="A8898" s="691"/>
      <c r="D8898" s="3"/>
    </row>
    <row r="8899" spans="1:4">
      <c r="A8899" s="691"/>
      <c r="D8899" s="3"/>
    </row>
    <row r="8900" spans="1:4">
      <c r="A8900" s="691"/>
      <c r="D8900" s="3"/>
    </row>
    <row r="8901" spans="1:4">
      <c r="A8901" s="691"/>
      <c r="D8901" s="3"/>
    </row>
    <row r="8902" spans="1:4">
      <c r="A8902" s="691"/>
      <c r="D8902" s="3"/>
    </row>
    <row r="8903" spans="1:4">
      <c r="A8903" s="691"/>
      <c r="D8903" s="3"/>
    </row>
    <row r="8904" spans="1:4">
      <c r="A8904" s="691"/>
      <c r="D8904" s="3"/>
    </row>
    <row r="8905" spans="1:4">
      <c r="A8905" s="691"/>
      <c r="D8905" s="3"/>
    </row>
    <row r="8906" spans="1:4">
      <c r="A8906" s="691"/>
      <c r="D8906" s="3"/>
    </row>
    <row r="8907" spans="1:4">
      <c r="A8907" s="691"/>
      <c r="D8907" s="3"/>
    </row>
    <row r="8908" spans="1:4">
      <c r="A8908" s="691"/>
      <c r="D8908" s="3"/>
    </row>
    <row r="8909" spans="1:4">
      <c r="A8909" s="691"/>
      <c r="D8909" s="3"/>
    </row>
    <row r="8910" spans="1:4">
      <c r="A8910" s="691"/>
      <c r="D8910" s="3"/>
    </row>
    <row r="8911" spans="1:4">
      <c r="A8911" s="691"/>
      <c r="D8911" s="3"/>
    </row>
    <row r="8912" spans="1:4">
      <c r="A8912" s="691"/>
      <c r="D8912" s="3"/>
    </row>
    <row r="8913" spans="1:4">
      <c r="A8913" s="691"/>
      <c r="D8913" s="3"/>
    </row>
    <row r="8914" spans="1:4">
      <c r="A8914" s="691"/>
      <c r="D8914" s="3"/>
    </row>
    <row r="8915" spans="1:4">
      <c r="A8915" s="691"/>
      <c r="D8915" s="3"/>
    </row>
    <row r="8916" spans="1:4">
      <c r="A8916" s="691"/>
      <c r="D8916" s="3"/>
    </row>
    <row r="8917" spans="1:4">
      <c r="A8917" s="691"/>
      <c r="D8917" s="3"/>
    </row>
    <row r="8918" spans="1:4">
      <c r="A8918" s="691"/>
      <c r="D8918" s="3"/>
    </row>
    <row r="8919" spans="1:4">
      <c r="A8919" s="691"/>
      <c r="D8919" s="3"/>
    </row>
    <row r="8920" spans="1:4">
      <c r="A8920" s="691"/>
      <c r="D8920" s="3"/>
    </row>
    <row r="8921" spans="1:4">
      <c r="A8921" s="691"/>
      <c r="D8921" s="3"/>
    </row>
    <row r="8922" spans="1:4">
      <c r="A8922" s="691"/>
      <c r="D8922" s="3"/>
    </row>
    <row r="8923" spans="1:4">
      <c r="A8923" s="691"/>
      <c r="D8923" s="3"/>
    </row>
    <row r="8924" spans="1:4">
      <c r="A8924" s="691"/>
      <c r="D8924" s="3"/>
    </row>
    <row r="8925" spans="1:4">
      <c r="A8925" s="691"/>
      <c r="D8925" s="3"/>
    </row>
    <row r="8926" spans="1:4">
      <c r="A8926" s="691"/>
      <c r="D8926" s="3"/>
    </row>
    <row r="8927" spans="1:4">
      <c r="A8927" s="691"/>
      <c r="D8927" s="3"/>
    </row>
    <row r="8928" spans="1:4">
      <c r="A8928" s="691"/>
      <c r="D8928" s="3"/>
    </row>
    <row r="8929" spans="1:4">
      <c r="A8929" s="691"/>
      <c r="D8929" s="3"/>
    </row>
    <row r="8930" spans="1:4">
      <c r="A8930" s="691"/>
      <c r="D8930" s="3"/>
    </row>
    <row r="8931" spans="1:4">
      <c r="A8931" s="691"/>
      <c r="D8931" s="3"/>
    </row>
    <row r="8932" spans="1:4">
      <c r="A8932" s="691"/>
      <c r="D8932" s="3"/>
    </row>
    <row r="8933" spans="1:4">
      <c r="A8933" s="691"/>
      <c r="D8933" s="3"/>
    </row>
    <row r="8934" spans="1:4">
      <c r="A8934" s="691"/>
      <c r="D8934" s="3"/>
    </row>
    <row r="8935" spans="1:4">
      <c r="A8935" s="691"/>
      <c r="D8935" s="3"/>
    </row>
    <row r="8936" spans="1:4">
      <c r="A8936" s="691"/>
      <c r="D8936" s="3"/>
    </row>
    <row r="8937" spans="1:4">
      <c r="A8937" s="691"/>
      <c r="D8937" s="3"/>
    </row>
    <row r="8938" spans="1:4">
      <c r="A8938" s="691"/>
      <c r="D8938" s="3"/>
    </row>
    <row r="8939" spans="1:4">
      <c r="A8939" s="691"/>
      <c r="D8939" s="3"/>
    </row>
    <row r="8940" spans="1:4">
      <c r="A8940" s="691"/>
      <c r="D8940" s="3"/>
    </row>
    <row r="8941" spans="1:4">
      <c r="A8941" s="691"/>
      <c r="D8941" s="3"/>
    </row>
    <row r="8942" spans="1:4">
      <c r="A8942" s="691"/>
      <c r="D8942" s="3"/>
    </row>
    <row r="8943" spans="1:4">
      <c r="A8943" s="691"/>
      <c r="D8943" s="3"/>
    </row>
    <row r="8944" spans="1:4">
      <c r="A8944" s="691"/>
      <c r="D8944" s="3"/>
    </row>
    <row r="8945" spans="1:4">
      <c r="A8945" s="691"/>
      <c r="D8945" s="3"/>
    </row>
    <row r="8946" spans="1:4">
      <c r="A8946" s="691"/>
      <c r="D8946" s="3"/>
    </row>
    <row r="8947" spans="1:4">
      <c r="A8947" s="691"/>
      <c r="D8947" s="3"/>
    </row>
    <row r="8948" spans="1:4">
      <c r="A8948" s="691"/>
      <c r="D8948" s="3"/>
    </row>
    <row r="8949" spans="1:4">
      <c r="A8949" s="691"/>
      <c r="D8949" s="3"/>
    </row>
    <row r="8950" spans="1:4">
      <c r="A8950" s="691"/>
      <c r="D8950" s="3"/>
    </row>
    <row r="8951" spans="1:4">
      <c r="A8951" s="691"/>
      <c r="D8951" s="3"/>
    </row>
    <row r="8952" spans="1:4">
      <c r="A8952" s="691"/>
      <c r="D8952" s="3"/>
    </row>
    <row r="8953" spans="1:4">
      <c r="A8953" s="691"/>
      <c r="D8953" s="3"/>
    </row>
    <row r="8954" spans="1:4">
      <c r="A8954" s="691"/>
      <c r="D8954" s="3"/>
    </row>
    <row r="8955" spans="1:4">
      <c r="A8955" s="691"/>
      <c r="D8955" s="3"/>
    </row>
    <row r="8956" spans="1:4">
      <c r="A8956" s="691"/>
      <c r="D8956" s="3"/>
    </row>
    <row r="8957" spans="1:4">
      <c r="A8957" s="691"/>
      <c r="D8957" s="3"/>
    </row>
    <row r="8958" spans="1:4">
      <c r="A8958" s="691"/>
      <c r="D8958" s="3"/>
    </row>
    <row r="8959" spans="1:4">
      <c r="A8959" s="691"/>
      <c r="D8959" s="3"/>
    </row>
    <row r="8960" spans="1:4">
      <c r="A8960" s="691"/>
      <c r="D8960" s="3"/>
    </row>
    <row r="8961" spans="1:4">
      <c r="A8961" s="691"/>
      <c r="D8961" s="3"/>
    </row>
    <row r="8962" spans="1:4">
      <c r="A8962" s="691"/>
      <c r="D8962" s="3"/>
    </row>
    <row r="8963" spans="1:4">
      <c r="A8963" s="691"/>
      <c r="D8963" s="3"/>
    </row>
    <row r="8964" spans="1:4">
      <c r="A8964" s="691"/>
      <c r="D8964" s="3"/>
    </row>
    <row r="8965" spans="1:4">
      <c r="A8965" s="691"/>
      <c r="D8965" s="3"/>
    </row>
    <row r="8966" spans="1:4">
      <c r="A8966" s="691"/>
      <c r="D8966" s="3"/>
    </row>
    <row r="8967" spans="1:4">
      <c r="A8967" s="691"/>
      <c r="D8967" s="3"/>
    </row>
    <row r="8968" spans="1:4">
      <c r="A8968" s="691"/>
      <c r="D8968" s="3"/>
    </row>
    <row r="8969" spans="1:4">
      <c r="A8969" s="691"/>
      <c r="D8969" s="3"/>
    </row>
    <row r="8970" spans="1:4">
      <c r="A8970" s="691"/>
      <c r="D8970" s="3"/>
    </row>
    <row r="8971" spans="1:4">
      <c r="A8971" s="691"/>
      <c r="D8971" s="3"/>
    </row>
    <row r="8972" spans="1:4">
      <c r="A8972" s="691"/>
      <c r="D8972" s="3"/>
    </row>
    <row r="8973" spans="1:4">
      <c r="A8973" s="691"/>
      <c r="D8973" s="3"/>
    </row>
    <row r="8974" spans="1:4">
      <c r="A8974" s="691"/>
      <c r="D8974" s="3"/>
    </row>
    <row r="8975" spans="1:4">
      <c r="A8975" s="691"/>
      <c r="D8975" s="3"/>
    </row>
    <row r="8976" spans="1:4">
      <c r="A8976" s="691"/>
      <c r="D8976" s="3"/>
    </row>
    <row r="8977" spans="1:4">
      <c r="A8977" s="691"/>
      <c r="D8977" s="3"/>
    </row>
    <row r="8978" spans="1:4">
      <c r="A8978" s="691"/>
      <c r="D8978" s="3"/>
    </row>
    <row r="8979" spans="1:4">
      <c r="A8979" s="691"/>
      <c r="D8979" s="3"/>
    </row>
    <row r="8980" spans="1:4">
      <c r="A8980" s="691"/>
      <c r="D8980" s="3"/>
    </row>
    <row r="8981" spans="1:4">
      <c r="A8981" s="691"/>
      <c r="D8981" s="3"/>
    </row>
    <row r="8982" spans="1:4">
      <c r="A8982" s="691"/>
      <c r="D8982" s="3"/>
    </row>
    <row r="8983" spans="1:4">
      <c r="A8983" s="691"/>
      <c r="D8983" s="3"/>
    </row>
    <row r="8984" spans="1:4">
      <c r="A8984" s="691"/>
      <c r="D8984" s="3"/>
    </row>
    <row r="8985" spans="1:4">
      <c r="A8985" s="691"/>
      <c r="D8985" s="3"/>
    </row>
    <row r="8986" spans="1:4">
      <c r="A8986" s="691"/>
      <c r="D8986" s="3"/>
    </row>
    <row r="8987" spans="1:4">
      <c r="A8987" s="691"/>
      <c r="D8987" s="3"/>
    </row>
    <row r="8988" spans="1:4">
      <c r="A8988" s="691"/>
      <c r="D8988" s="3"/>
    </row>
    <row r="8989" spans="1:4">
      <c r="A8989" s="691"/>
      <c r="D8989" s="3"/>
    </row>
    <row r="8990" spans="1:4">
      <c r="A8990" s="691"/>
      <c r="D8990" s="3"/>
    </row>
    <row r="8991" spans="1:4">
      <c r="A8991" s="691"/>
      <c r="D8991" s="3"/>
    </row>
    <row r="8992" spans="1:4">
      <c r="A8992" s="691"/>
      <c r="D8992" s="3"/>
    </row>
    <row r="8993" spans="1:4">
      <c r="A8993" s="691"/>
      <c r="D8993" s="3"/>
    </row>
    <row r="8994" spans="1:4">
      <c r="A8994" s="691"/>
      <c r="D8994" s="3"/>
    </row>
    <row r="8995" spans="1:4">
      <c r="A8995" s="691"/>
      <c r="D8995" s="3"/>
    </row>
    <row r="8996" spans="1:4">
      <c r="A8996" s="691"/>
      <c r="D8996" s="3"/>
    </row>
    <row r="8997" spans="1:4">
      <c r="A8997" s="691"/>
      <c r="D8997" s="3"/>
    </row>
    <row r="8998" spans="1:4">
      <c r="A8998" s="691"/>
      <c r="D8998" s="3"/>
    </row>
    <row r="8999" spans="1:4">
      <c r="A8999" s="691"/>
      <c r="D8999" s="3"/>
    </row>
    <row r="9000" spans="1:4">
      <c r="A9000" s="691"/>
      <c r="D9000" s="3"/>
    </row>
    <row r="9001" spans="1:4">
      <c r="A9001" s="691"/>
      <c r="D9001" s="3"/>
    </row>
    <row r="9002" spans="1:4">
      <c r="A9002" s="691"/>
      <c r="D9002" s="3"/>
    </row>
    <row r="9003" spans="1:4">
      <c r="A9003" s="691"/>
      <c r="D9003" s="3"/>
    </row>
    <row r="9004" spans="1:4">
      <c r="A9004" s="691"/>
      <c r="D9004" s="3"/>
    </row>
    <row r="9005" spans="1:4">
      <c r="A9005" s="691"/>
      <c r="D9005" s="3"/>
    </row>
    <row r="9006" spans="1:4">
      <c r="A9006" s="691"/>
      <c r="D9006" s="3"/>
    </row>
    <row r="9007" spans="1:4">
      <c r="A9007" s="691"/>
      <c r="D9007" s="3"/>
    </row>
    <row r="9008" spans="1:4">
      <c r="A9008" s="691"/>
      <c r="D9008" s="3"/>
    </row>
    <row r="9009" spans="1:4">
      <c r="A9009" s="691"/>
      <c r="D9009" s="3"/>
    </row>
    <row r="9010" spans="1:4">
      <c r="A9010" s="691"/>
      <c r="D9010" s="3"/>
    </row>
    <row r="9011" spans="1:4">
      <c r="A9011" s="691"/>
      <c r="D9011" s="3"/>
    </row>
    <row r="9012" spans="1:4">
      <c r="A9012" s="691"/>
      <c r="D9012" s="3"/>
    </row>
    <row r="9013" spans="1:4">
      <c r="A9013" s="691"/>
      <c r="D9013" s="3"/>
    </row>
    <row r="9014" spans="1:4">
      <c r="A9014" s="691"/>
      <c r="D9014" s="3"/>
    </row>
    <row r="9015" spans="1:4">
      <c r="A9015" s="691"/>
      <c r="D9015" s="3"/>
    </row>
    <row r="9016" spans="1:4">
      <c r="A9016" s="691"/>
      <c r="D9016" s="3"/>
    </row>
    <row r="9017" spans="1:4">
      <c r="A9017" s="691"/>
      <c r="D9017" s="3"/>
    </row>
    <row r="9018" spans="1:4">
      <c r="A9018" s="691"/>
      <c r="D9018" s="3"/>
    </row>
    <row r="9019" spans="1:4">
      <c r="A9019" s="691"/>
      <c r="D9019" s="3"/>
    </row>
    <row r="9020" spans="1:4">
      <c r="A9020" s="691"/>
      <c r="D9020" s="3"/>
    </row>
    <row r="9021" spans="1:4">
      <c r="A9021" s="691"/>
      <c r="D9021" s="3"/>
    </row>
    <row r="9022" spans="1:4">
      <c r="A9022" s="691"/>
      <c r="D9022" s="3"/>
    </row>
    <row r="9023" spans="1:4">
      <c r="A9023" s="691"/>
      <c r="D9023" s="3"/>
    </row>
    <row r="9024" spans="1:4">
      <c r="A9024" s="691"/>
      <c r="D9024" s="3"/>
    </row>
    <row r="9025" spans="1:4">
      <c r="A9025" s="691"/>
      <c r="D9025" s="3"/>
    </row>
    <row r="9026" spans="1:4">
      <c r="A9026" s="691"/>
      <c r="D9026" s="3"/>
    </row>
    <row r="9027" spans="1:4">
      <c r="A9027" s="691"/>
      <c r="D9027" s="3"/>
    </row>
    <row r="9028" spans="1:4">
      <c r="A9028" s="691"/>
      <c r="D9028" s="3"/>
    </row>
    <row r="9029" spans="1:4">
      <c r="A9029" s="691"/>
      <c r="D9029" s="3"/>
    </row>
    <row r="9030" spans="1:4">
      <c r="A9030" s="691"/>
      <c r="D9030" s="3"/>
    </row>
    <row r="9031" spans="1:4">
      <c r="A9031" s="691"/>
      <c r="D9031" s="3"/>
    </row>
    <row r="9032" spans="1:4">
      <c r="A9032" s="691"/>
      <c r="D9032" s="3"/>
    </row>
    <row r="9033" spans="1:4">
      <c r="A9033" s="691"/>
      <c r="D9033" s="3"/>
    </row>
    <row r="9034" spans="1:4">
      <c r="A9034" s="691"/>
      <c r="D9034" s="3"/>
    </row>
    <row r="9035" spans="1:4">
      <c r="A9035" s="691"/>
      <c r="D9035" s="3"/>
    </row>
    <row r="9036" spans="1:4">
      <c r="A9036" s="691"/>
      <c r="D9036" s="3"/>
    </row>
    <row r="9037" spans="1:4">
      <c r="A9037" s="691"/>
      <c r="D9037" s="3"/>
    </row>
    <row r="9038" spans="1:4">
      <c r="A9038" s="691"/>
      <c r="D9038" s="3"/>
    </row>
    <row r="9039" spans="1:4">
      <c r="A9039" s="691"/>
      <c r="D9039" s="3"/>
    </row>
    <row r="9040" spans="1:4">
      <c r="A9040" s="691"/>
      <c r="D9040" s="3"/>
    </row>
    <row r="9041" spans="1:4">
      <c r="A9041" s="691"/>
      <c r="D9041" s="3"/>
    </row>
    <row r="9042" spans="1:4">
      <c r="A9042" s="691"/>
      <c r="D9042" s="3"/>
    </row>
    <row r="9043" spans="1:4">
      <c r="A9043" s="691"/>
      <c r="D9043" s="3"/>
    </row>
    <row r="9044" spans="1:4">
      <c r="A9044" s="691"/>
      <c r="D9044" s="3"/>
    </row>
    <row r="9045" spans="1:4">
      <c r="A9045" s="691"/>
      <c r="D9045" s="3"/>
    </row>
    <row r="9046" spans="1:4">
      <c r="A9046" s="691"/>
      <c r="D9046" s="3"/>
    </row>
    <row r="9047" spans="1:4">
      <c r="A9047" s="691"/>
      <c r="D9047" s="3"/>
    </row>
    <row r="9048" spans="1:4">
      <c r="A9048" s="691"/>
      <c r="D9048" s="3"/>
    </row>
    <row r="9049" spans="1:4">
      <c r="A9049" s="691"/>
      <c r="D9049" s="3"/>
    </row>
    <row r="9050" spans="1:4">
      <c r="A9050" s="691"/>
      <c r="D9050" s="3"/>
    </row>
    <row r="9051" spans="1:4">
      <c r="A9051" s="691"/>
      <c r="D9051" s="3"/>
    </row>
    <row r="9052" spans="1:4">
      <c r="A9052" s="691"/>
      <c r="D9052" s="3"/>
    </row>
    <row r="9053" spans="1:4">
      <c r="A9053" s="691"/>
      <c r="D9053" s="3"/>
    </row>
    <row r="9054" spans="1:4">
      <c r="A9054" s="691"/>
      <c r="D9054" s="3"/>
    </row>
    <row r="9055" spans="1:4">
      <c r="A9055" s="691"/>
      <c r="D9055" s="3"/>
    </row>
    <row r="9056" spans="1:4">
      <c r="A9056" s="691"/>
      <c r="D9056" s="3"/>
    </row>
    <row r="9057" spans="1:4">
      <c r="A9057" s="691"/>
      <c r="D9057" s="3"/>
    </row>
    <row r="9058" spans="1:4">
      <c r="A9058" s="691"/>
      <c r="D9058" s="3"/>
    </row>
    <row r="9059" spans="1:4">
      <c r="A9059" s="691"/>
      <c r="D9059" s="3"/>
    </row>
    <row r="9060" spans="1:4">
      <c r="A9060" s="691"/>
      <c r="D9060" s="3"/>
    </row>
    <row r="9061" spans="1:4">
      <c r="A9061" s="691"/>
      <c r="D9061" s="3"/>
    </row>
    <row r="9062" spans="1:4">
      <c r="A9062" s="691"/>
      <c r="D9062" s="3"/>
    </row>
    <row r="9063" spans="1:4">
      <c r="A9063" s="691"/>
      <c r="D9063" s="3"/>
    </row>
    <row r="9064" spans="1:4">
      <c r="A9064" s="691"/>
      <c r="D9064" s="3"/>
    </row>
    <row r="9065" spans="1:4">
      <c r="A9065" s="691"/>
      <c r="D9065" s="3"/>
    </row>
    <row r="9066" spans="1:4">
      <c r="A9066" s="691"/>
      <c r="D9066" s="3"/>
    </row>
    <row r="9067" spans="1:4">
      <c r="A9067" s="691"/>
      <c r="D9067" s="3"/>
    </row>
    <row r="9068" spans="1:4">
      <c r="A9068" s="691"/>
      <c r="D9068" s="3"/>
    </row>
    <row r="9069" spans="1:4">
      <c r="A9069" s="691"/>
      <c r="D9069" s="3"/>
    </row>
    <row r="9070" spans="1:4">
      <c r="A9070" s="691"/>
      <c r="D9070" s="3"/>
    </row>
    <row r="9071" spans="1:4">
      <c r="A9071" s="691"/>
      <c r="D9071" s="3"/>
    </row>
    <row r="9072" spans="1:4">
      <c r="A9072" s="691"/>
      <c r="D9072" s="3"/>
    </row>
    <row r="9073" spans="1:4">
      <c r="A9073" s="691"/>
      <c r="D9073" s="3"/>
    </row>
    <row r="9074" spans="1:4">
      <c r="A9074" s="691"/>
      <c r="D9074" s="3"/>
    </row>
    <row r="9075" spans="1:4">
      <c r="A9075" s="691"/>
      <c r="D9075" s="3"/>
    </row>
    <row r="9076" spans="1:4">
      <c r="A9076" s="691"/>
      <c r="D9076" s="3"/>
    </row>
    <row r="9077" spans="1:4">
      <c r="A9077" s="691"/>
      <c r="D9077" s="3"/>
    </row>
    <row r="9078" spans="1:4">
      <c r="A9078" s="691"/>
      <c r="D9078" s="3"/>
    </row>
    <row r="9079" spans="1:4">
      <c r="A9079" s="691"/>
      <c r="D9079" s="3"/>
    </row>
    <row r="9080" spans="1:4">
      <c r="A9080" s="691"/>
      <c r="D9080" s="3"/>
    </row>
    <row r="9081" spans="1:4">
      <c r="A9081" s="691"/>
      <c r="D9081" s="3"/>
    </row>
    <row r="9082" spans="1:4">
      <c r="A9082" s="691"/>
      <c r="D9082" s="3"/>
    </row>
    <row r="9083" spans="1:4">
      <c r="A9083" s="691"/>
      <c r="D9083" s="3"/>
    </row>
    <row r="9084" spans="1:4">
      <c r="A9084" s="691"/>
      <c r="D9084" s="3"/>
    </row>
    <row r="9085" spans="1:4">
      <c r="A9085" s="691"/>
      <c r="D9085" s="3"/>
    </row>
    <row r="9086" spans="1:4">
      <c r="A9086" s="691"/>
      <c r="D9086" s="3"/>
    </row>
    <row r="9087" spans="1:4">
      <c r="A9087" s="691"/>
      <c r="D9087" s="3"/>
    </row>
    <row r="9088" spans="1:4">
      <c r="A9088" s="691"/>
      <c r="D9088" s="3"/>
    </row>
    <row r="9089" spans="1:4">
      <c r="A9089" s="691"/>
      <c r="D9089" s="3"/>
    </row>
    <row r="9090" spans="1:4">
      <c r="A9090" s="691"/>
      <c r="D9090" s="3"/>
    </row>
    <row r="9091" spans="1:4">
      <c r="A9091" s="691"/>
      <c r="D9091" s="3"/>
    </row>
    <row r="9092" spans="1:4">
      <c r="A9092" s="691"/>
      <c r="D9092" s="3"/>
    </row>
    <row r="9093" spans="1:4">
      <c r="A9093" s="691"/>
      <c r="D9093" s="3"/>
    </row>
    <row r="9094" spans="1:4">
      <c r="A9094" s="691"/>
      <c r="D9094" s="3"/>
    </row>
    <row r="9095" spans="1:4">
      <c r="A9095" s="691"/>
      <c r="D9095" s="3"/>
    </row>
    <row r="9096" spans="1:4">
      <c r="A9096" s="691"/>
      <c r="D9096" s="3"/>
    </row>
    <row r="9097" spans="1:4">
      <c r="A9097" s="691"/>
      <c r="D9097" s="3"/>
    </row>
    <row r="9098" spans="1:4">
      <c r="A9098" s="691"/>
      <c r="D9098" s="3"/>
    </row>
    <row r="9099" spans="1:4">
      <c r="A9099" s="691"/>
      <c r="D9099" s="3"/>
    </row>
    <row r="9100" spans="1:4">
      <c r="A9100" s="691"/>
      <c r="D9100" s="3"/>
    </row>
    <row r="9101" spans="1:4">
      <c r="A9101" s="691"/>
      <c r="D9101" s="3"/>
    </row>
    <row r="9102" spans="1:4">
      <c r="A9102" s="691"/>
      <c r="D9102" s="3"/>
    </row>
    <row r="9103" spans="1:4">
      <c r="A9103" s="691"/>
      <c r="D9103" s="3"/>
    </row>
    <row r="9104" spans="1:4">
      <c r="A9104" s="691"/>
      <c r="D9104" s="3"/>
    </row>
    <row r="9105" spans="1:4">
      <c r="A9105" s="691"/>
      <c r="D9105" s="3"/>
    </row>
    <row r="9106" spans="1:4">
      <c r="A9106" s="691"/>
      <c r="D9106" s="3"/>
    </row>
    <row r="9107" spans="1:4">
      <c r="A9107" s="691"/>
      <c r="D9107" s="3"/>
    </row>
    <row r="9108" spans="1:4">
      <c r="A9108" s="691"/>
      <c r="D9108" s="3"/>
    </row>
    <row r="9109" spans="1:4">
      <c r="A9109" s="691"/>
      <c r="D9109" s="3"/>
    </row>
    <row r="9110" spans="1:4">
      <c r="A9110" s="691"/>
      <c r="D9110" s="3"/>
    </row>
    <row r="9111" spans="1:4">
      <c r="A9111" s="691"/>
      <c r="D9111" s="3"/>
    </row>
    <row r="9112" spans="1:4">
      <c r="A9112" s="691"/>
      <c r="D9112" s="3"/>
    </row>
    <row r="9113" spans="1:4">
      <c r="A9113" s="691"/>
      <c r="D9113" s="3"/>
    </row>
    <row r="9114" spans="1:4">
      <c r="A9114" s="691"/>
      <c r="D9114" s="3"/>
    </row>
    <row r="9115" spans="1:4">
      <c r="A9115" s="691"/>
      <c r="D9115" s="3"/>
    </row>
    <row r="9116" spans="1:4">
      <c r="A9116" s="691"/>
      <c r="D9116" s="3"/>
    </row>
    <row r="9117" spans="1:4">
      <c r="A9117" s="691"/>
      <c r="D9117" s="3"/>
    </row>
    <row r="9118" spans="1:4">
      <c r="A9118" s="691"/>
      <c r="D9118" s="3"/>
    </row>
    <row r="9119" spans="1:4">
      <c r="A9119" s="691"/>
      <c r="D9119" s="3"/>
    </row>
    <row r="9120" spans="1:4">
      <c r="A9120" s="691"/>
      <c r="D9120" s="3"/>
    </row>
    <row r="9121" spans="1:4">
      <c r="A9121" s="691"/>
      <c r="D9121" s="3"/>
    </row>
    <row r="9122" spans="1:4">
      <c r="A9122" s="691"/>
      <c r="D9122" s="3"/>
    </row>
    <row r="9123" spans="1:4">
      <c r="A9123" s="691"/>
      <c r="D9123" s="3"/>
    </row>
    <row r="9124" spans="1:4">
      <c r="A9124" s="691"/>
      <c r="D9124" s="3"/>
    </row>
    <row r="9125" spans="1:4">
      <c r="A9125" s="691"/>
      <c r="D9125" s="3"/>
    </row>
    <row r="9126" spans="1:4">
      <c r="A9126" s="691"/>
      <c r="D9126" s="3"/>
    </row>
    <row r="9127" spans="1:4">
      <c r="A9127" s="691"/>
      <c r="D9127" s="3"/>
    </row>
    <row r="9128" spans="1:4">
      <c r="A9128" s="691"/>
      <c r="D9128" s="3"/>
    </row>
    <row r="9129" spans="1:4">
      <c r="A9129" s="691"/>
      <c r="D9129" s="3"/>
    </row>
    <row r="9130" spans="1:4">
      <c r="A9130" s="691"/>
      <c r="D9130" s="3"/>
    </row>
    <row r="9131" spans="1:4">
      <c r="A9131" s="691"/>
      <c r="D9131" s="3"/>
    </row>
    <row r="9132" spans="1:4">
      <c r="A9132" s="691"/>
      <c r="D9132" s="3"/>
    </row>
    <row r="9133" spans="1:4">
      <c r="A9133" s="691"/>
      <c r="D9133" s="3"/>
    </row>
    <row r="9134" spans="1:4">
      <c r="A9134" s="691"/>
      <c r="D9134" s="3"/>
    </row>
    <row r="9135" spans="1:4">
      <c r="A9135" s="691"/>
      <c r="D9135" s="3"/>
    </row>
    <row r="9136" spans="1:4">
      <c r="A9136" s="691"/>
      <c r="D9136" s="3"/>
    </row>
    <row r="9137" spans="1:4">
      <c r="A9137" s="691"/>
      <c r="D9137" s="3"/>
    </row>
    <row r="9138" spans="1:4">
      <c r="A9138" s="691"/>
      <c r="D9138" s="3"/>
    </row>
    <row r="9139" spans="1:4">
      <c r="A9139" s="691"/>
      <c r="D9139" s="3"/>
    </row>
    <row r="9140" spans="1:4">
      <c r="A9140" s="691"/>
      <c r="D9140" s="3"/>
    </row>
    <row r="9141" spans="1:4">
      <c r="A9141" s="691"/>
      <c r="D9141" s="3"/>
    </row>
    <row r="9142" spans="1:4">
      <c r="A9142" s="691"/>
      <c r="D9142" s="3"/>
    </row>
    <row r="9143" spans="1:4">
      <c r="A9143" s="691"/>
      <c r="D9143" s="3"/>
    </row>
    <row r="9144" spans="1:4">
      <c r="A9144" s="691"/>
      <c r="D9144" s="3"/>
    </row>
    <row r="9145" spans="1:4">
      <c r="A9145" s="691"/>
      <c r="D9145" s="3"/>
    </row>
    <row r="9146" spans="1:4">
      <c r="A9146" s="691"/>
      <c r="D9146" s="3"/>
    </row>
    <row r="9147" spans="1:4">
      <c r="A9147" s="691"/>
      <c r="D9147" s="3"/>
    </row>
    <row r="9148" spans="1:4">
      <c r="A9148" s="691"/>
      <c r="D9148" s="3"/>
    </row>
    <row r="9149" spans="1:4">
      <c r="A9149" s="691"/>
      <c r="D9149" s="3"/>
    </row>
    <row r="9150" spans="1:4">
      <c r="A9150" s="691"/>
      <c r="D9150" s="3"/>
    </row>
    <row r="9151" spans="1:4">
      <c r="A9151" s="691"/>
      <c r="D9151" s="3"/>
    </row>
    <row r="9152" spans="1:4">
      <c r="A9152" s="691"/>
      <c r="D9152" s="3"/>
    </row>
    <row r="9153" spans="1:4">
      <c r="A9153" s="691"/>
      <c r="D9153" s="3"/>
    </row>
    <row r="9154" spans="1:4">
      <c r="A9154" s="691"/>
      <c r="D9154" s="3"/>
    </row>
    <row r="9155" spans="1:4">
      <c r="A9155" s="691"/>
      <c r="D9155" s="3"/>
    </row>
    <row r="9156" spans="1:4">
      <c r="A9156" s="691"/>
      <c r="D9156" s="3"/>
    </row>
    <row r="9157" spans="1:4">
      <c r="A9157" s="691"/>
      <c r="D9157" s="3"/>
    </row>
    <row r="9158" spans="1:4">
      <c r="A9158" s="691"/>
      <c r="D9158" s="3"/>
    </row>
    <row r="9159" spans="1:4">
      <c r="A9159" s="691"/>
      <c r="D9159" s="3"/>
    </row>
    <row r="9160" spans="1:4">
      <c r="A9160" s="691"/>
      <c r="D9160" s="3"/>
    </row>
    <row r="9161" spans="1:4">
      <c r="A9161" s="691"/>
      <c r="D9161" s="3"/>
    </row>
    <row r="9162" spans="1:4">
      <c r="A9162" s="691"/>
      <c r="D9162" s="3"/>
    </row>
    <row r="9163" spans="1:4">
      <c r="A9163" s="691"/>
      <c r="D9163" s="3"/>
    </row>
    <row r="9164" spans="1:4">
      <c r="A9164" s="691"/>
      <c r="D9164" s="3"/>
    </row>
    <row r="9165" spans="1:4">
      <c r="A9165" s="691"/>
      <c r="D9165" s="3"/>
    </row>
    <row r="9166" spans="1:4">
      <c r="A9166" s="691"/>
      <c r="D9166" s="3"/>
    </row>
    <row r="9167" spans="1:4">
      <c r="A9167" s="691"/>
      <c r="D9167" s="3"/>
    </row>
    <row r="9168" spans="1:4">
      <c r="A9168" s="691"/>
      <c r="D9168" s="3"/>
    </row>
    <row r="9169" spans="1:4">
      <c r="A9169" s="691"/>
      <c r="D9169" s="3"/>
    </row>
    <row r="9170" spans="1:4">
      <c r="A9170" s="691"/>
      <c r="D9170" s="3"/>
    </row>
    <row r="9171" spans="1:4">
      <c r="A9171" s="691"/>
      <c r="D9171" s="3"/>
    </row>
    <row r="9172" spans="1:4">
      <c r="A9172" s="691"/>
      <c r="D9172" s="3"/>
    </row>
    <row r="9173" spans="1:4">
      <c r="A9173" s="691"/>
      <c r="D9173" s="3"/>
    </row>
    <row r="9174" spans="1:4">
      <c r="A9174" s="691"/>
      <c r="D9174" s="3"/>
    </row>
    <row r="9175" spans="1:4">
      <c r="A9175" s="691"/>
      <c r="D9175" s="3"/>
    </row>
    <row r="9176" spans="1:4">
      <c r="A9176" s="691"/>
      <c r="D9176" s="3"/>
    </row>
    <row r="9177" spans="1:4">
      <c r="A9177" s="691"/>
      <c r="D9177" s="3"/>
    </row>
    <row r="9178" spans="1:4">
      <c r="A9178" s="691"/>
      <c r="D9178" s="3"/>
    </row>
    <row r="9179" spans="1:4">
      <c r="A9179" s="691"/>
      <c r="D9179" s="3"/>
    </row>
    <row r="9180" spans="1:4">
      <c r="A9180" s="691"/>
      <c r="D9180" s="3"/>
    </row>
    <row r="9181" spans="1:4">
      <c r="A9181" s="691"/>
      <c r="D9181" s="3"/>
    </row>
    <row r="9182" spans="1:4">
      <c r="A9182" s="691"/>
      <c r="D9182" s="3"/>
    </row>
    <row r="9183" spans="1:4">
      <c r="A9183" s="691"/>
      <c r="D9183" s="3"/>
    </row>
    <row r="9184" spans="1:4">
      <c r="A9184" s="691"/>
      <c r="D9184" s="3"/>
    </row>
    <row r="9185" spans="1:4">
      <c r="A9185" s="691"/>
      <c r="D9185" s="3"/>
    </row>
    <row r="9186" spans="1:4">
      <c r="A9186" s="691"/>
      <c r="D9186" s="3"/>
    </row>
    <row r="9187" spans="1:4">
      <c r="A9187" s="691"/>
      <c r="D9187" s="3"/>
    </row>
    <row r="9188" spans="1:4">
      <c r="A9188" s="691"/>
      <c r="D9188" s="3"/>
    </row>
    <row r="9189" spans="1:4">
      <c r="A9189" s="691"/>
      <c r="D9189" s="3"/>
    </row>
    <row r="9190" spans="1:4">
      <c r="A9190" s="691"/>
      <c r="D9190" s="3"/>
    </row>
    <row r="9191" spans="1:4">
      <c r="A9191" s="691"/>
      <c r="D9191" s="3"/>
    </row>
    <row r="9192" spans="1:4">
      <c r="A9192" s="691"/>
      <c r="D9192" s="3"/>
    </row>
    <row r="9193" spans="1:4">
      <c r="A9193" s="691"/>
      <c r="D9193" s="3"/>
    </row>
    <row r="9194" spans="1:4">
      <c r="A9194" s="691"/>
      <c r="D9194" s="3"/>
    </row>
    <row r="9195" spans="1:4">
      <c r="A9195" s="691"/>
      <c r="D9195" s="3"/>
    </row>
    <row r="9196" spans="1:4">
      <c r="A9196" s="691"/>
      <c r="D9196" s="3"/>
    </row>
    <row r="9197" spans="1:4">
      <c r="A9197" s="691"/>
      <c r="D9197" s="3"/>
    </row>
    <row r="9198" spans="1:4">
      <c r="A9198" s="691"/>
      <c r="D9198" s="3"/>
    </row>
    <row r="9199" spans="1:4">
      <c r="A9199" s="691"/>
      <c r="D9199" s="3"/>
    </row>
    <row r="9200" spans="1:4">
      <c r="A9200" s="691"/>
      <c r="D9200" s="3"/>
    </row>
    <row r="9201" spans="1:4">
      <c r="A9201" s="691"/>
      <c r="D9201" s="3"/>
    </row>
    <row r="9202" spans="1:4">
      <c r="A9202" s="691"/>
      <c r="D9202" s="3"/>
    </row>
    <row r="9203" spans="1:4">
      <c r="A9203" s="691"/>
      <c r="D9203" s="3"/>
    </row>
    <row r="9204" spans="1:4">
      <c r="A9204" s="691"/>
      <c r="D9204" s="3"/>
    </row>
    <row r="9205" spans="1:4">
      <c r="A9205" s="691"/>
      <c r="D9205" s="3"/>
    </row>
    <row r="9206" spans="1:4">
      <c r="A9206" s="691"/>
      <c r="D9206" s="3"/>
    </row>
    <row r="9207" spans="1:4">
      <c r="A9207" s="691"/>
      <c r="D9207" s="3"/>
    </row>
    <row r="9208" spans="1:4">
      <c r="A9208" s="691"/>
      <c r="D9208" s="3"/>
    </row>
    <row r="9209" spans="1:4">
      <c r="A9209" s="691"/>
      <c r="D9209" s="3"/>
    </row>
    <row r="9210" spans="1:4">
      <c r="A9210" s="691"/>
      <c r="D9210" s="3"/>
    </row>
    <row r="9211" spans="1:4">
      <c r="A9211" s="691"/>
      <c r="D9211" s="3"/>
    </row>
    <row r="9212" spans="1:4">
      <c r="A9212" s="691"/>
      <c r="D9212" s="3"/>
    </row>
    <row r="9213" spans="1:4">
      <c r="A9213" s="691"/>
      <c r="D9213" s="3"/>
    </row>
    <row r="9214" spans="1:4">
      <c r="A9214" s="691"/>
      <c r="D9214" s="3"/>
    </row>
    <row r="9215" spans="1:4">
      <c r="A9215" s="691"/>
      <c r="D9215" s="3"/>
    </row>
    <row r="9216" spans="1:4">
      <c r="A9216" s="691"/>
      <c r="D9216" s="3"/>
    </row>
    <row r="9217" spans="1:4">
      <c r="A9217" s="691"/>
      <c r="D9217" s="3"/>
    </row>
    <row r="9218" spans="1:4">
      <c r="A9218" s="691"/>
      <c r="D9218" s="3"/>
    </row>
    <row r="9219" spans="1:4">
      <c r="A9219" s="691"/>
      <c r="D9219" s="3"/>
    </row>
    <row r="9220" spans="1:4">
      <c r="A9220" s="691"/>
      <c r="D9220" s="3"/>
    </row>
    <row r="9221" spans="1:4">
      <c r="A9221" s="691"/>
      <c r="D9221" s="3"/>
    </row>
    <row r="9222" spans="1:4">
      <c r="A9222" s="691"/>
      <c r="D9222" s="3"/>
    </row>
    <row r="9223" spans="1:4">
      <c r="A9223" s="691"/>
      <c r="D9223" s="3"/>
    </row>
    <row r="9224" spans="1:4">
      <c r="A9224" s="691"/>
      <c r="D9224" s="3"/>
    </row>
    <row r="9225" spans="1:4">
      <c r="A9225" s="691"/>
      <c r="D9225" s="3"/>
    </row>
    <row r="9226" spans="1:4">
      <c r="A9226" s="691"/>
      <c r="D9226" s="3"/>
    </row>
    <row r="9227" spans="1:4">
      <c r="A9227" s="691"/>
      <c r="D9227" s="3"/>
    </row>
    <row r="9228" spans="1:4">
      <c r="A9228" s="691"/>
      <c r="D9228" s="3"/>
    </row>
    <row r="9229" spans="1:4">
      <c r="A9229" s="691"/>
      <c r="D9229" s="3"/>
    </row>
    <row r="9230" spans="1:4">
      <c r="A9230" s="691"/>
      <c r="D9230" s="3"/>
    </row>
    <row r="9231" spans="1:4">
      <c r="A9231" s="691"/>
      <c r="D9231" s="3"/>
    </row>
    <row r="9232" spans="1:4">
      <c r="A9232" s="691"/>
      <c r="D9232" s="3"/>
    </row>
    <row r="9233" spans="1:4">
      <c r="A9233" s="691"/>
      <c r="D9233" s="3"/>
    </row>
    <row r="9234" spans="1:4">
      <c r="A9234" s="691"/>
      <c r="D9234" s="3"/>
    </row>
    <row r="9235" spans="1:4">
      <c r="A9235" s="691"/>
      <c r="D9235" s="3"/>
    </row>
    <row r="9236" spans="1:4">
      <c r="A9236" s="691"/>
      <c r="D9236" s="3"/>
    </row>
    <row r="9237" spans="1:4">
      <c r="A9237" s="691"/>
      <c r="D9237" s="3"/>
    </row>
    <row r="9238" spans="1:4">
      <c r="A9238" s="691"/>
      <c r="D9238" s="3"/>
    </row>
    <row r="9239" spans="1:4">
      <c r="A9239" s="691"/>
      <c r="D9239" s="3"/>
    </row>
    <row r="9240" spans="1:4">
      <c r="A9240" s="691"/>
      <c r="D9240" s="3"/>
    </row>
    <row r="9241" spans="1:4">
      <c r="A9241" s="691"/>
      <c r="D9241" s="3"/>
    </row>
    <row r="9242" spans="1:4">
      <c r="A9242" s="691"/>
      <c r="D9242" s="3"/>
    </row>
    <row r="9243" spans="1:4">
      <c r="A9243" s="691"/>
      <c r="D9243" s="3"/>
    </row>
    <row r="9244" spans="1:4">
      <c r="A9244" s="691"/>
      <c r="D9244" s="3"/>
    </row>
    <row r="9245" spans="1:4">
      <c r="A9245" s="691"/>
      <c r="D9245" s="3"/>
    </row>
    <row r="9246" spans="1:4">
      <c r="A9246" s="691"/>
      <c r="D9246" s="3"/>
    </row>
    <row r="9247" spans="1:4">
      <c r="A9247" s="691"/>
      <c r="D9247" s="3"/>
    </row>
    <row r="9248" spans="1:4">
      <c r="A9248" s="691"/>
      <c r="D9248" s="3"/>
    </row>
    <row r="9249" spans="1:4">
      <c r="A9249" s="691"/>
      <c r="D9249" s="3"/>
    </row>
    <row r="9250" spans="1:4">
      <c r="A9250" s="691"/>
      <c r="D9250" s="3"/>
    </row>
    <row r="9251" spans="1:4">
      <c r="A9251" s="691"/>
      <c r="D9251" s="3"/>
    </row>
    <row r="9252" spans="1:4">
      <c r="A9252" s="691"/>
      <c r="D9252" s="3"/>
    </row>
    <row r="9253" spans="1:4">
      <c r="A9253" s="691"/>
      <c r="D9253" s="3"/>
    </row>
    <row r="9254" spans="1:4">
      <c r="A9254" s="691"/>
      <c r="D9254" s="3"/>
    </row>
    <row r="9255" spans="1:4">
      <c r="A9255" s="691"/>
      <c r="D9255" s="3"/>
    </row>
    <row r="9256" spans="1:4">
      <c r="A9256" s="691"/>
      <c r="D9256" s="3"/>
    </row>
    <row r="9257" spans="1:4">
      <c r="A9257" s="691"/>
      <c r="D9257" s="3"/>
    </row>
    <row r="9258" spans="1:4">
      <c r="A9258" s="691"/>
      <c r="D9258" s="3"/>
    </row>
    <row r="9259" spans="1:4">
      <c r="A9259" s="691"/>
      <c r="D9259" s="3"/>
    </row>
    <row r="9260" spans="1:4">
      <c r="A9260" s="691"/>
      <c r="D9260" s="3"/>
    </row>
    <row r="9261" spans="1:4">
      <c r="A9261" s="691"/>
      <c r="D9261" s="3"/>
    </row>
    <row r="9262" spans="1:4">
      <c r="A9262" s="691"/>
      <c r="D9262" s="3"/>
    </row>
    <row r="9263" spans="1:4">
      <c r="A9263" s="691"/>
      <c r="D9263" s="3"/>
    </row>
    <row r="9264" spans="1:4">
      <c r="A9264" s="691"/>
      <c r="D9264" s="3"/>
    </row>
    <row r="9265" spans="1:4">
      <c r="A9265" s="691"/>
      <c r="D9265" s="3"/>
    </row>
    <row r="9266" spans="1:4">
      <c r="A9266" s="691"/>
      <c r="D9266" s="3"/>
    </row>
    <row r="9267" spans="1:4">
      <c r="A9267" s="691"/>
      <c r="D9267" s="3"/>
    </row>
    <row r="9268" spans="1:4">
      <c r="A9268" s="691"/>
      <c r="D9268" s="3"/>
    </row>
    <row r="9269" spans="1:4">
      <c r="A9269" s="691"/>
      <c r="D9269" s="3"/>
    </row>
    <row r="9270" spans="1:4">
      <c r="A9270" s="691"/>
      <c r="D9270" s="3"/>
    </row>
    <row r="9271" spans="1:4">
      <c r="A9271" s="691"/>
      <c r="D9271" s="3"/>
    </row>
    <row r="9272" spans="1:4">
      <c r="A9272" s="691"/>
      <c r="D9272" s="3"/>
    </row>
    <row r="9273" spans="1:4">
      <c r="A9273" s="691"/>
      <c r="D9273" s="3"/>
    </row>
    <row r="9274" spans="1:4">
      <c r="A9274" s="691"/>
      <c r="D9274" s="3"/>
    </row>
    <row r="9275" spans="1:4">
      <c r="A9275" s="691"/>
      <c r="D9275" s="3"/>
    </row>
    <row r="9276" spans="1:4">
      <c r="A9276" s="691"/>
      <c r="D9276" s="3"/>
    </row>
    <row r="9277" spans="1:4">
      <c r="A9277" s="691"/>
      <c r="D9277" s="3"/>
    </row>
    <row r="9278" spans="1:4">
      <c r="A9278" s="691"/>
      <c r="D9278" s="3"/>
    </row>
    <row r="9279" spans="1:4">
      <c r="A9279" s="691"/>
      <c r="D9279" s="3"/>
    </row>
    <row r="9280" spans="1:4">
      <c r="A9280" s="691"/>
      <c r="D9280" s="3"/>
    </row>
    <row r="9281" spans="1:4">
      <c r="A9281" s="691"/>
      <c r="D9281" s="3"/>
    </row>
    <row r="9282" spans="1:4">
      <c r="A9282" s="691"/>
      <c r="D9282" s="3"/>
    </row>
    <row r="9283" spans="1:4">
      <c r="A9283" s="691"/>
      <c r="D9283" s="3"/>
    </row>
    <row r="9284" spans="1:4">
      <c r="A9284" s="691"/>
      <c r="D9284" s="3"/>
    </row>
    <row r="9285" spans="1:4">
      <c r="A9285" s="691"/>
      <c r="D9285" s="3"/>
    </row>
    <row r="9286" spans="1:4">
      <c r="A9286" s="691"/>
      <c r="D9286" s="3"/>
    </row>
    <row r="9287" spans="1:4">
      <c r="A9287" s="691"/>
      <c r="D9287" s="3"/>
    </row>
    <row r="9288" spans="1:4">
      <c r="A9288" s="691"/>
      <c r="D9288" s="3"/>
    </row>
    <row r="9289" spans="1:4">
      <c r="A9289" s="691"/>
      <c r="D9289" s="3"/>
    </row>
    <row r="9290" spans="1:4">
      <c r="A9290" s="691"/>
      <c r="D9290" s="3"/>
    </row>
    <row r="9291" spans="1:4">
      <c r="A9291" s="691"/>
      <c r="D9291" s="3"/>
    </row>
    <row r="9292" spans="1:4">
      <c r="A9292" s="691"/>
      <c r="D9292" s="3"/>
    </row>
    <row r="9293" spans="1:4">
      <c r="A9293" s="691"/>
      <c r="D9293" s="3"/>
    </row>
    <row r="9294" spans="1:4">
      <c r="A9294" s="691"/>
      <c r="D9294" s="3"/>
    </row>
    <row r="9295" spans="1:4">
      <c r="A9295" s="691"/>
      <c r="D9295" s="3"/>
    </row>
    <row r="9296" spans="1:4">
      <c r="A9296" s="691"/>
      <c r="D9296" s="3"/>
    </row>
    <row r="9297" spans="1:4">
      <c r="A9297" s="691"/>
      <c r="D9297" s="3"/>
    </row>
    <row r="9298" spans="1:4">
      <c r="A9298" s="691"/>
      <c r="D9298" s="3"/>
    </row>
    <row r="9299" spans="1:4">
      <c r="A9299" s="691"/>
      <c r="D9299" s="3"/>
    </row>
    <row r="9300" spans="1:4">
      <c r="A9300" s="691"/>
      <c r="D9300" s="3"/>
    </row>
    <row r="9301" spans="1:4">
      <c r="A9301" s="691"/>
      <c r="D9301" s="3"/>
    </row>
    <row r="9302" spans="1:4">
      <c r="A9302" s="691"/>
      <c r="D9302" s="3"/>
    </row>
    <row r="9303" spans="1:4">
      <c r="A9303" s="691"/>
      <c r="D9303" s="3"/>
    </row>
    <row r="9304" spans="1:4">
      <c r="A9304" s="691"/>
      <c r="D9304" s="3"/>
    </row>
    <row r="9305" spans="1:4">
      <c r="A9305" s="691"/>
      <c r="D9305" s="3"/>
    </row>
    <row r="9306" spans="1:4">
      <c r="A9306" s="691"/>
      <c r="D9306" s="3"/>
    </row>
    <row r="9307" spans="1:4">
      <c r="A9307" s="691"/>
      <c r="D9307" s="3"/>
    </row>
    <row r="9308" spans="1:4">
      <c r="A9308" s="691"/>
      <c r="D9308" s="3"/>
    </row>
    <row r="9309" spans="1:4">
      <c r="A9309" s="691"/>
      <c r="D9309" s="3"/>
    </row>
    <row r="9310" spans="1:4">
      <c r="A9310" s="691"/>
      <c r="D9310" s="3"/>
    </row>
    <row r="9311" spans="1:4">
      <c r="A9311" s="691"/>
      <c r="D9311" s="3"/>
    </row>
    <row r="9312" spans="1:4">
      <c r="A9312" s="691"/>
      <c r="D9312" s="3"/>
    </row>
    <row r="9313" spans="1:4">
      <c r="A9313" s="691"/>
      <c r="D9313" s="3"/>
    </row>
    <row r="9314" spans="1:4">
      <c r="A9314" s="691"/>
      <c r="D9314" s="3"/>
    </row>
    <row r="9315" spans="1:4">
      <c r="A9315" s="691"/>
      <c r="D9315" s="3"/>
    </row>
    <row r="9316" spans="1:4">
      <c r="A9316" s="691"/>
      <c r="D9316" s="3"/>
    </row>
    <row r="9317" spans="1:4">
      <c r="A9317" s="691"/>
      <c r="D9317" s="3"/>
    </row>
    <row r="9318" spans="1:4">
      <c r="A9318" s="691"/>
      <c r="D9318" s="3"/>
    </row>
    <row r="9319" spans="1:4">
      <c r="A9319" s="691"/>
      <c r="D9319" s="3"/>
    </row>
    <row r="9320" spans="1:4">
      <c r="A9320" s="691"/>
      <c r="D9320" s="3"/>
    </row>
    <row r="9321" spans="1:4">
      <c r="A9321" s="691"/>
      <c r="D9321" s="3"/>
    </row>
    <row r="9322" spans="1:4">
      <c r="A9322" s="691"/>
      <c r="D9322" s="3"/>
    </row>
    <row r="9323" spans="1:4">
      <c r="A9323" s="691"/>
      <c r="D9323" s="3"/>
    </row>
    <row r="9324" spans="1:4">
      <c r="A9324" s="691"/>
      <c r="D9324" s="3"/>
    </row>
    <row r="9325" spans="1:4">
      <c r="A9325" s="691"/>
      <c r="D9325" s="3"/>
    </row>
    <row r="9326" spans="1:4">
      <c r="A9326" s="691"/>
      <c r="D9326" s="3"/>
    </row>
    <row r="9327" spans="1:4">
      <c r="A9327" s="691"/>
      <c r="D9327" s="3"/>
    </row>
    <row r="9328" spans="1:4">
      <c r="A9328" s="691"/>
      <c r="D9328" s="3"/>
    </row>
    <row r="9329" spans="1:4">
      <c r="A9329" s="691"/>
      <c r="D9329" s="3"/>
    </row>
    <row r="9330" spans="1:4">
      <c r="A9330" s="691"/>
      <c r="D9330" s="3"/>
    </row>
    <row r="9331" spans="1:4">
      <c r="A9331" s="691"/>
      <c r="D9331" s="3"/>
    </row>
    <row r="9332" spans="1:4">
      <c r="A9332" s="691"/>
      <c r="D9332" s="3"/>
    </row>
    <row r="9333" spans="1:4">
      <c r="A9333" s="691"/>
      <c r="D9333" s="3"/>
    </row>
    <row r="9334" spans="1:4">
      <c r="A9334" s="691"/>
      <c r="D9334" s="3"/>
    </row>
    <row r="9335" spans="1:4">
      <c r="A9335" s="691"/>
      <c r="D9335" s="3"/>
    </row>
    <row r="9336" spans="1:4">
      <c r="A9336" s="691"/>
      <c r="D9336" s="3"/>
    </row>
    <row r="9337" spans="1:4">
      <c r="A9337" s="691"/>
      <c r="D9337" s="3"/>
    </row>
    <row r="9338" spans="1:4">
      <c r="A9338" s="691"/>
      <c r="D9338" s="3"/>
    </row>
    <row r="9339" spans="1:4">
      <c r="A9339" s="691"/>
      <c r="D9339" s="3"/>
    </row>
    <row r="9340" spans="1:4">
      <c r="A9340" s="691"/>
      <c r="D9340" s="3"/>
    </row>
    <row r="9341" spans="1:4">
      <c r="A9341" s="691"/>
      <c r="D9341" s="3"/>
    </row>
    <row r="9342" spans="1:4">
      <c r="A9342" s="691"/>
      <c r="D9342" s="3"/>
    </row>
    <row r="9343" spans="1:4">
      <c r="A9343" s="691"/>
      <c r="D9343" s="3"/>
    </row>
    <row r="9344" spans="1:4">
      <c r="A9344" s="691"/>
      <c r="D9344" s="3"/>
    </row>
    <row r="9345" spans="1:4">
      <c r="A9345" s="691"/>
      <c r="D9345" s="3"/>
    </row>
    <row r="9346" spans="1:4">
      <c r="A9346" s="691"/>
      <c r="D9346" s="3"/>
    </row>
    <row r="9347" spans="1:4">
      <c r="A9347" s="691"/>
      <c r="D9347" s="3"/>
    </row>
    <row r="9348" spans="1:4">
      <c r="A9348" s="691"/>
      <c r="D9348" s="3"/>
    </row>
    <row r="9349" spans="1:4">
      <c r="A9349" s="691"/>
      <c r="D9349" s="3"/>
    </row>
    <row r="9350" spans="1:4">
      <c r="A9350" s="691"/>
      <c r="D9350" s="3"/>
    </row>
    <row r="9351" spans="1:4">
      <c r="A9351" s="691"/>
      <c r="D9351" s="3"/>
    </row>
    <row r="9352" spans="1:4">
      <c r="A9352" s="691"/>
      <c r="D9352" s="3"/>
    </row>
    <row r="9353" spans="1:4">
      <c r="A9353" s="691"/>
      <c r="D9353" s="3"/>
    </row>
    <row r="9354" spans="1:4">
      <c r="A9354" s="691"/>
      <c r="D9354" s="3"/>
    </row>
    <row r="9355" spans="1:4">
      <c r="A9355" s="691"/>
      <c r="D9355" s="3"/>
    </row>
    <row r="9356" spans="1:4">
      <c r="A9356" s="691"/>
      <c r="D9356" s="3"/>
    </row>
    <row r="9357" spans="1:4">
      <c r="A9357" s="691"/>
      <c r="D9357" s="3"/>
    </row>
    <row r="9358" spans="1:4">
      <c r="A9358" s="691"/>
      <c r="D9358" s="3"/>
    </row>
    <row r="9359" spans="1:4">
      <c r="A9359" s="691"/>
      <c r="D9359" s="3"/>
    </row>
    <row r="9360" spans="1:4">
      <c r="A9360" s="691"/>
      <c r="D9360" s="3"/>
    </row>
    <row r="9361" spans="1:4">
      <c r="A9361" s="691"/>
      <c r="D9361" s="3"/>
    </row>
    <row r="9362" spans="1:4">
      <c r="A9362" s="691"/>
      <c r="D9362" s="3"/>
    </row>
    <row r="9363" spans="1:4">
      <c r="A9363" s="691"/>
      <c r="D9363" s="3"/>
    </row>
    <row r="9364" spans="1:4">
      <c r="A9364" s="691"/>
      <c r="D9364" s="3"/>
    </row>
    <row r="9365" spans="1:4">
      <c r="A9365" s="691"/>
      <c r="D9365" s="3"/>
    </row>
    <row r="9366" spans="1:4">
      <c r="A9366" s="691"/>
      <c r="D9366" s="3"/>
    </row>
    <row r="9367" spans="1:4">
      <c r="A9367" s="691"/>
      <c r="D9367" s="3"/>
    </row>
    <row r="9368" spans="1:4">
      <c r="A9368" s="691"/>
      <c r="D9368" s="3"/>
    </row>
    <row r="9369" spans="1:4">
      <c r="A9369" s="691"/>
      <c r="D9369" s="3"/>
    </row>
    <row r="9370" spans="1:4">
      <c r="A9370" s="691"/>
      <c r="D9370" s="3"/>
    </row>
    <row r="9371" spans="1:4">
      <c r="A9371" s="691"/>
      <c r="D9371" s="3"/>
    </row>
    <row r="9372" spans="1:4">
      <c r="A9372" s="691"/>
      <c r="D9372" s="3"/>
    </row>
    <row r="9373" spans="1:4">
      <c r="A9373" s="691"/>
      <c r="D9373" s="3"/>
    </row>
    <row r="9374" spans="1:4">
      <c r="A9374" s="691"/>
      <c r="D9374" s="3"/>
    </row>
    <row r="9375" spans="1:4">
      <c r="A9375" s="691"/>
      <c r="D9375" s="3"/>
    </row>
    <row r="9376" spans="1:4">
      <c r="A9376" s="691"/>
      <c r="D9376" s="3"/>
    </row>
    <row r="9377" spans="1:4">
      <c r="A9377" s="691"/>
      <c r="D9377" s="3"/>
    </row>
    <row r="9378" spans="1:4">
      <c r="A9378" s="691"/>
      <c r="D9378" s="3"/>
    </row>
    <row r="9379" spans="1:4">
      <c r="A9379" s="691"/>
      <c r="D9379" s="3"/>
    </row>
    <row r="9380" spans="1:4">
      <c r="A9380" s="691"/>
      <c r="D9380" s="3"/>
    </row>
    <row r="9381" spans="1:4">
      <c r="A9381" s="691"/>
      <c r="D9381" s="3"/>
    </row>
    <row r="9382" spans="1:4">
      <c r="A9382" s="691"/>
      <c r="D9382" s="3"/>
    </row>
    <row r="9383" spans="1:4">
      <c r="A9383" s="691"/>
      <c r="D9383" s="3"/>
    </row>
    <row r="9384" spans="1:4">
      <c r="A9384" s="691"/>
      <c r="D9384" s="3"/>
    </row>
    <row r="9385" spans="1:4">
      <c r="A9385" s="691"/>
      <c r="D9385" s="3"/>
    </row>
    <row r="9386" spans="1:4">
      <c r="A9386" s="691"/>
      <c r="D9386" s="3"/>
    </row>
    <row r="9387" spans="1:4">
      <c r="A9387" s="691"/>
      <c r="D9387" s="3"/>
    </row>
    <row r="9388" spans="1:4">
      <c r="A9388" s="691"/>
      <c r="D9388" s="3"/>
    </row>
    <row r="9389" spans="1:4">
      <c r="A9389" s="691"/>
      <c r="D9389" s="3"/>
    </row>
    <row r="9390" spans="1:4">
      <c r="A9390" s="691"/>
      <c r="D9390" s="3"/>
    </row>
    <row r="9391" spans="1:4">
      <c r="A9391" s="691"/>
      <c r="D9391" s="3"/>
    </row>
    <row r="9392" spans="1:4">
      <c r="A9392" s="691"/>
      <c r="D9392" s="3"/>
    </row>
    <row r="9393" spans="1:4">
      <c r="A9393" s="691"/>
      <c r="D9393" s="3"/>
    </row>
    <row r="9394" spans="1:4">
      <c r="A9394" s="691"/>
      <c r="D9394" s="3"/>
    </row>
    <row r="9395" spans="1:4">
      <c r="A9395" s="691"/>
      <c r="D9395" s="3"/>
    </row>
    <row r="9396" spans="1:4">
      <c r="A9396" s="691"/>
      <c r="D9396" s="3"/>
    </row>
    <row r="9397" spans="1:4">
      <c r="A9397" s="691"/>
      <c r="D9397" s="3"/>
    </row>
    <row r="9398" spans="1:4">
      <c r="A9398" s="691"/>
      <c r="D9398" s="3"/>
    </row>
    <row r="9399" spans="1:4">
      <c r="A9399" s="691"/>
      <c r="D9399" s="3"/>
    </row>
    <row r="9400" spans="1:4">
      <c r="A9400" s="691"/>
      <c r="D9400" s="3"/>
    </row>
    <row r="9401" spans="1:4">
      <c r="A9401" s="691"/>
      <c r="D9401" s="3"/>
    </row>
    <row r="9402" spans="1:4">
      <c r="A9402" s="691"/>
      <c r="D9402" s="3"/>
    </row>
    <row r="9403" spans="1:4">
      <c r="A9403" s="691"/>
      <c r="D9403" s="3"/>
    </row>
    <row r="9404" spans="1:4">
      <c r="A9404" s="691"/>
      <c r="D9404" s="3"/>
    </row>
    <row r="9405" spans="1:4">
      <c r="A9405" s="691"/>
      <c r="D9405" s="3"/>
    </row>
    <row r="9406" spans="1:4">
      <c r="A9406" s="691"/>
      <c r="D9406" s="3"/>
    </row>
    <row r="9407" spans="1:4">
      <c r="A9407" s="691"/>
      <c r="D9407" s="3"/>
    </row>
    <row r="9408" spans="1:4">
      <c r="A9408" s="691"/>
      <c r="D9408" s="3"/>
    </row>
    <row r="9409" spans="1:4">
      <c r="A9409" s="691"/>
      <c r="D9409" s="3"/>
    </row>
    <row r="9410" spans="1:4">
      <c r="A9410" s="691"/>
      <c r="D9410" s="3"/>
    </row>
    <row r="9411" spans="1:4">
      <c r="A9411" s="691"/>
      <c r="D9411" s="3"/>
    </row>
    <row r="9412" spans="1:4">
      <c r="A9412" s="691"/>
      <c r="D9412" s="3"/>
    </row>
    <row r="9413" spans="1:4">
      <c r="A9413" s="691"/>
      <c r="D9413" s="3"/>
    </row>
    <row r="9414" spans="1:4">
      <c r="A9414" s="691"/>
      <c r="D9414" s="3"/>
    </row>
    <row r="9415" spans="1:4">
      <c r="A9415" s="691"/>
      <c r="D9415" s="3"/>
    </row>
    <row r="9416" spans="1:4">
      <c r="A9416" s="691"/>
      <c r="D9416" s="3"/>
    </row>
    <row r="9417" spans="1:4">
      <c r="A9417" s="691"/>
      <c r="D9417" s="3"/>
    </row>
    <row r="9418" spans="1:4">
      <c r="A9418" s="691"/>
      <c r="D9418" s="3"/>
    </row>
    <row r="9419" spans="1:4">
      <c r="A9419" s="691"/>
      <c r="D9419" s="3"/>
    </row>
    <row r="9420" spans="1:4">
      <c r="A9420" s="691"/>
      <c r="D9420" s="3"/>
    </row>
    <row r="9421" spans="1:4">
      <c r="A9421" s="691"/>
      <c r="D9421" s="3"/>
    </row>
    <row r="9422" spans="1:4">
      <c r="A9422" s="691"/>
      <c r="D9422" s="3"/>
    </row>
    <row r="9423" spans="1:4">
      <c r="A9423" s="691"/>
      <c r="D9423" s="3"/>
    </row>
    <row r="9424" spans="1:4">
      <c r="A9424" s="691"/>
      <c r="D9424" s="3"/>
    </row>
    <row r="9425" spans="1:4">
      <c r="A9425" s="691"/>
      <c r="D9425" s="3"/>
    </row>
    <row r="9426" spans="1:4">
      <c r="A9426" s="691"/>
      <c r="D9426" s="3"/>
    </row>
    <row r="9427" spans="1:4">
      <c r="A9427" s="691"/>
      <c r="D9427" s="3"/>
    </row>
    <row r="9428" spans="1:4">
      <c r="A9428" s="691"/>
      <c r="D9428" s="3"/>
    </row>
    <row r="9429" spans="1:4">
      <c r="A9429" s="691"/>
      <c r="D9429" s="3"/>
    </row>
    <row r="9430" spans="1:4">
      <c r="A9430" s="691"/>
      <c r="D9430" s="3"/>
    </row>
    <row r="9431" spans="1:4">
      <c r="A9431" s="691"/>
      <c r="D9431" s="3"/>
    </row>
    <row r="9432" spans="1:4">
      <c r="A9432" s="691"/>
      <c r="D9432" s="3"/>
    </row>
    <row r="9433" spans="1:4">
      <c r="A9433" s="691"/>
      <c r="D9433" s="3"/>
    </row>
    <row r="9434" spans="1:4">
      <c r="A9434" s="691"/>
      <c r="D9434" s="3"/>
    </row>
    <row r="9435" spans="1:4">
      <c r="A9435" s="691"/>
      <c r="D9435" s="3"/>
    </row>
    <row r="9436" spans="1:4">
      <c r="A9436" s="691"/>
      <c r="D9436" s="3"/>
    </row>
    <row r="9437" spans="1:4">
      <c r="A9437" s="691"/>
      <c r="D9437" s="3"/>
    </row>
    <row r="9438" spans="1:4">
      <c r="A9438" s="691"/>
      <c r="D9438" s="3"/>
    </row>
    <row r="9439" spans="1:4">
      <c r="A9439" s="691"/>
      <c r="D9439" s="3"/>
    </row>
    <row r="9440" spans="1:4">
      <c r="A9440" s="691"/>
      <c r="D9440" s="3"/>
    </row>
    <row r="9441" spans="1:4">
      <c r="A9441" s="691"/>
      <c r="D9441" s="3"/>
    </row>
    <row r="9442" spans="1:4">
      <c r="A9442" s="691"/>
      <c r="D9442" s="3"/>
    </row>
    <row r="9443" spans="1:4">
      <c r="A9443" s="691"/>
      <c r="D9443" s="3"/>
    </row>
    <row r="9444" spans="1:4">
      <c r="A9444" s="691"/>
      <c r="D9444" s="3"/>
    </row>
    <row r="9445" spans="1:4">
      <c r="A9445" s="691"/>
      <c r="D9445" s="3"/>
    </row>
    <row r="9446" spans="1:4">
      <c r="A9446" s="691"/>
      <c r="D9446" s="3"/>
    </row>
    <row r="9447" spans="1:4">
      <c r="A9447" s="691"/>
      <c r="D9447" s="3"/>
    </row>
    <row r="9448" spans="1:4">
      <c r="A9448" s="691"/>
      <c r="D9448" s="3"/>
    </row>
    <row r="9449" spans="1:4">
      <c r="A9449" s="691"/>
      <c r="D9449" s="3"/>
    </row>
    <row r="9450" spans="1:4">
      <c r="A9450" s="691"/>
      <c r="D9450" s="3"/>
    </row>
    <row r="9451" spans="1:4">
      <c r="A9451" s="691"/>
      <c r="D9451" s="3"/>
    </row>
    <row r="9452" spans="1:4">
      <c r="A9452" s="691"/>
      <c r="D9452" s="3"/>
    </row>
    <row r="9453" spans="1:4">
      <c r="A9453" s="691"/>
      <c r="D9453" s="3"/>
    </row>
    <row r="9454" spans="1:4">
      <c r="A9454" s="691"/>
      <c r="D9454" s="3"/>
    </row>
    <row r="9455" spans="1:4">
      <c r="A9455" s="691"/>
      <c r="D9455" s="3"/>
    </row>
    <row r="9456" spans="1:4">
      <c r="A9456" s="691"/>
      <c r="D9456" s="3"/>
    </row>
    <row r="9457" spans="1:4">
      <c r="A9457" s="691"/>
      <c r="D9457" s="3"/>
    </row>
    <row r="9458" spans="1:4">
      <c r="A9458" s="691"/>
      <c r="D9458" s="3"/>
    </row>
    <row r="9459" spans="1:4">
      <c r="A9459" s="691"/>
      <c r="D9459" s="3"/>
    </row>
    <row r="9460" spans="1:4">
      <c r="A9460" s="691"/>
      <c r="D9460" s="3"/>
    </row>
    <row r="9461" spans="1:4">
      <c r="A9461" s="691"/>
      <c r="D9461" s="3"/>
    </row>
    <row r="9462" spans="1:4">
      <c r="A9462" s="691"/>
      <c r="D9462" s="3"/>
    </row>
    <row r="9463" spans="1:4">
      <c r="A9463" s="691"/>
      <c r="D9463" s="3"/>
    </row>
    <row r="9464" spans="1:4">
      <c r="A9464" s="691"/>
      <c r="D9464" s="3"/>
    </row>
    <row r="9465" spans="1:4">
      <c r="A9465" s="691"/>
      <c r="D9465" s="3"/>
    </row>
    <row r="9466" spans="1:4">
      <c r="A9466" s="691"/>
      <c r="D9466" s="3"/>
    </row>
    <row r="9467" spans="1:4">
      <c r="A9467" s="691"/>
      <c r="D9467" s="3"/>
    </row>
    <row r="9468" spans="1:4">
      <c r="A9468" s="691"/>
      <c r="D9468" s="3"/>
    </row>
    <row r="9469" spans="1:4">
      <c r="A9469" s="691"/>
      <c r="D9469" s="3"/>
    </row>
    <row r="9470" spans="1:4">
      <c r="A9470" s="691"/>
      <c r="D9470" s="3"/>
    </row>
    <row r="9471" spans="1:4">
      <c r="A9471" s="691"/>
      <c r="D9471" s="3"/>
    </row>
    <row r="9472" spans="1:4">
      <c r="A9472" s="691"/>
      <c r="D9472" s="3"/>
    </row>
    <row r="9473" spans="1:4">
      <c r="A9473" s="691"/>
      <c r="D9473" s="3"/>
    </row>
    <row r="9474" spans="1:4">
      <c r="A9474" s="691"/>
      <c r="D9474" s="3"/>
    </row>
    <row r="9475" spans="1:4">
      <c r="A9475" s="691"/>
      <c r="D9475" s="3"/>
    </row>
    <row r="9476" spans="1:4">
      <c r="A9476" s="691"/>
      <c r="D9476" s="3"/>
    </row>
    <row r="9477" spans="1:4">
      <c r="A9477" s="691"/>
      <c r="D9477" s="3"/>
    </row>
    <row r="9478" spans="1:4">
      <c r="A9478" s="691"/>
      <c r="D9478" s="3"/>
    </row>
    <row r="9479" spans="1:4">
      <c r="A9479" s="691"/>
      <c r="D9479" s="3"/>
    </row>
    <row r="9480" spans="1:4">
      <c r="A9480" s="691"/>
      <c r="D9480" s="3"/>
    </row>
    <row r="9481" spans="1:4">
      <c r="A9481" s="691"/>
      <c r="D9481" s="3"/>
    </row>
    <row r="9482" spans="1:4">
      <c r="A9482" s="691"/>
      <c r="D9482" s="3"/>
    </row>
    <row r="9483" spans="1:4">
      <c r="A9483" s="691"/>
      <c r="D9483" s="3"/>
    </row>
    <row r="9484" spans="1:4">
      <c r="A9484" s="691"/>
      <c r="D9484" s="3"/>
    </row>
    <row r="9485" spans="1:4">
      <c r="A9485" s="691"/>
      <c r="D9485" s="3"/>
    </row>
    <row r="9486" spans="1:4">
      <c r="A9486" s="691"/>
      <c r="D9486" s="3"/>
    </row>
    <row r="9487" spans="1:4">
      <c r="A9487" s="691"/>
      <c r="D9487" s="3"/>
    </row>
    <row r="9488" spans="1:4">
      <c r="A9488" s="691"/>
      <c r="D9488" s="3"/>
    </row>
    <row r="9489" spans="1:4">
      <c r="A9489" s="691"/>
      <c r="D9489" s="3"/>
    </row>
    <row r="9490" spans="1:4">
      <c r="A9490" s="691"/>
      <c r="D9490" s="3"/>
    </row>
    <row r="9491" spans="1:4">
      <c r="A9491" s="691"/>
      <c r="D9491" s="3"/>
    </row>
    <row r="9492" spans="1:4">
      <c r="A9492" s="691"/>
      <c r="D9492" s="3"/>
    </row>
    <row r="9493" spans="1:4">
      <c r="A9493" s="691"/>
      <c r="D9493" s="3"/>
    </row>
    <row r="9494" spans="1:4">
      <c r="A9494" s="691"/>
      <c r="D9494" s="3"/>
    </row>
    <row r="9495" spans="1:4">
      <c r="A9495" s="691"/>
      <c r="D9495" s="3"/>
    </row>
    <row r="9496" spans="1:4">
      <c r="A9496" s="691"/>
      <c r="D9496" s="3"/>
    </row>
    <row r="9497" spans="1:4">
      <c r="A9497" s="691"/>
      <c r="D9497" s="3"/>
    </row>
    <row r="9498" spans="1:4">
      <c r="A9498" s="691"/>
      <c r="D9498" s="3"/>
    </row>
    <row r="9499" spans="1:4">
      <c r="A9499" s="691"/>
      <c r="D9499" s="3"/>
    </row>
    <row r="9500" spans="1:4">
      <c r="A9500" s="691"/>
      <c r="D9500" s="3"/>
    </row>
    <row r="9501" spans="1:4">
      <c r="A9501" s="691"/>
      <c r="D9501" s="3"/>
    </row>
    <row r="9502" spans="1:4">
      <c r="A9502" s="691"/>
      <c r="D9502" s="3"/>
    </row>
    <row r="9503" spans="1:4">
      <c r="A9503" s="691"/>
      <c r="D9503" s="3"/>
    </row>
    <row r="9504" spans="1:4">
      <c r="A9504" s="691"/>
      <c r="D9504" s="3"/>
    </row>
    <row r="9505" spans="1:4">
      <c r="A9505" s="691"/>
      <c r="D9505" s="3"/>
    </row>
    <row r="9506" spans="1:4">
      <c r="A9506" s="691"/>
      <c r="D9506" s="3"/>
    </row>
    <row r="9507" spans="1:4">
      <c r="A9507" s="691"/>
      <c r="D9507" s="3"/>
    </row>
    <row r="9508" spans="1:4">
      <c r="A9508" s="691"/>
      <c r="D9508" s="3"/>
    </row>
    <row r="9509" spans="1:4">
      <c r="A9509" s="691"/>
      <c r="D9509" s="3"/>
    </row>
    <row r="9510" spans="1:4">
      <c r="A9510" s="691"/>
      <c r="D9510" s="3"/>
    </row>
    <row r="9511" spans="1:4">
      <c r="A9511" s="691"/>
      <c r="D9511" s="3"/>
    </row>
    <row r="9512" spans="1:4">
      <c r="A9512" s="691"/>
      <c r="D9512" s="3"/>
    </row>
    <row r="9513" spans="1:4">
      <c r="A9513" s="691"/>
      <c r="D9513" s="3"/>
    </row>
    <row r="9514" spans="1:4">
      <c r="A9514" s="691"/>
      <c r="D9514" s="3"/>
    </row>
    <row r="9515" spans="1:4">
      <c r="A9515" s="691"/>
      <c r="D9515" s="3"/>
    </row>
    <row r="9516" spans="1:4">
      <c r="A9516" s="691"/>
      <c r="D9516" s="3"/>
    </row>
    <row r="9517" spans="1:4">
      <c r="A9517" s="691"/>
      <c r="D9517" s="3"/>
    </row>
    <row r="9518" spans="1:4">
      <c r="A9518" s="691"/>
      <c r="D9518" s="3"/>
    </row>
    <row r="9519" spans="1:4">
      <c r="A9519" s="691"/>
      <c r="D9519" s="3"/>
    </row>
    <row r="9520" spans="1:4">
      <c r="A9520" s="691"/>
      <c r="D9520" s="3"/>
    </row>
    <row r="9521" spans="1:4">
      <c r="A9521" s="691"/>
      <c r="D9521" s="3"/>
    </row>
    <row r="9522" spans="1:4">
      <c r="A9522" s="691"/>
      <c r="D9522" s="3"/>
    </row>
    <row r="9523" spans="1:4">
      <c r="A9523" s="691"/>
      <c r="D9523" s="3"/>
    </row>
    <row r="9524" spans="1:4">
      <c r="A9524" s="691"/>
      <c r="D9524" s="3"/>
    </row>
    <row r="9525" spans="1:4">
      <c r="A9525" s="691"/>
      <c r="D9525" s="3"/>
    </row>
    <row r="9526" spans="1:4">
      <c r="A9526" s="691"/>
      <c r="D9526" s="3"/>
    </row>
    <row r="9527" spans="1:4">
      <c r="A9527" s="691"/>
      <c r="D9527" s="3"/>
    </row>
    <row r="9528" spans="1:4">
      <c r="A9528" s="691"/>
      <c r="D9528" s="3"/>
    </row>
    <row r="9529" spans="1:4">
      <c r="A9529" s="691"/>
      <c r="D9529" s="3"/>
    </row>
    <row r="9530" spans="1:4">
      <c r="A9530" s="691"/>
      <c r="D9530" s="3"/>
    </row>
    <row r="9531" spans="1:4">
      <c r="A9531" s="691"/>
      <c r="D9531" s="3"/>
    </row>
    <row r="9532" spans="1:4">
      <c r="A9532" s="691"/>
      <c r="D9532" s="3"/>
    </row>
    <row r="9533" spans="1:4">
      <c r="A9533" s="691"/>
      <c r="D9533" s="3"/>
    </row>
    <row r="9534" spans="1:4">
      <c r="A9534" s="691"/>
      <c r="D9534" s="3"/>
    </row>
    <row r="9535" spans="1:4">
      <c r="A9535" s="691"/>
      <c r="D9535" s="3"/>
    </row>
    <row r="9536" spans="1:4">
      <c r="A9536" s="691"/>
      <c r="D9536" s="3"/>
    </row>
    <row r="9537" spans="1:4">
      <c r="A9537" s="691"/>
      <c r="D9537" s="3"/>
    </row>
    <row r="9538" spans="1:4">
      <c r="A9538" s="691"/>
      <c r="D9538" s="3"/>
    </row>
    <row r="9539" spans="1:4">
      <c r="A9539" s="691"/>
      <c r="D9539" s="3"/>
    </row>
    <row r="9540" spans="1:4">
      <c r="A9540" s="691"/>
      <c r="D9540" s="3"/>
    </row>
    <row r="9541" spans="1:4">
      <c r="A9541" s="691"/>
      <c r="D9541" s="3"/>
    </row>
    <row r="9542" spans="1:4">
      <c r="A9542" s="691"/>
      <c r="D9542" s="3"/>
    </row>
    <row r="9543" spans="1:4">
      <c r="A9543" s="691"/>
      <c r="D9543" s="3"/>
    </row>
    <row r="9544" spans="1:4">
      <c r="A9544" s="691"/>
      <c r="D9544" s="3"/>
    </row>
    <row r="9545" spans="1:4">
      <c r="A9545" s="691"/>
      <c r="D9545" s="3"/>
    </row>
    <row r="9546" spans="1:4">
      <c r="A9546" s="691"/>
      <c r="D9546" s="3"/>
    </row>
    <row r="9547" spans="1:4">
      <c r="A9547" s="691"/>
      <c r="D9547" s="3"/>
    </row>
    <row r="9548" spans="1:4">
      <c r="A9548" s="691"/>
      <c r="D9548" s="3"/>
    </row>
    <row r="9549" spans="1:4">
      <c r="A9549" s="691"/>
      <c r="D9549" s="3"/>
    </row>
    <row r="9550" spans="1:4">
      <c r="A9550" s="691"/>
      <c r="D9550" s="3"/>
    </row>
    <row r="9551" spans="1:4">
      <c r="A9551" s="691"/>
      <c r="D9551" s="3"/>
    </row>
    <row r="9552" spans="1:4">
      <c r="A9552" s="691"/>
      <c r="D9552" s="3"/>
    </row>
    <row r="9553" spans="1:4">
      <c r="A9553" s="691"/>
      <c r="D9553" s="3"/>
    </row>
    <row r="9554" spans="1:4">
      <c r="A9554" s="691"/>
      <c r="D9554" s="3"/>
    </row>
    <row r="9555" spans="1:4">
      <c r="A9555" s="691"/>
      <c r="D9555" s="3"/>
    </row>
    <row r="9556" spans="1:4">
      <c r="A9556" s="691"/>
      <c r="D9556" s="3"/>
    </row>
    <row r="9557" spans="1:4">
      <c r="A9557" s="691"/>
      <c r="D9557" s="3"/>
    </row>
    <row r="9558" spans="1:4">
      <c r="A9558" s="691"/>
      <c r="D9558" s="3"/>
    </row>
    <row r="9559" spans="1:4">
      <c r="A9559" s="691"/>
      <c r="D9559" s="3"/>
    </row>
    <row r="9560" spans="1:4">
      <c r="A9560" s="691"/>
      <c r="D9560" s="3"/>
    </row>
    <row r="9561" spans="1:4">
      <c r="A9561" s="691"/>
      <c r="D9561" s="3"/>
    </row>
    <row r="9562" spans="1:4">
      <c r="A9562" s="691"/>
      <c r="D9562" s="3"/>
    </row>
    <row r="9563" spans="1:4">
      <c r="A9563" s="691"/>
      <c r="D9563" s="3"/>
    </row>
    <row r="9564" spans="1:4">
      <c r="A9564" s="691"/>
      <c r="D9564" s="3"/>
    </row>
    <row r="9565" spans="1:4">
      <c r="A9565" s="691"/>
      <c r="D9565" s="3"/>
    </row>
    <row r="9566" spans="1:4">
      <c r="A9566" s="691"/>
      <c r="D9566" s="3"/>
    </row>
    <row r="9567" spans="1:4">
      <c r="A9567" s="691"/>
      <c r="D9567" s="3"/>
    </row>
    <row r="9568" spans="1:4">
      <c r="A9568" s="691"/>
      <c r="D9568" s="3"/>
    </row>
    <row r="9569" spans="1:4">
      <c r="A9569" s="691"/>
      <c r="D9569" s="3"/>
    </row>
    <row r="9570" spans="1:4">
      <c r="A9570" s="691"/>
      <c r="D9570" s="3"/>
    </row>
    <row r="9571" spans="1:4">
      <c r="A9571" s="691"/>
      <c r="D9571" s="3"/>
    </row>
    <row r="9572" spans="1:4">
      <c r="A9572" s="691"/>
      <c r="D9572" s="3"/>
    </row>
    <row r="9573" spans="1:4">
      <c r="A9573" s="691"/>
      <c r="D9573" s="3"/>
    </row>
    <row r="9574" spans="1:4">
      <c r="A9574" s="691"/>
      <c r="D9574" s="3"/>
    </row>
    <row r="9575" spans="1:4">
      <c r="A9575" s="691"/>
      <c r="D9575" s="3"/>
    </row>
    <row r="9576" spans="1:4">
      <c r="A9576" s="691"/>
      <c r="D9576" s="3"/>
    </row>
    <row r="9577" spans="1:4">
      <c r="A9577" s="691"/>
      <c r="D9577" s="3"/>
    </row>
    <row r="9578" spans="1:4">
      <c r="A9578" s="691"/>
      <c r="D9578" s="3"/>
    </row>
    <row r="9579" spans="1:4">
      <c r="A9579" s="691"/>
      <c r="D9579" s="3"/>
    </row>
    <row r="9580" spans="1:4">
      <c r="A9580" s="691"/>
      <c r="D9580" s="3"/>
    </row>
    <row r="9581" spans="1:4">
      <c r="A9581" s="691"/>
      <c r="D9581" s="3"/>
    </row>
    <row r="9582" spans="1:4">
      <c r="A9582" s="691"/>
      <c r="D9582" s="3"/>
    </row>
    <row r="9583" spans="1:4">
      <c r="A9583" s="691"/>
      <c r="D9583" s="3"/>
    </row>
    <row r="9584" spans="1:4">
      <c r="A9584" s="691"/>
      <c r="D9584" s="3"/>
    </row>
    <row r="9585" spans="1:4">
      <c r="A9585" s="691"/>
      <c r="D9585" s="3"/>
    </row>
    <row r="9586" spans="1:4">
      <c r="A9586" s="691"/>
      <c r="D9586" s="3"/>
    </row>
    <row r="9587" spans="1:4">
      <c r="A9587" s="691"/>
      <c r="D9587" s="3"/>
    </row>
    <row r="9588" spans="1:4">
      <c r="A9588" s="691"/>
      <c r="D9588" s="3"/>
    </row>
    <row r="9589" spans="1:4">
      <c r="A9589" s="691"/>
      <c r="D9589" s="3"/>
    </row>
    <row r="9590" spans="1:4">
      <c r="A9590" s="691"/>
      <c r="D9590" s="3"/>
    </row>
    <row r="9591" spans="1:4">
      <c r="A9591" s="691"/>
      <c r="D9591" s="3"/>
    </row>
    <row r="9592" spans="1:4">
      <c r="A9592" s="691"/>
      <c r="D9592" s="3"/>
    </row>
    <row r="9593" spans="1:4">
      <c r="A9593" s="691"/>
      <c r="D9593" s="3"/>
    </row>
    <row r="9594" spans="1:4">
      <c r="A9594" s="691"/>
      <c r="D9594" s="3"/>
    </row>
    <row r="9595" spans="1:4">
      <c r="A9595" s="691"/>
      <c r="D9595" s="3"/>
    </row>
    <row r="9596" spans="1:4">
      <c r="A9596" s="691"/>
      <c r="D9596" s="3"/>
    </row>
    <row r="9597" spans="1:4">
      <c r="A9597" s="691"/>
      <c r="D9597" s="3"/>
    </row>
    <row r="9598" spans="1:4">
      <c r="A9598" s="691"/>
      <c r="D9598" s="3"/>
    </row>
    <row r="9599" spans="1:4">
      <c r="A9599" s="691"/>
      <c r="D9599" s="3"/>
    </row>
    <row r="9600" spans="1:4">
      <c r="A9600" s="691"/>
      <c r="D9600" s="3"/>
    </row>
    <row r="9601" spans="1:4">
      <c r="A9601" s="691"/>
      <c r="D9601" s="3"/>
    </row>
    <row r="9602" spans="1:4">
      <c r="A9602" s="691"/>
      <c r="D9602" s="3"/>
    </row>
    <row r="9603" spans="1:4">
      <c r="A9603" s="691"/>
      <c r="D9603" s="3"/>
    </row>
    <row r="9604" spans="1:4">
      <c r="A9604" s="691"/>
      <c r="D9604" s="3"/>
    </row>
    <row r="9605" spans="1:4">
      <c r="A9605" s="691"/>
      <c r="D9605" s="3"/>
    </row>
    <row r="9606" spans="1:4">
      <c r="A9606" s="691"/>
      <c r="D9606" s="3"/>
    </row>
    <row r="9607" spans="1:4">
      <c r="A9607" s="691"/>
      <c r="D9607" s="3"/>
    </row>
    <row r="9608" spans="1:4">
      <c r="A9608" s="691"/>
      <c r="D9608" s="3"/>
    </row>
    <row r="9609" spans="1:4">
      <c r="A9609" s="691"/>
      <c r="D9609" s="3"/>
    </row>
    <row r="9610" spans="1:4">
      <c r="A9610" s="691"/>
      <c r="D9610" s="3"/>
    </row>
    <row r="9611" spans="1:4">
      <c r="A9611" s="691"/>
      <c r="D9611" s="3"/>
    </row>
    <row r="9612" spans="1:4">
      <c r="A9612" s="691"/>
      <c r="D9612" s="3"/>
    </row>
    <row r="9613" spans="1:4">
      <c r="A9613" s="691"/>
      <c r="D9613" s="3"/>
    </row>
    <row r="9614" spans="1:4">
      <c r="A9614" s="691"/>
      <c r="D9614" s="3"/>
    </row>
    <row r="9615" spans="1:4">
      <c r="A9615" s="691"/>
      <c r="D9615" s="3"/>
    </row>
    <row r="9616" spans="1:4">
      <c r="A9616" s="691"/>
      <c r="D9616" s="3"/>
    </row>
    <row r="9617" spans="1:4">
      <c r="A9617" s="691"/>
      <c r="D9617" s="3"/>
    </row>
    <row r="9618" spans="1:4">
      <c r="A9618" s="691"/>
      <c r="D9618" s="3"/>
    </row>
    <row r="9619" spans="1:4">
      <c r="A9619" s="691"/>
      <c r="D9619" s="3"/>
    </row>
    <row r="9620" spans="1:4">
      <c r="A9620" s="691"/>
      <c r="D9620" s="3"/>
    </row>
    <row r="9621" spans="1:4">
      <c r="A9621" s="691"/>
      <c r="D9621" s="3"/>
    </row>
    <row r="9622" spans="1:4">
      <c r="A9622" s="691"/>
      <c r="D9622" s="3"/>
    </row>
    <row r="9623" spans="1:4">
      <c r="A9623" s="691"/>
      <c r="D9623" s="3"/>
    </row>
    <row r="9624" spans="1:4">
      <c r="A9624" s="691"/>
      <c r="D9624" s="3"/>
    </row>
    <row r="9625" spans="1:4">
      <c r="A9625" s="691"/>
      <c r="D9625" s="3"/>
    </row>
    <row r="9626" spans="1:4">
      <c r="A9626" s="691"/>
      <c r="D9626" s="3"/>
    </row>
    <row r="9627" spans="1:4">
      <c r="A9627" s="691"/>
      <c r="D9627" s="3"/>
    </row>
    <row r="9628" spans="1:4">
      <c r="A9628" s="691"/>
      <c r="D9628" s="3"/>
    </row>
    <row r="9629" spans="1:4">
      <c r="A9629" s="691"/>
      <c r="D9629" s="3"/>
    </row>
    <row r="9630" spans="1:4">
      <c r="A9630" s="691"/>
      <c r="D9630" s="3"/>
    </row>
    <row r="9631" spans="1:4">
      <c r="A9631" s="691"/>
      <c r="D9631" s="3"/>
    </row>
    <row r="9632" spans="1:4">
      <c r="A9632" s="691"/>
      <c r="D9632" s="3"/>
    </row>
    <row r="9633" spans="1:4">
      <c r="A9633" s="691"/>
      <c r="D9633" s="3"/>
    </row>
    <row r="9634" spans="1:4">
      <c r="A9634" s="691"/>
      <c r="D9634" s="3"/>
    </row>
    <row r="9635" spans="1:4">
      <c r="A9635" s="691"/>
      <c r="D9635" s="3"/>
    </row>
    <row r="9636" spans="1:4">
      <c r="A9636" s="691"/>
      <c r="D9636" s="3"/>
    </row>
    <row r="9637" spans="1:4">
      <c r="A9637" s="691"/>
      <c r="D9637" s="3"/>
    </row>
    <row r="9638" spans="1:4">
      <c r="A9638" s="691"/>
      <c r="D9638" s="3"/>
    </row>
    <row r="9639" spans="1:4">
      <c r="A9639" s="691"/>
      <c r="D9639" s="3"/>
    </row>
    <row r="9640" spans="1:4">
      <c r="A9640" s="691"/>
      <c r="D9640" s="3"/>
    </row>
    <row r="9641" spans="1:4">
      <c r="A9641" s="691"/>
      <c r="D9641" s="3"/>
    </row>
    <row r="9642" spans="1:4">
      <c r="A9642" s="691"/>
      <c r="D9642" s="3"/>
    </row>
    <row r="9643" spans="1:4">
      <c r="A9643" s="691"/>
      <c r="D9643" s="3"/>
    </row>
    <row r="9644" spans="1:4">
      <c r="A9644" s="691"/>
      <c r="D9644" s="3"/>
    </row>
    <row r="9645" spans="1:4">
      <c r="A9645" s="691"/>
      <c r="D9645" s="3"/>
    </row>
    <row r="9646" spans="1:4">
      <c r="A9646" s="691"/>
      <c r="D9646" s="3"/>
    </row>
    <row r="9647" spans="1:4">
      <c r="A9647" s="691"/>
      <c r="D9647" s="3"/>
    </row>
    <row r="9648" spans="1:4">
      <c r="A9648" s="691"/>
      <c r="D9648" s="3"/>
    </row>
    <row r="9649" spans="1:4">
      <c r="A9649" s="691"/>
      <c r="D9649" s="3"/>
    </row>
    <row r="9650" spans="1:4">
      <c r="A9650" s="691"/>
      <c r="D9650" s="3"/>
    </row>
    <row r="9651" spans="1:4">
      <c r="A9651" s="691"/>
      <c r="D9651" s="3"/>
    </row>
    <row r="9652" spans="1:4">
      <c r="A9652" s="691"/>
      <c r="D9652" s="3"/>
    </row>
    <row r="9653" spans="1:4">
      <c r="A9653" s="691"/>
      <c r="D9653" s="3"/>
    </row>
    <row r="9654" spans="1:4">
      <c r="A9654" s="691"/>
      <c r="D9654" s="3"/>
    </row>
    <row r="9655" spans="1:4">
      <c r="A9655" s="691"/>
      <c r="D9655" s="3"/>
    </row>
    <row r="9656" spans="1:4">
      <c r="A9656" s="691"/>
      <c r="D9656" s="3"/>
    </row>
    <row r="9657" spans="1:4">
      <c r="A9657" s="691"/>
      <c r="D9657" s="3"/>
    </row>
    <row r="9658" spans="1:4">
      <c r="A9658" s="691"/>
      <c r="D9658" s="3"/>
    </row>
    <row r="9659" spans="1:4">
      <c r="A9659" s="691"/>
      <c r="D9659" s="3"/>
    </row>
    <row r="9660" spans="1:4">
      <c r="A9660" s="691"/>
      <c r="D9660" s="3"/>
    </row>
    <row r="9661" spans="1:4">
      <c r="A9661" s="691"/>
      <c r="D9661" s="3"/>
    </row>
    <row r="9662" spans="1:4">
      <c r="A9662" s="691"/>
      <c r="D9662" s="3"/>
    </row>
    <row r="9663" spans="1:4">
      <c r="A9663" s="691"/>
      <c r="D9663" s="3"/>
    </row>
    <row r="9664" spans="1:4">
      <c r="A9664" s="691"/>
      <c r="D9664" s="3"/>
    </row>
    <row r="9665" spans="1:4">
      <c r="A9665" s="691"/>
      <c r="D9665" s="3"/>
    </row>
    <row r="9666" spans="1:4">
      <c r="A9666" s="691"/>
      <c r="D9666" s="3"/>
    </row>
    <row r="9667" spans="1:4">
      <c r="A9667" s="691"/>
      <c r="D9667" s="3"/>
    </row>
    <row r="9668" spans="1:4">
      <c r="A9668" s="691"/>
      <c r="D9668" s="3"/>
    </row>
    <row r="9669" spans="1:4">
      <c r="A9669" s="691"/>
      <c r="D9669" s="3"/>
    </row>
    <row r="9670" spans="1:4">
      <c r="A9670" s="691"/>
      <c r="D9670" s="3"/>
    </row>
    <row r="9671" spans="1:4">
      <c r="A9671" s="691"/>
      <c r="D9671" s="3"/>
    </row>
    <row r="9672" spans="1:4">
      <c r="A9672" s="691"/>
      <c r="D9672" s="3"/>
    </row>
    <row r="9673" spans="1:4">
      <c r="A9673" s="691"/>
      <c r="D9673" s="3"/>
    </row>
    <row r="9674" spans="1:4">
      <c r="A9674" s="691"/>
      <c r="D9674" s="3"/>
    </row>
    <row r="9675" spans="1:4">
      <c r="A9675" s="691"/>
      <c r="D9675" s="3"/>
    </row>
    <row r="9676" spans="1:4">
      <c r="A9676" s="691"/>
      <c r="D9676" s="3"/>
    </row>
    <row r="9677" spans="1:4">
      <c r="A9677" s="691"/>
      <c r="D9677" s="3"/>
    </row>
    <row r="9678" spans="1:4">
      <c r="A9678" s="691"/>
      <c r="D9678" s="3"/>
    </row>
    <row r="9679" spans="1:4">
      <c r="A9679" s="691"/>
      <c r="D9679" s="3"/>
    </row>
    <row r="9680" spans="1:4">
      <c r="A9680" s="691"/>
      <c r="D9680" s="3"/>
    </row>
    <row r="9681" spans="1:4">
      <c r="A9681" s="691"/>
      <c r="D9681" s="3"/>
    </row>
    <row r="9682" spans="1:4">
      <c r="A9682" s="691"/>
      <c r="D9682" s="3"/>
    </row>
    <row r="9683" spans="1:4">
      <c r="A9683" s="691"/>
      <c r="D9683" s="3"/>
    </row>
    <row r="9684" spans="1:4">
      <c r="A9684" s="691"/>
      <c r="D9684" s="3"/>
    </row>
    <row r="9685" spans="1:4">
      <c r="A9685" s="691"/>
      <c r="D9685" s="3"/>
    </row>
    <row r="9686" spans="1:4">
      <c r="A9686" s="691"/>
      <c r="D9686" s="3"/>
    </row>
    <row r="9687" spans="1:4">
      <c r="A9687" s="691"/>
      <c r="D9687" s="3"/>
    </row>
    <row r="9688" spans="1:4">
      <c r="A9688" s="691"/>
      <c r="D9688" s="3"/>
    </row>
    <row r="9689" spans="1:4">
      <c r="A9689" s="691"/>
      <c r="D9689" s="3"/>
    </row>
    <row r="9690" spans="1:4">
      <c r="A9690" s="691"/>
      <c r="D9690" s="3"/>
    </row>
    <row r="9691" spans="1:4">
      <c r="A9691" s="691"/>
      <c r="D9691" s="3"/>
    </row>
    <row r="9692" spans="1:4">
      <c r="A9692" s="691"/>
      <c r="D9692" s="3"/>
    </row>
    <row r="9693" spans="1:4">
      <c r="A9693" s="691"/>
      <c r="D9693" s="3"/>
    </row>
    <row r="9694" spans="1:4">
      <c r="A9694" s="691"/>
      <c r="D9694" s="3"/>
    </row>
    <row r="9695" spans="1:4">
      <c r="A9695" s="691"/>
      <c r="D9695" s="3"/>
    </row>
    <row r="9696" spans="1:4">
      <c r="A9696" s="691"/>
      <c r="D9696" s="3"/>
    </row>
    <row r="9697" spans="1:4">
      <c r="A9697" s="691"/>
      <c r="D9697" s="3"/>
    </row>
    <row r="9698" spans="1:4">
      <c r="A9698" s="691"/>
      <c r="D9698" s="3"/>
    </row>
    <row r="9699" spans="1:4">
      <c r="A9699" s="691"/>
      <c r="D9699" s="3"/>
    </row>
    <row r="9700" spans="1:4">
      <c r="A9700" s="691"/>
      <c r="D9700" s="3"/>
    </row>
    <row r="9701" spans="1:4">
      <c r="A9701" s="691"/>
      <c r="D9701" s="3"/>
    </row>
    <row r="9702" spans="1:4">
      <c r="A9702" s="691"/>
      <c r="D9702" s="3"/>
    </row>
    <row r="9703" spans="1:4">
      <c r="A9703" s="691"/>
      <c r="D9703" s="3"/>
    </row>
    <row r="9704" spans="1:4">
      <c r="A9704" s="691"/>
      <c r="D9704" s="3"/>
    </row>
    <row r="9705" spans="1:4">
      <c r="A9705" s="691"/>
      <c r="D9705" s="3"/>
    </row>
    <row r="9706" spans="1:4">
      <c r="A9706" s="691"/>
      <c r="D9706" s="3"/>
    </row>
    <row r="9707" spans="1:4">
      <c r="A9707" s="691"/>
      <c r="D9707" s="3"/>
    </row>
    <row r="9708" spans="1:4">
      <c r="A9708" s="691"/>
      <c r="D9708" s="3"/>
    </row>
    <row r="9709" spans="1:4">
      <c r="A9709" s="691"/>
      <c r="D9709" s="3"/>
    </row>
    <row r="9710" spans="1:4">
      <c r="A9710" s="691"/>
      <c r="D9710" s="3"/>
    </row>
    <row r="9711" spans="1:4">
      <c r="A9711" s="691"/>
      <c r="D9711" s="3"/>
    </row>
    <row r="9712" spans="1:4">
      <c r="A9712" s="691"/>
      <c r="D9712" s="3"/>
    </row>
    <row r="9713" spans="1:4">
      <c r="A9713" s="691"/>
      <c r="D9713" s="3"/>
    </row>
    <row r="9714" spans="1:4">
      <c r="A9714" s="691"/>
      <c r="D9714" s="3"/>
    </row>
    <row r="9715" spans="1:4">
      <c r="A9715" s="691"/>
      <c r="D9715" s="3"/>
    </row>
    <row r="9716" spans="1:4">
      <c r="A9716" s="691"/>
      <c r="D9716" s="3"/>
    </row>
    <row r="9717" spans="1:4">
      <c r="A9717" s="691"/>
      <c r="D9717" s="3"/>
    </row>
    <row r="9718" spans="1:4">
      <c r="A9718" s="691"/>
      <c r="D9718" s="3"/>
    </row>
    <row r="9719" spans="1:4">
      <c r="A9719" s="691"/>
      <c r="D9719" s="3"/>
    </row>
    <row r="9720" spans="1:4">
      <c r="A9720" s="691"/>
      <c r="D9720" s="3"/>
    </row>
    <row r="9721" spans="1:4">
      <c r="A9721" s="691"/>
      <c r="D9721" s="3"/>
    </row>
    <row r="9722" spans="1:4">
      <c r="A9722" s="691"/>
      <c r="D9722" s="3"/>
    </row>
    <row r="9723" spans="1:4">
      <c r="A9723" s="691"/>
      <c r="D9723" s="3"/>
    </row>
    <row r="9724" spans="1:4">
      <c r="A9724" s="691"/>
      <c r="D9724" s="3"/>
    </row>
    <row r="9725" spans="1:4">
      <c r="A9725" s="691"/>
      <c r="D9725" s="3"/>
    </row>
    <row r="9726" spans="1:4">
      <c r="A9726" s="691"/>
      <c r="D9726" s="3"/>
    </row>
    <row r="9727" spans="1:4">
      <c r="A9727" s="691"/>
      <c r="D9727" s="3"/>
    </row>
    <row r="9728" spans="1:4">
      <c r="A9728" s="691"/>
      <c r="D9728" s="3"/>
    </row>
    <row r="9729" spans="1:4">
      <c r="A9729" s="691"/>
      <c r="D9729" s="3"/>
    </row>
    <row r="9730" spans="1:4">
      <c r="A9730" s="691"/>
      <c r="D9730" s="3"/>
    </row>
    <row r="9731" spans="1:4">
      <c r="A9731" s="691"/>
      <c r="D9731" s="3"/>
    </row>
    <row r="9732" spans="1:4">
      <c r="A9732" s="691"/>
      <c r="D9732" s="3"/>
    </row>
    <row r="9733" spans="1:4">
      <c r="A9733" s="691"/>
      <c r="D9733" s="3"/>
    </row>
    <row r="9734" spans="1:4">
      <c r="A9734" s="691"/>
      <c r="D9734" s="3"/>
    </row>
    <row r="9735" spans="1:4">
      <c r="A9735" s="691"/>
      <c r="D9735" s="3"/>
    </row>
    <row r="9736" spans="1:4">
      <c r="A9736" s="691"/>
      <c r="D9736" s="3"/>
    </row>
    <row r="9737" spans="1:4">
      <c r="A9737" s="691"/>
      <c r="D9737" s="3"/>
    </row>
    <row r="9738" spans="1:4">
      <c r="A9738" s="691"/>
      <c r="D9738" s="3"/>
    </row>
    <row r="9739" spans="1:4">
      <c r="A9739" s="691"/>
      <c r="D9739" s="3"/>
    </row>
    <row r="9740" spans="1:4">
      <c r="A9740" s="691"/>
      <c r="D9740" s="3"/>
    </row>
    <row r="9741" spans="1:4">
      <c r="A9741" s="691"/>
      <c r="D9741" s="3"/>
    </row>
    <row r="9742" spans="1:4">
      <c r="A9742" s="691"/>
      <c r="D9742" s="3"/>
    </row>
    <row r="9743" spans="1:4">
      <c r="A9743" s="691"/>
      <c r="D9743" s="3"/>
    </row>
    <row r="9744" spans="1:4">
      <c r="A9744" s="691"/>
      <c r="D9744" s="3"/>
    </row>
    <row r="9745" spans="1:4">
      <c r="A9745" s="691"/>
      <c r="D9745" s="3"/>
    </row>
    <row r="9746" spans="1:4">
      <c r="A9746" s="691"/>
      <c r="D9746" s="3"/>
    </row>
    <row r="9747" spans="1:4">
      <c r="A9747" s="691"/>
      <c r="D9747" s="3"/>
    </row>
    <row r="9748" spans="1:4">
      <c r="A9748" s="691"/>
      <c r="D9748" s="3"/>
    </row>
    <row r="9749" spans="1:4">
      <c r="A9749" s="691"/>
      <c r="D9749" s="3"/>
    </row>
    <row r="9750" spans="1:4">
      <c r="A9750" s="691"/>
      <c r="D9750" s="3"/>
    </row>
    <row r="9751" spans="1:4">
      <c r="A9751" s="691"/>
      <c r="D9751" s="3"/>
    </row>
    <row r="9752" spans="1:4">
      <c r="A9752" s="691"/>
      <c r="D9752" s="3"/>
    </row>
    <row r="9753" spans="1:4">
      <c r="A9753" s="691"/>
      <c r="D9753" s="3"/>
    </row>
    <row r="9754" spans="1:4">
      <c r="A9754" s="691"/>
      <c r="D9754" s="3"/>
    </row>
    <row r="9755" spans="1:4">
      <c r="A9755" s="691"/>
      <c r="D9755" s="3"/>
    </row>
    <row r="9756" spans="1:4">
      <c r="A9756" s="691"/>
      <c r="D9756" s="3"/>
    </row>
    <row r="9757" spans="1:4">
      <c r="A9757" s="691"/>
      <c r="D9757" s="3"/>
    </row>
    <row r="9758" spans="1:4">
      <c r="A9758" s="691"/>
      <c r="D9758" s="3"/>
    </row>
    <row r="9759" spans="1:4">
      <c r="A9759" s="691"/>
      <c r="D9759" s="3"/>
    </row>
    <row r="9760" spans="1:4">
      <c r="A9760" s="691"/>
      <c r="D9760" s="3"/>
    </row>
    <row r="9761" spans="1:4">
      <c r="A9761" s="691"/>
      <c r="D9761" s="3"/>
    </row>
    <row r="9762" spans="1:4">
      <c r="A9762" s="691"/>
      <c r="D9762" s="3"/>
    </row>
    <row r="9763" spans="1:4">
      <c r="A9763" s="691"/>
      <c r="D9763" s="3"/>
    </row>
    <row r="9764" spans="1:4">
      <c r="A9764" s="691"/>
      <c r="D9764" s="3"/>
    </row>
    <row r="9765" spans="1:4">
      <c r="A9765" s="691"/>
      <c r="D9765" s="3"/>
    </row>
    <row r="9766" spans="1:4">
      <c r="A9766" s="691"/>
      <c r="D9766" s="3"/>
    </row>
    <row r="9767" spans="1:4">
      <c r="A9767" s="691"/>
      <c r="D9767" s="3"/>
    </row>
    <row r="9768" spans="1:4">
      <c r="A9768" s="691"/>
      <c r="D9768" s="3"/>
    </row>
    <row r="9769" spans="1:4">
      <c r="A9769" s="691"/>
      <c r="D9769" s="3"/>
    </row>
    <row r="9770" spans="1:4">
      <c r="A9770" s="691"/>
      <c r="D9770" s="3"/>
    </row>
    <row r="9771" spans="1:4">
      <c r="A9771" s="691"/>
      <c r="D9771" s="3"/>
    </row>
    <row r="9772" spans="1:4">
      <c r="A9772" s="691"/>
      <c r="D9772" s="3"/>
    </row>
    <row r="9773" spans="1:4">
      <c r="A9773" s="691"/>
      <c r="D9773" s="3"/>
    </row>
    <row r="9774" spans="1:4">
      <c r="A9774" s="691"/>
      <c r="D9774" s="3"/>
    </row>
    <row r="9775" spans="1:4">
      <c r="A9775" s="691"/>
      <c r="D9775" s="3"/>
    </row>
    <row r="9776" spans="1:4">
      <c r="A9776" s="691"/>
      <c r="D9776" s="3"/>
    </row>
    <row r="9777" spans="1:4">
      <c r="A9777" s="691"/>
      <c r="D9777" s="3"/>
    </row>
    <row r="9778" spans="1:4">
      <c r="A9778" s="691"/>
      <c r="D9778" s="3"/>
    </row>
    <row r="9779" spans="1:4">
      <c r="A9779" s="691"/>
      <c r="D9779" s="3"/>
    </row>
    <row r="9780" spans="1:4">
      <c r="A9780" s="691"/>
      <c r="D9780" s="3"/>
    </row>
    <row r="9781" spans="1:4">
      <c r="A9781" s="691"/>
      <c r="D9781" s="3"/>
    </row>
    <row r="9782" spans="1:4">
      <c r="A9782" s="691"/>
      <c r="D9782" s="3"/>
    </row>
    <row r="9783" spans="1:4">
      <c r="A9783" s="691"/>
      <c r="D9783" s="3"/>
    </row>
    <row r="9784" spans="1:4">
      <c r="A9784" s="691"/>
      <c r="D9784" s="3"/>
    </row>
    <row r="9785" spans="1:4">
      <c r="A9785" s="691"/>
      <c r="D9785" s="3"/>
    </row>
    <row r="9786" spans="1:4">
      <c r="A9786" s="691"/>
      <c r="D9786" s="3"/>
    </row>
    <row r="9787" spans="1:4">
      <c r="A9787" s="691"/>
      <c r="D9787" s="3"/>
    </row>
    <row r="9788" spans="1:4">
      <c r="A9788" s="691"/>
      <c r="D9788" s="3"/>
    </row>
    <row r="9789" spans="1:4">
      <c r="A9789" s="691"/>
      <c r="D9789" s="3"/>
    </row>
    <row r="9790" spans="1:4">
      <c r="A9790" s="691"/>
      <c r="D9790" s="3"/>
    </row>
    <row r="9791" spans="1:4">
      <c r="A9791" s="691"/>
      <c r="D9791" s="3"/>
    </row>
    <row r="9792" spans="1:4">
      <c r="A9792" s="691"/>
      <c r="D9792" s="3"/>
    </row>
    <row r="9793" spans="1:4">
      <c r="A9793" s="691"/>
      <c r="D9793" s="3"/>
    </row>
    <row r="9794" spans="1:4">
      <c r="A9794" s="691"/>
      <c r="D9794" s="3"/>
    </row>
    <row r="9795" spans="1:4">
      <c r="A9795" s="691"/>
      <c r="D9795" s="3"/>
    </row>
    <row r="9796" spans="1:4">
      <c r="A9796" s="691"/>
      <c r="D9796" s="3"/>
    </row>
    <row r="9797" spans="1:4">
      <c r="A9797" s="691"/>
      <c r="D9797" s="3"/>
    </row>
    <row r="9798" spans="1:4">
      <c r="A9798" s="691"/>
      <c r="D9798" s="3"/>
    </row>
    <row r="9799" spans="1:4">
      <c r="A9799" s="691"/>
      <c r="D9799" s="3"/>
    </row>
    <row r="9800" spans="1:4">
      <c r="A9800" s="691"/>
      <c r="D9800" s="3"/>
    </row>
    <row r="9801" spans="1:4">
      <c r="A9801" s="691"/>
      <c r="D9801" s="3"/>
    </row>
    <row r="9802" spans="1:4">
      <c r="A9802" s="691"/>
      <c r="D9802" s="3"/>
    </row>
    <row r="9803" spans="1:4">
      <c r="A9803" s="691"/>
      <c r="D9803" s="3"/>
    </row>
    <row r="9804" spans="1:4">
      <c r="A9804" s="691"/>
      <c r="D9804" s="3"/>
    </row>
    <row r="9805" spans="1:4">
      <c r="A9805" s="691"/>
      <c r="D9805" s="3"/>
    </row>
    <row r="9806" spans="1:4">
      <c r="A9806" s="691"/>
      <c r="D9806" s="3"/>
    </row>
    <row r="9807" spans="1:4">
      <c r="A9807" s="691"/>
      <c r="D9807" s="3"/>
    </row>
    <row r="9808" spans="1:4">
      <c r="A9808" s="691"/>
      <c r="D9808" s="3"/>
    </row>
    <row r="9809" spans="1:4">
      <c r="A9809" s="691"/>
      <c r="D9809" s="3"/>
    </row>
    <row r="9810" spans="1:4">
      <c r="A9810" s="691"/>
      <c r="D9810" s="3"/>
    </row>
    <row r="9811" spans="1:4">
      <c r="A9811" s="691"/>
      <c r="D9811" s="3"/>
    </row>
    <row r="9812" spans="1:4">
      <c r="A9812" s="691"/>
      <c r="D9812" s="3"/>
    </row>
    <row r="9813" spans="1:4">
      <c r="A9813" s="691"/>
      <c r="D9813" s="3"/>
    </row>
    <row r="9814" spans="1:4">
      <c r="A9814" s="691"/>
      <c r="D9814" s="3"/>
    </row>
    <row r="9815" spans="1:4">
      <c r="A9815" s="691"/>
      <c r="D9815" s="3"/>
    </row>
    <row r="9816" spans="1:4">
      <c r="A9816" s="691"/>
      <c r="D9816" s="3"/>
    </row>
    <row r="9817" spans="1:4">
      <c r="A9817" s="691"/>
      <c r="D9817" s="3"/>
    </row>
    <row r="9818" spans="1:4">
      <c r="A9818" s="691"/>
      <c r="D9818" s="3"/>
    </row>
    <row r="9819" spans="1:4">
      <c r="A9819" s="691"/>
      <c r="D9819" s="3"/>
    </row>
    <row r="9820" spans="1:4">
      <c r="A9820" s="691"/>
      <c r="D9820" s="3"/>
    </row>
    <row r="9821" spans="1:4">
      <c r="A9821" s="691"/>
      <c r="D9821" s="3"/>
    </row>
    <row r="9822" spans="1:4">
      <c r="A9822" s="691"/>
      <c r="D9822" s="3"/>
    </row>
    <row r="9823" spans="1:4">
      <c r="A9823" s="691"/>
      <c r="D9823" s="3"/>
    </row>
    <row r="9824" spans="1:4">
      <c r="A9824" s="691"/>
      <c r="D9824" s="3"/>
    </row>
    <row r="9825" spans="1:4">
      <c r="A9825" s="691"/>
      <c r="D9825" s="3"/>
    </row>
    <row r="9826" spans="1:4">
      <c r="A9826" s="691"/>
      <c r="D9826" s="3"/>
    </row>
    <row r="9827" spans="1:4">
      <c r="A9827" s="691"/>
      <c r="D9827" s="3"/>
    </row>
    <row r="9828" spans="1:4">
      <c r="A9828" s="691"/>
      <c r="D9828" s="3"/>
    </row>
    <row r="9829" spans="1:4">
      <c r="A9829" s="691"/>
      <c r="D9829" s="3"/>
    </row>
    <row r="9830" spans="1:4">
      <c r="A9830" s="691"/>
      <c r="D9830" s="3"/>
    </row>
    <row r="9831" spans="1:4">
      <c r="A9831" s="691"/>
      <c r="D9831" s="3"/>
    </row>
    <row r="9832" spans="1:4">
      <c r="A9832" s="691"/>
      <c r="D9832" s="3"/>
    </row>
    <row r="9833" spans="1:4">
      <c r="A9833" s="691"/>
      <c r="D9833" s="3"/>
    </row>
    <row r="9834" spans="1:4">
      <c r="A9834" s="691"/>
      <c r="D9834" s="3"/>
    </row>
    <row r="9835" spans="1:4">
      <c r="A9835" s="691"/>
      <c r="D9835" s="3"/>
    </row>
    <row r="9836" spans="1:4">
      <c r="A9836" s="691"/>
      <c r="D9836" s="3"/>
    </row>
    <row r="9837" spans="1:4">
      <c r="A9837" s="691"/>
      <c r="D9837" s="3"/>
    </row>
    <row r="9838" spans="1:4">
      <c r="A9838" s="691"/>
      <c r="D9838" s="3"/>
    </row>
    <row r="9839" spans="1:4">
      <c r="A9839" s="691"/>
      <c r="D9839" s="3"/>
    </row>
    <row r="9840" spans="1:4">
      <c r="A9840" s="691"/>
      <c r="D9840" s="3"/>
    </row>
    <row r="9841" spans="1:4">
      <c r="A9841" s="691"/>
      <c r="D9841" s="3"/>
    </row>
    <row r="9842" spans="1:4">
      <c r="A9842" s="691"/>
      <c r="D9842" s="3"/>
    </row>
    <row r="9843" spans="1:4">
      <c r="A9843" s="691"/>
      <c r="D9843" s="3"/>
    </row>
    <row r="9844" spans="1:4">
      <c r="A9844" s="691"/>
      <c r="D9844" s="3"/>
    </row>
    <row r="9845" spans="1:4">
      <c r="A9845" s="691"/>
      <c r="D9845" s="3"/>
    </row>
    <row r="9846" spans="1:4">
      <c r="A9846" s="691"/>
      <c r="D9846" s="3"/>
    </row>
    <row r="9847" spans="1:4">
      <c r="A9847" s="691"/>
      <c r="D9847" s="3"/>
    </row>
    <row r="9848" spans="1:4">
      <c r="A9848" s="691"/>
      <c r="D9848" s="3"/>
    </row>
    <row r="9849" spans="1:4">
      <c r="A9849" s="691"/>
      <c r="D9849" s="3"/>
    </row>
    <row r="9850" spans="1:4">
      <c r="A9850" s="691"/>
      <c r="D9850" s="3"/>
    </row>
    <row r="9851" spans="1:4">
      <c r="A9851" s="691"/>
      <c r="D9851" s="3"/>
    </row>
    <row r="9852" spans="1:4">
      <c r="A9852" s="691"/>
      <c r="D9852" s="3"/>
    </row>
    <row r="9853" spans="1:4">
      <c r="A9853" s="691"/>
      <c r="D9853" s="3"/>
    </row>
    <row r="9854" spans="1:4">
      <c r="A9854" s="691"/>
      <c r="D9854" s="3"/>
    </row>
    <row r="9855" spans="1:4">
      <c r="A9855" s="691"/>
      <c r="D9855" s="3"/>
    </row>
    <row r="9856" spans="1:4">
      <c r="A9856" s="691"/>
      <c r="D9856" s="3"/>
    </row>
    <row r="9857" spans="1:4">
      <c r="A9857" s="691"/>
      <c r="D9857" s="3"/>
    </row>
    <row r="9858" spans="1:4">
      <c r="A9858" s="691"/>
      <c r="D9858" s="3"/>
    </row>
    <row r="9859" spans="1:4">
      <c r="A9859" s="691"/>
      <c r="D9859" s="3"/>
    </row>
    <row r="9860" spans="1:4">
      <c r="A9860" s="691"/>
      <c r="D9860" s="3"/>
    </row>
    <row r="9861" spans="1:4">
      <c r="A9861" s="691"/>
      <c r="D9861" s="3"/>
    </row>
    <row r="9862" spans="1:4">
      <c r="A9862" s="691"/>
      <c r="D9862" s="3"/>
    </row>
    <row r="9863" spans="1:4">
      <c r="A9863" s="691"/>
      <c r="D9863" s="3"/>
    </row>
    <row r="9864" spans="1:4">
      <c r="A9864" s="691"/>
      <c r="D9864" s="3"/>
    </row>
    <row r="9865" spans="1:4">
      <c r="A9865" s="691"/>
      <c r="D9865" s="3"/>
    </row>
    <row r="9866" spans="1:4">
      <c r="A9866" s="691"/>
      <c r="D9866" s="3"/>
    </row>
    <row r="9867" spans="1:4">
      <c r="A9867" s="691"/>
      <c r="D9867" s="3"/>
    </row>
    <row r="9868" spans="1:4">
      <c r="A9868" s="691"/>
      <c r="D9868" s="3"/>
    </row>
    <row r="9869" spans="1:4">
      <c r="A9869" s="691"/>
      <c r="D9869" s="3"/>
    </row>
    <row r="9870" spans="1:4">
      <c r="A9870" s="691"/>
      <c r="D9870" s="3"/>
    </row>
    <row r="9871" spans="1:4">
      <c r="A9871" s="691"/>
      <c r="D9871" s="3"/>
    </row>
    <row r="9872" spans="1:4">
      <c r="A9872" s="691"/>
      <c r="D9872" s="3"/>
    </row>
    <row r="9873" spans="1:4">
      <c r="A9873" s="691"/>
      <c r="D9873" s="3"/>
    </row>
    <row r="9874" spans="1:4">
      <c r="A9874" s="691"/>
      <c r="D9874" s="3"/>
    </row>
    <row r="9875" spans="1:4">
      <c r="A9875" s="691"/>
      <c r="D9875" s="3"/>
    </row>
    <row r="9876" spans="1:4">
      <c r="A9876" s="691"/>
      <c r="D9876" s="3"/>
    </row>
    <row r="9877" spans="1:4">
      <c r="A9877" s="691"/>
      <c r="D9877" s="3"/>
    </row>
    <row r="9878" spans="1:4">
      <c r="A9878" s="691"/>
      <c r="D9878" s="3"/>
    </row>
    <row r="9879" spans="1:4">
      <c r="A9879" s="691"/>
      <c r="D9879" s="3"/>
    </row>
    <row r="9880" spans="1:4">
      <c r="A9880" s="691"/>
      <c r="D9880" s="3"/>
    </row>
    <row r="9881" spans="1:4">
      <c r="A9881" s="691"/>
      <c r="D9881" s="3"/>
    </row>
    <row r="9882" spans="1:4">
      <c r="A9882" s="691"/>
      <c r="D9882" s="3"/>
    </row>
    <row r="9883" spans="1:4">
      <c r="A9883" s="691"/>
      <c r="D9883" s="3"/>
    </row>
    <row r="9884" spans="1:4">
      <c r="A9884" s="691"/>
      <c r="D9884" s="3"/>
    </row>
    <row r="9885" spans="1:4">
      <c r="A9885" s="691"/>
      <c r="D9885" s="3"/>
    </row>
    <row r="9886" spans="1:4">
      <c r="A9886" s="691"/>
      <c r="D9886" s="3"/>
    </row>
    <row r="9887" spans="1:4">
      <c r="A9887" s="691"/>
      <c r="D9887" s="3"/>
    </row>
    <row r="9888" spans="1:4">
      <c r="A9888" s="691"/>
      <c r="D9888" s="3"/>
    </row>
    <row r="9889" spans="1:4">
      <c r="A9889" s="691"/>
      <c r="D9889" s="3"/>
    </row>
    <row r="9890" spans="1:4">
      <c r="A9890" s="691"/>
      <c r="D9890" s="3"/>
    </row>
    <row r="9891" spans="1:4">
      <c r="A9891" s="691"/>
      <c r="D9891" s="3"/>
    </row>
    <row r="9892" spans="1:4">
      <c r="A9892" s="691"/>
      <c r="D9892" s="3"/>
    </row>
    <row r="9893" spans="1:4">
      <c r="A9893" s="691"/>
      <c r="D9893" s="3"/>
    </row>
    <row r="9894" spans="1:4">
      <c r="A9894" s="691"/>
      <c r="D9894" s="3"/>
    </row>
    <row r="9895" spans="1:4">
      <c r="A9895" s="691"/>
      <c r="D9895" s="3"/>
    </row>
    <row r="9896" spans="1:4">
      <c r="A9896" s="691"/>
      <c r="D9896" s="3"/>
    </row>
    <row r="9897" spans="1:4">
      <c r="A9897" s="691"/>
      <c r="D9897" s="3"/>
    </row>
    <row r="9898" spans="1:4">
      <c r="A9898" s="691"/>
      <c r="D9898" s="3"/>
    </row>
    <row r="9899" spans="1:4">
      <c r="A9899" s="691"/>
      <c r="D9899" s="3"/>
    </row>
    <row r="9900" spans="1:4">
      <c r="A9900" s="691"/>
      <c r="D9900" s="3"/>
    </row>
    <row r="9901" spans="1:4">
      <c r="A9901" s="691"/>
      <c r="D9901" s="3"/>
    </row>
    <row r="9902" spans="1:4">
      <c r="A9902" s="691"/>
      <c r="D9902" s="3"/>
    </row>
    <row r="9903" spans="1:4">
      <c r="A9903" s="691"/>
      <c r="D9903" s="3"/>
    </row>
    <row r="9904" spans="1:4">
      <c r="A9904" s="691"/>
      <c r="D9904" s="3"/>
    </row>
    <row r="9905" spans="1:4">
      <c r="A9905" s="691"/>
      <c r="D9905" s="3"/>
    </row>
    <row r="9906" spans="1:4">
      <c r="A9906" s="691"/>
      <c r="D9906" s="3"/>
    </row>
    <row r="9907" spans="1:4">
      <c r="A9907" s="691"/>
      <c r="D9907" s="3"/>
    </row>
    <row r="9908" spans="1:4">
      <c r="A9908" s="691"/>
      <c r="D9908" s="3"/>
    </row>
    <row r="9909" spans="1:4">
      <c r="A9909" s="691"/>
      <c r="D9909" s="3"/>
    </row>
    <row r="9910" spans="1:4">
      <c r="A9910" s="691"/>
      <c r="D9910" s="3"/>
    </row>
    <row r="9911" spans="1:4">
      <c r="A9911" s="691"/>
      <c r="D9911" s="3"/>
    </row>
    <row r="9912" spans="1:4">
      <c r="A9912" s="691"/>
      <c r="D9912" s="3"/>
    </row>
    <row r="9913" spans="1:4">
      <c r="A9913" s="691"/>
      <c r="D9913" s="3"/>
    </row>
    <row r="9914" spans="1:4">
      <c r="A9914" s="691"/>
      <c r="D9914" s="3"/>
    </row>
    <row r="9915" spans="1:4">
      <c r="A9915" s="691"/>
      <c r="D9915" s="3"/>
    </row>
    <row r="9916" spans="1:4">
      <c r="A9916" s="691"/>
      <c r="D9916" s="3"/>
    </row>
    <row r="9917" spans="1:4">
      <c r="A9917" s="691"/>
      <c r="D9917" s="3"/>
    </row>
    <row r="9918" spans="1:4">
      <c r="A9918" s="691"/>
      <c r="D9918" s="3"/>
    </row>
    <row r="9919" spans="1:4">
      <c r="A9919" s="691"/>
      <c r="D9919" s="3"/>
    </row>
    <row r="9920" spans="1:4">
      <c r="A9920" s="691"/>
      <c r="D9920" s="3"/>
    </row>
    <row r="9921" spans="1:4">
      <c r="A9921" s="691"/>
      <c r="D9921" s="3"/>
    </row>
    <row r="9922" spans="1:4">
      <c r="A9922" s="691"/>
      <c r="D9922" s="3"/>
    </row>
    <row r="9923" spans="1:4">
      <c r="A9923" s="691"/>
      <c r="D9923" s="3"/>
    </row>
    <row r="9924" spans="1:4">
      <c r="A9924" s="691"/>
      <c r="D9924" s="3"/>
    </row>
    <row r="9925" spans="1:4">
      <c r="A9925" s="691"/>
      <c r="D9925" s="3"/>
    </row>
    <row r="9926" spans="1:4">
      <c r="A9926" s="691"/>
      <c r="D9926" s="3"/>
    </row>
    <row r="9927" spans="1:4">
      <c r="A9927" s="691"/>
      <c r="D9927" s="3"/>
    </row>
    <row r="9928" spans="1:4">
      <c r="A9928" s="691"/>
      <c r="D9928" s="3"/>
    </row>
    <row r="9929" spans="1:4">
      <c r="A9929" s="691"/>
      <c r="D9929" s="3"/>
    </row>
    <row r="9930" spans="1:4">
      <c r="A9930" s="691"/>
      <c r="D9930" s="3"/>
    </row>
    <row r="9931" spans="1:4">
      <c r="A9931" s="691"/>
      <c r="D9931" s="3"/>
    </row>
    <row r="9932" spans="1:4">
      <c r="A9932" s="691"/>
      <c r="D9932" s="3"/>
    </row>
    <row r="9933" spans="1:4">
      <c r="A9933" s="691"/>
      <c r="D9933" s="3"/>
    </row>
    <row r="9934" spans="1:4">
      <c r="A9934" s="691"/>
      <c r="D9934" s="3"/>
    </row>
    <row r="9935" spans="1:4">
      <c r="A9935" s="691"/>
      <c r="D9935" s="3"/>
    </row>
    <row r="9936" spans="1:4">
      <c r="A9936" s="691"/>
      <c r="D9936" s="3"/>
    </row>
    <row r="9937" spans="1:4">
      <c r="A9937" s="691"/>
      <c r="D9937" s="3"/>
    </row>
    <row r="9938" spans="1:4">
      <c r="A9938" s="691"/>
      <c r="D9938" s="3"/>
    </row>
    <row r="9939" spans="1:4">
      <c r="A9939" s="691"/>
      <c r="D9939" s="3"/>
    </row>
    <row r="9940" spans="1:4">
      <c r="A9940" s="691"/>
      <c r="D9940" s="3"/>
    </row>
    <row r="9941" spans="1:4">
      <c r="A9941" s="691"/>
      <c r="D9941" s="3"/>
    </row>
    <row r="9942" spans="1:4">
      <c r="A9942" s="691"/>
      <c r="D9942" s="3"/>
    </row>
    <row r="9943" spans="1:4">
      <c r="A9943" s="691"/>
      <c r="D9943" s="3"/>
    </row>
    <row r="9944" spans="1:4">
      <c r="A9944" s="691"/>
      <c r="D9944" s="3"/>
    </row>
    <row r="9945" spans="1:4">
      <c r="A9945" s="691"/>
      <c r="D9945" s="3"/>
    </row>
    <row r="9946" spans="1:4">
      <c r="A9946" s="691"/>
      <c r="D9946" s="3"/>
    </row>
    <row r="9947" spans="1:4">
      <c r="A9947" s="691"/>
      <c r="D9947" s="3"/>
    </row>
    <row r="9948" spans="1:4">
      <c r="A9948" s="691"/>
      <c r="D9948" s="3"/>
    </row>
    <row r="9949" spans="1:4">
      <c r="A9949" s="691"/>
      <c r="D9949" s="3"/>
    </row>
    <row r="9950" spans="1:4">
      <c r="A9950" s="691"/>
      <c r="D9950" s="3"/>
    </row>
    <row r="9951" spans="1:4">
      <c r="A9951" s="691"/>
      <c r="D9951" s="3"/>
    </row>
    <row r="9952" spans="1:4">
      <c r="A9952" s="691"/>
      <c r="D9952" s="3"/>
    </row>
    <row r="9953" spans="1:4">
      <c r="A9953" s="691"/>
      <c r="D9953" s="3"/>
    </row>
    <row r="9954" spans="1:4">
      <c r="A9954" s="691"/>
      <c r="D9954" s="3"/>
    </row>
    <row r="9955" spans="1:4">
      <c r="A9955" s="691"/>
      <c r="D9955" s="3"/>
    </row>
    <row r="9956" spans="1:4">
      <c r="A9956" s="691"/>
      <c r="D9956" s="3"/>
    </row>
    <row r="9957" spans="1:4">
      <c r="A9957" s="691"/>
      <c r="D9957" s="3"/>
    </row>
    <row r="9958" spans="1:4">
      <c r="A9958" s="691"/>
      <c r="D9958" s="3"/>
    </row>
    <row r="9959" spans="1:4">
      <c r="A9959" s="691"/>
      <c r="D9959" s="3"/>
    </row>
    <row r="9960" spans="1:4">
      <c r="A9960" s="691"/>
      <c r="D9960" s="3"/>
    </row>
    <row r="9961" spans="1:4">
      <c r="A9961" s="691"/>
      <c r="D9961" s="3"/>
    </row>
    <row r="9962" spans="1:4">
      <c r="A9962" s="691"/>
      <c r="D9962" s="3"/>
    </row>
    <row r="9963" spans="1:4">
      <c r="A9963" s="691"/>
      <c r="D9963" s="3"/>
    </row>
    <row r="9964" spans="1:4">
      <c r="A9964" s="691"/>
      <c r="D9964" s="3"/>
    </row>
    <row r="9965" spans="1:4">
      <c r="A9965" s="691"/>
      <c r="D9965" s="3"/>
    </row>
    <row r="9966" spans="1:4">
      <c r="A9966" s="691"/>
      <c r="D9966" s="3"/>
    </row>
    <row r="9967" spans="1:4">
      <c r="A9967" s="691"/>
      <c r="D9967" s="3"/>
    </row>
    <row r="9968" spans="1:4">
      <c r="A9968" s="691"/>
      <c r="D9968" s="3"/>
    </row>
    <row r="9969" spans="1:4">
      <c r="A9969" s="691"/>
      <c r="D9969" s="3"/>
    </row>
    <row r="9970" spans="1:4">
      <c r="A9970" s="691"/>
      <c r="D9970" s="3"/>
    </row>
    <row r="9971" spans="1:4">
      <c r="A9971" s="691"/>
      <c r="D9971" s="3"/>
    </row>
    <row r="9972" spans="1:4">
      <c r="A9972" s="691"/>
      <c r="D9972" s="3"/>
    </row>
    <row r="9973" spans="1:4">
      <c r="A9973" s="691"/>
      <c r="D9973" s="3"/>
    </row>
    <row r="9974" spans="1:4">
      <c r="A9974" s="691"/>
      <c r="D9974" s="3"/>
    </row>
    <row r="9975" spans="1:4">
      <c r="A9975" s="691"/>
      <c r="D9975" s="3"/>
    </row>
    <row r="9976" spans="1:4">
      <c r="A9976" s="691"/>
      <c r="D9976" s="3"/>
    </row>
    <row r="9977" spans="1:4">
      <c r="A9977" s="691"/>
      <c r="D9977" s="3"/>
    </row>
    <row r="9978" spans="1:4">
      <c r="A9978" s="691"/>
      <c r="D9978" s="3"/>
    </row>
    <row r="9979" spans="1:4">
      <c r="A9979" s="691"/>
      <c r="D9979" s="3"/>
    </row>
    <row r="9980" spans="1:4">
      <c r="A9980" s="691"/>
      <c r="D9980" s="3"/>
    </row>
    <row r="9981" spans="1:4">
      <c r="A9981" s="691"/>
      <c r="D9981" s="3"/>
    </row>
    <row r="9982" spans="1:4">
      <c r="A9982" s="691"/>
      <c r="D9982" s="3"/>
    </row>
    <row r="9983" spans="1:4">
      <c r="A9983" s="691"/>
      <c r="D9983" s="3"/>
    </row>
    <row r="9984" spans="1:4">
      <c r="A9984" s="691"/>
      <c r="D9984" s="3"/>
    </row>
    <row r="9985" spans="1:4">
      <c r="A9985" s="691"/>
      <c r="D9985" s="3"/>
    </row>
    <row r="9986" spans="1:4">
      <c r="A9986" s="691"/>
      <c r="D9986" s="3"/>
    </row>
    <row r="9987" spans="1:4">
      <c r="A9987" s="691"/>
      <c r="D9987" s="3"/>
    </row>
    <row r="9988" spans="1:4">
      <c r="A9988" s="691"/>
      <c r="D9988" s="3"/>
    </row>
    <row r="9989" spans="1:4">
      <c r="A9989" s="691"/>
      <c r="D9989" s="3"/>
    </row>
    <row r="9990" spans="1:4">
      <c r="A9990" s="691"/>
      <c r="D9990" s="3"/>
    </row>
    <row r="9991" spans="1:4">
      <c r="A9991" s="691"/>
      <c r="D9991" s="3"/>
    </row>
    <row r="9992" spans="1:4">
      <c r="A9992" s="691"/>
      <c r="D9992" s="3"/>
    </row>
    <row r="9993" spans="1:4">
      <c r="A9993" s="691"/>
      <c r="D9993" s="3"/>
    </row>
    <row r="9994" spans="1:4">
      <c r="A9994" s="691"/>
      <c r="D9994" s="3"/>
    </row>
    <row r="9995" spans="1:4">
      <c r="A9995" s="691"/>
      <c r="D9995" s="3"/>
    </row>
    <row r="9996" spans="1:4">
      <c r="A9996" s="691"/>
      <c r="D9996" s="3"/>
    </row>
    <row r="9997" spans="1:4">
      <c r="A9997" s="691"/>
      <c r="D9997" s="3"/>
    </row>
    <row r="9998" spans="1:4">
      <c r="A9998" s="691"/>
      <c r="D9998" s="3"/>
    </row>
    <row r="9999" spans="1:4">
      <c r="A9999" s="691"/>
      <c r="D9999" s="3"/>
    </row>
    <row r="10000" spans="1:4">
      <c r="A10000" s="691"/>
      <c r="D10000" s="3"/>
    </row>
    <row r="10001" spans="1:4">
      <c r="A10001" s="691"/>
      <c r="D10001" s="3"/>
    </row>
    <row r="10002" spans="1:4">
      <c r="A10002" s="691"/>
      <c r="D10002" s="3"/>
    </row>
    <row r="10003" spans="1:4">
      <c r="A10003" s="691"/>
      <c r="D10003" s="3"/>
    </row>
    <row r="10004" spans="1:4">
      <c r="A10004" s="691"/>
      <c r="D10004" s="3"/>
    </row>
    <row r="10005" spans="1:4">
      <c r="A10005" s="691"/>
      <c r="D10005" s="3"/>
    </row>
    <row r="10006" spans="1:4">
      <c r="A10006" s="691"/>
      <c r="D10006" s="3"/>
    </row>
    <row r="10007" spans="1:4">
      <c r="A10007" s="691"/>
      <c r="D10007" s="3"/>
    </row>
    <row r="10008" spans="1:4">
      <c r="A10008" s="691"/>
      <c r="D10008" s="3"/>
    </row>
    <row r="10009" spans="1:4">
      <c r="A10009" s="691"/>
      <c r="D10009" s="3"/>
    </row>
    <row r="10010" spans="1:4">
      <c r="A10010" s="691"/>
      <c r="D10010" s="3"/>
    </row>
    <row r="10011" spans="1:4">
      <c r="A10011" s="691"/>
      <c r="D10011" s="3"/>
    </row>
    <row r="10012" spans="1:4">
      <c r="A10012" s="691"/>
      <c r="D10012" s="3"/>
    </row>
    <row r="10013" spans="1:4">
      <c r="A10013" s="691"/>
      <c r="D10013" s="3"/>
    </row>
    <row r="10014" spans="1:4">
      <c r="A10014" s="691"/>
      <c r="D10014" s="3"/>
    </row>
    <row r="10015" spans="1:4">
      <c r="A10015" s="691"/>
      <c r="D10015" s="3"/>
    </row>
    <row r="10016" spans="1:4">
      <c r="A10016" s="691"/>
      <c r="D10016" s="3"/>
    </row>
    <row r="10017" spans="1:4">
      <c r="A10017" s="691"/>
      <c r="D10017" s="3"/>
    </row>
    <row r="10018" spans="1:4">
      <c r="A10018" s="691"/>
      <c r="D10018" s="3"/>
    </row>
    <row r="10019" spans="1:4">
      <c r="A10019" s="691"/>
      <c r="D10019" s="3"/>
    </row>
    <row r="10020" spans="1:4">
      <c r="A10020" s="691"/>
      <c r="D10020" s="3"/>
    </row>
    <row r="10021" spans="1:4">
      <c r="A10021" s="691"/>
      <c r="D10021" s="3"/>
    </row>
    <row r="10022" spans="1:4">
      <c r="A10022" s="691"/>
      <c r="D10022" s="3"/>
    </row>
    <row r="10023" spans="1:4">
      <c r="A10023" s="691"/>
      <c r="D10023" s="3"/>
    </row>
    <row r="10024" spans="1:4">
      <c r="A10024" s="691"/>
      <c r="D10024" s="3"/>
    </row>
    <row r="10025" spans="1:4">
      <c r="A10025" s="691"/>
      <c r="D10025" s="3"/>
    </row>
    <row r="10026" spans="1:4">
      <c r="A10026" s="691"/>
      <c r="D10026" s="3"/>
    </row>
    <row r="10027" spans="1:4">
      <c r="A10027" s="691"/>
      <c r="D10027" s="3"/>
    </row>
    <row r="10028" spans="1:4">
      <c r="A10028" s="691"/>
      <c r="D10028" s="3"/>
    </row>
    <row r="10029" spans="1:4">
      <c r="A10029" s="691"/>
      <c r="D10029" s="3"/>
    </row>
    <row r="10030" spans="1:4">
      <c r="A10030" s="691"/>
      <c r="D10030" s="3"/>
    </row>
    <row r="10031" spans="1:4">
      <c r="A10031" s="691"/>
      <c r="D10031" s="3"/>
    </row>
    <row r="10032" spans="1:4">
      <c r="A10032" s="691"/>
      <c r="D10032" s="3"/>
    </row>
    <row r="10033" spans="1:4">
      <c r="A10033" s="691"/>
      <c r="D10033" s="3"/>
    </row>
    <row r="10034" spans="1:4">
      <c r="A10034" s="691"/>
      <c r="D10034" s="3"/>
    </row>
    <row r="10035" spans="1:4">
      <c r="A10035" s="691"/>
      <c r="D10035" s="3"/>
    </row>
    <row r="10036" spans="1:4">
      <c r="A10036" s="691"/>
      <c r="D10036" s="3"/>
    </row>
    <row r="10037" spans="1:4">
      <c r="A10037" s="691"/>
      <c r="D10037" s="3"/>
    </row>
    <row r="10038" spans="1:4">
      <c r="A10038" s="691"/>
      <c r="D10038" s="3"/>
    </row>
    <row r="10039" spans="1:4">
      <c r="A10039" s="691"/>
      <c r="D10039" s="3"/>
    </row>
    <row r="10040" spans="1:4">
      <c r="A10040" s="691"/>
      <c r="D10040" s="3"/>
    </row>
    <row r="10041" spans="1:4">
      <c r="A10041" s="691"/>
      <c r="D10041" s="3"/>
    </row>
    <row r="10042" spans="1:4">
      <c r="A10042" s="691"/>
      <c r="D10042" s="3"/>
    </row>
    <row r="10043" spans="1:4">
      <c r="A10043" s="691"/>
      <c r="D10043" s="3"/>
    </row>
    <row r="10044" spans="1:4">
      <c r="A10044" s="691"/>
      <c r="D10044" s="3"/>
    </row>
    <row r="10045" spans="1:4">
      <c r="A10045" s="691"/>
      <c r="D10045" s="3"/>
    </row>
    <row r="10046" spans="1:4">
      <c r="A10046" s="691"/>
      <c r="D10046" s="3"/>
    </row>
    <row r="10047" spans="1:4">
      <c r="A10047" s="691"/>
      <c r="D10047" s="3"/>
    </row>
    <row r="10048" spans="1:4">
      <c r="A10048" s="691"/>
      <c r="D10048" s="3"/>
    </row>
    <row r="10049" spans="1:4">
      <c r="A10049" s="691"/>
      <c r="D10049" s="3"/>
    </row>
    <row r="10050" spans="1:4">
      <c r="A10050" s="691"/>
      <c r="D10050" s="3"/>
    </row>
    <row r="10051" spans="1:4">
      <c r="A10051" s="691"/>
      <c r="D10051" s="3"/>
    </row>
    <row r="10052" spans="1:4">
      <c r="A10052" s="691"/>
      <c r="D10052" s="3"/>
    </row>
    <row r="10053" spans="1:4">
      <c r="A10053" s="691"/>
      <c r="D10053" s="3"/>
    </row>
    <row r="10054" spans="1:4">
      <c r="A10054" s="691"/>
      <c r="D10054" s="3"/>
    </row>
    <row r="10055" spans="1:4">
      <c r="A10055" s="691"/>
      <c r="D10055" s="3"/>
    </row>
    <row r="10056" spans="1:4">
      <c r="A10056" s="691"/>
      <c r="D10056" s="3"/>
    </row>
    <row r="10057" spans="1:4">
      <c r="A10057" s="691"/>
      <c r="D10057" s="3"/>
    </row>
    <row r="10058" spans="1:4">
      <c r="A10058" s="691"/>
      <c r="D10058" s="3"/>
    </row>
    <row r="10059" spans="1:4">
      <c r="A10059" s="691"/>
      <c r="D10059" s="3"/>
    </row>
    <row r="10060" spans="1:4">
      <c r="A10060" s="691"/>
      <c r="D10060" s="3"/>
    </row>
    <row r="10061" spans="1:4">
      <c r="A10061" s="691"/>
      <c r="D10061" s="3"/>
    </row>
    <row r="10062" spans="1:4">
      <c r="A10062" s="691"/>
      <c r="D10062" s="3"/>
    </row>
    <row r="10063" spans="1:4">
      <c r="A10063" s="691"/>
      <c r="D10063" s="3"/>
    </row>
    <row r="10064" spans="1:4">
      <c r="A10064" s="691"/>
      <c r="D10064" s="3"/>
    </row>
    <row r="10065" spans="1:4">
      <c r="A10065" s="691"/>
      <c r="D10065" s="3"/>
    </row>
    <row r="10066" spans="1:4">
      <c r="A10066" s="691"/>
      <c r="D10066" s="3"/>
    </row>
    <row r="10067" spans="1:4">
      <c r="A10067" s="691"/>
      <c r="D10067" s="3"/>
    </row>
    <row r="10068" spans="1:4">
      <c r="A10068" s="691"/>
      <c r="D10068" s="3"/>
    </row>
    <row r="10069" spans="1:4">
      <c r="A10069" s="691"/>
      <c r="D10069" s="3"/>
    </row>
    <row r="10070" spans="1:4">
      <c r="A10070" s="691"/>
      <c r="D10070" s="3"/>
    </row>
    <row r="10071" spans="1:4">
      <c r="A10071" s="691"/>
      <c r="D10071" s="3"/>
    </row>
    <row r="10072" spans="1:4">
      <c r="A10072" s="691"/>
      <c r="D10072" s="3"/>
    </row>
    <row r="10073" spans="1:4">
      <c r="A10073" s="691"/>
      <c r="D10073" s="3"/>
    </row>
    <row r="10074" spans="1:4">
      <c r="A10074" s="691"/>
      <c r="D10074" s="3"/>
    </row>
    <row r="10075" spans="1:4">
      <c r="A10075" s="691"/>
      <c r="D10075" s="3"/>
    </row>
    <row r="10076" spans="1:4">
      <c r="A10076" s="691"/>
      <c r="D10076" s="3"/>
    </row>
    <row r="10077" spans="1:4">
      <c r="A10077" s="691"/>
      <c r="D10077" s="3"/>
    </row>
    <row r="10078" spans="1:4">
      <c r="A10078" s="691"/>
      <c r="D10078" s="3"/>
    </row>
    <row r="10079" spans="1:4">
      <c r="A10079" s="691"/>
      <c r="D10079" s="3"/>
    </row>
    <row r="10080" spans="1:4">
      <c r="A10080" s="691"/>
      <c r="D10080" s="3"/>
    </row>
    <row r="10081" spans="1:4">
      <c r="A10081" s="691"/>
      <c r="D10081" s="3"/>
    </row>
    <row r="10082" spans="1:4">
      <c r="A10082" s="691"/>
      <c r="D10082" s="3"/>
    </row>
    <row r="10083" spans="1:4">
      <c r="A10083" s="691"/>
      <c r="D10083" s="3"/>
    </row>
    <row r="10084" spans="1:4">
      <c r="A10084" s="691"/>
      <c r="D10084" s="3"/>
    </row>
    <row r="10085" spans="1:4">
      <c r="A10085" s="691"/>
      <c r="D10085" s="3"/>
    </row>
    <row r="10086" spans="1:4">
      <c r="A10086" s="691"/>
      <c r="D10086" s="3"/>
    </row>
    <row r="10087" spans="1:4">
      <c r="A10087" s="691"/>
      <c r="D10087" s="3"/>
    </row>
    <row r="10088" spans="1:4">
      <c r="A10088" s="691"/>
      <c r="D10088" s="3"/>
    </row>
    <row r="10089" spans="1:4">
      <c r="A10089" s="691"/>
      <c r="D10089" s="3"/>
    </row>
    <row r="10090" spans="1:4">
      <c r="A10090" s="691"/>
      <c r="D10090" s="3"/>
    </row>
    <row r="10091" spans="1:4">
      <c r="A10091" s="691"/>
      <c r="D10091" s="3"/>
    </row>
    <row r="10092" spans="1:4">
      <c r="A10092" s="691"/>
      <c r="D10092" s="3"/>
    </row>
    <row r="10093" spans="1:4">
      <c r="A10093" s="691"/>
      <c r="D10093" s="3"/>
    </row>
    <row r="10094" spans="1:4">
      <c r="A10094" s="691"/>
      <c r="D10094" s="3"/>
    </row>
    <row r="10095" spans="1:4">
      <c r="A10095" s="691"/>
      <c r="D10095" s="3"/>
    </row>
    <row r="10096" spans="1:4">
      <c r="A10096" s="691"/>
      <c r="D10096" s="3"/>
    </row>
    <row r="10097" spans="1:4">
      <c r="A10097" s="691"/>
      <c r="D10097" s="3"/>
    </row>
    <row r="10098" spans="1:4">
      <c r="A10098" s="691"/>
      <c r="D10098" s="3"/>
    </row>
    <row r="10099" spans="1:4">
      <c r="A10099" s="691"/>
      <c r="D10099" s="3"/>
    </row>
    <row r="10100" spans="1:4">
      <c r="A10100" s="691"/>
      <c r="D10100" s="3"/>
    </row>
    <row r="10101" spans="1:4">
      <c r="A10101" s="691"/>
      <c r="D10101" s="3"/>
    </row>
    <row r="10102" spans="1:4">
      <c r="A10102" s="691"/>
      <c r="D10102" s="3"/>
    </row>
    <row r="10103" spans="1:4">
      <c r="A10103" s="691"/>
      <c r="D10103" s="3"/>
    </row>
    <row r="10104" spans="1:4">
      <c r="A10104" s="691"/>
      <c r="D10104" s="3"/>
    </row>
    <row r="10105" spans="1:4">
      <c r="A10105" s="691"/>
      <c r="D10105" s="3"/>
    </row>
    <row r="10106" spans="1:4">
      <c r="A10106" s="691"/>
      <c r="D10106" s="3"/>
    </row>
    <row r="10107" spans="1:4">
      <c r="A10107" s="691"/>
      <c r="D10107" s="3"/>
    </row>
    <row r="10108" spans="1:4">
      <c r="A10108" s="691"/>
      <c r="D10108" s="3"/>
    </row>
    <row r="10109" spans="1:4">
      <c r="A10109" s="691"/>
      <c r="D10109" s="3"/>
    </row>
    <row r="10110" spans="1:4">
      <c r="A10110" s="691"/>
      <c r="D10110" s="3"/>
    </row>
    <row r="10111" spans="1:4">
      <c r="A10111" s="691"/>
      <c r="D10111" s="3"/>
    </row>
    <row r="10112" spans="1:4">
      <c r="A10112" s="691"/>
      <c r="D10112" s="3"/>
    </row>
    <row r="10113" spans="1:4">
      <c r="A10113" s="691"/>
      <c r="D10113" s="3"/>
    </row>
    <row r="10114" spans="1:4">
      <c r="A10114" s="691"/>
      <c r="D10114" s="3"/>
    </row>
    <row r="10115" spans="1:4">
      <c r="A10115" s="691"/>
      <c r="D10115" s="3"/>
    </row>
    <row r="10116" spans="1:4">
      <c r="A10116" s="691"/>
      <c r="D10116" s="3"/>
    </row>
    <row r="10117" spans="1:4">
      <c r="A10117" s="691"/>
      <c r="D10117" s="3"/>
    </row>
    <row r="10118" spans="1:4">
      <c r="A10118" s="691"/>
      <c r="D10118" s="3"/>
    </row>
    <row r="10119" spans="1:4">
      <c r="A10119" s="691"/>
      <c r="D10119" s="3"/>
    </row>
    <row r="10120" spans="1:4">
      <c r="A10120" s="691"/>
      <c r="D10120" s="3"/>
    </row>
    <row r="10121" spans="1:4">
      <c r="A10121" s="691"/>
      <c r="D10121" s="3"/>
    </row>
    <row r="10122" spans="1:4">
      <c r="A10122" s="691"/>
      <c r="D10122" s="3"/>
    </row>
    <row r="10123" spans="1:4">
      <c r="A10123" s="691"/>
      <c r="D10123" s="3"/>
    </row>
    <row r="10124" spans="1:4">
      <c r="A10124" s="691"/>
      <c r="D10124" s="3"/>
    </row>
    <row r="10125" spans="1:4">
      <c r="A10125" s="691"/>
      <c r="D10125" s="3"/>
    </row>
    <row r="10126" spans="1:4">
      <c r="A10126" s="691"/>
      <c r="D10126" s="3"/>
    </row>
    <row r="10127" spans="1:4">
      <c r="A10127" s="691"/>
      <c r="D10127" s="3"/>
    </row>
    <row r="10128" spans="1:4">
      <c r="A10128" s="691"/>
      <c r="D10128" s="3"/>
    </row>
    <row r="10129" spans="1:4">
      <c r="A10129" s="691"/>
      <c r="D10129" s="3"/>
    </row>
    <row r="10130" spans="1:4">
      <c r="A10130" s="691"/>
      <c r="D10130" s="3"/>
    </row>
    <row r="10131" spans="1:4">
      <c r="A10131" s="691"/>
      <c r="D10131" s="3"/>
    </row>
    <row r="10132" spans="1:4">
      <c r="A10132" s="691"/>
      <c r="D10132" s="3"/>
    </row>
    <row r="10133" spans="1:4">
      <c r="A10133" s="691"/>
      <c r="D10133" s="3"/>
    </row>
    <row r="10134" spans="1:4">
      <c r="A10134" s="691"/>
      <c r="D10134" s="3"/>
    </row>
    <row r="10135" spans="1:4">
      <c r="A10135" s="691"/>
      <c r="D10135" s="3"/>
    </row>
    <row r="10136" spans="1:4">
      <c r="A10136" s="691"/>
      <c r="D10136" s="3"/>
    </row>
    <row r="10137" spans="1:4">
      <c r="A10137" s="691"/>
      <c r="D10137" s="3"/>
    </row>
    <row r="10138" spans="1:4">
      <c r="A10138" s="691"/>
      <c r="D10138" s="3"/>
    </row>
    <row r="10139" spans="1:4">
      <c r="A10139" s="691"/>
      <c r="D10139" s="3"/>
    </row>
    <row r="10140" spans="1:4">
      <c r="A10140" s="691"/>
      <c r="D10140" s="3"/>
    </row>
    <row r="10141" spans="1:4">
      <c r="A10141" s="691"/>
      <c r="D10141" s="3"/>
    </row>
    <row r="10142" spans="1:4">
      <c r="A10142" s="691"/>
      <c r="D10142" s="3"/>
    </row>
    <row r="10143" spans="1:4">
      <c r="A10143" s="691"/>
      <c r="D10143" s="3"/>
    </row>
    <row r="10144" spans="1:4">
      <c r="A10144" s="691"/>
      <c r="D10144" s="3"/>
    </row>
    <row r="10145" spans="1:4">
      <c r="A10145" s="691"/>
      <c r="D10145" s="3"/>
    </row>
    <row r="10146" spans="1:4">
      <c r="A10146" s="691"/>
      <c r="D10146" s="3"/>
    </row>
    <row r="10147" spans="1:4">
      <c r="A10147" s="691"/>
      <c r="D10147" s="3"/>
    </row>
    <row r="10148" spans="1:4">
      <c r="A10148" s="691"/>
      <c r="D10148" s="3"/>
    </row>
    <row r="10149" spans="1:4">
      <c r="A10149" s="691"/>
      <c r="D10149" s="3"/>
    </row>
    <row r="10150" spans="1:4">
      <c r="A10150" s="691"/>
      <c r="D10150" s="3"/>
    </row>
    <row r="10151" spans="1:4">
      <c r="A10151" s="691"/>
      <c r="D10151" s="3"/>
    </row>
    <row r="10152" spans="1:4">
      <c r="A10152" s="691"/>
      <c r="D10152" s="3"/>
    </row>
    <row r="10153" spans="1:4">
      <c r="A10153" s="691"/>
      <c r="D10153" s="3"/>
    </row>
    <row r="10154" spans="1:4">
      <c r="A10154" s="691"/>
      <c r="D10154" s="3"/>
    </row>
    <row r="10155" spans="1:4">
      <c r="A10155" s="691"/>
      <c r="D10155" s="3"/>
    </row>
    <row r="10156" spans="1:4">
      <c r="A10156" s="691"/>
      <c r="D10156" s="3"/>
    </row>
    <row r="10157" spans="1:4">
      <c r="A10157" s="691"/>
      <c r="D10157" s="3"/>
    </row>
    <row r="10158" spans="1:4">
      <c r="A10158" s="691"/>
      <c r="D10158" s="3"/>
    </row>
    <row r="10159" spans="1:4">
      <c r="A10159" s="691"/>
      <c r="D10159" s="3"/>
    </row>
    <row r="10160" spans="1:4">
      <c r="A10160" s="691"/>
      <c r="D10160" s="3"/>
    </row>
    <row r="10161" spans="1:4">
      <c r="A10161" s="691"/>
      <c r="D10161" s="3"/>
    </row>
    <row r="10162" spans="1:4">
      <c r="A10162" s="691"/>
      <c r="D10162" s="3"/>
    </row>
    <row r="10163" spans="1:4">
      <c r="A10163" s="691"/>
      <c r="D10163" s="3"/>
    </row>
    <row r="10164" spans="1:4">
      <c r="A10164" s="691"/>
      <c r="D10164" s="3"/>
    </row>
    <row r="10165" spans="1:4">
      <c r="A10165" s="691"/>
      <c r="D10165" s="3"/>
    </row>
    <row r="10166" spans="1:4">
      <c r="A10166" s="691"/>
      <c r="D10166" s="3"/>
    </row>
    <row r="10167" spans="1:4">
      <c r="A10167" s="691"/>
      <c r="D10167" s="3"/>
    </row>
    <row r="10168" spans="1:4">
      <c r="A10168" s="691"/>
      <c r="D10168" s="3"/>
    </row>
    <row r="10169" spans="1:4">
      <c r="A10169" s="691"/>
      <c r="D10169" s="3"/>
    </row>
    <row r="10170" spans="1:4">
      <c r="A10170" s="691"/>
      <c r="D10170" s="3"/>
    </row>
    <row r="10171" spans="1:4">
      <c r="A10171" s="691"/>
      <c r="D10171" s="3"/>
    </row>
    <row r="10172" spans="1:4">
      <c r="A10172" s="691"/>
      <c r="D10172" s="3"/>
    </row>
    <row r="10173" spans="1:4">
      <c r="A10173" s="691"/>
      <c r="D10173" s="3"/>
    </row>
    <row r="10174" spans="1:4">
      <c r="A10174" s="691"/>
      <c r="D10174" s="3"/>
    </row>
    <row r="10175" spans="1:4">
      <c r="A10175" s="691"/>
      <c r="D10175" s="3"/>
    </row>
    <row r="10176" spans="1:4">
      <c r="A10176" s="691"/>
      <c r="D10176" s="3"/>
    </row>
    <row r="10177" spans="1:4">
      <c r="A10177" s="691"/>
      <c r="D10177" s="3"/>
    </row>
    <row r="10178" spans="1:4">
      <c r="A10178" s="691"/>
      <c r="D10178" s="3"/>
    </row>
    <row r="10179" spans="1:4">
      <c r="A10179" s="691"/>
      <c r="D10179" s="3"/>
    </row>
    <row r="10180" spans="1:4">
      <c r="A10180" s="691"/>
      <c r="D10180" s="3"/>
    </row>
    <row r="10181" spans="1:4">
      <c r="A10181" s="691"/>
      <c r="D10181" s="3"/>
    </row>
    <row r="10182" spans="1:4">
      <c r="A10182" s="691"/>
      <c r="D10182" s="3"/>
    </row>
    <row r="10183" spans="1:4">
      <c r="A10183" s="691"/>
      <c r="D10183" s="3"/>
    </row>
    <row r="10184" spans="1:4">
      <c r="A10184" s="691"/>
      <c r="D10184" s="3"/>
    </row>
    <row r="10185" spans="1:4">
      <c r="A10185" s="691"/>
      <c r="D10185" s="3"/>
    </row>
    <row r="10186" spans="1:4">
      <c r="A10186" s="691"/>
      <c r="D10186" s="3"/>
    </row>
    <row r="10187" spans="1:4">
      <c r="A10187" s="691"/>
      <c r="D10187" s="3"/>
    </row>
    <row r="10188" spans="1:4">
      <c r="A10188" s="691"/>
      <c r="D10188" s="3"/>
    </row>
    <row r="10189" spans="1:4">
      <c r="A10189" s="691"/>
      <c r="D10189" s="3"/>
    </row>
    <row r="10190" spans="1:4">
      <c r="A10190" s="691"/>
      <c r="D10190" s="3"/>
    </row>
    <row r="10191" spans="1:4">
      <c r="A10191" s="691"/>
      <c r="D10191" s="3"/>
    </row>
    <row r="10192" spans="1:4">
      <c r="A10192" s="691"/>
      <c r="D10192" s="3"/>
    </row>
    <row r="10193" spans="1:4">
      <c r="A10193" s="691"/>
      <c r="D10193" s="3"/>
    </row>
    <row r="10194" spans="1:4">
      <c r="A10194" s="691"/>
      <c r="D10194" s="3"/>
    </row>
    <row r="10195" spans="1:4">
      <c r="A10195" s="691"/>
      <c r="D10195" s="3"/>
    </row>
    <row r="10196" spans="1:4">
      <c r="A10196" s="691"/>
      <c r="D10196" s="3"/>
    </row>
    <row r="10197" spans="1:4">
      <c r="A10197" s="691"/>
      <c r="D10197" s="3"/>
    </row>
    <row r="10198" spans="1:4">
      <c r="A10198" s="691"/>
      <c r="D10198" s="3"/>
    </row>
    <row r="10199" spans="1:4">
      <c r="A10199" s="691"/>
      <c r="D10199" s="3"/>
    </row>
    <row r="10200" spans="1:4">
      <c r="A10200" s="691"/>
      <c r="D10200" s="3"/>
    </row>
    <row r="10201" spans="1:4">
      <c r="A10201" s="691"/>
      <c r="D10201" s="3"/>
    </row>
    <row r="10202" spans="1:4">
      <c r="A10202" s="691"/>
      <c r="D10202" s="3"/>
    </row>
    <row r="10203" spans="1:4">
      <c r="A10203" s="691"/>
      <c r="D10203" s="3"/>
    </row>
    <row r="10204" spans="1:4">
      <c r="A10204" s="691"/>
      <c r="D10204" s="3"/>
    </row>
    <row r="10205" spans="1:4">
      <c r="A10205" s="691"/>
      <c r="D10205" s="3"/>
    </row>
    <row r="10206" spans="1:4">
      <c r="A10206" s="691"/>
      <c r="D10206" s="3"/>
    </row>
    <row r="10207" spans="1:4">
      <c r="A10207" s="691"/>
      <c r="D10207" s="3"/>
    </row>
    <row r="10208" spans="1:4">
      <c r="A10208" s="691"/>
      <c r="D10208" s="3"/>
    </row>
    <row r="10209" spans="1:4">
      <c r="A10209" s="691"/>
      <c r="D10209" s="3"/>
    </row>
    <row r="10210" spans="1:4">
      <c r="A10210" s="691"/>
      <c r="D10210" s="3"/>
    </row>
    <row r="10211" spans="1:4">
      <c r="A10211" s="691"/>
      <c r="D10211" s="3"/>
    </row>
    <row r="10212" spans="1:4">
      <c r="A10212" s="691"/>
      <c r="D10212" s="3"/>
    </row>
    <row r="10213" spans="1:4">
      <c r="A10213" s="691"/>
      <c r="D10213" s="3"/>
    </row>
    <row r="10214" spans="1:4">
      <c r="A10214" s="691"/>
      <c r="D10214" s="3"/>
    </row>
    <row r="10215" spans="1:4">
      <c r="A10215" s="691"/>
      <c r="D10215" s="3"/>
    </row>
    <row r="10216" spans="1:4">
      <c r="A10216" s="691"/>
      <c r="D10216" s="3"/>
    </row>
    <row r="10217" spans="1:4">
      <c r="A10217" s="691"/>
      <c r="D10217" s="3"/>
    </row>
    <row r="10218" spans="1:4">
      <c r="A10218" s="691"/>
      <c r="D10218" s="3"/>
    </row>
    <row r="10219" spans="1:4">
      <c r="A10219" s="691"/>
      <c r="D10219" s="3"/>
    </row>
    <row r="10220" spans="1:4">
      <c r="A10220" s="691"/>
      <c r="D10220" s="3"/>
    </row>
    <row r="10221" spans="1:4">
      <c r="A10221" s="691"/>
      <c r="D10221" s="3"/>
    </row>
    <row r="10222" spans="1:4">
      <c r="A10222" s="691"/>
      <c r="D10222" s="3"/>
    </row>
    <row r="10223" spans="1:4">
      <c r="A10223" s="691"/>
      <c r="D10223" s="3"/>
    </row>
    <row r="10224" spans="1:4">
      <c r="A10224" s="691"/>
      <c r="D10224" s="3"/>
    </row>
    <row r="10225" spans="1:4">
      <c r="A10225" s="691"/>
      <c r="D10225" s="3"/>
    </row>
    <row r="10226" spans="1:4">
      <c r="A10226" s="691"/>
      <c r="D10226" s="3"/>
    </row>
    <row r="10227" spans="1:4">
      <c r="A10227" s="691"/>
      <c r="D10227" s="3"/>
    </row>
    <row r="10228" spans="1:4">
      <c r="A10228" s="691"/>
      <c r="D10228" s="3"/>
    </row>
    <row r="10229" spans="1:4">
      <c r="A10229" s="691"/>
      <c r="D10229" s="3"/>
    </row>
    <row r="10230" spans="1:4">
      <c r="A10230" s="691"/>
      <c r="D10230" s="3"/>
    </row>
    <row r="10231" spans="1:4">
      <c r="A10231" s="691"/>
      <c r="D10231" s="3"/>
    </row>
    <row r="10232" spans="1:4">
      <c r="A10232" s="691"/>
      <c r="D10232" s="3"/>
    </row>
    <row r="10233" spans="1:4">
      <c r="A10233" s="691"/>
      <c r="D10233" s="3"/>
    </row>
    <row r="10234" spans="1:4">
      <c r="A10234" s="691"/>
      <c r="D10234" s="3"/>
    </row>
    <row r="10235" spans="1:4">
      <c r="A10235" s="691"/>
      <c r="D10235" s="3"/>
    </row>
    <row r="10236" spans="1:4">
      <c r="A10236" s="691"/>
      <c r="D10236" s="3"/>
    </row>
    <row r="10237" spans="1:4">
      <c r="A10237" s="691"/>
      <c r="D10237" s="3"/>
    </row>
    <row r="10238" spans="1:4">
      <c r="A10238" s="691"/>
      <c r="D10238" s="3"/>
    </row>
    <row r="10239" spans="1:4">
      <c r="A10239" s="691"/>
      <c r="D10239" s="3"/>
    </row>
    <row r="10240" spans="1:4">
      <c r="A10240" s="691"/>
      <c r="D10240" s="3"/>
    </row>
    <row r="10241" spans="1:4">
      <c r="A10241" s="691"/>
      <c r="D10241" s="3"/>
    </row>
    <row r="10242" spans="1:4">
      <c r="A10242" s="691"/>
      <c r="D10242" s="3"/>
    </row>
    <row r="10243" spans="1:4">
      <c r="A10243" s="691"/>
      <c r="D10243" s="3"/>
    </row>
    <row r="10244" spans="1:4">
      <c r="A10244" s="691"/>
      <c r="D10244" s="3"/>
    </row>
    <row r="10245" spans="1:4">
      <c r="A10245" s="691"/>
      <c r="D10245" s="3"/>
    </row>
    <row r="10246" spans="1:4">
      <c r="A10246" s="691"/>
      <c r="D10246" s="3"/>
    </row>
    <row r="10247" spans="1:4">
      <c r="A10247" s="691"/>
      <c r="D10247" s="3"/>
    </row>
    <row r="10248" spans="1:4">
      <c r="A10248" s="691"/>
      <c r="D10248" s="3"/>
    </row>
    <row r="10249" spans="1:4">
      <c r="A10249" s="691"/>
      <c r="D10249" s="3"/>
    </row>
    <row r="10250" spans="1:4">
      <c r="A10250" s="691"/>
      <c r="D10250" s="3"/>
    </row>
    <row r="10251" spans="1:4">
      <c r="A10251" s="691"/>
      <c r="D10251" s="3"/>
    </row>
    <row r="10252" spans="1:4">
      <c r="A10252" s="691"/>
      <c r="D10252" s="3"/>
    </row>
    <row r="10253" spans="1:4">
      <c r="A10253" s="691"/>
      <c r="D10253" s="3"/>
    </row>
    <row r="10254" spans="1:4">
      <c r="A10254" s="691"/>
      <c r="D10254" s="3"/>
    </row>
    <row r="10255" spans="1:4">
      <c r="A10255" s="691"/>
      <c r="D10255" s="3"/>
    </row>
    <row r="10256" spans="1:4">
      <c r="A10256" s="691"/>
      <c r="D10256" s="3"/>
    </row>
    <row r="10257" spans="1:4">
      <c r="A10257" s="691"/>
      <c r="D10257" s="3"/>
    </row>
    <row r="10258" spans="1:4">
      <c r="A10258" s="691"/>
      <c r="D10258" s="3"/>
    </row>
    <row r="10259" spans="1:4">
      <c r="A10259" s="691"/>
      <c r="D10259" s="3"/>
    </row>
    <row r="10260" spans="1:4">
      <c r="A10260" s="691"/>
      <c r="D10260" s="3"/>
    </row>
    <row r="10261" spans="1:4">
      <c r="A10261" s="691"/>
      <c r="D10261" s="3"/>
    </row>
    <row r="10262" spans="1:4">
      <c r="A10262" s="691"/>
      <c r="D10262" s="3"/>
    </row>
    <row r="10263" spans="1:4">
      <c r="A10263" s="691"/>
      <c r="D10263" s="3"/>
    </row>
    <row r="10264" spans="1:4">
      <c r="A10264" s="691"/>
      <c r="D10264" s="3"/>
    </row>
    <row r="10265" spans="1:4">
      <c r="A10265" s="691"/>
      <c r="D10265" s="3"/>
    </row>
    <row r="10266" spans="1:4">
      <c r="A10266" s="691"/>
      <c r="D10266" s="3"/>
    </row>
    <row r="10267" spans="1:4">
      <c r="A10267" s="691"/>
      <c r="D10267" s="3"/>
    </row>
    <row r="10268" spans="1:4">
      <c r="A10268" s="691"/>
      <c r="D10268" s="3"/>
    </row>
    <row r="10269" spans="1:4">
      <c r="A10269" s="691"/>
      <c r="D10269" s="3"/>
    </row>
    <row r="10270" spans="1:4">
      <c r="A10270" s="691"/>
      <c r="D10270" s="3"/>
    </row>
    <row r="10271" spans="1:4">
      <c r="A10271" s="691"/>
      <c r="D10271" s="3"/>
    </row>
    <row r="10272" spans="1:4">
      <c r="A10272" s="691"/>
      <c r="D10272" s="3"/>
    </row>
    <row r="10273" spans="1:4">
      <c r="A10273" s="691"/>
      <c r="D10273" s="3"/>
    </row>
    <row r="10274" spans="1:4">
      <c r="A10274" s="691"/>
      <c r="D10274" s="3"/>
    </row>
    <row r="10275" spans="1:4">
      <c r="A10275" s="691"/>
      <c r="D10275" s="3"/>
    </row>
    <row r="10276" spans="1:4">
      <c r="A10276" s="691"/>
      <c r="D10276" s="3"/>
    </row>
    <row r="10277" spans="1:4">
      <c r="A10277" s="691"/>
      <c r="D10277" s="3"/>
    </row>
    <row r="10278" spans="1:4">
      <c r="A10278" s="691"/>
      <c r="D10278" s="3"/>
    </row>
    <row r="10279" spans="1:4">
      <c r="A10279" s="691"/>
      <c r="D10279" s="3"/>
    </row>
    <row r="10280" spans="1:4">
      <c r="A10280" s="691"/>
      <c r="D10280" s="3"/>
    </row>
    <row r="10281" spans="1:4">
      <c r="A10281" s="691"/>
      <c r="D10281" s="3"/>
    </row>
    <row r="10282" spans="1:4">
      <c r="A10282" s="691"/>
      <c r="D10282" s="3"/>
    </row>
    <row r="10283" spans="1:4">
      <c r="A10283" s="691"/>
      <c r="D10283" s="3"/>
    </row>
    <row r="10284" spans="1:4">
      <c r="A10284" s="691"/>
      <c r="D10284" s="3"/>
    </row>
    <row r="10285" spans="1:4">
      <c r="A10285" s="691"/>
      <c r="D10285" s="3"/>
    </row>
    <row r="10286" spans="1:4">
      <c r="A10286" s="691"/>
      <c r="D10286" s="3"/>
    </row>
    <row r="10287" spans="1:4">
      <c r="A10287" s="691"/>
      <c r="D10287" s="3"/>
    </row>
    <row r="10288" spans="1:4">
      <c r="A10288" s="691"/>
      <c r="D10288" s="3"/>
    </row>
    <row r="10289" spans="1:4">
      <c r="A10289" s="691"/>
      <c r="D10289" s="3"/>
    </row>
    <row r="10290" spans="1:4">
      <c r="A10290" s="691"/>
      <c r="D10290" s="3"/>
    </row>
    <row r="10291" spans="1:4">
      <c r="A10291" s="691"/>
      <c r="D10291" s="3"/>
    </row>
    <row r="10292" spans="1:4">
      <c r="A10292" s="691"/>
      <c r="D10292" s="3"/>
    </row>
    <row r="10293" spans="1:4">
      <c r="A10293" s="691"/>
      <c r="D10293" s="3"/>
    </row>
    <row r="10294" spans="1:4">
      <c r="A10294" s="691"/>
      <c r="D10294" s="3"/>
    </row>
    <row r="10295" spans="1:4">
      <c r="A10295" s="691"/>
      <c r="D10295" s="3"/>
    </row>
    <row r="10296" spans="1:4">
      <c r="A10296" s="691"/>
      <c r="D10296" s="3"/>
    </row>
    <row r="10297" spans="1:4">
      <c r="A10297" s="691"/>
      <c r="D10297" s="3"/>
    </row>
    <row r="10298" spans="1:4">
      <c r="A10298" s="691"/>
      <c r="D10298" s="3"/>
    </row>
    <row r="10299" spans="1:4">
      <c r="A10299" s="691"/>
      <c r="D10299" s="3"/>
    </row>
    <row r="10300" spans="1:4">
      <c r="A10300" s="691"/>
      <c r="D10300" s="3"/>
    </row>
    <row r="10301" spans="1:4">
      <c r="A10301" s="691"/>
      <c r="D10301" s="3"/>
    </row>
    <row r="10302" spans="1:4">
      <c r="A10302" s="691"/>
      <c r="D10302" s="3"/>
    </row>
    <row r="10303" spans="1:4">
      <c r="A10303" s="691"/>
      <c r="D10303" s="3"/>
    </row>
    <row r="10304" spans="1:4">
      <c r="A10304" s="691"/>
      <c r="D10304" s="3"/>
    </row>
    <row r="10305" spans="1:4">
      <c r="A10305" s="691"/>
      <c r="D10305" s="3"/>
    </row>
    <row r="10306" spans="1:4">
      <c r="A10306" s="691"/>
      <c r="D10306" s="3"/>
    </row>
    <row r="10307" spans="1:4">
      <c r="A10307" s="691"/>
      <c r="D10307" s="3"/>
    </row>
    <row r="10308" spans="1:4">
      <c r="A10308" s="691"/>
      <c r="D10308" s="3"/>
    </row>
    <row r="10309" spans="1:4">
      <c r="A10309" s="691"/>
      <c r="D10309" s="3"/>
    </row>
    <row r="10310" spans="1:4">
      <c r="A10310" s="691"/>
      <c r="D10310" s="3"/>
    </row>
    <row r="10311" spans="1:4">
      <c r="A10311" s="691"/>
      <c r="D10311" s="3"/>
    </row>
    <row r="10312" spans="1:4">
      <c r="A10312" s="691"/>
      <c r="D10312" s="3"/>
    </row>
    <row r="10313" spans="1:4">
      <c r="A10313" s="691"/>
      <c r="D10313" s="3"/>
    </row>
    <row r="10314" spans="1:4">
      <c r="A10314" s="691"/>
      <c r="D10314" s="3"/>
    </row>
    <row r="10315" spans="1:4">
      <c r="A10315" s="691"/>
      <c r="D10315" s="3"/>
    </row>
    <row r="10316" spans="1:4">
      <c r="A10316" s="691"/>
      <c r="D10316" s="3"/>
    </row>
    <row r="10317" spans="1:4">
      <c r="A10317" s="691"/>
      <c r="D10317" s="3"/>
    </row>
    <row r="10318" spans="1:4">
      <c r="A10318" s="691"/>
      <c r="D10318" s="3"/>
    </row>
    <row r="10319" spans="1:4">
      <c r="A10319" s="691"/>
      <c r="D10319" s="3"/>
    </row>
    <row r="10320" spans="1:4">
      <c r="A10320" s="691"/>
      <c r="D10320" s="3"/>
    </row>
    <row r="10321" spans="1:4">
      <c r="A10321" s="691"/>
      <c r="D10321" s="3"/>
    </row>
    <row r="10322" spans="1:4">
      <c r="A10322" s="691"/>
      <c r="D10322" s="3"/>
    </row>
    <row r="10323" spans="1:4">
      <c r="A10323" s="691"/>
      <c r="D10323" s="3"/>
    </row>
    <row r="10324" spans="1:4">
      <c r="A10324" s="691"/>
      <c r="D10324" s="3"/>
    </row>
    <row r="10325" spans="1:4">
      <c r="A10325" s="691"/>
      <c r="D10325" s="3"/>
    </row>
    <row r="10326" spans="1:4">
      <c r="A10326" s="691"/>
      <c r="D10326" s="3"/>
    </row>
    <row r="10327" spans="1:4">
      <c r="A10327" s="691"/>
      <c r="D10327" s="3"/>
    </row>
    <row r="10328" spans="1:4">
      <c r="A10328" s="691"/>
      <c r="D10328" s="3"/>
    </row>
    <row r="10329" spans="1:4">
      <c r="A10329" s="691"/>
      <c r="D10329" s="3"/>
    </row>
    <row r="10330" spans="1:4">
      <c r="A10330" s="691"/>
      <c r="D10330" s="3"/>
    </row>
    <row r="10331" spans="1:4">
      <c r="A10331" s="691"/>
      <c r="D10331" s="3"/>
    </row>
    <row r="10332" spans="1:4">
      <c r="A10332" s="691"/>
      <c r="D10332" s="3"/>
    </row>
    <row r="10333" spans="1:4">
      <c r="A10333" s="691"/>
      <c r="D10333" s="3"/>
    </row>
    <row r="10334" spans="1:4">
      <c r="A10334" s="691"/>
      <c r="D10334" s="3"/>
    </row>
    <row r="10335" spans="1:4">
      <c r="A10335" s="691"/>
      <c r="D10335" s="3"/>
    </row>
    <row r="10336" spans="1:4">
      <c r="A10336" s="691"/>
      <c r="D10336" s="3"/>
    </row>
    <row r="10337" spans="1:4">
      <c r="A10337" s="691"/>
      <c r="D10337" s="3"/>
    </row>
    <row r="10338" spans="1:4">
      <c r="A10338" s="691"/>
      <c r="D10338" s="3"/>
    </row>
    <row r="10339" spans="1:4">
      <c r="A10339" s="691"/>
      <c r="D10339" s="3"/>
    </row>
    <row r="10340" spans="1:4">
      <c r="A10340" s="691"/>
      <c r="D10340" s="3"/>
    </row>
    <row r="10341" spans="1:4">
      <c r="A10341" s="691"/>
      <c r="D10341" s="3"/>
    </row>
    <row r="10342" spans="1:4">
      <c r="A10342" s="691"/>
      <c r="D10342" s="3"/>
    </row>
    <row r="10343" spans="1:4">
      <c r="A10343" s="691"/>
      <c r="D10343" s="3"/>
    </row>
    <row r="10344" spans="1:4">
      <c r="A10344" s="691"/>
      <c r="D10344" s="3"/>
    </row>
    <row r="10345" spans="1:4">
      <c r="A10345" s="691"/>
      <c r="D10345" s="3"/>
    </row>
    <row r="10346" spans="1:4">
      <c r="A10346" s="691"/>
      <c r="D10346" s="3"/>
    </row>
    <row r="10347" spans="1:4">
      <c r="A10347" s="691"/>
      <c r="D10347" s="3"/>
    </row>
    <row r="10348" spans="1:4">
      <c r="A10348" s="691"/>
      <c r="D10348" s="3"/>
    </row>
    <row r="10349" spans="1:4">
      <c r="A10349" s="691"/>
      <c r="D10349" s="3"/>
    </row>
    <row r="10350" spans="1:4">
      <c r="A10350" s="691"/>
      <c r="D10350" s="3"/>
    </row>
    <row r="10351" spans="1:4">
      <c r="A10351" s="691"/>
      <c r="D10351" s="3"/>
    </row>
    <row r="10352" spans="1:4">
      <c r="A10352" s="691"/>
      <c r="D10352" s="3"/>
    </row>
    <row r="10353" spans="1:4">
      <c r="A10353" s="691"/>
      <c r="D10353" s="3"/>
    </row>
    <row r="10354" spans="1:4">
      <c r="A10354" s="691"/>
      <c r="D10354" s="3"/>
    </row>
    <row r="10355" spans="1:4">
      <c r="A10355" s="691"/>
      <c r="D10355" s="3"/>
    </row>
    <row r="10356" spans="1:4">
      <c r="A10356" s="691"/>
      <c r="D10356" s="3"/>
    </row>
    <row r="10357" spans="1:4">
      <c r="A10357" s="691"/>
      <c r="D10357" s="3"/>
    </row>
    <row r="10358" spans="1:4">
      <c r="A10358" s="691"/>
      <c r="D10358" s="3"/>
    </row>
    <row r="10359" spans="1:4">
      <c r="A10359" s="691"/>
      <c r="D10359" s="3"/>
    </row>
    <row r="10360" spans="1:4">
      <c r="A10360" s="691"/>
      <c r="D10360" s="3"/>
    </row>
    <row r="10361" spans="1:4">
      <c r="A10361" s="691"/>
      <c r="D10361" s="3"/>
    </row>
    <row r="10362" spans="1:4">
      <c r="A10362" s="691"/>
      <c r="D10362" s="3"/>
    </row>
    <row r="10363" spans="1:4">
      <c r="A10363" s="691"/>
      <c r="D10363" s="3"/>
    </row>
    <row r="10364" spans="1:4">
      <c r="A10364" s="691"/>
      <c r="D10364" s="3"/>
    </row>
    <row r="10365" spans="1:4">
      <c r="A10365" s="691"/>
      <c r="D10365" s="3"/>
    </row>
    <row r="10366" spans="1:4">
      <c r="A10366" s="691"/>
      <c r="D10366" s="3"/>
    </row>
    <row r="10367" spans="1:4">
      <c r="A10367" s="691"/>
      <c r="D10367" s="3"/>
    </row>
    <row r="10368" spans="1:4">
      <c r="A10368" s="691"/>
      <c r="D10368" s="3"/>
    </row>
    <row r="10369" spans="1:4">
      <c r="A10369" s="691"/>
      <c r="D10369" s="3"/>
    </row>
    <row r="10370" spans="1:4">
      <c r="A10370" s="691"/>
      <c r="D10370" s="3"/>
    </row>
    <row r="10371" spans="1:4">
      <c r="A10371" s="691"/>
      <c r="D10371" s="3"/>
    </row>
    <row r="10372" spans="1:4">
      <c r="A10372" s="691"/>
      <c r="D10372" s="3"/>
    </row>
    <row r="10373" spans="1:4">
      <c r="A10373" s="691"/>
      <c r="D10373" s="3"/>
    </row>
    <row r="10374" spans="1:4">
      <c r="A10374" s="691"/>
      <c r="D10374" s="3"/>
    </row>
    <row r="10375" spans="1:4">
      <c r="A10375" s="691"/>
      <c r="D10375" s="3"/>
    </row>
    <row r="10376" spans="1:4">
      <c r="A10376" s="691"/>
      <c r="D10376" s="3"/>
    </row>
    <row r="10377" spans="1:4">
      <c r="A10377" s="691"/>
      <c r="D10377" s="3"/>
    </row>
    <row r="10378" spans="1:4">
      <c r="A10378" s="691"/>
      <c r="D10378" s="3"/>
    </row>
    <row r="10379" spans="1:4">
      <c r="A10379" s="691"/>
      <c r="D10379" s="3"/>
    </row>
    <row r="10380" spans="1:4">
      <c r="A10380" s="691"/>
      <c r="D10380" s="3"/>
    </row>
    <row r="10381" spans="1:4">
      <c r="A10381" s="691"/>
      <c r="D10381" s="3"/>
    </row>
    <row r="10382" spans="1:4">
      <c r="A10382" s="691"/>
      <c r="D10382" s="3"/>
    </row>
    <row r="10383" spans="1:4">
      <c r="A10383" s="691"/>
      <c r="D10383" s="3"/>
    </row>
    <row r="10384" spans="1:4">
      <c r="A10384" s="691"/>
      <c r="D10384" s="3"/>
    </row>
    <row r="10385" spans="1:4">
      <c r="A10385" s="691"/>
      <c r="D10385" s="3"/>
    </row>
    <row r="10386" spans="1:4">
      <c r="A10386" s="691"/>
      <c r="D10386" s="3"/>
    </row>
    <row r="10387" spans="1:4">
      <c r="A10387" s="691"/>
      <c r="D10387" s="3"/>
    </row>
    <row r="10388" spans="1:4">
      <c r="A10388" s="691"/>
      <c r="D10388" s="3"/>
    </row>
    <row r="10389" spans="1:4">
      <c r="A10389" s="691"/>
      <c r="D10389" s="3"/>
    </row>
    <row r="10390" spans="1:4">
      <c r="A10390" s="691"/>
      <c r="D10390" s="3"/>
    </row>
    <row r="10391" spans="1:4">
      <c r="A10391" s="691"/>
      <c r="D10391" s="3"/>
    </row>
    <row r="10392" spans="1:4">
      <c r="A10392" s="691"/>
      <c r="D10392" s="3"/>
    </row>
    <row r="10393" spans="1:4">
      <c r="A10393" s="691"/>
      <c r="D10393" s="3"/>
    </row>
    <row r="10394" spans="1:4">
      <c r="A10394" s="691"/>
      <c r="D10394" s="3"/>
    </row>
    <row r="10395" spans="1:4">
      <c r="A10395" s="691"/>
      <c r="D10395" s="3"/>
    </row>
    <row r="10396" spans="1:4">
      <c r="A10396" s="691"/>
      <c r="D10396" s="3"/>
    </row>
    <row r="10397" spans="1:4">
      <c r="A10397" s="691"/>
      <c r="D10397" s="3"/>
    </row>
    <row r="10398" spans="1:4">
      <c r="A10398" s="691"/>
      <c r="D10398" s="3"/>
    </row>
    <row r="10399" spans="1:4">
      <c r="A10399" s="691"/>
      <c r="D10399" s="3"/>
    </row>
    <row r="10400" spans="1:4">
      <c r="A10400" s="691"/>
      <c r="D10400" s="3"/>
    </row>
    <row r="10401" spans="1:4">
      <c r="A10401" s="691"/>
      <c r="D10401" s="3"/>
    </row>
    <row r="10402" spans="1:4">
      <c r="A10402" s="691"/>
      <c r="D10402" s="3"/>
    </row>
    <row r="10403" spans="1:4">
      <c r="A10403" s="691"/>
      <c r="D10403" s="3"/>
    </row>
    <row r="10404" spans="1:4">
      <c r="A10404" s="691"/>
      <c r="D10404" s="3"/>
    </row>
    <row r="10405" spans="1:4">
      <c r="A10405" s="691"/>
      <c r="D10405" s="3"/>
    </row>
    <row r="10406" spans="1:4">
      <c r="A10406" s="691"/>
      <c r="D10406" s="3"/>
    </row>
    <row r="10407" spans="1:4">
      <c r="A10407" s="691"/>
      <c r="D10407" s="3"/>
    </row>
    <row r="10408" spans="1:4">
      <c r="A10408" s="691"/>
      <c r="D10408" s="3"/>
    </row>
    <row r="10409" spans="1:4">
      <c r="A10409" s="691"/>
      <c r="D10409" s="3"/>
    </row>
    <row r="10410" spans="1:4">
      <c r="A10410" s="691"/>
      <c r="D10410" s="3"/>
    </row>
    <row r="10411" spans="1:4">
      <c r="A10411" s="691"/>
      <c r="D10411" s="3"/>
    </row>
    <row r="10412" spans="1:4">
      <c r="A10412" s="691"/>
      <c r="D10412" s="3"/>
    </row>
    <row r="10413" spans="1:4">
      <c r="A10413" s="691"/>
      <c r="D10413" s="3"/>
    </row>
    <row r="10414" spans="1:4">
      <c r="A10414" s="691"/>
      <c r="D10414" s="3"/>
    </row>
    <row r="10415" spans="1:4">
      <c r="A10415" s="691"/>
      <c r="D10415" s="3"/>
    </row>
    <row r="10416" spans="1:4">
      <c r="A10416" s="691"/>
      <c r="D10416" s="3"/>
    </row>
    <row r="10417" spans="1:4">
      <c r="A10417" s="691"/>
      <c r="D10417" s="3"/>
    </row>
    <row r="10418" spans="1:4">
      <c r="A10418" s="691"/>
      <c r="D10418" s="3"/>
    </row>
    <row r="10419" spans="1:4">
      <c r="A10419" s="691"/>
      <c r="D10419" s="3"/>
    </row>
    <row r="10420" spans="1:4">
      <c r="A10420" s="691"/>
      <c r="D10420" s="3"/>
    </row>
    <row r="10421" spans="1:4">
      <c r="A10421" s="691"/>
      <c r="D10421" s="3"/>
    </row>
    <row r="10422" spans="1:4">
      <c r="A10422" s="691"/>
      <c r="D10422" s="3"/>
    </row>
    <row r="10423" spans="1:4">
      <c r="A10423" s="691"/>
      <c r="D10423" s="3"/>
    </row>
    <row r="10424" spans="1:4">
      <c r="A10424" s="691"/>
      <c r="D10424" s="3"/>
    </row>
    <row r="10425" spans="1:4">
      <c r="A10425" s="691"/>
      <c r="D10425" s="3"/>
    </row>
    <row r="10426" spans="1:4">
      <c r="A10426" s="691"/>
      <c r="D10426" s="3"/>
    </row>
    <row r="10427" spans="1:4">
      <c r="A10427" s="691"/>
      <c r="D10427" s="3"/>
    </row>
    <row r="10428" spans="1:4">
      <c r="A10428" s="691"/>
      <c r="D10428" s="3"/>
    </row>
    <row r="10429" spans="1:4">
      <c r="A10429" s="691"/>
      <c r="D10429" s="3"/>
    </row>
    <row r="10430" spans="1:4">
      <c r="A10430" s="691"/>
      <c r="D10430" s="3"/>
    </row>
    <row r="10431" spans="1:4">
      <c r="A10431" s="691"/>
      <c r="D10431" s="3"/>
    </row>
    <row r="10432" spans="1:4">
      <c r="A10432" s="691"/>
      <c r="D10432" s="3"/>
    </row>
    <row r="10433" spans="1:4">
      <c r="A10433" s="691"/>
      <c r="D10433" s="3"/>
    </row>
    <row r="10434" spans="1:4">
      <c r="A10434" s="691"/>
      <c r="D10434" s="3"/>
    </row>
    <row r="10435" spans="1:4">
      <c r="A10435" s="691"/>
      <c r="D10435" s="3"/>
    </row>
    <row r="10436" spans="1:4">
      <c r="A10436" s="691"/>
      <c r="D10436" s="3"/>
    </row>
    <row r="10437" spans="1:4">
      <c r="A10437" s="691"/>
      <c r="D10437" s="3"/>
    </row>
    <row r="10438" spans="1:4">
      <c r="A10438" s="691"/>
      <c r="D10438" s="3"/>
    </row>
    <row r="10439" spans="1:4">
      <c r="A10439" s="691"/>
      <c r="D10439" s="3"/>
    </row>
    <row r="10440" spans="1:4">
      <c r="A10440" s="691"/>
      <c r="D10440" s="3"/>
    </row>
    <row r="10441" spans="1:4">
      <c r="A10441" s="691"/>
      <c r="D10441" s="3"/>
    </row>
    <row r="10442" spans="1:4">
      <c r="A10442" s="691"/>
      <c r="D10442" s="3"/>
    </row>
    <row r="10443" spans="1:4">
      <c r="A10443" s="691"/>
      <c r="D10443" s="3"/>
    </row>
    <row r="10444" spans="1:4">
      <c r="A10444" s="691"/>
      <c r="D10444" s="3"/>
    </row>
    <row r="10445" spans="1:4">
      <c r="A10445" s="691"/>
      <c r="D10445" s="3"/>
    </row>
    <row r="10446" spans="1:4">
      <c r="A10446" s="691"/>
      <c r="D10446" s="3"/>
    </row>
    <row r="10447" spans="1:4">
      <c r="A10447" s="691"/>
      <c r="D10447" s="3"/>
    </row>
    <row r="10448" spans="1:4">
      <c r="A10448" s="691"/>
      <c r="D10448" s="3"/>
    </row>
    <row r="10449" spans="1:4">
      <c r="A10449" s="691"/>
      <c r="D10449" s="3"/>
    </row>
    <row r="10450" spans="1:4">
      <c r="A10450" s="691"/>
      <c r="D10450" s="3"/>
    </row>
    <row r="10451" spans="1:4">
      <c r="A10451" s="691"/>
      <c r="D10451" s="3"/>
    </row>
    <row r="10452" spans="1:4">
      <c r="A10452" s="691"/>
      <c r="D10452" s="3"/>
    </row>
    <row r="10453" spans="1:4">
      <c r="A10453" s="691"/>
      <c r="D10453" s="3"/>
    </row>
    <row r="10454" spans="1:4">
      <c r="A10454" s="691"/>
      <c r="D10454" s="3"/>
    </row>
    <row r="10455" spans="1:4">
      <c r="A10455" s="691"/>
      <c r="D10455" s="3"/>
    </row>
    <row r="10456" spans="1:4">
      <c r="A10456" s="691"/>
      <c r="D10456" s="3"/>
    </row>
    <row r="10457" spans="1:4">
      <c r="A10457" s="691"/>
      <c r="D10457" s="3"/>
    </row>
    <row r="10458" spans="1:4">
      <c r="A10458" s="691"/>
      <c r="D10458" s="3"/>
    </row>
    <row r="10459" spans="1:4">
      <c r="A10459" s="691"/>
      <c r="D10459" s="3"/>
    </row>
    <row r="10460" spans="1:4">
      <c r="A10460" s="691"/>
      <c r="D10460" s="3"/>
    </row>
    <row r="10461" spans="1:4">
      <c r="A10461" s="691"/>
      <c r="D10461" s="3"/>
    </row>
    <row r="10462" spans="1:4">
      <c r="A10462" s="691"/>
      <c r="D10462" s="3"/>
    </row>
    <row r="10463" spans="1:4">
      <c r="A10463" s="691"/>
      <c r="D10463" s="3"/>
    </row>
    <row r="10464" spans="1:4">
      <c r="A10464" s="691"/>
      <c r="D10464" s="3"/>
    </row>
    <row r="10465" spans="1:4">
      <c r="A10465" s="691"/>
      <c r="D10465" s="3"/>
    </row>
    <row r="10466" spans="1:4">
      <c r="A10466" s="691"/>
      <c r="D10466" s="3"/>
    </row>
    <row r="10467" spans="1:4">
      <c r="A10467" s="691"/>
      <c r="D10467" s="3"/>
    </row>
    <row r="10468" spans="1:4">
      <c r="A10468" s="691"/>
      <c r="D10468" s="3"/>
    </row>
    <row r="10469" spans="1:4">
      <c r="A10469" s="691"/>
      <c r="D10469" s="3"/>
    </row>
    <row r="10470" spans="1:4">
      <c r="A10470" s="691"/>
      <c r="D10470" s="3"/>
    </row>
    <row r="10471" spans="1:4">
      <c r="A10471" s="691"/>
      <c r="D10471" s="3"/>
    </row>
    <row r="10472" spans="1:4">
      <c r="A10472" s="691"/>
      <c r="D10472" s="3"/>
    </row>
    <row r="10473" spans="1:4">
      <c r="A10473" s="691"/>
      <c r="D10473" s="3"/>
    </row>
    <row r="10474" spans="1:4">
      <c r="A10474" s="691"/>
      <c r="D10474" s="3"/>
    </row>
    <row r="10475" spans="1:4">
      <c r="A10475" s="691"/>
      <c r="D10475" s="3"/>
    </row>
    <row r="10476" spans="1:4">
      <c r="A10476" s="691"/>
      <c r="D10476" s="3"/>
    </row>
    <row r="10477" spans="1:4">
      <c r="A10477" s="691"/>
      <c r="D10477" s="3"/>
    </row>
    <row r="10478" spans="1:4">
      <c r="A10478" s="691"/>
      <c r="D10478" s="3"/>
    </row>
    <row r="10479" spans="1:4">
      <c r="A10479" s="691"/>
      <c r="D10479" s="3"/>
    </row>
    <row r="10480" spans="1:4">
      <c r="A10480" s="691"/>
      <c r="D10480" s="3"/>
    </row>
    <row r="10481" spans="1:4">
      <c r="A10481" s="691"/>
      <c r="D10481" s="3"/>
    </row>
    <row r="10482" spans="1:4">
      <c r="A10482" s="691"/>
      <c r="D10482" s="3"/>
    </row>
    <row r="10483" spans="1:4">
      <c r="A10483" s="691"/>
      <c r="D10483" s="3"/>
    </row>
    <row r="10484" spans="1:4">
      <c r="A10484" s="691"/>
      <c r="D10484" s="3"/>
    </row>
    <row r="10485" spans="1:4">
      <c r="A10485" s="691"/>
      <c r="D10485" s="3"/>
    </row>
    <row r="10486" spans="1:4">
      <c r="A10486" s="691"/>
      <c r="D10486" s="3"/>
    </row>
    <row r="10487" spans="1:4">
      <c r="A10487" s="691"/>
      <c r="D10487" s="3"/>
    </row>
    <row r="10488" spans="1:4">
      <c r="A10488" s="691"/>
      <c r="D10488" s="3"/>
    </row>
    <row r="10489" spans="1:4">
      <c r="A10489" s="691"/>
      <c r="D10489" s="3"/>
    </row>
    <row r="10490" spans="1:4">
      <c r="A10490" s="691"/>
      <c r="D10490" s="3"/>
    </row>
    <row r="10491" spans="1:4">
      <c r="A10491" s="691"/>
      <c r="D10491" s="3"/>
    </row>
    <row r="10492" spans="1:4">
      <c r="A10492" s="691"/>
      <c r="D10492" s="3"/>
    </row>
    <row r="10493" spans="1:4">
      <c r="A10493" s="691"/>
      <c r="D10493" s="3"/>
    </row>
    <row r="10494" spans="1:4">
      <c r="A10494" s="691"/>
      <c r="D10494" s="3"/>
    </row>
    <row r="10495" spans="1:4">
      <c r="A10495" s="691"/>
      <c r="D10495" s="3"/>
    </row>
    <row r="10496" spans="1:4">
      <c r="A10496" s="691"/>
      <c r="D10496" s="3"/>
    </row>
    <row r="10497" spans="1:4">
      <c r="A10497" s="691"/>
      <c r="D10497" s="3"/>
    </row>
    <row r="10498" spans="1:4">
      <c r="A10498" s="691"/>
      <c r="D10498" s="3"/>
    </row>
    <row r="10499" spans="1:4">
      <c r="A10499" s="691"/>
      <c r="D10499" s="3"/>
    </row>
    <row r="10500" spans="1:4">
      <c r="A10500" s="691"/>
      <c r="D10500" s="3"/>
    </row>
    <row r="10501" spans="1:4">
      <c r="A10501" s="691"/>
      <c r="D10501" s="3"/>
    </row>
    <row r="10502" spans="1:4">
      <c r="A10502" s="691"/>
      <c r="D10502" s="3"/>
    </row>
    <row r="10503" spans="1:4">
      <c r="A10503" s="691"/>
      <c r="D10503" s="3"/>
    </row>
    <row r="10504" spans="1:4">
      <c r="A10504" s="691"/>
      <c r="D10504" s="3"/>
    </row>
    <row r="10505" spans="1:4">
      <c r="A10505" s="691"/>
      <c r="D10505" s="3"/>
    </row>
    <row r="10506" spans="1:4">
      <c r="A10506" s="691"/>
      <c r="D10506" s="3"/>
    </row>
    <row r="10507" spans="1:4">
      <c r="A10507" s="691"/>
      <c r="D10507" s="3"/>
    </row>
    <row r="10508" spans="1:4">
      <c r="A10508" s="691"/>
      <c r="D10508" s="3"/>
    </row>
    <row r="10509" spans="1:4">
      <c r="A10509" s="691"/>
      <c r="D10509" s="3"/>
    </row>
    <row r="10510" spans="1:4">
      <c r="A10510" s="691"/>
      <c r="D10510" s="3"/>
    </row>
    <row r="10511" spans="1:4">
      <c r="A10511" s="691"/>
      <c r="D10511" s="3"/>
    </row>
    <row r="10512" spans="1:4">
      <c r="A10512" s="691"/>
      <c r="D10512" s="3"/>
    </row>
    <row r="10513" spans="1:4">
      <c r="A10513" s="691"/>
      <c r="D10513" s="3"/>
    </row>
    <row r="10514" spans="1:4">
      <c r="A10514" s="691"/>
      <c r="D10514" s="3"/>
    </row>
    <row r="10515" spans="1:4">
      <c r="A10515" s="691"/>
      <c r="D10515" s="3"/>
    </row>
    <row r="10516" spans="1:4">
      <c r="A10516" s="691"/>
      <c r="D10516" s="3"/>
    </row>
    <row r="10517" spans="1:4">
      <c r="A10517" s="691"/>
      <c r="D10517" s="3"/>
    </row>
    <row r="10518" spans="1:4">
      <c r="A10518" s="691"/>
      <c r="D10518" s="3"/>
    </row>
    <row r="10519" spans="1:4">
      <c r="A10519" s="691"/>
      <c r="D10519" s="3"/>
    </row>
    <row r="10520" spans="1:4">
      <c r="A10520" s="691"/>
      <c r="D10520" s="3"/>
    </row>
    <row r="10521" spans="1:4">
      <c r="A10521" s="691"/>
      <c r="D10521" s="3"/>
    </row>
    <row r="10522" spans="1:4">
      <c r="A10522" s="691"/>
      <c r="D10522" s="3"/>
    </row>
    <row r="10523" spans="1:4">
      <c r="A10523" s="691"/>
      <c r="D10523" s="3"/>
    </row>
    <row r="10524" spans="1:4">
      <c r="A10524" s="691"/>
      <c r="D10524" s="3"/>
    </row>
    <row r="10525" spans="1:4">
      <c r="A10525" s="691"/>
      <c r="D10525" s="3"/>
    </row>
    <row r="10526" spans="1:4">
      <c r="A10526" s="691"/>
      <c r="D10526" s="3"/>
    </row>
    <row r="10527" spans="1:4">
      <c r="A10527" s="691"/>
      <c r="D10527" s="3"/>
    </row>
    <row r="10528" spans="1:4">
      <c r="A10528" s="691"/>
      <c r="D10528" s="3"/>
    </row>
    <row r="10529" spans="1:4">
      <c r="A10529" s="691"/>
      <c r="D10529" s="3"/>
    </row>
    <row r="10530" spans="1:4">
      <c r="A10530" s="691"/>
      <c r="D10530" s="3"/>
    </row>
    <row r="10531" spans="1:4">
      <c r="A10531" s="691"/>
      <c r="D10531" s="3"/>
    </row>
    <row r="10532" spans="1:4">
      <c r="A10532" s="691"/>
      <c r="D10532" s="3"/>
    </row>
    <row r="10533" spans="1:4">
      <c r="A10533" s="691"/>
      <c r="D10533" s="3"/>
    </row>
    <row r="10534" spans="1:4">
      <c r="A10534" s="691"/>
      <c r="D10534" s="3"/>
    </row>
    <row r="10535" spans="1:4">
      <c r="A10535" s="691"/>
      <c r="D10535" s="3"/>
    </row>
    <row r="10536" spans="1:4">
      <c r="A10536" s="691"/>
      <c r="D10536" s="3"/>
    </row>
    <row r="10537" spans="1:4">
      <c r="A10537" s="691"/>
      <c r="D10537" s="3"/>
    </row>
    <row r="10538" spans="1:4">
      <c r="A10538" s="691"/>
      <c r="D10538" s="3"/>
    </row>
    <row r="10539" spans="1:4">
      <c r="A10539" s="691"/>
      <c r="D10539" s="3"/>
    </row>
    <row r="10540" spans="1:4">
      <c r="A10540" s="691"/>
      <c r="D10540" s="3"/>
    </row>
    <row r="10541" spans="1:4">
      <c r="A10541" s="691"/>
      <c r="D10541" s="3"/>
    </row>
    <row r="10542" spans="1:4">
      <c r="A10542" s="691"/>
      <c r="D10542" s="3"/>
    </row>
    <row r="10543" spans="1:4">
      <c r="A10543" s="691"/>
      <c r="D10543" s="3"/>
    </row>
    <row r="10544" spans="1:4">
      <c r="A10544" s="691"/>
      <c r="D10544" s="3"/>
    </row>
    <row r="10545" spans="1:4">
      <c r="A10545" s="691"/>
      <c r="D10545" s="3"/>
    </row>
    <row r="10546" spans="1:4">
      <c r="A10546" s="691"/>
      <c r="D10546" s="3"/>
    </row>
    <row r="10547" spans="1:4">
      <c r="A10547" s="691"/>
      <c r="D10547" s="3"/>
    </row>
    <row r="10548" spans="1:4">
      <c r="A10548" s="691"/>
      <c r="D10548" s="3"/>
    </row>
    <row r="10549" spans="1:4">
      <c r="A10549" s="691"/>
      <c r="D10549" s="3"/>
    </row>
    <row r="10550" spans="1:4">
      <c r="A10550" s="691"/>
      <c r="D10550" s="3"/>
    </row>
    <row r="10551" spans="1:4">
      <c r="A10551" s="691"/>
      <c r="D10551" s="3"/>
    </row>
    <row r="10552" spans="1:4">
      <c r="A10552" s="691"/>
      <c r="D10552" s="3"/>
    </row>
    <row r="10553" spans="1:4">
      <c r="A10553" s="691"/>
      <c r="D10553" s="3"/>
    </row>
    <row r="10554" spans="1:4">
      <c r="A10554" s="691"/>
      <c r="D10554" s="3"/>
    </row>
    <row r="10555" spans="1:4">
      <c r="A10555" s="691"/>
      <c r="D10555" s="3"/>
    </row>
    <row r="10556" spans="1:4">
      <c r="A10556" s="691"/>
      <c r="D10556" s="3"/>
    </row>
    <row r="10557" spans="1:4">
      <c r="A10557" s="691"/>
      <c r="D10557" s="3"/>
    </row>
    <row r="10558" spans="1:4">
      <c r="A10558" s="691"/>
      <c r="D10558" s="3"/>
    </row>
    <row r="10559" spans="1:4">
      <c r="A10559" s="691"/>
      <c r="D10559" s="3"/>
    </row>
    <row r="10560" spans="1:4">
      <c r="A10560" s="691"/>
      <c r="D10560" s="3"/>
    </row>
    <row r="10561" spans="1:4">
      <c r="A10561" s="691"/>
      <c r="D10561" s="3"/>
    </row>
    <row r="10562" spans="1:4">
      <c r="A10562" s="691"/>
      <c r="D10562" s="3"/>
    </row>
    <row r="10563" spans="1:4">
      <c r="A10563" s="691"/>
      <c r="D10563" s="3"/>
    </row>
    <row r="10564" spans="1:4">
      <c r="A10564" s="691"/>
      <c r="D10564" s="3"/>
    </row>
    <row r="10565" spans="1:4">
      <c r="A10565" s="691"/>
      <c r="D10565" s="3"/>
    </row>
    <row r="10566" spans="1:4">
      <c r="A10566" s="691"/>
      <c r="D10566" s="3"/>
    </row>
    <row r="10567" spans="1:4">
      <c r="A10567" s="691"/>
      <c r="D10567" s="3"/>
    </row>
    <row r="10568" spans="1:4">
      <c r="A10568" s="691"/>
      <c r="D10568" s="3"/>
    </row>
    <row r="10569" spans="1:4">
      <c r="A10569" s="691"/>
      <c r="D10569" s="3"/>
    </row>
    <row r="10570" spans="1:4">
      <c r="A10570" s="691"/>
      <c r="D10570" s="3"/>
    </row>
    <row r="10571" spans="1:4">
      <c r="A10571" s="691"/>
      <c r="D10571" s="3"/>
    </row>
    <row r="10572" spans="1:4">
      <c r="A10572" s="691"/>
      <c r="D10572" s="3"/>
    </row>
    <row r="10573" spans="1:4">
      <c r="A10573" s="691"/>
      <c r="D10573" s="3"/>
    </row>
    <row r="10574" spans="1:4">
      <c r="A10574" s="691"/>
      <c r="D10574" s="3"/>
    </row>
    <row r="10575" spans="1:4">
      <c r="A10575" s="691"/>
      <c r="D10575" s="3"/>
    </row>
    <row r="10576" spans="1:4">
      <c r="A10576" s="691"/>
      <c r="D10576" s="3"/>
    </row>
    <row r="10577" spans="1:4">
      <c r="A10577" s="691"/>
      <c r="D10577" s="3"/>
    </row>
    <row r="10578" spans="1:4">
      <c r="A10578" s="691"/>
      <c r="D10578" s="3"/>
    </row>
    <row r="10579" spans="1:4">
      <c r="A10579" s="691"/>
      <c r="D10579" s="3"/>
    </row>
    <row r="10580" spans="1:4">
      <c r="A10580" s="691"/>
      <c r="D10580" s="3"/>
    </row>
    <row r="10581" spans="1:4">
      <c r="A10581" s="691"/>
      <c r="D10581" s="3"/>
    </row>
    <row r="10582" spans="1:4">
      <c r="A10582" s="691"/>
      <c r="D10582" s="3"/>
    </row>
    <row r="10583" spans="1:4">
      <c r="A10583" s="691"/>
      <c r="D10583" s="3"/>
    </row>
    <row r="10584" spans="1:4">
      <c r="A10584" s="691"/>
      <c r="D10584" s="3"/>
    </row>
    <row r="10585" spans="1:4">
      <c r="A10585" s="691"/>
      <c r="D10585" s="3"/>
    </row>
    <row r="10586" spans="1:4">
      <c r="A10586" s="691"/>
      <c r="D10586" s="3"/>
    </row>
    <row r="10587" spans="1:4">
      <c r="A10587" s="691"/>
      <c r="D10587" s="3"/>
    </row>
    <row r="10588" spans="1:4">
      <c r="A10588" s="691"/>
      <c r="D10588" s="3"/>
    </row>
    <row r="10589" spans="1:4">
      <c r="A10589" s="691"/>
      <c r="D10589" s="3"/>
    </row>
    <row r="10590" spans="1:4">
      <c r="A10590" s="691"/>
      <c r="D10590" s="3"/>
    </row>
    <row r="10591" spans="1:4">
      <c r="A10591" s="691"/>
      <c r="D10591" s="3"/>
    </row>
    <row r="10592" spans="1:4">
      <c r="A10592" s="691"/>
      <c r="D10592" s="3"/>
    </row>
    <row r="10593" spans="1:4">
      <c r="A10593" s="691"/>
      <c r="D10593" s="3"/>
    </row>
    <row r="10594" spans="1:4">
      <c r="A10594" s="691"/>
      <c r="D10594" s="3"/>
    </row>
    <row r="10595" spans="1:4">
      <c r="A10595" s="691"/>
      <c r="D10595" s="3"/>
    </row>
    <row r="10596" spans="1:4">
      <c r="A10596" s="691"/>
      <c r="D10596" s="3"/>
    </row>
    <row r="10597" spans="1:4">
      <c r="A10597" s="691"/>
      <c r="D10597" s="3"/>
    </row>
    <row r="10598" spans="1:4">
      <c r="A10598" s="691"/>
      <c r="D10598" s="3"/>
    </row>
    <row r="10599" spans="1:4">
      <c r="A10599" s="691"/>
      <c r="D10599" s="3"/>
    </row>
    <row r="10600" spans="1:4">
      <c r="A10600" s="691"/>
      <c r="D10600" s="3"/>
    </row>
    <row r="10601" spans="1:4">
      <c r="A10601" s="691"/>
      <c r="D10601" s="3"/>
    </row>
    <row r="10602" spans="1:4">
      <c r="A10602" s="691"/>
      <c r="D10602" s="3"/>
    </row>
    <row r="10603" spans="1:4">
      <c r="A10603" s="691"/>
      <c r="D10603" s="3"/>
    </row>
    <row r="10604" spans="1:4">
      <c r="A10604" s="691"/>
      <c r="D10604" s="3"/>
    </row>
    <row r="10605" spans="1:4">
      <c r="A10605" s="691"/>
      <c r="D10605" s="3"/>
    </row>
    <row r="10606" spans="1:4">
      <c r="A10606" s="691"/>
      <c r="D10606" s="3"/>
    </row>
    <row r="10607" spans="1:4">
      <c r="A10607" s="691"/>
      <c r="D10607" s="3"/>
    </row>
    <row r="10608" spans="1:4">
      <c r="A10608" s="691"/>
      <c r="D10608" s="3"/>
    </row>
    <row r="10609" spans="1:4">
      <c r="A10609" s="691"/>
      <c r="D10609" s="3"/>
    </row>
    <row r="10610" spans="1:4">
      <c r="A10610" s="691"/>
      <c r="D10610" s="3"/>
    </row>
    <row r="10611" spans="1:4">
      <c r="A10611" s="691"/>
      <c r="D10611" s="3"/>
    </row>
    <row r="10612" spans="1:4">
      <c r="A10612" s="691"/>
      <c r="D10612" s="3"/>
    </row>
    <row r="10613" spans="1:4">
      <c r="A10613" s="691"/>
      <c r="D10613" s="3"/>
    </row>
    <row r="10614" spans="1:4">
      <c r="A10614" s="691"/>
      <c r="D10614" s="3"/>
    </row>
    <row r="10615" spans="1:4">
      <c r="A10615" s="691"/>
      <c r="D10615" s="3"/>
    </row>
    <row r="10616" spans="1:4">
      <c r="A10616" s="691"/>
      <c r="D10616" s="3"/>
    </row>
    <row r="10617" spans="1:4">
      <c r="A10617" s="691"/>
      <c r="D10617" s="3"/>
    </row>
    <row r="10618" spans="1:4">
      <c r="A10618" s="691"/>
      <c r="D10618" s="3"/>
    </row>
    <row r="10619" spans="1:4">
      <c r="A10619" s="691"/>
      <c r="D10619" s="3"/>
    </row>
    <row r="10620" spans="1:4">
      <c r="A10620" s="691"/>
      <c r="D10620" s="3"/>
    </row>
    <row r="10621" spans="1:4">
      <c r="A10621" s="691"/>
      <c r="D10621" s="3"/>
    </row>
    <row r="10622" spans="1:4">
      <c r="A10622" s="691"/>
      <c r="D10622" s="3"/>
    </row>
    <row r="10623" spans="1:4">
      <c r="A10623" s="691"/>
      <c r="D10623" s="3"/>
    </row>
    <row r="10624" spans="1:4">
      <c r="A10624" s="691"/>
      <c r="D10624" s="3"/>
    </row>
    <row r="10625" spans="1:4">
      <c r="A10625" s="691"/>
      <c r="D10625" s="3"/>
    </row>
    <row r="10626" spans="1:4">
      <c r="A10626" s="691"/>
      <c r="D10626" s="3"/>
    </row>
    <row r="10627" spans="1:4">
      <c r="A10627" s="691"/>
      <c r="D10627" s="3"/>
    </row>
    <row r="10628" spans="1:4">
      <c r="A10628" s="691"/>
      <c r="D10628" s="3"/>
    </row>
    <row r="10629" spans="1:4">
      <c r="A10629" s="691"/>
      <c r="D10629" s="3"/>
    </row>
    <row r="10630" spans="1:4">
      <c r="A10630" s="691"/>
      <c r="D10630" s="3"/>
    </row>
    <row r="10631" spans="1:4">
      <c r="A10631" s="691"/>
      <c r="D10631" s="3"/>
    </row>
    <row r="10632" spans="1:4">
      <c r="A10632" s="691"/>
      <c r="D10632" s="3"/>
    </row>
    <row r="10633" spans="1:4">
      <c r="A10633" s="691"/>
      <c r="D10633" s="3"/>
    </row>
    <row r="10634" spans="1:4">
      <c r="A10634" s="691"/>
      <c r="D10634" s="3"/>
    </row>
    <row r="10635" spans="1:4">
      <c r="A10635" s="691"/>
      <c r="D10635" s="3"/>
    </row>
    <row r="10636" spans="1:4">
      <c r="A10636" s="691"/>
      <c r="D10636" s="3"/>
    </row>
    <row r="10637" spans="1:4">
      <c r="A10637" s="691"/>
      <c r="D10637" s="3"/>
    </row>
    <row r="10638" spans="1:4">
      <c r="A10638" s="691"/>
      <c r="D10638" s="3"/>
    </row>
    <row r="10639" spans="1:4">
      <c r="A10639" s="691"/>
      <c r="D10639" s="3"/>
    </row>
    <row r="10640" spans="1:4">
      <c r="A10640" s="691"/>
      <c r="D10640" s="3"/>
    </row>
    <row r="10641" spans="1:4">
      <c r="A10641" s="691"/>
      <c r="D10641" s="3"/>
    </row>
    <row r="10642" spans="1:4">
      <c r="A10642" s="691"/>
      <c r="D10642" s="3"/>
    </row>
    <row r="10643" spans="1:4">
      <c r="A10643" s="691"/>
      <c r="D10643" s="3"/>
    </row>
    <row r="10644" spans="1:4">
      <c r="A10644" s="691"/>
      <c r="D10644" s="3"/>
    </row>
    <row r="10645" spans="1:4">
      <c r="A10645" s="691"/>
      <c r="D10645" s="3"/>
    </row>
    <row r="10646" spans="1:4">
      <c r="A10646" s="691"/>
      <c r="D10646" s="3"/>
    </row>
    <row r="10647" spans="1:4">
      <c r="A10647" s="691"/>
      <c r="D10647" s="3"/>
    </row>
    <row r="10648" spans="1:4">
      <c r="A10648" s="691"/>
      <c r="D10648" s="3"/>
    </row>
    <row r="10649" spans="1:4">
      <c r="A10649" s="691"/>
      <c r="D10649" s="3"/>
    </row>
    <row r="10650" spans="1:4">
      <c r="A10650" s="691"/>
      <c r="D10650" s="3"/>
    </row>
    <row r="10651" spans="1:4">
      <c r="A10651" s="691"/>
      <c r="D10651" s="3"/>
    </row>
    <row r="10652" spans="1:4">
      <c r="A10652" s="691"/>
      <c r="D10652" s="3"/>
    </row>
    <row r="10653" spans="1:4">
      <c r="A10653" s="691"/>
      <c r="D10653" s="3"/>
    </row>
    <row r="10654" spans="1:4">
      <c r="A10654" s="691"/>
      <c r="D10654" s="3"/>
    </row>
    <row r="10655" spans="1:4">
      <c r="A10655" s="691"/>
      <c r="D10655" s="3"/>
    </row>
    <row r="10656" spans="1:4">
      <c r="A10656" s="691"/>
      <c r="D10656" s="3"/>
    </row>
    <row r="10657" spans="1:4">
      <c r="A10657" s="691"/>
      <c r="D10657" s="3"/>
    </row>
    <row r="10658" spans="1:4">
      <c r="A10658" s="691"/>
      <c r="D10658" s="3"/>
    </row>
    <row r="10659" spans="1:4">
      <c r="A10659" s="691"/>
      <c r="D10659" s="3"/>
    </row>
    <row r="10660" spans="1:4">
      <c r="A10660" s="691"/>
      <c r="D10660" s="3"/>
    </row>
    <row r="10661" spans="1:4">
      <c r="A10661" s="691"/>
      <c r="D10661" s="3"/>
    </row>
    <row r="10662" spans="1:4">
      <c r="A10662" s="691"/>
      <c r="D10662" s="3"/>
    </row>
    <row r="10663" spans="1:4">
      <c r="A10663" s="691"/>
      <c r="D10663" s="3"/>
    </row>
    <row r="10664" spans="1:4">
      <c r="A10664" s="691"/>
      <c r="D10664" s="3"/>
    </row>
    <row r="10665" spans="1:4">
      <c r="A10665" s="691"/>
      <c r="D10665" s="3"/>
    </row>
    <row r="10666" spans="1:4">
      <c r="A10666" s="691"/>
      <c r="D10666" s="3"/>
    </row>
    <row r="10667" spans="1:4">
      <c r="A10667" s="691"/>
      <c r="D10667" s="3"/>
    </row>
    <row r="10668" spans="1:4">
      <c r="A10668" s="691"/>
      <c r="D10668" s="3"/>
    </row>
    <row r="10669" spans="1:4">
      <c r="A10669" s="691"/>
      <c r="D10669" s="3"/>
    </row>
    <row r="10670" spans="1:4">
      <c r="A10670" s="691"/>
      <c r="D10670" s="3"/>
    </row>
    <row r="10671" spans="1:4">
      <c r="A10671" s="691"/>
      <c r="D10671" s="3"/>
    </row>
    <row r="10672" spans="1:4">
      <c r="A10672" s="691"/>
      <c r="D10672" s="3"/>
    </row>
    <row r="10673" spans="1:4">
      <c r="A10673" s="691"/>
      <c r="D10673" s="3"/>
    </row>
    <row r="10674" spans="1:4">
      <c r="A10674" s="691"/>
      <c r="D10674" s="3"/>
    </row>
    <row r="10675" spans="1:4">
      <c r="A10675" s="691"/>
      <c r="D10675" s="3"/>
    </row>
    <row r="10676" spans="1:4">
      <c r="A10676" s="691"/>
      <c r="D10676" s="3"/>
    </row>
    <row r="10677" spans="1:4">
      <c r="A10677" s="691"/>
      <c r="D10677" s="3"/>
    </row>
    <row r="10678" spans="1:4">
      <c r="A10678" s="691"/>
      <c r="D10678" s="3"/>
    </row>
    <row r="10679" spans="1:4">
      <c r="A10679" s="691"/>
      <c r="D10679" s="3"/>
    </row>
    <row r="10680" spans="1:4">
      <c r="A10680" s="691"/>
      <c r="D10680" s="3"/>
    </row>
    <row r="10681" spans="1:4">
      <c r="A10681" s="691"/>
      <c r="D10681" s="3"/>
    </row>
    <row r="10682" spans="1:4">
      <c r="A10682" s="691"/>
      <c r="D10682" s="3"/>
    </row>
    <row r="10683" spans="1:4">
      <c r="A10683" s="691"/>
      <c r="D10683" s="3"/>
    </row>
    <row r="10684" spans="1:4">
      <c r="A10684" s="691"/>
      <c r="D10684" s="3"/>
    </row>
    <row r="10685" spans="1:4">
      <c r="A10685" s="691"/>
      <c r="D10685" s="3"/>
    </row>
    <row r="10686" spans="1:4">
      <c r="A10686" s="691"/>
      <c r="D10686" s="3"/>
    </row>
    <row r="10687" spans="1:4">
      <c r="A10687" s="691"/>
      <c r="D10687" s="3"/>
    </row>
    <row r="10688" spans="1:4">
      <c r="A10688" s="691"/>
      <c r="D10688" s="3"/>
    </row>
    <row r="10689" spans="1:4">
      <c r="A10689" s="691"/>
      <c r="D10689" s="3"/>
    </row>
    <row r="10690" spans="1:4">
      <c r="A10690" s="691"/>
      <c r="D10690" s="3"/>
    </row>
    <row r="10691" spans="1:4">
      <c r="A10691" s="691"/>
      <c r="D10691" s="3"/>
    </row>
    <row r="10692" spans="1:4">
      <c r="A10692" s="691"/>
      <c r="D10692" s="3"/>
    </row>
    <row r="10693" spans="1:4">
      <c r="A10693" s="691"/>
      <c r="D10693" s="3"/>
    </row>
    <row r="10694" spans="1:4">
      <c r="A10694" s="691"/>
      <c r="D10694" s="3"/>
    </row>
    <row r="10695" spans="1:4">
      <c r="A10695" s="691"/>
      <c r="D10695" s="3"/>
    </row>
    <row r="10696" spans="1:4">
      <c r="A10696" s="691"/>
      <c r="D10696" s="3"/>
    </row>
    <row r="10697" spans="1:4">
      <c r="A10697" s="691"/>
      <c r="D10697" s="3"/>
    </row>
    <row r="10698" spans="1:4">
      <c r="A10698" s="691"/>
      <c r="D10698" s="3"/>
    </row>
    <row r="10699" spans="1:4">
      <c r="A10699" s="691"/>
      <c r="D10699" s="3"/>
    </row>
    <row r="10700" spans="1:4">
      <c r="A10700" s="691"/>
      <c r="D10700" s="3"/>
    </row>
    <row r="10701" spans="1:4">
      <c r="A10701" s="691"/>
      <c r="D10701" s="3"/>
    </row>
    <row r="10702" spans="1:4">
      <c r="A10702" s="691"/>
      <c r="D10702" s="3"/>
    </row>
    <row r="10703" spans="1:4">
      <c r="A10703" s="691"/>
      <c r="D10703" s="3"/>
    </row>
    <row r="10704" spans="1:4">
      <c r="A10704" s="691"/>
      <c r="D10704" s="3"/>
    </row>
    <row r="10705" spans="1:4">
      <c r="A10705" s="691"/>
      <c r="D10705" s="3"/>
    </row>
    <row r="10706" spans="1:4">
      <c r="A10706" s="691"/>
      <c r="D10706" s="3"/>
    </row>
    <row r="10707" spans="1:4">
      <c r="A10707" s="691"/>
      <c r="D10707" s="3"/>
    </row>
    <row r="10708" spans="1:4">
      <c r="A10708" s="691"/>
      <c r="D10708" s="3"/>
    </row>
    <row r="10709" spans="1:4">
      <c r="A10709" s="691"/>
      <c r="D10709" s="3"/>
    </row>
    <row r="10710" spans="1:4">
      <c r="A10710" s="691"/>
      <c r="D10710" s="3"/>
    </row>
    <row r="10711" spans="1:4">
      <c r="A10711" s="691"/>
      <c r="D10711" s="3"/>
    </row>
    <row r="10712" spans="1:4">
      <c r="A10712" s="691"/>
      <c r="D10712" s="3"/>
    </row>
    <row r="10713" spans="1:4">
      <c r="A10713" s="691"/>
      <c r="D10713" s="3"/>
    </row>
    <row r="10714" spans="1:4">
      <c r="A10714" s="691"/>
      <c r="D10714" s="3"/>
    </row>
    <row r="10715" spans="1:4">
      <c r="A10715" s="691"/>
      <c r="D10715" s="3"/>
    </row>
    <row r="10716" spans="1:4">
      <c r="A10716" s="691"/>
      <c r="D10716" s="3"/>
    </row>
    <row r="10717" spans="1:4">
      <c r="A10717" s="691"/>
      <c r="D10717" s="3"/>
    </row>
    <row r="10718" spans="1:4">
      <c r="A10718" s="691"/>
      <c r="D10718" s="3"/>
    </row>
    <row r="10719" spans="1:4">
      <c r="A10719" s="691"/>
      <c r="D10719" s="3"/>
    </row>
    <row r="10720" spans="1:4">
      <c r="A10720" s="691"/>
      <c r="D10720" s="3"/>
    </row>
    <row r="10721" spans="1:4">
      <c r="A10721" s="691"/>
      <c r="D10721" s="3"/>
    </row>
    <row r="10722" spans="1:4">
      <c r="A10722" s="691"/>
      <c r="D10722" s="3"/>
    </row>
    <row r="10723" spans="1:4">
      <c r="A10723" s="691"/>
      <c r="D10723" s="3"/>
    </row>
    <row r="10724" spans="1:4">
      <c r="A10724" s="691"/>
      <c r="D10724" s="3"/>
    </row>
    <row r="10725" spans="1:4">
      <c r="A10725" s="691"/>
      <c r="D10725" s="3"/>
    </row>
    <row r="10726" spans="1:4">
      <c r="A10726" s="691"/>
      <c r="D10726" s="3"/>
    </row>
    <row r="10727" spans="1:4">
      <c r="A10727" s="691"/>
      <c r="D10727" s="3"/>
    </row>
    <row r="10728" spans="1:4">
      <c r="A10728" s="691"/>
      <c r="D10728" s="3"/>
    </row>
    <row r="10729" spans="1:4">
      <c r="A10729" s="691"/>
      <c r="D10729" s="3"/>
    </row>
    <row r="10730" spans="1:4">
      <c r="A10730" s="691"/>
      <c r="D10730" s="3"/>
    </row>
    <row r="10731" spans="1:4">
      <c r="A10731" s="691"/>
      <c r="D10731" s="3"/>
    </row>
    <row r="10732" spans="1:4">
      <c r="A10732" s="691"/>
      <c r="D10732" s="3"/>
    </row>
    <row r="10733" spans="1:4">
      <c r="A10733" s="691"/>
      <c r="D10733" s="3"/>
    </row>
    <row r="10734" spans="1:4">
      <c r="A10734" s="691"/>
      <c r="D10734" s="3"/>
    </row>
    <row r="10735" spans="1:4">
      <c r="A10735" s="691"/>
      <c r="D10735" s="3"/>
    </row>
    <row r="10736" spans="1:4">
      <c r="A10736" s="691"/>
      <c r="D10736" s="3"/>
    </row>
    <row r="10737" spans="1:4">
      <c r="A10737" s="691"/>
      <c r="D10737" s="3"/>
    </row>
    <row r="10738" spans="1:4">
      <c r="A10738" s="691"/>
      <c r="D10738" s="3"/>
    </row>
    <row r="10739" spans="1:4">
      <c r="A10739" s="691"/>
      <c r="D10739" s="3"/>
    </row>
    <row r="10740" spans="1:4">
      <c r="A10740" s="691"/>
      <c r="D10740" s="3"/>
    </row>
    <row r="10741" spans="1:4">
      <c r="A10741" s="691"/>
      <c r="D10741" s="3"/>
    </row>
    <row r="10742" spans="1:4">
      <c r="A10742" s="691"/>
      <c r="D10742" s="3"/>
    </row>
    <row r="10743" spans="1:4">
      <c r="A10743" s="691"/>
      <c r="D10743" s="3"/>
    </row>
    <row r="10744" spans="1:4">
      <c r="A10744" s="691"/>
      <c r="D10744" s="3"/>
    </row>
    <row r="10745" spans="1:4">
      <c r="A10745" s="691"/>
      <c r="D10745" s="3"/>
    </row>
    <row r="10746" spans="1:4">
      <c r="A10746" s="691"/>
      <c r="D10746" s="3"/>
    </row>
    <row r="10747" spans="1:4">
      <c r="A10747" s="691"/>
      <c r="D10747" s="3"/>
    </row>
    <row r="10748" spans="1:4">
      <c r="A10748" s="691"/>
      <c r="D10748" s="3"/>
    </row>
    <row r="10749" spans="1:4">
      <c r="A10749" s="691"/>
      <c r="D10749" s="3"/>
    </row>
    <row r="10750" spans="1:4">
      <c r="A10750" s="691"/>
      <c r="D10750" s="3"/>
    </row>
    <row r="10751" spans="1:4">
      <c r="A10751" s="691"/>
      <c r="D10751" s="3"/>
    </row>
    <row r="10752" spans="1:4">
      <c r="A10752" s="691"/>
      <c r="D10752" s="3"/>
    </row>
    <row r="10753" spans="1:4">
      <c r="A10753" s="691"/>
      <c r="D10753" s="3"/>
    </row>
    <row r="10754" spans="1:4">
      <c r="A10754" s="691"/>
      <c r="D10754" s="3"/>
    </row>
    <row r="10755" spans="1:4">
      <c r="A10755" s="691"/>
      <c r="D10755" s="3"/>
    </row>
    <row r="10756" spans="1:4">
      <c r="A10756" s="691"/>
      <c r="D10756" s="3"/>
    </row>
    <row r="10757" spans="1:4">
      <c r="A10757" s="691"/>
      <c r="D10757" s="3"/>
    </row>
    <row r="10758" spans="1:4">
      <c r="A10758" s="691"/>
      <c r="D10758" s="3"/>
    </row>
    <row r="10759" spans="1:4">
      <c r="A10759" s="691"/>
      <c r="D10759" s="3"/>
    </row>
    <row r="10760" spans="1:4">
      <c r="A10760" s="691"/>
      <c r="D10760" s="3"/>
    </row>
    <row r="10761" spans="1:4">
      <c r="A10761" s="691"/>
      <c r="D10761" s="3"/>
    </row>
    <row r="10762" spans="1:4">
      <c r="A10762" s="691"/>
      <c r="D10762" s="3"/>
    </row>
    <row r="10763" spans="1:4">
      <c r="A10763" s="691"/>
      <c r="D10763" s="3"/>
    </row>
    <row r="10764" spans="1:4">
      <c r="A10764" s="691"/>
      <c r="D10764" s="3"/>
    </row>
    <row r="10765" spans="1:4">
      <c r="A10765" s="691"/>
      <c r="D10765" s="3"/>
    </row>
    <row r="10766" spans="1:4">
      <c r="A10766" s="691"/>
      <c r="D10766" s="3"/>
    </row>
    <row r="10767" spans="1:4">
      <c r="A10767" s="691"/>
      <c r="D10767" s="3"/>
    </row>
    <row r="10768" spans="1:4">
      <c r="A10768" s="691"/>
      <c r="D10768" s="3"/>
    </row>
    <row r="10769" spans="1:4">
      <c r="A10769" s="691"/>
      <c r="D10769" s="3"/>
    </row>
    <row r="10770" spans="1:4">
      <c r="A10770" s="691"/>
      <c r="D10770" s="3"/>
    </row>
    <row r="10771" spans="1:4">
      <c r="A10771" s="691"/>
      <c r="D10771" s="3"/>
    </row>
    <row r="10772" spans="1:4">
      <c r="A10772" s="691"/>
      <c r="D10772" s="3"/>
    </row>
    <row r="10773" spans="1:4">
      <c r="A10773" s="691"/>
      <c r="D10773" s="3"/>
    </row>
    <row r="10774" spans="1:4">
      <c r="A10774" s="691"/>
      <c r="D10774" s="3"/>
    </row>
    <row r="10775" spans="1:4">
      <c r="A10775" s="691"/>
      <c r="D10775" s="3"/>
    </row>
    <row r="10776" spans="1:4">
      <c r="A10776" s="691"/>
      <c r="D10776" s="3"/>
    </row>
    <row r="10777" spans="1:4">
      <c r="A10777" s="691"/>
      <c r="D10777" s="3"/>
    </row>
    <row r="10778" spans="1:4">
      <c r="A10778" s="691"/>
      <c r="D10778" s="3"/>
    </row>
    <row r="10779" spans="1:4">
      <c r="A10779" s="691"/>
      <c r="D10779" s="3"/>
    </row>
    <row r="10780" spans="1:4">
      <c r="A10780" s="691"/>
      <c r="D10780" s="3"/>
    </row>
    <row r="10781" spans="1:4">
      <c r="A10781" s="691"/>
      <c r="D10781" s="3"/>
    </row>
    <row r="10782" spans="1:4">
      <c r="A10782" s="691"/>
      <c r="D10782" s="3"/>
    </row>
    <row r="10783" spans="1:4">
      <c r="A10783" s="691"/>
      <c r="D10783" s="3"/>
    </row>
    <row r="10784" spans="1:4">
      <c r="A10784" s="691"/>
      <c r="D10784" s="3"/>
    </row>
    <row r="10785" spans="1:4">
      <c r="A10785" s="691"/>
      <c r="D10785" s="3"/>
    </row>
    <row r="10786" spans="1:4">
      <c r="A10786" s="691"/>
      <c r="D10786" s="3"/>
    </row>
    <row r="10787" spans="1:4">
      <c r="A10787" s="691"/>
      <c r="D10787" s="3"/>
    </row>
    <row r="10788" spans="1:4">
      <c r="A10788" s="691"/>
      <c r="D10788" s="3"/>
    </row>
    <row r="10789" spans="1:4">
      <c r="A10789" s="691"/>
      <c r="D10789" s="3"/>
    </row>
    <row r="10790" spans="1:4">
      <c r="A10790" s="691"/>
      <c r="D10790" s="3"/>
    </row>
    <row r="10791" spans="1:4">
      <c r="A10791" s="691"/>
      <c r="D10791" s="3"/>
    </row>
    <row r="10792" spans="1:4">
      <c r="A10792" s="691"/>
      <c r="D10792" s="3"/>
    </row>
    <row r="10793" spans="1:4">
      <c r="A10793" s="691"/>
      <c r="D10793" s="3"/>
    </row>
    <row r="10794" spans="1:4">
      <c r="A10794" s="691"/>
      <c r="D10794" s="3"/>
    </row>
    <row r="10795" spans="1:4">
      <c r="A10795" s="691"/>
      <c r="D10795" s="3"/>
    </row>
    <row r="10796" spans="1:4">
      <c r="A10796" s="691"/>
      <c r="D10796" s="3"/>
    </row>
    <row r="10797" spans="1:4">
      <c r="A10797" s="691"/>
      <c r="D10797" s="3"/>
    </row>
    <row r="10798" spans="1:4">
      <c r="A10798" s="691"/>
      <c r="D10798" s="3"/>
    </row>
    <row r="10799" spans="1:4">
      <c r="A10799" s="691"/>
      <c r="D10799" s="3"/>
    </row>
    <row r="10800" spans="1:4">
      <c r="A10800" s="691"/>
      <c r="D10800" s="3"/>
    </row>
    <row r="10801" spans="1:4">
      <c r="A10801" s="691"/>
      <c r="D10801" s="3"/>
    </row>
    <row r="10802" spans="1:4">
      <c r="A10802" s="691"/>
      <c r="D10802" s="3"/>
    </row>
    <row r="10803" spans="1:4">
      <c r="A10803" s="691"/>
      <c r="D10803" s="3"/>
    </row>
    <row r="10804" spans="1:4">
      <c r="A10804" s="691"/>
      <c r="D10804" s="3"/>
    </row>
    <row r="10805" spans="1:4">
      <c r="A10805" s="691"/>
      <c r="D10805" s="3"/>
    </row>
    <row r="10806" spans="1:4">
      <c r="A10806" s="691"/>
      <c r="D10806" s="3"/>
    </row>
    <row r="10807" spans="1:4">
      <c r="A10807" s="691"/>
      <c r="D10807" s="3"/>
    </row>
    <row r="10808" spans="1:4">
      <c r="A10808" s="691"/>
      <c r="D10808" s="3"/>
    </row>
    <row r="10809" spans="1:4">
      <c r="A10809" s="691"/>
      <c r="D10809" s="3"/>
    </row>
    <row r="10810" spans="1:4">
      <c r="A10810" s="691"/>
      <c r="D10810" s="3"/>
    </row>
    <row r="10811" spans="1:4">
      <c r="A10811" s="691"/>
      <c r="D10811" s="3"/>
    </row>
    <row r="10812" spans="1:4">
      <c r="A10812" s="691"/>
      <c r="D10812" s="3"/>
    </row>
    <row r="10813" spans="1:4">
      <c r="A10813" s="691"/>
      <c r="D10813" s="3"/>
    </row>
    <row r="10814" spans="1:4">
      <c r="A10814" s="691"/>
      <c r="D10814" s="3"/>
    </row>
    <row r="10815" spans="1:4">
      <c r="A10815" s="691"/>
      <c r="D10815" s="3"/>
    </row>
    <row r="10816" spans="1:4">
      <c r="A10816" s="691"/>
      <c r="D10816" s="3"/>
    </row>
    <row r="10817" spans="1:4">
      <c r="A10817" s="691"/>
      <c r="D10817" s="3"/>
    </row>
    <row r="10818" spans="1:4">
      <c r="A10818" s="691"/>
      <c r="D10818" s="3"/>
    </row>
    <row r="10819" spans="1:4">
      <c r="A10819" s="691"/>
      <c r="D10819" s="3"/>
    </row>
    <row r="10820" spans="1:4">
      <c r="A10820" s="691"/>
      <c r="D10820" s="3"/>
    </row>
    <row r="10821" spans="1:4">
      <c r="A10821" s="691"/>
      <c r="D10821" s="3"/>
    </row>
    <row r="10822" spans="1:4">
      <c r="A10822" s="691"/>
      <c r="D10822" s="3"/>
    </row>
    <row r="10823" spans="1:4">
      <c r="A10823" s="691"/>
      <c r="D10823" s="3"/>
    </row>
    <row r="10824" spans="1:4">
      <c r="A10824" s="691"/>
      <c r="D10824" s="3"/>
    </row>
    <row r="10825" spans="1:4">
      <c r="A10825" s="691"/>
      <c r="D10825" s="3"/>
    </row>
    <row r="10826" spans="1:4">
      <c r="A10826" s="691"/>
      <c r="D10826" s="3"/>
    </row>
    <row r="10827" spans="1:4">
      <c r="A10827" s="691"/>
      <c r="D10827" s="3"/>
    </row>
    <row r="10828" spans="1:4">
      <c r="A10828" s="691"/>
      <c r="D10828" s="3"/>
    </row>
    <row r="10829" spans="1:4">
      <c r="A10829" s="691"/>
      <c r="D10829" s="3"/>
    </row>
    <row r="10830" spans="1:4">
      <c r="A10830" s="691"/>
      <c r="D10830" s="3"/>
    </row>
    <row r="10831" spans="1:4">
      <c r="A10831" s="691"/>
      <c r="D10831" s="3"/>
    </row>
    <row r="10832" spans="1:4">
      <c r="A10832" s="691"/>
      <c r="D10832" s="3"/>
    </row>
    <row r="10833" spans="1:4">
      <c r="A10833" s="691"/>
      <c r="D10833" s="3"/>
    </row>
    <row r="10834" spans="1:4">
      <c r="A10834" s="691"/>
      <c r="D10834" s="3"/>
    </row>
    <row r="10835" spans="1:4">
      <c r="A10835" s="691"/>
      <c r="D10835" s="3"/>
    </row>
    <row r="10836" spans="1:4">
      <c r="A10836" s="691"/>
      <c r="D10836" s="3"/>
    </row>
    <row r="10837" spans="1:4">
      <c r="A10837" s="691"/>
      <c r="D10837" s="3"/>
    </row>
    <row r="10838" spans="1:4">
      <c r="A10838" s="691"/>
      <c r="D10838" s="3"/>
    </row>
    <row r="10839" spans="1:4">
      <c r="A10839" s="691"/>
      <c r="D10839" s="3"/>
    </row>
    <row r="10840" spans="1:4">
      <c r="A10840" s="691"/>
      <c r="D10840" s="3"/>
    </row>
    <row r="10841" spans="1:4">
      <c r="A10841" s="691"/>
      <c r="D10841" s="3"/>
    </row>
    <row r="10842" spans="1:4">
      <c r="A10842" s="691"/>
      <c r="D10842" s="3"/>
    </row>
    <row r="10843" spans="1:4">
      <c r="A10843" s="691"/>
      <c r="D10843" s="3"/>
    </row>
    <row r="10844" spans="1:4">
      <c r="A10844" s="691"/>
      <c r="D10844" s="3"/>
    </row>
    <row r="10845" spans="1:4">
      <c r="A10845" s="691"/>
      <c r="D10845" s="3"/>
    </row>
    <row r="10846" spans="1:4">
      <c r="A10846" s="691"/>
      <c r="D10846" s="3"/>
    </row>
    <row r="10847" spans="1:4">
      <c r="A10847" s="691"/>
      <c r="D10847" s="3"/>
    </row>
    <row r="10848" spans="1:4">
      <c r="A10848" s="691"/>
      <c r="D10848" s="3"/>
    </row>
    <row r="10849" spans="1:4">
      <c r="A10849" s="691"/>
      <c r="D10849" s="3"/>
    </row>
    <row r="10850" spans="1:4">
      <c r="A10850" s="691"/>
      <c r="D10850" s="3"/>
    </row>
    <row r="10851" spans="1:4">
      <c r="A10851" s="691"/>
      <c r="D10851" s="3"/>
    </row>
    <row r="10852" spans="1:4">
      <c r="A10852" s="691"/>
      <c r="D10852" s="3"/>
    </row>
    <row r="10853" spans="1:4">
      <c r="A10853" s="691"/>
      <c r="D10853" s="3"/>
    </row>
    <row r="10854" spans="1:4">
      <c r="A10854" s="691"/>
      <c r="D10854" s="3"/>
    </row>
    <row r="10855" spans="1:4">
      <c r="A10855" s="691"/>
      <c r="D10855" s="3"/>
    </row>
    <row r="10856" spans="1:4">
      <c r="A10856" s="691"/>
      <c r="D10856" s="3"/>
    </row>
    <row r="10857" spans="1:4">
      <c r="A10857" s="691"/>
      <c r="D10857" s="3"/>
    </row>
    <row r="10858" spans="1:4">
      <c r="A10858" s="691"/>
      <c r="D10858" s="3"/>
    </row>
    <row r="10859" spans="1:4">
      <c r="A10859" s="691"/>
      <c r="D10859" s="3"/>
    </row>
    <row r="10860" spans="1:4">
      <c r="A10860" s="691"/>
      <c r="D10860" s="3"/>
    </row>
    <row r="10861" spans="1:4">
      <c r="A10861" s="691"/>
      <c r="D10861" s="3"/>
    </row>
    <row r="10862" spans="1:4">
      <c r="A10862" s="691"/>
      <c r="D10862" s="3"/>
    </row>
    <row r="10863" spans="1:4">
      <c r="A10863" s="691"/>
      <c r="D10863" s="3"/>
    </row>
    <row r="10864" spans="1:4">
      <c r="A10864" s="691"/>
      <c r="D10864" s="3"/>
    </row>
    <row r="10865" spans="1:4">
      <c r="A10865" s="691"/>
      <c r="D10865" s="3"/>
    </row>
    <row r="10866" spans="1:4">
      <c r="A10866" s="691"/>
      <c r="D10866" s="3"/>
    </row>
    <row r="10867" spans="1:4">
      <c r="A10867" s="691"/>
      <c r="D10867" s="3"/>
    </row>
    <row r="10868" spans="1:4">
      <c r="A10868" s="691"/>
      <c r="D10868" s="3"/>
    </row>
    <row r="10869" spans="1:4">
      <c r="A10869" s="691"/>
      <c r="D10869" s="3"/>
    </row>
    <row r="10870" spans="1:4">
      <c r="A10870" s="691"/>
      <c r="D10870" s="3"/>
    </row>
    <row r="10871" spans="1:4">
      <c r="A10871" s="691"/>
      <c r="D10871" s="3"/>
    </row>
    <row r="10872" spans="1:4">
      <c r="A10872" s="691"/>
      <c r="D10872" s="3"/>
    </row>
    <row r="10873" spans="1:4">
      <c r="A10873" s="691"/>
      <c r="D10873" s="3"/>
    </row>
    <row r="10874" spans="1:4">
      <c r="A10874" s="691"/>
      <c r="D10874" s="3"/>
    </row>
    <row r="10875" spans="1:4">
      <c r="A10875" s="691"/>
      <c r="D10875" s="3"/>
    </row>
    <row r="10876" spans="1:4">
      <c r="A10876" s="691"/>
      <c r="D10876" s="3"/>
    </row>
    <row r="10877" spans="1:4">
      <c r="A10877" s="691"/>
      <c r="D10877" s="3"/>
    </row>
    <row r="10878" spans="1:4">
      <c r="A10878" s="691"/>
      <c r="D10878" s="3"/>
    </row>
    <row r="10879" spans="1:4">
      <c r="A10879" s="691"/>
      <c r="D10879" s="3"/>
    </row>
    <row r="10880" spans="1:4">
      <c r="A10880" s="691"/>
      <c r="D10880" s="3"/>
    </row>
    <row r="10881" spans="1:4">
      <c r="A10881" s="691"/>
      <c r="D10881" s="3"/>
    </row>
    <row r="10882" spans="1:4">
      <c r="A10882" s="691"/>
      <c r="D10882" s="3"/>
    </row>
    <row r="10883" spans="1:4">
      <c r="A10883" s="691"/>
      <c r="D10883" s="3"/>
    </row>
    <row r="10884" spans="1:4">
      <c r="A10884" s="691"/>
      <c r="D10884" s="3"/>
    </row>
    <row r="10885" spans="1:4">
      <c r="A10885" s="691"/>
      <c r="D10885" s="3"/>
    </row>
    <row r="10886" spans="1:4">
      <c r="A10886" s="691"/>
      <c r="D10886" s="3"/>
    </row>
    <row r="10887" spans="1:4">
      <c r="A10887" s="691"/>
      <c r="D10887" s="3"/>
    </row>
    <row r="10888" spans="1:4">
      <c r="A10888" s="691"/>
      <c r="D10888" s="3"/>
    </row>
    <row r="10889" spans="1:4">
      <c r="A10889" s="691"/>
      <c r="D10889" s="3"/>
    </row>
    <row r="10890" spans="1:4">
      <c r="A10890" s="691"/>
      <c r="D10890" s="3"/>
    </row>
    <row r="10891" spans="1:4">
      <c r="A10891" s="691"/>
      <c r="D10891" s="3"/>
    </row>
    <row r="10892" spans="1:4">
      <c r="A10892" s="691"/>
      <c r="D10892" s="3"/>
    </row>
    <row r="10893" spans="1:4">
      <c r="A10893" s="691"/>
      <c r="D10893" s="3"/>
    </row>
    <row r="10894" spans="1:4">
      <c r="A10894" s="691"/>
      <c r="D10894" s="3"/>
    </row>
    <row r="10895" spans="1:4">
      <c r="A10895" s="691"/>
      <c r="D10895" s="3"/>
    </row>
    <row r="10896" spans="1:4">
      <c r="A10896" s="691"/>
      <c r="D10896" s="3"/>
    </row>
    <row r="10897" spans="1:4">
      <c r="A10897" s="691"/>
      <c r="D10897" s="3"/>
    </row>
    <row r="10898" spans="1:4">
      <c r="A10898" s="691"/>
      <c r="D10898" s="3"/>
    </row>
    <row r="10899" spans="1:4">
      <c r="A10899" s="691"/>
      <c r="D10899" s="3"/>
    </row>
    <row r="10900" spans="1:4">
      <c r="A10900" s="691"/>
      <c r="D10900" s="3"/>
    </row>
    <row r="10901" spans="1:4">
      <c r="A10901" s="691"/>
      <c r="D10901" s="3"/>
    </row>
    <row r="10902" spans="1:4">
      <c r="A10902" s="691"/>
      <c r="D10902" s="3"/>
    </row>
    <row r="10903" spans="1:4">
      <c r="A10903" s="691"/>
      <c r="D10903" s="3"/>
    </row>
    <row r="10904" spans="1:4">
      <c r="A10904" s="691"/>
      <c r="D10904" s="3"/>
    </row>
    <row r="10905" spans="1:4">
      <c r="A10905" s="691"/>
      <c r="D10905" s="3"/>
    </row>
    <row r="10906" spans="1:4">
      <c r="A10906" s="691"/>
      <c r="D10906" s="3"/>
    </row>
    <row r="10907" spans="1:4">
      <c r="A10907" s="691"/>
      <c r="D10907" s="3"/>
    </row>
    <row r="10908" spans="1:4">
      <c r="A10908" s="691"/>
      <c r="D10908" s="3"/>
    </row>
    <row r="10909" spans="1:4">
      <c r="A10909" s="691"/>
      <c r="D10909" s="3"/>
    </row>
    <row r="10910" spans="1:4">
      <c r="A10910" s="691"/>
      <c r="D10910" s="3"/>
    </row>
    <row r="10911" spans="1:4">
      <c r="A10911" s="691"/>
      <c r="D10911" s="3"/>
    </row>
    <row r="10912" spans="1:4">
      <c r="A10912" s="691"/>
      <c r="D10912" s="3"/>
    </row>
    <row r="10913" spans="1:4">
      <c r="A10913" s="691"/>
      <c r="D10913" s="3"/>
    </row>
    <row r="10914" spans="1:4">
      <c r="A10914" s="691"/>
      <c r="D10914" s="3"/>
    </row>
    <row r="10915" spans="1:4">
      <c r="A10915" s="691"/>
      <c r="D10915" s="3"/>
    </row>
    <row r="10916" spans="1:4">
      <c r="A10916" s="691"/>
      <c r="D10916" s="3"/>
    </row>
    <row r="10917" spans="1:4">
      <c r="A10917" s="691"/>
      <c r="D10917" s="3"/>
    </row>
    <row r="10918" spans="1:4">
      <c r="A10918" s="691"/>
      <c r="D10918" s="3"/>
    </row>
    <row r="10919" spans="1:4">
      <c r="A10919" s="691"/>
      <c r="D10919" s="3"/>
    </row>
    <row r="10920" spans="1:4">
      <c r="A10920" s="691"/>
      <c r="D10920" s="3"/>
    </row>
    <row r="10921" spans="1:4">
      <c r="A10921" s="691"/>
      <c r="D10921" s="3"/>
    </row>
    <row r="10922" spans="1:4">
      <c r="A10922" s="691"/>
      <c r="D10922" s="3"/>
    </row>
    <row r="10923" spans="1:4">
      <c r="A10923" s="691"/>
      <c r="D10923" s="3"/>
    </row>
    <row r="10924" spans="1:4">
      <c r="A10924" s="691"/>
      <c r="D10924" s="3"/>
    </row>
    <row r="10925" spans="1:4">
      <c r="A10925" s="691"/>
      <c r="D10925" s="3"/>
    </row>
    <row r="10926" spans="1:4">
      <c r="A10926" s="691"/>
      <c r="D10926" s="3"/>
    </row>
    <row r="10927" spans="1:4">
      <c r="A10927" s="691"/>
      <c r="D10927" s="3"/>
    </row>
    <row r="10928" spans="1:4">
      <c r="A10928" s="691"/>
      <c r="D10928" s="3"/>
    </row>
    <row r="10929" spans="1:4">
      <c r="A10929" s="691"/>
      <c r="D10929" s="3"/>
    </row>
    <row r="10930" spans="1:4">
      <c r="A10930" s="691"/>
      <c r="D10930" s="3"/>
    </row>
    <row r="10931" spans="1:4">
      <c r="A10931" s="691"/>
      <c r="D10931" s="3"/>
    </row>
    <row r="10932" spans="1:4">
      <c r="A10932" s="691"/>
      <c r="D10932" s="3"/>
    </row>
    <row r="10933" spans="1:4">
      <c r="A10933" s="691"/>
      <c r="D10933" s="3"/>
    </row>
    <row r="10934" spans="1:4">
      <c r="A10934" s="691"/>
      <c r="D10934" s="3"/>
    </row>
    <row r="10935" spans="1:4">
      <c r="A10935" s="691"/>
      <c r="D10935" s="3"/>
    </row>
    <row r="10936" spans="1:4">
      <c r="A10936" s="691"/>
      <c r="D10936" s="3"/>
    </row>
    <row r="10937" spans="1:4">
      <c r="A10937" s="691"/>
      <c r="D10937" s="3"/>
    </row>
    <row r="10938" spans="1:4">
      <c r="A10938" s="691"/>
      <c r="D10938" s="3"/>
    </row>
    <row r="10939" spans="1:4">
      <c r="A10939" s="691"/>
      <c r="D10939" s="3"/>
    </row>
    <row r="10940" spans="1:4">
      <c r="A10940" s="691"/>
      <c r="D10940" s="3"/>
    </row>
    <row r="10941" spans="1:4">
      <c r="A10941" s="691"/>
      <c r="D10941" s="3"/>
    </row>
    <row r="10942" spans="1:4">
      <c r="A10942" s="691"/>
      <c r="D10942" s="3"/>
    </row>
    <row r="10943" spans="1:4">
      <c r="A10943" s="691"/>
      <c r="D10943" s="3"/>
    </row>
    <row r="10944" spans="1:4">
      <c r="A10944" s="691"/>
      <c r="D10944" s="3"/>
    </row>
    <row r="10945" spans="1:4">
      <c r="A10945" s="691"/>
      <c r="D10945" s="3"/>
    </row>
    <row r="10946" spans="1:4">
      <c r="A10946" s="691"/>
      <c r="D10946" s="3"/>
    </row>
    <row r="10947" spans="1:4">
      <c r="A10947" s="691"/>
      <c r="D10947" s="3"/>
    </row>
    <row r="10948" spans="1:4">
      <c r="A10948" s="691"/>
      <c r="D10948" s="3"/>
    </row>
    <row r="10949" spans="1:4">
      <c r="A10949" s="691"/>
      <c r="D10949" s="3"/>
    </row>
    <row r="10950" spans="1:4">
      <c r="A10950" s="691"/>
      <c r="D10950" s="3"/>
    </row>
    <row r="10951" spans="1:4">
      <c r="A10951" s="691"/>
      <c r="D10951" s="3"/>
    </row>
    <row r="10952" spans="1:4">
      <c r="A10952" s="691"/>
      <c r="D10952" s="3"/>
    </row>
    <row r="10953" spans="1:4">
      <c r="A10953" s="691"/>
      <c r="D10953" s="3"/>
    </row>
    <row r="10954" spans="1:4">
      <c r="A10954" s="691"/>
      <c r="D10954" s="3"/>
    </row>
    <row r="10955" spans="1:4">
      <c r="A10955" s="691"/>
      <c r="D10955" s="3"/>
    </row>
    <row r="10956" spans="1:4">
      <c r="A10956" s="691"/>
      <c r="D10956" s="3"/>
    </row>
    <row r="10957" spans="1:4">
      <c r="A10957" s="691"/>
      <c r="D10957" s="3"/>
    </row>
    <row r="10958" spans="1:4">
      <c r="A10958" s="691"/>
      <c r="D10958" s="3"/>
    </row>
    <row r="10959" spans="1:4">
      <c r="A10959" s="691"/>
      <c r="D10959" s="3"/>
    </row>
    <row r="10960" spans="1:4">
      <c r="A10960" s="691"/>
      <c r="D10960" s="3"/>
    </row>
    <row r="10961" spans="1:4">
      <c r="A10961" s="691"/>
      <c r="D10961" s="3"/>
    </row>
    <row r="10962" spans="1:4">
      <c r="A10962" s="691"/>
      <c r="D10962" s="3"/>
    </row>
    <row r="10963" spans="1:4">
      <c r="A10963" s="691"/>
      <c r="D10963" s="3"/>
    </row>
    <row r="10964" spans="1:4">
      <c r="A10964" s="691"/>
      <c r="D10964" s="3"/>
    </row>
    <row r="10965" spans="1:4">
      <c r="A10965" s="691"/>
      <c r="D10965" s="3"/>
    </row>
    <row r="10966" spans="1:4">
      <c r="A10966" s="691"/>
      <c r="D10966" s="3"/>
    </row>
    <row r="10967" spans="1:4">
      <c r="A10967" s="691"/>
      <c r="D10967" s="3"/>
    </row>
    <row r="10968" spans="1:4">
      <c r="A10968" s="691"/>
      <c r="D10968" s="3"/>
    </row>
    <row r="10969" spans="1:4">
      <c r="A10969" s="691"/>
      <c r="D10969" s="3"/>
    </row>
    <row r="10970" spans="1:4">
      <c r="A10970" s="691"/>
      <c r="D10970" s="3"/>
    </row>
    <row r="10971" spans="1:4">
      <c r="A10971" s="691"/>
      <c r="D10971" s="3"/>
    </row>
    <row r="10972" spans="1:4">
      <c r="A10972" s="691"/>
      <c r="D10972" s="3"/>
    </row>
    <row r="10973" spans="1:4">
      <c r="A10973" s="691"/>
      <c r="D10973" s="3"/>
    </row>
    <row r="10974" spans="1:4">
      <c r="A10974" s="691"/>
      <c r="D10974" s="3"/>
    </row>
    <row r="10975" spans="1:4">
      <c r="A10975" s="691"/>
      <c r="D10975" s="3"/>
    </row>
    <row r="10976" spans="1:4">
      <c r="A10976" s="691"/>
      <c r="D10976" s="3"/>
    </row>
    <row r="10977" spans="1:4">
      <c r="A10977" s="691"/>
      <c r="D10977" s="3"/>
    </row>
    <row r="10978" spans="1:4">
      <c r="A10978" s="691"/>
      <c r="D10978" s="3"/>
    </row>
    <row r="10979" spans="1:4">
      <c r="A10979" s="691"/>
      <c r="D10979" s="3"/>
    </row>
    <row r="10980" spans="1:4">
      <c r="A10980" s="691"/>
      <c r="D10980" s="3"/>
    </row>
    <row r="10981" spans="1:4">
      <c r="A10981" s="691"/>
      <c r="D10981" s="3"/>
    </row>
    <row r="10982" spans="1:4">
      <c r="A10982" s="691"/>
      <c r="D10982" s="3"/>
    </row>
    <row r="10983" spans="1:4">
      <c r="A10983" s="691"/>
      <c r="D10983" s="3"/>
    </row>
    <row r="10984" spans="1:4">
      <c r="A10984" s="691"/>
      <c r="D10984" s="3"/>
    </row>
    <row r="10985" spans="1:4">
      <c r="A10985" s="691"/>
      <c r="D10985" s="3"/>
    </row>
    <row r="10986" spans="1:4">
      <c r="A10986" s="691"/>
      <c r="D10986" s="3"/>
    </row>
    <row r="10987" spans="1:4">
      <c r="A10987" s="691"/>
      <c r="D10987" s="3"/>
    </row>
    <row r="10988" spans="1:4">
      <c r="A10988" s="691"/>
      <c r="D10988" s="3"/>
    </row>
    <row r="10989" spans="1:4">
      <c r="A10989" s="691"/>
      <c r="D10989" s="3"/>
    </row>
    <row r="10990" spans="1:4">
      <c r="A10990" s="691"/>
      <c r="D10990" s="3"/>
    </row>
    <row r="10991" spans="1:4">
      <c r="A10991" s="691"/>
      <c r="D10991" s="3"/>
    </row>
    <row r="10992" spans="1:4">
      <c r="A10992" s="691"/>
      <c r="D10992" s="3"/>
    </row>
    <row r="10993" spans="1:4">
      <c r="A10993" s="691"/>
      <c r="D10993" s="3"/>
    </row>
    <row r="10994" spans="1:4">
      <c r="A10994" s="691"/>
      <c r="D10994" s="3"/>
    </row>
    <row r="10995" spans="1:4">
      <c r="A10995" s="691"/>
      <c r="D10995" s="3"/>
    </row>
    <row r="10996" spans="1:4">
      <c r="A10996" s="691"/>
      <c r="D10996" s="3"/>
    </row>
    <row r="10997" spans="1:4">
      <c r="A10997" s="691"/>
      <c r="D10997" s="3"/>
    </row>
    <row r="10998" spans="1:4">
      <c r="A10998" s="691"/>
      <c r="D10998" s="3"/>
    </row>
    <row r="10999" spans="1:4">
      <c r="A10999" s="691"/>
      <c r="D10999" s="3"/>
    </row>
    <row r="11000" spans="1:4">
      <c r="A11000" s="691"/>
      <c r="D11000" s="3"/>
    </row>
    <row r="11001" spans="1:4">
      <c r="A11001" s="691"/>
      <c r="D11001" s="3"/>
    </row>
    <row r="11002" spans="1:4">
      <c r="A11002" s="691"/>
      <c r="D11002" s="3"/>
    </row>
    <row r="11003" spans="1:4">
      <c r="A11003" s="691"/>
      <c r="D11003" s="3"/>
    </row>
    <row r="11004" spans="1:4">
      <c r="A11004" s="691"/>
      <c r="D11004" s="3"/>
    </row>
    <row r="11005" spans="1:4">
      <c r="A11005" s="691"/>
      <c r="D11005" s="3"/>
    </row>
    <row r="11006" spans="1:4">
      <c r="A11006" s="691"/>
      <c r="D11006" s="3"/>
    </row>
    <row r="11007" spans="1:4">
      <c r="A11007" s="691"/>
      <c r="D11007" s="3"/>
    </row>
    <row r="11008" spans="1:4">
      <c r="A11008" s="691"/>
      <c r="D11008" s="3"/>
    </row>
    <row r="11009" spans="1:4">
      <c r="A11009" s="691"/>
      <c r="D11009" s="3"/>
    </row>
    <row r="11010" spans="1:4">
      <c r="A11010" s="691"/>
      <c r="D11010" s="3"/>
    </row>
    <row r="11011" spans="1:4">
      <c r="A11011" s="691"/>
      <c r="D11011" s="3"/>
    </row>
    <row r="11012" spans="1:4">
      <c r="A11012" s="691"/>
      <c r="D11012" s="3"/>
    </row>
    <row r="11013" spans="1:4">
      <c r="A11013" s="691"/>
      <c r="D11013" s="3"/>
    </row>
    <row r="11014" spans="1:4">
      <c r="A11014" s="691"/>
      <c r="D11014" s="3"/>
    </row>
    <row r="11015" spans="1:4">
      <c r="A11015" s="691"/>
      <c r="D11015" s="3"/>
    </row>
    <row r="11016" spans="1:4">
      <c r="A11016" s="691"/>
      <c r="D11016" s="3"/>
    </row>
    <row r="11017" spans="1:4">
      <c r="A11017" s="691"/>
      <c r="D11017" s="3"/>
    </row>
    <row r="11018" spans="1:4">
      <c r="A11018" s="691"/>
      <c r="D11018" s="3"/>
    </row>
    <row r="11019" spans="1:4">
      <c r="A11019" s="691"/>
      <c r="D11019" s="3"/>
    </row>
    <row r="11020" spans="1:4">
      <c r="A11020" s="691"/>
      <c r="D11020" s="3"/>
    </row>
    <row r="11021" spans="1:4">
      <c r="A11021" s="691"/>
      <c r="D11021" s="3"/>
    </row>
    <row r="11022" spans="1:4">
      <c r="A11022" s="691"/>
      <c r="D11022" s="3"/>
    </row>
    <row r="11023" spans="1:4">
      <c r="A11023" s="691"/>
      <c r="D11023" s="3"/>
    </row>
    <row r="11024" spans="1:4">
      <c r="A11024" s="691"/>
      <c r="D11024" s="3"/>
    </row>
    <row r="11025" spans="1:4">
      <c r="A11025" s="691"/>
      <c r="D11025" s="3"/>
    </row>
    <row r="11026" spans="1:4">
      <c r="A11026" s="691"/>
      <c r="D11026" s="3"/>
    </row>
    <row r="11027" spans="1:4">
      <c r="A11027" s="691"/>
      <c r="D11027" s="3"/>
    </row>
    <row r="11028" spans="1:4">
      <c r="A11028" s="691"/>
      <c r="D11028" s="3"/>
    </row>
    <row r="11029" spans="1:4">
      <c r="A11029" s="691"/>
      <c r="D11029" s="3"/>
    </row>
    <row r="11030" spans="1:4">
      <c r="A11030" s="691"/>
      <c r="D11030" s="3"/>
    </row>
    <row r="11031" spans="1:4">
      <c r="A11031" s="691"/>
      <c r="D11031" s="3"/>
    </row>
    <row r="11032" spans="1:4">
      <c r="A11032" s="691"/>
      <c r="D11032" s="3"/>
    </row>
    <row r="11033" spans="1:4">
      <c r="A11033" s="691"/>
      <c r="D11033" s="3"/>
    </row>
    <row r="11034" spans="1:4">
      <c r="A11034" s="691"/>
      <c r="D11034" s="3"/>
    </row>
    <row r="11035" spans="1:4">
      <c r="A11035" s="691"/>
      <c r="D11035" s="3"/>
    </row>
    <row r="11036" spans="1:4">
      <c r="A11036" s="691"/>
      <c r="D11036" s="3"/>
    </row>
    <row r="11037" spans="1:4">
      <c r="A11037" s="691"/>
      <c r="D11037" s="3"/>
    </row>
    <row r="11038" spans="1:4">
      <c r="A11038" s="691"/>
      <c r="D11038" s="3"/>
    </row>
    <row r="11039" spans="1:4">
      <c r="A11039" s="691"/>
      <c r="D11039" s="3"/>
    </row>
    <row r="11040" spans="1:4">
      <c r="A11040" s="691"/>
      <c r="D11040" s="3"/>
    </row>
    <row r="11041" spans="1:4">
      <c r="A11041" s="691"/>
      <c r="D11041" s="3"/>
    </row>
    <row r="11042" spans="1:4">
      <c r="A11042" s="691"/>
      <c r="D11042" s="3"/>
    </row>
    <row r="11043" spans="1:4">
      <c r="A11043" s="691"/>
      <c r="D11043" s="3"/>
    </row>
    <row r="11044" spans="1:4">
      <c r="A11044" s="691"/>
      <c r="D11044" s="3"/>
    </row>
    <row r="11045" spans="1:4">
      <c r="A11045" s="691"/>
      <c r="D11045" s="3"/>
    </row>
    <row r="11046" spans="1:4">
      <c r="A11046" s="691"/>
      <c r="D11046" s="3"/>
    </row>
    <row r="11047" spans="1:4">
      <c r="A11047" s="691"/>
      <c r="D11047" s="3"/>
    </row>
    <row r="11048" spans="1:4">
      <c r="A11048" s="691"/>
      <c r="D11048" s="3"/>
    </row>
    <row r="11049" spans="1:4">
      <c r="A11049" s="691"/>
      <c r="D11049" s="3"/>
    </row>
    <row r="11050" spans="1:4">
      <c r="A11050" s="691"/>
      <c r="D11050" s="3"/>
    </row>
    <row r="11051" spans="1:4">
      <c r="A11051" s="691"/>
      <c r="D11051" s="3"/>
    </row>
    <row r="11052" spans="1:4">
      <c r="A11052" s="691"/>
      <c r="D11052" s="3"/>
    </row>
    <row r="11053" spans="1:4">
      <c r="A11053" s="691"/>
      <c r="D11053" s="3"/>
    </row>
    <row r="11054" spans="1:4">
      <c r="A11054" s="691"/>
      <c r="D11054" s="3"/>
    </row>
    <row r="11055" spans="1:4">
      <c r="A11055" s="691"/>
      <c r="D11055" s="3"/>
    </row>
    <row r="11056" spans="1:4">
      <c r="A11056" s="691"/>
      <c r="D11056" s="3"/>
    </row>
    <row r="11057" spans="1:4">
      <c r="A11057" s="691"/>
      <c r="D11057" s="3"/>
    </row>
    <row r="11058" spans="1:4">
      <c r="A11058" s="691"/>
      <c r="D11058" s="3"/>
    </row>
    <row r="11059" spans="1:4">
      <c r="A11059" s="691"/>
      <c r="D11059" s="3"/>
    </row>
    <row r="11060" spans="1:4">
      <c r="A11060" s="691"/>
      <c r="D11060" s="3"/>
    </row>
    <row r="11061" spans="1:4">
      <c r="A11061" s="691"/>
      <c r="D11061" s="3"/>
    </row>
    <row r="11062" spans="1:4">
      <c r="A11062" s="691"/>
      <c r="D11062" s="3"/>
    </row>
    <row r="11063" spans="1:4">
      <c r="A11063" s="691"/>
      <c r="D11063" s="3"/>
    </row>
    <row r="11064" spans="1:4">
      <c r="A11064" s="691"/>
      <c r="D11064" s="3"/>
    </row>
    <row r="11065" spans="1:4">
      <c r="A11065" s="691"/>
      <c r="D11065" s="3"/>
    </row>
    <row r="11066" spans="1:4">
      <c r="A11066" s="691"/>
      <c r="D11066" s="3"/>
    </row>
    <row r="11067" spans="1:4">
      <c r="A11067" s="691"/>
      <c r="D11067" s="3"/>
    </row>
    <row r="11068" spans="1:4">
      <c r="A11068" s="691"/>
      <c r="D11068" s="3"/>
    </row>
    <row r="11069" spans="1:4">
      <c r="A11069" s="691"/>
      <c r="D11069" s="3"/>
    </row>
    <row r="11070" spans="1:4">
      <c r="A11070" s="691"/>
      <c r="D11070" s="3"/>
    </row>
    <row r="11071" spans="1:4">
      <c r="A11071" s="691"/>
      <c r="D11071" s="3"/>
    </row>
    <row r="11072" spans="1:4">
      <c r="A11072" s="691"/>
      <c r="D11072" s="3"/>
    </row>
    <row r="11073" spans="1:4">
      <c r="A11073" s="691"/>
      <c r="D11073" s="3"/>
    </row>
    <row r="11074" spans="1:4">
      <c r="A11074" s="691"/>
      <c r="D11074" s="3"/>
    </row>
    <row r="11075" spans="1:4">
      <c r="A11075" s="691"/>
      <c r="D11075" s="3"/>
    </row>
    <row r="11076" spans="1:4">
      <c r="A11076" s="691"/>
      <c r="D11076" s="3"/>
    </row>
    <row r="11077" spans="1:4">
      <c r="A11077" s="691"/>
      <c r="D11077" s="3"/>
    </row>
    <row r="11078" spans="1:4">
      <c r="A11078" s="691"/>
      <c r="D11078" s="3"/>
    </row>
    <row r="11079" spans="1:4">
      <c r="A11079" s="691"/>
      <c r="D11079" s="3"/>
    </row>
    <row r="11080" spans="1:4">
      <c r="A11080" s="691"/>
      <c r="D11080" s="3"/>
    </row>
    <row r="11081" spans="1:4">
      <c r="A11081" s="691"/>
      <c r="D11081" s="3"/>
    </row>
    <row r="11082" spans="1:4">
      <c r="A11082" s="691"/>
      <c r="D11082" s="3"/>
    </row>
    <row r="11083" spans="1:4">
      <c r="A11083" s="691"/>
      <c r="D11083" s="3"/>
    </row>
    <row r="11084" spans="1:4">
      <c r="A11084" s="691"/>
      <c r="D11084" s="3"/>
    </row>
    <row r="11085" spans="1:4">
      <c r="A11085" s="691"/>
      <c r="D11085" s="3"/>
    </row>
    <row r="11086" spans="1:4">
      <c r="A11086" s="691"/>
      <c r="D11086" s="3"/>
    </row>
    <row r="11087" spans="1:4">
      <c r="A11087" s="691"/>
      <c r="D11087" s="3"/>
    </row>
    <row r="11088" spans="1:4">
      <c r="A11088" s="691"/>
      <c r="D11088" s="3"/>
    </row>
    <row r="11089" spans="1:4">
      <c r="A11089" s="691"/>
      <c r="D11089" s="3"/>
    </row>
    <row r="11090" spans="1:4">
      <c r="A11090" s="691"/>
      <c r="D11090" s="3"/>
    </row>
    <row r="11091" spans="1:4">
      <c r="A11091" s="691"/>
      <c r="D11091" s="3"/>
    </row>
    <row r="11092" spans="1:4">
      <c r="A11092" s="691"/>
      <c r="D11092" s="3"/>
    </row>
    <row r="11093" spans="1:4">
      <c r="A11093" s="691"/>
      <c r="D11093" s="3"/>
    </row>
    <row r="11094" spans="1:4">
      <c r="A11094" s="691"/>
      <c r="D11094" s="3"/>
    </row>
    <row r="11095" spans="1:4">
      <c r="A11095" s="691"/>
      <c r="D11095" s="3"/>
    </row>
    <row r="11096" spans="1:4">
      <c r="A11096" s="691"/>
      <c r="D11096" s="3"/>
    </row>
    <row r="11097" spans="1:4">
      <c r="A11097" s="691"/>
      <c r="D11097" s="3"/>
    </row>
    <row r="11098" spans="1:4">
      <c r="A11098" s="691"/>
      <c r="D11098" s="3"/>
    </row>
    <row r="11099" spans="1:4">
      <c r="A11099" s="691"/>
      <c r="D11099" s="3"/>
    </row>
    <row r="11100" spans="1:4">
      <c r="A11100" s="691"/>
      <c r="D11100" s="3"/>
    </row>
    <row r="11101" spans="1:4">
      <c r="A11101" s="691"/>
      <c r="D11101" s="3"/>
    </row>
    <row r="11102" spans="1:4">
      <c r="A11102" s="691"/>
      <c r="D11102" s="3"/>
    </row>
    <row r="11103" spans="1:4">
      <c r="A11103" s="691"/>
      <c r="D11103" s="3"/>
    </row>
    <row r="11104" spans="1:4">
      <c r="A11104" s="691"/>
      <c r="D11104" s="3"/>
    </row>
    <row r="11105" spans="1:4">
      <c r="A11105" s="691"/>
      <c r="D11105" s="3"/>
    </row>
    <row r="11106" spans="1:4">
      <c r="A11106" s="691"/>
      <c r="D11106" s="3"/>
    </row>
    <row r="11107" spans="1:4">
      <c r="A11107" s="691"/>
      <c r="D11107" s="3"/>
    </row>
    <row r="11108" spans="1:4">
      <c r="A11108" s="691"/>
      <c r="D11108" s="3"/>
    </row>
    <row r="11109" spans="1:4">
      <c r="A11109" s="691"/>
      <c r="D11109" s="3"/>
    </row>
    <row r="11110" spans="1:4">
      <c r="A11110" s="691"/>
      <c r="D11110" s="3"/>
    </row>
    <row r="11111" spans="1:4">
      <c r="A11111" s="691"/>
      <c r="D11111" s="3"/>
    </row>
    <row r="11112" spans="1:4">
      <c r="A11112" s="691"/>
      <c r="D11112" s="3"/>
    </row>
    <row r="11113" spans="1:4">
      <c r="A11113" s="691"/>
      <c r="D11113" s="3"/>
    </row>
    <row r="11114" spans="1:4">
      <c r="A11114" s="691"/>
      <c r="D11114" s="3"/>
    </row>
    <row r="11115" spans="1:4">
      <c r="A11115" s="691"/>
      <c r="D11115" s="3"/>
    </row>
    <row r="11116" spans="1:4">
      <c r="A11116" s="691"/>
      <c r="D11116" s="3"/>
    </row>
    <row r="11117" spans="1:4">
      <c r="A11117" s="691"/>
      <c r="D11117" s="3"/>
    </row>
    <row r="11118" spans="1:4">
      <c r="A11118" s="691"/>
      <c r="D11118" s="3"/>
    </row>
    <row r="11119" spans="1:4">
      <c r="A11119" s="691"/>
      <c r="D11119" s="3"/>
    </row>
    <row r="11120" spans="1:4">
      <c r="A11120" s="691"/>
      <c r="D11120" s="3"/>
    </row>
    <row r="11121" spans="1:4">
      <c r="A11121" s="691"/>
      <c r="D11121" s="3"/>
    </row>
    <row r="11122" spans="1:4">
      <c r="A11122" s="691"/>
      <c r="D11122" s="3"/>
    </row>
    <row r="11123" spans="1:4">
      <c r="A11123" s="691"/>
      <c r="D11123" s="3"/>
    </row>
    <row r="11124" spans="1:4">
      <c r="A11124" s="691"/>
      <c r="D11124" s="3"/>
    </row>
    <row r="11125" spans="1:4">
      <c r="A11125" s="691"/>
      <c r="D11125" s="3"/>
    </row>
    <row r="11126" spans="1:4">
      <c r="A11126" s="691"/>
      <c r="D11126" s="3"/>
    </row>
    <row r="11127" spans="1:4">
      <c r="A11127" s="691"/>
      <c r="D11127" s="3"/>
    </row>
    <row r="11128" spans="1:4">
      <c r="A11128" s="691"/>
      <c r="D11128" s="3"/>
    </row>
    <row r="11129" spans="1:4">
      <c r="A11129" s="691"/>
      <c r="D11129" s="3"/>
    </row>
    <row r="11130" spans="1:4">
      <c r="A11130" s="691"/>
      <c r="D11130" s="3"/>
    </row>
    <row r="11131" spans="1:4">
      <c r="A11131" s="691"/>
      <c r="D11131" s="3"/>
    </row>
    <row r="11132" spans="1:4">
      <c r="A11132" s="691"/>
      <c r="D11132" s="3"/>
    </row>
    <row r="11133" spans="1:4">
      <c r="A11133" s="691"/>
      <c r="D11133" s="3"/>
    </row>
    <row r="11134" spans="1:4">
      <c r="A11134" s="691"/>
      <c r="D11134" s="3"/>
    </row>
    <row r="11135" spans="1:4">
      <c r="A11135" s="691"/>
      <c r="D11135" s="3"/>
    </row>
    <row r="11136" spans="1:4">
      <c r="A11136" s="691"/>
      <c r="D11136" s="3"/>
    </row>
    <row r="11137" spans="1:4">
      <c r="A11137" s="691"/>
      <c r="D11137" s="3"/>
    </row>
    <row r="11138" spans="1:4">
      <c r="A11138" s="691"/>
      <c r="D11138" s="3"/>
    </row>
    <row r="11139" spans="1:4">
      <c r="A11139" s="691"/>
      <c r="D11139" s="3"/>
    </row>
    <row r="11140" spans="1:4">
      <c r="A11140" s="691"/>
      <c r="D11140" s="3"/>
    </row>
    <row r="11141" spans="1:4">
      <c r="A11141" s="691"/>
      <c r="D11141" s="3"/>
    </row>
    <row r="11142" spans="1:4">
      <c r="A11142" s="691"/>
      <c r="D11142" s="3"/>
    </row>
    <row r="11143" spans="1:4">
      <c r="A11143" s="691"/>
      <c r="D11143" s="3"/>
    </row>
    <row r="11144" spans="1:4">
      <c r="A11144" s="691"/>
      <c r="D11144" s="3"/>
    </row>
    <row r="11145" spans="1:4">
      <c r="A11145" s="691"/>
      <c r="D11145" s="3"/>
    </row>
    <row r="11146" spans="1:4">
      <c r="A11146" s="691"/>
      <c r="D11146" s="3"/>
    </row>
    <row r="11147" spans="1:4">
      <c r="A11147" s="691"/>
      <c r="D11147" s="3"/>
    </row>
    <row r="11148" spans="1:4">
      <c r="A11148" s="691"/>
      <c r="D11148" s="3"/>
    </row>
    <row r="11149" spans="1:4">
      <c r="A11149" s="691"/>
      <c r="D11149" s="3"/>
    </row>
    <row r="11150" spans="1:4">
      <c r="A11150" s="691"/>
      <c r="D11150" s="3"/>
    </row>
    <row r="11151" spans="1:4">
      <c r="A11151" s="691"/>
      <c r="D11151" s="3"/>
    </row>
    <row r="11152" spans="1:4">
      <c r="A11152" s="691"/>
      <c r="D11152" s="3"/>
    </row>
    <row r="11153" spans="1:4">
      <c r="A11153" s="691"/>
      <c r="D11153" s="3"/>
    </row>
    <row r="11154" spans="1:4">
      <c r="A11154" s="691"/>
      <c r="D11154" s="3"/>
    </row>
    <row r="11155" spans="1:4">
      <c r="A11155" s="691"/>
      <c r="D11155" s="3"/>
    </row>
    <row r="11156" spans="1:4">
      <c r="A11156" s="691"/>
      <c r="D11156" s="3"/>
    </row>
    <row r="11157" spans="1:4">
      <c r="A11157" s="691"/>
      <c r="D11157" s="3"/>
    </row>
    <row r="11158" spans="1:4">
      <c r="A11158" s="691"/>
      <c r="D11158" s="3"/>
    </row>
    <row r="11159" spans="1:4">
      <c r="A11159" s="691"/>
      <c r="D11159" s="3"/>
    </row>
    <row r="11160" spans="1:4">
      <c r="A11160" s="691"/>
      <c r="D11160" s="3"/>
    </row>
    <row r="11161" spans="1:4">
      <c r="A11161" s="691"/>
      <c r="D11161" s="3"/>
    </row>
    <row r="11162" spans="1:4">
      <c r="A11162" s="691"/>
      <c r="D11162" s="3"/>
    </row>
    <row r="11163" spans="1:4">
      <c r="A11163" s="691"/>
      <c r="D11163" s="3"/>
    </row>
    <row r="11164" spans="1:4">
      <c r="A11164" s="691"/>
      <c r="D11164" s="3"/>
    </row>
    <row r="11165" spans="1:4">
      <c r="A11165" s="691"/>
      <c r="D11165" s="3"/>
    </row>
    <row r="11166" spans="1:4">
      <c r="A11166" s="691"/>
      <c r="D11166" s="3"/>
    </row>
    <row r="11167" spans="1:4">
      <c r="A11167" s="691"/>
      <c r="D11167" s="3"/>
    </row>
    <row r="11168" spans="1:4">
      <c r="A11168" s="691"/>
      <c r="D11168" s="3"/>
    </row>
    <row r="11169" spans="1:4">
      <c r="A11169" s="691"/>
      <c r="D11169" s="3"/>
    </row>
    <row r="11170" spans="1:4">
      <c r="A11170" s="691"/>
      <c r="D11170" s="3"/>
    </row>
    <row r="11171" spans="1:4">
      <c r="A11171" s="691"/>
      <c r="D11171" s="3"/>
    </row>
    <row r="11172" spans="1:4">
      <c r="A11172" s="691"/>
      <c r="D11172" s="3"/>
    </row>
    <row r="11173" spans="1:4">
      <c r="A11173" s="691"/>
      <c r="D11173" s="3"/>
    </row>
    <row r="11174" spans="1:4">
      <c r="A11174" s="691"/>
      <c r="D11174" s="3"/>
    </row>
    <row r="11175" spans="1:4">
      <c r="A11175" s="691"/>
      <c r="D11175" s="3"/>
    </row>
    <row r="11176" spans="1:4">
      <c r="A11176" s="691"/>
      <c r="D11176" s="3"/>
    </row>
    <row r="11177" spans="1:4">
      <c r="A11177" s="691"/>
      <c r="D11177" s="3"/>
    </row>
    <row r="11178" spans="1:4">
      <c r="A11178" s="691"/>
      <c r="D11178" s="3"/>
    </row>
    <row r="11179" spans="1:4">
      <c r="A11179" s="691"/>
      <c r="D11179" s="3"/>
    </row>
    <row r="11180" spans="1:4">
      <c r="A11180" s="691"/>
      <c r="D11180" s="3"/>
    </row>
    <row r="11181" spans="1:4">
      <c r="A11181" s="691"/>
      <c r="D11181" s="3"/>
    </row>
    <row r="11182" spans="1:4">
      <c r="A11182" s="691"/>
      <c r="D11182" s="3"/>
    </row>
    <row r="11183" spans="1:4">
      <c r="A11183" s="691"/>
      <c r="D11183" s="3"/>
    </row>
    <row r="11184" spans="1:4">
      <c r="A11184" s="691"/>
      <c r="D11184" s="3"/>
    </row>
    <row r="11185" spans="1:4">
      <c r="A11185" s="691"/>
      <c r="D11185" s="3"/>
    </row>
    <row r="11186" spans="1:4">
      <c r="A11186" s="691"/>
      <c r="D11186" s="3"/>
    </row>
    <row r="11187" spans="1:4">
      <c r="A11187" s="691"/>
      <c r="D11187" s="3"/>
    </row>
    <row r="11188" spans="1:4">
      <c r="A11188" s="691"/>
      <c r="D11188" s="3"/>
    </row>
    <row r="11189" spans="1:4">
      <c r="A11189" s="691"/>
      <c r="D11189" s="3"/>
    </row>
    <row r="11190" spans="1:4">
      <c r="A11190" s="691"/>
      <c r="D11190" s="3"/>
    </row>
    <row r="11191" spans="1:4">
      <c r="A11191" s="691"/>
      <c r="D11191" s="3"/>
    </row>
    <row r="11192" spans="1:4">
      <c r="A11192" s="691"/>
      <c r="D11192" s="3"/>
    </row>
    <row r="11193" spans="1:4">
      <c r="A11193" s="691"/>
      <c r="D11193" s="3"/>
    </row>
    <row r="11194" spans="1:4">
      <c r="A11194" s="691"/>
      <c r="D11194" s="3"/>
    </row>
    <row r="11195" spans="1:4">
      <c r="A11195" s="691"/>
      <c r="D11195" s="3"/>
    </row>
    <row r="11196" spans="1:4">
      <c r="A11196" s="691"/>
      <c r="D11196" s="3"/>
    </row>
    <row r="11197" spans="1:4">
      <c r="A11197" s="691"/>
      <c r="D11197" s="3"/>
    </row>
    <row r="11198" spans="1:4">
      <c r="A11198" s="691"/>
      <c r="D11198" s="3"/>
    </row>
    <row r="11199" spans="1:4">
      <c r="A11199" s="691"/>
      <c r="D11199" s="3"/>
    </row>
    <row r="11200" spans="1:4">
      <c r="A11200" s="691"/>
      <c r="D11200" s="3"/>
    </row>
    <row r="11201" spans="1:4">
      <c r="A11201" s="691"/>
      <c r="D11201" s="3"/>
    </row>
    <row r="11202" spans="1:4">
      <c r="A11202" s="691"/>
      <c r="D11202" s="3"/>
    </row>
    <row r="11203" spans="1:4">
      <c r="A11203" s="691"/>
      <c r="D11203" s="3"/>
    </row>
    <row r="11204" spans="1:4">
      <c r="A11204" s="691"/>
      <c r="D11204" s="3"/>
    </row>
    <row r="11205" spans="1:4">
      <c r="A11205" s="691"/>
      <c r="D11205" s="3"/>
    </row>
    <row r="11206" spans="1:4">
      <c r="A11206" s="691"/>
      <c r="D11206" s="3"/>
    </row>
    <row r="11207" spans="1:4">
      <c r="A11207" s="691"/>
      <c r="D11207" s="3"/>
    </row>
    <row r="11208" spans="1:4">
      <c r="A11208" s="691"/>
      <c r="D11208" s="3"/>
    </row>
    <row r="11209" spans="1:4">
      <c r="A11209" s="691"/>
      <c r="D11209" s="3"/>
    </row>
    <row r="11210" spans="1:4">
      <c r="A11210" s="691"/>
      <c r="D11210" s="3"/>
    </row>
    <row r="11211" spans="1:4">
      <c r="A11211" s="691"/>
      <c r="D11211" s="3"/>
    </row>
    <row r="11212" spans="1:4">
      <c r="A11212" s="691"/>
      <c r="D11212" s="3"/>
    </row>
    <row r="11213" spans="1:4">
      <c r="A11213" s="691"/>
      <c r="D11213" s="3"/>
    </row>
    <row r="11214" spans="1:4">
      <c r="A11214" s="691"/>
      <c r="D11214" s="3"/>
    </row>
    <row r="11215" spans="1:4">
      <c r="A11215" s="691"/>
      <c r="D11215" s="3"/>
    </row>
    <row r="11216" spans="1:4">
      <c r="A11216" s="691"/>
      <c r="D11216" s="3"/>
    </row>
    <row r="11217" spans="1:4">
      <c r="A11217" s="691"/>
      <c r="D11217" s="3"/>
    </row>
    <row r="11218" spans="1:4">
      <c r="A11218" s="691"/>
      <c r="D11218" s="3"/>
    </row>
    <row r="11219" spans="1:4">
      <c r="A11219" s="691"/>
      <c r="D11219" s="3"/>
    </row>
    <row r="11220" spans="1:4">
      <c r="A11220" s="691"/>
      <c r="D11220" s="3"/>
    </row>
    <row r="11221" spans="1:4">
      <c r="A11221" s="691"/>
      <c r="D11221" s="3"/>
    </row>
    <row r="11222" spans="1:4">
      <c r="A11222" s="691"/>
      <c r="D11222" s="3"/>
    </row>
    <row r="11223" spans="1:4">
      <c r="A11223" s="691"/>
      <c r="D11223" s="3"/>
    </row>
    <row r="11224" spans="1:4">
      <c r="A11224" s="691"/>
      <c r="D11224" s="3"/>
    </row>
    <row r="11225" spans="1:4">
      <c r="A11225" s="691"/>
      <c r="D11225" s="3"/>
    </row>
    <row r="11226" spans="1:4">
      <c r="A11226" s="691"/>
      <c r="D11226" s="3"/>
    </row>
    <row r="11227" spans="1:4">
      <c r="A11227" s="691"/>
      <c r="D11227" s="3"/>
    </row>
    <row r="11228" spans="1:4">
      <c r="A11228" s="691"/>
      <c r="D11228" s="3"/>
    </row>
    <row r="11229" spans="1:4">
      <c r="A11229" s="691"/>
      <c r="D11229" s="3"/>
    </row>
    <row r="11230" spans="1:4">
      <c r="A11230" s="691"/>
      <c r="D11230" s="3"/>
    </row>
    <row r="11231" spans="1:4">
      <c r="A11231" s="691"/>
      <c r="D11231" s="3"/>
    </row>
    <row r="11232" spans="1:4">
      <c r="A11232" s="691"/>
      <c r="D11232" s="3"/>
    </row>
    <row r="11233" spans="1:4">
      <c r="A11233" s="691"/>
      <c r="D11233" s="3"/>
    </row>
    <row r="11234" spans="1:4">
      <c r="A11234" s="691"/>
      <c r="D11234" s="3"/>
    </row>
    <row r="11235" spans="1:4">
      <c r="A11235" s="691"/>
      <c r="D11235" s="3"/>
    </row>
    <row r="11236" spans="1:4">
      <c r="A11236" s="691"/>
      <c r="D11236" s="3"/>
    </row>
    <row r="11237" spans="1:4">
      <c r="A11237" s="691"/>
      <c r="D11237" s="3"/>
    </row>
    <row r="11238" spans="1:4">
      <c r="A11238" s="691"/>
      <c r="D11238" s="3"/>
    </row>
    <row r="11239" spans="1:4">
      <c r="A11239" s="691"/>
      <c r="D11239" s="3"/>
    </row>
    <row r="11240" spans="1:4">
      <c r="A11240" s="691"/>
      <c r="D11240" s="3"/>
    </row>
    <row r="11241" spans="1:4">
      <c r="A11241" s="691"/>
      <c r="D11241" s="3"/>
    </row>
    <row r="11242" spans="1:4">
      <c r="A11242" s="691"/>
      <c r="D11242" s="3"/>
    </row>
    <row r="11243" spans="1:4">
      <c r="A11243" s="691"/>
      <c r="D11243" s="3"/>
    </row>
    <row r="11244" spans="1:4">
      <c r="A11244" s="691"/>
      <c r="D11244" s="3"/>
    </row>
    <row r="11245" spans="1:4">
      <c r="A11245" s="691"/>
      <c r="D11245" s="3"/>
    </row>
    <row r="11246" spans="1:4">
      <c r="A11246" s="691"/>
      <c r="D11246" s="3"/>
    </row>
    <row r="11247" spans="1:4">
      <c r="A11247" s="691"/>
      <c r="D11247" s="3"/>
    </row>
    <row r="11248" spans="1:4">
      <c r="A11248" s="691"/>
      <c r="D11248" s="3"/>
    </row>
    <row r="11249" spans="1:4">
      <c r="A11249" s="691"/>
      <c r="D11249" s="3"/>
    </row>
    <row r="11250" spans="1:4">
      <c r="A11250" s="691"/>
      <c r="D11250" s="3"/>
    </row>
    <row r="11251" spans="1:4">
      <c r="A11251" s="691"/>
      <c r="D11251" s="3"/>
    </row>
    <row r="11252" spans="1:4">
      <c r="A11252" s="691"/>
      <c r="D11252" s="3"/>
    </row>
    <row r="11253" spans="1:4">
      <c r="A11253" s="691"/>
      <c r="D11253" s="3"/>
    </row>
    <row r="11254" spans="1:4">
      <c r="A11254" s="691"/>
      <c r="D11254" s="3"/>
    </row>
    <row r="11255" spans="1:4">
      <c r="A11255" s="691"/>
      <c r="D11255" s="3"/>
    </row>
    <row r="11256" spans="1:4">
      <c r="A11256" s="691"/>
      <c r="D11256" s="3"/>
    </row>
    <row r="11257" spans="1:4">
      <c r="A11257" s="691"/>
      <c r="D11257" s="3"/>
    </row>
    <row r="11258" spans="1:4">
      <c r="A11258" s="691"/>
      <c r="D11258" s="3"/>
    </row>
    <row r="11259" spans="1:4">
      <c r="A11259" s="691"/>
      <c r="D11259" s="3"/>
    </row>
    <row r="11260" spans="1:4">
      <c r="A11260" s="691"/>
      <c r="D11260" s="3"/>
    </row>
    <row r="11261" spans="1:4">
      <c r="A11261" s="691"/>
      <c r="D11261" s="3"/>
    </row>
    <row r="11262" spans="1:4">
      <c r="A11262" s="691"/>
      <c r="D11262" s="3"/>
    </row>
    <row r="11263" spans="1:4">
      <c r="A11263" s="691"/>
      <c r="D11263" s="3"/>
    </row>
    <row r="11264" spans="1:4">
      <c r="A11264" s="691"/>
      <c r="D11264" s="3"/>
    </row>
    <row r="11265" spans="1:4">
      <c r="A11265" s="691"/>
      <c r="D11265" s="3"/>
    </row>
    <row r="11266" spans="1:4">
      <c r="A11266" s="691"/>
      <c r="D11266" s="3"/>
    </row>
    <row r="11267" spans="1:4">
      <c r="A11267" s="691"/>
      <c r="D11267" s="3"/>
    </row>
    <row r="11268" spans="1:4">
      <c r="A11268" s="691"/>
      <c r="D11268" s="3"/>
    </row>
    <row r="11269" spans="1:4">
      <c r="A11269" s="691"/>
      <c r="D11269" s="3"/>
    </row>
    <row r="11270" spans="1:4">
      <c r="A11270" s="691"/>
      <c r="D11270" s="3"/>
    </row>
    <row r="11271" spans="1:4">
      <c r="A11271" s="691"/>
      <c r="D11271" s="3"/>
    </row>
    <row r="11272" spans="1:4">
      <c r="A11272" s="691"/>
      <c r="D11272" s="3"/>
    </row>
    <row r="11273" spans="1:4">
      <c r="A11273" s="691"/>
      <c r="D11273" s="3"/>
    </row>
    <row r="11274" spans="1:4">
      <c r="A11274" s="691"/>
      <c r="D11274" s="3"/>
    </row>
    <row r="11275" spans="1:4">
      <c r="A11275" s="691"/>
      <c r="D11275" s="3"/>
    </row>
    <row r="11276" spans="1:4">
      <c r="A11276" s="691"/>
      <c r="D11276" s="3"/>
    </row>
    <row r="11277" spans="1:4">
      <c r="A11277" s="691"/>
      <c r="D11277" s="3"/>
    </row>
    <row r="11278" spans="1:4">
      <c r="A11278" s="691"/>
      <c r="D11278" s="3"/>
    </row>
    <row r="11279" spans="1:4">
      <c r="A11279" s="691"/>
      <c r="D11279" s="3"/>
    </row>
    <row r="11280" spans="1:4">
      <c r="A11280" s="691"/>
      <c r="D11280" s="3"/>
    </row>
    <row r="11281" spans="1:4">
      <c r="A11281" s="691"/>
      <c r="D11281" s="3"/>
    </row>
    <row r="11282" spans="1:4">
      <c r="A11282" s="691"/>
      <c r="D11282" s="3"/>
    </row>
    <row r="11283" spans="1:4">
      <c r="A11283" s="691"/>
      <c r="D11283" s="3"/>
    </row>
    <row r="11284" spans="1:4">
      <c r="A11284" s="691"/>
      <c r="D11284" s="3"/>
    </row>
    <row r="11285" spans="1:4">
      <c r="A11285" s="691"/>
      <c r="D11285" s="3"/>
    </row>
    <row r="11286" spans="1:4">
      <c r="A11286" s="691"/>
      <c r="D11286" s="3"/>
    </row>
    <row r="11287" spans="1:4">
      <c r="A11287" s="691"/>
      <c r="D11287" s="3"/>
    </row>
    <row r="11288" spans="1:4">
      <c r="A11288" s="691"/>
      <c r="D11288" s="3"/>
    </row>
    <row r="11289" spans="1:4">
      <c r="A11289" s="691"/>
      <c r="D11289" s="3"/>
    </row>
    <row r="11290" spans="1:4">
      <c r="A11290" s="691"/>
      <c r="D11290" s="3"/>
    </row>
    <row r="11291" spans="1:4">
      <c r="A11291" s="691"/>
      <c r="D11291" s="3"/>
    </row>
    <row r="11292" spans="1:4">
      <c r="A11292" s="691"/>
      <c r="D11292" s="3"/>
    </row>
    <row r="11293" spans="1:4">
      <c r="A11293" s="691"/>
      <c r="D11293" s="3"/>
    </row>
    <row r="11294" spans="1:4">
      <c r="A11294" s="691"/>
      <c r="D11294" s="3"/>
    </row>
    <row r="11295" spans="1:4">
      <c r="A11295" s="691"/>
      <c r="D11295" s="3"/>
    </row>
    <row r="11296" spans="1:4">
      <c r="A11296" s="691"/>
      <c r="D11296" s="3"/>
    </row>
    <row r="11297" spans="1:4">
      <c r="A11297" s="691"/>
      <c r="D11297" s="3"/>
    </row>
    <row r="11298" spans="1:4">
      <c r="A11298" s="691"/>
      <c r="D11298" s="3"/>
    </row>
    <row r="11299" spans="1:4">
      <c r="A11299" s="691"/>
      <c r="D11299" s="3"/>
    </row>
    <row r="11300" spans="1:4">
      <c r="A11300" s="691"/>
      <c r="D11300" s="3"/>
    </row>
    <row r="11301" spans="1:4">
      <c r="A11301" s="691"/>
      <c r="D11301" s="3"/>
    </row>
    <row r="11302" spans="1:4">
      <c r="A11302" s="691"/>
      <c r="D11302" s="3"/>
    </row>
    <row r="11303" spans="1:4">
      <c r="A11303" s="691"/>
      <c r="D11303" s="3"/>
    </row>
    <row r="11304" spans="1:4">
      <c r="A11304" s="691"/>
      <c r="D11304" s="3"/>
    </row>
    <row r="11305" spans="1:4">
      <c r="A11305" s="691"/>
      <c r="D11305" s="3"/>
    </row>
    <row r="11306" spans="1:4">
      <c r="A11306" s="691"/>
      <c r="D11306" s="3"/>
    </row>
    <row r="11307" spans="1:4">
      <c r="A11307" s="691"/>
      <c r="D11307" s="3"/>
    </row>
    <row r="11308" spans="1:4">
      <c r="A11308" s="691"/>
      <c r="D11308" s="3"/>
    </row>
    <row r="11309" spans="1:4">
      <c r="A11309" s="691"/>
      <c r="D11309" s="3"/>
    </row>
    <row r="11310" spans="1:4">
      <c r="A11310" s="691"/>
      <c r="D11310" s="3"/>
    </row>
    <row r="11311" spans="1:4">
      <c r="A11311" s="691"/>
      <c r="D11311" s="3"/>
    </row>
    <row r="11312" spans="1:4">
      <c r="A11312" s="691"/>
      <c r="D11312" s="3"/>
    </row>
    <row r="11313" spans="1:4">
      <c r="A11313" s="691"/>
      <c r="D11313" s="3"/>
    </row>
    <row r="11314" spans="1:4">
      <c r="A11314" s="691"/>
      <c r="D11314" s="3"/>
    </row>
    <row r="11315" spans="1:4">
      <c r="A11315" s="691"/>
      <c r="D11315" s="3"/>
    </row>
    <row r="11316" spans="1:4">
      <c r="A11316" s="691"/>
      <c r="D11316" s="3"/>
    </row>
    <row r="11317" spans="1:4">
      <c r="A11317" s="691"/>
      <c r="D11317" s="3"/>
    </row>
    <row r="11318" spans="1:4">
      <c r="A11318" s="691"/>
      <c r="D11318" s="3"/>
    </row>
    <row r="11319" spans="1:4">
      <c r="A11319" s="691"/>
      <c r="D11319" s="3"/>
    </row>
    <row r="11320" spans="1:4">
      <c r="A11320" s="691"/>
      <c r="D11320" s="3"/>
    </row>
    <row r="11321" spans="1:4">
      <c r="A11321" s="691"/>
      <c r="D11321" s="3"/>
    </row>
    <row r="11322" spans="1:4">
      <c r="A11322" s="691"/>
      <c r="D11322" s="3"/>
    </row>
    <row r="11323" spans="1:4">
      <c r="A11323" s="691"/>
      <c r="D11323" s="3"/>
    </row>
    <row r="11324" spans="1:4">
      <c r="A11324" s="691"/>
      <c r="D11324" s="3"/>
    </row>
    <row r="11325" spans="1:4">
      <c r="A11325" s="691"/>
      <c r="D11325" s="3"/>
    </row>
    <row r="11326" spans="1:4">
      <c r="A11326" s="691"/>
      <c r="D11326" s="3"/>
    </row>
    <row r="11327" spans="1:4">
      <c r="A11327" s="691"/>
      <c r="D11327" s="3"/>
    </row>
    <row r="11328" spans="1:4">
      <c r="A11328" s="691"/>
      <c r="D11328" s="3"/>
    </row>
    <row r="11329" spans="1:4">
      <c r="A11329" s="691"/>
      <c r="D11329" s="3"/>
    </row>
    <row r="11330" spans="1:4">
      <c r="A11330" s="691"/>
      <c r="D11330" s="3"/>
    </row>
    <row r="11331" spans="1:4">
      <c r="A11331" s="691"/>
      <c r="D11331" s="3"/>
    </row>
    <row r="11332" spans="1:4">
      <c r="A11332" s="691"/>
      <c r="D11332" s="3"/>
    </row>
    <row r="11333" spans="1:4">
      <c r="A11333" s="691"/>
      <c r="D11333" s="3"/>
    </row>
    <row r="11334" spans="1:4">
      <c r="A11334" s="691"/>
      <c r="D11334" s="3"/>
    </row>
    <row r="11335" spans="1:4">
      <c r="A11335" s="691"/>
      <c r="D11335" s="3"/>
    </row>
    <row r="11336" spans="1:4">
      <c r="A11336" s="691"/>
      <c r="D11336" s="3"/>
    </row>
    <row r="11337" spans="1:4">
      <c r="A11337" s="691"/>
      <c r="D11337" s="3"/>
    </row>
    <row r="11338" spans="1:4">
      <c r="A11338" s="691"/>
      <c r="D11338" s="3"/>
    </row>
    <row r="11339" spans="1:4">
      <c r="A11339" s="691"/>
      <c r="D11339" s="3"/>
    </row>
    <row r="11340" spans="1:4">
      <c r="A11340" s="691"/>
      <c r="D11340" s="3"/>
    </row>
    <row r="11341" spans="1:4">
      <c r="A11341" s="691"/>
      <c r="D11341" s="3"/>
    </row>
    <row r="11342" spans="1:4">
      <c r="A11342" s="691"/>
      <c r="D11342" s="3"/>
    </row>
    <row r="11343" spans="1:4">
      <c r="A11343" s="691"/>
      <c r="D11343" s="3"/>
    </row>
    <row r="11344" spans="1:4">
      <c r="A11344" s="691"/>
      <c r="D11344" s="3"/>
    </row>
    <row r="11345" spans="1:4">
      <c r="A11345" s="691"/>
      <c r="D11345" s="3"/>
    </row>
    <row r="11346" spans="1:4">
      <c r="A11346" s="691"/>
      <c r="D11346" s="3"/>
    </row>
    <row r="11347" spans="1:4">
      <c r="A11347" s="691"/>
      <c r="D11347" s="3"/>
    </row>
    <row r="11348" spans="1:4">
      <c r="A11348" s="691"/>
      <c r="D11348" s="3"/>
    </row>
    <row r="11349" spans="1:4">
      <c r="A11349" s="691"/>
      <c r="D11349" s="3"/>
    </row>
    <row r="11350" spans="1:4">
      <c r="A11350" s="691"/>
      <c r="D11350" s="3"/>
    </row>
    <row r="11351" spans="1:4">
      <c r="A11351" s="691"/>
      <c r="D11351" s="3"/>
    </row>
    <row r="11352" spans="1:4">
      <c r="A11352" s="691"/>
      <c r="D11352" s="3"/>
    </row>
    <row r="11353" spans="1:4">
      <c r="A11353" s="691"/>
      <c r="D11353" s="3"/>
    </row>
    <row r="11354" spans="1:4">
      <c r="A11354" s="691"/>
      <c r="D11354" s="3"/>
    </row>
    <row r="11355" spans="1:4">
      <c r="A11355" s="691"/>
      <c r="D11355" s="3"/>
    </row>
    <row r="11356" spans="1:4">
      <c r="A11356" s="691"/>
      <c r="D11356" s="3"/>
    </row>
    <row r="11357" spans="1:4">
      <c r="A11357" s="691"/>
      <c r="D11357" s="3"/>
    </row>
    <row r="11358" spans="1:4">
      <c r="A11358" s="691"/>
      <c r="D11358" s="3"/>
    </row>
    <row r="11359" spans="1:4">
      <c r="A11359" s="691"/>
      <c r="D11359" s="3"/>
    </row>
    <row r="11360" spans="1:4">
      <c r="A11360" s="691"/>
      <c r="D11360" s="3"/>
    </row>
    <row r="11361" spans="1:4">
      <c r="A11361" s="691"/>
      <c r="D11361" s="3"/>
    </row>
    <row r="11362" spans="1:4">
      <c r="A11362" s="691"/>
      <c r="D11362" s="3"/>
    </row>
    <row r="11363" spans="1:4">
      <c r="A11363" s="691"/>
      <c r="D11363" s="3"/>
    </row>
    <row r="11364" spans="1:4">
      <c r="A11364" s="691"/>
      <c r="D11364" s="3"/>
    </row>
    <row r="11365" spans="1:4">
      <c r="A11365" s="691"/>
      <c r="D11365" s="3"/>
    </row>
    <row r="11366" spans="1:4">
      <c r="A11366" s="691"/>
      <c r="D11366" s="3"/>
    </row>
    <row r="11367" spans="1:4">
      <c r="A11367" s="691"/>
      <c r="D11367" s="3"/>
    </row>
    <row r="11368" spans="1:4">
      <c r="A11368" s="691"/>
      <c r="D11368" s="3"/>
    </row>
    <row r="11369" spans="1:4">
      <c r="A11369" s="691"/>
      <c r="D11369" s="3"/>
    </row>
    <row r="11370" spans="1:4">
      <c r="A11370" s="691"/>
      <c r="D11370" s="3"/>
    </row>
    <row r="11371" spans="1:4">
      <c r="A11371" s="691"/>
      <c r="D11371" s="3"/>
    </row>
    <row r="11372" spans="1:4">
      <c r="A11372" s="691"/>
      <c r="D11372" s="3"/>
    </row>
    <row r="11373" spans="1:4">
      <c r="A11373" s="691"/>
      <c r="D11373" s="3"/>
    </row>
    <row r="11374" spans="1:4">
      <c r="A11374" s="691"/>
      <c r="D11374" s="3"/>
    </row>
    <row r="11375" spans="1:4">
      <c r="A11375" s="691"/>
      <c r="D11375" s="3"/>
    </row>
    <row r="11376" spans="1:4">
      <c r="A11376" s="691"/>
      <c r="D11376" s="3"/>
    </row>
    <row r="11377" spans="1:4">
      <c r="A11377" s="691"/>
      <c r="D11377" s="3"/>
    </row>
    <row r="11378" spans="1:4">
      <c r="A11378" s="691"/>
      <c r="D11378" s="3"/>
    </row>
    <row r="11379" spans="1:4">
      <c r="A11379" s="691"/>
      <c r="D11379" s="3"/>
    </row>
    <row r="11380" spans="1:4">
      <c r="A11380" s="691"/>
      <c r="D11380" s="3"/>
    </row>
    <row r="11381" spans="1:4">
      <c r="A11381" s="691"/>
      <c r="D11381" s="3"/>
    </row>
    <row r="11382" spans="1:4">
      <c r="A11382" s="691"/>
      <c r="D11382" s="3"/>
    </row>
    <row r="11383" spans="1:4">
      <c r="A11383" s="691"/>
      <c r="D11383" s="3"/>
    </row>
    <row r="11384" spans="1:4">
      <c r="A11384" s="691"/>
      <c r="D11384" s="3"/>
    </row>
    <row r="11385" spans="1:4">
      <c r="A11385" s="691"/>
      <c r="D11385" s="3"/>
    </row>
    <row r="11386" spans="1:4">
      <c r="A11386" s="691"/>
      <c r="D11386" s="3"/>
    </row>
    <row r="11387" spans="1:4">
      <c r="A11387" s="691"/>
      <c r="D11387" s="3"/>
    </row>
    <row r="11388" spans="1:4">
      <c r="A11388" s="691"/>
      <c r="D11388" s="3"/>
    </row>
    <row r="11389" spans="1:4">
      <c r="A11389" s="691"/>
      <c r="D11389" s="3"/>
    </row>
    <row r="11390" spans="1:4">
      <c r="A11390" s="691"/>
      <c r="D11390" s="3"/>
    </row>
    <row r="11391" spans="1:4">
      <c r="A11391" s="691"/>
      <c r="D11391" s="3"/>
    </row>
    <row r="11392" spans="1:4">
      <c r="A11392" s="691"/>
      <c r="D11392" s="3"/>
    </row>
    <row r="11393" spans="1:4">
      <c r="A11393" s="691"/>
      <c r="D11393" s="3"/>
    </row>
    <row r="11394" spans="1:4">
      <c r="A11394" s="691"/>
      <c r="D11394" s="3"/>
    </row>
    <row r="11395" spans="1:4">
      <c r="A11395" s="691"/>
      <c r="D11395" s="3"/>
    </row>
    <row r="11396" spans="1:4">
      <c r="A11396" s="691"/>
      <c r="D11396" s="3"/>
    </row>
    <row r="11397" spans="1:4">
      <c r="A11397" s="691"/>
      <c r="D11397" s="3"/>
    </row>
    <row r="11398" spans="1:4">
      <c r="A11398" s="691"/>
      <c r="D11398" s="3"/>
    </row>
    <row r="11399" spans="1:4">
      <c r="A11399" s="691"/>
      <c r="D11399" s="3"/>
    </row>
    <row r="11400" spans="1:4">
      <c r="A11400" s="691"/>
      <c r="D11400" s="3"/>
    </row>
    <row r="11401" spans="1:4">
      <c r="A11401" s="691"/>
      <c r="D11401" s="3"/>
    </row>
    <row r="11402" spans="1:4">
      <c r="A11402" s="691"/>
      <c r="D11402" s="3"/>
    </row>
    <row r="11403" spans="1:4">
      <c r="A11403" s="691"/>
      <c r="D11403" s="3"/>
    </row>
    <row r="11404" spans="1:4">
      <c r="A11404" s="691"/>
      <c r="D11404" s="3"/>
    </row>
    <row r="11405" spans="1:4">
      <c r="A11405" s="691"/>
      <c r="D11405" s="3"/>
    </row>
    <row r="11406" spans="1:4">
      <c r="A11406" s="691"/>
      <c r="D11406" s="3"/>
    </row>
    <row r="11407" spans="1:4">
      <c r="A11407" s="691"/>
      <c r="D11407" s="3"/>
    </row>
    <row r="11408" spans="1:4">
      <c r="A11408" s="691"/>
      <c r="D11408" s="3"/>
    </row>
    <row r="11409" spans="1:4">
      <c r="A11409" s="691"/>
      <c r="D11409" s="3"/>
    </row>
    <row r="11410" spans="1:4">
      <c r="A11410" s="691"/>
      <c r="D11410" s="3"/>
    </row>
    <row r="11411" spans="1:4">
      <c r="A11411" s="691"/>
      <c r="D11411" s="3"/>
    </row>
    <row r="11412" spans="1:4">
      <c r="A11412" s="691"/>
      <c r="D11412" s="3"/>
    </row>
    <row r="11413" spans="1:4">
      <c r="A11413" s="691"/>
      <c r="D11413" s="3"/>
    </row>
    <row r="11414" spans="1:4">
      <c r="A11414" s="691"/>
      <c r="D11414" s="3"/>
    </row>
    <row r="11415" spans="1:4">
      <c r="A11415" s="691"/>
      <c r="D11415" s="3"/>
    </row>
    <row r="11416" spans="1:4">
      <c r="A11416" s="691"/>
      <c r="D11416" s="3"/>
    </row>
    <row r="11417" spans="1:4">
      <c r="A11417" s="691"/>
      <c r="D11417" s="3"/>
    </row>
    <row r="11418" spans="1:4">
      <c r="A11418" s="691"/>
      <c r="D11418" s="3"/>
    </row>
    <row r="11419" spans="1:4">
      <c r="A11419" s="691"/>
      <c r="D11419" s="3"/>
    </row>
    <row r="11420" spans="1:4">
      <c r="A11420" s="691"/>
      <c r="D11420" s="3"/>
    </row>
    <row r="11421" spans="1:4">
      <c r="A11421" s="691"/>
      <c r="D11421" s="3"/>
    </row>
    <row r="11422" spans="1:4">
      <c r="A11422" s="691"/>
      <c r="D11422" s="3"/>
    </row>
    <row r="11423" spans="1:4">
      <c r="A11423" s="691"/>
      <c r="D11423" s="3"/>
    </row>
    <row r="11424" spans="1:4">
      <c r="A11424" s="691"/>
      <c r="D11424" s="3"/>
    </row>
    <row r="11425" spans="1:4">
      <c r="A11425" s="691"/>
      <c r="D11425" s="3"/>
    </row>
    <row r="11426" spans="1:4">
      <c r="A11426" s="691"/>
      <c r="D11426" s="3"/>
    </row>
    <row r="11427" spans="1:4">
      <c r="A11427" s="691"/>
      <c r="D11427" s="3"/>
    </row>
    <row r="11428" spans="1:4">
      <c r="A11428" s="691"/>
      <c r="D11428" s="3"/>
    </row>
    <row r="11429" spans="1:4">
      <c r="A11429" s="691"/>
      <c r="D11429" s="3"/>
    </row>
    <row r="11430" spans="1:4">
      <c r="A11430" s="691"/>
      <c r="D11430" s="3"/>
    </row>
    <row r="11431" spans="1:4">
      <c r="A11431" s="691"/>
      <c r="D11431" s="3"/>
    </row>
    <row r="11432" spans="1:4">
      <c r="A11432" s="691"/>
      <c r="D11432" s="3"/>
    </row>
    <row r="11433" spans="1:4">
      <c r="A11433" s="691"/>
      <c r="D11433" s="3"/>
    </row>
    <row r="11434" spans="1:4">
      <c r="A11434" s="691"/>
      <c r="D11434" s="3"/>
    </row>
    <row r="11435" spans="1:4">
      <c r="A11435" s="691"/>
      <c r="D11435" s="3"/>
    </row>
    <row r="11436" spans="1:4">
      <c r="A11436" s="691"/>
      <c r="D11436" s="3"/>
    </row>
    <row r="11437" spans="1:4">
      <c r="A11437" s="691"/>
      <c r="D11437" s="3"/>
    </row>
    <row r="11438" spans="1:4">
      <c r="A11438" s="691"/>
      <c r="D11438" s="3"/>
    </row>
    <row r="11439" spans="1:4">
      <c r="A11439" s="691"/>
      <c r="D11439" s="3"/>
    </row>
    <row r="11440" spans="1:4">
      <c r="A11440" s="691"/>
      <c r="D11440" s="3"/>
    </row>
    <row r="11441" spans="1:4">
      <c r="A11441" s="691"/>
      <c r="D11441" s="3"/>
    </row>
    <row r="11442" spans="1:4">
      <c r="A11442" s="691"/>
      <c r="D11442" s="3"/>
    </row>
    <row r="11443" spans="1:4">
      <c r="A11443" s="691"/>
      <c r="D11443" s="3"/>
    </row>
    <row r="11444" spans="1:4">
      <c r="A11444" s="691"/>
      <c r="D11444" s="3"/>
    </row>
    <row r="11445" spans="1:4">
      <c r="A11445" s="691"/>
      <c r="D11445" s="3"/>
    </row>
    <row r="11446" spans="1:4">
      <c r="A11446" s="691"/>
      <c r="D11446" s="3"/>
    </row>
    <row r="11447" spans="1:4">
      <c r="A11447" s="691"/>
      <c r="D11447" s="3"/>
    </row>
    <row r="11448" spans="1:4">
      <c r="A11448" s="691"/>
      <c r="D11448" s="3"/>
    </row>
    <row r="11449" spans="1:4">
      <c r="A11449" s="691"/>
      <c r="D11449" s="3"/>
    </row>
    <row r="11450" spans="1:4">
      <c r="A11450" s="691"/>
      <c r="D11450" s="3"/>
    </row>
    <row r="11451" spans="1:4">
      <c r="A11451" s="691"/>
      <c r="D11451" s="3"/>
    </row>
    <row r="11452" spans="1:4">
      <c r="A11452" s="691"/>
      <c r="D11452" s="3"/>
    </row>
    <row r="11453" spans="1:4">
      <c r="A11453" s="691"/>
      <c r="D11453" s="3"/>
    </row>
    <row r="11454" spans="1:4">
      <c r="A11454" s="691"/>
      <c r="D11454" s="3"/>
    </row>
    <row r="11455" spans="1:4">
      <c r="A11455" s="691"/>
      <c r="D11455" s="3"/>
    </row>
    <row r="11456" spans="1:4">
      <c r="A11456" s="691"/>
      <c r="D11456" s="3"/>
    </row>
    <row r="11457" spans="1:4">
      <c r="A11457" s="691"/>
      <c r="D11457" s="3"/>
    </row>
    <row r="11458" spans="1:4">
      <c r="A11458" s="691"/>
      <c r="D11458" s="3"/>
    </row>
    <row r="11459" spans="1:4">
      <c r="A11459" s="691"/>
      <c r="D11459" s="3"/>
    </row>
    <row r="11460" spans="1:4">
      <c r="A11460" s="691"/>
      <c r="D11460" s="3"/>
    </row>
    <row r="11461" spans="1:4">
      <c r="A11461" s="691"/>
      <c r="D11461" s="3"/>
    </row>
    <row r="11462" spans="1:4">
      <c r="A11462" s="691"/>
      <c r="D11462" s="3"/>
    </row>
    <row r="11463" spans="1:4">
      <c r="A11463" s="691"/>
      <c r="D11463" s="3"/>
    </row>
    <row r="11464" spans="1:4">
      <c r="A11464" s="691"/>
      <c r="D11464" s="3"/>
    </row>
    <row r="11465" spans="1:4">
      <c r="A11465" s="691"/>
      <c r="D11465" s="3"/>
    </row>
    <row r="11466" spans="1:4">
      <c r="A11466" s="691"/>
      <c r="D11466" s="3"/>
    </row>
    <row r="11467" spans="1:4">
      <c r="A11467" s="691"/>
      <c r="D11467" s="3"/>
    </row>
    <row r="11468" spans="1:4">
      <c r="A11468" s="691"/>
      <c r="D11468" s="3"/>
    </row>
    <row r="11469" spans="1:4">
      <c r="A11469" s="691"/>
      <c r="D11469" s="3"/>
    </row>
    <row r="11470" spans="1:4">
      <c r="A11470" s="691"/>
      <c r="D11470" s="3"/>
    </row>
    <row r="11471" spans="1:4">
      <c r="A11471" s="691"/>
      <c r="D11471" s="3"/>
    </row>
    <row r="11472" spans="1:4">
      <c r="A11472" s="691"/>
      <c r="D11472" s="3"/>
    </row>
    <row r="11473" spans="1:4">
      <c r="A11473" s="691"/>
      <c r="D11473" s="3"/>
    </row>
    <row r="11474" spans="1:4">
      <c r="A11474" s="691"/>
      <c r="D11474" s="3"/>
    </row>
    <row r="11475" spans="1:4">
      <c r="A11475" s="691"/>
      <c r="D11475" s="3"/>
    </row>
    <row r="11476" spans="1:4">
      <c r="A11476" s="691"/>
      <c r="D11476" s="3"/>
    </row>
    <row r="11477" spans="1:4">
      <c r="A11477" s="691"/>
      <c r="D11477" s="3"/>
    </row>
    <row r="11478" spans="1:4">
      <c r="A11478" s="691"/>
      <c r="D11478" s="3"/>
    </row>
    <row r="11479" spans="1:4">
      <c r="A11479" s="691"/>
      <c r="D11479" s="3"/>
    </row>
    <row r="11480" spans="1:4">
      <c r="A11480" s="691"/>
      <c r="D11480" s="3"/>
    </row>
    <row r="11481" spans="1:4">
      <c r="A11481" s="691"/>
      <c r="D11481" s="3"/>
    </row>
    <row r="11482" spans="1:4">
      <c r="A11482" s="691"/>
      <c r="D11482" s="3"/>
    </row>
    <row r="11483" spans="1:4">
      <c r="A11483" s="691"/>
      <c r="D11483" s="3"/>
    </row>
    <row r="11484" spans="1:4">
      <c r="A11484" s="691"/>
      <c r="D11484" s="3"/>
    </row>
    <row r="11485" spans="1:4">
      <c r="A11485" s="691"/>
      <c r="D11485" s="3"/>
    </row>
    <row r="11486" spans="1:4">
      <c r="A11486" s="691"/>
      <c r="D11486" s="3"/>
    </row>
    <row r="11487" spans="1:4">
      <c r="A11487" s="691"/>
      <c r="D11487" s="3"/>
    </row>
    <row r="11488" spans="1:4">
      <c r="A11488" s="691"/>
      <c r="D11488" s="3"/>
    </row>
    <row r="11489" spans="1:4">
      <c r="A11489" s="691"/>
      <c r="D11489" s="3"/>
    </row>
    <row r="11490" spans="1:4">
      <c r="A11490" s="691"/>
      <c r="D11490" s="3"/>
    </row>
    <row r="11491" spans="1:4">
      <c r="A11491" s="691"/>
      <c r="D11491" s="3"/>
    </row>
    <row r="11492" spans="1:4">
      <c r="A11492" s="691"/>
      <c r="D11492" s="3"/>
    </row>
    <row r="11493" spans="1:4">
      <c r="A11493" s="691"/>
      <c r="D11493" s="3"/>
    </row>
    <row r="11494" spans="1:4">
      <c r="A11494" s="691"/>
      <c r="D11494" s="3"/>
    </row>
    <row r="11495" spans="1:4">
      <c r="A11495" s="691"/>
      <c r="D11495" s="3"/>
    </row>
    <row r="11496" spans="1:4">
      <c r="A11496" s="691"/>
      <c r="D11496" s="3"/>
    </row>
    <row r="11497" spans="1:4">
      <c r="A11497" s="691"/>
      <c r="D11497" s="3"/>
    </row>
    <row r="11498" spans="1:4">
      <c r="A11498" s="691"/>
      <c r="D11498" s="3"/>
    </row>
    <row r="11499" spans="1:4">
      <c r="A11499" s="691"/>
      <c r="D11499" s="3"/>
    </row>
    <row r="11500" spans="1:4">
      <c r="A11500" s="691"/>
      <c r="D11500" s="3"/>
    </row>
    <row r="11501" spans="1:4">
      <c r="A11501" s="691"/>
      <c r="D11501" s="3"/>
    </row>
    <row r="11502" spans="1:4">
      <c r="A11502" s="691"/>
      <c r="D11502" s="3"/>
    </row>
    <row r="11503" spans="1:4">
      <c r="A11503" s="691"/>
      <c r="D11503" s="3"/>
    </row>
    <row r="11504" spans="1:4">
      <c r="A11504" s="691"/>
      <c r="D11504" s="3"/>
    </row>
    <row r="11505" spans="1:4">
      <c r="A11505" s="691"/>
      <c r="D11505" s="3"/>
    </row>
    <row r="11506" spans="1:4">
      <c r="A11506" s="691"/>
      <c r="D11506" s="3"/>
    </row>
    <row r="11507" spans="1:4">
      <c r="A11507" s="691"/>
      <c r="D11507" s="3"/>
    </row>
    <row r="11508" spans="1:4">
      <c r="A11508" s="691"/>
      <c r="D11508" s="3"/>
    </row>
    <row r="11509" spans="1:4">
      <c r="A11509" s="691"/>
      <c r="D11509" s="3"/>
    </row>
    <row r="11510" spans="1:4">
      <c r="A11510" s="691"/>
      <c r="D11510" s="3"/>
    </row>
    <row r="11511" spans="1:4">
      <c r="A11511" s="691"/>
      <c r="D11511" s="3"/>
    </row>
    <row r="11512" spans="1:4">
      <c r="A11512" s="691"/>
      <c r="D11512" s="3"/>
    </row>
    <row r="11513" spans="1:4">
      <c r="A11513" s="691"/>
      <c r="D11513" s="3"/>
    </row>
    <row r="11514" spans="1:4">
      <c r="A11514" s="691"/>
      <c r="D11514" s="3"/>
    </row>
    <row r="11515" spans="1:4">
      <c r="A11515" s="691"/>
      <c r="D11515" s="3"/>
    </row>
    <row r="11516" spans="1:4">
      <c r="A11516" s="691"/>
      <c r="D11516" s="3"/>
    </row>
    <row r="11517" spans="1:4">
      <c r="A11517" s="691"/>
      <c r="D11517" s="3"/>
    </row>
    <row r="11518" spans="1:4">
      <c r="A11518" s="691"/>
      <c r="D11518" s="3"/>
    </row>
    <row r="11519" spans="1:4">
      <c r="A11519" s="691"/>
      <c r="D11519" s="3"/>
    </row>
    <row r="11520" spans="1:4">
      <c r="A11520" s="691"/>
      <c r="D11520" s="3"/>
    </row>
    <row r="11521" spans="1:4">
      <c r="A11521" s="691"/>
      <c r="D11521" s="3"/>
    </row>
    <row r="11522" spans="1:4">
      <c r="A11522" s="691"/>
      <c r="D11522" s="3"/>
    </row>
    <row r="11523" spans="1:4">
      <c r="A11523" s="691"/>
      <c r="D11523" s="3"/>
    </row>
    <row r="11524" spans="1:4">
      <c r="A11524" s="691"/>
      <c r="D11524" s="3"/>
    </row>
    <row r="11525" spans="1:4">
      <c r="A11525" s="691"/>
      <c r="D11525" s="3"/>
    </row>
    <row r="11526" spans="1:4">
      <c r="A11526" s="691"/>
      <c r="D11526" s="3"/>
    </row>
    <row r="11527" spans="1:4">
      <c r="A11527" s="691"/>
      <c r="D11527" s="3"/>
    </row>
    <row r="11528" spans="1:4">
      <c r="A11528" s="691"/>
      <c r="D11528" s="3"/>
    </row>
    <row r="11529" spans="1:4">
      <c r="A11529" s="691"/>
      <c r="D11529" s="3"/>
    </row>
    <row r="11530" spans="1:4">
      <c r="A11530" s="691"/>
      <c r="D11530" s="3"/>
    </row>
    <row r="11531" spans="1:4">
      <c r="A11531" s="691"/>
      <c r="D11531" s="3"/>
    </row>
    <row r="11532" spans="1:4">
      <c r="A11532" s="691"/>
      <c r="D11532" s="3"/>
    </row>
    <row r="11533" spans="1:4">
      <c r="A11533" s="691"/>
      <c r="D11533" s="3"/>
    </row>
    <row r="11534" spans="1:4">
      <c r="A11534" s="691"/>
      <c r="D11534" s="3"/>
    </row>
    <row r="11535" spans="1:4">
      <c r="A11535" s="691"/>
      <c r="D11535" s="3"/>
    </row>
    <row r="11536" spans="1:4">
      <c r="A11536" s="691"/>
      <c r="D11536" s="3"/>
    </row>
    <row r="11537" spans="1:4">
      <c r="A11537" s="691"/>
      <c r="D11537" s="3"/>
    </row>
    <row r="11538" spans="1:4">
      <c r="A11538" s="691"/>
      <c r="D11538" s="3"/>
    </row>
    <row r="11539" spans="1:4">
      <c r="A11539" s="691"/>
      <c r="D11539" s="3"/>
    </row>
    <row r="11540" spans="1:4">
      <c r="A11540" s="691"/>
      <c r="D11540" s="3"/>
    </row>
    <row r="11541" spans="1:4">
      <c r="A11541" s="691"/>
      <c r="D11541" s="3"/>
    </row>
    <row r="11542" spans="1:4">
      <c r="A11542" s="691"/>
      <c r="D11542" s="3"/>
    </row>
    <row r="11543" spans="1:4">
      <c r="A11543" s="691"/>
      <c r="D11543" s="3"/>
    </row>
    <row r="11544" spans="1:4">
      <c r="A11544" s="691"/>
      <c r="D11544" s="3"/>
    </row>
    <row r="11545" spans="1:4">
      <c r="A11545" s="691"/>
      <c r="D11545" s="3"/>
    </row>
    <row r="11546" spans="1:4">
      <c r="A11546" s="691"/>
      <c r="D11546" s="3"/>
    </row>
    <row r="11547" spans="1:4">
      <c r="A11547" s="691"/>
      <c r="D11547" s="3"/>
    </row>
    <row r="11548" spans="1:4">
      <c r="A11548" s="691"/>
      <c r="D11548" s="3"/>
    </row>
    <row r="11549" spans="1:4">
      <c r="A11549" s="691"/>
      <c r="D11549" s="3"/>
    </row>
    <row r="11550" spans="1:4">
      <c r="A11550" s="691"/>
      <c r="D11550" s="3"/>
    </row>
    <row r="11551" spans="1:4">
      <c r="A11551" s="691"/>
      <c r="D11551" s="3"/>
    </row>
    <row r="11552" spans="1:4">
      <c r="A11552" s="691"/>
      <c r="D11552" s="3"/>
    </row>
    <row r="11553" spans="1:4">
      <c r="A11553" s="691"/>
      <c r="D11553" s="3"/>
    </row>
    <row r="11554" spans="1:4">
      <c r="A11554" s="691"/>
      <c r="D11554" s="3"/>
    </row>
    <row r="11555" spans="1:4">
      <c r="A11555" s="691"/>
      <c r="D11555" s="3"/>
    </row>
    <row r="11556" spans="1:4">
      <c r="A11556" s="691"/>
      <c r="D11556" s="3"/>
    </row>
    <row r="11557" spans="1:4">
      <c r="A11557" s="691"/>
      <c r="D11557" s="3"/>
    </row>
    <row r="11558" spans="1:4">
      <c r="A11558" s="691"/>
      <c r="D11558" s="3"/>
    </row>
    <row r="11559" spans="1:4">
      <c r="A11559" s="691"/>
      <c r="D11559" s="3"/>
    </row>
    <row r="11560" spans="1:4">
      <c r="A11560" s="691"/>
      <c r="D11560" s="3"/>
    </row>
    <row r="11561" spans="1:4">
      <c r="A11561" s="691"/>
      <c r="D11561" s="3"/>
    </row>
    <row r="11562" spans="1:4">
      <c r="A11562" s="691"/>
      <c r="D11562" s="3"/>
    </row>
    <row r="11563" spans="1:4">
      <c r="A11563" s="691"/>
      <c r="D11563" s="3"/>
    </row>
    <row r="11564" spans="1:4">
      <c r="A11564" s="691"/>
      <c r="D11564" s="3"/>
    </row>
    <row r="11565" spans="1:4">
      <c r="A11565" s="691"/>
      <c r="D11565" s="3"/>
    </row>
    <row r="11566" spans="1:4">
      <c r="A11566" s="691"/>
      <c r="D11566" s="3"/>
    </row>
    <row r="11567" spans="1:4">
      <c r="A11567" s="691"/>
      <c r="D11567" s="3"/>
    </row>
    <row r="11568" spans="1:4">
      <c r="A11568" s="691"/>
      <c r="D11568" s="3"/>
    </row>
    <row r="11569" spans="1:4">
      <c r="A11569" s="691"/>
      <c r="D11569" s="3"/>
    </row>
    <row r="11570" spans="1:4">
      <c r="A11570" s="691"/>
      <c r="D11570" s="3"/>
    </row>
    <row r="11571" spans="1:4">
      <c r="A11571" s="691"/>
      <c r="D11571" s="3"/>
    </row>
    <row r="11572" spans="1:4">
      <c r="A11572" s="691"/>
      <c r="D11572" s="3"/>
    </row>
    <row r="11573" spans="1:4">
      <c r="A11573" s="691"/>
      <c r="D11573" s="3"/>
    </row>
    <row r="11574" spans="1:4">
      <c r="A11574" s="691"/>
      <c r="D11574" s="3"/>
    </row>
    <row r="11575" spans="1:4">
      <c r="A11575" s="691"/>
      <c r="D11575" s="3"/>
    </row>
    <row r="11576" spans="1:4">
      <c r="A11576" s="691"/>
      <c r="D11576" s="3"/>
    </row>
    <row r="11577" spans="1:4">
      <c r="A11577" s="691"/>
      <c r="D11577" s="3"/>
    </row>
    <row r="11578" spans="1:4">
      <c r="A11578" s="691"/>
      <c r="D11578" s="3"/>
    </row>
    <row r="11579" spans="1:4">
      <c r="A11579" s="691"/>
      <c r="D11579" s="3"/>
    </row>
    <row r="11580" spans="1:4">
      <c r="A11580" s="691"/>
      <c r="D11580" s="3"/>
    </row>
    <row r="11581" spans="1:4">
      <c r="A11581" s="691"/>
      <c r="D11581" s="3"/>
    </row>
    <row r="11582" spans="1:4">
      <c r="A11582" s="691"/>
      <c r="D11582" s="3"/>
    </row>
    <row r="11583" spans="1:4">
      <c r="A11583" s="691"/>
      <c r="D11583" s="3"/>
    </row>
    <row r="11584" spans="1:4">
      <c r="A11584" s="691"/>
      <c r="D11584" s="3"/>
    </row>
    <row r="11585" spans="1:4">
      <c r="A11585" s="691"/>
      <c r="D11585" s="3"/>
    </row>
    <row r="11586" spans="1:4">
      <c r="A11586" s="691"/>
      <c r="D11586" s="3"/>
    </row>
    <row r="11587" spans="1:4">
      <c r="A11587" s="691"/>
      <c r="D11587" s="3"/>
    </row>
    <row r="11588" spans="1:4">
      <c r="A11588" s="691"/>
      <c r="D11588" s="3"/>
    </row>
    <row r="11589" spans="1:4">
      <c r="A11589" s="691"/>
      <c r="D11589" s="3"/>
    </row>
    <row r="11590" spans="1:4">
      <c r="A11590" s="691"/>
      <c r="D11590" s="3"/>
    </row>
    <row r="11591" spans="1:4">
      <c r="A11591" s="691"/>
      <c r="D11591" s="3"/>
    </row>
    <row r="11592" spans="1:4">
      <c r="A11592" s="691"/>
      <c r="D11592" s="3"/>
    </row>
    <row r="11593" spans="1:4">
      <c r="A11593" s="691"/>
      <c r="D11593" s="3"/>
    </row>
    <row r="11594" spans="1:4">
      <c r="A11594" s="691"/>
      <c r="D11594" s="3"/>
    </row>
    <row r="11595" spans="1:4">
      <c r="A11595" s="691"/>
      <c r="D11595" s="3"/>
    </row>
    <row r="11596" spans="1:4">
      <c r="A11596" s="691"/>
      <c r="D11596" s="3"/>
    </row>
    <row r="11597" spans="1:4">
      <c r="A11597" s="691"/>
      <c r="D11597" s="3"/>
    </row>
    <row r="11598" spans="1:4">
      <c r="A11598" s="691"/>
      <c r="D11598" s="3"/>
    </row>
    <row r="11599" spans="1:4">
      <c r="A11599" s="691"/>
      <c r="D11599" s="3"/>
    </row>
    <row r="11600" spans="1:4">
      <c r="A11600" s="691"/>
      <c r="D11600" s="3"/>
    </row>
    <row r="11601" spans="1:4">
      <c r="A11601" s="691"/>
      <c r="D11601" s="3"/>
    </row>
    <row r="11602" spans="1:4">
      <c r="A11602" s="691"/>
      <c r="D11602" s="3"/>
    </row>
    <row r="11603" spans="1:4">
      <c r="A11603" s="691"/>
      <c r="D11603" s="3"/>
    </row>
    <row r="11604" spans="1:4">
      <c r="A11604" s="691"/>
      <c r="D11604" s="3"/>
    </row>
    <row r="11605" spans="1:4">
      <c r="A11605" s="691"/>
      <c r="D11605" s="3"/>
    </row>
    <row r="11606" spans="1:4">
      <c r="A11606" s="691"/>
      <c r="D11606" s="3"/>
    </row>
    <row r="11607" spans="1:4">
      <c r="A11607" s="691"/>
      <c r="D11607" s="3"/>
    </row>
    <row r="11608" spans="1:4">
      <c r="A11608" s="691"/>
      <c r="D11608" s="3"/>
    </row>
    <row r="11609" spans="1:4">
      <c r="A11609" s="691"/>
      <c r="D11609" s="3"/>
    </row>
    <row r="11610" spans="1:4">
      <c r="A11610" s="691"/>
      <c r="D11610" s="3"/>
    </row>
    <row r="11611" spans="1:4">
      <c r="A11611" s="691"/>
      <c r="D11611" s="3"/>
    </row>
    <row r="11612" spans="1:4">
      <c r="A11612" s="691"/>
      <c r="D11612" s="3"/>
    </row>
    <row r="11613" spans="1:4">
      <c r="A11613" s="691"/>
      <c r="D11613" s="3"/>
    </row>
    <row r="11614" spans="1:4">
      <c r="A11614" s="691"/>
      <c r="D11614" s="3"/>
    </row>
    <row r="11615" spans="1:4">
      <c r="A11615" s="691"/>
      <c r="D11615" s="3"/>
    </row>
    <row r="11616" spans="1:4">
      <c r="A11616" s="691"/>
      <c r="D11616" s="3"/>
    </row>
    <row r="11617" spans="1:4">
      <c r="A11617" s="691"/>
      <c r="D11617" s="3"/>
    </row>
    <row r="11618" spans="1:4">
      <c r="A11618" s="691"/>
      <c r="D11618" s="3"/>
    </row>
    <row r="11619" spans="1:4">
      <c r="A11619" s="691"/>
      <c r="D11619" s="3"/>
    </row>
    <row r="11620" spans="1:4">
      <c r="A11620" s="691"/>
      <c r="D11620" s="3"/>
    </row>
    <row r="11621" spans="1:4">
      <c r="A11621" s="691"/>
      <c r="D11621" s="3"/>
    </row>
    <row r="11622" spans="1:4">
      <c r="A11622" s="691"/>
      <c r="D11622" s="3"/>
    </row>
    <row r="11623" spans="1:4">
      <c r="A11623" s="691"/>
      <c r="D11623" s="3"/>
    </row>
    <row r="11624" spans="1:4">
      <c r="A11624" s="691"/>
      <c r="D11624" s="3"/>
    </row>
    <row r="11625" spans="1:4">
      <c r="A11625" s="691"/>
      <c r="D11625" s="3"/>
    </row>
    <row r="11626" spans="1:4">
      <c r="A11626" s="691"/>
      <c r="D11626" s="3"/>
    </row>
    <row r="11627" spans="1:4">
      <c r="A11627" s="691"/>
      <c r="D11627" s="3"/>
    </row>
    <row r="11628" spans="1:4">
      <c r="A11628" s="691"/>
      <c r="D11628" s="3"/>
    </row>
    <row r="11629" spans="1:4">
      <c r="A11629" s="691"/>
      <c r="D11629" s="3"/>
    </row>
    <row r="11630" spans="1:4">
      <c r="A11630" s="691"/>
      <c r="D11630" s="3"/>
    </row>
    <row r="11631" spans="1:4">
      <c r="A11631" s="691"/>
      <c r="D11631" s="3"/>
    </row>
    <row r="11632" spans="1:4">
      <c r="A11632" s="691"/>
      <c r="D11632" s="3"/>
    </row>
    <row r="11633" spans="1:4">
      <c r="A11633" s="691"/>
      <c r="D11633" s="3"/>
    </row>
    <row r="11634" spans="1:4">
      <c r="A11634" s="691"/>
      <c r="D11634" s="3"/>
    </row>
    <row r="11635" spans="1:4">
      <c r="A11635" s="691"/>
      <c r="D11635" s="3"/>
    </row>
    <row r="11636" spans="1:4">
      <c r="A11636" s="691"/>
      <c r="D11636" s="3"/>
    </row>
    <row r="11637" spans="1:4">
      <c r="A11637" s="691"/>
      <c r="D11637" s="3"/>
    </row>
    <row r="11638" spans="1:4">
      <c r="A11638" s="691"/>
      <c r="D11638" s="3"/>
    </row>
    <row r="11639" spans="1:4">
      <c r="A11639" s="691"/>
      <c r="D11639" s="3"/>
    </row>
    <row r="11640" spans="1:4">
      <c r="A11640" s="691"/>
      <c r="D11640" s="3"/>
    </row>
    <row r="11641" spans="1:4">
      <c r="A11641" s="691"/>
      <c r="D11641" s="3"/>
    </row>
    <row r="11642" spans="1:4">
      <c r="A11642" s="691"/>
      <c r="D11642" s="3"/>
    </row>
    <row r="11643" spans="1:4">
      <c r="A11643" s="691"/>
      <c r="D11643" s="3"/>
    </row>
    <row r="11644" spans="1:4">
      <c r="A11644" s="691"/>
      <c r="D11644" s="3"/>
    </row>
    <row r="11645" spans="1:4">
      <c r="A11645" s="691"/>
      <c r="D11645" s="3"/>
    </row>
    <row r="11646" spans="1:4">
      <c r="A11646" s="691"/>
      <c r="D11646" s="3"/>
    </row>
    <row r="11647" spans="1:4">
      <c r="A11647" s="691"/>
      <c r="D11647" s="3"/>
    </row>
    <row r="11648" spans="1:4">
      <c r="A11648" s="691"/>
      <c r="D11648" s="3"/>
    </row>
    <row r="11649" spans="1:4">
      <c r="A11649" s="691"/>
      <c r="D11649" s="3"/>
    </row>
    <row r="11650" spans="1:4">
      <c r="A11650" s="691"/>
      <c r="D11650" s="3"/>
    </row>
    <row r="11651" spans="1:4">
      <c r="A11651" s="691"/>
      <c r="D11651" s="3"/>
    </row>
    <row r="11652" spans="1:4">
      <c r="A11652" s="691"/>
      <c r="D11652" s="3"/>
    </row>
    <row r="11653" spans="1:4">
      <c r="A11653" s="691"/>
      <c r="D11653" s="3"/>
    </row>
    <row r="11654" spans="1:4">
      <c r="A11654" s="691"/>
      <c r="D11654" s="3"/>
    </row>
    <row r="11655" spans="1:4">
      <c r="A11655" s="691"/>
      <c r="D11655" s="3"/>
    </row>
    <row r="11656" spans="1:4">
      <c r="A11656" s="691"/>
      <c r="D11656" s="3"/>
    </row>
    <row r="11657" spans="1:4">
      <c r="A11657" s="691"/>
      <c r="D11657" s="3"/>
    </row>
    <row r="11658" spans="1:4">
      <c r="A11658" s="691"/>
      <c r="D11658" s="3"/>
    </row>
    <row r="11659" spans="1:4">
      <c r="A11659" s="691"/>
      <c r="D11659" s="3"/>
    </row>
    <row r="11660" spans="1:4">
      <c r="A11660" s="691"/>
      <c r="D11660" s="3"/>
    </row>
    <row r="11661" spans="1:4">
      <c r="A11661" s="691"/>
      <c r="D11661" s="3"/>
    </row>
    <row r="11662" spans="1:4">
      <c r="A11662" s="691"/>
      <c r="D11662" s="3"/>
    </row>
    <row r="11663" spans="1:4">
      <c r="A11663" s="691"/>
      <c r="D11663" s="3"/>
    </row>
    <row r="11664" spans="1:4">
      <c r="A11664" s="691"/>
      <c r="D11664" s="3"/>
    </row>
    <row r="11665" spans="1:4">
      <c r="A11665" s="691"/>
      <c r="D11665" s="3"/>
    </row>
    <row r="11666" spans="1:4">
      <c r="A11666" s="691"/>
      <c r="D11666" s="3"/>
    </row>
    <row r="11667" spans="1:4">
      <c r="A11667" s="691"/>
      <c r="D11667" s="3"/>
    </row>
    <row r="11668" spans="1:4">
      <c r="A11668" s="691"/>
      <c r="D11668" s="3"/>
    </row>
    <row r="11669" spans="1:4">
      <c r="A11669" s="691"/>
      <c r="D11669" s="3"/>
    </row>
    <row r="11670" spans="1:4">
      <c r="A11670" s="691"/>
      <c r="D11670" s="3"/>
    </row>
    <row r="11671" spans="1:4">
      <c r="A11671" s="691"/>
      <c r="D11671" s="3"/>
    </row>
    <row r="11672" spans="1:4">
      <c r="A11672" s="691"/>
      <c r="D11672" s="3"/>
    </row>
    <row r="11673" spans="1:4">
      <c r="A11673" s="691"/>
      <c r="D11673" s="3"/>
    </row>
    <row r="11674" spans="1:4">
      <c r="A11674" s="691"/>
      <c r="D11674" s="3"/>
    </row>
    <row r="11675" spans="1:4">
      <c r="A11675" s="691"/>
      <c r="D11675" s="3"/>
    </row>
    <row r="11676" spans="1:4">
      <c r="A11676" s="691"/>
      <c r="D11676" s="3"/>
    </row>
    <row r="11677" spans="1:4">
      <c r="A11677" s="691"/>
      <c r="D11677" s="3"/>
    </row>
    <row r="11678" spans="1:4">
      <c r="A11678" s="691"/>
      <c r="D11678" s="3"/>
    </row>
    <row r="11679" spans="1:4">
      <c r="A11679" s="691"/>
      <c r="D11679" s="3"/>
    </row>
    <row r="11680" spans="1:4">
      <c r="A11680" s="691"/>
      <c r="D11680" s="3"/>
    </row>
    <row r="11681" spans="1:4">
      <c r="A11681" s="691"/>
      <c r="D11681" s="3"/>
    </row>
    <row r="11682" spans="1:4">
      <c r="A11682" s="691"/>
      <c r="D11682" s="3"/>
    </row>
    <row r="11683" spans="1:4">
      <c r="A11683" s="691"/>
      <c r="D11683" s="3"/>
    </row>
    <row r="11684" spans="1:4">
      <c r="A11684" s="691"/>
      <c r="D11684" s="3"/>
    </row>
    <row r="11685" spans="1:4">
      <c r="A11685" s="691"/>
      <c r="D11685" s="3"/>
    </row>
    <row r="11686" spans="1:4">
      <c r="A11686" s="691"/>
      <c r="D11686" s="3"/>
    </row>
    <row r="11687" spans="1:4">
      <c r="A11687" s="691"/>
      <c r="D11687" s="3"/>
    </row>
    <row r="11688" spans="1:4">
      <c r="A11688" s="691"/>
      <c r="D11688" s="3"/>
    </row>
    <row r="11689" spans="1:4">
      <c r="A11689" s="691"/>
      <c r="D11689" s="3"/>
    </row>
    <row r="11690" spans="1:4">
      <c r="A11690" s="691"/>
      <c r="D11690" s="3"/>
    </row>
    <row r="11691" spans="1:4">
      <c r="A11691" s="691"/>
      <c r="D11691" s="3"/>
    </row>
    <row r="11692" spans="1:4">
      <c r="A11692" s="691"/>
      <c r="D11692" s="3"/>
    </row>
    <row r="11693" spans="1:4">
      <c r="A11693" s="691"/>
      <c r="D11693" s="3"/>
    </row>
    <row r="11694" spans="1:4">
      <c r="A11694" s="691"/>
      <c r="D11694" s="3"/>
    </row>
    <row r="11695" spans="1:4">
      <c r="A11695" s="691"/>
      <c r="D11695" s="3"/>
    </row>
    <row r="11696" spans="1:4">
      <c r="A11696" s="691"/>
      <c r="D11696" s="3"/>
    </row>
    <row r="11697" spans="1:4">
      <c r="A11697" s="691"/>
      <c r="D11697" s="3"/>
    </row>
    <row r="11698" spans="1:4">
      <c r="A11698" s="691"/>
      <c r="D11698" s="3"/>
    </row>
    <row r="11699" spans="1:4">
      <c r="A11699" s="691"/>
      <c r="D11699" s="3"/>
    </row>
    <row r="11700" spans="1:4">
      <c r="A11700" s="691"/>
      <c r="D11700" s="3"/>
    </row>
    <row r="11701" spans="1:4">
      <c r="A11701" s="691"/>
      <c r="D11701" s="3"/>
    </row>
    <row r="11702" spans="1:4">
      <c r="A11702" s="691"/>
      <c r="D11702" s="3"/>
    </row>
    <row r="11703" spans="1:4">
      <c r="A11703" s="691"/>
      <c r="D11703" s="3"/>
    </row>
    <row r="11704" spans="1:4">
      <c r="A11704" s="691"/>
      <c r="D11704" s="3"/>
    </row>
    <row r="11705" spans="1:4">
      <c r="A11705" s="691"/>
      <c r="D11705" s="3"/>
    </row>
    <row r="11706" spans="1:4">
      <c r="A11706" s="691"/>
      <c r="D11706" s="3"/>
    </row>
    <row r="11707" spans="1:4">
      <c r="A11707" s="691"/>
      <c r="D11707" s="3"/>
    </row>
    <row r="11708" spans="1:4">
      <c r="A11708" s="691"/>
      <c r="D11708" s="3"/>
    </row>
    <row r="11709" spans="1:4">
      <c r="A11709" s="691"/>
      <c r="D11709" s="3"/>
    </row>
    <row r="11710" spans="1:4">
      <c r="A11710" s="691"/>
      <c r="D11710" s="3"/>
    </row>
    <row r="11711" spans="1:4">
      <c r="A11711" s="691"/>
      <c r="D11711" s="3"/>
    </row>
    <row r="11712" spans="1:4">
      <c r="A11712" s="691"/>
      <c r="D11712" s="3"/>
    </row>
    <row r="11713" spans="1:4">
      <c r="A11713" s="691"/>
      <c r="D11713" s="3"/>
    </row>
    <row r="11714" spans="1:4">
      <c r="A11714" s="691"/>
      <c r="D11714" s="3"/>
    </row>
    <row r="11715" spans="1:4">
      <c r="A11715" s="691"/>
      <c r="D11715" s="3"/>
    </row>
    <row r="11716" spans="1:4">
      <c r="A11716" s="691"/>
      <c r="D11716" s="3"/>
    </row>
    <row r="11717" spans="1:4">
      <c r="A11717" s="691"/>
      <c r="D11717" s="3"/>
    </row>
    <row r="11718" spans="1:4">
      <c r="A11718" s="691"/>
      <c r="D11718" s="3"/>
    </row>
    <row r="11719" spans="1:4">
      <c r="A11719" s="691"/>
      <c r="D11719" s="3"/>
    </row>
    <row r="11720" spans="1:4">
      <c r="A11720" s="691"/>
      <c r="D11720" s="3"/>
    </row>
    <row r="11721" spans="1:4">
      <c r="A11721" s="691"/>
      <c r="D11721" s="3"/>
    </row>
    <row r="11722" spans="1:4">
      <c r="A11722" s="691"/>
      <c r="D11722" s="3"/>
    </row>
    <row r="11723" spans="1:4">
      <c r="A11723" s="691"/>
      <c r="D11723" s="3"/>
    </row>
    <row r="11724" spans="1:4">
      <c r="A11724" s="691"/>
      <c r="D11724" s="3"/>
    </row>
    <row r="11725" spans="1:4">
      <c r="A11725" s="691"/>
      <c r="D11725" s="3"/>
    </row>
    <row r="11726" spans="1:4">
      <c r="A11726" s="691"/>
      <c r="D11726" s="3"/>
    </row>
    <row r="11727" spans="1:4">
      <c r="A11727" s="691"/>
      <c r="D11727" s="3"/>
    </row>
    <row r="11728" spans="1:4">
      <c r="A11728" s="691"/>
      <c r="D11728" s="3"/>
    </row>
    <row r="11729" spans="1:4">
      <c r="A11729" s="691"/>
      <c r="D11729" s="3"/>
    </row>
    <row r="11730" spans="1:4">
      <c r="A11730" s="691"/>
      <c r="D11730" s="3"/>
    </row>
    <row r="11731" spans="1:4">
      <c r="A11731" s="691"/>
      <c r="D11731" s="3"/>
    </row>
    <row r="11732" spans="1:4">
      <c r="A11732" s="691"/>
      <c r="D11732" s="3"/>
    </row>
    <row r="11733" spans="1:4">
      <c r="A11733" s="691"/>
      <c r="D11733" s="3"/>
    </row>
    <row r="11734" spans="1:4">
      <c r="A11734" s="691"/>
      <c r="D11734" s="3"/>
    </row>
    <row r="11735" spans="1:4">
      <c r="A11735" s="691"/>
      <c r="D11735" s="3"/>
    </row>
    <row r="11736" spans="1:4">
      <c r="A11736" s="691"/>
      <c r="D11736" s="3"/>
    </row>
    <row r="11737" spans="1:4">
      <c r="A11737" s="691"/>
      <c r="D11737" s="3"/>
    </row>
    <row r="11738" spans="1:4">
      <c r="A11738" s="691"/>
      <c r="D11738" s="3"/>
    </row>
    <row r="11739" spans="1:4">
      <c r="A11739" s="691"/>
      <c r="D11739" s="3"/>
    </row>
    <row r="11740" spans="1:4">
      <c r="A11740" s="691"/>
      <c r="D11740" s="3"/>
    </row>
    <row r="11741" spans="1:4">
      <c r="A11741" s="691"/>
      <c r="D11741" s="3"/>
    </row>
    <row r="11742" spans="1:4">
      <c r="A11742" s="691"/>
      <c r="D11742" s="3"/>
    </row>
    <row r="11743" spans="1:4">
      <c r="A11743" s="691"/>
      <c r="D11743" s="3"/>
    </row>
    <row r="11744" spans="1:4">
      <c r="A11744" s="691"/>
      <c r="D11744" s="3"/>
    </row>
    <row r="11745" spans="1:4">
      <c r="A11745" s="691"/>
      <c r="D11745" s="3"/>
    </row>
    <row r="11746" spans="1:4">
      <c r="A11746" s="691"/>
      <c r="D11746" s="3"/>
    </row>
    <row r="11747" spans="1:4">
      <c r="A11747" s="691"/>
      <c r="D11747" s="3"/>
    </row>
    <row r="11748" spans="1:4">
      <c r="A11748" s="691"/>
      <c r="D11748" s="3"/>
    </row>
    <row r="11749" spans="1:4">
      <c r="A11749" s="691"/>
      <c r="D11749" s="3"/>
    </row>
    <row r="11750" spans="1:4">
      <c r="A11750" s="691"/>
      <c r="D11750" s="3"/>
    </row>
    <row r="11751" spans="1:4">
      <c r="A11751" s="691"/>
      <c r="D11751" s="3"/>
    </row>
    <row r="11752" spans="1:4">
      <c r="A11752" s="691"/>
      <c r="D11752" s="3"/>
    </row>
    <row r="11753" spans="1:4">
      <c r="A11753" s="691"/>
      <c r="D11753" s="3"/>
    </row>
    <row r="11754" spans="1:4">
      <c r="A11754" s="691"/>
      <c r="D11754" s="3"/>
    </row>
    <row r="11755" spans="1:4">
      <c r="A11755" s="691"/>
      <c r="D11755" s="3"/>
    </row>
    <row r="11756" spans="1:4">
      <c r="A11756" s="691"/>
      <c r="D11756" s="3"/>
    </row>
    <row r="11757" spans="1:4">
      <c r="A11757" s="691"/>
      <c r="D11757" s="3"/>
    </row>
    <row r="11758" spans="1:4">
      <c r="A11758" s="691"/>
      <c r="D11758" s="3"/>
    </row>
    <row r="11759" spans="1:4">
      <c r="A11759" s="691"/>
      <c r="D11759" s="3"/>
    </row>
    <row r="11760" spans="1:4">
      <c r="A11760" s="691"/>
      <c r="D11760" s="3"/>
    </row>
    <row r="11761" spans="1:4">
      <c r="A11761" s="691"/>
      <c r="D11761" s="3"/>
    </row>
    <row r="11762" spans="1:4">
      <c r="A11762" s="691"/>
      <c r="D11762" s="3"/>
    </row>
    <row r="11763" spans="1:4">
      <c r="A11763" s="691"/>
      <c r="D11763" s="3"/>
    </row>
    <row r="11764" spans="1:4">
      <c r="A11764" s="691"/>
      <c r="D11764" s="3"/>
    </row>
    <row r="11765" spans="1:4">
      <c r="A11765" s="691"/>
      <c r="D11765" s="3"/>
    </row>
    <row r="11766" spans="1:4">
      <c r="A11766" s="691"/>
      <c r="D11766" s="3"/>
    </row>
    <row r="11767" spans="1:4">
      <c r="A11767" s="691"/>
      <c r="D11767" s="3"/>
    </row>
    <row r="11768" spans="1:4">
      <c r="A11768" s="691"/>
      <c r="D11768" s="3"/>
    </row>
    <row r="11769" spans="1:4">
      <c r="A11769" s="691"/>
      <c r="D11769" s="3"/>
    </row>
    <row r="11770" spans="1:4">
      <c r="A11770" s="691"/>
      <c r="D11770" s="3"/>
    </row>
    <row r="11771" spans="1:4">
      <c r="A11771" s="691"/>
      <c r="D11771" s="3"/>
    </row>
    <row r="11772" spans="1:4">
      <c r="A11772" s="691"/>
      <c r="D11772" s="3"/>
    </row>
    <row r="11773" spans="1:4">
      <c r="A11773" s="691"/>
      <c r="D11773" s="3"/>
    </row>
    <row r="11774" spans="1:4">
      <c r="A11774" s="691"/>
      <c r="D11774" s="3"/>
    </row>
    <row r="11775" spans="1:4">
      <c r="A11775" s="691"/>
      <c r="D11775" s="3"/>
    </row>
    <row r="11776" spans="1:4">
      <c r="A11776" s="691"/>
      <c r="D11776" s="3"/>
    </row>
    <row r="11777" spans="1:4">
      <c r="A11777" s="691"/>
      <c r="D11777" s="3"/>
    </row>
    <row r="11778" spans="1:4">
      <c r="A11778" s="691"/>
      <c r="D11778" s="3"/>
    </row>
    <row r="11779" spans="1:4">
      <c r="A11779" s="691"/>
      <c r="D11779" s="3"/>
    </row>
    <row r="11780" spans="1:4">
      <c r="A11780" s="691"/>
      <c r="D11780" s="3"/>
    </row>
    <row r="11781" spans="1:4">
      <c r="A11781" s="691"/>
      <c r="D11781" s="3"/>
    </row>
    <row r="11782" spans="1:4">
      <c r="A11782" s="691"/>
      <c r="D11782" s="3"/>
    </row>
    <row r="11783" spans="1:4">
      <c r="A11783" s="691"/>
      <c r="D11783" s="3"/>
    </row>
    <row r="11784" spans="1:4">
      <c r="A11784" s="691"/>
      <c r="D11784" s="3"/>
    </row>
    <row r="11785" spans="1:4">
      <c r="A11785" s="691"/>
      <c r="D11785" s="3"/>
    </row>
    <row r="11786" spans="1:4">
      <c r="A11786" s="691"/>
      <c r="D11786" s="3"/>
    </row>
    <row r="11787" spans="1:4">
      <c r="A11787" s="691"/>
      <c r="D11787" s="3"/>
    </row>
    <row r="11788" spans="1:4">
      <c r="A11788" s="691"/>
      <c r="D11788" s="3"/>
    </row>
    <row r="11789" spans="1:4">
      <c r="A11789" s="691"/>
      <c r="D11789" s="3"/>
    </row>
    <row r="11790" spans="1:4">
      <c r="A11790" s="691"/>
      <c r="D11790" s="3"/>
    </row>
    <row r="11791" spans="1:4">
      <c r="A11791" s="691"/>
      <c r="D11791" s="3"/>
    </row>
    <row r="11792" spans="1:4">
      <c r="A11792" s="691"/>
      <c r="D11792" s="3"/>
    </row>
    <row r="11793" spans="1:4">
      <c r="A11793" s="691"/>
      <c r="D11793" s="3"/>
    </row>
    <row r="11794" spans="1:4">
      <c r="A11794" s="691"/>
      <c r="D11794" s="3"/>
    </row>
    <row r="11795" spans="1:4">
      <c r="A11795" s="691"/>
      <c r="D11795" s="3"/>
    </row>
    <row r="11796" spans="1:4">
      <c r="A11796" s="691"/>
      <c r="D11796" s="3"/>
    </row>
    <row r="11797" spans="1:4">
      <c r="A11797" s="691"/>
      <c r="D11797" s="3"/>
    </row>
    <row r="11798" spans="1:4">
      <c r="A11798" s="691"/>
      <c r="D11798" s="3"/>
    </row>
    <row r="11799" spans="1:4">
      <c r="A11799" s="691"/>
      <c r="D11799" s="3"/>
    </row>
    <row r="11800" spans="1:4">
      <c r="A11800" s="691"/>
      <c r="D11800" s="3"/>
    </row>
    <row r="11801" spans="1:4">
      <c r="A11801" s="691"/>
      <c r="D11801" s="3"/>
    </row>
    <row r="11802" spans="1:4">
      <c r="A11802" s="691"/>
      <c r="D11802" s="3"/>
    </row>
    <row r="11803" spans="1:4">
      <c r="A11803" s="691"/>
      <c r="D11803" s="3"/>
    </row>
    <row r="11804" spans="1:4">
      <c r="A11804" s="691"/>
      <c r="D11804" s="3"/>
    </row>
    <row r="11805" spans="1:4">
      <c r="A11805" s="691"/>
      <c r="D11805" s="3"/>
    </row>
    <row r="11806" spans="1:4">
      <c r="A11806" s="691"/>
      <c r="D11806" s="3"/>
    </row>
    <row r="11807" spans="1:4">
      <c r="A11807" s="691"/>
      <c r="D11807" s="3"/>
    </row>
    <row r="11808" spans="1:4">
      <c r="A11808" s="691"/>
      <c r="D11808" s="3"/>
    </row>
    <row r="11809" spans="1:4">
      <c r="A11809" s="691"/>
      <c r="D11809" s="3"/>
    </row>
    <row r="11810" spans="1:4">
      <c r="A11810" s="691"/>
      <c r="D11810" s="3"/>
    </row>
    <row r="11811" spans="1:4">
      <c r="A11811" s="691"/>
      <c r="D11811" s="3"/>
    </row>
    <row r="11812" spans="1:4">
      <c r="A11812" s="691"/>
      <c r="D11812" s="3"/>
    </row>
    <row r="11813" spans="1:4">
      <c r="A11813" s="691"/>
      <c r="D11813" s="3"/>
    </row>
    <row r="11814" spans="1:4">
      <c r="A11814" s="691"/>
      <c r="D11814" s="3"/>
    </row>
    <row r="11815" spans="1:4">
      <c r="A11815" s="691"/>
      <c r="D11815" s="3"/>
    </row>
    <row r="11816" spans="1:4">
      <c r="A11816" s="691"/>
      <c r="D11816" s="3"/>
    </row>
    <row r="11817" spans="1:4">
      <c r="A11817" s="691"/>
      <c r="D11817" s="3"/>
    </row>
    <row r="11818" spans="1:4">
      <c r="A11818" s="691"/>
      <c r="D11818" s="3"/>
    </row>
    <row r="11819" spans="1:4">
      <c r="A11819" s="691"/>
      <c r="D11819" s="3"/>
    </row>
    <row r="11820" spans="1:4">
      <c r="A11820" s="691"/>
      <c r="D11820" s="3"/>
    </row>
    <row r="11821" spans="1:4">
      <c r="A11821" s="691"/>
      <c r="D11821" s="3"/>
    </row>
    <row r="11822" spans="1:4">
      <c r="A11822" s="691"/>
      <c r="D11822" s="3"/>
    </row>
    <row r="11823" spans="1:4">
      <c r="A11823" s="691"/>
      <c r="D11823" s="3"/>
    </row>
    <row r="11824" spans="1:4">
      <c r="A11824" s="691"/>
      <c r="D11824" s="3"/>
    </row>
    <row r="11825" spans="1:4">
      <c r="A11825" s="691"/>
      <c r="D11825" s="3"/>
    </row>
    <row r="11826" spans="1:4">
      <c r="A11826" s="691"/>
      <c r="D11826" s="3"/>
    </row>
    <row r="11827" spans="1:4">
      <c r="A11827" s="691"/>
      <c r="D11827" s="3"/>
    </row>
    <row r="11828" spans="1:4">
      <c r="A11828" s="691"/>
      <c r="D11828" s="3"/>
    </row>
    <row r="11829" spans="1:4">
      <c r="A11829" s="691"/>
      <c r="D11829" s="3"/>
    </row>
    <row r="11830" spans="1:4">
      <c r="A11830" s="691"/>
      <c r="D11830" s="3"/>
    </row>
    <row r="11831" spans="1:4">
      <c r="A11831" s="691"/>
      <c r="D11831" s="3"/>
    </row>
    <row r="11832" spans="1:4">
      <c r="A11832" s="691"/>
      <c r="D11832" s="3"/>
    </row>
    <row r="11833" spans="1:4">
      <c r="A11833" s="691"/>
      <c r="D11833" s="3"/>
    </row>
    <row r="11834" spans="1:4">
      <c r="A11834" s="691"/>
      <c r="D11834" s="3"/>
    </row>
    <row r="11835" spans="1:4">
      <c r="A11835" s="691"/>
      <c r="D11835" s="3"/>
    </row>
    <row r="11836" spans="1:4">
      <c r="A11836" s="691"/>
      <c r="D11836" s="3"/>
    </row>
    <row r="11837" spans="1:4">
      <c r="A11837" s="691"/>
      <c r="D11837" s="3"/>
    </row>
    <row r="11838" spans="1:4">
      <c r="A11838" s="691"/>
      <c r="D11838" s="3"/>
    </row>
    <row r="11839" spans="1:4">
      <c r="A11839" s="691"/>
      <c r="D11839" s="3"/>
    </row>
    <row r="11840" spans="1:4">
      <c r="A11840" s="691"/>
      <c r="D11840" s="3"/>
    </row>
    <row r="11841" spans="1:4">
      <c r="A11841" s="691"/>
      <c r="D11841" s="3"/>
    </row>
    <row r="11842" spans="1:4">
      <c r="A11842" s="691"/>
      <c r="D11842" s="3"/>
    </row>
    <row r="11843" spans="1:4">
      <c r="A11843" s="691"/>
      <c r="D11843" s="3"/>
    </row>
    <row r="11844" spans="1:4">
      <c r="A11844" s="691"/>
      <c r="D11844" s="3"/>
    </row>
    <row r="11845" spans="1:4">
      <c r="A11845" s="691"/>
      <c r="D11845" s="3"/>
    </row>
    <row r="11846" spans="1:4">
      <c r="A11846" s="691"/>
      <c r="D11846" s="3"/>
    </row>
    <row r="11847" spans="1:4">
      <c r="A11847" s="691"/>
      <c r="D11847" s="3"/>
    </row>
    <row r="11848" spans="1:4">
      <c r="A11848" s="691"/>
      <c r="D11848" s="3"/>
    </row>
    <row r="11849" spans="1:4">
      <c r="A11849" s="691"/>
      <c r="D11849" s="3"/>
    </row>
    <row r="11850" spans="1:4">
      <c r="A11850" s="691"/>
      <c r="D11850" s="3"/>
    </row>
    <row r="11851" spans="1:4">
      <c r="A11851" s="691"/>
      <c r="D11851" s="3"/>
    </row>
    <row r="11852" spans="1:4">
      <c r="A11852" s="691"/>
      <c r="D11852" s="3"/>
    </row>
    <row r="11853" spans="1:4">
      <c r="A11853" s="691"/>
      <c r="D11853" s="3"/>
    </row>
    <row r="11854" spans="1:4">
      <c r="A11854" s="691"/>
      <c r="D11854" s="3"/>
    </row>
    <row r="11855" spans="1:4">
      <c r="A11855" s="691"/>
      <c r="D11855" s="3"/>
    </row>
    <row r="11856" spans="1:4">
      <c r="A11856" s="691"/>
      <c r="D11856" s="3"/>
    </row>
    <row r="11857" spans="1:4">
      <c r="A11857" s="691"/>
      <c r="D11857" s="3"/>
    </row>
    <row r="11858" spans="1:4">
      <c r="A11858" s="691"/>
      <c r="D11858" s="3"/>
    </row>
    <row r="11859" spans="1:4">
      <c r="A11859" s="691"/>
      <c r="D11859" s="3"/>
    </row>
    <row r="11860" spans="1:4">
      <c r="A11860" s="691"/>
      <c r="D11860" s="3"/>
    </row>
    <row r="11861" spans="1:4">
      <c r="A11861" s="691"/>
      <c r="D11861" s="3"/>
    </row>
    <row r="11862" spans="1:4">
      <c r="A11862" s="691"/>
      <c r="D11862" s="3"/>
    </row>
    <row r="11863" spans="1:4">
      <c r="A11863" s="691"/>
      <c r="D11863" s="3"/>
    </row>
    <row r="11864" spans="1:4">
      <c r="A11864" s="691"/>
      <c r="D11864" s="3"/>
    </row>
    <row r="11865" spans="1:4">
      <c r="A11865" s="691"/>
      <c r="D11865" s="3"/>
    </row>
    <row r="11866" spans="1:4">
      <c r="A11866" s="691"/>
      <c r="D11866" s="3"/>
    </row>
    <row r="11867" spans="1:4">
      <c r="A11867" s="691"/>
      <c r="D11867" s="3"/>
    </row>
    <row r="11868" spans="1:4">
      <c r="A11868" s="691"/>
      <c r="D11868" s="3"/>
    </row>
    <row r="11869" spans="1:4">
      <c r="A11869" s="691"/>
      <c r="D11869" s="3"/>
    </row>
    <row r="11870" spans="1:4">
      <c r="A11870" s="691"/>
      <c r="D11870" s="3"/>
    </row>
    <row r="11871" spans="1:4">
      <c r="A11871" s="691"/>
      <c r="D11871" s="3"/>
    </row>
    <row r="11872" spans="1:4">
      <c r="A11872" s="691"/>
      <c r="D11872" s="3"/>
    </row>
    <row r="11873" spans="1:4">
      <c r="A11873" s="691"/>
      <c r="D11873" s="3"/>
    </row>
    <row r="11874" spans="1:4">
      <c r="A11874" s="691"/>
      <c r="D11874" s="3"/>
    </row>
    <row r="11875" spans="1:4">
      <c r="A11875" s="691"/>
      <c r="D11875" s="3"/>
    </row>
    <row r="11876" spans="1:4">
      <c r="A11876" s="691"/>
      <c r="D11876" s="3"/>
    </row>
    <row r="11877" spans="1:4">
      <c r="A11877" s="691"/>
      <c r="D11877" s="3"/>
    </row>
    <row r="11878" spans="1:4">
      <c r="A11878" s="691"/>
      <c r="D11878" s="3"/>
    </row>
    <row r="11879" spans="1:4">
      <c r="A11879" s="691"/>
      <c r="D11879" s="3"/>
    </row>
    <row r="11880" spans="1:4">
      <c r="A11880" s="691"/>
      <c r="D11880" s="3"/>
    </row>
    <row r="11881" spans="1:4">
      <c r="A11881" s="691"/>
      <c r="D11881" s="3"/>
    </row>
    <row r="11882" spans="1:4">
      <c r="A11882" s="691"/>
      <c r="D11882" s="3"/>
    </row>
    <row r="11883" spans="1:4">
      <c r="A11883" s="691"/>
      <c r="D11883" s="3"/>
    </row>
    <row r="11884" spans="1:4">
      <c r="A11884" s="691"/>
      <c r="D11884" s="3"/>
    </row>
    <row r="11885" spans="1:4">
      <c r="A11885" s="691"/>
      <c r="D11885" s="3"/>
    </row>
    <row r="11886" spans="1:4">
      <c r="A11886" s="691"/>
      <c r="D11886" s="3"/>
    </row>
    <row r="11887" spans="1:4">
      <c r="A11887" s="691"/>
      <c r="D11887" s="3"/>
    </row>
    <row r="11888" spans="1:4">
      <c r="A11888" s="691"/>
      <c r="D11888" s="3"/>
    </row>
    <row r="11889" spans="1:4">
      <c r="A11889" s="691"/>
      <c r="D11889" s="3"/>
    </row>
    <row r="11890" spans="1:4">
      <c r="A11890" s="691"/>
      <c r="D11890" s="3"/>
    </row>
    <row r="11891" spans="1:4">
      <c r="A11891" s="691"/>
      <c r="D11891" s="3"/>
    </row>
    <row r="11892" spans="1:4">
      <c r="A11892" s="691"/>
      <c r="D11892" s="3"/>
    </row>
    <row r="11893" spans="1:4">
      <c r="A11893" s="691"/>
      <c r="D11893" s="3"/>
    </row>
    <row r="11894" spans="1:4">
      <c r="A11894" s="691"/>
      <c r="D11894" s="3"/>
    </row>
    <row r="11895" spans="1:4">
      <c r="A11895" s="691"/>
      <c r="D11895" s="3"/>
    </row>
    <row r="11896" spans="1:4">
      <c r="A11896" s="691"/>
      <c r="D11896" s="3"/>
    </row>
    <row r="11897" spans="1:4">
      <c r="A11897" s="691"/>
      <c r="D11897" s="3"/>
    </row>
    <row r="11898" spans="1:4">
      <c r="A11898" s="691"/>
      <c r="D11898" s="3"/>
    </row>
    <row r="11899" spans="1:4">
      <c r="A11899" s="691"/>
      <c r="D11899" s="3"/>
    </row>
    <row r="11900" spans="1:4">
      <c r="A11900" s="691"/>
      <c r="D11900" s="3"/>
    </row>
    <row r="11901" spans="1:4">
      <c r="A11901" s="691"/>
      <c r="D11901" s="3"/>
    </row>
    <row r="11902" spans="1:4">
      <c r="A11902" s="691"/>
      <c r="D11902" s="3"/>
    </row>
    <row r="11903" spans="1:4">
      <c r="A11903" s="691"/>
      <c r="D11903" s="3"/>
    </row>
    <row r="11904" spans="1:4">
      <c r="A11904" s="691"/>
      <c r="D11904" s="3"/>
    </row>
    <row r="11905" spans="1:4">
      <c r="A11905" s="691"/>
      <c r="D11905" s="3"/>
    </row>
    <row r="11906" spans="1:4">
      <c r="A11906" s="691"/>
      <c r="D11906" s="3"/>
    </row>
    <row r="11907" spans="1:4">
      <c r="A11907" s="691"/>
      <c r="D11907" s="3"/>
    </row>
    <row r="11908" spans="1:4">
      <c r="A11908" s="691"/>
      <c r="D11908" s="3"/>
    </row>
    <row r="11909" spans="1:4">
      <c r="A11909" s="691"/>
      <c r="D11909" s="3"/>
    </row>
    <row r="11910" spans="1:4">
      <c r="A11910" s="691"/>
      <c r="D11910" s="3"/>
    </row>
    <row r="11911" spans="1:4">
      <c r="A11911" s="691"/>
      <c r="D11911" s="3"/>
    </row>
    <row r="11912" spans="1:4">
      <c r="A11912" s="691"/>
      <c r="D11912" s="3"/>
    </row>
    <row r="11913" spans="1:4">
      <c r="A11913" s="691"/>
      <c r="D11913" s="3"/>
    </row>
    <row r="11914" spans="1:4">
      <c r="A11914" s="691"/>
      <c r="D11914" s="3"/>
    </row>
    <row r="11915" spans="1:4">
      <c r="A11915" s="691"/>
      <c r="D11915" s="3"/>
    </row>
    <row r="11916" spans="1:4">
      <c r="A11916" s="691"/>
      <c r="D11916" s="3"/>
    </row>
    <row r="11917" spans="1:4">
      <c r="A11917" s="691"/>
      <c r="D11917" s="3"/>
    </row>
    <row r="11918" spans="1:4">
      <c r="A11918" s="691"/>
      <c r="D11918" s="3"/>
    </row>
    <row r="11919" spans="1:4">
      <c r="A11919" s="691"/>
      <c r="D11919" s="3"/>
    </row>
    <row r="11920" spans="1:4">
      <c r="A11920" s="691"/>
      <c r="D11920" s="3"/>
    </row>
    <row r="11921" spans="1:4">
      <c r="A11921" s="691"/>
      <c r="D11921" s="3"/>
    </row>
    <row r="11922" spans="1:4">
      <c r="A11922" s="691"/>
      <c r="D11922" s="3"/>
    </row>
    <row r="11923" spans="1:4">
      <c r="A11923" s="691"/>
      <c r="D11923" s="3"/>
    </row>
    <row r="11924" spans="1:4">
      <c r="A11924" s="691"/>
      <c r="D11924" s="3"/>
    </row>
    <row r="11925" spans="1:4">
      <c r="A11925" s="691"/>
      <c r="D11925" s="3"/>
    </row>
    <row r="11926" spans="1:4">
      <c r="A11926" s="691"/>
      <c r="D11926" s="3"/>
    </row>
    <row r="11927" spans="1:4">
      <c r="A11927" s="691"/>
      <c r="D11927" s="3"/>
    </row>
    <row r="11928" spans="1:4">
      <c r="A11928" s="691"/>
      <c r="D11928" s="3"/>
    </row>
    <row r="11929" spans="1:4">
      <c r="A11929" s="691"/>
      <c r="D11929" s="3"/>
    </row>
    <row r="11930" spans="1:4">
      <c r="A11930" s="691"/>
      <c r="D11930" s="3"/>
    </row>
    <row r="11931" spans="1:4">
      <c r="A11931" s="691"/>
      <c r="D11931" s="3"/>
    </row>
    <row r="11932" spans="1:4">
      <c r="A11932" s="691"/>
      <c r="D11932" s="3"/>
    </row>
    <row r="11933" spans="1:4">
      <c r="A11933" s="691"/>
      <c r="D11933" s="3"/>
    </row>
    <row r="11934" spans="1:4">
      <c r="A11934" s="691"/>
      <c r="D11934" s="3"/>
    </row>
    <row r="11935" spans="1:4">
      <c r="A11935" s="691"/>
      <c r="D11935" s="3"/>
    </row>
    <row r="11936" spans="1:4">
      <c r="A11936" s="691"/>
      <c r="D11936" s="3"/>
    </row>
    <row r="11937" spans="1:4">
      <c r="A11937" s="691"/>
      <c r="D11937" s="3"/>
    </row>
    <row r="11938" spans="1:4">
      <c r="A11938" s="691"/>
      <c r="D11938" s="3"/>
    </row>
    <row r="11939" spans="1:4">
      <c r="A11939" s="691"/>
      <c r="D11939" s="3"/>
    </row>
    <row r="11940" spans="1:4">
      <c r="A11940" s="691"/>
      <c r="D11940" s="3"/>
    </row>
    <row r="11941" spans="1:4">
      <c r="A11941" s="691"/>
      <c r="D11941" s="3"/>
    </row>
    <row r="11942" spans="1:4">
      <c r="A11942" s="691"/>
      <c r="D11942" s="3"/>
    </row>
    <row r="11943" spans="1:4">
      <c r="A11943" s="691"/>
      <c r="D11943" s="3"/>
    </row>
    <row r="11944" spans="1:4">
      <c r="A11944" s="691"/>
      <c r="D11944" s="3"/>
    </row>
    <row r="11945" spans="1:4">
      <c r="A11945" s="691"/>
      <c r="D11945" s="3"/>
    </row>
    <row r="11946" spans="1:4">
      <c r="A11946" s="691"/>
      <c r="D11946" s="3"/>
    </row>
    <row r="11947" spans="1:4">
      <c r="A11947" s="691"/>
      <c r="D11947" s="3"/>
    </row>
    <row r="11948" spans="1:4">
      <c r="A11948" s="691"/>
      <c r="D11948" s="3"/>
    </row>
    <row r="11949" spans="1:4">
      <c r="A11949" s="691"/>
      <c r="D11949" s="3"/>
    </row>
    <row r="11950" spans="1:4">
      <c r="A11950" s="691"/>
      <c r="D11950" s="3"/>
    </row>
    <row r="11951" spans="1:4">
      <c r="A11951" s="691"/>
      <c r="D11951" s="3"/>
    </row>
    <row r="11952" spans="1:4">
      <c r="A11952" s="691"/>
      <c r="D11952" s="3"/>
    </row>
    <row r="11953" spans="1:4">
      <c r="A11953" s="691"/>
      <c r="D11953" s="3"/>
    </row>
    <row r="11954" spans="1:4">
      <c r="A11954" s="691"/>
      <c r="D11954" s="3"/>
    </row>
    <row r="11955" spans="1:4">
      <c r="A11955" s="691"/>
      <c r="D11955" s="3"/>
    </row>
    <row r="11956" spans="1:4">
      <c r="A11956" s="691"/>
      <c r="D11956" s="3"/>
    </row>
    <row r="11957" spans="1:4">
      <c r="A11957" s="691"/>
      <c r="D11957" s="3"/>
    </row>
    <row r="11958" spans="1:4">
      <c r="A11958" s="691"/>
      <c r="D11958" s="3"/>
    </row>
    <row r="11959" spans="1:4">
      <c r="A11959" s="691"/>
      <c r="D11959" s="3"/>
    </row>
    <row r="11960" spans="1:4">
      <c r="A11960" s="691"/>
      <c r="D11960" s="3"/>
    </row>
    <row r="11961" spans="1:4">
      <c r="A11961" s="691"/>
      <c r="D11961" s="3"/>
    </row>
    <row r="11962" spans="1:4">
      <c r="A11962" s="691"/>
      <c r="D11962" s="3"/>
    </row>
    <row r="11963" spans="1:4">
      <c r="A11963" s="691"/>
      <c r="D11963" s="3"/>
    </row>
    <row r="11964" spans="1:4">
      <c r="A11964" s="691"/>
      <c r="D11964" s="3"/>
    </row>
    <row r="11965" spans="1:4">
      <c r="A11965" s="691"/>
      <c r="D11965" s="3"/>
    </row>
    <row r="11966" spans="1:4">
      <c r="A11966" s="691"/>
      <c r="D11966" s="3"/>
    </row>
    <row r="11967" spans="1:4">
      <c r="A11967" s="691"/>
      <c r="D11967" s="3"/>
    </row>
    <row r="11968" spans="1:4">
      <c r="A11968" s="691"/>
      <c r="D11968" s="3"/>
    </row>
    <row r="11969" spans="1:4">
      <c r="A11969" s="691"/>
      <c r="D11969" s="3"/>
    </row>
    <row r="11970" spans="1:4">
      <c r="A11970" s="691"/>
      <c r="D11970" s="3"/>
    </row>
    <row r="11971" spans="1:4">
      <c r="A11971" s="691"/>
      <c r="D11971" s="3"/>
    </row>
    <row r="11972" spans="1:4">
      <c r="A11972" s="691"/>
      <c r="D11972" s="3"/>
    </row>
    <row r="11973" spans="1:4">
      <c r="A11973" s="691"/>
      <c r="D11973" s="3"/>
    </row>
    <row r="11974" spans="1:4">
      <c r="A11974" s="691"/>
      <c r="D11974" s="3"/>
    </row>
    <row r="11975" spans="1:4">
      <c r="A11975" s="691"/>
      <c r="D11975" s="3"/>
    </row>
    <row r="11976" spans="1:4">
      <c r="A11976" s="691"/>
      <c r="D11976" s="3"/>
    </row>
    <row r="11977" spans="1:4">
      <c r="A11977" s="691"/>
      <c r="D11977" s="3"/>
    </row>
    <row r="11978" spans="1:4">
      <c r="A11978" s="691"/>
      <c r="D11978" s="3"/>
    </row>
    <row r="11979" spans="1:4">
      <c r="A11979" s="691"/>
      <c r="D11979" s="3"/>
    </row>
    <row r="11980" spans="1:4">
      <c r="A11980" s="691"/>
      <c r="D11980" s="3"/>
    </row>
    <row r="11981" spans="1:4">
      <c r="A11981" s="691"/>
      <c r="D11981" s="3"/>
    </row>
    <row r="11982" spans="1:4">
      <c r="A11982" s="691"/>
      <c r="D11982" s="3"/>
    </row>
    <row r="11983" spans="1:4">
      <c r="A11983" s="691"/>
      <c r="D11983" s="3"/>
    </row>
    <row r="11984" spans="1:4">
      <c r="A11984" s="691"/>
      <c r="D11984" s="3"/>
    </row>
    <row r="11985" spans="1:4">
      <c r="A11985" s="691"/>
      <c r="D11985" s="3"/>
    </row>
    <row r="11986" spans="1:4">
      <c r="A11986" s="691"/>
      <c r="D11986" s="3"/>
    </row>
    <row r="11987" spans="1:4">
      <c r="A11987" s="691"/>
      <c r="D11987" s="3"/>
    </row>
    <row r="11988" spans="1:4">
      <c r="A11988" s="691"/>
      <c r="D11988" s="3"/>
    </row>
    <row r="11989" spans="1:4">
      <c r="A11989" s="691"/>
      <c r="D11989" s="3"/>
    </row>
    <row r="11990" spans="1:4">
      <c r="A11990" s="691"/>
      <c r="D11990" s="3"/>
    </row>
    <row r="11991" spans="1:4">
      <c r="A11991" s="691"/>
      <c r="D11991" s="3"/>
    </row>
    <row r="11992" spans="1:4">
      <c r="A11992" s="691"/>
      <c r="D11992" s="3"/>
    </row>
    <row r="11993" spans="1:4">
      <c r="A11993" s="691"/>
      <c r="D11993" s="3"/>
    </row>
    <row r="11994" spans="1:4">
      <c r="A11994" s="691"/>
      <c r="D11994" s="3"/>
    </row>
    <row r="11995" spans="1:4">
      <c r="A11995" s="691"/>
      <c r="D11995" s="3"/>
    </row>
    <row r="11996" spans="1:4">
      <c r="A11996" s="691"/>
      <c r="D11996" s="3"/>
    </row>
    <row r="11997" spans="1:4">
      <c r="A11997" s="691"/>
      <c r="D11997" s="3"/>
    </row>
    <row r="11998" spans="1:4">
      <c r="A11998" s="691"/>
      <c r="D11998" s="3"/>
    </row>
    <row r="11999" spans="1:4">
      <c r="A11999" s="691"/>
      <c r="D11999" s="3"/>
    </row>
    <row r="12000" spans="1:4">
      <c r="A12000" s="691"/>
      <c r="D12000" s="3"/>
    </row>
    <row r="12001" spans="1:4">
      <c r="A12001" s="691"/>
      <c r="D12001" s="3"/>
    </row>
    <row r="12002" spans="1:4">
      <c r="A12002" s="691"/>
      <c r="D12002" s="3"/>
    </row>
    <row r="12003" spans="1:4">
      <c r="A12003" s="691"/>
      <c r="D12003" s="3"/>
    </row>
    <row r="12004" spans="1:4">
      <c r="A12004" s="691"/>
      <c r="D12004" s="3"/>
    </row>
    <row r="12005" spans="1:4">
      <c r="A12005" s="691"/>
      <c r="D12005" s="3"/>
    </row>
    <row r="12006" spans="1:4">
      <c r="A12006" s="691"/>
      <c r="D12006" s="3"/>
    </row>
    <row r="12007" spans="1:4">
      <c r="A12007" s="691"/>
      <c r="D12007" s="3"/>
    </row>
    <row r="12008" spans="1:4">
      <c r="A12008" s="691"/>
      <c r="D12008" s="3"/>
    </row>
    <row r="12009" spans="1:4">
      <c r="A12009" s="691"/>
      <c r="D12009" s="3"/>
    </row>
    <row r="12010" spans="1:4">
      <c r="A12010" s="691"/>
      <c r="D12010" s="3"/>
    </row>
    <row r="12011" spans="1:4">
      <c r="A12011" s="691"/>
      <c r="D12011" s="3"/>
    </row>
    <row r="12012" spans="1:4">
      <c r="A12012" s="691"/>
      <c r="D12012" s="3"/>
    </row>
    <row r="12013" spans="1:4">
      <c r="A12013" s="691"/>
      <c r="D12013" s="3"/>
    </row>
    <row r="12014" spans="1:4">
      <c r="A12014" s="691"/>
      <c r="D12014" s="3"/>
    </row>
    <row r="12015" spans="1:4">
      <c r="A12015" s="691"/>
      <c r="D12015" s="3"/>
    </row>
    <row r="12016" spans="1:4">
      <c r="A12016" s="691"/>
      <c r="D12016" s="3"/>
    </row>
    <row r="12017" spans="1:4">
      <c r="A12017" s="691"/>
      <c r="D12017" s="3"/>
    </row>
    <row r="12018" spans="1:4">
      <c r="A12018" s="691"/>
      <c r="D12018" s="3"/>
    </row>
    <row r="12019" spans="1:4">
      <c r="A12019" s="691"/>
      <c r="D12019" s="3"/>
    </row>
    <row r="12020" spans="1:4">
      <c r="A12020" s="691"/>
      <c r="D12020" s="3"/>
    </row>
    <row r="12021" spans="1:4">
      <c r="A12021" s="691"/>
      <c r="D12021" s="3"/>
    </row>
    <row r="12022" spans="1:4">
      <c r="A12022" s="691"/>
      <c r="D12022" s="3"/>
    </row>
    <row r="12023" spans="1:4">
      <c r="A12023" s="691"/>
      <c r="D12023" s="3"/>
    </row>
    <row r="12024" spans="1:4">
      <c r="A12024" s="691"/>
      <c r="D12024" s="3"/>
    </row>
    <row r="12025" spans="1:4">
      <c r="A12025" s="691"/>
      <c r="D12025" s="3"/>
    </row>
    <row r="12026" spans="1:4">
      <c r="A12026" s="691"/>
      <c r="D12026" s="3"/>
    </row>
    <row r="12027" spans="1:4">
      <c r="A12027" s="691"/>
      <c r="D12027" s="3"/>
    </row>
    <row r="12028" spans="1:4">
      <c r="A12028" s="691"/>
      <c r="D12028" s="3"/>
    </row>
    <row r="12029" spans="1:4">
      <c r="A12029" s="691"/>
      <c r="D12029" s="3"/>
    </row>
    <row r="12030" spans="1:4">
      <c r="A12030" s="691"/>
      <c r="D12030" s="3"/>
    </row>
    <row r="12031" spans="1:4">
      <c r="A12031" s="691"/>
      <c r="D12031" s="3"/>
    </row>
    <row r="12032" spans="1:4">
      <c r="A12032" s="691"/>
      <c r="D12032" s="3"/>
    </row>
    <row r="12033" spans="1:4">
      <c r="A12033" s="691"/>
      <c r="D12033" s="3"/>
    </row>
    <row r="12034" spans="1:4">
      <c r="A12034" s="691"/>
      <c r="D12034" s="3"/>
    </row>
    <row r="12035" spans="1:4">
      <c r="A12035" s="691"/>
      <c r="D12035" s="3"/>
    </row>
    <row r="12036" spans="1:4">
      <c r="A12036" s="691"/>
      <c r="D12036" s="3"/>
    </row>
    <row r="12037" spans="1:4">
      <c r="A12037" s="691"/>
      <c r="D12037" s="3"/>
    </row>
    <row r="12038" spans="1:4">
      <c r="A12038" s="691"/>
      <c r="D12038" s="3"/>
    </row>
    <row r="12039" spans="1:4">
      <c r="A12039" s="691"/>
      <c r="D12039" s="3"/>
    </row>
    <row r="12040" spans="1:4">
      <c r="A12040" s="691"/>
      <c r="D12040" s="3"/>
    </row>
    <row r="12041" spans="1:4">
      <c r="A12041" s="691"/>
      <c r="D12041" s="3"/>
    </row>
    <row r="12042" spans="1:4">
      <c r="A12042" s="691"/>
      <c r="D12042" s="3"/>
    </row>
    <row r="12043" spans="1:4">
      <c r="A12043" s="691"/>
      <c r="D12043" s="3"/>
    </row>
    <row r="12044" spans="1:4">
      <c r="A12044" s="691"/>
      <c r="D12044" s="3"/>
    </row>
    <row r="12045" spans="1:4">
      <c r="A12045" s="691"/>
      <c r="D12045" s="3"/>
    </row>
    <row r="12046" spans="1:4">
      <c r="A12046" s="691"/>
      <c r="D12046" s="3"/>
    </row>
    <row r="12047" spans="1:4">
      <c r="A12047" s="691"/>
      <c r="D12047" s="3"/>
    </row>
    <row r="12048" spans="1:4">
      <c r="A12048" s="691"/>
      <c r="D12048" s="3"/>
    </row>
    <row r="12049" spans="1:4">
      <c r="A12049" s="691"/>
      <c r="D12049" s="3"/>
    </row>
    <row r="12050" spans="1:4">
      <c r="A12050" s="691"/>
      <c r="D12050" s="3"/>
    </row>
    <row r="12051" spans="1:4">
      <c r="A12051" s="691"/>
      <c r="D12051" s="3"/>
    </row>
    <row r="12052" spans="1:4">
      <c r="A12052" s="691"/>
      <c r="D12052" s="3"/>
    </row>
    <row r="12053" spans="1:4">
      <c r="A12053" s="691"/>
      <c r="D12053" s="3"/>
    </row>
    <row r="12054" spans="1:4">
      <c r="A12054" s="691"/>
      <c r="D12054" s="3"/>
    </row>
    <row r="12055" spans="1:4">
      <c r="A12055" s="691"/>
      <c r="D12055" s="3"/>
    </row>
    <row r="12056" spans="1:4">
      <c r="A12056" s="691"/>
      <c r="D12056" s="3"/>
    </row>
    <row r="12057" spans="1:4">
      <c r="A12057" s="691"/>
      <c r="D12057" s="3"/>
    </row>
    <row r="12058" spans="1:4">
      <c r="A12058" s="691"/>
      <c r="D12058" s="3"/>
    </row>
    <row r="12059" spans="1:4">
      <c r="A12059" s="691"/>
      <c r="D12059" s="3"/>
    </row>
    <row r="12060" spans="1:4">
      <c r="A12060" s="691"/>
      <c r="D12060" s="3"/>
    </row>
    <row r="12061" spans="1:4">
      <c r="A12061" s="691"/>
      <c r="D12061" s="3"/>
    </row>
    <row r="12062" spans="1:4">
      <c r="A12062" s="691"/>
      <c r="D12062" s="3"/>
    </row>
    <row r="12063" spans="1:4">
      <c r="A12063" s="691"/>
      <c r="D12063" s="3"/>
    </row>
    <row r="12064" spans="1:4">
      <c r="A12064" s="691"/>
      <c r="D12064" s="3"/>
    </row>
    <row r="12065" spans="1:4">
      <c r="A12065" s="691"/>
      <c r="D12065" s="3"/>
    </row>
    <row r="12066" spans="1:4">
      <c r="A12066" s="691"/>
      <c r="D12066" s="3"/>
    </row>
    <row r="12067" spans="1:4">
      <c r="A12067" s="691"/>
      <c r="D12067" s="3"/>
    </row>
    <row r="12068" spans="1:4">
      <c r="A12068" s="691"/>
      <c r="D12068" s="3"/>
    </row>
    <row r="12069" spans="1:4">
      <c r="A12069" s="691"/>
      <c r="D12069" s="3"/>
    </row>
    <row r="12070" spans="1:4">
      <c r="A12070" s="691"/>
      <c r="D12070" s="3"/>
    </row>
    <row r="12071" spans="1:4">
      <c r="A12071" s="691"/>
      <c r="D12071" s="3"/>
    </row>
    <row r="12072" spans="1:4">
      <c r="A12072" s="691"/>
      <c r="D12072" s="3"/>
    </row>
    <row r="12073" spans="1:4">
      <c r="A12073" s="691"/>
      <c r="D12073" s="3"/>
    </row>
    <row r="12074" spans="1:4">
      <c r="A12074" s="691"/>
      <c r="D12074" s="3"/>
    </row>
    <row r="12075" spans="1:4">
      <c r="A12075" s="691"/>
      <c r="D12075" s="3"/>
    </row>
    <row r="12076" spans="1:4">
      <c r="A12076" s="691"/>
      <c r="D12076" s="3"/>
    </row>
    <row r="12077" spans="1:4">
      <c r="A12077" s="691"/>
      <c r="D12077" s="3"/>
    </row>
    <row r="12078" spans="1:4">
      <c r="A12078" s="691"/>
      <c r="D12078" s="3"/>
    </row>
    <row r="12079" spans="1:4">
      <c r="A12079" s="691"/>
      <c r="D12079" s="3"/>
    </row>
    <row r="12080" spans="1:4">
      <c r="A12080" s="691"/>
      <c r="D12080" s="3"/>
    </row>
    <row r="12081" spans="1:4">
      <c r="A12081" s="691"/>
      <c r="D12081" s="3"/>
    </row>
    <row r="12082" spans="1:4">
      <c r="A12082" s="691"/>
      <c r="D12082" s="3"/>
    </row>
    <row r="12083" spans="1:4">
      <c r="A12083" s="691"/>
      <c r="D12083" s="3"/>
    </row>
    <row r="12084" spans="1:4">
      <c r="A12084" s="691"/>
      <c r="D12084" s="3"/>
    </row>
    <row r="12085" spans="1:4">
      <c r="A12085" s="691"/>
      <c r="D12085" s="3"/>
    </row>
    <row r="12086" spans="1:4">
      <c r="A12086" s="691"/>
      <c r="D12086" s="3"/>
    </row>
    <row r="12087" spans="1:4">
      <c r="A12087" s="691"/>
      <c r="D12087" s="3"/>
    </row>
    <row r="12088" spans="1:4">
      <c r="A12088" s="691"/>
      <c r="D12088" s="3"/>
    </row>
    <row r="12089" spans="1:4">
      <c r="A12089" s="691"/>
      <c r="D12089" s="3"/>
    </row>
    <row r="12090" spans="1:4">
      <c r="A12090" s="691"/>
      <c r="D12090" s="3"/>
    </row>
    <row r="12091" spans="1:4">
      <c r="A12091" s="691"/>
      <c r="D12091" s="3"/>
    </row>
    <row r="12092" spans="1:4">
      <c r="A12092" s="691"/>
      <c r="D12092" s="3"/>
    </row>
    <row r="12093" spans="1:4">
      <c r="A12093" s="691"/>
      <c r="D12093" s="3"/>
    </row>
    <row r="12094" spans="1:4">
      <c r="A12094" s="691"/>
      <c r="D12094" s="3"/>
    </row>
    <row r="12095" spans="1:4">
      <c r="A12095" s="691"/>
      <c r="D12095" s="3"/>
    </row>
    <row r="12096" spans="1:4">
      <c r="A12096" s="691"/>
      <c r="D12096" s="3"/>
    </row>
    <row r="12097" spans="1:4">
      <c r="A12097" s="691"/>
      <c r="D12097" s="3"/>
    </row>
    <row r="12098" spans="1:4">
      <c r="A12098" s="691"/>
      <c r="D12098" s="3"/>
    </row>
    <row r="12099" spans="1:4">
      <c r="A12099" s="691"/>
      <c r="D12099" s="3"/>
    </row>
    <row r="12100" spans="1:4">
      <c r="A12100" s="691"/>
      <c r="D12100" s="3"/>
    </row>
    <row r="12101" spans="1:4">
      <c r="A12101" s="691"/>
      <c r="D12101" s="3"/>
    </row>
    <row r="12102" spans="1:4">
      <c r="A12102" s="691"/>
      <c r="D12102" s="3"/>
    </row>
    <row r="12103" spans="1:4">
      <c r="A12103" s="691"/>
      <c r="D12103" s="3"/>
    </row>
    <row r="12104" spans="1:4">
      <c r="A12104" s="691"/>
      <c r="D12104" s="3"/>
    </row>
    <row r="12105" spans="1:4">
      <c r="A12105" s="691"/>
      <c r="D12105" s="3"/>
    </row>
    <row r="12106" spans="1:4">
      <c r="A12106" s="691"/>
      <c r="D12106" s="3"/>
    </row>
    <row r="12107" spans="1:4">
      <c r="A12107" s="691"/>
      <c r="D12107" s="3"/>
    </row>
    <row r="12108" spans="1:4">
      <c r="A12108" s="691"/>
      <c r="D12108" s="3"/>
    </row>
    <row r="12109" spans="1:4">
      <c r="A12109" s="691"/>
      <c r="D12109" s="3"/>
    </row>
    <row r="12110" spans="1:4">
      <c r="A12110" s="691"/>
      <c r="D12110" s="3"/>
    </row>
    <row r="12111" spans="1:4">
      <c r="A12111" s="691"/>
      <c r="D12111" s="3"/>
    </row>
    <row r="12112" spans="1:4">
      <c r="A12112" s="691"/>
      <c r="D12112" s="3"/>
    </row>
    <row r="12113" spans="1:4">
      <c r="A12113" s="691"/>
      <c r="D12113" s="3"/>
    </row>
    <row r="12114" spans="1:4">
      <c r="A12114" s="691"/>
      <c r="D12114" s="3"/>
    </row>
    <row r="12115" spans="1:4">
      <c r="A12115" s="691"/>
      <c r="D12115" s="3"/>
    </row>
    <row r="12116" spans="1:4">
      <c r="A12116" s="691"/>
      <c r="D12116" s="3"/>
    </row>
    <row r="12117" spans="1:4">
      <c r="A12117" s="691"/>
      <c r="D12117" s="3"/>
    </row>
    <row r="12118" spans="1:4">
      <c r="A12118" s="691"/>
      <c r="D12118" s="3"/>
    </row>
    <row r="12119" spans="1:4">
      <c r="A12119" s="691"/>
      <c r="D12119" s="3"/>
    </row>
    <row r="12120" spans="1:4">
      <c r="A12120" s="691"/>
      <c r="D12120" s="3"/>
    </row>
    <row r="12121" spans="1:4">
      <c r="A12121" s="691"/>
      <c r="D12121" s="3"/>
    </row>
    <row r="12122" spans="1:4">
      <c r="A12122" s="691"/>
      <c r="D12122" s="3"/>
    </row>
    <row r="12123" spans="1:4">
      <c r="A12123" s="691"/>
      <c r="D12123" s="3"/>
    </row>
    <row r="12124" spans="1:4">
      <c r="A12124" s="691"/>
      <c r="D12124" s="3"/>
    </row>
    <row r="12125" spans="1:4">
      <c r="A12125" s="691"/>
      <c r="D12125" s="3"/>
    </row>
    <row r="12126" spans="1:4">
      <c r="A12126" s="691"/>
      <c r="D12126" s="3"/>
    </row>
    <row r="12127" spans="1:4">
      <c r="A12127" s="691"/>
      <c r="D12127" s="3"/>
    </row>
    <row r="12128" spans="1:4">
      <c r="A12128" s="691"/>
      <c r="D12128" s="3"/>
    </row>
    <row r="12129" spans="1:4">
      <c r="A12129" s="691"/>
      <c r="D12129" s="3"/>
    </row>
    <row r="12130" spans="1:4">
      <c r="A12130" s="691"/>
      <c r="D12130" s="3"/>
    </row>
    <row r="12131" spans="1:4">
      <c r="A12131" s="691"/>
      <c r="D12131" s="3"/>
    </row>
    <row r="12132" spans="1:4">
      <c r="A12132" s="691"/>
      <c r="D12132" s="3"/>
    </row>
    <row r="12133" spans="1:4">
      <c r="A12133" s="691"/>
      <c r="D12133" s="3"/>
    </row>
    <row r="12134" spans="1:4">
      <c r="A12134" s="691"/>
      <c r="D12134" s="3"/>
    </row>
    <row r="12135" spans="1:4">
      <c r="A12135" s="691"/>
      <c r="D12135" s="3"/>
    </row>
    <row r="12136" spans="1:4">
      <c r="A12136" s="691"/>
      <c r="D12136" s="3"/>
    </row>
    <row r="12137" spans="1:4">
      <c r="A12137" s="691"/>
      <c r="D12137" s="3"/>
    </row>
    <row r="12138" spans="1:4">
      <c r="A12138" s="691"/>
      <c r="D12138" s="3"/>
    </row>
    <row r="12139" spans="1:4">
      <c r="A12139" s="691"/>
      <c r="D12139" s="3"/>
    </row>
    <row r="12140" spans="1:4">
      <c r="A12140" s="691"/>
      <c r="D12140" s="3"/>
    </row>
    <row r="12141" spans="1:4">
      <c r="A12141" s="691"/>
      <c r="D12141" s="3"/>
    </row>
    <row r="12142" spans="1:4">
      <c r="A12142" s="691"/>
      <c r="D12142" s="3"/>
    </row>
    <row r="12143" spans="1:4">
      <c r="A12143" s="691"/>
      <c r="D12143" s="3"/>
    </row>
    <row r="12144" spans="1:4">
      <c r="A12144" s="691"/>
      <c r="D12144" s="3"/>
    </row>
    <row r="12145" spans="1:4">
      <c r="A12145" s="691"/>
      <c r="D12145" s="3"/>
    </row>
    <row r="12146" spans="1:4">
      <c r="A12146" s="691"/>
      <c r="D12146" s="3"/>
    </row>
    <row r="12147" spans="1:4">
      <c r="A12147" s="691"/>
      <c r="D12147" s="3"/>
    </row>
    <row r="12148" spans="1:4">
      <c r="A12148" s="691"/>
      <c r="D12148" s="3"/>
    </row>
    <row r="12149" spans="1:4">
      <c r="A12149" s="691"/>
      <c r="D12149" s="3"/>
    </row>
    <row r="12150" spans="1:4">
      <c r="A12150" s="691"/>
      <c r="D12150" s="3"/>
    </row>
    <row r="12151" spans="1:4">
      <c r="A12151" s="691"/>
      <c r="D12151" s="3"/>
    </row>
    <row r="12152" spans="1:4">
      <c r="A12152" s="691"/>
      <c r="D12152" s="3"/>
    </row>
    <row r="12153" spans="1:4">
      <c r="A12153" s="691"/>
      <c r="D12153" s="3"/>
    </row>
    <row r="12154" spans="1:4">
      <c r="A12154" s="691"/>
      <c r="D12154" s="3"/>
    </row>
    <row r="12155" spans="1:4">
      <c r="A12155" s="691"/>
      <c r="D12155" s="3"/>
    </row>
    <row r="12156" spans="1:4">
      <c r="A12156" s="691"/>
      <c r="D12156" s="3"/>
    </row>
    <row r="12157" spans="1:4">
      <c r="A12157" s="691"/>
      <c r="D12157" s="3"/>
    </row>
    <row r="12158" spans="1:4">
      <c r="A12158" s="691"/>
      <c r="D12158" s="3"/>
    </row>
    <row r="12159" spans="1:4">
      <c r="A12159" s="691"/>
      <c r="D12159" s="3"/>
    </row>
    <row r="12160" spans="1:4">
      <c r="A12160" s="691"/>
      <c r="D12160" s="3"/>
    </row>
    <row r="12161" spans="1:4">
      <c r="A12161" s="691"/>
      <c r="D12161" s="3"/>
    </row>
    <row r="12162" spans="1:4">
      <c r="A12162" s="691"/>
      <c r="D12162" s="3"/>
    </row>
    <row r="12163" spans="1:4">
      <c r="A12163" s="691"/>
      <c r="D12163" s="3"/>
    </row>
    <row r="12164" spans="1:4">
      <c r="A12164" s="691"/>
      <c r="D12164" s="3"/>
    </row>
    <row r="12165" spans="1:4">
      <c r="A12165" s="691"/>
      <c r="D12165" s="3"/>
    </row>
    <row r="12166" spans="1:4">
      <c r="A12166" s="691"/>
      <c r="D12166" s="3"/>
    </row>
    <row r="12167" spans="1:4">
      <c r="A12167" s="691"/>
      <c r="D12167" s="3"/>
    </row>
    <row r="12168" spans="1:4">
      <c r="A12168" s="691"/>
      <c r="D12168" s="3"/>
    </row>
    <row r="12169" spans="1:4">
      <c r="A12169" s="691"/>
      <c r="D12169" s="3"/>
    </row>
    <row r="12170" spans="1:4">
      <c r="A12170" s="691"/>
      <c r="D12170" s="3"/>
    </row>
    <row r="12171" spans="1:4">
      <c r="A12171" s="691"/>
      <c r="D12171" s="3"/>
    </row>
    <row r="12172" spans="1:4">
      <c r="A12172" s="691"/>
      <c r="D12172" s="3"/>
    </row>
    <row r="12173" spans="1:4">
      <c r="A12173" s="691"/>
      <c r="D12173" s="3"/>
    </row>
    <row r="12174" spans="1:4">
      <c r="A12174" s="691"/>
      <c r="D12174" s="3"/>
    </row>
    <row r="12175" spans="1:4">
      <c r="A12175" s="691"/>
      <c r="D12175" s="3"/>
    </row>
    <row r="12176" spans="1:4">
      <c r="A12176" s="691"/>
      <c r="D12176" s="3"/>
    </row>
    <row r="12177" spans="1:4">
      <c r="A12177" s="691"/>
      <c r="D12177" s="3"/>
    </row>
    <row r="12178" spans="1:4">
      <c r="A12178" s="691"/>
      <c r="D12178" s="3"/>
    </row>
    <row r="12179" spans="1:4">
      <c r="A12179" s="691"/>
      <c r="D12179" s="3"/>
    </row>
    <row r="12180" spans="1:4">
      <c r="A12180" s="691"/>
      <c r="D12180" s="3"/>
    </row>
    <row r="12181" spans="1:4">
      <c r="A12181" s="691"/>
      <c r="D12181" s="3"/>
    </row>
    <row r="12182" spans="1:4">
      <c r="A12182" s="691"/>
      <c r="D12182" s="3"/>
    </row>
    <row r="12183" spans="1:4">
      <c r="A12183" s="691"/>
      <c r="D12183" s="3"/>
    </row>
    <row r="12184" spans="1:4">
      <c r="A12184" s="691"/>
      <c r="D12184" s="3"/>
    </row>
    <row r="12185" spans="1:4">
      <c r="A12185" s="691"/>
      <c r="D12185" s="3"/>
    </row>
    <row r="12186" spans="1:4">
      <c r="A12186" s="691"/>
      <c r="D12186" s="3"/>
    </row>
    <row r="12187" spans="1:4">
      <c r="A12187" s="691"/>
      <c r="D12187" s="3"/>
    </row>
    <row r="12188" spans="1:4">
      <c r="A12188" s="691"/>
      <c r="D12188" s="3"/>
    </row>
    <row r="12189" spans="1:4">
      <c r="A12189" s="691"/>
      <c r="D12189" s="3"/>
    </row>
    <row r="12190" spans="1:4">
      <c r="A12190" s="691"/>
      <c r="D12190" s="3"/>
    </row>
    <row r="12191" spans="1:4">
      <c r="A12191" s="691"/>
      <c r="D12191" s="3"/>
    </row>
    <row r="12192" spans="1:4">
      <c r="A12192" s="691"/>
      <c r="D12192" s="3"/>
    </row>
    <row r="12193" spans="1:4">
      <c r="A12193" s="691"/>
      <c r="D12193" s="3"/>
    </row>
    <row r="12194" spans="1:4">
      <c r="A12194" s="691"/>
      <c r="D12194" s="3"/>
    </row>
    <row r="12195" spans="1:4">
      <c r="A12195" s="691"/>
      <c r="D12195" s="3"/>
    </row>
    <row r="12196" spans="1:4">
      <c r="A12196" s="691"/>
      <c r="D12196" s="3"/>
    </row>
    <row r="12197" spans="1:4">
      <c r="A12197" s="691"/>
      <c r="D12197" s="3"/>
    </row>
    <row r="12198" spans="1:4">
      <c r="A12198" s="691"/>
      <c r="D12198" s="3"/>
    </row>
    <row r="12199" spans="1:4">
      <c r="A12199" s="691"/>
      <c r="D12199" s="3"/>
    </row>
    <row r="12200" spans="1:4">
      <c r="A12200" s="691"/>
      <c r="D12200" s="3"/>
    </row>
    <row r="12201" spans="1:4">
      <c r="A12201" s="691"/>
      <c r="D12201" s="3"/>
    </row>
    <row r="12202" spans="1:4">
      <c r="A12202" s="691"/>
      <c r="D12202" s="3"/>
    </row>
    <row r="12203" spans="1:4">
      <c r="A12203" s="691"/>
      <c r="D12203" s="3"/>
    </row>
    <row r="12204" spans="1:4">
      <c r="A12204" s="691"/>
      <c r="D12204" s="3"/>
    </row>
    <row r="12205" spans="1:4">
      <c r="A12205" s="691"/>
      <c r="D12205" s="3"/>
    </row>
    <row r="12206" spans="1:4">
      <c r="A12206" s="691"/>
      <c r="D12206" s="3"/>
    </row>
    <row r="12207" spans="1:4">
      <c r="A12207" s="691"/>
      <c r="D12207" s="3"/>
    </row>
    <row r="12208" spans="1:4">
      <c r="A12208" s="691"/>
      <c r="D12208" s="3"/>
    </row>
    <row r="12209" spans="1:4">
      <c r="A12209" s="691"/>
      <c r="D12209" s="3"/>
    </row>
    <row r="12210" spans="1:4">
      <c r="A12210" s="691"/>
      <c r="D12210" s="3"/>
    </row>
    <row r="12211" spans="1:4">
      <c r="A12211" s="691"/>
      <c r="D12211" s="3"/>
    </row>
    <row r="12212" spans="1:4">
      <c r="A12212" s="691"/>
      <c r="D12212" s="3"/>
    </row>
    <row r="12213" spans="1:4">
      <c r="A12213" s="691"/>
      <c r="D12213" s="3"/>
    </row>
    <row r="12214" spans="1:4">
      <c r="A12214" s="691"/>
      <c r="D12214" s="3"/>
    </row>
    <row r="12215" spans="1:4">
      <c r="A12215" s="691"/>
      <c r="D12215" s="3"/>
    </row>
    <row r="12216" spans="1:4">
      <c r="A12216" s="691"/>
      <c r="D12216" s="3"/>
    </row>
    <row r="12217" spans="1:4">
      <c r="A12217" s="691"/>
      <c r="D12217" s="3"/>
    </row>
    <row r="12218" spans="1:4">
      <c r="A12218" s="691"/>
      <c r="D12218" s="3"/>
    </row>
    <row r="12219" spans="1:4">
      <c r="A12219" s="691"/>
      <c r="D12219" s="3"/>
    </row>
    <row r="12220" spans="1:4">
      <c r="A12220" s="691"/>
      <c r="D12220" s="3"/>
    </row>
    <row r="12221" spans="1:4">
      <c r="A12221" s="691"/>
      <c r="D12221" s="3"/>
    </row>
    <row r="12222" spans="1:4">
      <c r="A12222" s="691"/>
      <c r="D12222" s="3"/>
    </row>
    <row r="12223" spans="1:4">
      <c r="A12223" s="691"/>
      <c r="D12223" s="3"/>
    </row>
    <row r="12224" spans="1:4">
      <c r="A12224" s="691"/>
      <c r="D12224" s="3"/>
    </row>
    <row r="12225" spans="1:4">
      <c r="A12225" s="691"/>
      <c r="D12225" s="3"/>
    </row>
    <row r="12226" spans="1:4">
      <c r="A12226" s="691"/>
      <c r="D12226" s="3"/>
    </row>
    <row r="12227" spans="1:4">
      <c r="A12227" s="691"/>
      <c r="D12227" s="3"/>
    </row>
    <row r="12228" spans="1:4">
      <c r="A12228" s="691"/>
      <c r="D12228" s="3"/>
    </row>
    <row r="12229" spans="1:4">
      <c r="A12229" s="691"/>
      <c r="D12229" s="3"/>
    </row>
    <row r="12230" spans="1:4">
      <c r="A12230" s="691"/>
      <c r="D12230" s="3"/>
    </row>
    <row r="12231" spans="1:4">
      <c r="A12231" s="691"/>
      <c r="D12231" s="3"/>
    </row>
    <row r="12232" spans="1:4">
      <c r="A12232" s="691"/>
      <c r="D12232" s="3"/>
    </row>
    <row r="12233" spans="1:4">
      <c r="A12233" s="691"/>
      <c r="D12233" s="3"/>
    </row>
    <row r="12234" spans="1:4">
      <c r="A12234" s="691"/>
      <c r="D12234" s="3"/>
    </row>
    <row r="12235" spans="1:4">
      <c r="A12235" s="691"/>
      <c r="D12235" s="3"/>
    </row>
    <row r="12236" spans="1:4">
      <c r="A12236" s="691"/>
      <c r="D12236" s="3"/>
    </row>
    <row r="12237" spans="1:4">
      <c r="A12237" s="691"/>
      <c r="D12237" s="3"/>
    </row>
    <row r="12238" spans="1:4">
      <c r="A12238" s="691"/>
      <c r="D12238" s="3"/>
    </row>
    <row r="12239" spans="1:4">
      <c r="A12239" s="691"/>
      <c r="D12239" s="3"/>
    </row>
    <row r="12240" spans="1:4">
      <c r="A12240" s="691"/>
      <c r="D12240" s="3"/>
    </row>
    <row r="12241" spans="1:4">
      <c r="A12241" s="691"/>
      <c r="D12241" s="3"/>
    </row>
    <row r="12242" spans="1:4">
      <c r="A12242" s="691"/>
      <c r="D12242" s="3"/>
    </row>
    <row r="12243" spans="1:4">
      <c r="A12243" s="691"/>
      <c r="D12243" s="3"/>
    </row>
    <row r="12244" spans="1:4">
      <c r="A12244" s="691"/>
      <c r="D12244" s="3"/>
    </row>
    <row r="12245" spans="1:4">
      <c r="A12245" s="691"/>
      <c r="D12245" s="3"/>
    </row>
    <row r="12246" spans="1:4">
      <c r="A12246" s="691"/>
      <c r="D12246" s="3"/>
    </row>
    <row r="12247" spans="1:4">
      <c r="A12247" s="691"/>
      <c r="D12247" s="3"/>
    </row>
    <row r="12248" spans="1:4">
      <c r="A12248" s="691"/>
      <c r="D12248" s="3"/>
    </row>
    <row r="12249" spans="1:4">
      <c r="A12249" s="691"/>
      <c r="D12249" s="3"/>
    </row>
    <row r="12250" spans="1:4">
      <c r="A12250" s="691"/>
      <c r="D12250" s="3"/>
    </row>
    <row r="12251" spans="1:4">
      <c r="A12251" s="691"/>
      <c r="D12251" s="3"/>
    </row>
    <row r="12252" spans="1:4">
      <c r="A12252" s="691"/>
      <c r="D12252" s="3"/>
    </row>
    <row r="12253" spans="1:4">
      <c r="A12253" s="691"/>
      <c r="D12253" s="3"/>
    </row>
    <row r="12254" spans="1:4">
      <c r="A12254" s="691"/>
      <c r="D12254" s="3"/>
    </row>
    <row r="12255" spans="1:4">
      <c r="A12255" s="691"/>
      <c r="D12255" s="3"/>
    </row>
    <row r="12256" spans="1:4">
      <c r="A12256" s="691"/>
      <c r="D12256" s="3"/>
    </row>
    <row r="12257" spans="1:4">
      <c r="A12257" s="691"/>
      <c r="D12257" s="3"/>
    </row>
    <row r="12258" spans="1:4">
      <c r="A12258" s="691"/>
      <c r="D12258" s="3"/>
    </row>
    <row r="12259" spans="1:4">
      <c r="A12259" s="691"/>
      <c r="D12259" s="3"/>
    </row>
    <row r="12260" spans="1:4">
      <c r="A12260" s="691"/>
      <c r="D12260" s="3"/>
    </row>
    <row r="12261" spans="1:4">
      <c r="A12261" s="691"/>
      <c r="D12261" s="3"/>
    </row>
    <row r="12262" spans="1:4">
      <c r="A12262" s="691"/>
      <c r="D12262" s="3"/>
    </row>
    <row r="12263" spans="1:4">
      <c r="A12263" s="691"/>
      <c r="D12263" s="3"/>
    </row>
    <row r="12264" spans="1:4">
      <c r="A12264" s="691"/>
      <c r="D12264" s="3"/>
    </row>
    <row r="12265" spans="1:4">
      <c r="A12265" s="691"/>
      <c r="D12265" s="3"/>
    </row>
    <row r="12266" spans="1:4">
      <c r="A12266" s="691"/>
      <c r="D12266" s="3"/>
    </row>
    <row r="12267" spans="1:4">
      <c r="A12267" s="691"/>
      <c r="D12267" s="3"/>
    </row>
    <row r="12268" spans="1:4">
      <c r="A12268" s="691"/>
      <c r="D12268" s="3"/>
    </row>
    <row r="12269" spans="1:4">
      <c r="A12269" s="691"/>
      <c r="D12269" s="3"/>
    </row>
    <row r="12270" spans="1:4">
      <c r="A12270" s="691"/>
      <c r="D12270" s="3"/>
    </row>
    <row r="12271" spans="1:4">
      <c r="A12271" s="691"/>
      <c r="D12271" s="3"/>
    </row>
    <row r="12272" spans="1:4">
      <c r="A12272" s="691"/>
      <c r="D12272" s="3"/>
    </row>
    <row r="12273" spans="1:4">
      <c r="A12273" s="691"/>
      <c r="D12273" s="3"/>
    </row>
    <row r="12274" spans="1:4">
      <c r="A12274" s="691"/>
      <c r="D12274" s="3"/>
    </row>
    <row r="12275" spans="1:4">
      <c r="A12275" s="691"/>
      <c r="D12275" s="3"/>
    </row>
    <row r="12276" spans="1:4">
      <c r="A12276" s="691"/>
      <c r="D12276" s="3"/>
    </row>
    <row r="12277" spans="1:4">
      <c r="A12277" s="691"/>
      <c r="D12277" s="3"/>
    </row>
    <row r="12278" spans="1:4">
      <c r="A12278" s="691"/>
      <c r="D12278" s="3"/>
    </row>
    <row r="12279" spans="1:4">
      <c r="A12279" s="691"/>
      <c r="D12279" s="3"/>
    </row>
    <row r="12280" spans="1:4">
      <c r="A12280" s="691"/>
      <c r="D12280" s="3"/>
    </row>
    <row r="12281" spans="1:4">
      <c r="A12281" s="691"/>
      <c r="D12281" s="3"/>
    </row>
    <row r="12282" spans="1:4">
      <c r="A12282" s="691"/>
      <c r="D12282" s="3"/>
    </row>
    <row r="12283" spans="1:4">
      <c r="A12283" s="691"/>
      <c r="D12283" s="3"/>
    </row>
    <row r="12284" spans="1:4">
      <c r="A12284" s="691"/>
      <c r="D12284" s="3"/>
    </row>
    <row r="12285" spans="1:4">
      <c r="A12285" s="691"/>
      <c r="D12285" s="3"/>
    </row>
    <row r="12286" spans="1:4">
      <c r="A12286" s="691"/>
      <c r="D12286" s="3"/>
    </row>
    <row r="12287" spans="1:4">
      <c r="A12287" s="691"/>
      <c r="D12287" s="3"/>
    </row>
    <row r="12288" spans="1:4">
      <c r="A12288" s="691"/>
      <c r="D12288" s="3"/>
    </row>
    <row r="12289" spans="1:4">
      <c r="A12289" s="691"/>
      <c r="D12289" s="3"/>
    </row>
    <row r="12290" spans="1:4">
      <c r="A12290" s="691"/>
      <c r="D12290" s="3"/>
    </row>
    <row r="12291" spans="1:4">
      <c r="A12291" s="691"/>
      <c r="D12291" s="3"/>
    </row>
    <row r="12292" spans="1:4">
      <c r="A12292" s="691"/>
      <c r="D12292" s="3"/>
    </row>
    <row r="12293" spans="1:4">
      <c r="A12293" s="691"/>
      <c r="D12293" s="3"/>
    </row>
    <row r="12294" spans="1:4">
      <c r="A12294" s="691"/>
      <c r="D12294" s="3"/>
    </row>
    <row r="12295" spans="1:4">
      <c r="A12295" s="691"/>
      <c r="D12295" s="3"/>
    </row>
    <row r="12296" spans="1:4">
      <c r="A12296" s="691"/>
      <c r="D12296" s="3"/>
    </row>
    <row r="12297" spans="1:4">
      <c r="A12297" s="691"/>
      <c r="D12297" s="3"/>
    </row>
    <row r="12298" spans="1:4">
      <c r="A12298" s="691"/>
      <c r="D12298" s="3"/>
    </row>
    <row r="12299" spans="1:4">
      <c r="A12299" s="691"/>
      <c r="D12299" s="3"/>
    </row>
    <row r="12300" spans="1:4">
      <c r="A12300" s="691"/>
      <c r="D12300" s="3"/>
    </row>
    <row r="12301" spans="1:4">
      <c r="A12301" s="691"/>
      <c r="D12301" s="3"/>
    </row>
    <row r="12302" spans="1:4">
      <c r="A12302" s="691"/>
      <c r="D12302" s="3"/>
    </row>
    <row r="12303" spans="1:4">
      <c r="A12303" s="691"/>
      <c r="D12303" s="3"/>
    </row>
    <row r="12304" spans="1:4">
      <c r="A12304" s="691"/>
      <c r="D12304" s="3"/>
    </row>
    <row r="12305" spans="1:4">
      <c r="A12305" s="691"/>
      <c r="D12305" s="3"/>
    </row>
    <row r="12306" spans="1:4">
      <c r="A12306" s="691"/>
      <c r="D12306" s="3"/>
    </row>
    <row r="12307" spans="1:4">
      <c r="A12307" s="691"/>
      <c r="D12307" s="3"/>
    </row>
    <row r="12308" spans="1:4">
      <c r="A12308" s="691"/>
      <c r="D12308" s="3"/>
    </row>
    <row r="12309" spans="1:4">
      <c r="A12309" s="691"/>
      <c r="D12309" s="3"/>
    </row>
    <row r="12310" spans="1:4">
      <c r="A12310" s="691"/>
      <c r="D12310" s="3"/>
    </row>
    <row r="12311" spans="1:4">
      <c r="A12311" s="691"/>
      <c r="D12311" s="3"/>
    </row>
    <row r="12312" spans="1:4">
      <c r="A12312" s="691"/>
      <c r="D12312" s="3"/>
    </row>
    <row r="12313" spans="1:4">
      <c r="A12313" s="691"/>
      <c r="D12313" s="3"/>
    </row>
    <row r="12314" spans="1:4">
      <c r="A12314" s="691"/>
      <c r="D12314" s="3"/>
    </row>
    <row r="12315" spans="1:4">
      <c r="A12315" s="691"/>
      <c r="D12315" s="3"/>
    </row>
    <row r="12316" spans="1:4">
      <c r="A12316" s="691"/>
      <c r="D12316" s="3"/>
    </row>
    <row r="12317" spans="1:4">
      <c r="A12317" s="691"/>
      <c r="D12317" s="3"/>
    </row>
    <row r="12318" spans="1:4">
      <c r="A12318" s="691"/>
      <c r="D12318" s="3"/>
    </row>
    <row r="12319" spans="1:4">
      <c r="A12319" s="691"/>
      <c r="D12319" s="3"/>
    </row>
    <row r="12320" spans="1:4">
      <c r="A12320" s="691"/>
      <c r="D12320" s="3"/>
    </row>
    <row r="12321" spans="1:4">
      <c r="A12321" s="691"/>
      <c r="D12321" s="3"/>
    </row>
    <row r="12322" spans="1:4">
      <c r="A12322" s="691"/>
      <c r="D12322" s="3"/>
    </row>
    <row r="12323" spans="1:4">
      <c r="A12323" s="691"/>
      <c r="D12323" s="3"/>
    </row>
    <row r="12324" spans="1:4">
      <c r="A12324" s="691"/>
      <c r="D12324" s="3"/>
    </row>
    <row r="12325" spans="1:4">
      <c r="A12325" s="691"/>
      <c r="D12325" s="3"/>
    </row>
    <row r="12326" spans="1:4">
      <c r="A12326" s="691"/>
      <c r="D12326" s="3"/>
    </row>
    <row r="12327" spans="1:4">
      <c r="A12327" s="691"/>
      <c r="D12327" s="3"/>
    </row>
    <row r="12328" spans="1:4">
      <c r="A12328" s="691"/>
      <c r="D12328" s="3"/>
    </row>
    <row r="12329" spans="1:4">
      <c r="A12329" s="691"/>
      <c r="D12329" s="3"/>
    </row>
    <row r="12330" spans="1:4">
      <c r="A12330" s="691"/>
      <c r="D12330" s="3"/>
    </row>
    <row r="12331" spans="1:4">
      <c r="A12331" s="691"/>
      <c r="D12331" s="3"/>
    </row>
    <row r="12332" spans="1:4">
      <c r="A12332" s="691"/>
      <c r="D12332" s="3"/>
    </row>
    <row r="12333" spans="1:4">
      <c r="A12333" s="691"/>
      <c r="D12333" s="3"/>
    </row>
    <row r="12334" spans="1:4">
      <c r="A12334" s="691"/>
      <c r="D12334" s="3"/>
    </row>
    <row r="12335" spans="1:4">
      <c r="A12335" s="691"/>
      <c r="D12335" s="3"/>
    </row>
    <row r="12336" spans="1:4">
      <c r="A12336" s="691"/>
      <c r="D12336" s="3"/>
    </row>
    <row r="12337" spans="1:4">
      <c r="A12337" s="691"/>
      <c r="D12337" s="3"/>
    </row>
    <row r="12338" spans="1:4">
      <c r="A12338" s="691"/>
      <c r="D12338" s="3"/>
    </row>
    <row r="12339" spans="1:4">
      <c r="A12339" s="691"/>
      <c r="D12339" s="3"/>
    </row>
    <row r="12340" spans="1:4">
      <c r="A12340" s="691"/>
      <c r="D12340" s="3"/>
    </row>
    <row r="12341" spans="1:4">
      <c r="A12341" s="691"/>
      <c r="D12341" s="3"/>
    </row>
    <row r="12342" spans="1:4">
      <c r="A12342" s="691"/>
      <c r="D12342" s="3"/>
    </row>
    <row r="12343" spans="1:4">
      <c r="A12343" s="691"/>
      <c r="D12343" s="3"/>
    </row>
    <row r="12344" spans="1:4">
      <c r="A12344" s="691"/>
      <c r="D12344" s="3"/>
    </row>
    <row r="12345" spans="1:4">
      <c r="A12345" s="691"/>
      <c r="D12345" s="3"/>
    </row>
    <row r="12346" spans="1:4">
      <c r="A12346" s="691"/>
      <c r="D12346" s="3"/>
    </row>
    <row r="12347" spans="1:4">
      <c r="A12347" s="691"/>
      <c r="D12347" s="3"/>
    </row>
    <row r="12348" spans="1:4">
      <c r="A12348" s="691"/>
      <c r="D12348" s="3"/>
    </row>
    <row r="12349" spans="1:4">
      <c r="A12349" s="691"/>
      <c r="D12349" s="3"/>
    </row>
    <row r="12350" spans="1:4">
      <c r="A12350" s="691"/>
      <c r="D12350" s="3"/>
    </row>
    <row r="12351" spans="1:4">
      <c r="A12351" s="691"/>
      <c r="D12351" s="3"/>
    </row>
    <row r="12352" spans="1:4">
      <c r="A12352" s="691"/>
      <c r="D12352" s="3"/>
    </row>
    <row r="12353" spans="1:4">
      <c r="A12353" s="691"/>
      <c r="D12353" s="3"/>
    </row>
    <row r="12354" spans="1:4">
      <c r="A12354" s="691"/>
      <c r="D12354" s="3"/>
    </row>
    <row r="12355" spans="1:4">
      <c r="A12355" s="691"/>
      <c r="D12355" s="3"/>
    </row>
    <row r="12356" spans="1:4">
      <c r="A12356" s="691"/>
      <c r="D12356" s="3"/>
    </row>
    <row r="12357" spans="1:4">
      <c r="A12357" s="691"/>
      <c r="D12357" s="3"/>
    </row>
    <row r="12358" spans="1:4">
      <c r="A12358" s="691"/>
      <c r="D12358" s="3"/>
    </row>
    <row r="12359" spans="1:4">
      <c r="A12359" s="691"/>
      <c r="D12359" s="3"/>
    </row>
    <row r="12360" spans="1:4">
      <c r="A12360" s="691"/>
      <c r="D12360" s="3"/>
    </row>
    <row r="12361" spans="1:4">
      <c r="A12361" s="691"/>
      <c r="D12361" s="3"/>
    </row>
    <row r="12362" spans="1:4">
      <c r="A12362" s="691"/>
      <c r="D12362" s="3"/>
    </row>
    <row r="12363" spans="1:4">
      <c r="A12363" s="691"/>
      <c r="D12363" s="3"/>
    </row>
    <row r="12364" spans="1:4">
      <c r="A12364" s="691"/>
      <c r="D12364" s="3"/>
    </row>
    <row r="12365" spans="1:4">
      <c r="A12365" s="691"/>
      <c r="D12365" s="3"/>
    </row>
    <row r="12366" spans="1:4">
      <c r="A12366" s="691"/>
      <c r="D12366" s="3"/>
    </row>
    <row r="12367" spans="1:4">
      <c r="A12367" s="691"/>
      <c r="D12367" s="3"/>
    </row>
    <row r="12368" spans="1:4">
      <c r="A12368" s="691"/>
      <c r="D12368" s="3"/>
    </row>
    <row r="12369" spans="1:4">
      <c r="A12369" s="691"/>
      <c r="D12369" s="3"/>
    </row>
    <row r="12370" spans="1:4">
      <c r="A12370" s="691"/>
      <c r="D12370" s="3"/>
    </row>
    <row r="12371" spans="1:4">
      <c r="A12371" s="691"/>
      <c r="D12371" s="3"/>
    </row>
    <row r="12372" spans="1:4">
      <c r="A12372" s="691"/>
      <c r="D12372" s="3"/>
    </row>
    <row r="12373" spans="1:4">
      <c r="A12373" s="691"/>
      <c r="D12373" s="3"/>
    </row>
    <row r="12374" spans="1:4">
      <c r="A12374" s="691"/>
      <c r="D12374" s="3"/>
    </row>
    <row r="12375" spans="1:4">
      <c r="A12375" s="691"/>
      <c r="D12375" s="3"/>
    </row>
    <row r="12376" spans="1:4">
      <c r="A12376" s="691"/>
      <c r="D12376" s="3"/>
    </row>
    <row r="12377" spans="1:4">
      <c r="A12377" s="691"/>
      <c r="D12377" s="3"/>
    </row>
    <row r="12378" spans="1:4">
      <c r="A12378" s="691"/>
      <c r="D12378" s="3"/>
    </row>
    <row r="12379" spans="1:4">
      <c r="A12379" s="691"/>
      <c r="D12379" s="3"/>
    </row>
    <row r="12380" spans="1:4">
      <c r="A12380" s="691"/>
      <c r="D12380" s="3"/>
    </row>
    <row r="12381" spans="1:4">
      <c r="A12381" s="691"/>
      <c r="D12381" s="3"/>
    </row>
    <row r="12382" spans="1:4">
      <c r="A12382" s="691"/>
      <c r="D12382" s="3"/>
    </row>
    <row r="12383" spans="1:4">
      <c r="A12383" s="691"/>
      <c r="D12383" s="3"/>
    </row>
    <row r="12384" spans="1:4">
      <c r="A12384" s="691"/>
      <c r="D12384" s="3"/>
    </row>
    <row r="12385" spans="1:4">
      <c r="A12385" s="691"/>
      <c r="D12385" s="3"/>
    </row>
    <row r="12386" spans="1:4">
      <c r="A12386" s="691"/>
      <c r="D12386" s="3"/>
    </row>
    <row r="12387" spans="1:4">
      <c r="A12387" s="691"/>
      <c r="D12387" s="3"/>
    </row>
    <row r="12388" spans="1:4">
      <c r="A12388" s="691"/>
      <c r="D12388" s="3"/>
    </row>
    <row r="12389" spans="1:4">
      <c r="A12389" s="691"/>
      <c r="D12389" s="3"/>
    </row>
    <row r="12390" spans="1:4">
      <c r="A12390" s="691"/>
      <c r="D12390" s="3"/>
    </row>
    <row r="12391" spans="1:4">
      <c r="A12391" s="691"/>
      <c r="D12391" s="3"/>
    </row>
    <row r="12392" spans="1:4">
      <c r="A12392" s="691"/>
      <c r="D12392" s="3"/>
    </row>
    <row r="12393" spans="1:4">
      <c r="A12393" s="691"/>
      <c r="D12393" s="3"/>
    </row>
    <row r="12394" spans="1:4">
      <c r="A12394" s="691"/>
      <c r="D12394" s="3"/>
    </row>
    <row r="12395" spans="1:4">
      <c r="A12395" s="691"/>
      <c r="D12395" s="3"/>
    </row>
    <row r="12396" spans="1:4">
      <c r="A12396" s="691"/>
      <c r="D12396" s="3"/>
    </row>
    <row r="12397" spans="1:4">
      <c r="A12397" s="691"/>
      <c r="D12397" s="3"/>
    </row>
    <row r="12398" spans="1:4">
      <c r="A12398" s="691"/>
      <c r="D12398" s="3"/>
    </row>
    <row r="12399" spans="1:4">
      <c r="A12399" s="691"/>
      <c r="D12399" s="3"/>
    </row>
    <row r="12400" spans="1:4">
      <c r="A12400" s="691"/>
      <c r="D12400" s="3"/>
    </row>
    <row r="12401" spans="1:4">
      <c r="A12401" s="691"/>
      <c r="D12401" s="3"/>
    </row>
    <row r="12402" spans="1:4">
      <c r="A12402" s="691"/>
      <c r="D12402" s="3"/>
    </row>
    <row r="12403" spans="1:4">
      <c r="A12403" s="691"/>
      <c r="D12403" s="3"/>
    </row>
    <row r="12404" spans="1:4">
      <c r="A12404" s="691"/>
      <c r="D12404" s="3"/>
    </row>
    <row r="12405" spans="1:4">
      <c r="A12405" s="691"/>
      <c r="D12405" s="3"/>
    </row>
    <row r="12406" spans="1:4">
      <c r="A12406" s="691"/>
      <c r="D12406" s="3"/>
    </row>
    <row r="12407" spans="1:4">
      <c r="A12407" s="691"/>
      <c r="D12407" s="3"/>
    </row>
    <row r="12408" spans="1:4">
      <c r="A12408" s="691"/>
      <c r="D12408" s="3"/>
    </row>
    <row r="12409" spans="1:4">
      <c r="A12409" s="691"/>
      <c r="D12409" s="3"/>
    </row>
    <row r="12410" spans="1:4">
      <c r="A12410" s="691"/>
      <c r="D12410" s="3"/>
    </row>
    <row r="12411" spans="1:4">
      <c r="A12411" s="691"/>
      <c r="D12411" s="3"/>
    </row>
    <row r="12412" spans="1:4">
      <c r="A12412" s="691"/>
      <c r="D12412" s="3"/>
    </row>
    <row r="12413" spans="1:4">
      <c r="A12413" s="691"/>
      <c r="D12413" s="3"/>
    </row>
    <row r="12414" spans="1:4">
      <c r="A12414" s="691"/>
      <c r="D12414" s="3"/>
    </row>
    <row r="12415" spans="1:4">
      <c r="A12415" s="691"/>
      <c r="D12415" s="3"/>
    </row>
    <row r="12416" spans="1:4">
      <c r="A12416" s="691"/>
      <c r="D12416" s="3"/>
    </row>
    <row r="12417" spans="1:4">
      <c r="A12417" s="691"/>
      <c r="D12417" s="3"/>
    </row>
    <row r="12418" spans="1:4">
      <c r="A12418" s="691"/>
      <c r="D12418" s="3"/>
    </row>
    <row r="12419" spans="1:4">
      <c r="A12419" s="691"/>
      <c r="D12419" s="3"/>
    </row>
    <row r="12420" spans="1:4">
      <c r="A12420" s="691"/>
      <c r="D12420" s="3"/>
    </row>
    <row r="12421" spans="1:4">
      <c r="A12421" s="691"/>
      <c r="D12421" s="3"/>
    </row>
    <row r="12422" spans="1:4">
      <c r="A12422" s="691"/>
      <c r="D12422" s="3"/>
    </row>
    <row r="12423" spans="1:4">
      <c r="A12423" s="691"/>
      <c r="D12423" s="3"/>
    </row>
    <row r="12424" spans="1:4">
      <c r="A12424" s="691"/>
      <c r="D12424" s="3"/>
    </row>
    <row r="12425" spans="1:4">
      <c r="A12425" s="691"/>
      <c r="D12425" s="3"/>
    </row>
    <row r="12426" spans="1:4">
      <c r="A12426" s="691"/>
      <c r="D12426" s="3"/>
    </row>
    <row r="12427" spans="1:4">
      <c r="A12427" s="691"/>
      <c r="D12427" s="3"/>
    </row>
    <row r="12428" spans="1:4">
      <c r="A12428" s="691"/>
      <c r="D12428" s="3"/>
    </row>
    <row r="12429" spans="1:4">
      <c r="A12429" s="691"/>
      <c r="D12429" s="3"/>
    </row>
    <row r="12430" spans="1:4">
      <c r="A12430" s="691"/>
      <c r="D12430" s="3"/>
    </row>
    <row r="12431" spans="1:4">
      <c r="A12431" s="691"/>
      <c r="D12431" s="3"/>
    </row>
    <row r="12432" spans="1:4">
      <c r="A12432" s="691"/>
      <c r="D12432" s="3"/>
    </row>
    <row r="12433" spans="1:4">
      <c r="A12433" s="691"/>
      <c r="D12433" s="3"/>
    </row>
    <row r="12434" spans="1:4">
      <c r="A12434" s="691"/>
      <c r="D12434" s="3"/>
    </row>
    <row r="12435" spans="1:4">
      <c r="A12435" s="691"/>
      <c r="D12435" s="3"/>
    </row>
    <row r="12436" spans="1:4">
      <c r="A12436" s="691"/>
      <c r="D12436" s="3"/>
    </row>
    <row r="12437" spans="1:4">
      <c r="A12437" s="691"/>
      <c r="D12437" s="3"/>
    </row>
    <row r="12438" spans="1:4">
      <c r="A12438" s="691"/>
      <c r="D12438" s="3"/>
    </row>
    <row r="12439" spans="1:4">
      <c r="A12439" s="691"/>
      <c r="D12439" s="3"/>
    </row>
    <row r="12440" spans="1:4">
      <c r="A12440" s="691"/>
      <c r="D12440" s="3"/>
    </row>
    <row r="12441" spans="1:4">
      <c r="A12441" s="691"/>
      <c r="D12441" s="3"/>
    </row>
    <row r="12442" spans="1:4">
      <c r="A12442" s="691"/>
      <c r="D12442" s="3"/>
    </row>
    <row r="12443" spans="1:4">
      <c r="A12443" s="691"/>
      <c r="D12443" s="3"/>
    </row>
    <row r="12444" spans="1:4">
      <c r="A12444" s="691"/>
      <c r="D12444" s="3"/>
    </row>
    <row r="12445" spans="1:4">
      <c r="A12445" s="691"/>
      <c r="D12445" s="3"/>
    </row>
    <row r="12446" spans="1:4">
      <c r="A12446" s="691"/>
      <c r="D12446" s="3"/>
    </row>
    <row r="12447" spans="1:4">
      <c r="A12447" s="691"/>
      <c r="D12447" s="3"/>
    </row>
    <row r="12448" spans="1:4">
      <c r="A12448" s="691"/>
      <c r="D12448" s="3"/>
    </row>
    <row r="12449" spans="1:4">
      <c r="A12449" s="691"/>
      <c r="D12449" s="3"/>
    </row>
    <row r="12450" spans="1:4">
      <c r="A12450" s="691"/>
      <c r="D12450" s="3"/>
    </row>
    <row r="12451" spans="1:4">
      <c r="A12451" s="691"/>
      <c r="D12451" s="3"/>
    </row>
    <row r="12452" spans="1:4">
      <c r="A12452" s="691"/>
      <c r="D12452" s="3"/>
    </row>
    <row r="12453" spans="1:4">
      <c r="A12453" s="691"/>
      <c r="D12453" s="3"/>
    </row>
    <row r="12454" spans="1:4">
      <c r="A12454" s="691"/>
      <c r="D12454" s="3"/>
    </row>
    <row r="12455" spans="1:4">
      <c r="A12455" s="691"/>
      <c r="D12455" s="3"/>
    </row>
    <row r="12456" spans="1:4">
      <c r="A12456" s="691"/>
      <c r="D12456" s="3"/>
    </row>
    <row r="12457" spans="1:4">
      <c r="A12457" s="691"/>
      <c r="D12457" s="3"/>
    </row>
    <row r="12458" spans="1:4">
      <c r="A12458" s="691"/>
      <c r="D12458" s="3"/>
    </row>
    <row r="12459" spans="1:4">
      <c r="A12459" s="691"/>
      <c r="D12459" s="3"/>
    </row>
    <row r="12460" spans="1:4">
      <c r="A12460" s="691"/>
      <c r="D12460" s="3"/>
    </row>
    <row r="12461" spans="1:4">
      <c r="A12461" s="691"/>
      <c r="D12461" s="3"/>
    </row>
    <row r="12462" spans="1:4">
      <c r="A12462" s="691"/>
      <c r="D12462" s="3"/>
    </row>
    <row r="12463" spans="1:4">
      <c r="A12463" s="691"/>
      <c r="D12463" s="3"/>
    </row>
    <row r="12464" spans="1:4">
      <c r="A12464" s="691"/>
      <c r="D12464" s="3"/>
    </row>
    <row r="12465" spans="1:4">
      <c r="A12465" s="691"/>
      <c r="D12465" s="3"/>
    </row>
    <row r="12466" spans="1:4">
      <c r="A12466" s="691"/>
      <c r="D12466" s="3"/>
    </row>
    <row r="12467" spans="1:4">
      <c r="A12467" s="691"/>
      <c r="D12467" s="3"/>
    </row>
    <row r="12468" spans="1:4">
      <c r="A12468" s="691"/>
      <c r="D12468" s="3"/>
    </row>
    <row r="12469" spans="1:4">
      <c r="A12469" s="691"/>
      <c r="D12469" s="3"/>
    </row>
    <row r="12470" spans="1:4">
      <c r="A12470" s="691"/>
      <c r="D12470" s="3"/>
    </row>
    <row r="12471" spans="1:4">
      <c r="A12471" s="691"/>
      <c r="D12471" s="3"/>
    </row>
    <row r="12472" spans="1:4">
      <c r="A12472" s="691"/>
      <c r="D12472" s="3"/>
    </row>
    <row r="12473" spans="1:4">
      <c r="A12473" s="691"/>
      <c r="D12473" s="3"/>
    </row>
    <row r="12474" spans="1:4">
      <c r="A12474" s="691"/>
      <c r="D12474" s="3"/>
    </row>
    <row r="12475" spans="1:4">
      <c r="A12475" s="691"/>
      <c r="D12475" s="3"/>
    </row>
    <row r="12476" spans="1:4">
      <c r="A12476" s="691"/>
      <c r="D12476" s="3"/>
    </row>
    <row r="12477" spans="1:4">
      <c r="A12477" s="691"/>
      <c r="D12477" s="3"/>
    </row>
    <row r="12478" spans="1:4">
      <c r="A12478" s="691"/>
      <c r="D12478" s="3"/>
    </row>
    <row r="12479" spans="1:4">
      <c r="A12479" s="691"/>
      <c r="D12479" s="3"/>
    </row>
    <row r="12480" spans="1:4">
      <c r="A12480" s="691"/>
      <c r="D12480" s="3"/>
    </row>
    <row r="12481" spans="1:4">
      <c r="A12481" s="691"/>
      <c r="D12481" s="3"/>
    </row>
    <row r="12482" spans="1:4">
      <c r="A12482" s="691"/>
      <c r="D12482" s="3"/>
    </row>
    <row r="12483" spans="1:4">
      <c r="A12483" s="691"/>
      <c r="D12483" s="3"/>
    </row>
    <row r="12484" spans="1:4">
      <c r="A12484" s="691"/>
      <c r="D12484" s="3"/>
    </row>
    <row r="12485" spans="1:4">
      <c r="A12485" s="691"/>
      <c r="D12485" s="3"/>
    </row>
    <row r="12486" spans="1:4">
      <c r="A12486" s="691"/>
      <c r="D12486" s="3"/>
    </row>
    <row r="12487" spans="1:4">
      <c r="A12487" s="691"/>
      <c r="D12487" s="3"/>
    </row>
    <row r="12488" spans="1:4">
      <c r="A12488" s="691"/>
      <c r="D12488" s="3"/>
    </row>
    <row r="12489" spans="1:4">
      <c r="A12489" s="691"/>
      <c r="D12489" s="3"/>
    </row>
    <row r="12490" spans="1:4">
      <c r="A12490" s="691"/>
      <c r="D12490" s="3"/>
    </row>
    <row r="12491" spans="1:4">
      <c r="A12491" s="691"/>
      <c r="D12491" s="3"/>
    </row>
    <row r="12492" spans="1:4">
      <c r="A12492" s="691"/>
      <c r="D12492" s="3"/>
    </row>
    <row r="12493" spans="1:4">
      <c r="A12493" s="691"/>
      <c r="D12493" s="3"/>
    </row>
    <row r="12494" spans="1:4">
      <c r="A12494" s="691"/>
      <c r="D12494" s="3"/>
    </row>
    <row r="12495" spans="1:4">
      <c r="A12495" s="691"/>
      <c r="D12495" s="3"/>
    </row>
    <row r="12496" spans="1:4">
      <c r="A12496" s="691"/>
      <c r="D12496" s="3"/>
    </row>
    <row r="12497" spans="1:4">
      <c r="A12497" s="691"/>
      <c r="D12497" s="3"/>
    </row>
    <row r="12498" spans="1:4">
      <c r="A12498" s="691"/>
      <c r="D12498" s="3"/>
    </row>
    <row r="12499" spans="1:4">
      <c r="A12499" s="691"/>
      <c r="D12499" s="3"/>
    </row>
    <row r="12500" spans="1:4">
      <c r="A12500" s="691"/>
      <c r="D12500" s="3"/>
    </row>
    <row r="12501" spans="1:4">
      <c r="A12501" s="691"/>
      <c r="D12501" s="3"/>
    </row>
    <row r="12502" spans="1:4">
      <c r="A12502" s="691"/>
      <c r="D12502" s="3"/>
    </row>
    <row r="12503" spans="1:4">
      <c r="A12503" s="691"/>
      <c r="D12503" s="3"/>
    </row>
    <row r="12504" spans="1:4">
      <c r="A12504" s="691"/>
      <c r="D12504" s="3"/>
    </row>
    <row r="12505" spans="1:4">
      <c r="A12505" s="691"/>
      <c r="D12505" s="3"/>
    </row>
    <row r="12506" spans="1:4">
      <c r="A12506" s="691"/>
      <c r="D12506" s="3"/>
    </row>
    <row r="12507" spans="1:4">
      <c r="A12507" s="691"/>
      <c r="D12507" s="3"/>
    </row>
    <row r="12508" spans="1:4">
      <c r="A12508" s="691"/>
      <c r="D12508" s="3"/>
    </row>
    <row r="12509" spans="1:4">
      <c r="A12509" s="691"/>
      <c r="D12509" s="3"/>
    </row>
    <row r="12510" spans="1:4">
      <c r="A12510" s="691"/>
      <c r="D12510" s="3"/>
    </row>
    <row r="12511" spans="1:4">
      <c r="A12511" s="691"/>
      <c r="D12511" s="3"/>
    </row>
    <row r="12512" spans="1:4">
      <c r="A12512" s="691"/>
      <c r="D12512" s="3"/>
    </row>
    <row r="12513" spans="1:4">
      <c r="A12513" s="691"/>
      <c r="D12513" s="3"/>
    </row>
    <row r="12514" spans="1:4">
      <c r="A12514" s="691"/>
      <c r="D12514" s="3"/>
    </row>
    <row r="12515" spans="1:4">
      <c r="A12515" s="691"/>
      <c r="D12515" s="3"/>
    </row>
    <row r="12516" spans="1:4">
      <c r="A12516" s="691"/>
      <c r="D12516" s="3"/>
    </row>
    <row r="12517" spans="1:4">
      <c r="A12517" s="691"/>
      <c r="D12517" s="3"/>
    </row>
    <row r="12518" spans="1:4">
      <c r="A12518" s="691"/>
      <c r="D12518" s="3"/>
    </row>
    <row r="12519" spans="1:4">
      <c r="A12519" s="691"/>
      <c r="D12519" s="3"/>
    </row>
    <row r="12520" spans="1:4">
      <c r="A12520" s="691"/>
      <c r="D12520" s="3"/>
    </row>
    <row r="12521" spans="1:4">
      <c r="A12521" s="691"/>
      <c r="D12521" s="3"/>
    </row>
    <row r="12522" spans="1:4">
      <c r="A12522" s="691"/>
      <c r="D12522" s="3"/>
    </row>
    <row r="12523" spans="1:4">
      <c r="A12523" s="691"/>
      <c r="D12523" s="3"/>
    </row>
    <row r="12524" spans="1:4">
      <c r="A12524" s="691"/>
      <c r="D12524" s="3"/>
    </row>
    <row r="12525" spans="1:4">
      <c r="A12525" s="691"/>
      <c r="D12525" s="3"/>
    </row>
    <row r="12526" spans="1:4">
      <c r="A12526" s="691"/>
      <c r="D12526" s="3"/>
    </row>
    <row r="12527" spans="1:4">
      <c r="A12527" s="691"/>
      <c r="D12527" s="3"/>
    </row>
    <row r="12528" spans="1:4">
      <c r="A12528" s="691"/>
      <c r="D12528" s="3"/>
    </row>
    <row r="12529" spans="1:4">
      <c r="A12529" s="691"/>
      <c r="D12529" s="3"/>
    </row>
    <row r="12530" spans="1:4">
      <c r="A12530" s="691"/>
      <c r="D12530" s="3"/>
    </row>
    <row r="12531" spans="1:4">
      <c r="A12531" s="691"/>
      <c r="D12531" s="3"/>
    </row>
    <row r="12532" spans="1:4">
      <c r="A12532" s="691"/>
      <c r="D12532" s="3"/>
    </row>
    <row r="12533" spans="1:4">
      <c r="A12533" s="691"/>
      <c r="D12533" s="3"/>
    </row>
    <row r="12534" spans="1:4">
      <c r="A12534" s="691"/>
      <c r="D12534" s="3"/>
    </row>
    <row r="12535" spans="1:4">
      <c r="A12535" s="691"/>
      <c r="D12535" s="3"/>
    </row>
    <row r="12536" spans="1:4">
      <c r="A12536" s="691"/>
      <c r="D12536" s="3"/>
    </row>
    <row r="12537" spans="1:4">
      <c r="A12537" s="691"/>
      <c r="D12537" s="3"/>
    </row>
    <row r="12538" spans="1:4">
      <c r="A12538" s="691"/>
      <c r="D12538" s="3"/>
    </row>
    <row r="12539" spans="1:4">
      <c r="A12539" s="691"/>
      <c r="D12539" s="3"/>
    </row>
    <row r="12540" spans="1:4">
      <c r="A12540" s="691"/>
      <c r="D12540" s="3"/>
    </row>
    <row r="12541" spans="1:4">
      <c r="A12541" s="691"/>
      <c r="D12541" s="3"/>
    </row>
    <row r="12542" spans="1:4">
      <c r="A12542" s="691"/>
      <c r="D12542" s="3"/>
    </row>
    <row r="12543" spans="1:4">
      <c r="A12543" s="691"/>
      <c r="D12543" s="3"/>
    </row>
    <row r="12544" spans="1:4">
      <c r="A12544" s="691"/>
      <c r="D12544" s="3"/>
    </row>
    <row r="12545" spans="1:4">
      <c r="A12545" s="691"/>
      <c r="D12545" s="3"/>
    </row>
    <row r="12546" spans="1:4">
      <c r="A12546" s="691"/>
      <c r="D12546" s="3"/>
    </row>
    <row r="12547" spans="1:4">
      <c r="A12547" s="691"/>
      <c r="D12547" s="3"/>
    </row>
    <row r="12548" spans="1:4">
      <c r="A12548" s="691"/>
      <c r="D12548" s="3"/>
    </row>
    <row r="12549" spans="1:4">
      <c r="A12549" s="691"/>
      <c r="D12549" s="3"/>
    </row>
    <row r="12550" spans="1:4">
      <c r="A12550" s="691"/>
      <c r="D12550" s="3"/>
    </row>
    <row r="12551" spans="1:4">
      <c r="A12551" s="691"/>
      <c r="D12551" s="3"/>
    </row>
    <row r="12552" spans="1:4">
      <c r="A12552" s="691"/>
      <c r="D12552" s="3"/>
    </row>
    <row r="12553" spans="1:4">
      <c r="A12553" s="691"/>
      <c r="D12553" s="3"/>
    </row>
    <row r="12554" spans="1:4">
      <c r="A12554" s="691"/>
      <c r="D12554" s="3"/>
    </row>
    <row r="12555" spans="1:4">
      <c r="A12555" s="691"/>
      <c r="D12555" s="3"/>
    </row>
    <row r="12556" spans="1:4">
      <c r="A12556" s="691"/>
      <c r="D12556" s="3"/>
    </row>
    <row r="12557" spans="1:4">
      <c r="A12557" s="691"/>
      <c r="D12557" s="3"/>
    </row>
    <row r="12558" spans="1:4">
      <c r="A12558" s="691"/>
      <c r="D12558" s="3"/>
    </row>
    <row r="12559" spans="1:4">
      <c r="A12559" s="691"/>
      <c r="D12559" s="3"/>
    </row>
    <row r="12560" spans="1:4">
      <c r="A12560" s="691"/>
      <c r="D12560" s="3"/>
    </row>
    <row r="12561" spans="1:4">
      <c r="A12561" s="691"/>
      <c r="D12561" s="3"/>
    </row>
    <row r="12562" spans="1:4">
      <c r="A12562" s="691"/>
      <c r="D12562" s="3"/>
    </row>
    <row r="12563" spans="1:4">
      <c r="A12563" s="691"/>
      <c r="D12563" s="3"/>
    </row>
    <row r="12564" spans="1:4">
      <c r="A12564" s="691"/>
      <c r="D12564" s="3"/>
    </row>
    <row r="12565" spans="1:4">
      <c r="A12565" s="691"/>
      <c r="D12565" s="3"/>
    </row>
    <row r="12566" spans="1:4">
      <c r="A12566" s="691"/>
      <c r="D12566" s="3"/>
    </row>
    <row r="12567" spans="1:4">
      <c r="A12567" s="691"/>
      <c r="D12567" s="3"/>
    </row>
    <row r="12568" spans="1:4">
      <c r="A12568" s="691"/>
      <c r="D12568" s="3"/>
    </row>
    <row r="12569" spans="1:4">
      <c r="A12569" s="691"/>
      <c r="D12569" s="3"/>
    </row>
    <row r="12570" spans="1:4">
      <c r="A12570" s="691"/>
      <c r="D12570" s="3"/>
    </row>
    <row r="12571" spans="1:4">
      <c r="A12571" s="691"/>
      <c r="D12571" s="3"/>
    </row>
    <row r="12572" spans="1:4">
      <c r="A12572" s="691"/>
      <c r="D12572" s="3"/>
    </row>
    <row r="12573" spans="1:4">
      <c r="A12573" s="691"/>
      <c r="D12573" s="3"/>
    </row>
    <row r="12574" spans="1:4">
      <c r="A12574" s="691"/>
      <c r="D12574" s="3"/>
    </row>
    <row r="12575" spans="1:4">
      <c r="A12575" s="691"/>
      <c r="D12575" s="3"/>
    </row>
    <row r="12576" spans="1:4">
      <c r="A12576" s="691"/>
      <c r="D12576" s="3"/>
    </row>
    <row r="12577" spans="1:4">
      <c r="A12577" s="691"/>
      <c r="D12577" s="3"/>
    </row>
    <row r="12578" spans="1:4">
      <c r="A12578" s="691"/>
      <c r="D12578" s="3"/>
    </row>
    <row r="12579" spans="1:4">
      <c r="A12579" s="691"/>
      <c r="D12579" s="3"/>
    </row>
    <row r="12580" spans="1:4">
      <c r="A12580" s="691"/>
      <c r="D12580" s="3"/>
    </row>
    <row r="12581" spans="1:4">
      <c r="A12581" s="691"/>
      <c r="D12581" s="3"/>
    </row>
    <row r="12582" spans="1:4">
      <c r="A12582" s="691"/>
      <c r="D12582" s="3"/>
    </row>
    <row r="12583" spans="1:4">
      <c r="A12583" s="691"/>
      <c r="D12583" s="3"/>
    </row>
    <row r="12584" spans="1:4">
      <c r="A12584" s="691"/>
      <c r="D12584" s="3"/>
    </row>
    <row r="12585" spans="1:4">
      <c r="A12585" s="691"/>
      <c r="D12585" s="3"/>
    </row>
    <row r="12586" spans="1:4">
      <c r="A12586" s="691"/>
      <c r="D12586" s="3"/>
    </row>
    <row r="12587" spans="1:4">
      <c r="A12587" s="691"/>
      <c r="D12587" s="3"/>
    </row>
    <row r="12588" spans="1:4">
      <c r="A12588" s="691"/>
      <c r="D12588" s="3"/>
    </row>
    <row r="12589" spans="1:4">
      <c r="A12589" s="691"/>
      <c r="D12589" s="3"/>
    </row>
    <row r="12590" spans="1:4">
      <c r="A12590" s="691"/>
      <c r="D12590" s="3"/>
    </row>
    <row r="12591" spans="1:4">
      <c r="A12591" s="691"/>
      <c r="D12591" s="3"/>
    </row>
    <row r="12592" spans="1:4">
      <c r="A12592" s="691"/>
      <c r="D12592" s="3"/>
    </row>
    <row r="12593" spans="1:4">
      <c r="A12593" s="691"/>
      <c r="D12593" s="3"/>
    </row>
    <row r="12594" spans="1:4">
      <c r="A12594" s="691"/>
      <c r="D12594" s="3"/>
    </row>
    <row r="12595" spans="1:4">
      <c r="A12595" s="691"/>
      <c r="D12595" s="3"/>
    </row>
    <row r="12596" spans="1:4">
      <c r="A12596" s="691"/>
      <c r="D12596" s="3"/>
    </row>
    <row r="12597" spans="1:4">
      <c r="A12597" s="691"/>
      <c r="D12597" s="3"/>
    </row>
    <row r="12598" spans="1:4">
      <c r="A12598" s="691"/>
      <c r="D12598" s="3"/>
    </row>
    <row r="12599" spans="1:4">
      <c r="A12599" s="691"/>
      <c r="D12599" s="3"/>
    </row>
    <row r="12600" spans="1:4">
      <c r="A12600" s="691"/>
      <c r="D12600" s="3"/>
    </row>
    <row r="12601" spans="1:4">
      <c r="A12601" s="691"/>
      <c r="D12601" s="3"/>
    </row>
    <row r="12602" spans="1:4">
      <c r="A12602" s="691"/>
      <c r="D12602" s="3"/>
    </row>
    <row r="12603" spans="1:4">
      <c r="A12603" s="691"/>
      <c r="D12603" s="3"/>
    </row>
    <row r="12604" spans="1:4">
      <c r="A12604" s="691"/>
      <c r="D12604" s="3"/>
    </row>
    <row r="12605" spans="1:4">
      <c r="A12605" s="691"/>
      <c r="D12605" s="3"/>
    </row>
    <row r="12606" spans="1:4">
      <c r="A12606" s="691"/>
      <c r="D12606" s="3"/>
    </row>
    <row r="12607" spans="1:4">
      <c r="A12607" s="691"/>
      <c r="D12607" s="3"/>
    </row>
    <row r="12608" spans="1:4">
      <c r="A12608" s="691"/>
      <c r="D12608" s="3"/>
    </row>
    <row r="12609" spans="1:4">
      <c r="A12609" s="691"/>
      <c r="D12609" s="3"/>
    </row>
    <row r="12610" spans="1:4">
      <c r="A12610" s="691"/>
      <c r="D12610" s="3"/>
    </row>
    <row r="12611" spans="1:4">
      <c r="A12611" s="691"/>
      <c r="D12611" s="3"/>
    </row>
    <row r="12612" spans="1:4">
      <c r="A12612" s="691"/>
      <c r="D12612" s="3"/>
    </row>
    <row r="12613" spans="1:4">
      <c r="A12613" s="691"/>
      <c r="D12613" s="3"/>
    </row>
    <row r="12614" spans="1:4">
      <c r="A12614" s="691"/>
      <c r="D12614" s="3"/>
    </row>
    <row r="12615" spans="1:4">
      <c r="A12615" s="691"/>
      <c r="D12615" s="3"/>
    </row>
    <row r="12616" spans="1:4">
      <c r="A12616" s="691"/>
      <c r="D12616" s="3"/>
    </row>
    <row r="12617" spans="1:4">
      <c r="A12617" s="691"/>
      <c r="D12617" s="3"/>
    </row>
    <row r="12618" spans="1:4">
      <c r="A12618" s="691"/>
      <c r="D12618" s="3"/>
    </row>
    <row r="12619" spans="1:4">
      <c r="A12619" s="691"/>
      <c r="D12619" s="3"/>
    </row>
    <row r="12620" spans="1:4">
      <c r="A12620" s="691"/>
      <c r="D12620" s="3"/>
    </row>
    <row r="12621" spans="1:4">
      <c r="A12621" s="691"/>
      <c r="D12621" s="3"/>
    </row>
    <row r="12622" spans="1:4">
      <c r="A12622" s="691"/>
      <c r="D12622" s="3"/>
    </row>
    <row r="12623" spans="1:4">
      <c r="A12623" s="691"/>
      <c r="D12623" s="3"/>
    </row>
    <row r="12624" spans="1:4">
      <c r="A12624" s="691"/>
      <c r="D12624" s="3"/>
    </row>
    <row r="12625" spans="1:4">
      <c r="A12625" s="691"/>
      <c r="D12625" s="3"/>
    </row>
    <row r="12626" spans="1:4">
      <c r="A12626" s="691"/>
      <c r="D12626" s="3"/>
    </row>
    <row r="12627" spans="1:4">
      <c r="A12627" s="691"/>
      <c r="D12627" s="3"/>
    </row>
    <row r="12628" spans="1:4">
      <c r="A12628" s="691"/>
      <c r="D12628" s="3"/>
    </row>
    <row r="12629" spans="1:4">
      <c r="A12629" s="691"/>
      <c r="D12629" s="3"/>
    </row>
    <row r="12630" spans="1:4">
      <c r="A12630" s="691"/>
      <c r="D12630" s="3"/>
    </row>
    <row r="12631" spans="1:4">
      <c r="A12631" s="691"/>
      <c r="D12631" s="3"/>
    </row>
    <row r="12632" spans="1:4">
      <c r="A12632" s="691"/>
      <c r="D12632" s="3"/>
    </row>
    <row r="12633" spans="1:4">
      <c r="A12633" s="691"/>
      <c r="D12633" s="3"/>
    </row>
    <row r="12634" spans="1:4">
      <c r="A12634" s="691"/>
      <c r="D12634" s="3"/>
    </row>
    <row r="12635" spans="1:4">
      <c r="A12635" s="691"/>
      <c r="D12635" s="3"/>
    </row>
    <row r="12636" spans="1:4">
      <c r="A12636" s="691"/>
      <c r="D12636" s="3"/>
    </row>
    <row r="12637" spans="1:4">
      <c r="A12637" s="691"/>
      <c r="D12637" s="3"/>
    </row>
    <row r="12638" spans="1:4">
      <c r="A12638" s="691"/>
      <c r="D12638" s="3"/>
    </row>
    <row r="12639" spans="1:4">
      <c r="A12639" s="691"/>
      <c r="D12639" s="3"/>
    </row>
    <row r="12640" spans="1:4">
      <c r="A12640" s="691"/>
      <c r="D12640" s="3"/>
    </row>
    <row r="12641" spans="1:4">
      <c r="A12641" s="691"/>
      <c r="D12641" s="3"/>
    </row>
    <row r="12642" spans="1:4">
      <c r="A12642" s="691"/>
      <c r="D12642" s="3"/>
    </row>
    <row r="12643" spans="1:4">
      <c r="A12643" s="691"/>
      <c r="D12643" s="3"/>
    </row>
    <row r="12644" spans="1:4">
      <c r="A12644" s="691"/>
      <c r="D12644" s="3"/>
    </row>
    <row r="12645" spans="1:4">
      <c r="A12645" s="691"/>
      <c r="D12645" s="3"/>
    </row>
    <row r="12646" spans="1:4">
      <c r="A12646" s="691"/>
      <c r="D12646" s="3"/>
    </row>
    <row r="12647" spans="1:4">
      <c r="A12647" s="691"/>
      <c r="D12647" s="3"/>
    </row>
    <row r="12648" spans="1:4">
      <c r="A12648" s="691"/>
      <c r="D12648" s="3"/>
    </row>
    <row r="12649" spans="1:4">
      <c r="A12649" s="691"/>
      <c r="D12649" s="3"/>
    </row>
    <row r="12650" spans="1:4">
      <c r="A12650" s="691"/>
      <c r="D12650" s="3"/>
    </row>
    <row r="12651" spans="1:4">
      <c r="A12651" s="691"/>
      <c r="D12651" s="3"/>
    </row>
    <row r="12652" spans="1:4">
      <c r="A12652" s="691"/>
      <c r="D12652" s="3"/>
    </row>
    <row r="12653" spans="1:4">
      <c r="A12653" s="691"/>
      <c r="D12653" s="3"/>
    </row>
    <row r="12654" spans="1:4">
      <c r="A12654" s="691"/>
      <c r="D12654" s="3"/>
    </row>
    <row r="12655" spans="1:4">
      <c r="A12655" s="691"/>
      <c r="D12655" s="3"/>
    </row>
    <row r="12656" spans="1:4">
      <c r="A12656" s="691"/>
      <c r="D12656" s="3"/>
    </row>
    <row r="12657" spans="1:4">
      <c r="A12657" s="691"/>
      <c r="D12657" s="3"/>
    </row>
    <row r="12658" spans="1:4">
      <c r="A12658" s="691"/>
      <c r="D12658" s="3"/>
    </row>
    <row r="12659" spans="1:4">
      <c r="A12659" s="691"/>
      <c r="D12659" s="3"/>
    </row>
    <row r="12660" spans="1:4">
      <c r="A12660" s="691"/>
      <c r="D12660" s="3"/>
    </row>
    <row r="12661" spans="1:4">
      <c r="A12661" s="691"/>
      <c r="D12661" s="3"/>
    </row>
    <row r="12662" spans="1:4">
      <c r="A12662" s="691"/>
      <c r="D12662" s="3"/>
    </row>
    <row r="12663" spans="1:4">
      <c r="A12663" s="691"/>
      <c r="D12663" s="3"/>
    </row>
    <row r="12664" spans="1:4">
      <c r="A12664" s="691"/>
      <c r="D12664" s="3"/>
    </row>
    <row r="12665" spans="1:4">
      <c r="A12665" s="691"/>
      <c r="D12665" s="3"/>
    </row>
    <row r="12666" spans="1:4">
      <c r="A12666" s="691"/>
      <c r="D12666" s="3"/>
    </row>
    <row r="12667" spans="1:4">
      <c r="A12667" s="691"/>
      <c r="D12667" s="3"/>
    </row>
    <row r="12668" spans="1:4">
      <c r="A12668" s="691"/>
      <c r="D12668" s="3"/>
    </row>
    <row r="12669" spans="1:4">
      <c r="A12669" s="691"/>
      <c r="D12669" s="3"/>
    </row>
    <row r="12670" spans="1:4">
      <c r="A12670" s="691"/>
      <c r="D12670" s="3"/>
    </row>
    <row r="12671" spans="1:4">
      <c r="A12671" s="691"/>
      <c r="D12671" s="3"/>
    </row>
    <row r="12672" spans="1:4">
      <c r="A12672" s="691"/>
      <c r="D12672" s="3"/>
    </row>
    <row r="12673" spans="1:4">
      <c r="A12673" s="691"/>
      <c r="D12673" s="3"/>
    </row>
    <row r="12674" spans="1:4">
      <c r="A12674" s="691"/>
      <c r="D12674" s="3"/>
    </row>
    <row r="12675" spans="1:4">
      <c r="A12675" s="691"/>
      <c r="D12675" s="3"/>
    </row>
    <row r="12676" spans="1:4">
      <c r="A12676" s="691"/>
      <c r="D12676" s="3"/>
    </row>
    <row r="12677" spans="1:4">
      <c r="A12677" s="691"/>
      <c r="D12677" s="3"/>
    </row>
    <row r="12678" spans="1:4">
      <c r="A12678" s="691"/>
      <c r="D12678" s="3"/>
    </row>
    <row r="12679" spans="1:4">
      <c r="A12679" s="691"/>
      <c r="D12679" s="3"/>
    </row>
    <row r="12680" spans="1:4">
      <c r="A12680" s="691"/>
      <c r="D12680" s="3"/>
    </row>
    <row r="12681" spans="1:4">
      <c r="A12681" s="691"/>
      <c r="D12681" s="3"/>
    </row>
    <row r="12682" spans="1:4">
      <c r="A12682" s="691"/>
      <c r="D12682" s="3"/>
    </row>
    <row r="12683" spans="1:4">
      <c r="A12683" s="691"/>
      <c r="D12683" s="3"/>
    </row>
    <row r="12684" spans="1:4">
      <c r="A12684" s="691"/>
      <c r="D12684" s="3"/>
    </row>
    <row r="12685" spans="1:4">
      <c r="A12685" s="691"/>
      <c r="D12685" s="3"/>
    </row>
    <row r="12686" spans="1:4">
      <c r="A12686" s="691"/>
      <c r="D12686" s="3"/>
    </row>
    <row r="12687" spans="1:4">
      <c r="A12687" s="691"/>
      <c r="D12687" s="3"/>
    </row>
    <row r="12688" spans="1:4">
      <c r="A12688" s="691"/>
      <c r="D12688" s="3"/>
    </row>
    <row r="12689" spans="1:4">
      <c r="A12689" s="691"/>
      <c r="D12689" s="3"/>
    </row>
    <row r="12690" spans="1:4">
      <c r="A12690" s="691"/>
      <c r="D12690" s="3"/>
    </row>
    <row r="12691" spans="1:4">
      <c r="A12691" s="691"/>
      <c r="D12691" s="3"/>
    </row>
    <row r="12692" spans="1:4">
      <c r="A12692" s="691"/>
      <c r="D12692" s="3"/>
    </row>
    <row r="12693" spans="1:4">
      <c r="A12693" s="691"/>
      <c r="D12693" s="3"/>
    </row>
    <row r="12694" spans="1:4">
      <c r="A12694" s="691"/>
      <c r="D12694" s="3"/>
    </row>
    <row r="12695" spans="1:4">
      <c r="A12695" s="691"/>
      <c r="D12695" s="3"/>
    </row>
    <row r="12696" spans="1:4">
      <c r="A12696" s="691"/>
      <c r="D12696" s="3"/>
    </row>
    <row r="12697" spans="1:4">
      <c r="A12697" s="691"/>
      <c r="D12697" s="3"/>
    </row>
    <row r="12698" spans="1:4">
      <c r="A12698" s="691"/>
      <c r="D12698" s="3"/>
    </row>
    <row r="12699" spans="1:4">
      <c r="A12699" s="691"/>
      <c r="D12699" s="3"/>
    </row>
    <row r="12700" spans="1:4">
      <c r="A12700" s="691"/>
      <c r="D12700" s="3"/>
    </row>
    <row r="12701" spans="1:4">
      <c r="A12701" s="691"/>
      <c r="D12701" s="3"/>
    </row>
    <row r="12702" spans="1:4">
      <c r="A12702" s="691"/>
      <c r="D12702" s="3"/>
    </row>
    <row r="12703" spans="1:4">
      <c r="A12703" s="691"/>
      <c r="D12703" s="3"/>
    </row>
    <row r="12704" spans="1:4">
      <c r="A12704" s="691"/>
      <c r="D12704" s="3"/>
    </row>
    <row r="12705" spans="1:4">
      <c r="A12705" s="691"/>
      <c r="D12705" s="3"/>
    </row>
    <row r="12706" spans="1:4">
      <c r="A12706" s="691"/>
      <c r="D12706" s="3"/>
    </row>
    <row r="12707" spans="1:4">
      <c r="A12707" s="691"/>
      <c r="D12707" s="3"/>
    </row>
    <row r="12708" spans="1:4">
      <c r="A12708" s="691"/>
      <c r="D12708" s="3"/>
    </row>
    <row r="12709" spans="1:4">
      <c r="A12709" s="691"/>
      <c r="D12709" s="3"/>
    </row>
    <row r="12710" spans="1:4">
      <c r="A12710" s="691"/>
      <c r="D12710" s="3"/>
    </row>
    <row r="12711" spans="1:4">
      <c r="A12711" s="691"/>
      <c r="D12711" s="3"/>
    </row>
    <row r="12712" spans="1:4">
      <c r="A12712" s="691"/>
      <c r="D12712" s="3"/>
    </row>
    <row r="12713" spans="1:4">
      <c r="A12713" s="691"/>
      <c r="D12713" s="3"/>
    </row>
    <row r="12714" spans="1:4">
      <c r="A12714" s="691"/>
      <c r="D12714" s="3"/>
    </row>
    <row r="12715" spans="1:4">
      <c r="A12715" s="691"/>
      <c r="D12715" s="3"/>
    </row>
    <row r="12716" spans="1:4">
      <c r="A12716" s="691"/>
      <c r="D12716" s="3"/>
    </row>
    <row r="12717" spans="1:4">
      <c r="A12717" s="691"/>
      <c r="D12717" s="3"/>
    </row>
    <row r="12718" spans="1:4">
      <c r="A12718" s="691"/>
      <c r="D12718" s="3"/>
    </row>
    <row r="12719" spans="1:4">
      <c r="A12719" s="691"/>
      <c r="D12719" s="3"/>
    </row>
    <row r="12720" spans="1:4">
      <c r="A12720" s="691"/>
      <c r="D12720" s="3"/>
    </row>
    <row r="12721" spans="1:4">
      <c r="A12721" s="691"/>
      <c r="D12721" s="3"/>
    </row>
    <row r="12722" spans="1:4">
      <c r="A12722" s="691"/>
      <c r="D12722" s="3"/>
    </row>
    <row r="12723" spans="1:4">
      <c r="A12723" s="691"/>
      <c r="D12723" s="3"/>
    </row>
    <row r="12724" spans="1:4">
      <c r="A12724" s="691"/>
      <c r="D12724" s="3"/>
    </row>
    <row r="12725" spans="1:4">
      <c r="A12725" s="691"/>
      <c r="D12725" s="3"/>
    </row>
    <row r="12726" spans="1:4">
      <c r="A12726" s="691"/>
      <c r="D12726" s="3"/>
    </row>
    <row r="12727" spans="1:4">
      <c r="A12727" s="691"/>
      <c r="D12727" s="3"/>
    </row>
    <row r="12728" spans="1:4">
      <c r="A12728" s="691"/>
      <c r="D12728" s="3"/>
    </row>
    <row r="12729" spans="1:4">
      <c r="A12729" s="691"/>
      <c r="D12729" s="3"/>
    </row>
    <row r="12730" spans="1:4">
      <c r="A12730" s="691"/>
      <c r="D12730" s="3"/>
    </row>
    <row r="12731" spans="1:4">
      <c r="A12731" s="691"/>
      <c r="D12731" s="3"/>
    </row>
    <row r="12732" spans="1:4">
      <c r="A12732" s="691"/>
      <c r="D12732" s="3"/>
    </row>
    <row r="12733" spans="1:4">
      <c r="A12733" s="691"/>
      <c r="D12733" s="3"/>
    </row>
    <row r="12734" spans="1:4">
      <c r="A12734" s="691"/>
      <c r="D12734" s="3"/>
    </row>
    <row r="12735" spans="1:4">
      <c r="A12735" s="691"/>
      <c r="D12735" s="3"/>
    </row>
    <row r="12736" spans="1:4">
      <c r="A12736" s="691"/>
      <c r="D12736" s="3"/>
    </row>
    <row r="12737" spans="1:4">
      <c r="A12737" s="691"/>
      <c r="D12737" s="3"/>
    </row>
    <row r="12738" spans="1:4">
      <c r="A12738" s="691"/>
      <c r="D12738" s="3"/>
    </row>
    <row r="12739" spans="1:4">
      <c r="A12739" s="691"/>
      <c r="D12739" s="3"/>
    </row>
    <row r="12740" spans="1:4">
      <c r="A12740" s="691"/>
      <c r="D12740" s="3"/>
    </row>
    <row r="12741" spans="1:4">
      <c r="A12741" s="691"/>
      <c r="D12741" s="3"/>
    </row>
    <row r="12742" spans="1:4">
      <c r="A12742" s="691"/>
      <c r="D12742" s="3"/>
    </row>
    <row r="12743" spans="1:4">
      <c r="A12743" s="691"/>
      <c r="D12743" s="3"/>
    </row>
    <row r="12744" spans="1:4">
      <c r="A12744" s="691"/>
      <c r="D12744" s="3"/>
    </row>
    <row r="12745" spans="1:4">
      <c r="A12745" s="691"/>
      <c r="D12745" s="3"/>
    </row>
    <row r="12746" spans="1:4">
      <c r="A12746" s="691"/>
      <c r="D12746" s="3"/>
    </row>
    <row r="12747" spans="1:4">
      <c r="A12747" s="691"/>
      <c r="D12747" s="3"/>
    </row>
    <row r="12748" spans="1:4">
      <c r="A12748" s="691"/>
      <c r="D12748" s="3"/>
    </row>
    <row r="12749" spans="1:4">
      <c r="A12749" s="691"/>
      <c r="D12749" s="3"/>
    </row>
    <row r="12750" spans="1:4">
      <c r="A12750" s="691"/>
      <c r="D12750" s="3"/>
    </row>
    <row r="12751" spans="1:4">
      <c r="A12751" s="691"/>
      <c r="D12751" s="3"/>
    </row>
    <row r="12752" spans="1:4">
      <c r="A12752" s="691"/>
      <c r="D12752" s="3"/>
    </row>
    <row r="12753" spans="1:4">
      <c r="A12753" s="691"/>
      <c r="D12753" s="3"/>
    </row>
    <row r="12754" spans="1:4">
      <c r="A12754" s="691"/>
      <c r="D12754" s="3"/>
    </row>
    <row r="12755" spans="1:4">
      <c r="A12755" s="691"/>
      <c r="D12755" s="3"/>
    </row>
    <row r="12756" spans="1:4">
      <c r="A12756" s="691"/>
      <c r="D12756" s="3"/>
    </row>
    <row r="12757" spans="1:4">
      <c r="A12757" s="691"/>
      <c r="D12757" s="3"/>
    </row>
    <row r="12758" spans="1:4">
      <c r="A12758" s="691"/>
      <c r="D12758" s="3"/>
    </row>
    <row r="12759" spans="1:4">
      <c r="A12759" s="691"/>
      <c r="D12759" s="3"/>
    </row>
    <row r="12760" spans="1:4">
      <c r="A12760" s="691"/>
      <c r="D12760" s="3"/>
    </row>
    <row r="12761" spans="1:4">
      <c r="A12761" s="691"/>
      <c r="D12761" s="3"/>
    </row>
    <row r="12762" spans="1:4">
      <c r="A12762" s="691"/>
      <c r="D12762" s="3"/>
    </row>
    <row r="12763" spans="1:4">
      <c r="A12763" s="691"/>
      <c r="D12763" s="3"/>
    </row>
    <row r="12764" spans="1:4">
      <c r="A12764" s="691"/>
      <c r="D12764" s="3"/>
    </row>
    <row r="12765" spans="1:4">
      <c r="A12765" s="691"/>
      <c r="D12765" s="3"/>
    </row>
    <row r="12766" spans="1:4">
      <c r="A12766" s="691"/>
      <c r="D12766" s="3"/>
    </row>
    <row r="12767" spans="1:4">
      <c r="A12767" s="691"/>
      <c r="D12767" s="3"/>
    </row>
    <row r="12768" spans="1:4">
      <c r="A12768" s="691"/>
      <c r="D12768" s="3"/>
    </row>
    <row r="12769" spans="1:4">
      <c r="A12769" s="691"/>
      <c r="D12769" s="3"/>
    </row>
    <row r="12770" spans="1:4">
      <c r="A12770" s="691"/>
      <c r="D12770" s="3"/>
    </row>
    <row r="12771" spans="1:4">
      <c r="A12771" s="691"/>
      <c r="D12771" s="3"/>
    </row>
    <row r="12772" spans="1:4">
      <c r="A12772" s="691"/>
      <c r="D12772" s="3"/>
    </row>
    <row r="12773" spans="1:4">
      <c r="A12773" s="691"/>
      <c r="D12773" s="3"/>
    </row>
    <row r="12774" spans="1:4">
      <c r="A12774" s="691"/>
      <c r="D12774" s="3"/>
    </row>
    <row r="12775" spans="1:4">
      <c r="A12775" s="691"/>
      <c r="D12775" s="3"/>
    </row>
    <row r="12776" spans="1:4">
      <c r="A12776" s="691"/>
      <c r="D12776" s="3"/>
    </row>
    <row r="12777" spans="1:4">
      <c r="A12777" s="691"/>
      <c r="D12777" s="3"/>
    </row>
    <row r="12778" spans="1:4">
      <c r="A12778" s="691"/>
      <c r="D12778" s="3"/>
    </row>
    <row r="12779" spans="1:4">
      <c r="A12779" s="691"/>
      <c r="D12779" s="3"/>
    </row>
    <row r="12780" spans="1:4">
      <c r="A12780" s="691"/>
      <c r="D12780" s="3"/>
    </row>
    <row r="12781" spans="1:4">
      <c r="A12781" s="691"/>
      <c r="D12781" s="3"/>
    </row>
    <row r="12782" spans="1:4">
      <c r="A12782" s="691"/>
      <c r="D12782" s="3"/>
    </row>
    <row r="12783" spans="1:4">
      <c r="A12783" s="691"/>
      <c r="D12783" s="3"/>
    </row>
    <row r="12784" spans="1:4">
      <c r="A12784" s="691"/>
      <c r="D12784" s="3"/>
    </row>
    <row r="12785" spans="1:4">
      <c r="A12785" s="691"/>
      <c r="D12785" s="3"/>
    </row>
    <row r="12786" spans="1:4">
      <c r="A12786" s="691"/>
      <c r="D12786" s="3"/>
    </row>
    <row r="12787" spans="1:4">
      <c r="A12787" s="691"/>
      <c r="D12787" s="3"/>
    </row>
    <row r="12788" spans="1:4">
      <c r="A12788" s="691"/>
      <c r="D12788" s="3"/>
    </row>
    <row r="12789" spans="1:4">
      <c r="A12789" s="691"/>
      <c r="D12789" s="3"/>
    </row>
    <row r="12790" spans="1:4">
      <c r="A12790" s="691"/>
      <c r="D12790" s="3"/>
    </row>
    <row r="12791" spans="1:4">
      <c r="A12791" s="691"/>
      <c r="D12791" s="3"/>
    </row>
    <row r="12792" spans="1:4">
      <c r="A12792" s="691"/>
      <c r="D12792" s="3"/>
    </row>
    <row r="12793" spans="1:4">
      <c r="A12793" s="691"/>
      <c r="D12793" s="3"/>
    </row>
    <row r="12794" spans="1:4">
      <c r="A12794" s="691"/>
      <c r="D12794" s="3"/>
    </row>
    <row r="12795" spans="1:4">
      <c r="A12795" s="691"/>
      <c r="D12795" s="3"/>
    </row>
    <row r="12796" spans="1:4">
      <c r="A12796" s="691"/>
      <c r="D12796" s="3"/>
    </row>
    <row r="12797" spans="1:4">
      <c r="A12797" s="691"/>
      <c r="D12797" s="3"/>
    </row>
    <row r="12798" spans="1:4">
      <c r="A12798" s="691"/>
      <c r="D12798" s="3"/>
    </row>
    <row r="12799" spans="1:4">
      <c r="A12799" s="691"/>
      <c r="D12799" s="3"/>
    </row>
    <row r="12800" spans="1:4">
      <c r="A12800" s="691"/>
      <c r="D12800" s="3"/>
    </row>
    <row r="12801" spans="1:4">
      <c r="A12801" s="691"/>
      <c r="D12801" s="3"/>
    </row>
    <row r="12802" spans="1:4">
      <c r="A12802" s="691"/>
      <c r="D12802" s="3"/>
    </row>
    <row r="12803" spans="1:4">
      <c r="A12803" s="691"/>
      <c r="D12803" s="3"/>
    </row>
    <row r="12804" spans="1:4">
      <c r="A12804" s="691"/>
      <c r="D12804" s="3"/>
    </row>
    <row r="12805" spans="1:4">
      <c r="A12805" s="691"/>
      <c r="D12805" s="3"/>
    </row>
    <row r="12806" spans="1:4">
      <c r="A12806" s="691"/>
      <c r="D12806" s="3"/>
    </row>
    <row r="12807" spans="1:4">
      <c r="A12807" s="691"/>
      <c r="D12807" s="3"/>
    </row>
    <row r="12808" spans="1:4">
      <c r="A12808" s="691"/>
      <c r="D12808" s="3"/>
    </row>
    <row r="12809" spans="1:4">
      <c r="A12809" s="691"/>
      <c r="D12809" s="3"/>
    </row>
    <row r="12810" spans="1:4">
      <c r="A12810" s="691"/>
      <c r="D12810" s="3"/>
    </row>
    <row r="12811" spans="1:4">
      <c r="A12811" s="691"/>
      <c r="D12811" s="3"/>
    </row>
    <row r="12812" spans="1:4">
      <c r="A12812" s="691"/>
      <c r="D12812" s="3"/>
    </row>
    <row r="12813" spans="1:4">
      <c r="A12813" s="691"/>
      <c r="D12813" s="3"/>
    </row>
    <row r="12814" spans="1:4">
      <c r="A12814" s="691"/>
      <c r="D12814" s="3"/>
    </row>
    <row r="12815" spans="1:4">
      <c r="A12815" s="691"/>
      <c r="D12815" s="3"/>
    </row>
    <row r="12816" spans="1:4">
      <c r="A12816" s="691"/>
      <c r="D12816" s="3"/>
    </row>
    <row r="12817" spans="1:4">
      <c r="A12817" s="691"/>
      <c r="D12817" s="3"/>
    </row>
    <row r="12818" spans="1:4">
      <c r="A12818" s="691"/>
      <c r="D12818" s="3"/>
    </row>
    <row r="12819" spans="1:4">
      <c r="A12819" s="691"/>
      <c r="D12819" s="3"/>
    </row>
    <row r="12820" spans="1:4">
      <c r="A12820" s="691"/>
      <c r="D12820" s="3"/>
    </row>
    <row r="12821" spans="1:4">
      <c r="A12821" s="691"/>
      <c r="D12821" s="3"/>
    </row>
    <row r="12822" spans="1:4">
      <c r="A12822" s="691"/>
      <c r="D12822" s="3"/>
    </row>
    <row r="12823" spans="1:4">
      <c r="A12823" s="691"/>
      <c r="D12823" s="3"/>
    </row>
    <row r="12824" spans="1:4">
      <c r="A12824" s="691"/>
      <c r="D12824" s="3"/>
    </row>
    <row r="12825" spans="1:4">
      <c r="A12825" s="691"/>
      <c r="D12825" s="3"/>
    </row>
    <row r="12826" spans="1:4">
      <c r="A12826" s="691"/>
      <c r="D12826" s="3"/>
    </row>
    <row r="12827" spans="1:4">
      <c r="A12827" s="691"/>
      <c r="D12827" s="3"/>
    </row>
    <row r="12828" spans="1:4">
      <c r="A12828" s="691"/>
      <c r="D12828" s="3"/>
    </row>
    <row r="12829" spans="1:4">
      <c r="A12829" s="691"/>
      <c r="D12829" s="3"/>
    </row>
    <row r="12830" spans="1:4">
      <c r="A12830" s="691"/>
      <c r="D12830" s="3"/>
    </row>
    <row r="12831" spans="1:4">
      <c r="A12831" s="691"/>
      <c r="D12831" s="3"/>
    </row>
    <row r="12832" spans="1:4">
      <c r="A12832" s="691"/>
      <c r="D12832" s="3"/>
    </row>
    <row r="12833" spans="1:4">
      <c r="A12833" s="691"/>
      <c r="D12833" s="3"/>
    </row>
    <row r="12834" spans="1:4">
      <c r="A12834" s="691"/>
      <c r="D12834" s="3"/>
    </row>
    <row r="12835" spans="1:4">
      <c r="A12835" s="691"/>
      <c r="D12835" s="3"/>
    </row>
    <row r="12836" spans="1:4">
      <c r="A12836" s="691"/>
      <c r="D12836" s="3"/>
    </row>
    <row r="12837" spans="1:4">
      <c r="A12837" s="691"/>
      <c r="D12837" s="3"/>
    </row>
    <row r="12838" spans="1:4">
      <c r="A12838" s="691"/>
      <c r="D12838" s="3"/>
    </row>
    <row r="12839" spans="1:4">
      <c r="A12839" s="691"/>
      <c r="D12839" s="3"/>
    </row>
    <row r="12840" spans="1:4">
      <c r="A12840" s="691"/>
      <c r="D12840" s="3"/>
    </row>
    <row r="12841" spans="1:4">
      <c r="A12841" s="691"/>
      <c r="D12841" s="3"/>
    </row>
    <row r="12842" spans="1:4">
      <c r="A12842" s="691"/>
      <c r="D12842" s="3"/>
    </row>
    <row r="12843" spans="1:4">
      <c r="A12843" s="691"/>
      <c r="D12843" s="3"/>
    </row>
    <row r="12844" spans="1:4">
      <c r="A12844" s="691"/>
      <c r="D12844" s="3"/>
    </row>
    <row r="12845" spans="1:4">
      <c r="A12845" s="691"/>
      <c r="D12845" s="3"/>
    </row>
    <row r="12846" spans="1:4">
      <c r="A12846" s="691"/>
      <c r="D12846" s="3"/>
    </row>
    <row r="12847" spans="1:4">
      <c r="A12847" s="691"/>
      <c r="D12847" s="3"/>
    </row>
    <row r="12848" spans="1:4">
      <c r="A12848" s="691"/>
      <c r="D12848" s="3"/>
    </row>
    <row r="12849" spans="1:4">
      <c r="A12849" s="691"/>
      <c r="D12849" s="3"/>
    </row>
    <row r="12850" spans="1:4">
      <c r="A12850" s="691"/>
      <c r="D12850" s="3"/>
    </row>
    <row r="12851" spans="1:4">
      <c r="A12851" s="691"/>
      <c r="D12851" s="3"/>
    </row>
    <row r="12852" spans="1:4">
      <c r="A12852" s="691"/>
      <c r="D12852" s="3"/>
    </row>
    <row r="12853" spans="1:4">
      <c r="A12853" s="691"/>
      <c r="D12853" s="3"/>
    </row>
    <row r="12854" spans="1:4">
      <c r="A12854" s="691"/>
      <c r="D12854" s="3"/>
    </row>
    <row r="12855" spans="1:4">
      <c r="A12855" s="691"/>
      <c r="D12855" s="3"/>
    </row>
    <row r="12856" spans="1:4">
      <c r="A12856" s="691"/>
      <c r="D12856" s="3"/>
    </row>
    <row r="12857" spans="1:4">
      <c r="A12857" s="691"/>
      <c r="D12857" s="3"/>
    </row>
    <row r="12858" spans="1:4">
      <c r="A12858" s="691"/>
      <c r="D12858" s="3"/>
    </row>
    <row r="12859" spans="1:4">
      <c r="A12859" s="691"/>
      <c r="D12859" s="3"/>
    </row>
    <row r="12860" spans="1:4">
      <c r="A12860" s="691"/>
      <c r="D12860" s="3"/>
    </row>
    <row r="12861" spans="1:4">
      <c r="A12861" s="691"/>
      <c r="D12861" s="3"/>
    </row>
    <row r="12862" spans="1:4">
      <c r="A12862" s="691"/>
      <c r="D12862" s="3"/>
    </row>
    <row r="12863" spans="1:4">
      <c r="A12863" s="691"/>
      <c r="D12863" s="3"/>
    </row>
    <row r="12864" spans="1:4">
      <c r="A12864" s="691"/>
      <c r="D12864" s="3"/>
    </row>
    <row r="12865" spans="1:4">
      <c r="A12865" s="691"/>
      <c r="D12865" s="3"/>
    </row>
    <row r="12866" spans="1:4">
      <c r="A12866" s="691"/>
      <c r="D12866" s="3"/>
    </row>
    <row r="12867" spans="1:4">
      <c r="A12867" s="691"/>
      <c r="D12867" s="3"/>
    </row>
    <row r="12868" spans="1:4">
      <c r="A12868" s="691"/>
      <c r="D12868" s="3"/>
    </row>
    <row r="12869" spans="1:4">
      <c r="A12869" s="691"/>
      <c r="D12869" s="3"/>
    </row>
    <row r="12870" spans="1:4">
      <c r="A12870" s="691"/>
      <c r="D12870" s="3"/>
    </row>
    <row r="12871" spans="1:4">
      <c r="A12871" s="691"/>
      <c r="D12871" s="3"/>
    </row>
    <row r="12872" spans="1:4">
      <c r="A12872" s="691"/>
      <c r="D12872" s="3"/>
    </row>
    <row r="12873" spans="1:4">
      <c r="A12873" s="691"/>
      <c r="D12873" s="3"/>
    </row>
    <row r="12874" spans="1:4">
      <c r="A12874" s="691"/>
      <c r="D12874" s="3"/>
    </row>
    <row r="12875" spans="1:4">
      <c r="A12875" s="691"/>
      <c r="D12875" s="3"/>
    </row>
    <row r="12876" spans="1:4">
      <c r="A12876" s="691"/>
      <c r="D12876" s="3"/>
    </row>
    <row r="12877" spans="1:4">
      <c r="A12877" s="691"/>
      <c r="D12877" s="3"/>
    </row>
    <row r="12878" spans="1:4">
      <c r="A12878" s="691"/>
      <c r="D12878" s="3"/>
    </row>
    <row r="12879" spans="1:4">
      <c r="A12879" s="691"/>
      <c r="D12879" s="3"/>
    </row>
    <row r="12880" spans="1:4">
      <c r="A12880" s="691"/>
      <c r="D12880" s="3"/>
    </row>
    <row r="12881" spans="1:4">
      <c r="A12881" s="691"/>
      <c r="D12881" s="3"/>
    </row>
    <row r="12882" spans="1:4">
      <c r="A12882" s="691"/>
      <c r="D12882" s="3"/>
    </row>
    <row r="12883" spans="1:4">
      <c r="A12883" s="691"/>
      <c r="D12883" s="3"/>
    </row>
    <row r="12884" spans="1:4">
      <c r="A12884" s="691"/>
      <c r="D12884" s="3"/>
    </row>
    <row r="12885" spans="1:4">
      <c r="A12885" s="691"/>
      <c r="D12885" s="3"/>
    </row>
    <row r="12886" spans="1:4">
      <c r="A12886" s="691"/>
      <c r="D12886" s="3"/>
    </row>
    <row r="12887" spans="1:4">
      <c r="A12887" s="691"/>
      <c r="D12887" s="3"/>
    </row>
    <row r="12888" spans="1:4">
      <c r="A12888" s="691"/>
      <c r="D12888" s="3"/>
    </row>
    <row r="12889" spans="1:4">
      <c r="A12889" s="691"/>
      <c r="D12889" s="3"/>
    </row>
    <row r="12890" spans="1:4">
      <c r="A12890" s="691"/>
      <c r="D12890" s="3"/>
    </row>
    <row r="12891" spans="1:4">
      <c r="A12891" s="691"/>
      <c r="D12891" s="3"/>
    </row>
    <row r="12892" spans="1:4">
      <c r="A12892" s="691"/>
      <c r="D12892" s="3"/>
    </row>
    <row r="12893" spans="1:4">
      <c r="A12893" s="691"/>
      <c r="D12893" s="3"/>
    </row>
    <row r="12894" spans="1:4">
      <c r="A12894" s="691"/>
      <c r="D12894" s="3"/>
    </row>
    <row r="12895" spans="1:4">
      <c r="A12895" s="691"/>
      <c r="D12895" s="3"/>
    </row>
    <row r="12896" spans="1:4">
      <c r="A12896" s="691"/>
      <c r="D12896" s="3"/>
    </row>
    <row r="12897" spans="1:4">
      <c r="A12897" s="691"/>
      <c r="D12897" s="3"/>
    </row>
    <row r="12898" spans="1:4">
      <c r="A12898" s="691"/>
      <c r="D12898" s="3"/>
    </row>
    <row r="12899" spans="1:4">
      <c r="A12899" s="691"/>
      <c r="D12899" s="3"/>
    </row>
    <row r="12900" spans="1:4">
      <c r="A12900" s="691"/>
      <c r="D12900" s="3"/>
    </row>
    <row r="12901" spans="1:4">
      <c r="A12901" s="691"/>
      <c r="D12901" s="3"/>
    </row>
    <row r="12902" spans="1:4">
      <c r="A12902" s="691"/>
      <c r="D12902" s="3"/>
    </row>
    <row r="12903" spans="1:4">
      <c r="A12903" s="691"/>
      <c r="D12903" s="3"/>
    </row>
    <row r="12904" spans="1:4">
      <c r="A12904" s="691"/>
      <c r="D12904" s="3"/>
    </row>
    <row r="12905" spans="1:4">
      <c r="A12905" s="691"/>
      <c r="D12905" s="3"/>
    </row>
    <row r="12906" spans="1:4">
      <c r="A12906" s="691"/>
      <c r="D12906" s="3"/>
    </row>
    <row r="12907" spans="1:4">
      <c r="A12907" s="691"/>
      <c r="D12907" s="3"/>
    </row>
    <row r="12908" spans="1:4">
      <c r="A12908" s="691"/>
      <c r="D12908" s="3"/>
    </row>
    <row r="12909" spans="1:4">
      <c r="A12909" s="691"/>
      <c r="D12909" s="3"/>
    </row>
    <row r="12910" spans="1:4">
      <c r="A12910" s="691"/>
      <c r="D12910" s="3"/>
    </row>
    <row r="12911" spans="1:4">
      <c r="A12911" s="691"/>
      <c r="D12911" s="3"/>
    </row>
    <row r="12912" spans="1:4">
      <c r="A12912" s="691"/>
      <c r="D12912" s="3"/>
    </row>
    <row r="12913" spans="1:4">
      <c r="A12913" s="691"/>
      <c r="D12913" s="3"/>
    </row>
    <row r="12914" spans="1:4">
      <c r="A12914" s="691"/>
      <c r="D12914" s="3"/>
    </row>
    <row r="12915" spans="1:4">
      <c r="A12915" s="691"/>
      <c r="D12915" s="3"/>
    </row>
    <row r="12916" spans="1:4">
      <c r="A12916" s="691"/>
      <c r="D12916" s="3"/>
    </row>
    <row r="12917" spans="1:4">
      <c r="A12917" s="691"/>
      <c r="D12917" s="3"/>
    </row>
    <row r="12918" spans="1:4">
      <c r="A12918" s="691"/>
      <c r="D12918" s="3"/>
    </row>
    <row r="12919" spans="1:4">
      <c r="A12919" s="691"/>
      <c r="D12919" s="3"/>
    </row>
    <row r="12920" spans="1:4">
      <c r="A12920" s="691"/>
      <c r="D12920" s="3"/>
    </row>
    <row r="12921" spans="1:4">
      <c r="A12921" s="691"/>
      <c r="D12921" s="3"/>
    </row>
    <row r="12922" spans="1:4">
      <c r="A12922" s="691"/>
      <c r="D12922" s="3"/>
    </row>
    <row r="12923" spans="1:4">
      <c r="A12923" s="691"/>
      <c r="D12923" s="3"/>
    </row>
    <row r="12924" spans="1:4">
      <c r="A12924" s="691"/>
      <c r="D12924" s="3"/>
    </row>
    <row r="12925" spans="1:4">
      <c r="A12925" s="691"/>
      <c r="D12925" s="3"/>
    </row>
    <row r="12926" spans="1:4">
      <c r="A12926" s="691"/>
      <c r="D12926" s="3"/>
    </row>
    <row r="12927" spans="1:4">
      <c r="A12927" s="691"/>
      <c r="D12927" s="3"/>
    </row>
    <row r="12928" spans="1:4">
      <c r="A12928" s="691"/>
      <c r="D12928" s="3"/>
    </row>
    <row r="12929" spans="1:4">
      <c r="A12929" s="691"/>
      <c r="D12929" s="3"/>
    </row>
    <row r="12930" spans="1:4">
      <c r="A12930" s="691"/>
      <c r="D12930" s="3"/>
    </row>
    <row r="12931" spans="1:4">
      <c r="A12931" s="691"/>
      <c r="D12931" s="3"/>
    </row>
    <row r="12932" spans="1:4">
      <c r="A12932" s="691"/>
      <c r="D12932" s="3"/>
    </row>
    <row r="12933" spans="1:4">
      <c r="A12933" s="691"/>
      <c r="D12933" s="3"/>
    </row>
    <row r="12934" spans="1:4">
      <c r="A12934" s="691"/>
      <c r="D12934" s="3"/>
    </row>
    <row r="12935" spans="1:4">
      <c r="A12935" s="691"/>
      <c r="D12935" s="3"/>
    </row>
    <row r="12936" spans="1:4">
      <c r="A12936" s="691"/>
      <c r="D12936" s="3"/>
    </row>
    <row r="12937" spans="1:4">
      <c r="A12937" s="691"/>
      <c r="D12937" s="3"/>
    </row>
    <row r="12938" spans="1:4">
      <c r="A12938" s="691"/>
      <c r="D12938" s="3"/>
    </row>
    <row r="12939" spans="1:4">
      <c r="A12939" s="691"/>
      <c r="D12939" s="3"/>
    </row>
    <row r="12940" spans="1:4">
      <c r="A12940" s="691"/>
      <c r="D12940" s="3"/>
    </row>
    <row r="12941" spans="1:4">
      <c r="A12941" s="691"/>
      <c r="D12941" s="3"/>
    </row>
    <row r="12942" spans="1:4">
      <c r="A12942" s="691"/>
      <c r="D12942" s="3"/>
    </row>
    <row r="12943" spans="1:4">
      <c r="A12943" s="691"/>
      <c r="D12943" s="3"/>
    </row>
    <row r="12944" spans="1:4">
      <c r="A12944" s="691"/>
      <c r="D12944" s="3"/>
    </row>
    <row r="12945" spans="1:4">
      <c r="A12945" s="691"/>
      <c r="D12945" s="3"/>
    </row>
    <row r="12946" spans="1:4">
      <c r="A12946" s="691"/>
      <c r="D12946" s="3"/>
    </row>
    <row r="12947" spans="1:4">
      <c r="A12947" s="691"/>
      <c r="D12947" s="3"/>
    </row>
    <row r="12948" spans="1:4">
      <c r="A12948" s="691"/>
      <c r="D12948" s="3"/>
    </row>
    <row r="12949" spans="1:4">
      <c r="A12949" s="691"/>
      <c r="D12949" s="3"/>
    </row>
    <row r="12950" spans="1:4">
      <c r="A12950" s="691"/>
      <c r="D12950" s="3"/>
    </row>
    <row r="12951" spans="1:4">
      <c r="A12951" s="691"/>
      <c r="D12951" s="3"/>
    </row>
    <row r="12952" spans="1:4">
      <c r="A12952" s="691"/>
      <c r="D12952" s="3"/>
    </row>
    <row r="12953" spans="1:4">
      <c r="A12953" s="691"/>
      <c r="D12953" s="3"/>
    </row>
    <row r="12954" spans="1:4">
      <c r="A12954" s="691"/>
      <c r="D12954" s="3"/>
    </row>
    <row r="12955" spans="1:4">
      <c r="A12955" s="691"/>
      <c r="D12955" s="3"/>
    </row>
    <row r="12956" spans="1:4">
      <c r="A12956" s="691"/>
      <c r="D12956" s="3"/>
    </row>
    <row r="12957" spans="1:4">
      <c r="A12957" s="691"/>
      <c r="D12957" s="3"/>
    </row>
    <row r="12958" spans="1:4">
      <c r="A12958" s="691"/>
      <c r="D12958" s="3"/>
    </row>
    <row r="12959" spans="1:4">
      <c r="A12959" s="691"/>
      <c r="D12959" s="3"/>
    </row>
    <row r="12960" spans="1:4">
      <c r="A12960" s="691"/>
      <c r="D12960" s="3"/>
    </row>
    <row r="12961" spans="1:4">
      <c r="A12961" s="691"/>
      <c r="D12961" s="3"/>
    </row>
    <row r="12962" spans="1:4">
      <c r="A12962" s="691"/>
      <c r="D12962" s="3"/>
    </row>
    <row r="12963" spans="1:4">
      <c r="A12963" s="691"/>
      <c r="D12963" s="3"/>
    </row>
    <row r="12964" spans="1:4">
      <c r="A12964" s="691"/>
      <c r="D12964" s="3"/>
    </row>
    <row r="12965" spans="1:4">
      <c r="A12965" s="691"/>
      <c r="D12965" s="3"/>
    </row>
    <row r="12966" spans="1:4">
      <c r="A12966" s="691"/>
      <c r="D12966" s="3"/>
    </row>
    <row r="12967" spans="1:4">
      <c r="A12967" s="691"/>
      <c r="D12967" s="3"/>
    </row>
    <row r="12968" spans="1:4">
      <c r="A12968" s="691"/>
      <c r="D12968" s="3"/>
    </row>
    <row r="12969" spans="1:4">
      <c r="A12969" s="691"/>
      <c r="D12969" s="3"/>
    </row>
    <row r="12970" spans="1:4">
      <c r="A12970" s="691"/>
      <c r="D12970" s="3"/>
    </row>
    <row r="12971" spans="1:4">
      <c r="A12971" s="691"/>
      <c r="D12971" s="3"/>
    </row>
    <row r="12972" spans="1:4">
      <c r="A12972" s="691"/>
      <c r="D12972" s="3"/>
    </row>
    <row r="12973" spans="1:4">
      <c r="A12973" s="691"/>
      <c r="D12973" s="3"/>
    </row>
    <row r="12974" spans="1:4">
      <c r="A12974" s="691"/>
      <c r="D12974" s="3"/>
    </row>
    <row r="12975" spans="1:4">
      <c r="A12975" s="691"/>
      <c r="D12975" s="3"/>
    </row>
    <row r="12976" spans="1:4">
      <c r="A12976" s="691"/>
      <c r="D12976" s="3"/>
    </row>
    <row r="12977" spans="1:4">
      <c r="A12977" s="691"/>
      <c r="D12977" s="3"/>
    </row>
    <row r="12978" spans="1:4">
      <c r="A12978" s="691"/>
      <c r="D12978" s="3"/>
    </row>
    <row r="12979" spans="1:4">
      <c r="A12979" s="691"/>
      <c r="D12979" s="3"/>
    </row>
    <row r="12980" spans="1:4">
      <c r="A12980" s="691"/>
      <c r="D12980" s="3"/>
    </row>
    <row r="12981" spans="1:4">
      <c r="A12981" s="691"/>
      <c r="D12981" s="3"/>
    </row>
    <row r="12982" spans="1:4">
      <c r="A12982" s="691"/>
      <c r="D12982" s="3"/>
    </row>
    <row r="12983" spans="1:4">
      <c r="A12983" s="691"/>
      <c r="D12983" s="3"/>
    </row>
    <row r="12984" spans="1:4">
      <c r="A12984" s="691"/>
      <c r="D12984" s="3"/>
    </row>
    <row r="12985" spans="1:4">
      <c r="A12985" s="691"/>
      <c r="D12985" s="3"/>
    </row>
    <row r="12986" spans="1:4">
      <c r="A12986" s="691"/>
      <c r="D12986" s="3"/>
    </row>
    <row r="12987" spans="1:4">
      <c r="A12987" s="691"/>
      <c r="D12987" s="3"/>
    </row>
    <row r="12988" spans="1:4">
      <c r="A12988" s="691"/>
      <c r="D12988" s="3"/>
    </row>
    <row r="12989" spans="1:4">
      <c r="A12989" s="691"/>
      <c r="D12989" s="3"/>
    </row>
    <row r="12990" spans="1:4">
      <c r="A12990" s="691"/>
      <c r="D12990" s="3"/>
    </row>
    <row r="12991" spans="1:4">
      <c r="A12991" s="691"/>
      <c r="D12991" s="3"/>
    </row>
    <row r="12992" spans="1:4">
      <c r="A12992" s="691"/>
      <c r="D12992" s="3"/>
    </row>
    <row r="12993" spans="1:4">
      <c r="A12993" s="691"/>
      <c r="D12993" s="3"/>
    </row>
    <row r="12994" spans="1:4">
      <c r="A12994" s="691"/>
      <c r="D12994" s="3"/>
    </row>
    <row r="12995" spans="1:4">
      <c r="A12995" s="691"/>
      <c r="D12995" s="3"/>
    </row>
    <row r="12996" spans="1:4">
      <c r="A12996" s="691"/>
      <c r="D12996" s="3"/>
    </row>
    <row r="12997" spans="1:4">
      <c r="A12997" s="691"/>
      <c r="D12997" s="3"/>
    </row>
    <row r="12998" spans="1:4">
      <c r="A12998" s="691"/>
      <c r="D12998" s="3"/>
    </row>
    <row r="12999" spans="1:4">
      <c r="A12999" s="691"/>
      <c r="D12999" s="3"/>
    </row>
    <row r="13000" spans="1:4">
      <c r="A13000" s="691"/>
      <c r="D13000" s="3"/>
    </row>
    <row r="13001" spans="1:4">
      <c r="A13001" s="691"/>
      <c r="D13001" s="3"/>
    </row>
    <row r="13002" spans="1:4">
      <c r="A13002" s="691"/>
      <c r="D13002" s="3"/>
    </row>
    <row r="13003" spans="1:4">
      <c r="A13003" s="691"/>
      <c r="D13003" s="3"/>
    </row>
    <row r="13004" spans="1:4">
      <c r="A13004" s="691"/>
      <c r="D13004" s="3"/>
    </row>
    <row r="13005" spans="1:4">
      <c r="A13005" s="691"/>
      <c r="D13005" s="3"/>
    </row>
    <row r="13006" spans="1:4">
      <c r="A13006" s="691"/>
      <c r="D13006" s="3"/>
    </row>
    <row r="13007" spans="1:4">
      <c r="A13007" s="691"/>
      <c r="D13007" s="3"/>
    </row>
    <row r="13008" spans="1:4">
      <c r="A13008" s="691"/>
      <c r="D13008" s="3"/>
    </row>
    <row r="13009" spans="1:4">
      <c r="A13009" s="691"/>
      <c r="D13009" s="3"/>
    </row>
    <row r="13010" spans="1:4">
      <c r="A13010" s="691"/>
      <c r="D13010" s="3"/>
    </row>
    <row r="13011" spans="1:4">
      <c r="A13011" s="691"/>
      <c r="D13011" s="3"/>
    </row>
    <row r="13012" spans="1:4">
      <c r="A13012" s="691"/>
      <c r="D13012" s="3"/>
    </row>
    <row r="13013" spans="1:4">
      <c r="A13013" s="691"/>
      <c r="D13013" s="3"/>
    </row>
    <row r="13014" spans="1:4">
      <c r="A13014" s="691"/>
      <c r="D13014" s="3"/>
    </row>
    <row r="13015" spans="1:4">
      <c r="A13015" s="691"/>
      <c r="D13015" s="3"/>
    </row>
    <row r="13016" spans="1:4">
      <c r="A13016" s="691"/>
      <c r="D13016" s="3"/>
    </row>
    <row r="13017" spans="1:4">
      <c r="A13017" s="691"/>
      <c r="D13017" s="3"/>
    </row>
    <row r="13018" spans="1:4">
      <c r="A13018" s="691"/>
      <c r="D13018" s="3"/>
    </row>
    <row r="13019" spans="1:4">
      <c r="A13019" s="691"/>
      <c r="D13019" s="3"/>
    </row>
    <row r="13020" spans="1:4">
      <c r="A13020" s="691"/>
      <c r="D13020" s="3"/>
    </row>
    <row r="13021" spans="1:4">
      <c r="A13021" s="691"/>
      <c r="D13021" s="3"/>
    </row>
    <row r="13022" spans="1:4">
      <c r="A13022" s="691"/>
      <c r="D13022" s="3"/>
    </row>
    <row r="13023" spans="1:4">
      <c r="A13023" s="691"/>
      <c r="D13023" s="3"/>
    </row>
    <row r="13024" spans="1:4">
      <c r="A13024" s="691"/>
      <c r="D13024" s="3"/>
    </row>
    <row r="13025" spans="1:4">
      <c r="A13025" s="691"/>
      <c r="D13025" s="3"/>
    </row>
    <row r="13026" spans="1:4">
      <c r="A13026" s="691"/>
      <c r="D13026" s="3"/>
    </row>
    <row r="13027" spans="1:4">
      <c r="A13027" s="691"/>
      <c r="D13027" s="3"/>
    </row>
    <row r="13028" spans="1:4">
      <c r="A13028" s="691"/>
      <c r="D13028" s="3"/>
    </row>
    <row r="13029" spans="1:4">
      <c r="A13029" s="691"/>
      <c r="D13029" s="3"/>
    </row>
    <row r="13030" spans="1:4">
      <c r="A13030" s="691"/>
      <c r="D13030" s="3"/>
    </row>
    <row r="13031" spans="1:4">
      <c r="A13031" s="691"/>
      <c r="D13031" s="3"/>
    </row>
    <row r="13032" spans="1:4">
      <c r="A13032" s="691"/>
      <c r="D13032" s="3"/>
    </row>
    <row r="13033" spans="1:4">
      <c r="A13033" s="691"/>
      <c r="D13033" s="3"/>
    </row>
    <row r="13034" spans="1:4">
      <c r="A13034" s="691"/>
      <c r="D13034" s="3"/>
    </row>
    <row r="13035" spans="1:4">
      <c r="A13035" s="691"/>
      <c r="D13035" s="3"/>
    </row>
    <row r="13036" spans="1:4">
      <c r="A13036" s="691"/>
      <c r="D13036" s="3"/>
    </row>
    <row r="13037" spans="1:4">
      <c r="A13037" s="691"/>
      <c r="D13037" s="3"/>
    </row>
    <row r="13038" spans="1:4">
      <c r="A13038" s="691"/>
      <c r="D13038" s="3"/>
    </row>
    <row r="13039" spans="1:4">
      <c r="A13039" s="691"/>
      <c r="D13039" s="3"/>
    </row>
    <row r="13040" spans="1:4">
      <c r="A13040" s="691"/>
      <c r="D13040" s="3"/>
    </row>
    <row r="13041" spans="1:4">
      <c r="A13041" s="691"/>
      <c r="D13041" s="3"/>
    </row>
    <row r="13042" spans="1:4">
      <c r="A13042" s="691"/>
      <c r="D13042" s="3"/>
    </row>
    <row r="13043" spans="1:4">
      <c r="A13043" s="691"/>
      <c r="D13043" s="3"/>
    </row>
    <row r="13044" spans="1:4">
      <c r="A13044" s="691"/>
      <c r="D13044" s="3"/>
    </row>
    <row r="13045" spans="1:4">
      <c r="A13045" s="691"/>
      <c r="D13045" s="3"/>
    </row>
    <row r="13046" spans="1:4">
      <c r="A13046" s="691"/>
      <c r="D13046" s="3"/>
    </row>
    <row r="13047" spans="1:4">
      <c r="A13047" s="691"/>
      <c r="D13047" s="3"/>
    </row>
    <row r="13048" spans="1:4">
      <c r="A13048" s="691"/>
      <c r="D13048" s="3"/>
    </row>
    <row r="13049" spans="1:4">
      <c r="A13049" s="691"/>
      <c r="D13049" s="3"/>
    </row>
    <row r="13050" spans="1:4">
      <c r="A13050" s="691"/>
      <c r="D13050" s="3"/>
    </row>
    <row r="13051" spans="1:4">
      <c r="A13051" s="691"/>
      <c r="D13051" s="3"/>
    </row>
    <row r="13052" spans="1:4">
      <c r="A13052" s="691"/>
      <c r="D13052" s="3"/>
    </row>
    <row r="13053" spans="1:4">
      <c r="A13053" s="691"/>
      <c r="D13053" s="3"/>
    </row>
    <row r="13054" spans="1:4">
      <c r="A13054" s="691"/>
      <c r="D13054" s="3"/>
    </row>
    <row r="13055" spans="1:4">
      <c r="A13055" s="691"/>
      <c r="D13055" s="3"/>
    </row>
    <row r="13056" spans="1:4">
      <c r="A13056" s="691"/>
      <c r="D13056" s="3"/>
    </row>
    <row r="13057" spans="1:4">
      <c r="A13057" s="691"/>
      <c r="D13057" s="3"/>
    </row>
    <row r="13058" spans="1:4">
      <c r="A13058" s="691"/>
      <c r="D13058" s="3"/>
    </row>
    <row r="13059" spans="1:4">
      <c r="A13059" s="691"/>
      <c r="D13059" s="3"/>
    </row>
    <row r="13060" spans="1:4">
      <c r="A13060" s="691"/>
      <c r="D13060" s="3"/>
    </row>
    <row r="13061" spans="1:4">
      <c r="A13061" s="691"/>
      <c r="D13061" s="3"/>
    </row>
    <row r="13062" spans="1:4">
      <c r="A13062" s="691"/>
      <c r="D13062" s="3"/>
    </row>
    <row r="13063" spans="1:4">
      <c r="A13063" s="691"/>
      <c r="D13063" s="3"/>
    </row>
    <row r="13064" spans="1:4">
      <c r="A13064" s="691"/>
      <c r="D13064" s="3"/>
    </row>
    <row r="13065" spans="1:4">
      <c r="A13065" s="691"/>
      <c r="D13065" s="3"/>
    </row>
    <row r="13066" spans="1:4">
      <c r="A13066" s="691"/>
      <c r="D13066" s="3"/>
    </row>
    <row r="13067" spans="1:4">
      <c r="A13067" s="691"/>
      <c r="D13067" s="3"/>
    </row>
    <row r="13068" spans="1:4">
      <c r="A13068" s="691"/>
      <c r="D13068" s="3"/>
    </row>
    <row r="13069" spans="1:4">
      <c r="A13069" s="691"/>
      <c r="D13069" s="3"/>
    </row>
    <row r="13070" spans="1:4">
      <c r="A13070" s="691"/>
      <c r="D13070" s="3"/>
    </row>
    <row r="13071" spans="1:4">
      <c r="A13071" s="691"/>
      <c r="D13071" s="3"/>
    </row>
    <row r="13072" spans="1:4">
      <c r="A13072" s="691"/>
      <c r="D13072" s="3"/>
    </row>
    <row r="13073" spans="1:4">
      <c r="A13073" s="691"/>
      <c r="D13073" s="3"/>
    </row>
    <row r="13074" spans="1:4">
      <c r="A13074" s="691"/>
      <c r="D13074" s="3"/>
    </row>
    <row r="13075" spans="1:4">
      <c r="A13075" s="691"/>
      <c r="D13075" s="3"/>
    </row>
    <row r="13076" spans="1:4">
      <c r="A13076" s="691"/>
      <c r="D13076" s="3"/>
    </row>
    <row r="13077" spans="1:4">
      <c r="A13077" s="691"/>
      <c r="D13077" s="3"/>
    </row>
    <row r="13078" spans="1:4">
      <c r="A13078" s="691"/>
      <c r="D13078" s="3"/>
    </row>
    <row r="13079" spans="1:4">
      <c r="A13079" s="691"/>
      <c r="D13079" s="3"/>
    </row>
    <row r="13080" spans="1:4">
      <c r="A13080" s="691"/>
      <c r="D13080" s="3"/>
    </row>
    <row r="13081" spans="1:4">
      <c r="A13081" s="691"/>
      <c r="D13081" s="3"/>
    </row>
    <row r="13082" spans="1:4">
      <c r="A13082" s="691"/>
      <c r="D13082" s="3"/>
    </row>
    <row r="13083" spans="1:4">
      <c r="A13083" s="691"/>
      <c r="D13083" s="3"/>
    </row>
    <row r="13084" spans="1:4">
      <c r="A13084" s="691"/>
      <c r="D13084" s="3"/>
    </row>
    <row r="13085" spans="1:4">
      <c r="A13085" s="691"/>
      <c r="D13085" s="3"/>
    </row>
    <row r="13086" spans="1:4">
      <c r="A13086" s="691"/>
      <c r="D13086" s="3"/>
    </row>
    <row r="13087" spans="1:4">
      <c r="A13087" s="691"/>
      <c r="D13087" s="3"/>
    </row>
    <row r="13088" spans="1:4">
      <c r="A13088" s="691"/>
      <c r="D13088" s="3"/>
    </row>
    <row r="13089" spans="1:4">
      <c r="A13089" s="691"/>
      <c r="D13089" s="3"/>
    </row>
    <row r="13090" spans="1:4">
      <c r="A13090" s="691"/>
      <c r="D13090" s="3"/>
    </row>
    <row r="13091" spans="1:4">
      <c r="A13091" s="691"/>
      <c r="D13091" s="3"/>
    </row>
    <row r="13092" spans="1:4">
      <c r="A13092" s="691"/>
      <c r="D13092" s="3"/>
    </row>
    <row r="13093" spans="1:4">
      <c r="A13093" s="691"/>
      <c r="D13093" s="3"/>
    </row>
    <row r="13094" spans="1:4">
      <c r="A13094" s="691"/>
      <c r="D13094" s="3"/>
    </row>
    <row r="13095" spans="1:4">
      <c r="A13095" s="691"/>
      <c r="D13095" s="3"/>
    </row>
    <row r="13096" spans="1:4">
      <c r="A13096" s="691"/>
      <c r="D13096" s="3"/>
    </row>
    <row r="13097" spans="1:4">
      <c r="A13097" s="691"/>
      <c r="D13097" s="3"/>
    </row>
    <row r="13098" spans="1:4">
      <c r="A13098" s="691"/>
      <c r="D13098" s="3"/>
    </row>
    <row r="13099" spans="1:4">
      <c r="A13099" s="691"/>
      <c r="D13099" s="3"/>
    </row>
    <row r="13100" spans="1:4">
      <c r="A13100" s="691"/>
      <c r="D13100" s="3"/>
    </row>
    <row r="13101" spans="1:4">
      <c r="A13101" s="691"/>
      <c r="D13101" s="3"/>
    </row>
    <row r="13102" spans="1:4">
      <c r="A13102" s="691"/>
      <c r="D13102" s="3"/>
    </row>
    <row r="13103" spans="1:4">
      <c r="A13103" s="691"/>
      <c r="D13103" s="3"/>
    </row>
    <row r="13104" spans="1:4">
      <c r="A13104" s="691"/>
      <c r="D13104" s="3"/>
    </row>
    <row r="13105" spans="1:4">
      <c r="A13105" s="691"/>
      <c r="D13105" s="3"/>
    </row>
    <row r="13106" spans="1:4">
      <c r="A13106" s="691"/>
      <c r="D13106" s="3"/>
    </row>
    <row r="13107" spans="1:4">
      <c r="A13107" s="691"/>
      <c r="D13107" s="3"/>
    </row>
    <row r="13108" spans="1:4">
      <c r="A13108" s="691"/>
      <c r="D13108" s="3"/>
    </row>
    <row r="13109" spans="1:4">
      <c r="A13109" s="691"/>
      <c r="D13109" s="3"/>
    </row>
    <row r="13110" spans="1:4">
      <c r="A13110" s="691"/>
      <c r="D13110" s="3"/>
    </row>
    <row r="13111" spans="1:4">
      <c r="A13111" s="691"/>
      <c r="D13111" s="3"/>
    </row>
    <row r="13112" spans="1:4">
      <c r="A13112" s="691"/>
      <c r="D13112" s="3"/>
    </row>
    <row r="13113" spans="1:4">
      <c r="A13113" s="691"/>
      <c r="D13113" s="3"/>
    </row>
    <row r="13114" spans="1:4">
      <c r="A13114" s="691"/>
      <c r="D13114" s="3"/>
    </row>
    <row r="13115" spans="1:4">
      <c r="A13115" s="691"/>
      <c r="D13115" s="3"/>
    </row>
    <row r="13116" spans="1:4">
      <c r="A13116" s="691"/>
      <c r="D13116" s="3"/>
    </row>
    <row r="13117" spans="1:4">
      <c r="A13117" s="691"/>
      <c r="D13117" s="3"/>
    </row>
    <row r="13118" spans="1:4">
      <c r="A13118" s="691"/>
      <c r="D13118" s="3"/>
    </row>
    <row r="13119" spans="1:4">
      <c r="A13119" s="691"/>
      <c r="D13119" s="3"/>
    </row>
    <row r="13120" spans="1:4">
      <c r="A13120" s="691"/>
      <c r="D13120" s="3"/>
    </row>
    <row r="13121" spans="1:4">
      <c r="A13121" s="691"/>
      <c r="D13121" s="3"/>
    </row>
    <row r="13122" spans="1:4">
      <c r="A13122" s="691"/>
      <c r="D13122" s="3"/>
    </row>
    <row r="13123" spans="1:4">
      <c r="A13123" s="691"/>
      <c r="D13123" s="3"/>
    </row>
    <row r="13124" spans="1:4">
      <c r="A13124" s="691"/>
      <c r="D13124" s="3"/>
    </row>
    <row r="13125" spans="1:4">
      <c r="A13125" s="691"/>
      <c r="D13125" s="3"/>
    </row>
    <row r="13126" spans="1:4">
      <c r="A13126" s="691"/>
      <c r="D13126" s="3"/>
    </row>
    <row r="13127" spans="1:4">
      <c r="A13127" s="691"/>
      <c r="D13127" s="3"/>
    </row>
    <row r="13128" spans="1:4">
      <c r="A13128" s="691"/>
      <c r="D13128" s="3"/>
    </row>
    <row r="13129" spans="1:4">
      <c r="A13129" s="691"/>
      <c r="D13129" s="3"/>
    </row>
    <row r="13130" spans="1:4">
      <c r="A13130" s="691"/>
      <c r="D13130" s="3"/>
    </row>
    <row r="13131" spans="1:4">
      <c r="A13131" s="691"/>
      <c r="D13131" s="3"/>
    </row>
    <row r="13132" spans="1:4">
      <c r="A13132" s="691"/>
      <c r="D13132" s="3"/>
    </row>
    <row r="13133" spans="1:4">
      <c r="A13133" s="691"/>
      <c r="D13133" s="3"/>
    </row>
    <row r="13134" spans="1:4">
      <c r="A13134" s="691"/>
      <c r="D13134" s="3"/>
    </row>
    <row r="13135" spans="1:4">
      <c r="A13135" s="691"/>
      <c r="D13135" s="3"/>
    </row>
    <row r="13136" spans="1:4">
      <c r="A13136" s="691"/>
      <c r="D13136" s="3"/>
    </row>
    <row r="13137" spans="1:4">
      <c r="A13137" s="691"/>
      <c r="D13137" s="3"/>
    </row>
    <row r="13138" spans="1:4">
      <c r="A13138" s="691"/>
      <c r="D13138" s="3"/>
    </row>
    <row r="13139" spans="1:4">
      <c r="A13139" s="691"/>
      <c r="D13139" s="3"/>
    </row>
    <row r="13140" spans="1:4">
      <c r="A13140" s="691"/>
      <c r="D13140" s="3"/>
    </row>
    <row r="13141" spans="1:4">
      <c r="A13141" s="691"/>
      <c r="D13141" s="3"/>
    </row>
    <row r="13142" spans="1:4">
      <c r="A13142" s="691"/>
      <c r="D13142" s="3"/>
    </row>
    <row r="13143" spans="1:4">
      <c r="A13143" s="691"/>
      <c r="D13143" s="3"/>
    </row>
    <row r="13144" spans="1:4">
      <c r="A13144" s="691"/>
      <c r="D13144" s="3"/>
    </row>
    <row r="13145" spans="1:4">
      <c r="A13145" s="691"/>
      <c r="D13145" s="3"/>
    </row>
    <row r="13146" spans="1:4">
      <c r="A13146" s="691"/>
      <c r="D13146" s="3"/>
    </row>
    <row r="13147" spans="1:4">
      <c r="A13147" s="691"/>
      <c r="D13147" s="3"/>
    </row>
    <row r="13148" spans="1:4">
      <c r="A13148" s="691"/>
      <c r="D13148" s="3"/>
    </row>
    <row r="13149" spans="1:4">
      <c r="A13149" s="691"/>
      <c r="D13149" s="3"/>
    </row>
    <row r="13150" spans="1:4">
      <c r="A13150" s="691"/>
      <c r="D13150" s="3"/>
    </row>
    <row r="13151" spans="1:4">
      <c r="A13151" s="691"/>
      <c r="D13151" s="3"/>
    </row>
    <row r="13152" spans="1:4">
      <c r="A13152" s="691"/>
      <c r="D13152" s="3"/>
    </row>
    <row r="13153" spans="1:4">
      <c r="A13153" s="691"/>
      <c r="D13153" s="3"/>
    </row>
    <row r="13154" spans="1:4">
      <c r="A13154" s="691"/>
      <c r="D13154" s="3"/>
    </row>
    <row r="13155" spans="1:4">
      <c r="A13155" s="691"/>
      <c r="D13155" s="3"/>
    </row>
    <row r="13156" spans="1:4">
      <c r="A13156" s="691"/>
      <c r="D13156" s="3"/>
    </row>
    <row r="13157" spans="1:4">
      <c r="A13157" s="691"/>
      <c r="D13157" s="3"/>
    </row>
    <row r="13158" spans="1:4">
      <c r="A13158" s="691"/>
      <c r="D13158" s="3"/>
    </row>
    <row r="13159" spans="1:4">
      <c r="A13159" s="691"/>
      <c r="D13159" s="3"/>
    </row>
    <row r="13160" spans="1:4">
      <c r="A13160" s="691"/>
      <c r="D13160" s="3"/>
    </row>
    <row r="13161" spans="1:4">
      <c r="A13161" s="691"/>
      <c r="D13161" s="3"/>
    </row>
    <row r="13162" spans="1:4">
      <c r="A13162" s="691"/>
      <c r="D13162" s="3"/>
    </row>
    <row r="13163" spans="1:4">
      <c r="A13163" s="691"/>
      <c r="D13163" s="3"/>
    </row>
    <row r="13164" spans="1:4">
      <c r="A13164" s="691"/>
      <c r="D13164" s="3"/>
    </row>
    <row r="13165" spans="1:4">
      <c r="A13165" s="691"/>
      <c r="D13165" s="3"/>
    </row>
    <row r="13166" spans="1:4">
      <c r="A13166" s="691"/>
      <c r="D13166" s="3"/>
    </row>
    <row r="13167" spans="1:4">
      <c r="A13167" s="691"/>
      <c r="D13167" s="3"/>
    </row>
    <row r="13168" spans="1:4">
      <c r="A13168" s="691"/>
      <c r="D13168" s="3"/>
    </row>
    <row r="13169" spans="1:4">
      <c r="A13169" s="691"/>
      <c r="D13169" s="3"/>
    </row>
    <row r="13170" spans="1:4">
      <c r="A13170" s="691"/>
      <c r="D13170" s="3"/>
    </row>
    <row r="13171" spans="1:4">
      <c r="A13171" s="691"/>
      <c r="D13171" s="3"/>
    </row>
    <row r="13172" spans="1:4">
      <c r="A13172" s="691"/>
      <c r="D13172" s="3"/>
    </row>
    <row r="13173" spans="1:4">
      <c r="A13173" s="691"/>
      <c r="D13173" s="3"/>
    </row>
    <row r="13174" spans="1:4">
      <c r="A13174" s="691"/>
      <c r="D13174" s="3"/>
    </row>
    <row r="13175" spans="1:4">
      <c r="A13175" s="691"/>
      <c r="D13175" s="3"/>
    </row>
    <row r="13176" spans="1:4">
      <c r="A13176" s="691"/>
      <c r="D13176" s="3"/>
    </row>
    <row r="13177" spans="1:4">
      <c r="A13177" s="691"/>
      <c r="D13177" s="3"/>
    </row>
    <row r="13178" spans="1:4">
      <c r="A13178" s="691"/>
      <c r="D13178" s="3"/>
    </row>
    <row r="13179" spans="1:4">
      <c r="A13179" s="691"/>
      <c r="D13179" s="3"/>
    </row>
    <row r="13180" spans="1:4">
      <c r="A13180" s="691"/>
      <c r="D13180" s="3"/>
    </row>
    <row r="13181" spans="1:4">
      <c r="A13181" s="691"/>
      <c r="D13181" s="3"/>
    </row>
    <row r="13182" spans="1:4">
      <c r="A13182" s="691"/>
      <c r="D13182" s="3"/>
    </row>
    <row r="13183" spans="1:4">
      <c r="A13183" s="691"/>
      <c r="D13183" s="3"/>
    </row>
    <row r="13184" spans="1:4">
      <c r="A13184" s="691"/>
      <c r="D13184" s="3"/>
    </row>
    <row r="13185" spans="1:4">
      <c r="A13185" s="691"/>
      <c r="D13185" s="3"/>
    </row>
    <row r="13186" spans="1:4">
      <c r="A13186" s="691"/>
      <c r="D13186" s="3"/>
    </row>
    <row r="13187" spans="1:4">
      <c r="A13187" s="691"/>
      <c r="D13187" s="3"/>
    </row>
    <row r="13188" spans="1:4">
      <c r="A13188" s="691"/>
      <c r="D13188" s="3"/>
    </row>
    <row r="13189" spans="1:4">
      <c r="A13189" s="691"/>
      <c r="D13189" s="3"/>
    </row>
    <row r="13190" spans="1:4">
      <c r="A13190" s="691"/>
      <c r="D13190" s="3"/>
    </row>
    <row r="13191" spans="1:4">
      <c r="A13191" s="691"/>
      <c r="D13191" s="3"/>
    </row>
    <row r="13192" spans="1:4">
      <c r="A13192" s="691"/>
      <c r="D13192" s="3"/>
    </row>
    <row r="13193" spans="1:4">
      <c r="A13193" s="691"/>
      <c r="D13193" s="3"/>
    </row>
    <row r="13194" spans="1:4">
      <c r="A13194" s="691"/>
      <c r="D13194" s="3"/>
    </row>
    <row r="13195" spans="1:4">
      <c r="A13195" s="691"/>
      <c r="D13195" s="3"/>
    </row>
    <row r="13196" spans="1:4">
      <c r="A13196" s="691"/>
      <c r="D13196" s="3"/>
    </row>
    <row r="13197" spans="1:4">
      <c r="A13197" s="691"/>
      <c r="D13197" s="3"/>
    </row>
    <row r="13198" spans="1:4">
      <c r="A13198" s="691"/>
      <c r="D13198" s="3"/>
    </row>
    <row r="13199" spans="1:4">
      <c r="A13199" s="691"/>
      <c r="D13199" s="3"/>
    </row>
    <row r="13200" spans="1:4">
      <c r="A13200" s="691"/>
      <c r="D13200" s="3"/>
    </row>
    <row r="13201" spans="1:4">
      <c r="A13201" s="691"/>
      <c r="D13201" s="3"/>
    </row>
    <row r="13202" spans="1:4">
      <c r="A13202" s="691"/>
      <c r="D13202" s="3"/>
    </row>
    <row r="13203" spans="1:4">
      <c r="A13203" s="691"/>
      <c r="D13203" s="3"/>
    </row>
    <row r="13204" spans="1:4">
      <c r="A13204" s="691"/>
      <c r="D13204" s="3"/>
    </row>
    <row r="13205" spans="1:4">
      <c r="A13205" s="691"/>
      <c r="D13205" s="3"/>
    </row>
    <row r="13206" spans="1:4">
      <c r="A13206" s="691"/>
      <c r="D13206" s="3"/>
    </row>
    <row r="13207" spans="1:4">
      <c r="A13207" s="691"/>
      <c r="D13207" s="3"/>
    </row>
    <row r="13208" spans="1:4">
      <c r="A13208" s="691"/>
      <c r="D13208" s="3"/>
    </row>
    <row r="13209" spans="1:4">
      <c r="A13209" s="691"/>
      <c r="D13209" s="3"/>
    </row>
    <row r="13210" spans="1:4">
      <c r="A13210" s="691"/>
      <c r="D13210" s="3"/>
    </row>
    <row r="13211" spans="1:4">
      <c r="A13211" s="691"/>
      <c r="D13211" s="3"/>
    </row>
    <row r="13212" spans="1:4">
      <c r="A13212" s="691"/>
      <c r="D13212" s="3"/>
    </row>
    <row r="13213" spans="1:4">
      <c r="A13213" s="691"/>
      <c r="D13213" s="3"/>
    </row>
    <row r="13214" spans="1:4">
      <c r="A13214" s="691"/>
      <c r="D13214" s="3"/>
    </row>
    <row r="13215" spans="1:4">
      <c r="A13215" s="691"/>
      <c r="D13215" s="3"/>
    </row>
    <row r="13216" spans="1:4">
      <c r="A13216" s="691"/>
      <c r="D13216" s="3"/>
    </row>
    <row r="13217" spans="1:4">
      <c r="A13217" s="691"/>
      <c r="D13217" s="3"/>
    </row>
    <row r="13218" spans="1:4">
      <c r="A13218" s="691"/>
      <c r="D13218" s="3"/>
    </row>
    <row r="13219" spans="1:4">
      <c r="A13219" s="691"/>
      <c r="D13219" s="3"/>
    </row>
    <row r="13220" spans="1:4">
      <c r="A13220" s="691"/>
      <c r="D13220" s="3"/>
    </row>
    <row r="13221" spans="1:4">
      <c r="A13221" s="691"/>
      <c r="D13221" s="3"/>
    </row>
    <row r="13222" spans="1:4">
      <c r="A13222" s="691"/>
      <c r="D13222" s="3"/>
    </row>
    <row r="13223" spans="1:4">
      <c r="A13223" s="691"/>
      <c r="D13223" s="3"/>
    </row>
    <row r="13224" spans="1:4">
      <c r="A13224" s="691"/>
      <c r="D13224" s="3"/>
    </row>
    <row r="13225" spans="1:4">
      <c r="A13225" s="691"/>
      <c r="D13225" s="3"/>
    </row>
    <row r="13226" spans="1:4">
      <c r="A13226" s="691"/>
      <c r="D13226" s="3"/>
    </row>
    <row r="13227" spans="1:4">
      <c r="A13227" s="691"/>
      <c r="D13227" s="3"/>
    </row>
    <row r="13228" spans="1:4">
      <c r="A13228" s="691"/>
      <c r="D13228" s="3"/>
    </row>
    <row r="13229" spans="1:4">
      <c r="A13229" s="691"/>
      <c r="D13229" s="3"/>
    </row>
    <row r="13230" spans="1:4">
      <c r="A13230" s="691"/>
      <c r="D13230" s="3"/>
    </row>
    <row r="13231" spans="1:4">
      <c r="A13231" s="691"/>
      <c r="D13231" s="3"/>
    </row>
    <row r="13232" spans="1:4">
      <c r="A13232" s="691"/>
      <c r="D13232" s="3"/>
    </row>
    <row r="13233" spans="1:4">
      <c r="A13233" s="691"/>
      <c r="D13233" s="3"/>
    </row>
    <row r="13234" spans="1:4">
      <c r="A13234" s="691"/>
      <c r="D13234" s="3"/>
    </row>
    <row r="13235" spans="1:4">
      <c r="A13235" s="691"/>
      <c r="D13235" s="3"/>
    </row>
    <row r="13236" spans="1:4">
      <c r="A13236" s="691"/>
      <c r="D13236" s="3"/>
    </row>
    <row r="13237" spans="1:4">
      <c r="A13237" s="691"/>
      <c r="D13237" s="3"/>
    </row>
    <row r="13238" spans="1:4">
      <c r="A13238" s="691"/>
      <c r="D13238" s="3"/>
    </row>
    <row r="13239" spans="1:4">
      <c r="A13239" s="691"/>
      <c r="D13239" s="3"/>
    </row>
    <row r="13240" spans="1:4">
      <c r="A13240" s="691"/>
      <c r="D13240" s="3"/>
    </row>
    <row r="13241" spans="1:4">
      <c r="A13241" s="691"/>
      <c r="D13241" s="3"/>
    </row>
    <row r="13242" spans="1:4">
      <c r="A13242" s="691"/>
      <c r="D13242" s="3"/>
    </row>
    <row r="13243" spans="1:4">
      <c r="A13243" s="691"/>
      <c r="D13243" s="3"/>
    </row>
    <row r="13244" spans="1:4">
      <c r="A13244" s="691"/>
      <c r="D13244" s="3"/>
    </row>
    <row r="13245" spans="1:4">
      <c r="A13245" s="691"/>
      <c r="D13245" s="3"/>
    </row>
    <row r="13246" spans="1:4">
      <c r="A13246" s="691"/>
      <c r="D13246" s="3"/>
    </row>
    <row r="13247" spans="1:4">
      <c r="A13247" s="691"/>
      <c r="D13247" s="3"/>
    </row>
    <row r="13248" spans="1:4">
      <c r="A13248" s="691"/>
      <c r="D13248" s="3"/>
    </row>
    <row r="13249" spans="1:4">
      <c r="A13249" s="691"/>
      <c r="D13249" s="3"/>
    </row>
    <row r="13250" spans="1:4">
      <c r="A13250" s="691"/>
      <c r="D13250" s="3"/>
    </row>
    <row r="13251" spans="1:4">
      <c r="A13251" s="691"/>
      <c r="D13251" s="3"/>
    </row>
    <row r="13252" spans="1:4">
      <c r="A13252" s="691"/>
      <c r="D13252" s="3"/>
    </row>
    <row r="13253" spans="1:4">
      <c r="A13253" s="691"/>
      <c r="D13253" s="3"/>
    </row>
    <row r="13254" spans="1:4">
      <c r="A13254" s="691"/>
      <c r="D13254" s="3"/>
    </row>
    <row r="13255" spans="1:4">
      <c r="A13255" s="691"/>
      <c r="D13255" s="3"/>
    </row>
    <row r="13256" spans="1:4">
      <c r="A13256" s="691"/>
      <c r="D13256" s="3"/>
    </row>
    <row r="13257" spans="1:4">
      <c r="A13257" s="691"/>
      <c r="D13257" s="3"/>
    </row>
    <row r="13258" spans="1:4">
      <c r="A13258" s="691"/>
      <c r="D13258" s="3"/>
    </row>
    <row r="13259" spans="1:4">
      <c r="A13259" s="691"/>
      <c r="D13259" s="3"/>
    </row>
    <row r="13260" spans="1:4">
      <c r="A13260" s="691"/>
      <c r="D13260" s="3"/>
    </row>
    <row r="13261" spans="1:4">
      <c r="A13261" s="691"/>
      <c r="D13261" s="3"/>
    </row>
    <row r="13262" spans="1:4">
      <c r="A13262" s="691"/>
      <c r="D13262" s="3"/>
    </row>
    <row r="13263" spans="1:4">
      <c r="A13263" s="691"/>
      <c r="D13263" s="3"/>
    </row>
    <row r="13264" spans="1:4">
      <c r="A13264" s="691"/>
      <c r="D13264" s="3"/>
    </row>
    <row r="13265" spans="1:4">
      <c r="A13265" s="691"/>
      <c r="D13265" s="3"/>
    </row>
    <row r="13266" spans="1:4">
      <c r="A13266" s="691"/>
      <c r="D13266" s="3"/>
    </row>
    <row r="13267" spans="1:4">
      <c r="A13267" s="691"/>
      <c r="D13267" s="3"/>
    </row>
    <row r="13268" spans="1:4">
      <c r="A13268" s="691"/>
      <c r="D13268" s="3"/>
    </row>
    <row r="13269" spans="1:4">
      <c r="A13269" s="691"/>
      <c r="D13269" s="3"/>
    </row>
    <row r="13270" spans="1:4">
      <c r="A13270" s="691"/>
      <c r="D13270" s="3"/>
    </row>
    <row r="13271" spans="1:4">
      <c r="A13271" s="691"/>
      <c r="D13271" s="3"/>
    </row>
    <row r="13272" spans="1:4">
      <c r="A13272" s="691"/>
      <c r="D13272" s="3"/>
    </row>
    <row r="13273" spans="1:4">
      <c r="A13273" s="691"/>
      <c r="D13273" s="3"/>
    </row>
    <row r="13274" spans="1:4">
      <c r="A13274" s="691"/>
      <c r="D13274" s="3"/>
    </row>
    <row r="13275" spans="1:4">
      <c r="A13275" s="691"/>
      <c r="D13275" s="3"/>
    </row>
    <row r="13276" spans="1:4">
      <c r="A13276" s="691"/>
      <c r="D13276" s="3"/>
    </row>
    <row r="13277" spans="1:4">
      <c r="A13277" s="691"/>
      <c r="D13277" s="3"/>
    </row>
    <row r="13278" spans="1:4">
      <c r="A13278" s="691"/>
      <c r="D13278" s="3"/>
    </row>
    <row r="13279" spans="1:4">
      <c r="A13279" s="691"/>
      <c r="D13279" s="3"/>
    </row>
    <row r="13280" spans="1:4">
      <c r="A13280" s="691"/>
      <c r="D13280" s="3"/>
    </row>
    <row r="13281" spans="1:4">
      <c r="A13281" s="691"/>
      <c r="D13281" s="3"/>
    </row>
    <row r="13282" spans="1:4">
      <c r="A13282" s="691"/>
      <c r="D13282" s="3"/>
    </row>
    <row r="13283" spans="1:4">
      <c r="A13283" s="691"/>
      <c r="D13283" s="3"/>
    </row>
    <row r="13284" spans="1:4">
      <c r="A13284" s="691"/>
      <c r="D13284" s="3"/>
    </row>
    <row r="13285" spans="1:4">
      <c r="A13285" s="691"/>
      <c r="D13285" s="3"/>
    </row>
    <row r="13286" spans="1:4">
      <c r="A13286" s="691"/>
      <c r="D13286" s="3"/>
    </row>
    <row r="13287" spans="1:4">
      <c r="A13287" s="691"/>
      <c r="D13287" s="3"/>
    </row>
    <row r="13288" spans="1:4">
      <c r="A13288" s="691"/>
      <c r="D13288" s="3"/>
    </row>
    <row r="13289" spans="1:4">
      <c r="A13289" s="691"/>
      <c r="D13289" s="3"/>
    </row>
    <row r="13290" spans="1:4">
      <c r="A13290" s="691"/>
      <c r="D13290" s="3"/>
    </row>
    <row r="13291" spans="1:4">
      <c r="A13291" s="691"/>
      <c r="D13291" s="3"/>
    </row>
    <row r="13292" spans="1:4">
      <c r="A13292" s="691"/>
      <c r="D13292" s="3"/>
    </row>
    <row r="13293" spans="1:4">
      <c r="A13293" s="691"/>
      <c r="D13293" s="3"/>
    </row>
    <row r="13294" spans="1:4">
      <c r="A13294" s="691"/>
      <c r="D13294" s="3"/>
    </row>
    <row r="13295" spans="1:4">
      <c r="A13295" s="691"/>
      <c r="D13295" s="3"/>
    </row>
    <row r="13296" spans="1:4">
      <c r="A13296" s="691"/>
      <c r="D13296" s="3"/>
    </row>
    <row r="13297" spans="1:4">
      <c r="A13297" s="691"/>
      <c r="D13297" s="3"/>
    </row>
    <row r="13298" spans="1:4">
      <c r="A13298" s="691"/>
      <c r="D13298" s="3"/>
    </row>
    <row r="13299" spans="1:4">
      <c r="A13299" s="691"/>
      <c r="D13299" s="3"/>
    </row>
    <row r="13300" spans="1:4">
      <c r="A13300" s="691"/>
      <c r="D13300" s="3"/>
    </row>
    <row r="13301" spans="1:4">
      <c r="A13301" s="691"/>
      <c r="D13301" s="3"/>
    </row>
    <row r="13302" spans="1:4">
      <c r="A13302" s="691"/>
      <c r="D13302" s="3"/>
    </row>
    <row r="13303" spans="1:4">
      <c r="A13303" s="691"/>
      <c r="D13303" s="3"/>
    </row>
    <row r="13304" spans="1:4">
      <c r="A13304" s="691"/>
      <c r="D13304" s="3"/>
    </row>
    <row r="13305" spans="1:4">
      <c r="A13305" s="691"/>
      <c r="D13305" s="3"/>
    </row>
    <row r="13306" spans="1:4">
      <c r="A13306" s="691"/>
      <c r="D13306" s="3"/>
    </row>
    <row r="13307" spans="1:4">
      <c r="A13307" s="691"/>
      <c r="D13307" s="3"/>
    </row>
    <row r="13308" spans="1:4">
      <c r="A13308" s="691"/>
      <c r="D13308" s="3"/>
    </row>
    <row r="13309" spans="1:4">
      <c r="A13309" s="691"/>
      <c r="D13309" s="3"/>
    </row>
    <row r="13310" spans="1:4">
      <c r="A13310" s="691"/>
      <c r="D13310" s="3"/>
    </row>
    <row r="13311" spans="1:4">
      <c r="A13311" s="691"/>
      <c r="D13311" s="3"/>
    </row>
    <row r="13312" spans="1:4">
      <c r="A13312" s="691"/>
      <c r="D13312" s="3"/>
    </row>
    <row r="13313" spans="1:4">
      <c r="A13313" s="691"/>
      <c r="D13313" s="3"/>
    </row>
    <row r="13314" spans="1:4">
      <c r="A13314" s="691"/>
      <c r="D13314" s="3"/>
    </row>
    <row r="13315" spans="1:4">
      <c r="A13315" s="691"/>
      <c r="D13315" s="3"/>
    </row>
    <row r="13316" spans="1:4">
      <c r="A13316" s="691"/>
      <c r="D13316" s="3"/>
    </row>
    <row r="13317" spans="1:4">
      <c r="A13317" s="691"/>
      <c r="D13317" s="3"/>
    </row>
    <row r="13318" spans="1:4">
      <c r="A13318" s="691"/>
      <c r="D13318" s="3"/>
    </row>
    <row r="13319" spans="1:4">
      <c r="A13319" s="691"/>
      <c r="D13319" s="3"/>
    </row>
    <row r="13320" spans="1:4">
      <c r="A13320" s="691"/>
      <c r="D13320" s="3"/>
    </row>
    <row r="13321" spans="1:4">
      <c r="A13321" s="691"/>
      <c r="D13321" s="3"/>
    </row>
    <row r="13322" spans="1:4">
      <c r="A13322" s="691"/>
      <c r="D13322" s="3"/>
    </row>
    <row r="13323" spans="1:4">
      <c r="A13323" s="691"/>
      <c r="D13323" s="3"/>
    </row>
    <row r="13324" spans="1:4">
      <c r="A13324" s="691"/>
      <c r="D13324" s="3"/>
    </row>
    <row r="13325" spans="1:4">
      <c r="A13325" s="691"/>
      <c r="D13325" s="3"/>
    </row>
    <row r="13326" spans="1:4">
      <c r="A13326" s="691"/>
      <c r="D13326" s="3"/>
    </row>
    <row r="13327" spans="1:4">
      <c r="A13327" s="691"/>
      <c r="D13327" s="3"/>
    </row>
    <row r="13328" spans="1:4">
      <c r="A13328" s="691"/>
      <c r="D13328" s="3"/>
    </row>
    <row r="13329" spans="1:4">
      <c r="A13329" s="691"/>
      <c r="D13329" s="3"/>
    </row>
    <row r="13330" spans="1:4">
      <c r="A13330" s="691"/>
      <c r="D13330" s="3"/>
    </row>
    <row r="13331" spans="1:4">
      <c r="A13331" s="691"/>
      <c r="D13331" s="3"/>
    </row>
    <row r="13332" spans="1:4">
      <c r="A13332" s="691"/>
      <c r="D13332" s="3"/>
    </row>
    <row r="13333" spans="1:4">
      <c r="A13333" s="691"/>
      <c r="D13333" s="3"/>
    </row>
    <row r="13334" spans="1:4">
      <c r="A13334" s="691"/>
      <c r="D13334" s="3"/>
    </row>
    <row r="13335" spans="1:4">
      <c r="A13335" s="691"/>
      <c r="D13335" s="3"/>
    </row>
    <row r="13336" spans="1:4">
      <c r="A13336" s="691"/>
      <c r="D13336" s="3"/>
    </row>
    <row r="13337" spans="1:4">
      <c r="A13337" s="691"/>
      <c r="D13337" s="3"/>
    </row>
    <row r="13338" spans="1:4">
      <c r="A13338" s="691"/>
      <c r="D13338" s="3"/>
    </row>
    <row r="13339" spans="1:4">
      <c r="A13339" s="691"/>
      <c r="D13339" s="3"/>
    </row>
    <row r="13340" spans="1:4">
      <c r="A13340" s="691"/>
      <c r="D13340" s="3"/>
    </row>
    <row r="13341" spans="1:4">
      <c r="A13341" s="691"/>
      <c r="D13341" s="3"/>
    </row>
    <row r="13342" spans="1:4">
      <c r="A13342" s="691"/>
      <c r="D13342" s="3"/>
    </row>
    <row r="13343" spans="1:4">
      <c r="A13343" s="691"/>
      <c r="D13343" s="3"/>
    </row>
    <row r="13344" spans="1:4">
      <c r="A13344" s="691"/>
      <c r="D13344" s="3"/>
    </row>
    <row r="13345" spans="1:4">
      <c r="A13345" s="691"/>
      <c r="D13345" s="3"/>
    </row>
    <row r="13346" spans="1:4">
      <c r="A13346" s="691"/>
      <c r="D13346" s="3"/>
    </row>
    <row r="13347" spans="1:4">
      <c r="A13347" s="691"/>
      <c r="D13347" s="3"/>
    </row>
    <row r="13348" spans="1:4">
      <c r="A13348" s="691"/>
      <c r="D13348" s="3"/>
    </row>
    <row r="13349" spans="1:4">
      <c r="A13349" s="691"/>
      <c r="D13349" s="3"/>
    </row>
    <row r="13350" spans="1:4">
      <c r="A13350" s="691"/>
      <c r="D13350" s="3"/>
    </row>
    <row r="13351" spans="1:4">
      <c r="A13351" s="691"/>
      <c r="D13351" s="3"/>
    </row>
    <row r="13352" spans="1:4">
      <c r="A13352" s="691"/>
      <c r="D13352" s="3"/>
    </row>
    <row r="13353" spans="1:4">
      <c r="A13353" s="691"/>
      <c r="D13353" s="3"/>
    </row>
    <row r="13354" spans="1:4">
      <c r="A13354" s="691"/>
      <c r="D13354" s="3"/>
    </row>
    <row r="13355" spans="1:4">
      <c r="A13355" s="691"/>
      <c r="D13355" s="3"/>
    </row>
    <row r="13356" spans="1:4">
      <c r="A13356" s="691"/>
      <c r="D13356" s="3"/>
    </row>
    <row r="13357" spans="1:4">
      <c r="A13357" s="691"/>
      <c r="D13357" s="3"/>
    </row>
    <row r="13358" spans="1:4">
      <c r="A13358" s="691"/>
      <c r="D13358" s="3"/>
    </row>
    <row r="13359" spans="1:4">
      <c r="A13359" s="691"/>
      <c r="D13359" s="3"/>
    </row>
    <row r="13360" spans="1:4">
      <c r="A13360" s="691"/>
      <c r="D13360" s="3"/>
    </row>
    <row r="13361" spans="1:4">
      <c r="A13361" s="691"/>
      <c r="D13361" s="3"/>
    </row>
    <row r="13362" spans="1:4">
      <c r="A13362" s="691"/>
      <c r="D13362" s="3"/>
    </row>
    <row r="13363" spans="1:4">
      <c r="A13363" s="691"/>
      <c r="D13363" s="3"/>
    </row>
    <row r="13364" spans="1:4">
      <c r="A13364" s="691"/>
      <c r="D13364" s="3"/>
    </row>
    <row r="13365" spans="1:4">
      <c r="A13365" s="691"/>
      <c r="D13365" s="3"/>
    </row>
    <row r="13366" spans="1:4">
      <c r="A13366" s="691"/>
      <c r="D13366" s="3"/>
    </row>
    <row r="13367" spans="1:4">
      <c r="A13367" s="691"/>
      <c r="D13367" s="3"/>
    </row>
    <row r="13368" spans="1:4">
      <c r="A13368" s="691"/>
      <c r="D13368" s="3"/>
    </row>
    <row r="13369" spans="1:4">
      <c r="A13369" s="691"/>
      <c r="D13369" s="3"/>
    </row>
    <row r="13370" spans="1:4">
      <c r="A13370" s="691"/>
      <c r="D13370" s="3"/>
    </row>
    <row r="13371" spans="1:4">
      <c r="A13371" s="691"/>
      <c r="D13371" s="3"/>
    </row>
    <row r="13372" spans="1:4">
      <c r="A13372" s="691"/>
      <c r="D13372" s="3"/>
    </row>
    <row r="13373" spans="1:4">
      <c r="A13373" s="691"/>
      <c r="D13373" s="3"/>
    </row>
    <row r="13374" spans="1:4">
      <c r="A13374" s="691"/>
      <c r="D13374" s="3"/>
    </row>
    <row r="13375" spans="1:4">
      <c r="A13375" s="691"/>
      <c r="D13375" s="3"/>
    </row>
    <row r="13376" spans="1:4">
      <c r="A13376" s="691"/>
      <c r="D13376" s="3"/>
    </row>
    <row r="13377" spans="1:4">
      <c r="A13377" s="691"/>
      <c r="D13377" s="3"/>
    </row>
    <row r="13378" spans="1:4">
      <c r="A13378" s="691"/>
      <c r="D13378" s="3"/>
    </row>
    <row r="13379" spans="1:4">
      <c r="A13379" s="691"/>
      <c r="D13379" s="3"/>
    </row>
    <row r="13380" spans="1:4">
      <c r="A13380" s="691"/>
      <c r="D13380" s="3"/>
    </row>
    <row r="13381" spans="1:4">
      <c r="A13381" s="691"/>
      <c r="D13381" s="3"/>
    </row>
    <row r="13382" spans="1:4">
      <c r="A13382" s="691"/>
      <c r="D13382" s="3"/>
    </row>
    <row r="13383" spans="1:4">
      <c r="A13383" s="691"/>
      <c r="D13383" s="3"/>
    </row>
    <row r="13384" spans="1:4">
      <c r="A13384" s="691"/>
      <c r="D13384" s="3"/>
    </row>
    <row r="13385" spans="1:4">
      <c r="A13385" s="691"/>
      <c r="D13385" s="3"/>
    </row>
    <row r="13386" spans="1:4">
      <c r="A13386" s="691"/>
      <c r="D13386" s="3"/>
    </row>
    <row r="13387" spans="1:4">
      <c r="A13387" s="691"/>
      <c r="D13387" s="3"/>
    </row>
    <row r="13388" spans="1:4">
      <c r="A13388" s="691"/>
      <c r="D13388" s="3"/>
    </row>
    <row r="13389" spans="1:4">
      <c r="A13389" s="691"/>
      <c r="D13389" s="3"/>
    </row>
    <row r="13390" spans="1:4">
      <c r="A13390" s="691"/>
      <c r="D13390" s="3"/>
    </row>
    <row r="13391" spans="1:4">
      <c r="A13391" s="691"/>
      <c r="D13391" s="3"/>
    </row>
    <row r="13392" spans="1:4">
      <c r="A13392" s="691"/>
      <c r="D13392" s="3"/>
    </row>
    <row r="13393" spans="1:4">
      <c r="A13393" s="691"/>
      <c r="D13393" s="3"/>
    </row>
    <row r="13394" spans="1:4">
      <c r="A13394" s="691"/>
      <c r="D13394" s="3"/>
    </row>
    <row r="13395" spans="1:4">
      <c r="A13395" s="691"/>
      <c r="D13395" s="3"/>
    </row>
    <row r="13396" spans="1:4">
      <c r="A13396" s="691"/>
      <c r="D13396" s="3"/>
    </row>
    <row r="13397" spans="1:4">
      <c r="A13397" s="691"/>
      <c r="D13397" s="3"/>
    </row>
    <row r="13398" spans="1:4">
      <c r="A13398" s="691"/>
      <c r="D13398" s="3"/>
    </row>
    <row r="13399" spans="1:4">
      <c r="A13399" s="691"/>
      <c r="D13399" s="3"/>
    </row>
    <row r="13400" spans="1:4">
      <c r="A13400" s="691"/>
      <c r="D13400" s="3"/>
    </row>
    <row r="13401" spans="1:4">
      <c r="A13401" s="691"/>
      <c r="D13401" s="3"/>
    </row>
    <row r="13402" spans="1:4">
      <c r="A13402" s="691"/>
      <c r="D13402" s="3"/>
    </row>
    <row r="13403" spans="1:4">
      <c r="A13403" s="691"/>
      <c r="D13403" s="3"/>
    </row>
    <row r="13404" spans="1:4">
      <c r="A13404" s="691"/>
      <c r="D13404" s="3"/>
    </row>
    <row r="13405" spans="1:4">
      <c r="A13405" s="691"/>
      <c r="D13405" s="3"/>
    </row>
    <row r="13406" spans="1:4">
      <c r="A13406" s="691"/>
      <c r="D13406" s="3"/>
    </row>
    <row r="13407" spans="1:4">
      <c r="A13407" s="691"/>
      <c r="D13407" s="3"/>
    </row>
    <row r="13408" spans="1:4">
      <c r="A13408" s="691"/>
      <c r="D13408" s="3"/>
    </row>
    <row r="13409" spans="1:4">
      <c r="A13409" s="691"/>
      <c r="D13409" s="3"/>
    </row>
    <row r="13410" spans="1:4">
      <c r="A13410" s="691"/>
      <c r="D13410" s="3"/>
    </row>
    <row r="13411" spans="1:4">
      <c r="A13411" s="691"/>
      <c r="D13411" s="3"/>
    </row>
    <row r="13412" spans="1:4">
      <c r="A13412" s="691"/>
      <c r="D13412" s="3"/>
    </row>
    <row r="13413" spans="1:4">
      <c r="A13413" s="691"/>
      <c r="D13413" s="3"/>
    </row>
    <row r="13414" spans="1:4">
      <c r="A13414" s="691"/>
      <c r="D13414" s="3"/>
    </row>
    <row r="13415" spans="1:4">
      <c r="A13415" s="691"/>
      <c r="D13415" s="3"/>
    </row>
    <row r="13416" spans="1:4">
      <c r="A13416" s="691"/>
      <c r="D13416" s="3"/>
    </row>
    <row r="13417" spans="1:4">
      <c r="A13417" s="691"/>
      <c r="D13417" s="3"/>
    </row>
    <row r="13418" spans="1:4">
      <c r="A13418" s="691"/>
      <c r="D13418" s="3"/>
    </row>
    <row r="13419" spans="1:4">
      <c r="A13419" s="691"/>
      <c r="D13419" s="3"/>
    </row>
    <row r="13420" spans="1:4">
      <c r="A13420" s="691"/>
      <c r="D13420" s="3"/>
    </row>
    <row r="13421" spans="1:4">
      <c r="A13421" s="691"/>
      <c r="D13421" s="3"/>
    </row>
    <row r="13422" spans="1:4">
      <c r="A13422" s="691"/>
      <c r="D13422" s="3"/>
    </row>
    <row r="13423" spans="1:4">
      <c r="A13423" s="691"/>
      <c r="D13423" s="3"/>
    </row>
    <row r="13424" spans="1:4">
      <c r="A13424" s="691"/>
      <c r="D13424" s="3"/>
    </row>
    <row r="13425" spans="1:4">
      <c r="A13425" s="691"/>
      <c r="D13425" s="3"/>
    </row>
    <row r="13426" spans="1:4">
      <c r="A13426" s="691"/>
      <c r="D13426" s="3"/>
    </row>
    <row r="13427" spans="1:4">
      <c r="A13427" s="691"/>
      <c r="D13427" s="3"/>
    </row>
    <row r="13428" spans="1:4">
      <c r="A13428" s="691"/>
      <c r="D13428" s="3"/>
    </row>
    <row r="13429" spans="1:4">
      <c r="A13429" s="691"/>
      <c r="D13429" s="3"/>
    </row>
    <row r="13430" spans="1:4">
      <c r="A13430" s="691"/>
      <c r="D13430" s="3"/>
    </row>
    <row r="13431" spans="1:4">
      <c r="A13431" s="691"/>
      <c r="D13431" s="3"/>
    </row>
    <row r="13432" spans="1:4">
      <c r="A13432" s="691"/>
      <c r="D13432" s="3"/>
    </row>
    <row r="13433" spans="1:4">
      <c r="A13433" s="691"/>
      <c r="D13433" s="3"/>
    </row>
    <row r="13434" spans="1:4">
      <c r="A13434" s="691"/>
      <c r="D13434" s="3"/>
    </row>
    <row r="13435" spans="1:4">
      <c r="A13435" s="691"/>
      <c r="D13435" s="3"/>
    </row>
    <row r="13436" spans="1:4">
      <c r="A13436" s="691"/>
      <c r="D13436" s="3"/>
    </row>
    <row r="13437" spans="1:4">
      <c r="A13437" s="691"/>
      <c r="D13437" s="3"/>
    </row>
    <row r="13438" spans="1:4">
      <c r="A13438" s="691"/>
      <c r="D13438" s="3"/>
    </row>
    <row r="13439" spans="1:4">
      <c r="A13439" s="691"/>
      <c r="D13439" s="3"/>
    </row>
    <row r="13440" spans="1:4">
      <c r="A13440" s="691"/>
      <c r="D13440" s="3"/>
    </row>
    <row r="13441" spans="1:4">
      <c r="A13441" s="691"/>
      <c r="D13441" s="3"/>
    </row>
    <row r="13442" spans="1:4">
      <c r="A13442" s="691"/>
      <c r="D13442" s="3"/>
    </row>
    <row r="13443" spans="1:4">
      <c r="A13443" s="691"/>
      <c r="D13443" s="3"/>
    </row>
    <row r="13444" spans="1:4">
      <c r="A13444" s="691"/>
      <c r="D13444" s="3"/>
    </row>
    <row r="13445" spans="1:4">
      <c r="A13445" s="691"/>
      <c r="D13445" s="3"/>
    </row>
    <row r="13446" spans="1:4">
      <c r="A13446" s="691"/>
      <c r="D13446" s="3"/>
    </row>
    <row r="13447" spans="1:4">
      <c r="A13447" s="691"/>
      <c r="D13447" s="3"/>
    </row>
    <row r="13448" spans="1:4">
      <c r="A13448" s="691"/>
      <c r="D13448" s="3"/>
    </row>
    <row r="13449" spans="1:4">
      <c r="A13449" s="691"/>
      <c r="D13449" s="3"/>
    </row>
    <row r="13450" spans="1:4">
      <c r="A13450" s="691"/>
      <c r="D13450" s="3"/>
    </row>
    <row r="13451" spans="1:4">
      <c r="A13451" s="691"/>
      <c r="D13451" s="3"/>
    </row>
    <row r="13452" spans="1:4">
      <c r="A13452" s="691"/>
      <c r="D13452" s="3"/>
    </row>
    <row r="13453" spans="1:4">
      <c r="A13453" s="691"/>
      <c r="D13453" s="3"/>
    </row>
    <row r="13454" spans="1:4">
      <c r="A13454" s="691"/>
      <c r="D13454" s="3"/>
    </row>
    <row r="13455" spans="1:4">
      <c r="A13455" s="691"/>
      <c r="D13455" s="3"/>
    </row>
    <row r="13456" spans="1:4">
      <c r="A13456" s="691"/>
      <c r="D13456" s="3"/>
    </row>
    <row r="13457" spans="1:4">
      <c r="A13457" s="691"/>
      <c r="D13457" s="3"/>
    </row>
    <row r="13458" spans="1:4">
      <c r="A13458" s="691"/>
      <c r="D13458" s="3"/>
    </row>
    <row r="13459" spans="1:4">
      <c r="A13459" s="691"/>
      <c r="D13459" s="3"/>
    </row>
    <row r="13460" spans="1:4">
      <c r="A13460" s="691"/>
      <c r="D13460" s="3"/>
    </row>
    <row r="13461" spans="1:4">
      <c r="A13461" s="691"/>
      <c r="D13461" s="3"/>
    </row>
    <row r="13462" spans="1:4">
      <c r="A13462" s="691"/>
      <c r="D13462" s="3"/>
    </row>
    <row r="13463" spans="1:4">
      <c r="A13463" s="691"/>
      <c r="D13463" s="3"/>
    </row>
    <row r="13464" spans="1:4">
      <c r="A13464" s="691"/>
      <c r="D13464" s="3"/>
    </row>
    <row r="13465" spans="1:4">
      <c r="A13465" s="691"/>
      <c r="D13465" s="3"/>
    </row>
    <row r="13466" spans="1:4">
      <c r="A13466" s="691"/>
      <c r="D13466" s="3"/>
    </row>
    <row r="13467" spans="1:4">
      <c r="A13467" s="691"/>
      <c r="D13467" s="3"/>
    </row>
    <row r="13468" spans="1:4">
      <c r="A13468" s="691"/>
      <c r="D13468" s="3"/>
    </row>
    <row r="13469" spans="1:4">
      <c r="A13469" s="691"/>
      <c r="D13469" s="3"/>
    </row>
    <row r="13470" spans="1:4">
      <c r="A13470" s="691"/>
      <c r="D13470" s="3"/>
    </row>
    <row r="13471" spans="1:4">
      <c r="A13471" s="691"/>
      <c r="D13471" s="3"/>
    </row>
    <row r="13472" spans="1:4">
      <c r="A13472" s="691"/>
      <c r="D13472" s="3"/>
    </row>
    <row r="13473" spans="1:4">
      <c r="A13473" s="691"/>
      <c r="D13473" s="3"/>
    </row>
    <row r="13474" spans="1:4">
      <c r="A13474" s="691"/>
      <c r="D13474" s="3"/>
    </row>
    <row r="13475" spans="1:4">
      <c r="A13475" s="691"/>
      <c r="D13475" s="3"/>
    </row>
    <row r="13476" spans="1:4">
      <c r="A13476" s="691"/>
      <c r="D13476" s="3"/>
    </row>
    <row r="13477" spans="1:4">
      <c r="A13477" s="691"/>
      <c r="D13477" s="3"/>
    </row>
    <row r="13478" spans="1:4">
      <c r="A13478" s="691"/>
      <c r="D13478" s="3"/>
    </row>
    <row r="13479" spans="1:4">
      <c r="A13479" s="691"/>
      <c r="D13479" s="3"/>
    </row>
    <row r="13480" spans="1:4">
      <c r="A13480" s="691"/>
      <c r="D13480" s="3"/>
    </row>
    <row r="13481" spans="1:4">
      <c r="A13481" s="691"/>
      <c r="D13481" s="3"/>
    </row>
    <row r="13482" spans="1:4">
      <c r="A13482" s="691"/>
      <c r="D13482" s="3"/>
    </row>
    <row r="13483" spans="1:4">
      <c r="A13483" s="691"/>
      <c r="D13483" s="3"/>
    </row>
    <row r="13484" spans="1:4">
      <c r="A13484" s="691"/>
      <c r="D13484" s="3"/>
    </row>
    <row r="13485" spans="1:4">
      <c r="A13485" s="691"/>
      <c r="D13485" s="3"/>
    </row>
    <row r="13486" spans="1:4">
      <c r="A13486" s="691"/>
      <c r="D13486" s="3"/>
    </row>
    <row r="13487" spans="1:4">
      <c r="A13487" s="691"/>
      <c r="D13487" s="3"/>
    </row>
    <row r="13488" spans="1:4">
      <c r="A13488" s="691"/>
      <c r="D13488" s="3"/>
    </row>
    <row r="13489" spans="1:4">
      <c r="A13489" s="691"/>
      <c r="D13489" s="3"/>
    </row>
    <row r="13490" spans="1:4">
      <c r="A13490" s="691"/>
      <c r="D13490" s="3"/>
    </row>
    <row r="13491" spans="1:4">
      <c r="A13491" s="691"/>
      <c r="D13491" s="3"/>
    </row>
    <row r="13492" spans="1:4">
      <c r="A13492" s="691"/>
      <c r="D13492" s="3"/>
    </row>
    <row r="13493" spans="1:4">
      <c r="A13493" s="691"/>
      <c r="D13493" s="3"/>
    </row>
    <row r="13494" spans="1:4">
      <c r="A13494" s="691"/>
      <c r="D13494" s="3"/>
    </row>
    <row r="13495" spans="1:4">
      <c r="A13495" s="691"/>
      <c r="D13495" s="3"/>
    </row>
    <row r="13496" spans="1:4">
      <c r="A13496" s="691"/>
      <c r="D13496" s="3"/>
    </row>
    <row r="13497" spans="1:4">
      <c r="A13497" s="691"/>
      <c r="D13497" s="3"/>
    </row>
    <row r="13498" spans="1:4">
      <c r="A13498" s="691"/>
      <c r="D13498" s="3"/>
    </row>
    <row r="13499" spans="1:4">
      <c r="A13499" s="691"/>
      <c r="D13499" s="3"/>
    </row>
    <row r="13500" spans="1:4">
      <c r="A13500" s="691"/>
      <c r="D13500" s="3"/>
    </row>
    <row r="13501" spans="1:4">
      <c r="A13501" s="691"/>
      <c r="D13501" s="3"/>
    </row>
    <row r="13502" spans="1:4">
      <c r="A13502" s="691"/>
      <c r="D13502" s="3"/>
    </row>
    <row r="13503" spans="1:4">
      <c r="A13503" s="691"/>
      <c r="D13503" s="3"/>
    </row>
    <row r="13504" spans="1:4">
      <c r="A13504" s="691"/>
      <c r="D13504" s="3"/>
    </row>
    <row r="13505" spans="1:4">
      <c r="A13505" s="691"/>
      <c r="D13505" s="3"/>
    </row>
    <row r="13506" spans="1:4">
      <c r="A13506" s="691"/>
      <c r="D13506" s="3"/>
    </row>
    <row r="13507" spans="1:4">
      <c r="A13507" s="691"/>
      <c r="D13507" s="3"/>
    </row>
    <row r="13508" spans="1:4">
      <c r="A13508" s="691"/>
      <c r="D13508" s="3"/>
    </row>
    <row r="13509" spans="1:4">
      <c r="A13509" s="691"/>
      <c r="D13509" s="3"/>
    </row>
    <row r="13510" spans="1:4">
      <c r="A13510" s="691"/>
      <c r="D13510" s="3"/>
    </row>
    <row r="13511" spans="1:4">
      <c r="A13511" s="691"/>
      <c r="D13511" s="3"/>
    </row>
    <row r="13512" spans="1:4">
      <c r="A13512" s="691"/>
      <c r="D13512" s="3"/>
    </row>
    <row r="13513" spans="1:4">
      <c r="A13513" s="691"/>
      <c r="D13513" s="3"/>
    </row>
    <row r="13514" spans="1:4">
      <c r="A13514" s="691"/>
      <c r="D13514" s="3"/>
    </row>
    <row r="13515" spans="1:4">
      <c r="A13515" s="691"/>
      <c r="D13515" s="3"/>
    </row>
    <row r="13516" spans="1:4">
      <c r="A13516" s="691"/>
      <c r="D13516" s="3"/>
    </row>
    <row r="13517" spans="1:4">
      <c r="A13517" s="691"/>
      <c r="D13517" s="3"/>
    </row>
    <row r="13518" spans="1:4">
      <c r="A13518" s="691"/>
      <c r="D13518" s="3"/>
    </row>
    <row r="13519" spans="1:4">
      <c r="A13519" s="691"/>
      <c r="D13519" s="3"/>
    </row>
    <row r="13520" spans="1:4">
      <c r="A13520" s="691"/>
      <c r="D13520" s="3"/>
    </row>
    <row r="13521" spans="1:4">
      <c r="A13521" s="691"/>
      <c r="D13521" s="3"/>
    </row>
    <row r="13522" spans="1:4">
      <c r="A13522" s="691"/>
      <c r="D13522" s="3"/>
    </row>
    <row r="13523" spans="1:4">
      <c r="A13523" s="691"/>
      <c r="D13523" s="3"/>
    </row>
    <row r="13524" spans="1:4">
      <c r="A13524" s="691"/>
      <c r="D13524" s="3"/>
    </row>
    <row r="13525" spans="1:4">
      <c r="A13525" s="691"/>
      <c r="D13525" s="3"/>
    </row>
    <row r="13526" spans="1:4">
      <c r="A13526" s="691"/>
      <c r="D13526" s="3"/>
    </row>
    <row r="13527" spans="1:4">
      <c r="A13527" s="691"/>
      <c r="D13527" s="3"/>
    </row>
    <row r="13528" spans="1:4">
      <c r="A13528" s="691"/>
      <c r="D13528" s="3"/>
    </row>
    <row r="13529" spans="1:4">
      <c r="A13529" s="691"/>
      <c r="D13529" s="3"/>
    </row>
    <row r="13530" spans="1:4">
      <c r="A13530" s="691"/>
      <c r="D13530" s="3"/>
    </row>
    <row r="13531" spans="1:4">
      <c r="A13531" s="691"/>
      <c r="D13531" s="3"/>
    </row>
    <row r="13532" spans="1:4">
      <c r="A13532" s="691"/>
      <c r="D13532" s="3"/>
    </row>
    <row r="13533" spans="1:4">
      <c r="A13533" s="691"/>
      <c r="D13533" s="3"/>
    </row>
    <row r="13534" spans="1:4">
      <c r="A13534" s="691"/>
      <c r="D13534" s="3"/>
    </row>
    <row r="13535" spans="1:4">
      <c r="A13535" s="691"/>
      <c r="D13535" s="3"/>
    </row>
    <row r="13536" spans="1:4">
      <c r="A13536" s="691"/>
      <c r="D13536" s="3"/>
    </row>
    <row r="13537" spans="1:4">
      <c r="A13537" s="691"/>
      <c r="D13537" s="3"/>
    </row>
    <row r="13538" spans="1:4">
      <c r="A13538" s="691"/>
      <c r="D13538" s="3"/>
    </row>
    <row r="13539" spans="1:4">
      <c r="A13539" s="691"/>
      <c r="D13539" s="3"/>
    </row>
    <row r="13540" spans="1:4">
      <c r="A13540" s="691"/>
      <c r="D13540" s="3"/>
    </row>
    <row r="13541" spans="1:4">
      <c r="A13541" s="691"/>
      <c r="D13541" s="3"/>
    </row>
    <row r="13542" spans="1:4">
      <c r="A13542" s="691"/>
      <c r="D13542" s="3"/>
    </row>
    <row r="13543" spans="1:4">
      <c r="A13543" s="691"/>
      <c r="D13543" s="3"/>
    </row>
    <row r="13544" spans="1:4">
      <c r="A13544" s="691"/>
      <c r="D13544" s="3"/>
    </row>
    <row r="13545" spans="1:4">
      <c r="A13545" s="691"/>
      <c r="D13545" s="3"/>
    </row>
    <row r="13546" spans="1:4">
      <c r="A13546" s="691"/>
      <c r="D13546" s="3"/>
    </row>
    <row r="13547" spans="1:4">
      <c r="A13547" s="691"/>
      <c r="D13547" s="3"/>
    </row>
    <row r="13548" spans="1:4">
      <c r="A13548" s="691"/>
      <c r="D13548" s="3"/>
    </row>
    <row r="13549" spans="1:4">
      <c r="A13549" s="691"/>
      <c r="D13549" s="3"/>
    </row>
    <row r="13550" spans="1:4">
      <c r="A13550" s="691"/>
      <c r="D13550" s="3"/>
    </row>
    <row r="13551" spans="1:4">
      <c r="A13551" s="691"/>
      <c r="D13551" s="3"/>
    </row>
    <row r="13552" spans="1:4">
      <c r="A13552" s="691"/>
      <c r="D13552" s="3"/>
    </row>
    <row r="13553" spans="1:4">
      <c r="A13553" s="691"/>
      <c r="D13553" s="3"/>
    </row>
    <row r="13554" spans="1:4">
      <c r="A13554" s="691"/>
      <c r="D13554" s="3"/>
    </row>
    <row r="13555" spans="1:4">
      <c r="A13555" s="691"/>
      <c r="D13555" s="3"/>
    </row>
    <row r="13556" spans="1:4">
      <c r="A13556" s="691"/>
      <c r="D13556" s="3"/>
    </row>
    <row r="13557" spans="1:4">
      <c r="A13557" s="691"/>
      <c r="D13557" s="3"/>
    </row>
    <row r="13558" spans="1:4">
      <c r="A13558" s="691"/>
      <c r="D13558" s="3"/>
    </row>
    <row r="13559" spans="1:4">
      <c r="A13559" s="691"/>
      <c r="D13559" s="3"/>
    </row>
    <row r="13560" spans="1:4">
      <c r="A13560" s="691"/>
      <c r="D13560" s="3"/>
    </row>
    <row r="13561" spans="1:4">
      <c r="A13561" s="691"/>
      <c r="D13561" s="3"/>
    </row>
    <row r="13562" spans="1:4">
      <c r="A13562" s="691"/>
      <c r="D13562" s="3"/>
    </row>
    <row r="13563" spans="1:4">
      <c r="A13563" s="691"/>
      <c r="D13563" s="3"/>
    </row>
    <row r="13564" spans="1:4">
      <c r="A13564" s="691"/>
      <c r="D13564" s="3"/>
    </row>
    <row r="13565" spans="1:4">
      <c r="A13565" s="691"/>
      <c r="D13565" s="3"/>
    </row>
    <row r="13566" spans="1:4">
      <c r="A13566" s="691"/>
      <c r="D13566" s="3"/>
    </row>
    <row r="13567" spans="1:4">
      <c r="A13567" s="691"/>
      <c r="D13567" s="3"/>
    </row>
    <row r="13568" spans="1:4">
      <c r="A13568" s="691"/>
      <c r="D13568" s="3"/>
    </row>
    <row r="13569" spans="1:4">
      <c r="A13569" s="691"/>
      <c r="D13569" s="3"/>
    </row>
    <row r="13570" spans="1:4">
      <c r="A13570" s="691"/>
      <c r="D13570" s="3"/>
    </row>
    <row r="13571" spans="1:4">
      <c r="A13571" s="691"/>
      <c r="D13571" s="3"/>
    </row>
    <row r="13572" spans="1:4">
      <c r="A13572" s="691"/>
      <c r="D13572" s="3"/>
    </row>
    <row r="13573" spans="1:4">
      <c r="A13573" s="691"/>
      <c r="D13573" s="3"/>
    </row>
    <row r="13574" spans="1:4">
      <c r="A13574" s="691"/>
      <c r="D13574" s="3"/>
    </row>
    <row r="13575" spans="1:4">
      <c r="A13575" s="691"/>
      <c r="D13575" s="3"/>
    </row>
    <row r="13576" spans="1:4">
      <c r="A13576" s="691"/>
      <c r="D13576" s="3"/>
    </row>
    <row r="13577" spans="1:4">
      <c r="A13577" s="691"/>
      <c r="D13577" s="3"/>
    </row>
    <row r="13578" spans="1:4">
      <c r="A13578" s="691"/>
      <c r="D13578" s="3"/>
    </row>
    <row r="13579" spans="1:4">
      <c r="A13579" s="691"/>
      <c r="D13579" s="3"/>
    </row>
    <row r="13580" spans="1:4">
      <c r="A13580" s="691"/>
      <c r="D13580" s="3"/>
    </row>
    <row r="13581" spans="1:4">
      <c r="A13581" s="691"/>
      <c r="D13581" s="3"/>
    </row>
    <row r="13582" spans="1:4">
      <c r="A13582" s="691"/>
      <c r="D13582" s="3"/>
    </row>
    <row r="13583" spans="1:4">
      <c r="A13583" s="691"/>
      <c r="D13583" s="3"/>
    </row>
    <row r="13584" spans="1:4">
      <c r="A13584" s="691"/>
      <c r="D13584" s="3"/>
    </row>
    <row r="13585" spans="1:4">
      <c r="A13585" s="691"/>
      <c r="D13585" s="3"/>
    </row>
    <row r="13586" spans="1:4">
      <c r="A13586" s="691"/>
      <c r="D13586" s="3"/>
    </row>
    <row r="13587" spans="1:4">
      <c r="A13587" s="691"/>
      <c r="D13587" s="3"/>
    </row>
    <row r="13588" spans="1:4">
      <c r="A13588" s="691"/>
      <c r="D13588" s="3"/>
    </row>
    <row r="13589" spans="1:4">
      <c r="A13589" s="691"/>
      <c r="D13589" s="3"/>
    </row>
    <row r="13590" spans="1:4">
      <c r="A13590" s="691"/>
      <c r="D13590" s="3"/>
    </row>
    <row r="13591" spans="1:4">
      <c r="A13591" s="691"/>
      <c r="D13591" s="3"/>
    </row>
    <row r="13592" spans="1:4">
      <c r="A13592" s="691"/>
      <c r="D13592" s="3"/>
    </row>
    <row r="13593" spans="1:4">
      <c r="A13593" s="691"/>
      <c r="D13593" s="3"/>
    </row>
    <row r="13594" spans="1:4">
      <c r="A13594" s="691"/>
      <c r="D13594" s="3"/>
    </row>
    <row r="13595" spans="1:4">
      <c r="A13595" s="691"/>
      <c r="D13595" s="3"/>
    </row>
    <row r="13596" spans="1:4">
      <c r="A13596" s="691"/>
      <c r="D13596" s="3"/>
    </row>
    <row r="13597" spans="1:4">
      <c r="A13597" s="691"/>
      <c r="D13597" s="3"/>
    </row>
    <row r="13598" spans="1:4">
      <c r="A13598" s="691"/>
      <c r="D13598" s="3"/>
    </row>
    <row r="13599" spans="1:4">
      <c r="A13599" s="691"/>
      <c r="D13599" s="3"/>
    </row>
    <row r="13600" spans="1:4">
      <c r="A13600" s="691"/>
      <c r="D13600" s="3"/>
    </row>
    <row r="13601" spans="1:4">
      <c r="A13601" s="691"/>
      <c r="D13601" s="3"/>
    </row>
    <row r="13602" spans="1:4">
      <c r="A13602" s="691"/>
      <c r="D13602" s="3"/>
    </row>
    <row r="13603" spans="1:4">
      <c r="A13603" s="691"/>
      <c r="D13603" s="3"/>
    </row>
    <row r="13604" spans="1:4">
      <c r="A13604" s="691"/>
      <c r="D13604" s="3"/>
    </row>
    <row r="13605" spans="1:4">
      <c r="A13605" s="691"/>
      <c r="D13605" s="3"/>
    </row>
    <row r="13606" spans="1:4">
      <c r="A13606" s="691"/>
      <c r="D13606" s="3"/>
    </row>
    <row r="13607" spans="1:4">
      <c r="A13607" s="691"/>
      <c r="D13607" s="3"/>
    </row>
    <row r="13608" spans="1:4">
      <c r="A13608" s="691"/>
      <c r="D13608" s="3"/>
    </row>
    <row r="13609" spans="1:4">
      <c r="A13609" s="691"/>
      <c r="D13609" s="3"/>
    </row>
    <row r="13610" spans="1:4">
      <c r="A13610" s="691"/>
      <c r="D13610" s="3"/>
    </row>
    <row r="13611" spans="1:4">
      <c r="A13611" s="691"/>
      <c r="D13611" s="3"/>
    </row>
    <row r="13612" spans="1:4">
      <c r="A13612" s="691"/>
      <c r="D13612" s="3"/>
    </row>
    <row r="13613" spans="1:4">
      <c r="A13613" s="691"/>
      <c r="D13613" s="3"/>
    </row>
    <row r="13614" spans="1:4">
      <c r="A13614" s="691"/>
      <c r="D13614" s="3"/>
    </row>
    <row r="13615" spans="1:4">
      <c r="A13615" s="691"/>
      <c r="D13615" s="3"/>
    </row>
    <row r="13616" spans="1:4">
      <c r="A13616" s="691"/>
      <c r="D13616" s="3"/>
    </row>
    <row r="13617" spans="1:4">
      <c r="A13617" s="691"/>
      <c r="D13617" s="3"/>
    </row>
    <row r="13618" spans="1:4">
      <c r="A13618" s="691"/>
      <c r="D13618" s="3"/>
    </row>
    <row r="13619" spans="1:4">
      <c r="A13619" s="691"/>
      <c r="D13619" s="3"/>
    </row>
    <row r="13620" spans="1:4">
      <c r="A13620" s="691"/>
      <c r="D13620" s="3"/>
    </row>
    <row r="13621" spans="1:4">
      <c r="A13621" s="691"/>
      <c r="D13621" s="3"/>
    </row>
    <row r="13622" spans="1:4">
      <c r="A13622" s="691"/>
      <c r="D13622" s="3"/>
    </row>
    <row r="13623" spans="1:4">
      <c r="A13623" s="691"/>
      <c r="D13623" s="3"/>
    </row>
    <row r="13624" spans="1:4">
      <c r="A13624" s="691"/>
      <c r="D13624" s="3"/>
    </row>
    <row r="13625" spans="1:4">
      <c r="A13625" s="691"/>
      <c r="D13625" s="3"/>
    </row>
    <row r="13626" spans="1:4">
      <c r="A13626" s="691"/>
      <c r="D13626" s="3"/>
    </row>
    <row r="13627" spans="1:4">
      <c r="A13627" s="691"/>
      <c r="D13627" s="3"/>
    </row>
    <row r="13628" spans="1:4">
      <c r="A13628" s="691"/>
      <c r="D13628" s="3"/>
    </row>
    <row r="13629" spans="1:4">
      <c r="A13629" s="691"/>
      <c r="D13629" s="3"/>
    </row>
    <row r="13630" spans="1:4">
      <c r="A13630" s="691"/>
      <c r="D13630" s="3"/>
    </row>
    <row r="13631" spans="1:4">
      <c r="A13631" s="691"/>
      <c r="D13631" s="3"/>
    </row>
    <row r="13632" spans="1:4">
      <c r="A13632" s="691"/>
      <c r="D13632" s="3"/>
    </row>
    <row r="13633" spans="1:4">
      <c r="A13633" s="691"/>
      <c r="D13633" s="3"/>
    </row>
    <row r="13634" spans="1:4">
      <c r="A13634" s="691"/>
      <c r="D13634" s="3"/>
    </row>
    <row r="13635" spans="1:4">
      <c r="A13635" s="691"/>
      <c r="D13635" s="3"/>
    </row>
    <row r="13636" spans="1:4">
      <c r="A13636" s="691"/>
      <c r="D13636" s="3"/>
    </row>
    <row r="13637" spans="1:4">
      <c r="A13637" s="691"/>
      <c r="D13637" s="3"/>
    </row>
    <row r="13638" spans="1:4">
      <c r="A13638" s="691"/>
      <c r="D13638" s="3"/>
    </row>
    <row r="13639" spans="1:4">
      <c r="A13639" s="691"/>
      <c r="D13639" s="3"/>
    </row>
    <row r="13640" spans="1:4">
      <c r="A13640" s="691"/>
      <c r="D13640" s="3"/>
    </row>
    <row r="13641" spans="1:4">
      <c r="A13641" s="691"/>
      <c r="D13641" s="3"/>
    </row>
    <row r="13642" spans="1:4">
      <c r="A13642" s="691"/>
      <c r="D13642" s="3"/>
    </row>
    <row r="13643" spans="1:4">
      <c r="A13643" s="691"/>
      <c r="D13643" s="3"/>
    </row>
    <row r="13644" spans="1:4">
      <c r="A13644" s="691"/>
      <c r="D13644" s="3"/>
    </row>
    <row r="13645" spans="1:4">
      <c r="A13645" s="691"/>
      <c r="D13645" s="3"/>
    </row>
    <row r="13646" spans="1:4">
      <c r="A13646" s="691"/>
      <c r="D13646" s="3"/>
    </row>
    <row r="13647" spans="1:4">
      <c r="A13647" s="691"/>
      <c r="D13647" s="3"/>
    </row>
    <row r="13648" spans="1:4">
      <c r="A13648" s="691"/>
      <c r="D13648" s="3"/>
    </row>
    <row r="13649" spans="1:4">
      <c r="A13649" s="691"/>
      <c r="D13649" s="3"/>
    </row>
    <row r="13650" spans="1:4">
      <c r="A13650" s="691"/>
      <c r="D13650" s="3"/>
    </row>
    <row r="13651" spans="1:4">
      <c r="A13651" s="691"/>
      <c r="D13651" s="3"/>
    </row>
    <row r="13652" spans="1:4">
      <c r="A13652" s="691"/>
      <c r="D13652" s="3"/>
    </row>
    <row r="13653" spans="1:4">
      <c r="A13653" s="691"/>
      <c r="D13653" s="3"/>
    </row>
    <row r="13654" spans="1:4">
      <c r="A13654" s="691"/>
      <c r="D13654" s="3"/>
    </row>
    <row r="13655" spans="1:4">
      <c r="A13655" s="691"/>
      <c r="D13655" s="3"/>
    </row>
    <row r="13656" spans="1:4">
      <c r="A13656" s="691"/>
      <c r="D13656" s="3"/>
    </row>
    <row r="13657" spans="1:4">
      <c r="A13657" s="691"/>
      <c r="D13657" s="3"/>
    </row>
    <row r="13658" spans="1:4">
      <c r="A13658" s="691"/>
      <c r="D13658" s="3"/>
    </row>
    <row r="13659" spans="1:4">
      <c r="A13659" s="691"/>
      <c r="D13659" s="3"/>
    </row>
    <row r="13660" spans="1:4">
      <c r="A13660" s="691"/>
      <c r="D13660" s="3"/>
    </row>
    <row r="13661" spans="1:4">
      <c r="A13661" s="691"/>
      <c r="D13661" s="3"/>
    </row>
    <row r="13662" spans="1:4">
      <c r="A13662" s="691"/>
      <c r="D13662" s="3"/>
    </row>
    <row r="13663" spans="1:4">
      <c r="A13663" s="691"/>
      <c r="D13663" s="3"/>
    </row>
    <row r="13664" spans="1:4">
      <c r="A13664" s="691"/>
      <c r="D13664" s="3"/>
    </row>
    <row r="13665" spans="1:4">
      <c r="A13665" s="691"/>
      <c r="D13665" s="3"/>
    </row>
    <row r="13666" spans="1:4">
      <c r="A13666" s="691"/>
      <c r="D13666" s="3"/>
    </row>
    <row r="13667" spans="1:4">
      <c r="A13667" s="691"/>
      <c r="D13667" s="3"/>
    </row>
    <row r="13668" spans="1:4">
      <c r="A13668" s="691"/>
      <c r="D13668" s="3"/>
    </row>
    <row r="13669" spans="1:4">
      <c r="A13669" s="691"/>
      <c r="D13669" s="3"/>
    </row>
    <row r="13670" spans="1:4">
      <c r="A13670" s="691"/>
      <c r="D13670" s="3"/>
    </row>
    <row r="13671" spans="1:4">
      <c r="A13671" s="691"/>
      <c r="D13671" s="3"/>
    </row>
    <row r="13672" spans="1:4">
      <c r="A13672" s="691"/>
      <c r="D13672" s="3"/>
    </row>
    <row r="13673" spans="1:4">
      <c r="A13673" s="691"/>
      <c r="D13673" s="3"/>
    </row>
    <row r="13674" spans="1:4">
      <c r="A13674" s="691"/>
      <c r="D13674" s="3"/>
    </row>
    <row r="13675" spans="1:4">
      <c r="A13675" s="691"/>
      <c r="D13675" s="3"/>
    </row>
    <row r="13676" spans="1:4">
      <c r="A13676" s="691"/>
      <c r="D13676" s="3"/>
    </row>
    <row r="13677" spans="1:4">
      <c r="A13677" s="691"/>
      <c r="D13677" s="3"/>
    </row>
    <row r="13678" spans="1:4">
      <c r="A13678" s="691"/>
      <c r="D13678" s="3"/>
    </row>
    <row r="13679" spans="1:4">
      <c r="A13679" s="691"/>
      <c r="D13679" s="3"/>
    </row>
    <row r="13680" spans="1:4">
      <c r="A13680" s="691"/>
      <c r="D13680" s="3"/>
    </row>
    <row r="13681" spans="1:4">
      <c r="A13681" s="691"/>
      <c r="D13681" s="3"/>
    </row>
    <row r="13682" spans="1:4">
      <c r="A13682" s="691"/>
      <c r="D13682" s="3"/>
    </row>
    <row r="13683" spans="1:4">
      <c r="A13683" s="691"/>
      <c r="D13683" s="3"/>
    </row>
    <row r="13684" spans="1:4">
      <c r="A13684" s="691"/>
      <c r="D13684" s="3"/>
    </row>
    <row r="13685" spans="1:4">
      <c r="A13685" s="691"/>
      <c r="D13685" s="3"/>
    </row>
    <row r="13686" spans="1:4">
      <c r="A13686" s="691"/>
      <c r="D13686" s="3"/>
    </row>
    <row r="13687" spans="1:4">
      <c r="A13687" s="691"/>
      <c r="D13687" s="3"/>
    </row>
    <row r="13688" spans="1:4">
      <c r="A13688" s="691"/>
      <c r="D13688" s="3"/>
    </row>
    <row r="13689" spans="1:4">
      <c r="A13689" s="691"/>
      <c r="D13689" s="3"/>
    </row>
    <row r="13690" spans="1:4">
      <c r="A13690" s="691"/>
      <c r="D13690" s="3"/>
    </row>
    <row r="13691" spans="1:4">
      <c r="A13691" s="691"/>
      <c r="D13691" s="3"/>
    </row>
    <row r="13692" spans="1:4">
      <c r="A13692" s="691"/>
      <c r="D13692" s="3"/>
    </row>
    <row r="13693" spans="1:4">
      <c r="A13693" s="691"/>
      <c r="D13693" s="3"/>
    </row>
    <row r="13694" spans="1:4">
      <c r="A13694" s="691"/>
      <c r="D13694" s="3"/>
    </row>
    <row r="13695" spans="1:4">
      <c r="A13695" s="691"/>
      <c r="D13695" s="3"/>
    </row>
    <row r="13696" spans="1:4">
      <c r="A13696" s="691"/>
      <c r="D13696" s="3"/>
    </row>
    <row r="13697" spans="1:4">
      <c r="A13697" s="691"/>
      <c r="D13697" s="3"/>
    </row>
    <row r="13698" spans="1:4">
      <c r="A13698" s="691"/>
      <c r="D13698" s="3"/>
    </row>
    <row r="13699" spans="1:4">
      <c r="A13699" s="691"/>
      <c r="D13699" s="3"/>
    </row>
    <row r="13700" spans="1:4">
      <c r="A13700" s="691"/>
      <c r="D13700" s="3"/>
    </row>
    <row r="13701" spans="1:4">
      <c r="A13701" s="691"/>
      <c r="D13701" s="3"/>
    </row>
    <row r="13702" spans="1:4">
      <c r="A13702" s="691"/>
      <c r="D13702" s="3"/>
    </row>
    <row r="13703" spans="1:4">
      <c r="A13703" s="691"/>
      <c r="D13703" s="3"/>
    </row>
    <row r="13704" spans="1:4">
      <c r="A13704" s="691"/>
      <c r="D13704" s="3"/>
    </row>
    <row r="13705" spans="1:4">
      <c r="A13705" s="691"/>
      <c r="D13705" s="3"/>
    </row>
    <row r="13706" spans="1:4">
      <c r="A13706" s="691"/>
      <c r="D13706" s="3"/>
    </row>
    <row r="13707" spans="1:4">
      <c r="A13707" s="691"/>
      <c r="D13707" s="3"/>
    </row>
    <row r="13708" spans="1:4">
      <c r="A13708" s="691"/>
      <c r="D13708" s="3"/>
    </row>
    <row r="13709" spans="1:4">
      <c r="A13709" s="691"/>
      <c r="D13709" s="3"/>
    </row>
    <row r="13710" spans="1:4">
      <c r="A13710" s="691"/>
      <c r="D13710" s="3"/>
    </row>
    <row r="13711" spans="1:4">
      <c r="A13711" s="691"/>
      <c r="D13711" s="3"/>
    </row>
    <row r="13712" spans="1:4">
      <c r="A13712" s="691"/>
      <c r="D13712" s="3"/>
    </row>
    <row r="13713" spans="1:4">
      <c r="A13713" s="691"/>
      <c r="D13713" s="3"/>
    </row>
    <row r="13714" spans="1:4">
      <c r="A13714" s="691"/>
      <c r="D13714" s="3"/>
    </row>
    <row r="13715" spans="1:4">
      <c r="A13715" s="691"/>
      <c r="D13715" s="3"/>
    </row>
    <row r="13716" spans="1:4">
      <c r="A13716" s="691"/>
      <c r="D13716" s="3"/>
    </row>
    <row r="13717" spans="1:4">
      <c r="A13717" s="691"/>
      <c r="D13717" s="3"/>
    </row>
    <row r="13718" spans="1:4">
      <c r="A13718" s="691"/>
      <c r="D13718" s="3"/>
    </row>
    <row r="13719" spans="1:4">
      <c r="A13719" s="691"/>
      <c r="D13719" s="3"/>
    </row>
    <row r="13720" spans="1:4">
      <c r="A13720" s="691"/>
      <c r="D13720" s="3"/>
    </row>
    <row r="13721" spans="1:4">
      <c r="A13721" s="691"/>
      <c r="D13721" s="3"/>
    </row>
    <row r="13722" spans="1:4">
      <c r="A13722" s="691"/>
      <c r="D13722" s="3"/>
    </row>
    <row r="13723" spans="1:4">
      <c r="A13723" s="691"/>
      <c r="D13723" s="3"/>
    </row>
    <row r="13724" spans="1:4">
      <c r="A13724" s="691"/>
      <c r="D13724" s="3"/>
    </row>
    <row r="13725" spans="1:4">
      <c r="A13725" s="691"/>
      <c r="D13725" s="3"/>
    </row>
    <row r="13726" spans="1:4">
      <c r="A13726" s="691"/>
      <c r="D13726" s="3"/>
    </row>
    <row r="13727" spans="1:4">
      <c r="A13727" s="691"/>
      <c r="D13727" s="3"/>
    </row>
    <row r="13728" spans="1:4">
      <c r="A13728" s="691"/>
      <c r="D13728" s="3"/>
    </row>
    <row r="13729" spans="1:4">
      <c r="A13729" s="691"/>
      <c r="D13729" s="3"/>
    </row>
    <row r="13730" spans="1:4">
      <c r="A13730" s="691"/>
      <c r="D13730" s="3"/>
    </row>
    <row r="13731" spans="1:4">
      <c r="A13731" s="691"/>
      <c r="D13731" s="3"/>
    </row>
    <row r="13732" spans="1:4">
      <c r="A13732" s="691"/>
      <c r="D13732" s="3"/>
    </row>
    <row r="13733" spans="1:4">
      <c r="A13733" s="691"/>
      <c r="D13733" s="3"/>
    </row>
    <row r="13734" spans="1:4">
      <c r="A13734" s="691"/>
      <c r="D13734" s="3"/>
    </row>
    <row r="13735" spans="1:4">
      <c r="A13735" s="691"/>
      <c r="D13735" s="3"/>
    </row>
    <row r="13736" spans="1:4">
      <c r="A13736" s="691"/>
      <c r="D13736" s="3"/>
    </row>
    <row r="13737" spans="1:4">
      <c r="A13737" s="691"/>
      <c r="D13737" s="3"/>
    </row>
    <row r="13738" spans="1:4">
      <c r="A13738" s="691"/>
      <c r="D13738" s="3"/>
    </row>
    <row r="13739" spans="1:4">
      <c r="A13739" s="691"/>
      <c r="D13739" s="3"/>
    </row>
    <row r="13740" spans="1:4">
      <c r="A13740" s="691"/>
      <c r="D13740" s="3"/>
    </row>
    <row r="13741" spans="1:4">
      <c r="A13741" s="691"/>
      <c r="D13741" s="3"/>
    </row>
    <row r="13742" spans="1:4">
      <c r="A13742" s="691"/>
      <c r="D13742" s="3"/>
    </row>
    <row r="13743" spans="1:4">
      <c r="A13743" s="691"/>
      <c r="D13743" s="3"/>
    </row>
    <row r="13744" spans="1:4">
      <c r="A13744" s="691"/>
      <c r="D13744" s="3"/>
    </row>
    <row r="13745" spans="1:4">
      <c r="A13745" s="691"/>
      <c r="D13745" s="3"/>
    </row>
    <row r="13746" spans="1:4">
      <c r="A13746" s="691"/>
      <c r="D13746" s="3"/>
    </row>
    <row r="13747" spans="1:4">
      <c r="A13747" s="691"/>
      <c r="D13747" s="3"/>
    </row>
    <row r="13748" spans="1:4">
      <c r="A13748" s="691"/>
      <c r="D13748" s="3"/>
    </row>
    <row r="13749" spans="1:4">
      <c r="A13749" s="691"/>
      <c r="D13749" s="3"/>
    </row>
    <row r="13750" spans="1:4">
      <c r="A13750" s="691"/>
      <c r="D13750" s="3"/>
    </row>
    <row r="13751" spans="1:4">
      <c r="A13751" s="691"/>
      <c r="D13751" s="3"/>
    </row>
    <row r="13752" spans="1:4">
      <c r="A13752" s="691"/>
      <c r="D13752" s="3"/>
    </row>
    <row r="13753" spans="1:4">
      <c r="A13753" s="691"/>
      <c r="D13753" s="3"/>
    </row>
    <row r="13754" spans="1:4">
      <c r="A13754" s="691"/>
      <c r="D13754" s="3"/>
    </row>
    <row r="13755" spans="1:4">
      <c r="A13755" s="691"/>
      <c r="D13755" s="3"/>
    </row>
    <row r="13756" spans="1:4">
      <c r="A13756" s="691"/>
      <c r="D13756" s="3"/>
    </row>
    <row r="13757" spans="1:4">
      <c r="A13757" s="691"/>
      <c r="D13757" s="3"/>
    </row>
    <row r="13758" spans="1:4">
      <c r="A13758" s="691"/>
      <c r="D13758" s="3"/>
    </row>
    <row r="13759" spans="1:4">
      <c r="A13759" s="691"/>
      <c r="D13759" s="3"/>
    </row>
    <row r="13760" spans="1:4">
      <c r="A13760" s="691"/>
      <c r="D13760" s="3"/>
    </row>
    <row r="13761" spans="1:4">
      <c r="A13761" s="691"/>
      <c r="D13761" s="3"/>
    </row>
    <row r="13762" spans="1:4">
      <c r="A13762" s="691"/>
      <c r="D13762" s="3"/>
    </row>
    <row r="13763" spans="1:4">
      <c r="A13763" s="691"/>
      <c r="D13763" s="3"/>
    </row>
    <row r="13764" spans="1:4">
      <c r="A13764" s="691"/>
      <c r="D13764" s="3"/>
    </row>
    <row r="13765" spans="1:4">
      <c r="A13765" s="691"/>
      <c r="D13765" s="3"/>
    </row>
    <row r="13766" spans="1:4">
      <c r="A13766" s="691"/>
      <c r="D13766" s="3"/>
    </row>
    <row r="13767" spans="1:4">
      <c r="A13767" s="691"/>
      <c r="D13767" s="3"/>
    </row>
    <row r="13768" spans="1:4">
      <c r="A13768" s="691"/>
      <c r="D13768" s="3"/>
    </row>
    <row r="13769" spans="1:4">
      <c r="A13769" s="691"/>
      <c r="D13769" s="3"/>
    </row>
    <row r="13770" spans="1:4">
      <c r="A13770" s="691"/>
      <c r="D13770" s="3"/>
    </row>
    <row r="13771" spans="1:4">
      <c r="A13771" s="691"/>
      <c r="D13771" s="3"/>
    </row>
    <row r="13772" spans="1:4">
      <c r="A13772" s="691"/>
      <c r="D13772" s="3"/>
    </row>
    <row r="13773" spans="1:4">
      <c r="A13773" s="691"/>
      <c r="D13773" s="3"/>
    </row>
    <row r="13774" spans="1:4">
      <c r="A13774" s="691"/>
      <c r="D13774" s="3"/>
    </row>
    <row r="13775" spans="1:4">
      <c r="A13775" s="691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New Tables 1-12</vt:lpstr>
      <vt:lpstr>Old 1-12</vt:lpstr>
      <vt:lpstr>Degree data</vt:lpstr>
      <vt:lpstr>Pivot Table for 1-11</vt:lpstr>
      <vt:lpstr>Pivot Table for 12</vt:lpstr>
      <vt:lpstr>Pivot Table for Trends</vt:lpstr>
      <vt:lpstr>Formats PT01</vt:lpstr>
      <vt:lpstr>Formats PT02</vt:lpstr>
      <vt:lpstr>Formats for PT03</vt:lpstr>
      <vt:lpstr>'New Tables 1-12'!Print_Area</vt:lpstr>
      <vt:lpstr>'Old 1-12'!Print_Area</vt:lpstr>
    </vt:vector>
  </TitlesOfParts>
  <Company>SREB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jmarks</dc:creator>
  <cp:lastModifiedBy>mperry</cp:lastModifiedBy>
  <cp:lastPrinted>2011-01-05T14:18:07Z</cp:lastPrinted>
  <dcterms:created xsi:type="dcterms:W3CDTF">1999-02-24T13:58:47Z</dcterms:created>
  <dcterms:modified xsi:type="dcterms:W3CDTF">2011-01-24T15:22:00Z</dcterms:modified>
</cp:coreProperties>
</file>